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9.xml" ContentType="application/vnd.openxmlformats-officedocument.drawing+xml"/>
  <Override PartName="/xl/comments15.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comments16.xml" ContentType="application/vnd.openxmlformats-officedocument.spreadsheetml.comments+xml"/>
  <Override PartName="/xl/drawings/drawing11.xml" ContentType="application/vnd.openxmlformats-officedocument.drawing+xml"/>
  <Override PartName="/xl/comments17.xml" ContentType="application/vnd.openxmlformats-officedocument.spreadsheetml.comments+xml"/>
  <Override PartName="/xl/drawings/drawing12.xml" ContentType="application/vnd.openxmlformats-officedocument.drawing+xml"/>
  <Override PartName="/xl/comments18.xml" ContentType="application/vnd.openxmlformats-officedocument.spreadsheetml.comments+xml"/>
  <Override PartName="/xl/drawings/drawing13.xml" ContentType="application/vnd.openxmlformats-officedocument.drawing+xml"/>
  <Override PartName="/xl/comments19.xml" ContentType="application/vnd.openxmlformats-officedocument.spreadsheetml.comments+xml"/>
  <Override PartName="/xl/drawings/drawing14.xml" ContentType="application/vnd.openxmlformats-officedocument.drawing+xml"/>
  <Override PartName="/xl/comments20.xml" ContentType="application/vnd.openxmlformats-officedocument.spreadsheetml.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omments21.xml" ContentType="application/vnd.openxmlformats-officedocument.spreadsheetml.comments+xml"/>
  <Override PartName="/xl/drawings/drawing15.xml" ContentType="application/vnd.openxmlformats-officedocument.drawing+xml"/>
  <Override PartName="/xl/comments22.xml" ContentType="application/vnd.openxmlformats-officedocument.spreadsheetml.comments+xml"/>
  <Override PartName="/xl/drawings/drawing16.xml" ContentType="application/vnd.openxmlformats-officedocument.drawing+xml"/>
  <Override PartName="/xl/comments2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X:\0Special\HigherEducation\2024\"/>
    </mc:Choice>
  </mc:AlternateContent>
  <xr:revisionPtr revIDLastSave="0" documentId="13_ncr:1_{D5DB594D-CD10-418D-9461-CFA36BF6290C}" xr6:coauthVersionLast="47" xr6:coauthVersionMax="47" xr10:uidLastSave="{00000000-0000-0000-0000-000000000000}"/>
  <bookViews>
    <workbookView xWindow="-120" yWindow="-120" windowWidth="29040" windowHeight="15720" firstSheet="39" activeTab="45" xr2:uid="{F61B1BE4-518A-4EBD-A71C-5158CF89ED10}"/>
  </bookViews>
  <sheets>
    <sheet name="1980sEnrollment" sheetId="9" state="hidden" r:id="rId1"/>
    <sheet name="1980sGFS&amp;149-6" sheetId="1" state="veryHidden" r:id="rId2"/>
    <sheet name="HighDemandFY2001" sheetId="17" state="veryHidden" r:id="rId3"/>
    <sheet name="FY2004Actuals" sheetId="20" state="veryHidden" r:id="rId4"/>
    <sheet name="5Biennia" sheetId="18" state="veryHidden" r:id="rId5"/>
    <sheet name="FY2007Fund253" sheetId="40" state="veryHidden" r:id="rId6"/>
    <sheet name="FY2008Fund253" sheetId="43" state="veryHidden" r:id="rId7"/>
    <sheet name="FY2009Fund253" sheetId="50" state="veryHidden" r:id="rId8"/>
    <sheet name="LBN2010Enrollment" sheetId="61" state="veryHidden" r:id="rId9"/>
    <sheet name="LBN2008Enrollment" sheetId="59" state="veryHidden" r:id="rId10"/>
    <sheet name="Database" sheetId="92" state="veryHidden" r:id="rId11"/>
    <sheet name="BudgetedFTEHistory" sheetId="13" state="veryHidden" r:id="rId12"/>
    <sheet name="BD0506Final" sheetId="21" state="veryHidden" r:id="rId13"/>
    <sheet name="BDRFinal2008-09" sheetId="56" state="veryHidden" r:id="rId14"/>
    <sheet name="PFMBSR2010" sheetId="66" state="veryHidden" r:id="rId15"/>
    <sheet name="BDFinal200910" sheetId="69" state="veryHidden" r:id="rId16"/>
    <sheet name="ESHB1086" sheetId="70" state="veryHidden" r:id="rId17"/>
    <sheet name="2011LBNHiEdFTE" sheetId="71" state="veryHidden" r:id="rId18"/>
    <sheet name="2011-13HA1" sheetId="72" state="veryHidden" r:id="rId19"/>
    <sheet name="C2P" sheetId="75" state="veryHidden" r:id="rId20"/>
    <sheet name="BDFinal201011" sheetId="76" state="veryHidden" r:id="rId21"/>
    <sheet name="2011-13C9P" sheetId="77" state="veryHidden" r:id="rId22"/>
    <sheet name="FinalSFEnrollment201112" sheetId="78" state="veryHidden" r:id="rId23"/>
    <sheet name="FinalSFEnrollment201112Updated" sheetId="79" state="veryHidden" r:id="rId24"/>
    <sheet name="FinalSFEnrollment201213" sheetId="82" state="veryHidden" r:id="rId25"/>
    <sheet name="FinalSFEnrollment201314" sheetId="84" state="veryHidden" r:id="rId26"/>
    <sheet name="FinalSFEnrollment201415" sheetId="85" state="veryHidden" r:id="rId27"/>
    <sheet name="LBN2014" sheetId="83" state="veryHidden" r:id="rId28"/>
    <sheet name="LBN2015" sheetId="86" state="veryHidden" r:id="rId29"/>
    <sheet name="FinalSFEnrollment201516" sheetId="89" state="veryHidden" r:id="rId30"/>
    <sheet name="LBN2019" sheetId="95" state="veryHidden" r:id="rId31"/>
    <sheet name="OversightBudgets" sheetId="88" state="veryHidden" r:id="rId32"/>
    <sheet name="OversightActuals" sheetId="87" r:id="rId33"/>
    <sheet name="LBN2017" sheetId="91" state="veryHidden" r:id="rId34"/>
    <sheet name="FinalSFEnrollment201617" sheetId="90" state="veryHidden" r:id="rId35"/>
    <sheet name="PreliminarySFEnrollment201718" sheetId="93" state="veryHidden" r:id="rId36"/>
    <sheet name="FinalSFEnrollment201718" sheetId="94" state="veryHidden" r:id="rId37"/>
    <sheet name="FinalSFEnrollment201819" sheetId="96" state="veryHidden" r:id="rId38"/>
    <sheet name="FinalSFEnrollment201920" sheetId="97" state="veryHidden" r:id="rId39"/>
    <sheet name="TuitionRevenues" sheetId="58" r:id="rId40"/>
    <sheet name="FinalSFEnrollment202021" sheetId="98" state="veryHidden" r:id="rId41"/>
    <sheet name="FinalSFEnrollment202122" sheetId="99" state="veryHidden" r:id="rId42"/>
    <sheet name="FinalSFEnrollment202223" sheetId="100" state="veryHidden" r:id="rId43"/>
    <sheet name="FinalSFEnrollment202324" sheetId="101" state="veryHidden" r:id="rId44"/>
    <sheet name="Enrollment" sheetId="10" r:id="rId45"/>
    <sheet name="OperatingFunds" sheetId="3" r:id="rId46"/>
    <sheet name="ConstantDollars" sheetId="31" r:id="rId47"/>
    <sheet name="DollarsPerActFTE" sheetId="32" r:id="rId48"/>
    <sheet name="Constant$PerActFTE" sheetId="33" r:id="rId49"/>
    <sheet name="DollarsPerBudgetedFTE" sheetId="34" state="hidden" r:id="rId50"/>
    <sheet name="Constant$PerBudgetedFTE" sheetId="35" state="hidden" r:id="rId51"/>
    <sheet name="EconomicIndicators" sheetId="8" r:id="rId52"/>
  </sheets>
  <externalReferences>
    <externalReference r:id="rId53"/>
  </externalReferences>
  <definedNames>
    <definedName name="__123Graph_A" localSheetId="17" hidden="1">#REF!</definedName>
    <definedName name="__123Graph_A" localSheetId="9" hidden="1">#REF!</definedName>
    <definedName name="__123Graph_A" localSheetId="8" hidden="1">#REF!</definedName>
    <definedName name="__123Graph_A" localSheetId="27" hidden="1">#REF!</definedName>
    <definedName name="__123Graph_A" localSheetId="28" hidden="1">#REF!</definedName>
    <definedName name="__123Graph_A" localSheetId="33" hidden="1">#REF!</definedName>
    <definedName name="__123Graph_A" localSheetId="30" hidden="1">#REF!</definedName>
    <definedName name="__123Graph_A" hidden="1">#REF!</definedName>
    <definedName name="__123Graph_ABAR" localSheetId="17" hidden="1">#REF!</definedName>
    <definedName name="__123Graph_ABAR" localSheetId="9" hidden="1">#REF!</definedName>
    <definedName name="__123Graph_ABAR" localSheetId="8" hidden="1">#REF!</definedName>
    <definedName name="__123Graph_ABAR" localSheetId="27" hidden="1">#REF!</definedName>
    <definedName name="__123Graph_ABAR" localSheetId="28" hidden="1">#REF!</definedName>
    <definedName name="__123Graph_ABAR" localSheetId="33" hidden="1">#REF!</definedName>
    <definedName name="__123Graph_ABAR" localSheetId="30" hidden="1">#REF!</definedName>
    <definedName name="__123Graph_ABAR" hidden="1">#REF!</definedName>
    <definedName name="__123Graph_ASTBAR1" localSheetId="17" hidden="1">#REF!</definedName>
    <definedName name="__123Graph_ASTBAR1" localSheetId="9" hidden="1">#REF!</definedName>
    <definedName name="__123Graph_ASTBAR1" localSheetId="8" hidden="1">#REF!</definedName>
    <definedName name="__123Graph_ASTBAR1" localSheetId="27" hidden="1">#REF!</definedName>
    <definedName name="__123Graph_ASTBAR1" localSheetId="28" hidden="1">#REF!</definedName>
    <definedName name="__123Graph_ASTBAR1" localSheetId="33" hidden="1">#REF!</definedName>
    <definedName name="__123Graph_ASTBAR1" localSheetId="30" hidden="1">#REF!</definedName>
    <definedName name="__123Graph_ASTBAR1" hidden="1">#REF!</definedName>
    <definedName name="__123Graph_BSTBAR1" localSheetId="17" hidden="1">#REF!</definedName>
    <definedName name="__123Graph_BSTBAR1" localSheetId="9" hidden="1">#REF!</definedName>
    <definedName name="__123Graph_BSTBAR1" localSheetId="8" hidden="1">#REF!</definedName>
    <definedName name="__123Graph_BSTBAR1" localSheetId="27" hidden="1">#REF!</definedName>
    <definedName name="__123Graph_BSTBAR1" localSheetId="28" hidden="1">#REF!</definedName>
    <definedName name="__123Graph_BSTBAR1" localSheetId="33" hidden="1">#REF!</definedName>
    <definedName name="__123Graph_BSTBAR1" localSheetId="30" hidden="1">#REF!</definedName>
    <definedName name="__123Graph_BSTBAR1" hidden="1">#REF!</definedName>
    <definedName name="__123Graph_CSTBAR1" localSheetId="17" hidden="1">#REF!</definedName>
    <definedName name="__123Graph_CSTBAR1" localSheetId="9" hidden="1">#REF!</definedName>
    <definedName name="__123Graph_CSTBAR1" localSheetId="8" hidden="1">#REF!</definedName>
    <definedName name="__123Graph_CSTBAR1" localSheetId="27" hidden="1">#REF!</definedName>
    <definedName name="__123Graph_CSTBAR1" localSheetId="28" hidden="1">#REF!</definedName>
    <definedName name="__123Graph_CSTBAR1" localSheetId="33" hidden="1">#REF!</definedName>
    <definedName name="__123Graph_CSTBAR1" localSheetId="30" hidden="1">#REF!</definedName>
    <definedName name="__123Graph_CSTBAR1" hidden="1">#REF!</definedName>
    <definedName name="__123Graph_DSTBAR1" localSheetId="17" hidden="1">#REF!</definedName>
    <definedName name="__123Graph_DSTBAR1" localSheetId="9" hidden="1">#REF!</definedName>
    <definedName name="__123Graph_DSTBAR1" localSheetId="8" hidden="1">#REF!</definedName>
    <definedName name="__123Graph_DSTBAR1" localSheetId="27" hidden="1">#REF!</definedName>
    <definedName name="__123Graph_DSTBAR1" localSheetId="28" hidden="1">#REF!</definedName>
    <definedName name="__123Graph_DSTBAR1" localSheetId="33" hidden="1">#REF!</definedName>
    <definedName name="__123Graph_DSTBAR1" localSheetId="30" hidden="1">#REF!</definedName>
    <definedName name="__123Graph_DSTBAR1" hidden="1">#REF!</definedName>
    <definedName name="__123Graph_ESTBAR1" localSheetId="17" hidden="1">#REF!</definedName>
    <definedName name="__123Graph_ESTBAR1" localSheetId="9" hidden="1">#REF!</definedName>
    <definedName name="__123Graph_ESTBAR1" localSheetId="8" hidden="1">#REF!</definedName>
    <definedName name="__123Graph_ESTBAR1" localSheetId="27" hidden="1">#REF!</definedName>
    <definedName name="__123Graph_ESTBAR1" localSheetId="28" hidden="1">#REF!</definedName>
    <definedName name="__123Graph_ESTBAR1" localSheetId="33" hidden="1">#REF!</definedName>
    <definedName name="__123Graph_ESTBAR1" localSheetId="30" hidden="1">#REF!</definedName>
    <definedName name="__123Graph_ESTBAR1" hidden="1">#REF!</definedName>
    <definedName name="__123Graph_X" localSheetId="17" hidden="1">#REF!</definedName>
    <definedName name="__123Graph_X" localSheetId="9" hidden="1">#REF!</definedName>
    <definedName name="__123Graph_X" localSheetId="8" hidden="1">#REF!</definedName>
    <definedName name="__123Graph_X" localSheetId="27" hidden="1">#REF!</definedName>
    <definedName name="__123Graph_X" localSheetId="28" hidden="1">#REF!</definedName>
    <definedName name="__123Graph_X" localSheetId="33" hidden="1">#REF!</definedName>
    <definedName name="__123Graph_X" localSheetId="30" hidden="1">#REF!</definedName>
    <definedName name="__123Graph_X" hidden="1">#REF!</definedName>
    <definedName name="__123Graph_XBAR" localSheetId="17" hidden="1">#REF!</definedName>
    <definedName name="__123Graph_XBAR" localSheetId="9" hidden="1">#REF!</definedName>
    <definedName name="__123Graph_XBAR" localSheetId="8" hidden="1">#REF!</definedName>
    <definedName name="__123Graph_XBAR" localSheetId="27" hidden="1">#REF!</definedName>
    <definedName name="__123Graph_XBAR" localSheetId="28" hidden="1">#REF!</definedName>
    <definedName name="__123Graph_XBAR" localSheetId="33" hidden="1">#REF!</definedName>
    <definedName name="__123Graph_XBAR" localSheetId="30" hidden="1">#REF!</definedName>
    <definedName name="__123Graph_XBAR" hidden="1">#REF!</definedName>
    <definedName name="_1__123Graph_ACHART_1" localSheetId="9" hidden="1">#REF!</definedName>
    <definedName name="_17__123Graph_ACHART_6" localSheetId="17" hidden="1">#REF!</definedName>
    <definedName name="_17__123Graph_ACHART_6" localSheetId="8" hidden="1">#REF!</definedName>
    <definedName name="_17__123Graph_ACHART_6" localSheetId="27" hidden="1">#REF!</definedName>
    <definedName name="_17__123Graph_ACHART_6" localSheetId="28" hidden="1">#REF!</definedName>
    <definedName name="_17__123Graph_ACHART_6" localSheetId="33" hidden="1">#REF!</definedName>
    <definedName name="_17__123Graph_ACHART_6" localSheetId="30" hidden="1">#REF!</definedName>
    <definedName name="_18__123Graph_ACHART_6" localSheetId="27" hidden="1">#REF!</definedName>
    <definedName name="_18__123Graph_ACHART_6" localSheetId="28" hidden="1">#REF!</definedName>
    <definedName name="_18__123Graph_ACHART_6" localSheetId="33" hidden="1">#REF!</definedName>
    <definedName name="_18__123Graph_ACHART_6" localSheetId="30" hidden="1">#REF!</definedName>
    <definedName name="_18__123Graph_ACHART_6" hidden="1">#REF!</definedName>
    <definedName name="_2__123Graph_ACHART_1" hidden="1">#REF!</definedName>
    <definedName name="_26__123Graph_ACHART_8" localSheetId="17" hidden="1">#REF!</definedName>
    <definedName name="_26__123Graph_ACHART_8" localSheetId="8" hidden="1">#REF!</definedName>
    <definedName name="_26__123Graph_ACHART_8" localSheetId="27" hidden="1">#REF!</definedName>
    <definedName name="_26__123Graph_ACHART_8" localSheetId="28" hidden="1">#REF!</definedName>
    <definedName name="_26__123Graph_ACHART_8" localSheetId="33" hidden="1">#REF!</definedName>
    <definedName name="_26__123Graph_ACHART_8" localSheetId="30" hidden="1">#REF!</definedName>
    <definedName name="_27__123Graph_ACHART_8" localSheetId="27" hidden="1">#REF!</definedName>
    <definedName name="_27__123Graph_ACHART_8" localSheetId="28" hidden="1">#REF!</definedName>
    <definedName name="_27__123Graph_ACHART_8" localSheetId="33" hidden="1">#REF!</definedName>
    <definedName name="_27__123Graph_ACHART_8" localSheetId="30" hidden="1">#REF!</definedName>
    <definedName name="_27__123Graph_ACHART_8" hidden="1">#REF!</definedName>
    <definedName name="_3__123Graph_ACHART_6" localSheetId="9" hidden="1">#REF!</definedName>
    <definedName name="_4__123Graph_ACHART_6" hidden="1">#REF!</definedName>
    <definedName name="_5__123Graph_ACHART_8" localSheetId="9" hidden="1">#REF!</definedName>
    <definedName name="_6__123Graph_ACHART_8" hidden="1">#REF!</definedName>
    <definedName name="_8__123Graph_ACHART_1" localSheetId="17" hidden="1">#REF!</definedName>
    <definedName name="_8__123Graph_ACHART_1" localSheetId="8" hidden="1">#REF!</definedName>
    <definedName name="_8__123Graph_ACHART_1" localSheetId="27" hidden="1">#REF!</definedName>
    <definedName name="_8__123Graph_ACHART_1" localSheetId="28" hidden="1">#REF!</definedName>
    <definedName name="_8__123Graph_ACHART_1" localSheetId="33" hidden="1">#REF!</definedName>
    <definedName name="_8__123Graph_ACHART_1" localSheetId="30" hidden="1">#REF!</definedName>
    <definedName name="_9__123Graph_ACHART_1" localSheetId="27" hidden="1">#REF!</definedName>
    <definedName name="_9__123Graph_ACHART_1" localSheetId="28" hidden="1">#REF!</definedName>
    <definedName name="_9__123Graph_ACHART_1" localSheetId="33" hidden="1">#REF!</definedName>
    <definedName name="_9__123Graph_ACHART_1" localSheetId="30" hidden="1">#REF!</definedName>
    <definedName name="_9__123Graph_ACHART_1" hidden="1">#REF!</definedName>
    <definedName name="_xlnm._FilterDatabase" localSheetId="10" hidden="1">Database!$A$1:$E$1326</definedName>
    <definedName name="_Order1" localSheetId="17" hidden="1">255</definedName>
    <definedName name="_Order1" localSheetId="9" hidden="1">255</definedName>
    <definedName name="_Order1" localSheetId="8" hidden="1">255</definedName>
    <definedName name="_Order1" localSheetId="27" hidden="1">255</definedName>
    <definedName name="_Order1" localSheetId="28" hidden="1">255</definedName>
    <definedName name="_Order1" localSheetId="33" hidden="1">255</definedName>
    <definedName name="_Order1" localSheetId="30" hidden="1">255</definedName>
    <definedName name="_Order1" hidden="1">0</definedName>
    <definedName name="a" localSheetId="9">#REF!</definedName>
    <definedName name="Admit_basis" localSheetId="9">#REF!</definedName>
    <definedName name="BASE1" localSheetId="9">#REF!</definedName>
    <definedName name="BASE2" localSheetId="9">#REF!</definedName>
    <definedName name="BaseYear">ConstantDollars!$B$6</definedName>
    <definedName name="DATE1" localSheetId="9">#REF!</definedName>
    <definedName name="DATE2" localSheetId="9">#REF!</definedName>
    <definedName name="End_Date" localSheetId="9">#REF!</definedName>
    <definedName name="Except" localSheetId="9">#REF!</definedName>
    <definedName name="IPDBaseYears">EconomicIndicators!$B$5:$AK$5</definedName>
    <definedName name="mpc_adult_total" localSheetId="9">#REF!</definedName>
    <definedName name="mpc_kids" localSheetId="9">#REF!</definedName>
    <definedName name="mpc_total" localSheetId="9">#REF!</definedName>
    <definedName name="_xlnm.Print_Area" localSheetId="21">'2011-13C9P'!$A$7:$J$168</definedName>
    <definedName name="_xlnm.Print_Area" localSheetId="18">'2011-13HA1'!$A$7:$J$168</definedName>
    <definedName name="_xlnm.Print_Area" localSheetId="4">'5Biennia'!$A$1:$X$38</definedName>
    <definedName name="_xlnm.Print_Area" localSheetId="15">BDFinal200910!$A$1:$I$53</definedName>
    <definedName name="_xlnm.Print_Area" localSheetId="20">BDFinal201011!$A$1:$I$51</definedName>
    <definedName name="_xlnm.Print_Area" localSheetId="19">'C2P'!$A$8:$D$525</definedName>
    <definedName name="_xlnm.Print_Area" localSheetId="48">'Constant$PerActFTE'!$B$3:$AJ$164</definedName>
    <definedName name="_xlnm.Print_Area" localSheetId="50">'Constant$PerBudgetedFTE'!$B$3:$AD$162</definedName>
    <definedName name="_xlnm.Print_Area" localSheetId="46">ConstantDollars!$A$1:$AL$165</definedName>
    <definedName name="_xlnm.Print_Area" localSheetId="49">DollarsPerBudgetedFTE!$B$3:$AD$161</definedName>
    <definedName name="_xlnm.Print_Area" localSheetId="16">ESHB1086!$A$7:$G$179</definedName>
    <definedName name="_xlnm.Print_Area" localSheetId="22">FinalSFEnrollment201112!$A$1:$I$53</definedName>
    <definedName name="_xlnm.Print_Area" localSheetId="23">FinalSFEnrollment201112Updated!$A$1:$I$53</definedName>
    <definedName name="_xlnm.Print_Area" localSheetId="9">LBN2008Enrollment!$A$1:$N$36</definedName>
    <definedName name="_xlnm.Print_Area" localSheetId="33">'LBN2017'!$A$1:$O$32</definedName>
    <definedName name="_xlnm.Print_Area" localSheetId="30">'LBN2019'!$A$1:$P$33</definedName>
    <definedName name="_xlnm.Print_Area" localSheetId="45">OperatingFunds!$B$1:$AL$163</definedName>
    <definedName name="_xlnm.Print_Area" localSheetId="14">PFMBSR2010!$A$10:$C$58</definedName>
    <definedName name="_xlnm.Print_Titles" localSheetId="21">'2011-13C9P'!$5:$6</definedName>
    <definedName name="_xlnm.Print_Titles" localSheetId="18">'2011-13HA1'!$5:$6</definedName>
    <definedName name="_xlnm.Print_Titles" localSheetId="19">'C2P'!$1:$7</definedName>
    <definedName name="_xlnm.Print_Titles" localSheetId="48">'Constant$PerActFTE'!$1:$2</definedName>
    <definedName name="_xlnm.Print_Titles" localSheetId="50">'Constant$PerBudgetedFTE'!$1:$2</definedName>
    <definedName name="_xlnm.Print_Titles" localSheetId="46">ConstantDollars!$1:$2</definedName>
    <definedName name="_xlnm.Print_Titles" localSheetId="49">DollarsPerBudgetedFTE!$1:$2</definedName>
    <definedName name="_xlnm.Print_Titles" localSheetId="16">ESHB1086!$5:$6</definedName>
    <definedName name="_xlnm.Print_Titles" localSheetId="45">OperatingFunds!$1:$2</definedName>
    <definedName name="_xlnm.Print_Titles" localSheetId="14">PFMBSR2010!$1:$9</definedName>
    <definedName name="Print6" localSheetId="9">#REF!</definedName>
    <definedName name="RATE1" localSheetId="9">#REF!</definedName>
    <definedName name="RATE2" localSheetId="9">#REF!</definedName>
    <definedName name="Reg" localSheetId="9">#REF!</definedName>
    <definedName name="Regular" localSheetId="9">#REF!</definedName>
    <definedName name="Start_Date" localSheetId="9">#REF!</definedName>
    <definedName name="TOT" localSheetId="9">#REF!</definedName>
    <definedName name="TOTAL" localSheetId="9">#REF!</definedName>
    <definedName name="Totalall" localSheetId="9">#REF!</definedName>
    <definedName name="totx" localSheetId="9">#REF!</definedName>
    <definedName name="WORK97" localSheetId="9">#REF!</definedName>
    <definedName name="WORK98" localSheetId="9">#REF!</definedName>
    <definedName name="WORK99" localSheetId="9">#REF!</definedName>
  </definedNames>
  <calcPr calcId="191029"/>
  <pivotCaches>
    <pivotCache cacheId="0" r:id="rId54"/>
    <pivotCache cacheId="1" r:id="rId55"/>
    <pivotCache cacheId="6" r:id="rId56"/>
    <pivotCache cacheId="7" r:id="rId57"/>
    <pivotCache cacheId="8" r:id="rId58"/>
    <pivotCache cacheId="9" r:id="rId59"/>
    <pivotCache cacheId="13" r:id="rId60"/>
    <pivotCache cacheId="19" r:id="rId61"/>
    <pivotCache cacheId="23" r:id="rId62"/>
    <pivotCache cacheId="26" r:id="rId63"/>
    <pivotCache cacheId="30" r:id="rId6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53" i="33" l="1"/>
  <c r="AJ134" i="33"/>
  <c r="AJ115" i="33"/>
  <c r="AJ77" i="33"/>
  <c r="AJ58" i="33"/>
  <c r="AJ39" i="33"/>
  <c r="AJ20" i="33"/>
  <c r="AK158" i="33"/>
  <c r="AK155" i="33"/>
  <c r="AK152" i="33"/>
  <c r="AK38" i="33" s="1"/>
  <c r="AK19" i="33" s="1"/>
  <c r="AK150" i="33"/>
  <c r="AK149" i="33"/>
  <c r="AK147" i="33"/>
  <c r="AK146" i="33"/>
  <c r="AK145" i="33"/>
  <c r="AK144" i="33"/>
  <c r="AK143" i="33"/>
  <c r="AK142" i="33"/>
  <c r="AK28" i="33" s="1"/>
  <c r="AK9" i="33" s="1"/>
  <c r="AK141" i="33"/>
  <c r="AK139" i="33"/>
  <c r="AK133" i="33"/>
  <c r="AK130" i="33"/>
  <c r="AK128" i="33"/>
  <c r="AK127" i="33"/>
  <c r="AK126" i="33"/>
  <c r="AK125" i="33"/>
  <c r="AK124" i="33"/>
  <c r="AK123" i="33"/>
  <c r="AK122" i="33"/>
  <c r="AK120" i="33"/>
  <c r="AK119" i="33"/>
  <c r="AK114" i="33"/>
  <c r="AK112" i="33"/>
  <c r="AK111" i="33"/>
  <c r="AK109" i="33"/>
  <c r="AK108" i="33"/>
  <c r="AK107" i="33"/>
  <c r="AK106" i="33"/>
  <c r="AK105" i="33"/>
  <c r="AK104" i="33"/>
  <c r="AK103" i="33"/>
  <c r="AK101" i="33"/>
  <c r="AK100" i="33"/>
  <c r="AK81" i="33"/>
  <c r="AK76" i="33"/>
  <c r="AK74" i="33"/>
  <c r="AK36" i="33" s="1"/>
  <c r="AK17" i="33" s="1"/>
  <c r="AK73" i="33"/>
  <c r="AK71" i="33"/>
  <c r="AK33" i="33" s="1"/>
  <c r="AK14" i="33" s="1"/>
  <c r="AK70" i="33"/>
  <c r="AK69" i="33"/>
  <c r="AK31" i="33" s="1"/>
  <c r="AK12" i="33" s="1"/>
  <c r="AK68" i="33"/>
  <c r="AK30" i="33" s="1"/>
  <c r="AK11" i="33" s="1"/>
  <c r="AK67" i="33"/>
  <c r="AK29" i="33" s="1"/>
  <c r="AK10" i="33" s="1"/>
  <c r="AK66" i="33"/>
  <c r="AK65" i="33"/>
  <c r="AK27" i="33" s="1"/>
  <c r="AK8" i="33" s="1"/>
  <c r="AK63" i="33"/>
  <c r="AK62" i="33"/>
  <c r="AK57" i="33"/>
  <c r="AK54" i="33"/>
  <c r="AK52" i="33"/>
  <c r="AK51" i="33"/>
  <c r="AK50" i="33"/>
  <c r="AK49" i="33"/>
  <c r="AK48" i="33"/>
  <c r="AK47" i="33"/>
  <c r="AK46" i="33"/>
  <c r="AK44" i="33"/>
  <c r="AK43" i="33"/>
  <c r="AK35" i="33"/>
  <c r="AK16" i="33" s="1"/>
  <c r="AK32" i="33"/>
  <c r="AK13" i="33" s="1"/>
  <c r="AK25" i="33"/>
  <c r="AK24" i="33"/>
  <c r="AK6" i="33"/>
  <c r="AK156" i="33" s="1"/>
  <c r="AK5" i="33"/>
  <c r="AK159" i="32"/>
  <c r="AK152" i="32"/>
  <c r="AK150" i="32"/>
  <c r="AK149" i="32"/>
  <c r="AK147" i="32"/>
  <c r="AK146" i="32"/>
  <c r="AK145" i="32"/>
  <c r="AK144" i="32"/>
  <c r="AK143" i="32"/>
  <c r="AK142" i="32"/>
  <c r="AK141" i="32"/>
  <c r="AK139" i="32"/>
  <c r="AK133" i="32"/>
  <c r="AK130" i="32"/>
  <c r="AK128" i="32"/>
  <c r="AK127" i="32"/>
  <c r="AK126" i="32"/>
  <c r="AK125" i="32"/>
  <c r="AK124" i="32"/>
  <c r="AK123" i="32"/>
  <c r="AK122" i="32"/>
  <c r="AK120" i="32"/>
  <c r="AK114" i="32"/>
  <c r="AK112" i="32"/>
  <c r="AK111" i="32"/>
  <c r="AK109" i="32"/>
  <c r="AK108" i="32"/>
  <c r="AK107" i="32"/>
  <c r="AK106" i="32"/>
  <c r="AK105" i="32"/>
  <c r="AK29" i="32" s="1"/>
  <c r="AK10" i="32" s="1"/>
  <c r="AK104" i="32"/>
  <c r="AK103" i="32"/>
  <c r="AK27" i="32" s="1"/>
  <c r="AK8" i="32" s="1"/>
  <c r="AK101" i="32"/>
  <c r="AK76" i="32"/>
  <c r="AK74" i="32"/>
  <c r="AK36" i="32" s="1"/>
  <c r="AK17" i="32" s="1"/>
  <c r="AK73" i="32"/>
  <c r="AK71" i="32"/>
  <c r="AK70" i="32"/>
  <c r="AK69" i="32"/>
  <c r="AK68" i="32"/>
  <c r="AK30" i="32" s="1"/>
  <c r="AK11" i="32" s="1"/>
  <c r="AK67" i="32"/>
  <c r="AK66" i="32"/>
  <c r="AK28" i="32" s="1"/>
  <c r="AK9" i="32" s="1"/>
  <c r="AK65" i="32"/>
  <c r="AK63" i="32"/>
  <c r="AK57" i="32"/>
  <c r="AK54" i="32"/>
  <c r="AK52" i="32"/>
  <c r="AK51" i="32"/>
  <c r="AK50" i="32"/>
  <c r="AK49" i="32"/>
  <c r="AK48" i="32"/>
  <c r="AK47" i="32"/>
  <c r="AK46" i="32"/>
  <c r="AK44" i="32"/>
  <c r="AK38" i="32"/>
  <c r="AK19" i="32" s="1"/>
  <c r="AK35" i="32"/>
  <c r="AK33" i="32"/>
  <c r="AK32" i="32"/>
  <c r="AK31" i="32"/>
  <c r="AK12" i="32" s="1"/>
  <c r="AK25" i="32"/>
  <c r="AK16" i="32"/>
  <c r="AK14" i="32"/>
  <c r="AK13" i="32"/>
  <c r="AK6" i="32"/>
  <c r="AK156" i="32" s="1"/>
  <c r="AK5" i="32"/>
  <c r="AK138" i="32" s="1"/>
  <c r="AK150" i="3"/>
  <c r="AK149" i="3"/>
  <c r="AK142" i="3"/>
  <c r="AK143" i="3"/>
  <c r="AK144" i="3"/>
  <c r="AK145" i="3"/>
  <c r="AK146" i="3"/>
  <c r="AK141" i="3"/>
  <c r="AK160" i="3"/>
  <c r="AK158" i="3"/>
  <c r="AK156" i="3"/>
  <c r="AK155" i="3"/>
  <c r="AK139" i="3"/>
  <c r="AK138" i="3"/>
  <c r="AK130" i="3"/>
  <c r="AK127" i="3"/>
  <c r="AK126" i="3"/>
  <c r="AK125" i="3"/>
  <c r="AK128" i="3" s="1"/>
  <c r="AK124" i="3"/>
  <c r="AK123" i="3"/>
  <c r="AK122" i="3"/>
  <c r="AK120" i="3"/>
  <c r="AK119" i="3"/>
  <c r="AK112" i="3"/>
  <c r="AK111" i="3"/>
  <c r="AK108" i="3"/>
  <c r="AK107" i="3"/>
  <c r="AK109" i="3" s="1"/>
  <c r="AK106" i="3"/>
  <c r="AK105" i="3"/>
  <c r="AK104" i="3"/>
  <c r="AK103" i="3"/>
  <c r="AK101" i="3"/>
  <c r="AK100" i="3"/>
  <c r="AK74" i="3"/>
  <c r="AK73" i="3"/>
  <c r="AK70" i="3"/>
  <c r="AK71" i="3" s="1"/>
  <c r="AK69" i="3"/>
  <c r="AK68" i="3"/>
  <c r="AK67" i="3"/>
  <c r="AK66" i="3"/>
  <c r="AK65" i="3"/>
  <c r="AK63" i="3"/>
  <c r="AK62" i="3"/>
  <c r="AK54" i="3"/>
  <c r="AK51" i="3"/>
  <c r="AK52" i="3" s="1"/>
  <c r="AK50" i="3"/>
  <c r="AK49" i="3"/>
  <c r="AK48" i="3"/>
  <c r="AK47" i="3"/>
  <c r="AK46" i="3"/>
  <c r="AJ10" i="10"/>
  <c r="AJ47" i="10"/>
  <c r="AJ45" i="10" s="1"/>
  <c r="AJ69" i="10"/>
  <c r="AJ64" i="10"/>
  <c r="AJ63" i="10"/>
  <c r="AJ62" i="10"/>
  <c r="AJ61" i="10"/>
  <c r="AJ60" i="10"/>
  <c r="AJ59" i="10"/>
  <c r="AJ58" i="10"/>
  <c r="AJ57" i="10"/>
  <c r="AJ56" i="10"/>
  <c r="AJ55" i="10"/>
  <c r="AJ18" i="10" s="1"/>
  <c r="AJ50" i="10"/>
  <c r="AJ15" i="10" s="1"/>
  <c r="AJ49" i="10"/>
  <c r="AJ48" i="10"/>
  <c r="AJ46" i="10"/>
  <c r="AJ44" i="10"/>
  <c r="AJ42" i="10"/>
  <c r="AJ41" i="10"/>
  <c r="AJ40" i="10"/>
  <c r="AJ39" i="10"/>
  <c r="AJ38" i="10"/>
  <c r="AJ37" i="10"/>
  <c r="AJ34" i="10"/>
  <c r="AJ33" i="10" s="1"/>
  <c r="AJ11" i="10" s="1"/>
  <c r="AJ32" i="10"/>
  <c r="AJ31" i="10"/>
  <c r="AJ29" i="10"/>
  <c r="AJ112" i="10"/>
  <c r="AJ103" i="10"/>
  <c r="AJ101" i="10"/>
  <c r="AJ28" i="10"/>
  <c r="AJ14" i="10"/>
  <c r="AJ13" i="10"/>
  <c r="AJ6" i="10"/>
  <c r="AJ25" i="10" s="1"/>
  <c r="E45" i="101"/>
  <c r="F44" i="101" a="1"/>
  <c r="F44" i="101" s="1"/>
  <c r="F43" i="101" a="1"/>
  <c r="F43" i="101" s="1"/>
  <c r="F42" i="101" a="1"/>
  <c r="F42" i="101" s="1"/>
  <c r="F40" i="101" a="1"/>
  <c r="F40" i="101" s="1"/>
  <c r="F39" i="101" a="1"/>
  <c r="F39" i="101" s="1"/>
  <c r="F38" i="101" s="1"/>
  <c r="E38" i="101"/>
  <c r="D38" i="101"/>
  <c r="C38" i="101"/>
  <c r="B38" i="101"/>
  <c r="F34" i="101"/>
  <c r="F45" i="101" s="1"/>
  <c r="E34" i="101"/>
  <c r="D34" i="101"/>
  <c r="D45" i="101" s="1"/>
  <c r="C34" i="101"/>
  <c r="C45" i="101" s="1"/>
  <c r="B34" i="101"/>
  <c r="B45" i="101" s="1"/>
  <c r="H32" i="101"/>
  <c r="F27" i="101" a="1"/>
  <c r="F27" i="101" s="1"/>
  <c r="F26" i="101" a="1"/>
  <c r="F26" i="101" s="1"/>
  <c r="F25" i="101" a="1"/>
  <c r="F25" i="101" s="1"/>
  <c r="F24" i="101" a="1"/>
  <c r="F24" i="101" s="1"/>
  <c r="F23" i="101" a="1"/>
  <c r="F23" i="101" s="1"/>
  <c r="F22" i="101" a="1"/>
  <c r="F22" i="101" s="1"/>
  <c r="F21" i="101"/>
  <c r="F20" i="101"/>
  <c r="F19" i="101"/>
  <c r="F18" i="101"/>
  <c r="E17" i="101"/>
  <c r="E13" i="101" s="1"/>
  <c r="E28" i="101" s="1"/>
  <c r="D17" i="101"/>
  <c r="D13" i="101" s="1"/>
  <c r="D28" i="101" s="1"/>
  <c r="C17" i="101"/>
  <c r="C13" i="101" s="1"/>
  <c r="C28" i="101" s="1"/>
  <c r="B17" i="101"/>
  <c r="F17" i="101" s="1"/>
  <c r="F16" i="101" a="1"/>
  <c r="F16" i="101" s="1"/>
  <c r="F15" i="101" a="1"/>
  <c r="F15" i="101" s="1"/>
  <c r="F14" i="101" a="1"/>
  <c r="F14" i="101" s="1"/>
  <c r="F13" i="101" s="1"/>
  <c r="F12" i="101" a="1"/>
  <c r="F12" i="101" s="1"/>
  <c r="F11" i="101" a="1"/>
  <c r="F11" i="101" s="1"/>
  <c r="F10" i="101" a="1"/>
  <c r="F10" i="101" s="1"/>
  <c r="F9" i="101" a="1"/>
  <c r="F9" i="101" s="1"/>
  <c r="A953" i="88"/>
  <c r="A954" i="88"/>
  <c r="A955" i="88"/>
  <c r="A956" i="88"/>
  <c r="A957" i="88"/>
  <c r="A958" i="88"/>
  <c r="A959" i="88"/>
  <c r="A960" i="88"/>
  <c r="A961" i="88"/>
  <c r="A962" i="88"/>
  <c r="A963" i="88"/>
  <c r="A964" i="88"/>
  <c r="A965" i="88"/>
  <c r="A966" i="88"/>
  <c r="A967" i="88"/>
  <c r="A968" i="88"/>
  <c r="A969" i="88"/>
  <c r="A970" i="88"/>
  <c r="A971" i="88"/>
  <c r="A972" i="88"/>
  <c r="A973" i="88"/>
  <c r="A974" i="88"/>
  <c r="A975" i="88"/>
  <c r="A976" i="88"/>
  <c r="A977" i="88"/>
  <c r="A978" i="88"/>
  <c r="A979" i="88"/>
  <c r="A980" i="88"/>
  <c r="A981" i="88"/>
  <c r="A982" i="88"/>
  <c r="A983" i="88"/>
  <c r="A984" i="88"/>
  <c r="A985" i="88"/>
  <c r="A986" i="88"/>
  <c r="A987" i="88"/>
  <c r="A988" i="88"/>
  <c r="A989" i="88"/>
  <c r="A990" i="88"/>
  <c r="A991" i="88"/>
  <c r="A992" i="88"/>
  <c r="A993" i="88"/>
  <c r="A994" i="88"/>
  <c r="A995" i="88"/>
  <c r="AK24" i="32" l="1"/>
  <c r="AK43" i="32"/>
  <c r="AK62" i="32"/>
  <c r="AK100" i="32"/>
  <c r="AK119" i="32"/>
  <c r="AK147" i="3"/>
  <c r="AK152" i="3" s="1"/>
  <c r="AK76" i="3"/>
  <c r="AK57" i="3"/>
  <c r="AK133" i="3"/>
  <c r="AK114" i="3"/>
  <c r="AJ53" i="10"/>
  <c r="AJ71" i="10" s="1"/>
  <c r="AJ12" i="10"/>
  <c r="AJ16" i="10" s="1"/>
  <c r="AJ21" i="10" s="1"/>
  <c r="AJ75" i="10"/>
  <c r="F28" i="101"/>
  <c r="B13" i="101"/>
  <c r="AB9" i="87"/>
  <c r="AB6" i="87"/>
  <c r="AB5" i="87"/>
  <c r="AB4" i="87"/>
  <c r="AB1" i="87"/>
  <c r="AI46" i="10" l="1"/>
  <c r="AI69" i="10"/>
  <c r="AI64" i="10"/>
  <c r="AI63" i="10"/>
  <c r="AI62" i="10"/>
  <c r="AI61" i="10"/>
  <c r="AI60" i="10"/>
  <c r="AI59" i="10"/>
  <c r="AI58" i="10"/>
  <c r="AI57" i="10"/>
  <c r="AI56" i="10"/>
  <c r="AI55" i="10"/>
  <c r="AI50" i="10"/>
  <c r="AI15" i="10" s="1"/>
  <c r="AI49" i="10"/>
  <c r="AI14" i="10" s="1"/>
  <c r="AI47" i="10"/>
  <c r="AI48" i="10"/>
  <c r="AI13" i="10" s="1"/>
  <c r="AI44" i="10"/>
  <c r="AI42" i="10"/>
  <c r="AI41" i="10"/>
  <c r="AI40" i="10"/>
  <c r="AI39" i="10"/>
  <c r="AI38" i="10"/>
  <c r="AI37" i="10"/>
  <c r="AI34" i="10"/>
  <c r="AI32" i="10"/>
  <c r="AI31" i="10"/>
  <c r="AI29" i="10"/>
  <c r="AI112" i="10"/>
  <c r="AI103" i="10"/>
  <c r="AI101" i="10"/>
  <c r="F49" i="100"/>
  <c r="F44" i="100"/>
  <c r="F43" i="100"/>
  <c r="E38" i="100"/>
  <c r="D38" i="100"/>
  <c r="F41" i="100"/>
  <c r="F40" i="100"/>
  <c r="F39" i="100"/>
  <c r="C38" i="100"/>
  <c r="B38" i="100"/>
  <c r="F37" i="100"/>
  <c r="F36" i="100"/>
  <c r="F35" i="100"/>
  <c r="E34" i="100"/>
  <c r="D34" i="100"/>
  <c r="C34" i="100"/>
  <c r="B34" i="100"/>
  <c r="F34" i="100" s="1"/>
  <c r="E45" i="100"/>
  <c r="D45" i="100"/>
  <c r="C45" i="100"/>
  <c r="F33" i="100"/>
  <c r="F27" i="100"/>
  <c r="F26" i="100"/>
  <c r="F25" i="100"/>
  <c r="F24" i="100"/>
  <c r="F23" i="100"/>
  <c r="F22" i="100"/>
  <c r="E17" i="100"/>
  <c r="E13" i="100" s="1"/>
  <c r="F21" i="100"/>
  <c r="F20" i="100"/>
  <c r="F19" i="100"/>
  <c r="D17" i="100"/>
  <c r="D13" i="100" s="1"/>
  <c r="C17" i="100"/>
  <c r="C13" i="100" s="1"/>
  <c r="B17" i="100"/>
  <c r="F16" i="100"/>
  <c r="F15" i="100"/>
  <c r="F14" i="100"/>
  <c r="E9" i="100"/>
  <c r="E28" i="100" s="1"/>
  <c r="D9" i="100"/>
  <c r="C9" i="100"/>
  <c r="F11" i="100"/>
  <c r="F10" i="100"/>
  <c r="AJ81" i="33"/>
  <c r="AJ5" i="33"/>
  <c r="AJ5" i="32"/>
  <c r="AJ43" i="32" s="1"/>
  <c r="B164" i="31"/>
  <c r="AK82" i="31"/>
  <c r="AJ82" i="31"/>
  <c r="AK81" i="31"/>
  <c r="AJ81" i="31"/>
  <c r="AK5" i="31"/>
  <c r="AK62" i="31" s="1"/>
  <c r="AJ5" i="31"/>
  <c r="AJ62" i="31" s="1"/>
  <c r="AA1" i="87"/>
  <c r="AA4" i="87"/>
  <c r="AA5" i="87"/>
  <c r="AA6" i="87"/>
  <c r="AA9" i="87"/>
  <c r="AL43" i="3"/>
  <c r="AK43" i="3"/>
  <c r="AJ43" i="3"/>
  <c r="AJ43" i="33" s="1"/>
  <c r="AJ24" i="3"/>
  <c r="AJ24" i="33" s="1"/>
  <c r="AK24" i="3"/>
  <c r="AL24" i="3"/>
  <c r="AJ160" i="3"/>
  <c r="AJ155" i="3"/>
  <c r="AJ155" i="33" s="1"/>
  <c r="AJ138" i="3"/>
  <c r="AJ119" i="3"/>
  <c r="AJ119" i="33" s="1"/>
  <c r="AJ100" i="3"/>
  <c r="AJ100" i="33" s="1"/>
  <c r="AJ62" i="3"/>
  <c r="AJ62" i="33" s="1"/>
  <c r="AJ6" i="3"/>
  <c r="AJ156" i="3" s="1"/>
  <c r="AI6" i="3"/>
  <c r="AK155" i="31"/>
  <c r="AK6" i="3"/>
  <c r="AK25" i="3" s="1"/>
  <c r="AK25" i="31" s="1"/>
  <c r="AG16" i="58"/>
  <c r="AF16" i="58"/>
  <c r="AG13" i="58"/>
  <c r="AF13" i="58"/>
  <c r="AG12" i="58"/>
  <c r="AF12" i="58"/>
  <c r="AG11" i="58"/>
  <c r="AF11" i="58"/>
  <c r="AG10" i="58"/>
  <c r="AF10" i="58"/>
  <c r="AG9" i="58"/>
  <c r="AF9" i="58"/>
  <c r="AG8" i="58"/>
  <c r="AF8" i="58"/>
  <c r="AG6" i="58"/>
  <c r="AF6" i="58"/>
  <c r="B9" i="8"/>
  <c r="AK9" i="8"/>
  <c r="AK8" i="8"/>
  <c r="AJ8" i="8"/>
  <c r="AK7" i="8"/>
  <c r="AJ7" i="8"/>
  <c r="AK18" i="8"/>
  <c r="AJ18" i="8"/>
  <c r="AI81" i="33"/>
  <c r="AI5" i="33"/>
  <c r="AH155" i="33"/>
  <c r="AH119" i="33"/>
  <c r="AH100" i="33"/>
  <c r="AH81" i="33"/>
  <c r="AH62" i="33"/>
  <c r="AH43" i="33"/>
  <c r="AH24" i="33"/>
  <c r="AH5" i="33"/>
  <c r="AJ101" i="32" l="1"/>
  <c r="AI45" i="10"/>
  <c r="AI12" i="10" s="1"/>
  <c r="AI28" i="10"/>
  <c r="AK6" i="31"/>
  <c r="AK156" i="31" s="1"/>
  <c r="AF14" i="58"/>
  <c r="AF18" i="58" s="1"/>
  <c r="AI33" i="10"/>
  <c r="AI11" i="10" s="1"/>
  <c r="AI18" i="10"/>
  <c r="AI10" i="10"/>
  <c r="C28" i="100"/>
  <c r="D28" i="100"/>
  <c r="F12" i="100"/>
  <c r="F9" i="100" s="1"/>
  <c r="F42" i="100"/>
  <c r="F38" i="100" s="1"/>
  <c r="F45" i="100" s="1"/>
  <c r="F18" i="100"/>
  <c r="F17" i="100" s="1"/>
  <c r="F13" i="100" s="1"/>
  <c r="B45" i="100"/>
  <c r="AJ6" i="32"/>
  <c r="AJ156" i="32" s="1"/>
  <c r="AJ120" i="32"/>
  <c r="AJ6" i="31"/>
  <c r="AJ156" i="31" s="1"/>
  <c r="AJ25" i="32"/>
  <c r="AJ6" i="33"/>
  <c r="AJ156" i="33" s="1"/>
  <c r="AJ155" i="31"/>
  <c r="AJ100" i="32"/>
  <c r="AJ24" i="32"/>
  <c r="AJ138" i="32"/>
  <c r="AJ62" i="32"/>
  <c r="AJ119" i="32"/>
  <c r="AJ100" i="31"/>
  <c r="AK100" i="31"/>
  <c r="AJ119" i="31"/>
  <c r="AK119" i="31"/>
  <c r="AJ24" i="31"/>
  <c r="AJ138" i="31"/>
  <c r="AK24" i="31"/>
  <c r="AK138" i="31"/>
  <c r="AJ43" i="31"/>
  <c r="AK43" i="31"/>
  <c r="AJ44" i="3"/>
  <c r="AJ63" i="3"/>
  <c r="AJ101" i="3"/>
  <c r="AJ25" i="3"/>
  <c r="AJ120" i="3"/>
  <c r="AJ139" i="3"/>
  <c r="AK44" i="3"/>
  <c r="AK44" i="31" s="1"/>
  <c r="AK120" i="31"/>
  <c r="AK139" i="31"/>
  <c r="AK63" i="31"/>
  <c r="AK101" i="31"/>
  <c r="AG14" i="58"/>
  <c r="AG18" i="58" s="1"/>
  <c r="AK15" i="8"/>
  <c r="AI24" i="3"/>
  <c r="AI24" i="33" s="1"/>
  <c r="B162" i="34"/>
  <c r="AI5" i="32"/>
  <c r="AI155" i="32" s="1"/>
  <c r="B160" i="31"/>
  <c r="AI160" i="3"/>
  <c r="AH138" i="32"/>
  <c r="AH119" i="32"/>
  <c r="AH100" i="32"/>
  <c r="AH62" i="32"/>
  <c r="AH43" i="32"/>
  <c r="AH24" i="32"/>
  <c r="AI53" i="10" l="1"/>
  <c r="AI71" i="10" s="1"/>
  <c r="AI16" i="10"/>
  <c r="AI21" i="10" s="1"/>
  <c r="AG19" i="58"/>
  <c r="F28" i="100"/>
  <c r="F47" i="100" s="1"/>
  <c r="AJ44" i="31"/>
  <c r="AJ44" i="33"/>
  <c r="AJ63" i="32"/>
  <c r="AJ101" i="33"/>
  <c r="AJ101" i="31"/>
  <c r="AJ139" i="33"/>
  <c r="AJ139" i="31"/>
  <c r="AJ139" i="32"/>
  <c r="AJ63" i="31"/>
  <c r="AJ63" i="33"/>
  <c r="AJ120" i="33"/>
  <c r="AJ120" i="31"/>
  <c r="AJ25" i="31"/>
  <c r="AJ25" i="33"/>
  <c r="AJ44" i="32"/>
  <c r="AK14" i="8"/>
  <c r="AI100" i="32"/>
  <c r="AI24" i="32"/>
  <c r="AI43" i="32"/>
  <c r="AI62" i="32"/>
  <c r="AI119" i="32"/>
  <c r="AI138" i="32"/>
  <c r="AH69" i="10"/>
  <c r="AH64" i="10"/>
  <c r="F37" i="99"/>
  <c r="AH63" i="10"/>
  <c r="AH62" i="10"/>
  <c r="AH61" i="10"/>
  <c r="AH60" i="10"/>
  <c r="AH59" i="10"/>
  <c r="AH58" i="10"/>
  <c r="AH57" i="10"/>
  <c r="AH56" i="10"/>
  <c r="AH55" i="10"/>
  <c r="AH50" i="10"/>
  <c r="AH15" i="10" s="1"/>
  <c r="AH49" i="10"/>
  <c r="AH14" i="10" s="1"/>
  <c r="AH48" i="10"/>
  <c r="AH13" i="10" s="1"/>
  <c r="AH45" i="10"/>
  <c r="AH12" i="10" s="1"/>
  <c r="AH44" i="10"/>
  <c r="AH42" i="10"/>
  <c r="AH41" i="10"/>
  <c r="AH40" i="10"/>
  <c r="AH39" i="10"/>
  <c r="AH38" i="10"/>
  <c r="AH37" i="10"/>
  <c r="AH34" i="10"/>
  <c r="AH32" i="10"/>
  <c r="AH31" i="10"/>
  <c r="AD44" i="10"/>
  <c r="AE44" i="10"/>
  <c r="AF44" i="10"/>
  <c r="AG69" i="10"/>
  <c r="AG63" i="10"/>
  <c r="AG62" i="10"/>
  <c r="AG61" i="10"/>
  <c r="AG60" i="10"/>
  <c r="AG59" i="10"/>
  <c r="AG56" i="10"/>
  <c r="AG42" i="10"/>
  <c r="AG41" i="10"/>
  <c r="AG40" i="10"/>
  <c r="AG39" i="10"/>
  <c r="AG38" i="10"/>
  <c r="AG34" i="10"/>
  <c r="AG32" i="10"/>
  <c r="C9" i="99"/>
  <c r="D9" i="99"/>
  <c r="E9" i="99"/>
  <c r="E27" i="99" s="1"/>
  <c r="F10" i="99"/>
  <c r="F9" i="99" s="1"/>
  <c r="F11" i="99"/>
  <c r="H11" i="99"/>
  <c r="I11" i="99"/>
  <c r="F12" i="99"/>
  <c r="H12" i="99"/>
  <c r="I12" i="99"/>
  <c r="C13" i="99"/>
  <c r="D13" i="99"/>
  <c r="E13" i="99"/>
  <c r="F14" i="99"/>
  <c r="H14" i="99"/>
  <c r="I14" i="99"/>
  <c r="F15" i="99"/>
  <c r="H15" i="99"/>
  <c r="I15" i="99"/>
  <c r="F16" i="99"/>
  <c r="H16" i="99"/>
  <c r="I16" i="99" s="1"/>
  <c r="B17" i="99"/>
  <c r="C17" i="99"/>
  <c r="D17" i="99"/>
  <c r="E17" i="99"/>
  <c r="F18" i="99"/>
  <c r="F17" i="99" s="1"/>
  <c r="H17" i="99" s="1"/>
  <c r="I17" i="99" s="1"/>
  <c r="F20" i="99"/>
  <c r="F21" i="99"/>
  <c r="H21" i="99" s="1"/>
  <c r="I21" i="99" s="1"/>
  <c r="F22" i="99"/>
  <c r="F23" i="99"/>
  <c r="H23" i="99"/>
  <c r="I23" i="99"/>
  <c r="F24" i="99"/>
  <c r="H24" i="99"/>
  <c r="I24" i="99"/>
  <c r="F25" i="99"/>
  <c r="H25" i="99"/>
  <c r="I25" i="99"/>
  <c r="F26" i="99"/>
  <c r="H26" i="99"/>
  <c r="I26" i="99"/>
  <c r="C27" i="99"/>
  <c r="K31" i="99"/>
  <c r="F32" i="99"/>
  <c r="H32" i="99"/>
  <c r="I32" i="99"/>
  <c r="B33" i="99"/>
  <c r="F33" i="99" s="1"/>
  <c r="H33" i="99" s="1"/>
  <c r="I33" i="99" s="1"/>
  <c r="C33" i="99"/>
  <c r="C44" i="99" s="1"/>
  <c r="D33" i="99"/>
  <c r="D44" i="99" s="1"/>
  <c r="E33" i="99"/>
  <c r="E44" i="99" s="1"/>
  <c r="F34" i="99"/>
  <c r="F35" i="99"/>
  <c r="F36" i="99"/>
  <c r="H36" i="99"/>
  <c r="I36" i="99"/>
  <c r="B37" i="99"/>
  <c r="C37" i="99"/>
  <c r="D37" i="99"/>
  <c r="E37" i="99"/>
  <c r="F38" i="99"/>
  <c r="H37" i="99" s="1"/>
  <c r="I37" i="99" s="1"/>
  <c r="F39" i="99"/>
  <c r="F40" i="99"/>
  <c r="F41" i="99"/>
  <c r="F42" i="99"/>
  <c r="F43" i="99"/>
  <c r="F48" i="99"/>
  <c r="H48" i="99"/>
  <c r="I48" i="99"/>
  <c r="D9" i="98"/>
  <c r="E9" i="98"/>
  <c r="F11" i="98"/>
  <c r="H11" i="98" s="1"/>
  <c r="I11" i="98" s="1"/>
  <c r="F12" i="98"/>
  <c r="H12" i="98" s="1"/>
  <c r="I12" i="98" s="1"/>
  <c r="F14" i="98"/>
  <c r="F15" i="98"/>
  <c r="H15" i="98" s="1"/>
  <c r="I15" i="98" s="1"/>
  <c r="F16" i="98"/>
  <c r="H16" i="98" s="1"/>
  <c r="I16" i="98" s="1"/>
  <c r="B17" i="98"/>
  <c r="C17" i="98"/>
  <c r="E17" i="98"/>
  <c r="E13" i="98" s="1"/>
  <c r="F18" i="98"/>
  <c r="D17" i="98"/>
  <c r="D13" i="98" s="1"/>
  <c r="F20" i="98"/>
  <c r="F21" i="98"/>
  <c r="H21" i="98" s="1"/>
  <c r="I21" i="98" s="1"/>
  <c r="F22" i="98"/>
  <c r="AG44" i="10" s="1"/>
  <c r="F23" i="98"/>
  <c r="H23" i="98" s="1"/>
  <c r="I23" i="98" s="1"/>
  <c r="F24" i="98"/>
  <c r="H24" i="98" s="1"/>
  <c r="I24" i="98" s="1"/>
  <c r="F25" i="98"/>
  <c r="H25" i="98" s="1"/>
  <c r="I25" i="98" s="1"/>
  <c r="F26" i="98"/>
  <c r="AG50" i="10" s="1"/>
  <c r="AG15" i="10" s="1"/>
  <c r="H26" i="98"/>
  <c r="I26" i="98" s="1"/>
  <c r="F32" i="98"/>
  <c r="H32" i="98" s="1"/>
  <c r="I32" i="98" s="1"/>
  <c r="B33" i="98"/>
  <c r="C33" i="98"/>
  <c r="D33" i="98"/>
  <c r="E33" i="98"/>
  <c r="F34" i="98"/>
  <c r="F35" i="98"/>
  <c r="AG57" i="10" s="1"/>
  <c r="F36" i="98"/>
  <c r="H36" i="98" s="1"/>
  <c r="I36" i="98" s="1"/>
  <c r="B37" i="98"/>
  <c r="C37" i="98"/>
  <c r="F38" i="98"/>
  <c r="F37" i="98" s="1"/>
  <c r="H37" i="98" s="1"/>
  <c r="I37" i="98" s="1"/>
  <c r="E37" i="98"/>
  <c r="F39" i="98"/>
  <c r="F40" i="98"/>
  <c r="F41" i="98"/>
  <c r="F42" i="98"/>
  <c r="F47" i="98"/>
  <c r="H47" i="98" s="1"/>
  <c r="I47" i="98" s="1"/>
  <c r="AH33" i="10" l="1"/>
  <c r="AH11" i="10" s="1"/>
  <c r="AH29" i="10"/>
  <c r="AH10" i="10" s="1"/>
  <c r="H10" i="99"/>
  <c r="I10" i="99" s="1"/>
  <c r="D27" i="99"/>
  <c r="AG37" i="10"/>
  <c r="AG33" i="10" s="1"/>
  <c r="AG11" i="10" s="1"/>
  <c r="AG55" i="10"/>
  <c r="AG48" i="10"/>
  <c r="AG13" i="10" s="1"/>
  <c r="AG58" i="10"/>
  <c r="F17" i="98"/>
  <c r="H17" i="98" s="1"/>
  <c r="I17" i="98" s="1"/>
  <c r="AG45" i="10"/>
  <c r="AG12" i="10" s="1"/>
  <c r="AG49" i="10"/>
  <c r="AG14" i="10" s="1"/>
  <c r="AG31" i="10"/>
  <c r="AH18" i="10"/>
  <c r="F44" i="99"/>
  <c r="H44" i="99" s="1"/>
  <c r="H9" i="99"/>
  <c r="I9" i="99" s="1"/>
  <c r="F13" i="99"/>
  <c r="H13" i="99" s="1"/>
  <c r="I13" i="99" s="1"/>
  <c r="B44" i="99"/>
  <c r="F33" i="98"/>
  <c r="H33" i="98" s="1"/>
  <c r="I33" i="98" s="1"/>
  <c r="H14" i="98"/>
  <c r="I14" i="98" s="1"/>
  <c r="E43" i="98"/>
  <c r="B43" i="98"/>
  <c r="E27" i="98"/>
  <c r="C43" i="98"/>
  <c r="D27" i="98"/>
  <c r="F10" i="98"/>
  <c r="AG29" i="10" s="1"/>
  <c r="AG10" i="10" s="1"/>
  <c r="C13" i="98"/>
  <c r="D37" i="98"/>
  <c r="D43" i="98" s="1"/>
  <c r="C9" i="98"/>
  <c r="C27" i="98" s="1"/>
  <c r="F27" i="96"/>
  <c r="F22" i="96"/>
  <c r="F13" i="96" s="1"/>
  <c r="F22" i="94"/>
  <c r="F13" i="94"/>
  <c r="F27" i="94" s="1"/>
  <c r="F27" i="97"/>
  <c r="F13" i="97"/>
  <c r="F22" i="97"/>
  <c r="AH16" i="10" l="1"/>
  <c r="AH21" i="10" s="1"/>
  <c r="AI22" i="10" s="1"/>
  <c r="AG28" i="10"/>
  <c r="AG53" i="10" s="1"/>
  <c r="AG71" i="10" s="1"/>
  <c r="AH28" i="10"/>
  <c r="AH53" i="10" s="1"/>
  <c r="AH71" i="10" s="1"/>
  <c r="AI72" i="10" s="1"/>
  <c r="AG16" i="10"/>
  <c r="AG18" i="10"/>
  <c r="F13" i="98"/>
  <c r="F27" i="99"/>
  <c r="I44" i="99"/>
  <c r="F43" i="98"/>
  <c r="H43" i="98" s="1"/>
  <c r="F9" i="98"/>
  <c r="H10" i="98"/>
  <c r="I10" i="98" s="1"/>
  <c r="A20" i="8"/>
  <c r="Z9" i="87"/>
  <c r="Z6" i="87"/>
  <c r="Z5" i="87"/>
  <c r="Z4" i="87"/>
  <c r="Z1" i="87"/>
  <c r="AH112" i="10"/>
  <c r="AH103" i="10"/>
  <c r="AH101" i="10"/>
  <c r="AG21" i="10" l="1"/>
  <c r="F27" i="98"/>
  <c r="H13" i="98"/>
  <c r="I13" i="98" s="1"/>
  <c r="F46" i="99"/>
  <c r="H27" i="99"/>
  <c r="I43" i="98"/>
  <c r="H9" i="98"/>
  <c r="I9" i="98" s="1"/>
  <c r="Z156" i="3"/>
  <c r="Y156" i="3"/>
  <c r="X156" i="3"/>
  <c r="AL155" i="3"/>
  <c r="AI155" i="3"/>
  <c r="AH6" i="3"/>
  <c r="AH6" i="33" s="1"/>
  <c r="AH156" i="33" s="1"/>
  <c r="AG6" i="3"/>
  <c r="F6" i="88"/>
  <c r="E6" i="88"/>
  <c r="D6" i="88"/>
  <c r="A948" i="88"/>
  <c r="A949" i="88"/>
  <c r="A950" i="88"/>
  <c r="A951" i="88"/>
  <c r="A952" i="88"/>
  <c r="AI138" i="3"/>
  <c r="AI119" i="3"/>
  <c r="AI119" i="33" s="1"/>
  <c r="AI100" i="3"/>
  <c r="AI100" i="33" s="1"/>
  <c r="AE16" i="58"/>
  <c r="AD16" i="58"/>
  <c r="AE13" i="58"/>
  <c r="AD13" i="58"/>
  <c r="AE12" i="58"/>
  <c r="AD12" i="58"/>
  <c r="AE11" i="58"/>
  <c r="AD11" i="58"/>
  <c r="AE10" i="58"/>
  <c r="AD10" i="58"/>
  <c r="AE9" i="58"/>
  <c r="AD9" i="58"/>
  <c r="AE8" i="58"/>
  <c r="AD8" i="58"/>
  <c r="AE6" i="58"/>
  <c r="AD6" i="58"/>
  <c r="AG81" i="33"/>
  <c r="AG5" i="33"/>
  <c r="AG5" i="32"/>
  <c r="AI82" i="31"/>
  <c r="AH82" i="31"/>
  <c r="AI81" i="31"/>
  <c r="AI5" i="31"/>
  <c r="AI119" i="31" s="1"/>
  <c r="AI62" i="3"/>
  <c r="AI62" i="33" s="1"/>
  <c r="AI43" i="3"/>
  <c r="AI43" i="33" s="1"/>
  <c r="AI6" i="33"/>
  <c r="AI156" i="33" s="1"/>
  <c r="AH160" i="3"/>
  <c r="AE14" i="58" l="1"/>
  <c r="AI155" i="31"/>
  <c r="AI155" i="33"/>
  <c r="AI63" i="3"/>
  <c r="AI120" i="3"/>
  <c r="AI120" i="33" s="1"/>
  <c r="AI25" i="32"/>
  <c r="AI101" i="3"/>
  <c r="AI101" i="33" s="1"/>
  <c r="AI120" i="32"/>
  <c r="AI6" i="32"/>
  <c r="AI156" i="32" s="1"/>
  <c r="AI139" i="3"/>
  <c r="AI101" i="32"/>
  <c r="AG43" i="32"/>
  <c r="AG100" i="32"/>
  <c r="AG62" i="32"/>
  <c r="AG120" i="3"/>
  <c r="AG139" i="3"/>
  <c r="AG101" i="3"/>
  <c r="AH120" i="3"/>
  <c r="AH120" i="33" s="1"/>
  <c r="AH139" i="3"/>
  <c r="AH101" i="3"/>
  <c r="AH101" i="33" s="1"/>
  <c r="AG101" i="32"/>
  <c r="AH44" i="3"/>
  <c r="AH44" i="33" s="1"/>
  <c r="AH120" i="32"/>
  <c r="AH25" i="32"/>
  <c r="AH101" i="32"/>
  <c r="AH6" i="32"/>
  <c r="AH156" i="32" s="1"/>
  <c r="I27" i="99"/>
  <c r="H46" i="99"/>
  <c r="I46" i="99" s="1"/>
  <c r="H27" i="98"/>
  <c r="F45" i="98"/>
  <c r="AG156" i="3"/>
  <c r="AD14" i="58"/>
  <c r="AD18" i="58" s="1"/>
  <c r="AH156" i="3"/>
  <c r="AI156" i="3"/>
  <c r="AE18" i="58"/>
  <c r="AH63" i="3"/>
  <c r="AH6" i="31"/>
  <c r="AH156" i="31" s="1"/>
  <c r="AH25" i="3"/>
  <c r="AH25" i="33" s="1"/>
  <c r="AI6" i="31"/>
  <c r="AI156" i="31" s="1"/>
  <c r="AG138" i="32"/>
  <c r="AG24" i="32"/>
  <c r="AG119" i="32"/>
  <c r="AI62" i="31"/>
  <c r="AI24" i="31"/>
  <c r="AI43" i="31"/>
  <c r="AI138" i="31"/>
  <c r="AI100" i="31"/>
  <c r="AI44" i="3"/>
  <c r="AI44" i="33" s="1"/>
  <c r="AI25" i="3"/>
  <c r="AI25" i="33" s="1"/>
  <c r="Y9" i="87"/>
  <c r="Y6" i="87"/>
  <c r="Y5" i="87"/>
  <c r="Y4" i="87"/>
  <c r="Y1" i="87"/>
  <c r="AF63" i="10"/>
  <c r="AF40" i="10"/>
  <c r="AF38" i="10"/>
  <c r="AF37" i="10"/>
  <c r="AF31" i="10"/>
  <c r="AF32" i="10"/>
  <c r="AF42" i="10"/>
  <c r="AF59" i="10"/>
  <c r="AF61" i="10"/>
  <c r="AF62" i="10"/>
  <c r="AF69" i="10"/>
  <c r="AH139" i="32" l="1"/>
  <c r="AH139" i="33"/>
  <c r="AH63" i="31"/>
  <c r="AH63" i="33"/>
  <c r="AI63" i="31"/>
  <c r="AI63" i="33"/>
  <c r="AI139" i="32"/>
  <c r="AI139" i="33"/>
  <c r="AI25" i="31"/>
  <c r="AI44" i="32"/>
  <c r="AI44" i="31"/>
  <c r="AI63" i="32"/>
  <c r="AH139" i="31"/>
  <c r="AH44" i="31"/>
  <c r="AH63" i="32"/>
  <c r="AH25" i="31"/>
  <c r="AH44" i="32"/>
  <c r="I27" i="98"/>
  <c r="H45" i="98"/>
  <c r="I45" i="98" s="1"/>
  <c r="AF39" i="10"/>
  <c r="AF58" i="10"/>
  <c r="AF56" i="10"/>
  <c r="AF45" i="10"/>
  <c r="AF12" i="10" s="1"/>
  <c r="AF57" i="10"/>
  <c r="AF60" i="10"/>
  <c r="AF49" i="10"/>
  <c r="AF14" i="10" s="1"/>
  <c r="AF50" i="10"/>
  <c r="AF41" i="10"/>
  <c r="AE19" i="58"/>
  <c r="AF29" i="10"/>
  <c r="AF10" i="10" s="1"/>
  <c r="AF55" i="10"/>
  <c r="AF34" i="10"/>
  <c r="AF33" i="10" l="1"/>
  <c r="AF11" i="10" s="1"/>
  <c r="AF28" i="10"/>
  <c r="AF18" i="10"/>
  <c r="AF15" i="10"/>
  <c r="AF48" i="10"/>
  <c r="AF13" i="10" s="1"/>
  <c r="AF16" i="10" l="1"/>
  <c r="AF21" i="10" s="1"/>
  <c r="AG22" i="10" s="1"/>
  <c r="AF53" i="10"/>
  <c r="AF71" i="10" s="1"/>
  <c r="AG72" i="10" s="1"/>
  <c r="AG160" i="3" l="1"/>
  <c r="X9" i="87"/>
  <c r="X6" i="87"/>
  <c r="X5" i="87"/>
  <c r="X4" i="87"/>
  <c r="X1" i="87"/>
  <c r="B136" i="3" l="1"/>
  <c r="B136" i="35" l="1"/>
  <c r="B136" i="34"/>
  <c r="B136" i="32"/>
  <c r="B136" i="31"/>
  <c r="B136" i="33"/>
  <c r="B4" i="35" l="1"/>
  <c r="B4" i="33"/>
  <c r="A23" i="8" l="1"/>
  <c r="B164" i="35"/>
  <c r="B163" i="34"/>
  <c r="B166" i="33"/>
  <c r="B170" i="31"/>
  <c r="A25" i="58"/>
  <c r="B4" i="31" l="1"/>
  <c r="AE63" i="10" l="1"/>
  <c r="AE62" i="10"/>
  <c r="AE61" i="10"/>
  <c r="AE60" i="10"/>
  <c r="AE59" i="10"/>
  <c r="AE58" i="10"/>
  <c r="AE57" i="10"/>
  <c r="AE40" i="10"/>
  <c r="AE32" i="10"/>
  <c r="AE29" i="10"/>
  <c r="F47" i="96"/>
  <c r="H47" i="96" s="1"/>
  <c r="I47" i="96" s="1"/>
  <c r="B43" i="96"/>
  <c r="F37" i="96"/>
  <c r="H37" i="96" s="1"/>
  <c r="I37" i="96" s="1"/>
  <c r="E37" i="96"/>
  <c r="D37" i="96"/>
  <c r="C37" i="96"/>
  <c r="F36" i="96"/>
  <c r="H36" i="96" s="1"/>
  <c r="I36" i="96" s="1"/>
  <c r="F35" i="96"/>
  <c r="F34" i="96"/>
  <c r="AE56" i="10" s="1"/>
  <c r="E33" i="96"/>
  <c r="D33" i="96"/>
  <c r="D43" i="96" s="1"/>
  <c r="C33" i="96"/>
  <c r="C43" i="96" s="1"/>
  <c r="F32" i="96"/>
  <c r="H32" i="96" s="1"/>
  <c r="I32" i="96" s="1"/>
  <c r="F26" i="96"/>
  <c r="H26" i="96" s="1"/>
  <c r="I26" i="96" s="1"/>
  <c r="F25" i="96"/>
  <c r="H25" i="96" s="1"/>
  <c r="I25" i="96" s="1"/>
  <c r="F24" i="96"/>
  <c r="AE45" i="10" s="1"/>
  <c r="AE12" i="10" s="1"/>
  <c r="F23" i="96"/>
  <c r="H23" i="96" s="1"/>
  <c r="I23" i="96" s="1"/>
  <c r="F21" i="96"/>
  <c r="H21" i="96" s="1"/>
  <c r="I21" i="96" s="1"/>
  <c r="F20" i="96"/>
  <c r="AE41" i="10" s="1"/>
  <c r="F18" i="96"/>
  <c r="AE39" i="10" s="1"/>
  <c r="B17" i="96"/>
  <c r="F16" i="96"/>
  <c r="H16" i="96" s="1"/>
  <c r="I16" i="96" s="1"/>
  <c r="F15" i="96"/>
  <c r="AE37" i="10" s="1"/>
  <c r="H14" i="96"/>
  <c r="I14" i="96" s="1"/>
  <c r="F14" i="96"/>
  <c r="AE34" i="10" s="1"/>
  <c r="E13" i="96"/>
  <c r="D13" i="96"/>
  <c r="C13" i="96"/>
  <c r="F12" i="96"/>
  <c r="H12" i="96" s="1"/>
  <c r="I12" i="96" s="1"/>
  <c r="F11" i="96"/>
  <c r="H11" i="96" s="1"/>
  <c r="I11" i="96" s="1"/>
  <c r="F10" i="96"/>
  <c r="F9" i="96" s="1"/>
  <c r="E9" i="96"/>
  <c r="E27" i="96" s="1"/>
  <c r="D9" i="96"/>
  <c r="C9" i="96"/>
  <c r="C27" i="96" s="1"/>
  <c r="D27" i="96" l="1"/>
  <c r="AE31" i="10"/>
  <c r="AE10" i="10" s="1"/>
  <c r="AE42" i="10"/>
  <c r="H24" i="96"/>
  <c r="I24" i="96" s="1"/>
  <c r="AE49" i="10"/>
  <c r="AE14" i="10" s="1"/>
  <c r="AE48" i="10"/>
  <c r="AE13" i="10" s="1"/>
  <c r="AE38" i="10"/>
  <c r="AE50" i="10"/>
  <c r="AE15" i="10" s="1"/>
  <c r="F33" i="96"/>
  <c r="H33" i="96" s="1"/>
  <c r="I33" i="96" s="1"/>
  <c r="F17" i="96"/>
  <c r="H17" i="96" s="1"/>
  <c r="I17" i="96" s="1"/>
  <c r="AE55" i="10"/>
  <c r="AE18" i="10" s="1"/>
  <c r="AE69" i="10"/>
  <c r="H9" i="96"/>
  <c r="I9" i="96" s="1"/>
  <c r="E43" i="96"/>
  <c r="H15" i="96"/>
  <c r="I15" i="96" s="1"/>
  <c r="F43" i="96"/>
  <c r="H43" i="96" s="1"/>
  <c r="H10" i="96"/>
  <c r="I10" i="96" s="1"/>
  <c r="AE28" i="10" l="1"/>
  <c r="AE33" i="10"/>
  <c r="AE11" i="10" s="1"/>
  <c r="AE16" i="10" s="1"/>
  <c r="AE21" i="10" s="1"/>
  <c r="AE53" i="10"/>
  <c r="AE71" i="10" s="1"/>
  <c r="I43" i="96"/>
  <c r="H13" i="96" l="1"/>
  <c r="I13" i="96" s="1"/>
  <c r="A21" i="8"/>
  <c r="F45" i="96" l="1"/>
  <c r="H27" i="96"/>
  <c r="AF81" i="33"/>
  <c r="AE81" i="33"/>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C8" i="8"/>
  <c r="K11" i="88"/>
  <c r="I27" i="96" l="1"/>
  <c r="H45" i="96"/>
  <c r="I45" i="96" s="1"/>
  <c r="B164" i="33"/>
  <c r="B162" i="35"/>
  <c r="B165" i="31"/>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C9" i="8"/>
  <c r="AI8" i="8"/>
  <c r="AJ15" i="8" s="1"/>
  <c r="AH8" i="8"/>
  <c r="AG8" i="8"/>
  <c r="AF8" i="8"/>
  <c r="AE8" i="8"/>
  <c r="AD8" i="8"/>
  <c r="AC8" i="8"/>
  <c r="E1294" i="92" s="1"/>
  <c r="AB8" i="8"/>
  <c r="E1293" i="92" s="1"/>
  <c r="AA8" i="8"/>
  <c r="Z8" i="8"/>
  <c r="E1287" i="92" s="1"/>
  <c r="Y8" i="8"/>
  <c r="E1286" i="92" s="1"/>
  <c r="X8" i="8"/>
  <c r="W8" i="8"/>
  <c r="V8" i="8"/>
  <c r="E1283" i="92" s="1"/>
  <c r="U8" i="8"/>
  <c r="T8" i="8"/>
  <c r="E1281" i="92" s="1"/>
  <c r="S8" i="8"/>
  <c r="E1280" i="92" s="1"/>
  <c r="R8" i="8"/>
  <c r="E1279" i="92" s="1"/>
  <c r="Q8" i="8"/>
  <c r="E1278" i="92" s="1"/>
  <c r="P8" i="8"/>
  <c r="E1277" i="92" s="1"/>
  <c r="O8" i="8"/>
  <c r="N8" i="8"/>
  <c r="E1275" i="92" s="1"/>
  <c r="M8" i="8"/>
  <c r="L8" i="8"/>
  <c r="E1273" i="92" s="1"/>
  <c r="K8" i="8"/>
  <c r="E1272" i="92" s="1"/>
  <c r="J8" i="8"/>
  <c r="E1271" i="92" s="1"/>
  <c r="I8" i="8"/>
  <c r="E1270" i="92" s="1"/>
  <c r="H8" i="8"/>
  <c r="G8" i="8"/>
  <c r="F8" i="8"/>
  <c r="E1267" i="92" s="1"/>
  <c r="E8" i="8"/>
  <c r="E1266" i="92" s="1"/>
  <c r="D8" i="8"/>
  <c r="E1265" i="92" s="1"/>
  <c r="B8" i="8"/>
  <c r="AI7" i="8"/>
  <c r="AJ14" i="8" s="1"/>
  <c r="AH7" i="8"/>
  <c r="AG7" i="8"/>
  <c r="AF7" i="8"/>
  <c r="AE7" i="8"/>
  <c r="AD7" i="8"/>
  <c r="AC7" i="8"/>
  <c r="AB7" i="8"/>
  <c r="AA7" i="8"/>
  <c r="Z7" i="8"/>
  <c r="Y7" i="8"/>
  <c r="X7" i="8"/>
  <c r="W7" i="8"/>
  <c r="V7" i="8"/>
  <c r="E1251" i="92" s="1"/>
  <c r="U7" i="8"/>
  <c r="T7" i="8"/>
  <c r="S7" i="8"/>
  <c r="R7" i="8"/>
  <c r="Q7" i="8"/>
  <c r="E1246" i="92" s="1"/>
  <c r="P7" i="8"/>
  <c r="O7" i="8"/>
  <c r="N7" i="8"/>
  <c r="E1243" i="92" s="1"/>
  <c r="M7" i="8"/>
  <c r="L7" i="8"/>
  <c r="K7" i="8"/>
  <c r="J7" i="8"/>
  <c r="I7" i="8"/>
  <c r="E1238" i="92" s="1"/>
  <c r="H7" i="8"/>
  <c r="G7" i="8"/>
  <c r="F7" i="8"/>
  <c r="E7" i="8"/>
  <c r="D7" i="8"/>
  <c r="C7" i="8"/>
  <c r="B7" i="8"/>
  <c r="C5" i="8"/>
  <c r="D5" i="8" s="1"/>
  <c r="A1" i="8"/>
  <c r="B161" i="35"/>
  <c r="B160" i="35"/>
  <c r="B117" i="35"/>
  <c r="B98" i="35"/>
  <c r="AD82" i="35"/>
  <c r="AC82" i="35"/>
  <c r="AB82" i="35"/>
  <c r="AA82" i="35"/>
  <c r="Z82" i="35"/>
  <c r="Y82" i="35"/>
  <c r="AD81" i="35"/>
  <c r="B79" i="35"/>
  <c r="B60" i="35"/>
  <c r="S44" i="35"/>
  <c r="R44" i="35"/>
  <c r="Q44" i="35"/>
  <c r="P44" i="35"/>
  <c r="O44" i="35"/>
  <c r="N44" i="35"/>
  <c r="M44" i="35"/>
  <c r="L44" i="35"/>
  <c r="K44" i="35"/>
  <c r="J44" i="35"/>
  <c r="I44" i="35"/>
  <c r="H44" i="35"/>
  <c r="G44" i="35"/>
  <c r="F44" i="35"/>
  <c r="E44" i="35"/>
  <c r="D44" i="35"/>
  <c r="C44" i="35"/>
  <c r="B41" i="35"/>
  <c r="B22" i="35"/>
  <c r="B20" i="35"/>
  <c r="B77" i="35" s="1"/>
  <c r="B19" i="35"/>
  <c r="B95" i="35" s="1"/>
  <c r="Z6" i="35"/>
  <c r="Z156" i="35" s="1"/>
  <c r="Y6" i="35"/>
  <c r="Y156" i="35" s="1"/>
  <c r="X6" i="35"/>
  <c r="W6" i="35"/>
  <c r="V6" i="35"/>
  <c r="U6" i="35"/>
  <c r="T6" i="35"/>
  <c r="S6" i="35"/>
  <c r="R6" i="35"/>
  <c r="Q6" i="35"/>
  <c r="P6" i="35"/>
  <c r="O6" i="35"/>
  <c r="N6" i="35"/>
  <c r="M6" i="35"/>
  <c r="L6" i="35"/>
  <c r="K6" i="35"/>
  <c r="J6" i="35"/>
  <c r="I6" i="35"/>
  <c r="H6" i="35"/>
  <c r="G6" i="35"/>
  <c r="F6" i="35"/>
  <c r="E6" i="35"/>
  <c r="D6" i="35"/>
  <c r="C6" i="35"/>
  <c r="AD5" i="35"/>
  <c r="B80" i="35"/>
  <c r="B3" i="35"/>
  <c r="B1" i="35"/>
  <c r="B161" i="34"/>
  <c r="B160" i="34"/>
  <c r="B137" i="34"/>
  <c r="B118" i="34"/>
  <c r="B117" i="34"/>
  <c r="B99" i="34"/>
  <c r="B98" i="34"/>
  <c r="AD81" i="34"/>
  <c r="AC81" i="34"/>
  <c r="B80" i="34"/>
  <c r="B79" i="34"/>
  <c r="B61" i="34"/>
  <c r="B60" i="34"/>
  <c r="S44" i="34"/>
  <c r="R44" i="34"/>
  <c r="Q44" i="34"/>
  <c r="P44" i="34"/>
  <c r="O44" i="34"/>
  <c r="N44" i="34"/>
  <c r="M44" i="34"/>
  <c r="L44" i="34"/>
  <c r="K44" i="34"/>
  <c r="J44" i="34"/>
  <c r="I44" i="34"/>
  <c r="H44" i="34"/>
  <c r="G44" i="34"/>
  <c r="F44" i="34"/>
  <c r="E44" i="34"/>
  <c r="D44" i="34"/>
  <c r="C44" i="34"/>
  <c r="B42" i="34"/>
  <c r="B41" i="34"/>
  <c r="B23" i="34"/>
  <c r="B22" i="34"/>
  <c r="B20" i="34"/>
  <c r="B115" i="34" s="1"/>
  <c r="B19" i="34"/>
  <c r="B133" i="34" s="1"/>
  <c r="Z6" i="34"/>
  <c r="Z155" i="34" s="1"/>
  <c r="Y6" i="34"/>
  <c r="Y155" i="34" s="1"/>
  <c r="X6" i="34"/>
  <c r="W6" i="34"/>
  <c r="W139" i="34" s="1"/>
  <c r="V6" i="34"/>
  <c r="U6" i="34"/>
  <c r="T6" i="34"/>
  <c r="S6" i="34"/>
  <c r="R6" i="34"/>
  <c r="Q6" i="34"/>
  <c r="P6" i="34"/>
  <c r="O6" i="34"/>
  <c r="N6" i="34"/>
  <c r="M6" i="34"/>
  <c r="L6" i="34"/>
  <c r="K6" i="34"/>
  <c r="J6" i="34"/>
  <c r="I6" i="34"/>
  <c r="H6" i="34"/>
  <c r="G6" i="34"/>
  <c r="F6" i="34"/>
  <c r="E6" i="34"/>
  <c r="D6" i="34"/>
  <c r="C6" i="34"/>
  <c r="AD5" i="34"/>
  <c r="AC5" i="34"/>
  <c r="B3" i="34"/>
  <c r="B1" i="34"/>
  <c r="B163" i="33"/>
  <c r="B162" i="33"/>
  <c r="U138" i="33"/>
  <c r="Z119" i="33"/>
  <c r="Y119" i="33"/>
  <c r="X119" i="33"/>
  <c r="W119" i="33"/>
  <c r="V119" i="33"/>
  <c r="U119" i="33"/>
  <c r="B117" i="33"/>
  <c r="Z100" i="33"/>
  <c r="Y100" i="33"/>
  <c r="X100" i="33"/>
  <c r="W100" i="33"/>
  <c r="V100" i="33"/>
  <c r="U100" i="33"/>
  <c r="B98" i="33"/>
  <c r="AD81" i="33"/>
  <c r="AC81" i="33"/>
  <c r="AB81" i="33"/>
  <c r="AA81" i="33"/>
  <c r="Z81" i="33"/>
  <c r="Y81" i="33"/>
  <c r="X81" i="33"/>
  <c r="W81" i="33"/>
  <c r="V81" i="33"/>
  <c r="U81" i="33"/>
  <c r="B79" i="33"/>
  <c r="V62" i="33"/>
  <c r="U62" i="33"/>
  <c r="B60" i="33"/>
  <c r="S44" i="33"/>
  <c r="R44" i="33"/>
  <c r="Q44" i="33"/>
  <c r="P44" i="33"/>
  <c r="O44" i="33"/>
  <c r="N44" i="33"/>
  <c r="M44" i="33"/>
  <c r="L44" i="33"/>
  <c r="K44" i="33"/>
  <c r="J44" i="33"/>
  <c r="I44" i="33"/>
  <c r="H44" i="33"/>
  <c r="G44" i="33"/>
  <c r="F44" i="33"/>
  <c r="E44" i="33"/>
  <c r="D44" i="33"/>
  <c r="C44" i="33"/>
  <c r="Z43" i="33"/>
  <c r="V43" i="33"/>
  <c r="U43" i="33"/>
  <c r="B41" i="33"/>
  <c r="Z24" i="33"/>
  <c r="V24" i="33"/>
  <c r="U24" i="33"/>
  <c r="B22" i="33"/>
  <c r="B20" i="33"/>
  <c r="B153" i="33" s="1"/>
  <c r="B19" i="33"/>
  <c r="B57" i="33" s="1"/>
  <c r="Z6" i="33"/>
  <c r="Z156" i="33" s="1"/>
  <c r="Y6" i="33"/>
  <c r="Y156" i="33" s="1"/>
  <c r="X6" i="33"/>
  <c r="X156" i="33" s="1"/>
  <c r="W6" i="33"/>
  <c r="V6" i="33"/>
  <c r="U6" i="33"/>
  <c r="T6" i="33"/>
  <c r="S6" i="33"/>
  <c r="R6" i="33"/>
  <c r="Q6" i="33"/>
  <c r="P6" i="33"/>
  <c r="O6" i="33"/>
  <c r="N6" i="33"/>
  <c r="M6" i="33"/>
  <c r="L6" i="33"/>
  <c r="K6" i="33"/>
  <c r="J6" i="33"/>
  <c r="I6" i="33"/>
  <c r="H6" i="33"/>
  <c r="G6" i="33"/>
  <c r="F6" i="33"/>
  <c r="E6" i="33"/>
  <c r="D6" i="33"/>
  <c r="C6" i="33"/>
  <c r="AD5" i="33"/>
  <c r="AC5" i="33"/>
  <c r="AB5" i="33"/>
  <c r="AA5" i="33"/>
  <c r="Z5" i="33"/>
  <c r="Y5" i="33"/>
  <c r="X5" i="33"/>
  <c r="W5" i="33"/>
  <c r="V5" i="33"/>
  <c r="U5" i="33"/>
  <c r="B118" i="33"/>
  <c r="B3" i="33"/>
  <c r="B1" i="33"/>
  <c r="B163" i="32"/>
  <c r="B162" i="32"/>
  <c r="B153" i="32"/>
  <c r="B152" i="32"/>
  <c r="U138" i="32"/>
  <c r="B137" i="32"/>
  <c r="B134" i="32"/>
  <c r="B133" i="32"/>
  <c r="Z120" i="32"/>
  <c r="Y120" i="32"/>
  <c r="X120" i="32"/>
  <c r="Y119" i="32"/>
  <c r="X119" i="32"/>
  <c r="U119" i="32"/>
  <c r="B118" i="32"/>
  <c r="B117" i="32"/>
  <c r="B115" i="32"/>
  <c r="B114" i="32"/>
  <c r="Z101" i="32"/>
  <c r="Y101" i="32"/>
  <c r="X101" i="32"/>
  <c r="Y100" i="32"/>
  <c r="X100" i="32"/>
  <c r="V100" i="32"/>
  <c r="U100" i="32"/>
  <c r="B99" i="32"/>
  <c r="B98" i="32"/>
  <c r="B96" i="32"/>
  <c r="B95" i="32"/>
  <c r="X82" i="32"/>
  <c r="X81" i="32"/>
  <c r="V81" i="32"/>
  <c r="U81" i="32"/>
  <c r="B80" i="32"/>
  <c r="B79" i="32"/>
  <c r="B77" i="32"/>
  <c r="B76" i="32"/>
  <c r="J73" i="32"/>
  <c r="J35" i="32" s="1"/>
  <c r="I73" i="32"/>
  <c r="I35" i="32" s="1"/>
  <c r="H73" i="32"/>
  <c r="H35" i="32" s="1"/>
  <c r="G73" i="32"/>
  <c r="G35" i="32" s="1"/>
  <c r="F73" i="32"/>
  <c r="F35" i="32" s="1"/>
  <c r="E73" i="32"/>
  <c r="E35" i="32" s="1"/>
  <c r="D73" i="32"/>
  <c r="D35" i="32" s="1"/>
  <c r="C73" i="32"/>
  <c r="C35" i="32" s="1"/>
  <c r="Z63" i="32"/>
  <c r="Y63" i="32"/>
  <c r="X63" i="32"/>
  <c r="Y62" i="32"/>
  <c r="X62" i="32"/>
  <c r="V62" i="32"/>
  <c r="U62" i="32"/>
  <c r="B61" i="32"/>
  <c r="B60" i="32"/>
  <c r="B58" i="32"/>
  <c r="B57" i="32"/>
  <c r="J54" i="32"/>
  <c r="I54" i="32"/>
  <c r="H54" i="32"/>
  <c r="G54" i="32"/>
  <c r="F54" i="32"/>
  <c r="E54" i="32"/>
  <c r="D54" i="32"/>
  <c r="C54" i="32"/>
  <c r="Z44" i="32"/>
  <c r="Y44" i="32"/>
  <c r="X44" i="32"/>
  <c r="S44" i="32"/>
  <c r="R44" i="32"/>
  <c r="Q44" i="32"/>
  <c r="P44" i="32"/>
  <c r="O44" i="32"/>
  <c r="N44" i="32"/>
  <c r="M44" i="32"/>
  <c r="L44" i="32"/>
  <c r="K44" i="32"/>
  <c r="J44" i="32"/>
  <c r="I44" i="32"/>
  <c r="H44" i="32"/>
  <c r="G44" i="32"/>
  <c r="F44" i="32"/>
  <c r="E44" i="32"/>
  <c r="D44" i="32"/>
  <c r="C44" i="32"/>
  <c r="Y43" i="32"/>
  <c r="X43" i="32"/>
  <c r="V43" i="32"/>
  <c r="U43" i="32"/>
  <c r="B42" i="32"/>
  <c r="B41" i="32"/>
  <c r="B39" i="32"/>
  <c r="B38" i="32"/>
  <c r="Z25" i="32"/>
  <c r="Y25" i="32"/>
  <c r="X25" i="32"/>
  <c r="Y24" i="32"/>
  <c r="X24" i="32"/>
  <c r="V24" i="32"/>
  <c r="U24" i="32"/>
  <c r="B23" i="32"/>
  <c r="B22" i="32"/>
  <c r="B17" i="32"/>
  <c r="B36" i="32" s="1"/>
  <c r="B16" i="32"/>
  <c r="B16" i="33" s="1"/>
  <c r="B14" i="32"/>
  <c r="B14" i="35" s="1"/>
  <c r="B13" i="32"/>
  <c r="B146" i="32" s="1"/>
  <c r="B12" i="32"/>
  <c r="B145" i="32" s="1"/>
  <c r="B11" i="32"/>
  <c r="B106" i="32" s="1"/>
  <c r="B10" i="32"/>
  <c r="B10" i="34" s="1"/>
  <c r="B9" i="32"/>
  <c r="B8" i="32"/>
  <c r="Z6" i="32"/>
  <c r="Z156" i="32" s="1"/>
  <c r="Y6" i="32"/>
  <c r="Y156" i="32" s="1"/>
  <c r="X6" i="32"/>
  <c r="X156" i="32" s="1"/>
  <c r="W6" i="32"/>
  <c r="W25" i="32" s="1"/>
  <c r="V6" i="32"/>
  <c r="U6" i="32"/>
  <c r="T6" i="32"/>
  <c r="S6" i="32"/>
  <c r="R6" i="32"/>
  <c r="Q6" i="32"/>
  <c r="P6" i="32"/>
  <c r="O6" i="32"/>
  <c r="N6" i="32"/>
  <c r="M6" i="32"/>
  <c r="L6" i="32"/>
  <c r="K6" i="32"/>
  <c r="J6" i="32"/>
  <c r="I6" i="32"/>
  <c r="H6" i="32"/>
  <c r="G6" i="32"/>
  <c r="F6" i="32"/>
  <c r="E6" i="32"/>
  <c r="D6" i="32"/>
  <c r="C6" i="32"/>
  <c r="AD5" i="32"/>
  <c r="AC5" i="32"/>
  <c r="AC119" i="32" s="1"/>
  <c r="AB5" i="32"/>
  <c r="AB24" i="32" s="1"/>
  <c r="AA5" i="32"/>
  <c r="AA24" i="32" s="1"/>
  <c r="Y5" i="32"/>
  <c r="X5" i="32"/>
  <c r="W5" i="32"/>
  <c r="W62" i="32" s="1"/>
  <c r="V5" i="32"/>
  <c r="U5" i="32"/>
  <c r="B3" i="32"/>
  <c r="B1" i="32"/>
  <c r="B163" i="31"/>
  <c r="B162" i="31"/>
  <c r="B166" i="31"/>
  <c r="X120" i="31"/>
  <c r="B117" i="31"/>
  <c r="X101" i="31"/>
  <c r="B98" i="31"/>
  <c r="AL82" i="31"/>
  <c r="AG82" i="31"/>
  <c r="AF82" i="31"/>
  <c r="AE82" i="31"/>
  <c r="AD82" i="31"/>
  <c r="AC82" i="31"/>
  <c r="AB82" i="31"/>
  <c r="AA82" i="31"/>
  <c r="Z82" i="31"/>
  <c r="Y82" i="31"/>
  <c r="X82" i="31"/>
  <c r="AL81" i="31"/>
  <c r="B79" i="31"/>
  <c r="X63" i="31"/>
  <c r="B60" i="31"/>
  <c r="X44" i="31"/>
  <c r="S44" i="31"/>
  <c r="R44" i="31"/>
  <c r="Q44" i="31"/>
  <c r="P44" i="31"/>
  <c r="O44" i="31"/>
  <c r="N44" i="31"/>
  <c r="M44" i="31"/>
  <c r="L44" i="31"/>
  <c r="K44" i="31"/>
  <c r="J44" i="31"/>
  <c r="I44" i="31"/>
  <c r="H44" i="31"/>
  <c r="G44" i="31"/>
  <c r="F44" i="31"/>
  <c r="E44" i="31"/>
  <c r="D44" i="31"/>
  <c r="C44" i="31"/>
  <c r="B41" i="31"/>
  <c r="B22" i="31"/>
  <c r="B20" i="31"/>
  <c r="B153" i="31" s="1"/>
  <c r="B19" i="31"/>
  <c r="B133" i="31" s="1"/>
  <c r="B17" i="31"/>
  <c r="B131" i="31" s="1"/>
  <c r="B16" i="31"/>
  <c r="B130" i="31" s="1"/>
  <c r="B14" i="31"/>
  <c r="B147" i="31" s="1"/>
  <c r="B13" i="31"/>
  <c r="B127" i="31" s="1"/>
  <c r="B12" i="31"/>
  <c r="B126" i="31" s="1"/>
  <c r="B11" i="31"/>
  <c r="B10" i="31"/>
  <c r="B143" i="31" s="1"/>
  <c r="B9" i="31"/>
  <c r="B123" i="31" s="1"/>
  <c r="B8" i="31"/>
  <c r="B122" i="31" s="1"/>
  <c r="Z6" i="31"/>
  <c r="Z156" i="31" s="1"/>
  <c r="Y6" i="31"/>
  <c r="Y156" i="31" s="1"/>
  <c r="X6" i="31"/>
  <c r="X156" i="31" s="1"/>
  <c r="W6" i="31"/>
  <c r="V6" i="31"/>
  <c r="U6" i="31"/>
  <c r="T6" i="31"/>
  <c r="S6" i="31"/>
  <c r="R6" i="31"/>
  <c r="Q6" i="31"/>
  <c r="P6" i="31"/>
  <c r="O6" i="31"/>
  <c r="N6" i="31"/>
  <c r="M6" i="31"/>
  <c r="L6" i="31"/>
  <c r="K6" i="31"/>
  <c r="J6" i="31"/>
  <c r="I6" i="31"/>
  <c r="H6" i="31"/>
  <c r="G6" i="31"/>
  <c r="F6" i="31"/>
  <c r="E6" i="31"/>
  <c r="D6" i="31"/>
  <c r="C6" i="31"/>
  <c r="AL5" i="31"/>
  <c r="AL119" i="31" s="1"/>
  <c r="B80" i="31"/>
  <c r="B3" i="31"/>
  <c r="B1" i="31"/>
  <c r="AF160" i="3"/>
  <c r="AE160" i="3"/>
  <c r="AD160" i="3"/>
  <c r="AC160" i="3"/>
  <c r="AB160" i="3"/>
  <c r="AA160" i="3"/>
  <c r="Z160" i="3"/>
  <c r="Y160" i="3"/>
  <c r="X160" i="3"/>
  <c r="W160" i="3"/>
  <c r="V160" i="3"/>
  <c r="U160" i="3"/>
  <c r="T160" i="3"/>
  <c r="S160" i="3"/>
  <c r="R160" i="3"/>
  <c r="Q160" i="3"/>
  <c r="P160" i="3"/>
  <c r="O160" i="3"/>
  <c r="N160" i="3"/>
  <c r="M160" i="3"/>
  <c r="A158" i="3"/>
  <c r="A157" i="3"/>
  <c r="B153" i="3"/>
  <c r="B152" i="3"/>
  <c r="B150" i="3"/>
  <c r="B158" i="3" s="1"/>
  <c r="A150" i="3"/>
  <c r="B149" i="3"/>
  <c r="B157" i="3" s="1"/>
  <c r="A149" i="3"/>
  <c r="B147" i="3"/>
  <c r="B146" i="3"/>
  <c r="A146" i="3"/>
  <c r="B145" i="3"/>
  <c r="A145" i="3"/>
  <c r="B144" i="3"/>
  <c r="A144" i="3"/>
  <c r="B143" i="3"/>
  <c r="A143" i="3"/>
  <c r="B142" i="3"/>
  <c r="A142" i="3"/>
  <c r="B141" i="3"/>
  <c r="A141" i="3"/>
  <c r="Z139" i="3"/>
  <c r="Y139" i="3"/>
  <c r="X139" i="3"/>
  <c r="W139" i="3"/>
  <c r="W139" i="31" s="1"/>
  <c r="S139" i="3"/>
  <c r="S139" i="31" s="1"/>
  <c r="R139" i="3"/>
  <c r="Q139" i="3"/>
  <c r="P139" i="3"/>
  <c r="O139" i="3"/>
  <c r="O139" i="31" s="1"/>
  <c r="N139" i="3"/>
  <c r="M139" i="3"/>
  <c r="M139" i="31" s="1"/>
  <c r="L139" i="3"/>
  <c r="K139" i="3"/>
  <c r="K139" i="31" s="1"/>
  <c r="J139" i="3"/>
  <c r="I139" i="3"/>
  <c r="H139" i="3"/>
  <c r="G139" i="3"/>
  <c r="G139" i="31" s="1"/>
  <c r="F139" i="3"/>
  <c r="E139" i="3"/>
  <c r="E139" i="31" s="1"/>
  <c r="D139" i="3"/>
  <c r="C139" i="3"/>
  <c r="C139" i="31" s="1"/>
  <c r="AL138" i="3"/>
  <c r="AC138" i="34"/>
  <c r="B137" i="3"/>
  <c r="P135" i="3"/>
  <c r="O135" i="3"/>
  <c r="N135" i="3"/>
  <c r="M135" i="3"/>
  <c r="B134" i="3"/>
  <c r="B133" i="3"/>
  <c r="B131" i="3"/>
  <c r="B130" i="3"/>
  <c r="A130" i="3"/>
  <c r="B128" i="3"/>
  <c r="B127" i="3"/>
  <c r="A127" i="3"/>
  <c r="B126" i="3"/>
  <c r="A126" i="3"/>
  <c r="B125" i="3"/>
  <c r="A125" i="3"/>
  <c r="B124" i="3"/>
  <c r="A124" i="3"/>
  <c r="B123" i="3"/>
  <c r="A123" i="3"/>
  <c r="B122" i="3"/>
  <c r="A122" i="3"/>
  <c r="Z120" i="3"/>
  <c r="Y120" i="3"/>
  <c r="Y120" i="31" s="1"/>
  <c r="X120" i="3"/>
  <c r="X120" i="33" s="1"/>
  <c r="W120" i="3"/>
  <c r="W120" i="33" s="1"/>
  <c r="V120" i="3"/>
  <c r="AL119" i="3"/>
  <c r="AG119" i="33"/>
  <c r="B118" i="3"/>
  <c r="R116" i="3"/>
  <c r="Q116" i="3"/>
  <c r="P116" i="3"/>
  <c r="O116" i="3"/>
  <c r="N116" i="3"/>
  <c r="M116" i="3"/>
  <c r="B115" i="3"/>
  <c r="B114" i="3"/>
  <c r="B112" i="3"/>
  <c r="A112" i="3"/>
  <c r="B111" i="3"/>
  <c r="A111" i="3"/>
  <c r="B109" i="3"/>
  <c r="B108" i="3"/>
  <c r="A108" i="3"/>
  <c r="B107" i="3"/>
  <c r="A107" i="3"/>
  <c r="B106" i="3"/>
  <c r="A106" i="3"/>
  <c r="B105" i="3"/>
  <c r="A105" i="3"/>
  <c r="B104" i="3"/>
  <c r="A104" i="3"/>
  <c r="B103" i="3"/>
  <c r="A103" i="3"/>
  <c r="Z101" i="3"/>
  <c r="Y101" i="3"/>
  <c r="X101" i="3"/>
  <c r="X101" i="33" s="1"/>
  <c r="W101" i="3"/>
  <c r="W101" i="33" s="1"/>
  <c r="V101" i="3"/>
  <c r="U101" i="3"/>
  <c r="U44" i="3" s="1"/>
  <c r="T101" i="3"/>
  <c r="S101" i="3"/>
  <c r="R101" i="3"/>
  <c r="R101" i="31" s="1"/>
  <c r="Q101" i="3"/>
  <c r="P101" i="3"/>
  <c r="O101" i="3"/>
  <c r="O101" i="34" s="1"/>
  <c r="N101" i="3"/>
  <c r="N120" i="3" s="1"/>
  <c r="M101" i="3"/>
  <c r="M120" i="3" s="1"/>
  <c r="L101" i="3"/>
  <c r="L120" i="3" s="1"/>
  <c r="K101" i="3"/>
  <c r="J101" i="3"/>
  <c r="J120" i="3" s="1"/>
  <c r="I101" i="3"/>
  <c r="H101" i="3"/>
  <c r="G101" i="3"/>
  <c r="F101" i="3"/>
  <c r="E101" i="3"/>
  <c r="D101" i="3"/>
  <c r="C101" i="3"/>
  <c r="AL100" i="3"/>
  <c r="AG100" i="33"/>
  <c r="AB100" i="33"/>
  <c r="B99" i="3"/>
  <c r="B96" i="3"/>
  <c r="B95" i="3"/>
  <c r="B93" i="3"/>
  <c r="B92" i="3"/>
  <c r="A92" i="3"/>
  <c r="B90" i="3"/>
  <c r="B89" i="3"/>
  <c r="A89" i="3"/>
  <c r="B88" i="3"/>
  <c r="A88" i="3"/>
  <c r="B87" i="3"/>
  <c r="A87" i="3"/>
  <c r="B86" i="3"/>
  <c r="A86" i="3"/>
  <c r="B85" i="3"/>
  <c r="A85" i="3"/>
  <c r="B84" i="3"/>
  <c r="A84" i="3"/>
  <c r="X82" i="3"/>
  <c r="X82" i="33" s="1"/>
  <c r="W82" i="3"/>
  <c r="W82" i="33" s="1"/>
  <c r="V82" i="3"/>
  <c r="S82" i="3"/>
  <c r="R82" i="3"/>
  <c r="Q82" i="3"/>
  <c r="P82" i="3"/>
  <c r="O82" i="3"/>
  <c r="N82" i="3"/>
  <c r="M82" i="3"/>
  <c r="M82" i="31" s="1"/>
  <c r="L82" i="3"/>
  <c r="K82" i="3"/>
  <c r="J82" i="3"/>
  <c r="I82" i="3"/>
  <c r="H82" i="3"/>
  <c r="G82" i="3"/>
  <c r="F82" i="3"/>
  <c r="E82" i="3"/>
  <c r="E82" i="31" s="1"/>
  <c r="D82" i="3"/>
  <c r="C82" i="3"/>
  <c r="B80" i="3"/>
  <c r="B77" i="3"/>
  <c r="B76" i="3"/>
  <c r="B74" i="3"/>
  <c r="A74" i="3"/>
  <c r="B73" i="3"/>
  <c r="A73" i="3"/>
  <c r="L71" i="3"/>
  <c r="L76" i="3" s="1"/>
  <c r="L38" i="3" s="1"/>
  <c r="K71" i="3"/>
  <c r="K76" i="3" s="1"/>
  <c r="K38" i="3" s="1"/>
  <c r="J71" i="3"/>
  <c r="J76" i="3" s="1"/>
  <c r="I71" i="3"/>
  <c r="I76" i="3" s="1"/>
  <c r="I38" i="3" s="1"/>
  <c r="H71" i="3"/>
  <c r="H76" i="3" s="1"/>
  <c r="H38" i="3" s="1"/>
  <c r="G71" i="3"/>
  <c r="G76" i="3" s="1"/>
  <c r="G38" i="3" s="1"/>
  <c r="F71" i="3"/>
  <c r="F76" i="3" s="1"/>
  <c r="F38" i="3" s="1"/>
  <c r="E71" i="3"/>
  <c r="E76" i="3" s="1"/>
  <c r="E38" i="3" s="1"/>
  <c r="D71" i="3"/>
  <c r="D76" i="3" s="1"/>
  <c r="D38" i="3" s="1"/>
  <c r="C71" i="3"/>
  <c r="C76" i="3" s="1"/>
  <c r="C38" i="3" s="1"/>
  <c r="B71" i="3"/>
  <c r="B70" i="3"/>
  <c r="A70" i="3"/>
  <c r="B69" i="3"/>
  <c r="A69" i="3"/>
  <c r="B68" i="3"/>
  <c r="A68" i="3"/>
  <c r="B67" i="3"/>
  <c r="A67" i="3"/>
  <c r="B66" i="3"/>
  <c r="A66" i="3"/>
  <c r="B65" i="3"/>
  <c r="A65" i="3"/>
  <c r="Z63" i="3"/>
  <c r="Y63" i="3"/>
  <c r="X63" i="3"/>
  <c r="W63" i="3"/>
  <c r="V63" i="3"/>
  <c r="V63" i="32" s="1"/>
  <c r="U63" i="3"/>
  <c r="T63" i="3"/>
  <c r="S63" i="3"/>
  <c r="R63" i="3"/>
  <c r="R63" i="31" s="1"/>
  <c r="Q63" i="3"/>
  <c r="P63" i="3"/>
  <c r="O63" i="3"/>
  <c r="N63" i="3"/>
  <c r="M63" i="3"/>
  <c r="L63" i="3"/>
  <c r="K63" i="3"/>
  <c r="J63" i="3"/>
  <c r="J63" i="31" s="1"/>
  <c r="I63" i="3"/>
  <c r="H63" i="3"/>
  <c r="G63" i="3"/>
  <c r="F63" i="3"/>
  <c r="E63" i="3"/>
  <c r="D63" i="3"/>
  <c r="C63" i="3"/>
  <c r="AL62" i="3"/>
  <c r="AG62" i="33"/>
  <c r="AB62" i="33"/>
  <c r="B61" i="3"/>
  <c r="B58" i="3"/>
  <c r="B57" i="3"/>
  <c r="B55" i="3"/>
  <c r="A55" i="3"/>
  <c r="B54" i="3"/>
  <c r="A54" i="3"/>
  <c r="L52" i="3"/>
  <c r="L57" i="3" s="1"/>
  <c r="G146" i="58" s="1"/>
  <c r="K52" i="3"/>
  <c r="K57" i="3" s="1"/>
  <c r="J52" i="3"/>
  <c r="J57" i="3" s="1"/>
  <c r="I52" i="3"/>
  <c r="I57" i="3" s="1"/>
  <c r="D146" i="58" s="1"/>
  <c r="H52" i="3"/>
  <c r="H57" i="3" s="1"/>
  <c r="C146" i="58" s="1"/>
  <c r="G52" i="3"/>
  <c r="G57" i="3" s="1"/>
  <c r="B146" i="58" s="1"/>
  <c r="F52" i="3"/>
  <c r="F57" i="3" s="1"/>
  <c r="E52" i="3"/>
  <c r="E57" i="3" s="1"/>
  <c r="D52" i="3"/>
  <c r="D57" i="3" s="1"/>
  <c r="C52" i="3"/>
  <c r="C57" i="3" s="1"/>
  <c r="B52" i="3"/>
  <c r="B51" i="3"/>
  <c r="A51" i="3"/>
  <c r="B50" i="3"/>
  <c r="A50" i="3"/>
  <c r="B49" i="3"/>
  <c r="A49" i="3"/>
  <c r="B48" i="3"/>
  <c r="A48" i="3"/>
  <c r="B47" i="3"/>
  <c r="A47" i="3"/>
  <c r="B46" i="3"/>
  <c r="A46" i="3"/>
  <c r="Z44" i="3"/>
  <c r="Y44" i="3"/>
  <c r="X44" i="3"/>
  <c r="W44" i="3"/>
  <c r="V44" i="3"/>
  <c r="T44" i="3"/>
  <c r="AG43" i="33"/>
  <c r="AB43" i="33"/>
  <c r="B42" i="3"/>
  <c r="B39" i="3"/>
  <c r="B38" i="3"/>
  <c r="L36" i="3"/>
  <c r="L17" i="3" s="1"/>
  <c r="K36" i="3"/>
  <c r="K17" i="3" s="1"/>
  <c r="J36" i="3"/>
  <c r="J17" i="3" s="1"/>
  <c r="I36" i="3"/>
  <c r="I17" i="3" s="1"/>
  <c r="H36" i="3"/>
  <c r="H17" i="3" s="1"/>
  <c r="G36" i="3"/>
  <c r="G17" i="3" s="1"/>
  <c r="F36" i="3"/>
  <c r="F17" i="3" s="1"/>
  <c r="E36" i="3"/>
  <c r="E17" i="3" s="1"/>
  <c r="D36" i="3"/>
  <c r="D17" i="3" s="1"/>
  <c r="C36" i="3"/>
  <c r="C17" i="3" s="1"/>
  <c r="B36" i="3"/>
  <c r="L35" i="3"/>
  <c r="L16" i="3" s="1"/>
  <c r="K35" i="3"/>
  <c r="K16" i="3" s="1"/>
  <c r="J35" i="3"/>
  <c r="J16" i="3" s="1"/>
  <c r="I35" i="3"/>
  <c r="I16" i="3" s="1"/>
  <c r="H35" i="3"/>
  <c r="H16" i="3" s="1"/>
  <c r="G35" i="3"/>
  <c r="G16" i="3" s="1"/>
  <c r="F35" i="3"/>
  <c r="F16" i="3" s="1"/>
  <c r="E35" i="3"/>
  <c r="E16" i="3" s="1"/>
  <c r="D35" i="3"/>
  <c r="D16" i="3" s="1"/>
  <c r="C35" i="3"/>
  <c r="C16" i="3" s="1"/>
  <c r="B35" i="3"/>
  <c r="B33" i="3"/>
  <c r="L32" i="3"/>
  <c r="L13" i="3" s="1"/>
  <c r="K32" i="3"/>
  <c r="K13" i="3" s="1"/>
  <c r="J32" i="3"/>
  <c r="J13" i="3" s="1"/>
  <c r="I32" i="3"/>
  <c r="I13" i="3" s="1"/>
  <c r="H32" i="3"/>
  <c r="H13" i="3" s="1"/>
  <c r="G32" i="3"/>
  <c r="G13" i="3" s="1"/>
  <c r="F32" i="3"/>
  <c r="F13" i="3" s="1"/>
  <c r="E32" i="3"/>
  <c r="E13" i="3" s="1"/>
  <c r="D32" i="3"/>
  <c r="D13" i="3" s="1"/>
  <c r="C32" i="3"/>
  <c r="C13" i="3" s="1"/>
  <c r="B32" i="3"/>
  <c r="L31" i="3"/>
  <c r="L12" i="3" s="1"/>
  <c r="K31" i="3"/>
  <c r="K12" i="3" s="1"/>
  <c r="J31" i="3"/>
  <c r="J12" i="3" s="1"/>
  <c r="I31" i="3"/>
  <c r="I12" i="3" s="1"/>
  <c r="H31" i="3"/>
  <c r="H12" i="3" s="1"/>
  <c r="G31" i="3"/>
  <c r="G12" i="3" s="1"/>
  <c r="F31" i="3"/>
  <c r="F12" i="3" s="1"/>
  <c r="E31" i="3"/>
  <c r="E12" i="3" s="1"/>
  <c r="D31" i="3"/>
  <c r="D12" i="3" s="1"/>
  <c r="C31" i="3"/>
  <c r="C12" i="3" s="1"/>
  <c r="B31" i="3"/>
  <c r="L30" i="3"/>
  <c r="L11" i="3" s="1"/>
  <c r="K30" i="3"/>
  <c r="K11" i="3" s="1"/>
  <c r="J30" i="3"/>
  <c r="J11" i="3" s="1"/>
  <c r="I30" i="3"/>
  <c r="I11" i="3" s="1"/>
  <c r="H30" i="3"/>
  <c r="H11" i="3" s="1"/>
  <c r="G30" i="3"/>
  <c r="G11" i="3" s="1"/>
  <c r="F30" i="3"/>
  <c r="F11" i="3" s="1"/>
  <c r="E30" i="3"/>
  <c r="E11" i="3" s="1"/>
  <c r="D30" i="3"/>
  <c r="D11" i="3" s="1"/>
  <c r="C30" i="3"/>
  <c r="C11" i="3" s="1"/>
  <c r="B30" i="3"/>
  <c r="L29" i="3"/>
  <c r="L10" i="3" s="1"/>
  <c r="K29" i="3"/>
  <c r="K10" i="3" s="1"/>
  <c r="J29" i="3"/>
  <c r="J10" i="3" s="1"/>
  <c r="I29" i="3"/>
  <c r="I10" i="3" s="1"/>
  <c r="H29" i="3"/>
  <c r="H10" i="3" s="1"/>
  <c r="G29" i="3"/>
  <c r="G10" i="3" s="1"/>
  <c r="F29" i="3"/>
  <c r="F10" i="3" s="1"/>
  <c r="E29" i="3"/>
  <c r="E10" i="3" s="1"/>
  <c r="D29" i="3"/>
  <c r="D10" i="3" s="1"/>
  <c r="C29" i="3"/>
  <c r="C10" i="3" s="1"/>
  <c r="B29" i="3"/>
  <c r="L28" i="3"/>
  <c r="L9" i="3" s="1"/>
  <c r="K28" i="3"/>
  <c r="K9" i="3" s="1"/>
  <c r="J28" i="3"/>
  <c r="J9" i="3" s="1"/>
  <c r="I28" i="3"/>
  <c r="I9" i="3" s="1"/>
  <c r="H28" i="3"/>
  <c r="H9" i="3" s="1"/>
  <c r="G28" i="3"/>
  <c r="G9" i="3" s="1"/>
  <c r="F28" i="3"/>
  <c r="F9" i="3" s="1"/>
  <c r="E28" i="3"/>
  <c r="E9" i="3" s="1"/>
  <c r="D28" i="3"/>
  <c r="D9" i="3" s="1"/>
  <c r="C28" i="3"/>
  <c r="C9" i="3" s="1"/>
  <c r="B28" i="3"/>
  <c r="L27" i="3"/>
  <c r="L8" i="3" s="1"/>
  <c r="K27" i="3"/>
  <c r="J27" i="3"/>
  <c r="J8" i="3" s="1"/>
  <c r="I27" i="3"/>
  <c r="I8" i="3" s="1"/>
  <c r="H27" i="3"/>
  <c r="H8" i="3" s="1"/>
  <c r="G27" i="3"/>
  <c r="F27" i="3"/>
  <c r="F8" i="3" s="1"/>
  <c r="E27" i="3"/>
  <c r="D27" i="3"/>
  <c r="D8" i="3" s="1"/>
  <c r="C27" i="3"/>
  <c r="B27" i="3"/>
  <c r="Z25" i="3"/>
  <c r="Y25" i="3"/>
  <c r="X25" i="3"/>
  <c r="W25" i="3"/>
  <c r="V25" i="3"/>
  <c r="U25" i="3"/>
  <c r="T25" i="3"/>
  <c r="S25" i="3"/>
  <c r="R25" i="3"/>
  <c r="Q25" i="3"/>
  <c r="P25" i="3"/>
  <c r="O25" i="3"/>
  <c r="N25" i="3"/>
  <c r="M25" i="3"/>
  <c r="L25" i="3"/>
  <c r="K25" i="3"/>
  <c r="J25" i="3"/>
  <c r="I25" i="3"/>
  <c r="H25" i="3"/>
  <c r="G25" i="3"/>
  <c r="F25" i="3"/>
  <c r="E25" i="3"/>
  <c r="D25" i="3"/>
  <c r="C25" i="3"/>
  <c r="AG24" i="33"/>
  <c r="B23" i="3"/>
  <c r="AL6" i="3"/>
  <c r="A583" i="92" s="1"/>
  <c r="AF6" i="3"/>
  <c r="AE6" i="3"/>
  <c r="A1208" i="92" s="1"/>
  <c r="AD6" i="3"/>
  <c r="A1200" i="92" s="1"/>
  <c r="AC6" i="3"/>
  <c r="AC156" i="3" s="1"/>
  <c r="AB6" i="3"/>
  <c r="A915" i="92" s="1"/>
  <c r="AA6" i="3"/>
  <c r="AF5" i="3"/>
  <c r="AE5" i="3"/>
  <c r="A112" i="10"/>
  <c r="AG110" i="10"/>
  <c r="AF110" i="10"/>
  <c r="AE110" i="10"/>
  <c r="AD110" i="10"/>
  <c r="AC110" i="10"/>
  <c r="AB110" i="10"/>
  <c r="AA110" i="10"/>
  <c r="Z110" i="10"/>
  <c r="Y110" i="10"/>
  <c r="X110" i="10"/>
  <c r="W110" i="10"/>
  <c r="V110" i="10"/>
  <c r="U110" i="10"/>
  <c r="T110" i="10"/>
  <c r="S110" i="10"/>
  <c r="R110" i="10"/>
  <c r="Q110" i="10"/>
  <c r="P110" i="10"/>
  <c r="O110" i="10"/>
  <c r="AG104" i="10"/>
  <c r="AG103" i="10" s="1"/>
  <c r="AF104" i="10"/>
  <c r="AF103" i="10" s="1"/>
  <c r="AE104" i="10"/>
  <c r="AE103" i="10" s="1"/>
  <c r="AD104" i="10"/>
  <c r="AD103" i="10" s="1"/>
  <c r="AC104" i="10"/>
  <c r="AC103" i="10" s="1"/>
  <c r="AB104" i="10"/>
  <c r="AB103" i="10" s="1"/>
  <c r="AA104" i="10"/>
  <c r="AA103" i="10" s="1"/>
  <c r="Z104" i="10"/>
  <c r="Z103" i="10" s="1"/>
  <c r="Y104" i="10"/>
  <c r="Y103" i="10" s="1"/>
  <c r="X104" i="10"/>
  <c r="X103" i="10" s="1"/>
  <c r="W104" i="10"/>
  <c r="W103" i="10" s="1"/>
  <c r="V104" i="10"/>
  <c r="V103" i="10" s="1"/>
  <c r="S104" i="10"/>
  <c r="S103" i="10" s="1"/>
  <c r="R103" i="10"/>
  <c r="Q103" i="10"/>
  <c r="P103" i="10"/>
  <c r="M103" i="10"/>
  <c r="L103" i="10"/>
  <c r="K103" i="10"/>
  <c r="J103" i="10"/>
  <c r="I103" i="10"/>
  <c r="H103" i="10"/>
  <c r="G103" i="10"/>
  <c r="F103" i="10"/>
  <c r="E103" i="10"/>
  <c r="D103" i="10"/>
  <c r="C103" i="10"/>
  <c r="B103" i="10"/>
  <c r="A103" i="10"/>
  <c r="A101" i="10"/>
  <c r="M96" i="10"/>
  <c r="L96" i="10"/>
  <c r="K96" i="10"/>
  <c r="J96" i="10"/>
  <c r="I96" i="10"/>
  <c r="H96" i="10"/>
  <c r="G96" i="10"/>
  <c r="F96" i="10"/>
  <c r="E96" i="10"/>
  <c r="D96" i="10"/>
  <c r="C96" i="10"/>
  <c r="B96" i="10"/>
  <c r="W95" i="10"/>
  <c r="W94" i="10" s="1"/>
  <c r="V95" i="10"/>
  <c r="V94" i="10" s="1"/>
  <c r="S95" i="10"/>
  <c r="S94" i="10" s="1"/>
  <c r="R95" i="10"/>
  <c r="R94" i="10" s="1"/>
  <c r="M95" i="10"/>
  <c r="L95" i="10"/>
  <c r="K95" i="10"/>
  <c r="J95" i="10"/>
  <c r="I95" i="10"/>
  <c r="H95" i="10"/>
  <c r="G95" i="10"/>
  <c r="F95" i="10"/>
  <c r="E95" i="10"/>
  <c r="D95" i="10"/>
  <c r="C95" i="10"/>
  <c r="B95" i="10"/>
  <c r="A95" i="10"/>
  <c r="AG94" i="10"/>
  <c r="AF94" i="10"/>
  <c r="AE94" i="10"/>
  <c r="AD94" i="10"/>
  <c r="AC94" i="10"/>
  <c r="AB94" i="10"/>
  <c r="AA94" i="10"/>
  <c r="Z94" i="10"/>
  <c r="Y94" i="10"/>
  <c r="X94" i="10"/>
  <c r="Q94" i="10"/>
  <c r="P94" i="10"/>
  <c r="O94" i="10"/>
  <c r="N94" i="10"/>
  <c r="A94" i="10"/>
  <c r="AG93" i="10"/>
  <c r="AF93" i="10"/>
  <c r="AE93" i="10"/>
  <c r="AD93" i="10"/>
  <c r="AC93" i="10"/>
  <c r="AB93" i="10"/>
  <c r="AA93" i="10"/>
  <c r="Z93" i="10"/>
  <c r="Y93" i="10"/>
  <c r="X93" i="10"/>
  <c r="W93" i="10"/>
  <c r="V93" i="10"/>
  <c r="S93" i="10"/>
  <c r="M93" i="10"/>
  <c r="L93" i="10"/>
  <c r="K93" i="10"/>
  <c r="J93" i="10"/>
  <c r="I93" i="10"/>
  <c r="H93" i="10"/>
  <c r="G93" i="10"/>
  <c r="F93" i="10"/>
  <c r="E93" i="10"/>
  <c r="D93" i="10"/>
  <c r="C93" i="10"/>
  <c r="B93" i="10"/>
  <c r="A93" i="10"/>
  <c r="AG92" i="10"/>
  <c r="AF92" i="10"/>
  <c r="AE92" i="10"/>
  <c r="AD92" i="10"/>
  <c r="AC92" i="10"/>
  <c r="AB92" i="10"/>
  <c r="AA92" i="10"/>
  <c r="Z92" i="10"/>
  <c r="Y92" i="10"/>
  <c r="X92" i="10"/>
  <c r="W92" i="10"/>
  <c r="V92" i="10"/>
  <c r="S92" i="10"/>
  <c r="M92" i="10"/>
  <c r="L92" i="10"/>
  <c r="K92" i="10"/>
  <c r="J92" i="10"/>
  <c r="I92" i="10"/>
  <c r="H92" i="10"/>
  <c r="G92" i="10"/>
  <c r="F92" i="10"/>
  <c r="E92" i="10"/>
  <c r="D92" i="10"/>
  <c r="C92" i="10"/>
  <c r="B92" i="10"/>
  <c r="A92" i="10"/>
  <c r="AG91" i="10"/>
  <c r="AF91" i="10"/>
  <c r="AE91" i="10"/>
  <c r="AD91" i="10"/>
  <c r="AC91" i="10"/>
  <c r="AB91" i="10"/>
  <c r="AA91" i="10"/>
  <c r="Z91" i="10"/>
  <c r="Y91" i="10"/>
  <c r="X91" i="10"/>
  <c r="W91" i="10"/>
  <c r="V91" i="10"/>
  <c r="S91" i="10"/>
  <c r="M91" i="10"/>
  <c r="L91" i="10"/>
  <c r="K91" i="10"/>
  <c r="J91" i="10"/>
  <c r="I91" i="10"/>
  <c r="H91" i="10"/>
  <c r="G91" i="10"/>
  <c r="F91" i="10"/>
  <c r="E91" i="10"/>
  <c r="D91" i="10"/>
  <c r="C91" i="10"/>
  <c r="B91" i="10"/>
  <c r="A91" i="10"/>
  <c r="M90" i="10"/>
  <c r="L90" i="10"/>
  <c r="K90" i="10"/>
  <c r="J90" i="10"/>
  <c r="I90" i="10"/>
  <c r="H90" i="10"/>
  <c r="G90" i="10"/>
  <c r="F90" i="10"/>
  <c r="E90" i="10"/>
  <c r="D90" i="10"/>
  <c r="C90" i="10"/>
  <c r="B90" i="10"/>
  <c r="S88" i="10"/>
  <c r="M88" i="10"/>
  <c r="K88" i="10"/>
  <c r="J88" i="10"/>
  <c r="I88" i="10"/>
  <c r="H88" i="10"/>
  <c r="G88" i="10"/>
  <c r="F88" i="10"/>
  <c r="E88" i="10"/>
  <c r="D88" i="10"/>
  <c r="C88" i="10"/>
  <c r="B88" i="10"/>
  <c r="S87" i="10"/>
  <c r="M87" i="10"/>
  <c r="L87" i="10"/>
  <c r="K87" i="10"/>
  <c r="J87" i="10"/>
  <c r="I87" i="10"/>
  <c r="H87" i="10"/>
  <c r="G87" i="10"/>
  <c r="F87" i="10"/>
  <c r="E87" i="10"/>
  <c r="D87" i="10"/>
  <c r="C87" i="10"/>
  <c r="B87" i="10"/>
  <c r="M86" i="10"/>
  <c r="L86" i="10"/>
  <c r="K86" i="10"/>
  <c r="J86" i="10"/>
  <c r="I86" i="10"/>
  <c r="H86" i="10"/>
  <c r="G86" i="10"/>
  <c r="F86" i="10"/>
  <c r="E86" i="10"/>
  <c r="D86" i="10"/>
  <c r="C86" i="10"/>
  <c r="B86" i="10"/>
  <c r="M85" i="10"/>
  <c r="L85" i="10"/>
  <c r="K85" i="10"/>
  <c r="J85" i="10"/>
  <c r="I85" i="10"/>
  <c r="H85" i="10"/>
  <c r="G85" i="10"/>
  <c r="F85" i="10"/>
  <c r="E85" i="10"/>
  <c r="D85" i="10"/>
  <c r="C85" i="10"/>
  <c r="B85" i="10"/>
  <c r="S84" i="10"/>
  <c r="AG83" i="10"/>
  <c r="AF83" i="10"/>
  <c r="AE83" i="10"/>
  <c r="AD83" i="10"/>
  <c r="AC83" i="10"/>
  <c r="AB83" i="10"/>
  <c r="AA83" i="10"/>
  <c r="Z83" i="10"/>
  <c r="Y83" i="10"/>
  <c r="X83" i="10"/>
  <c r="W83" i="10"/>
  <c r="V83" i="10"/>
  <c r="R83" i="10"/>
  <c r="Q83" i="10"/>
  <c r="P83" i="10"/>
  <c r="O83" i="10"/>
  <c r="N83" i="10"/>
  <c r="A83" i="10"/>
  <c r="S82" i="10"/>
  <c r="M82" i="10"/>
  <c r="L82" i="10"/>
  <c r="K82" i="10"/>
  <c r="J82" i="10"/>
  <c r="I82" i="10"/>
  <c r="H82" i="10"/>
  <c r="G82" i="10"/>
  <c r="F82" i="10"/>
  <c r="E82" i="10"/>
  <c r="D82" i="10"/>
  <c r="C82" i="10"/>
  <c r="B82" i="10"/>
  <c r="S81" i="10"/>
  <c r="M81" i="10"/>
  <c r="L81" i="10"/>
  <c r="K81" i="10"/>
  <c r="J81" i="10"/>
  <c r="I81" i="10"/>
  <c r="H81" i="10"/>
  <c r="G81" i="10"/>
  <c r="F81" i="10"/>
  <c r="E81" i="10"/>
  <c r="D81" i="10"/>
  <c r="C81" i="10"/>
  <c r="B81" i="10"/>
  <c r="M80" i="10"/>
  <c r="L80" i="10"/>
  <c r="K80" i="10"/>
  <c r="J80" i="10"/>
  <c r="I80" i="10"/>
  <c r="H80" i="10"/>
  <c r="G80" i="10"/>
  <c r="F80" i="10"/>
  <c r="E80" i="10"/>
  <c r="D80" i="10"/>
  <c r="C80" i="10"/>
  <c r="B80" i="10"/>
  <c r="S79" i="10"/>
  <c r="M79" i="10"/>
  <c r="L79" i="10"/>
  <c r="K79" i="10"/>
  <c r="J79" i="10"/>
  <c r="I79" i="10"/>
  <c r="H79" i="10"/>
  <c r="G79" i="10"/>
  <c r="F79" i="10"/>
  <c r="E79" i="10"/>
  <c r="D79" i="10"/>
  <c r="C79" i="10"/>
  <c r="B79" i="10"/>
  <c r="AG78" i="10"/>
  <c r="AF78" i="10"/>
  <c r="AE78" i="10"/>
  <c r="AD78" i="10"/>
  <c r="AC78" i="10"/>
  <c r="AB78" i="10"/>
  <c r="AA78" i="10"/>
  <c r="Z78" i="10"/>
  <c r="Y78" i="10"/>
  <c r="X78" i="10"/>
  <c r="W78" i="10"/>
  <c r="V78" i="10"/>
  <c r="R78" i="10"/>
  <c r="Q78" i="10"/>
  <c r="P78" i="10"/>
  <c r="O78" i="10"/>
  <c r="N78" i="10"/>
  <c r="A78" i="10"/>
  <c r="O75" i="10"/>
  <c r="N75" i="10"/>
  <c r="M75" i="10"/>
  <c r="L75" i="10"/>
  <c r="K75" i="10"/>
  <c r="J75" i="10"/>
  <c r="I75" i="10"/>
  <c r="H75" i="10"/>
  <c r="G75" i="10"/>
  <c r="F75" i="10"/>
  <c r="E75" i="10"/>
  <c r="D75" i="10"/>
  <c r="C75" i="10"/>
  <c r="B75" i="10"/>
  <c r="A72" i="10"/>
  <c r="A71" i="10"/>
  <c r="AD69" i="10"/>
  <c r="AC69" i="10"/>
  <c r="AB69" i="10"/>
  <c r="AA69" i="10"/>
  <c r="U69" i="10"/>
  <c r="T69" i="10"/>
  <c r="S69" i="10"/>
  <c r="R69" i="10"/>
  <c r="Q69" i="10"/>
  <c r="P69" i="10"/>
  <c r="O69" i="10"/>
  <c r="Y68" i="10"/>
  <c r="Y67" i="10"/>
  <c r="W67" i="10"/>
  <c r="Y66" i="10"/>
  <c r="Y65" i="10"/>
  <c r="AD62" i="10"/>
  <c r="AC62" i="10"/>
  <c r="AB62" i="10"/>
  <c r="AA62" i="10"/>
  <c r="Y62" i="10"/>
  <c r="AD61" i="10"/>
  <c r="AC61" i="10"/>
  <c r="AB61" i="10"/>
  <c r="AA61" i="10"/>
  <c r="Y61" i="10"/>
  <c r="AD60" i="10"/>
  <c r="AC60" i="10"/>
  <c r="AB60" i="10"/>
  <c r="AA60" i="10"/>
  <c r="Y60" i="10"/>
  <c r="AD59" i="10"/>
  <c r="AC59" i="10"/>
  <c r="AB59" i="10"/>
  <c r="AA59" i="10"/>
  <c r="Y59" i="10"/>
  <c r="AD58" i="10"/>
  <c r="AC58" i="10"/>
  <c r="AB58" i="10"/>
  <c r="AA58" i="10"/>
  <c r="Y58" i="10"/>
  <c r="AD57" i="10"/>
  <c r="AC57" i="10"/>
  <c r="AB57" i="10"/>
  <c r="AA57" i="10"/>
  <c r="Y57" i="10"/>
  <c r="AD56" i="10"/>
  <c r="AC56" i="10"/>
  <c r="AB56" i="10"/>
  <c r="AA56" i="10"/>
  <c r="Y56" i="10"/>
  <c r="AD55" i="10"/>
  <c r="AC55" i="10"/>
  <c r="AB55" i="10"/>
  <c r="AA55" i="10"/>
  <c r="Y55" i="10"/>
  <c r="T55" i="10"/>
  <c r="T18" i="10" s="1"/>
  <c r="E134" i="92" s="1"/>
  <c r="S55" i="10"/>
  <c r="R55" i="10"/>
  <c r="R18" i="10" s="1"/>
  <c r="E120" i="92" s="1"/>
  <c r="P55" i="10"/>
  <c r="O55" i="10"/>
  <c r="N55" i="10"/>
  <c r="N18" i="10" s="1"/>
  <c r="E92" i="92" s="1"/>
  <c r="M55" i="10"/>
  <c r="M18" i="10" s="1"/>
  <c r="E85" i="92" s="1"/>
  <c r="L55" i="10"/>
  <c r="L18" i="10" s="1"/>
  <c r="E78" i="92" s="1"/>
  <c r="K55" i="10"/>
  <c r="K18" i="10" s="1"/>
  <c r="E71" i="92" s="1"/>
  <c r="J55" i="10"/>
  <c r="J18" i="10" s="1"/>
  <c r="E64" i="92" s="1"/>
  <c r="I55" i="10"/>
  <c r="H55" i="10"/>
  <c r="G55" i="10"/>
  <c r="F55" i="10"/>
  <c r="E55" i="10"/>
  <c r="D55" i="10"/>
  <c r="C55" i="10"/>
  <c r="B55" i="10"/>
  <c r="O52" i="10"/>
  <c r="N52" i="10"/>
  <c r="M52" i="10"/>
  <c r="L52" i="10"/>
  <c r="K52" i="10"/>
  <c r="J52" i="10"/>
  <c r="I52" i="10"/>
  <c r="I50" i="10" s="1"/>
  <c r="H52" i="10"/>
  <c r="G52" i="10"/>
  <c r="F52" i="10"/>
  <c r="E52" i="10"/>
  <c r="D52" i="10"/>
  <c r="C52" i="10"/>
  <c r="B52" i="10"/>
  <c r="A96" i="10"/>
  <c r="O51" i="10"/>
  <c r="O15" i="10" s="1"/>
  <c r="E98" i="92" s="1"/>
  <c r="N51" i="10"/>
  <c r="M51" i="10"/>
  <c r="L51" i="10"/>
  <c r="K51" i="10"/>
  <c r="J51" i="10"/>
  <c r="I51" i="10"/>
  <c r="H51" i="10"/>
  <c r="G51" i="10"/>
  <c r="F51" i="10"/>
  <c r="E51" i="10"/>
  <c r="D51" i="10"/>
  <c r="C51" i="10"/>
  <c r="B51" i="10"/>
  <c r="AD50" i="10"/>
  <c r="AD15" i="10" s="1"/>
  <c r="AC50" i="10"/>
  <c r="AC15" i="10" s="1"/>
  <c r="E196" i="92" s="1"/>
  <c r="AB50" i="10"/>
  <c r="AB15" i="10" s="1"/>
  <c r="E189" i="92" s="1"/>
  <c r="AA50" i="10"/>
  <c r="AA15" i="10" s="1"/>
  <c r="E182" i="92" s="1"/>
  <c r="Z50" i="10"/>
  <c r="Z15" i="10" s="1"/>
  <c r="E175" i="92" s="1"/>
  <c r="Y50" i="10"/>
  <c r="Y15" i="10" s="1"/>
  <c r="E168" i="92" s="1"/>
  <c r="R50" i="10"/>
  <c r="R15" i="10" s="1"/>
  <c r="E119" i="92" s="1"/>
  <c r="AD49" i="10"/>
  <c r="AD14" i="10" s="1"/>
  <c r="AC49" i="10"/>
  <c r="AC14" i="10" s="1"/>
  <c r="E195" i="92" s="1"/>
  <c r="AB49" i="10"/>
  <c r="AB14" i="10" s="1"/>
  <c r="E188" i="92" s="1"/>
  <c r="AA49" i="10"/>
  <c r="AA14" i="10" s="1"/>
  <c r="E181" i="92" s="1"/>
  <c r="Y49" i="10"/>
  <c r="Y14" i="10" s="1"/>
  <c r="E167" i="92" s="1"/>
  <c r="R49" i="10"/>
  <c r="R14" i="10" s="1"/>
  <c r="E118" i="92" s="1"/>
  <c r="O49" i="10"/>
  <c r="N49" i="10"/>
  <c r="M49" i="10"/>
  <c r="L49" i="10"/>
  <c r="K49" i="10"/>
  <c r="J49" i="10"/>
  <c r="I49" i="10"/>
  <c r="H49" i="10"/>
  <c r="G49" i="10"/>
  <c r="F49" i="10"/>
  <c r="E49" i="10"/>
  <c r="D49" i="10"/>
  <c r="C49" i="10"/>
  <c r="B49" i="10"/>
  <c r="AD48" i="10"/>
  <c r="AD13" i="10" s="1"/>
  <c r="AC48" i="10"/>
  <c r="AC13" i="10" s="1"/>
  <c r="E194" i="92" s="1"/>
  <c r="AB48" i="10"/>
  <c r="AB13" i="10" s="1"/>
  <c r="E187" i="92" s="1"/>
  <c r="AA48" i="10"/>
  <c r="AA13" i="10" s="1"/>
  <c r="E180" i="92" s="1"/>
  <c r="Y48" i="10"/>
  <c r="Y13" i="10" s="1"/>
  <c r="E166" i="92" s="1"/>
  <c r="R48" i="10"/>
  <c r="R13" i="10" s="1"/>
  <c r="E117" i="92" s="1"/>
  <c r="O48" i="10"/>
  <c r="N48" i="10"/>
  <c r="M48" i="10"/>
  <c r="L48" i="10"/>
  <c r="K48" i="10"/>
  <c r="J48" i="10"/>
  <c r="I48" i="10"/>
  <c r="H48" i="10"/>
  <c r="G48" i="10"/>
  <c r="F48" i="10"/>
  <c r="E48" i="10"/>
  <c r="D48" i="10"/>
  <c r="C48" i="10"/>
  <c r="B48" i="10"/>
  <c r="AD45" i="10"/>
  <c r="AD12" i="10" s="1"/>
  <c r="AC45" i="10"/>
  <c r="AC12" i="10" s="1"/>
  <c r="E193" i="92" s="1"/>
  <c r="AB45" i="10"/>
  <c r="AB12" i="10" s="1"/>
  <c r="E186" i="92" s="1"/>
  <c r="AA45" i="10"/>
  <c r="AA12" i="10" s="1"/>
  <c r="E179" i="92" s="1"/>
  <c r="Y45" i="10"/>
  <c r="Y12" i="10" s="1"/>
  <c r="E165" i="92" s="1"/>
  <c r="V45" i="10"/>
  <c r="V12" i="10" s="1"/>
  <c r="E144" i="92" s="1"/>
  <c r="R45" i="10"/>
  <c r="R12" i="10" s="1"/>
  <c r="E116" i="92" s="1"/>
  <c r="O45" i="10"/>
  <c r="N45" i="10"/>
  <c r="M45" i="10"/>
  <c r="L45" i="10"/>
  <c r="K45" i="10"/>
  <c r="J45" i="10"/>
  <c r="I45" i="10"/>
  <c r="H45" i="10"/>
  <c r="G45" i="10"/>
  <c r="F45" i="10"/>
  <c r="E45" i="10"/>
  <c r="D45" i="10"/>
  <c r="C45" i="10"/>
  <c r="B45" i="10"/>
  <c r="O43" i="10"/>
  <c r="N43" i="10"/>
  <c r="M43" i="10"/>
  <c r="L43" i="10"/>
  <c r="K43" i="10"/>
  <c r="J43" i="10"/>
  <c r="I43" i="10"/>
  <c r="H43" i="10"/>
  <c r="G43" i="10"/>
  <c r="F43" i="10"/>
  <c r="E43" i="10"/>
  <c r="D43" i="10"/>
  <c r="C43" i="10"/>
  <c r="B43" i="10"/>
  <c r="A90" i="10"/>
  <c r="AD42" i="10"/>
  <c r="AC42" i="10"/>
  <c r="AB42" i="10"/>
  <c r="AA42" i="10"/>
  <c r="AD41" i="10"/>
  <c r="AC41" i="10"/>
  <c r="AB41" i="10"/>
  <c r="AA41" i="10"/>
  <c r="AD40" i="10"/>
  <c r="AC40" i="10"/>
  <c r="AB40" i="10"/>
  <c r="AA40" i="10"/>
  <c r="AD39" i="10"/>
  <c r="AC39" i="10"/>
  <c r="AB39" i="10"/>
  <c r="AA39" i="10"/>
  <c r="AD38" i="10"/>
  <c r="AC38" i="10"/>
  <c r="AB38" i="10"/>
  <c r="AA38" i="10"/>
  <c r="Y38" i="10"/>
  <c r="R38" i="10"/>
  <c r="O38" i="10"/>
  <c r="N38" i="10"/>
  <c r="M38" i="10"/>
  <c r="L38" i="10"/>
  <c r="K38" i="10"/>
  <c r="J38" i="10"/>
  <c r="I38" i="10"/>
  <c r="H38" i="10"/>
  <c r="G38" i="10"/>
  <c r="F38" i="10"/>
  <c r="E38" i="10"/>
  <c r="D38" i="10"/>
  <c r="C38" i="10"/>
  <c r="B38" i="10"/>
  <c r="A88" i="10"/>
  <c r="AD37" i="10"/>
  <c r="AC37" i="10"/>
  <c r="AB37" i="10"/>
  <c r="AA37" i="10"/>
  <c r="Y37" i="10"/>
  <c r="R37" i="10"/>
  <c r="O37" i="10"/>
  <c r="N37" i="10"/>
  <c r="M37" i="10"/>
  <c r="L37" i="10"/>
  <c r="K37" i="10"/>
  <c r="J37" i="10"/>
  <c r="I37" i="10"/>
  <c r="H37" i="10"/>
  <c r="G37" i="10"/>
  <c r="F37" i="10"/>
  <c r="E37" i="10"/>
  <c r="D37" i="10"/>
  <c r="C37" i="10"/>
  <c r="B37" i="10"/>
  <c r="A87" i="10"/>
  <c r="R36" i="10"/>
  <c r="O36" i="10"/>
  <c r="N36" i="10"/>
  <c r="M36" i="10"/>
  <c r="L36" i="10"/>
  <c r="K36" i="10"/>
  <c r="J36" i="10"/>
  <c r="I36" i="10"/>
  <c r="H36" i="10"/>
  <c r="G36" i="10"/>
  <c r="F36" i="10"/>
  <c r="E36" i="10"/>
  <c r="D36" i="10"/>
  <c r="C36" i="10"/>
  <c r="B36" i="10"/>
  <c r="A86" i="10"/>
  <c r="R35" i="10"/>
  <c r="O35" i="10"/>
  <c r="N35" i="10"/>
  <c r="M35" i="10"/>
  <c r="L35" i="10"/>
  <c r="K35" i="10"/>
  <c r="J35" i="10"/>
  <c r="I35" i="10"/>
  <c r="H35" i="10"/>
  <c r="G35" i="10"/>
  <c r="F35" i="10"/>
  <c r="E35" i="10"/>
  <c r="D35" i="10"/>
  <c r="C35" i="10"/>
  <c r="B35" i="10"/>
  <c r="A85" i="10"/>
  <c r="AD34" i="10"/>
  <c r="AC34" i="10"/>
  <c r="AB34" i="10"/>
  <c r="AA34" i="10"/>
  <c r="Y34" i="10"/>
  <c r="T33" i="10"/>
  <c r="T11" i="10" s="1"/>
  <c r="E129" i="92" s="1"/>
  <c r="S33" i="10"/>
  <c r="Q33" i="10"/>
  <c r="P33" i="10"/>
  <c r="P11" i="10" s="1"/>
  <c r="E101" i="92" s="1"/>
  <c r="AD32" i="10"/>
  <c r="AC32" i="10"/>
  <c r="AB32" i="10"/>
  <c r="AA32" i="10"/>
  <c r="Y32" i="10"/>
  <c r="R32" i="10"/>
  <c r="O32" i="10"/>
  <c r="N32" i="10"/>
  <c r="M32" i="10"/>
  <c r="L32" i="10"/>
  <c r="K32" i="10"/>
  <c r="J32" i="10"/>
  <c r="I32" i="10"/>
  <c r="H32" i="10"/>
  <c r="G32" i="10"/>
  <c r="F32" i="10"/>
  <c r="E32" i="10"/>
  <c r="D32" i="10"/>
  <c r="C32" i="10"/>
  <c r="B32" i="10"/>
  <c r="A82" i="10"/>
  <c r="AD31" i="10"/>
  <c r="AC31" i="10"/>
  <c r="AB31" i="10"/>
  <c r="AA31" i="10"/>
  <c r="Y31" i="10"/>
  <c r="R31" i="10"/>
  <c r="O31" i="10"/>
  <c r="N31" i="10"/>
  <c r="M31" i="10"/>
  <c r="L31" i="10"/>
  <c r="K31" i="10"/>
  <c r="J31" i="10"/>
  <c r="I31" i="10"/>
  <c r="H31" i="10"/>
  <c r="G31" i="10"/>
  <c r="F31" i="10"/>
  <c r="E31" i="10"/>
  <c r="D31" i="10"/>
  <c r="C31" i="10"/>
  <c r="B31" i="10"/>
  <c r="A81" i="10"/>
  <c r="R30" i="10"/>
  <c r="O30" i="10"/>
  <c r="N30" i="10"/>
  <c r="M30" i="10"/>
  <c r="L30" i="10"/>
  <c r="K30" i="10"/>
  <c r="J30" i="10"/>
  <c r="I30" i="10"/>
  <c r="H30" i="10"/>
  <c r="G30" i="10"/>
  <c r="F30" i="10"/>
  <c r="E30" i="10"/>
  <c r="D30" i="10"/>
  <c r="C30" i="10"/>
  <c r="B30" i="10"/>
  <c r="A80" i="10"/>
  <c r="AD29" i="10"/>
  <c r="AC29" i="10"/>
  <c r="AB29" i="10"/>
  <c r="AA29" i="10"/>
  <c r="Y29" i="10"/>
  <c r="R29" i="10"/>
  <c r="O29" i="10"/>
  <c r="N29" i="10"/>
  <c r="M29" i="10"/>
  <c r="L29" i="10"/>
  <c r="K29" i="10"/>
  <c r="J29" i="10"/>
  <c r="I29" i="10"/>
  <c r="H29" i="10"/>
  <c r="G29" i="10"/>
  <c r="F29" i="10"/>
  <c r="E29" i="10"/>
  <c r="D29" i="10"/>
  <c r="C29" i="10"/>
  <c r="B29" i="10"/>
  <c r="A79" i="10"/>
  <c r="T28" i="10"/>
  <c r="S28" i="10"/>
  <c r="Q28" i="10"/>
  <c r="P28" i="10"/>
  <c r="O25" i="10"/>
  <c r="N25" i="10"/>
  <c r="M25" i="10"/>
  <c r="L25" i="10"/>
  <c r="K25" i="10"/>
  <c r="J25" i="10"/>
  <c r="I25" i="10"/>
  <c r="H25" i="10"/>
  <c r="G25" i="10"/>
  <c r="F25" i="10"/>
  <c r="E25" i="10"/>
  <c r="D25" i="10"/>
  <c r="C25" i="10"/>
  <c r="B25" i="10"/>
  <c r="R19" i="10"/>
  <c r="S18" i="10"/>
  <c r="E127" i="92" s="1"/>
  <c r="Q18" i="10"/>
  <c r="P18" i="10"/>
  <c r="E106" i="92" s="1"/>
  <c r="O18" i="10"/>
  <c r="E99" i="92" s="1"/>
  <c r="T15" i="10"/>
  <c r="E133" i="92" s="1"/>
  <c r="S15" i="10"/>
  <c r="E126" i="92" s="1"/>
  <c r="Q15" i="10"/>
  <c r="E112" i="92" s="1"/>
  <c r="P15" i="10"/>
  <c r="E105" i="92" s="1"/>
  <c r="T14" i="10"/>
  <c r="S14" i="10"/>
  <c r="E125" i="92" s="1"/>
  <c r="Q14" i="10"/>
  <c r="E111" i="92" s="1"/>
  <c r="P14" i="10"/>
  <c r="E104" i="92" s="1"/>
  <c r="O14" i="10"/>
  <c r="E97" i="92" s="1"/>
  <c r="N14" i="10"/>
  <c r="M14" i="10"/>
  <c r="E83" i="92" s="1"/>
  <c r="L14" i="10"/>
  <c r="E76" i="92" s="1"/>
  <c r="K14" i="10"/>
  <c r="E69" i="92" s="1"/>
  <c r="J14" i="10"/>
  <c r="E62" i="92" s="1"/>
  <c r="I14" i="10"/>
  <c r="E55" i="92" s="1"/>
  <c r="H14" i="10"/>
  <c r="E48" i="92" s="1"/>
  <c r="G14" i="10"/>
  <c r="E41" i="92" s="1"/>
  <c r="F14" i="10"/>
  <c r="E34" i="92" s="1"/>
  <c r="E14" i="10"/>
  <c r="E27" i="92" s="1"/>
  <c r="D14" i="10"/>
  <c r="E20" i="92" s="1"/>
  <c r="C14" i="10"/>
  <c r="E13" i="92" s="1"/>
  <c r="B14" i="10"/>
  <c r="E6" i="92" s="1"/>
  <c r="T13" i="10"/>
  <c r="S13" i="10"/>
  <c r="E124" i="92" s="1"/>
  <c r="Q13" i="10"/>
  <c r="P13" i="10"/>
  <c r="E103" i="92" s="1"/>
  <c r="O13" i="10"/>
  <c r="E96" i="92" s="1"/>
  <c r="N13" i="10"/>
  <c r="E89" i="92" s="1"/>
  <c r="M13" i="10"/>
  <c r="L13" i="10"/>
  <c r="K13" i="10"/>
  <c r="J13" i="10"/>
  <c r="E61" i="92" s="1"/>
  <c r="I13" i="10"/>
  <c r="E54" i="92" s="1"/>
  <c r="H13" i="10"/>
  <c r="E47" i="92" s="1"/>
  <c r="G13" i="10"/>
  <c r="F13" i="10"/>
  <c r="E33" i="92" s="1"/>
  <c r="E13" i="10"/>
  <c r="E26" i="92" s="1"/>
  <c r="D13" i="10"/>
  <c r="E19" i="92" s="1"/>
  <c r="C13" i="10"/>
  <c r="E12" i="92" s="1"/>
  <c r="B13" i="10"/>
  <c r="E5" i="92" s="1"/>
  <c r="T12" i="10"/>
  <c r="E130" i="92" s="1"/>
  <c r="S12" i="10"/>
  <c r="E123" i="92" s="1"/>
  <c r="Q12" i="10"/>
  <c r="E109" i="92" s="1"/>
  <c r="P12" i="10"/>
  <c r="E102" i="92" s="1"/>
  <c r="O12" i="10"/>
  <c r="N12" i="10"/>
  <c r="E88" i="92" s="1"/>
  <c r="M12" i="10"/>
  <c r="E81" i="92" s="1"/>
  <c r="L12" i="10"/>
  <c r="E74" i="92" s="1"/>
  <c r="K12" i="10"/>
  <c r="E67" i="92" s="1"/>
  <c r="J12" i="10"/>
  <c r="E60" i="92" s="1"/>
  <c r="I12" i="10"/>
  <c r="E53" i="92" s="1"/>
  <c r="H12" i="10"/>
  <c r="E46" i="92" s="1"/>
  <c r="G12" i="10"/>
  <c r="E39" i="92" s="1"/>
  <c r="F12" i="10"/>
  <c r="E32" i="92" s="1"/>
  <c r="E12" i="10"/>
  <c r="D12" i="10"/>
  <c r="E18" i="92" s="1"/>
  <c r="C12" i="10"/>
  <c r="E11" i="92" s="1"/>
  <c r="B12" i="10"/>
  <c r="T10" i="10"/>
  <c r="E128" i="92" s="1"/>
  <c r="S10" i="10"/>
  <c r="E121" i="92" s="1"/>
  <c r="Q10" i="10"/>
  <c r="E107" i="92" s="1"/>
  <c r="P10" i="10"/>
  <c r="E100" i="92" s="1"/>
  <c r="P6" i="10"/>
  <c r="P75" i="10" s="1"/>
  <c r="A1" i="10"/>
  <c r="F146" i="58"/>
  <c r="AC16" i="58"/>
  <c r="AB16" i="58"/>
  <c r="AA16" i="58"/>
  <c r="E379" i="92" s="1"/>
  <c r="Z16" i="58"/>
  <c r="Y16" i="58"/>
  <c r="E365" i="92" s="1"/>
  <c r="X16" i="58"/>
  <c r="E358" i="92" s="1"/>
  <c r="W16" i="58"/>
  <c r="E351" i="92" s="1"/>
  <c r="V16" i="58"/>
  <c r="E344" i="92" s="1"/>
  <c r="U16" i="58"/>
  <c r="E337" i="92" s="1"/>
  <c r="T16" i="58"/>
  <c r="E330" i="92" s="1"/>
  <c r="S16" i="58"/>
  <c r="E323" i="92" s="1"/>
  <c r="R16" i="58"/>
  <c r="E316" i="92" s="1"/>
  <c r="Q16" i="58"/>
  <c r="E309" i="92" s="1"/>
  <c r="P16" i="58"/>
  <c r="O16" i="58"/>
  <c r="N16" i="58"/>
  <c r="M16" i="58"/>
  <c r="L16" i="58"/>
  <c r="K16" i="58"/>
  <c r="E267" i="92" s="1"/>
  <c r="J16" i="58"/>
  <c r="E260" i="92" s="1"/>
  <c r="I16" i="58"/>
  <c r="E253" i="92" s="1"/>
  <c r="H16" i="58"/>
  <c r="E246" i="92" s="1"/>
  <c r="G16" i="58"/>
  <c r="E239" i="92" s="1"/>
  <c r="F16" i="58"/>
  <c r="E16" i="58"/>
  <c r="E225" i="92" s="1"/>
  <c r="D16" i="58"/>
  <c r="E218" i="92" s="1"/>
  <c r="C16" i="58"/>
  <c r="E211" i="92" s="1"/>
  <c r="B16" i="58"/>
  <c r="E204" i="92" s="1"/>
  <c r="AC13" i="58"/>
  <c r="AB13" i="58"/>
  <c r="AA13" i="58"/>
  <c r="E378" i="92" s="1"/>
  <c r="Z13" i="58"/>
  <c r="Y13" i="58"/>
  <c r="E364" i="92" s="1"/>
  <c r="X13" i="58"/>
  <c r="E357" i="92" s="1"/>
  <c r="W13" i="58"/>
  <c r="E350" i="92" s="1"/>
  <c r="V13" i="58"/>
  <c r="U13" i="58"/>
  <c r="E336" i="92" s="1"/>
  <c r="T13" i="58"/>
  <c r="S13" i="58"/>
  <c r="R13" i="58"/>
  <c r="Q13" i="58"/>
  <c r="E308" i="92" s="1"/>
  <c r="P13" i="58"/>
  <c r="E301" i="92" s="1"/>
  <c r="O13" i="58"/>
  <c r="E294" i="92" s="1"/>
  <c r="N13" i="58"/>
  <c r="E287" i="92" s="1"/>
  <c r="M13" i="58"/>
  <c r="E280" i="92" s="1"/>
  <c r="L13" i="58"/>
  <c r="E273" i="92" s="1"/>
  <c r="K13" i="58"/>
  <c r="E266" i="92" s="1"/>
  <c r="J13" i="58"/>
  <c r="E259" i="92" s="1"/>
  <c r="I13" i="58"/>
  <c r="E252" i="92" s="1"/>
  <c r="H13" i="58"/>
  <c r="G13" i="58"/>
  <c r="E238" i="92" s="1"/>
  <c r="F13" i="58"/>
  <c r="E231" i="92" s="1"/>
  <c r="E13" i="58"/>
  <c r="E224" i="92" s="1"/>
  <c r="D13" i="58"/>
  <c r="E217" i="92" s="1"/>
  <c r="C13" i="58"/>
  <c r="E210" i="92" s="1"/>
  <c r="B13" i="58"/>
  <c r="E203" i="92" s="1"/>
  <c r="AC12" i="58"/>
  <c r="AB12" i="58"/>
  <c r="AA12" i="58"/>
  <c r="E377" i="92" s="1"/>
  <c r="Z12" i="58"/>
  <c r="Y12" i="58"/>
  <c r="E363" i="92" s="1"/>
  <c r="X12" i="58"/>
  <c r="E356" i="92" s="1"/>
  <c r="W12" i="58"/>
  <c r="V12" i="58"/>
  <c r="U12" i="58"/>
  <c r="E335" i="92" s="1"/>
  <c r="T12" i="58"/>
  <c r="E328" i="92" s="1"/>
  <c r="S12" i="58"/>
  <c r="E321" i="92" s="1"/>
  <c r="R12" i="58"/>
  <c r="Q12" i="58"/>
  <c r="E307" i="92" s="1"/>
  <c r="P12" i="58"/>
  <c r="E300" i="92" s="1"/>
  <c r="O12" i="58"/>
  <c r="E293" i="92" s="1"/>
  <c r="N12" i="58"/>
  <c r="E286" i="92" s="1"/>
  <c r="M12" i="58"/>
  <c r="E279" i="92" s="1"/>
  <c r="L12" i="58"/>
  <c r="E272" i="92" s="1"/>
  <c r="K12" i="58"/>
  <c r="E265" i="92" s="1"/>
  <c r="J12" i="58"/>
  <c r="E258" i="92" s="1"/>
  <c r="I12" i="58"/>
  <c r="E251" i="92" s="1"/>
  <c r="H12" i="58"/>
  <c r="E244" i="92" s="1"/>
  <c r="G12" i="58"/>
  <c r="E237" i="92" s="1"/>
  <c r="F12" i="58"/>
  <c r="E230" i="92" s="1"/>
  <c r="E12" i="58"/>
  <c r="E223" i="92" s="1"/>
  <c r="D12" i="58"/>
  <c r="E216" i="92" s="1"/>
  <c r="C12" i="58"/>
  <c r="E209" i="92" s="1"/>
  <c r="B12" i="58"/>
  <c r="AC11" i="58"/>
  <c r="AB11" i="58"/>
  <c r="AA11" i="58"/>
  <c r="E376" i="92" s="1"/>
  <c r="Z11" i="58"/>
  <c r="Y11" i="58"/>
  <c r="X11" i="58"/>
  <c r="E355" i="92" s="1"/>
  <c r="W11" i="58"/>
  <c r="E348" i="92" s="1"/>
  <c r="V11" i="58"/>
  <c r="E341" i="92" s="1"/>
  <c r="U11" i="58"/>
  <c r="E334" i="92" s="1"/>
  <c r="T11" i="58"/>
  <c r="E327" i="92" s="1"/>
  <c r="S11" i="58"/>
  <c r="E320" i="92" s="1"/>
  <c r="R11" i="58"/>
  <c r="E313" i="92" s="1"/>
  <c r="Q11" i="58"/>
  <c r="E306" i="92" s="1"/>
  <c r="P11" i="58"/>
  <c r="E299" i="92" s="1"/>
  <c r="O11" i="58"/>
  <c r="E292" i="92" s="1"/>
  <c r="N11" i="58"/>
  <c r="E285" i="92" s="1"/>
  <c r="M11" i="58"/>
  <c r="E278" i="92" s="1"/>
  <c r="L11" i="58"/>
  <c r="E271" i="92" s="1"/>
  <c r="K11" i="58"/>
  <c r="E264" i="92" s="1"/>
  <c r="J11" i="58"/>
  <c r="E257" i="92" s="1"/>
  <c r="I11" i="58"/>
  <c r="E250" i="92" s="1"/>
  <c r="H11" i="58"/>
  <c r="E243" i="92" s="1"/>
  <c r="G11" i="58"/>
  <c r="E236" i="92" s="1"/>
  <c r="F11" i="58"/>
  <c r="E11" i="58"/>
  <c r="E222" i="92" s="1"/>
  <c r="D11" i="58"/>
  <c r="C11" i="58"/>
  <c r="E208" i="92" s="1"/>
  <c r="B11" i="58"/>
  <c r="E201" i="92" s="1"/>
  <c r="AC10" i="58"/>
  <c r="AB10" i="58"/>
  <c r="AA10" i="58"/>
  <c r="E375" i="92" s="1"/>
  <c r="Z10" i="58"/>
  <c r="Y10" i="58"/>
  <c r="E361" i="92" s="1"/>
  <c r="X10" i="58"/>
  <c r="E354" i="92" s="1"/>
  <c r="W10" i="58"/>
  <c r="V10" i="58"/>
  <c r="E340" i="92" s="1"/>
  <c r="U10" i="58"/>
  <c r="E333" i="92" s="1"/>
  <c r="T10" i="58"/>
  <c r="E326" i="92" s="1"/>
  <c r="S10" i="58"/>
  <c r="E319" i="92" s="1"/>
  <c r="R10" i="58"/>
  <c r="E312" i="92" s="1"/>
  <c r="Q10" i="58"/>
  <c r="E305" i="92" s="1"/>
  <c r="P10" i="58"/>
  <c r="E298" i="92" s="1"/>
  <c r="O10" i="58"/>
  <c r="E291" i="92" s="1"/>
  <c r="N10" i="58"/>
  <c r="E284" i="92" s="1"/>
  <c r="M10" i="58"/>
  <c r="E277" i="92" s="1"/>
  <c r="L10" i="58"/>
  <c r="K10" i="58"/>
  <c r="E263" i="92" s="1"/>
  <c r="J10" i="58"/>
  <c r="E256" i="92" s="1"/>
  <c r="I10" i="58"/>
  <c r="E249" i="92" s="1"/>
  <c r="H10" i="58"/>
  <c r="G10" i="58"/>
  <c r="F10" i="58"/>
  <c r="E10" i="58"/>
  <c r="D10" i="58"/>
  <c r="E214" i="92" s="1"/>
  <c r="C10" i="58"/>
  <c r="E207" i="92" s="1"/>
  <c r="B10" i="58"/>
  <c r="E200" i="92" s="1"/>
  <c r="AC9" i="58"/>
  <c r="AB9" i="58"/>
  <c r="AA9" i="58"/>
  <c r="Z9" i="58"/>
  <c r="Y9" i="58"/>
  <c r="E360" i="92" s="1"/>
  <c r="X9" i="58"/>
  <c r="E353" i="92" s="1"/>
  <c r="W9" i="58"/>
  <c r="E346" i="92" s="1"/>
  <c r="V9" i="58"/>
  <c r="E339" i="92" s="1"/>
  <c r="U9" i="58"/>
  <c r="E332" i="92" s="1"/>
  <c r="T9" i="58"/>
  <c r="E325" i="92" s="1"/>
  <c r="S9" i="58"/>
  <c r="E318" i="92" s="1"/>
  <c r="R9" i="58"/>
  <c r="E311" i="92" s="1"/>
  <c r="Q9" i="58"/>
  <c r="E304" i="92" s="1"/>
  <c r="P9" i="58"/>
  <c r="O9" i="58"/>
  <c r="E290" i="92" s="1"/>
  <c r="N9" i="58"/>
  <c r="M9" i="58"/>
  <c r="E276" i="92" s="1"/>
  <c r="L9" i="58"/>
  <c r="K9" i="58"/>
  <c r="J9" i="58"/>
  <c r="I9" i="58"/>
  <c r="E248" i="92" s="1"/>
  <c r="H9" i="58"/>
  <c r="E241" i="92" s="1"/>
  <c r="G9" i="58"/>
  <c r="E234" i="92" s="1"/>
  <c r="F9" i="58"/>
  <c r="E227" i="92" s="1"/>
  <c r="E9" i="58"/>
  <c r="E220" i="92" s="1"/>
  <c r="D9" i="58"/>
  <c r="E213" i="92" s="1"/>
  <c r="C9" i="58"/>
  <c r="E206" i="92" s="1"/>
  <c r="B9" i="58"/>
  <c r="AC8" i="58"/>
  <c r="AB8" i="58"/>
  <c r="AA8" i="58"/>
  <c r="Z8" i="58"/>
  <c r="Y8" i="58"/>
  <c r="E359" i="92" s="1"/>
  <c r="X8" i="58"/>
  <c r="E352" i="92" s="1"/>
  <c r="W8" i="58"/>
  <c r="E345" i="92" s="1"/>
  <c r="V8" i="58"/>
  <c r="E338" i="92" s="1"/>
  <c r="U8" i="58"/>
  <c r="E331" i="92" s="1"/>
  <c r="T8" i="58"/>
  <c r="S8" i="58"/>
  <c r="R8" i="58"/>
  <c r="Q8" i="58"/>
  <c r="E303" i="92" s="1"/>
  <c r="P8" i="58"/>
  <c r="E296" i="92" s="1"/>
  <c r="O8" i="58"/>
  <c r="N8" i="58"/>
  <c r="M8" i="58"/>
  <c r="E275" i="92" s="1"/>
  <c r="L8" i="58"/>
  <c r="E268" i="92" s="1"/>
  <c r="K8" i="58"/>
  <c r="J8" i="58"/>
  <c r="E254" i="92" s="1"/>
  <c r="I8" i="58"/>
  <c r="E247" i="92" s="1"/>
  <c r="H8" i="58"/>
  <c r="E240" i="92" s="1"/>
  <c r="G8" i="58"/>
  <c r="E233" i="92" s="1"/>
  <c r="F8" i="58"/>
  <c r="E8" i="58"/>
  <c r="E219" i="92" s="1"/>
  <c r="D8" i="58"/>
  <c r="E212" i="92" s="1"/>
  <c r="C8" i="58"/>
  <c r="B8" i="58"/>
  <c r="AC6" i="58"/>
  <c r="A377" i="92" s="1"/>
  <c r="AB6" i="58"/>
  <c r="AA6" i="58"/>
  <c r="Z6" i="58"/>
  <c r="A370" i="92" s="1"/>
  <c r="Y6" i="58"/>
  <c r="A361" i="92" s="1"/>
  <c r="X6" i="58"/>
  <c r="A356" i="92" s="1"/>
  <c r="W6" i="58"/>
  <c r="A347" i="92" s="1"/>
  <c r="V6" i="58"/>
  <c r="U6" i="58"/>
  <c r="A336" i="92" s="1"/>
  <c r="T6" i="58"/>
  <c r="A324" i="92" s="1"/>
  <c r="S6" i="58"/>
  <c r="A323" i="92" s="1"/>
  <c r="R6" i="58"/>
  <c r="Q6" i="58"/>
  <c r="P6" i="58"/>
  <c r="A302" i="92" s="1"/>
  <c r="O6" i="58"/>
  <c r="A291" i="92" s="1"/>
  <c r="N6" i="58"/>
  <c r="A284" i="92" s="1"/>
  <c r="M6" i="58"/>
  <c r="A278" i="92" s="1"/>
  <c r="L6" i="58"/>
  <c r="A271" i="92" s="1"/>
  <c r="K6" i="58"/>
  <c r="A261" i="92" s="1"/>
  <c r="J6" i="58"/>
  <c r="A258" i="92" s="1"/>
  <c r="I6" i="58"/>
  <c r="A248" i="92" s="1"/>
  <c r="H6" i="58"/>
  <c r="A242" i="92" s="1"/>
  <c r="G6" i="58"/>
  <c r="A235" i="92" s="1"/>
  <c r="F6" i="58"/>
  <c r="A230" i="92" s="1"/>
  <c r="E6" i="58"/>
  <c r="A220" i="92" s="1"/>
  <c r="D6" i="58"/>
  <c r="A213" i="92" s="1"/>
  <c r="C6" i="58"/>
  <c r="A205" i="92" s="1"/>
  <c r="Y5" i="58"/>
  <c r="A1" i="58"/>
  <c r="E43" i="94"/>
  <c r="E37" i="94"/>
  <c r="D37" i="94"/>
  <c r="C37" i="94"/>
  <c r="E33" i="94"/>
  <c r="D33" i="94"/>
  <c r="D43" i="94" s="1"/>
  <c r="C33" i="94"/>
  <c r="C43" i="94" s="1"/>
  <c r="E17" i="94"/>
  <c r="D17" i="94"/>
  <c r="C17" i="94"/>
  <c r="C13" i="94" s="1"/>
  <c r="E13" i="94"/>
  <c r="D13" i="94"/>
  <c r="D27" i="94" s="1"/>
  <c r="E9" i="94"/>
  <c r="E27" i="94" s="1"/>
  <c r="D9" i="94"/>
  <c r="C9" i="94"/>
  <c r="H45" i="90"/>
  <c r="I45" i="90" s="1"/>
  <c r="F45" i="90"/>
  <c r="F43" i="90"/>
  <c r="H41" i="90"/>
  <c r="I41" i="90" s="1"/>
  <c r="F41" i="90"/>
  <c r="E41" i="90"/>
  <c r="D41" i="90"/>
  <c r="C41" i="90"/>
  <c r="B41" i="90"/>
  <c r="F26" i="90"/>
  <c r="H26" i="90" s="1"/>
  <c r="E26" i="90"/>
  <c r="D26" i="90"/>
  <c r="C26" i="90"/>
  <c r="B26" i="90"/>
  <c r="M21" i="91"/>
  <c r="J21" i="91"/>
  <c r="H21" i="91"/>
  <c r="F21" i="91"/>
  <c r="N13" i="91"/>
  <c r="N21" i="91" s="1"/>
  <c r="M13" i="91"/>
  <c r="K13" i="91"/>
  <c r="K21" i="91" s="1"/>
  <c r="J13" i="91"/>
  <c r="I13" i="91"/>
  <c r="I21" i="91" s="1"/>
  <c r="H13" i="91"/>
  <c r="G13" i="91"/>
  <c r="G21" i="91" s="1"/>
  <c r="F13" i="91"/>
  <c r="E13" i="91"/>
  <c r="E21" i="91" s="1"/>
  <c r="N9" i="91"/>
  <c r="M9" i="91"/>
  <c r="K9" i="91"/>
  <c r="J9" i="91"/>
  <c r="I9" i="91"/>
  <c r="H9" i="91"/>
  <c r="G9" i="91"/>
  <c r="F9" i="91"/>
  <c r="E9" i="91"/>
  <c r="A109" i="87"/>
  <c r="A108" i="87"/>
  <c r="A107" i="87"/>
  <c r="A106" i="87"/>
  <c r="A105" i="87"/>
  <c r="A104" i="87"/>
  <c r="A103" i="87"/>
  <c r="A102" i="87"/>
  <c r="AB8" i="87" s="1"/>
  <c r="A93" i="87"/>
  <c r="A92" i="87"/>
  <c r="A91" i="87"/>
  <c r="A90" i="87"/>
  <c r="A89" i="87"/>
  <c r="A88" i="87"/>
  <c r="A87" i="87"/>
  <c r="A86" i="87"/>
  <c r="A85" i="87"/>
  <c r="A84" i="87"/>
  <c r="A83" i="87"/>
  <c r="A82" i="87"/>
  <c r="A81" i="87"/>
  <c r="A80" i="87"/>
  <c r="A79" i="87"/>
  <c r="A78" i="87"/>
  <c r="A77" i="87"/>
  <c r="A76" i="87"/>
  <c r="A75" i="87"/>
  <c r="A53" i="87"/>
  <c r="A52" i="87"/>
  <c r="A51" i="87"/>
  <c r="A50" i="87"/>
  <c r="A49" i="87"/>
  <c r="A48" i="87"/>
  <c r="A47" i="87"/>
  <c r="A46" i="87"/>
  <c r="A45" i="87"/>
  <c r="A44" i="87"/>
  <c r="A43" i="87"/>
  <c r="A42" i="87"/>
  <c r="A41" i="87"/>
  <c r="A40" i="87"/>
  <c r="A39" i="87"/>
  <c r="A38" i="87"/>
  <c r="A37" i="87"/>
  <c r="A36" i="87"/>
  <c r="A35" i="87"/>
  <c r="A34" i="87"/>
  <c r="A33" i="87"/>
  <c r="A32" i="87"/>
  <c r="A31" i="87"/>
  <c r="A30" i="87"/>
  <c r="A29" i="87"/>
  <c r="A28" i="87"/>
  <c r="A27" i="87"/>
  <c r="A26" i="87"/>
  <c r="A25" i="87"/>
  <c r="A24" i="87"/>
  <c r="A23" i="87"/>
  <c r="A22" i="87"/>
  <c r="A21" i="87"/>
  <c r="A20" i="87"/>
  <c r="A19" i="87"/>
  <c r="A18" i="87"/>
  <c r="W9" i="87"/>
  <c r="V9" i="87"/>
  <c r="U9" i="87"/>
  <c r="T9" i="87"/>
  <c r="S9" i="87"/>
  <c r="R9" i="87"/>
  <c r="Q9" i="87"/>
  <c r="P9" i="87"/>
  <c r="O9" i="87"/>
  <c r="N9" i="87"/>
  <c r="M9" i="87"/>
  <c r="L9" i="87"/>
  <c r="K9" i="87"/>
  <c r="J9" i="87"/>
  <c r="I9" i="87"/>
  <c r="H9" i="87"/>
  <c r="G9" i="87"/>
  <c r="F9" i="87"/>
  <c r="E9" i="87"/>
  <c r="D9" i="87"/>
  <c r="B8" i="87"/>
  <c r="W6" i="87"/>
  <c r="V6" i="87"/>
  <c r="U6" i="87"/>
  <c r="T6" i="87"/>
  <c r="S6" i="87"/>
  <c r="R6" i="87"/>
  <c r="Q6" i="87"/>
  <c r="P6" i="87"/>
  <c r="O6" i="87"/>
  <c r="N6" i="87"/>
  <c r="M6" i="87"/>
  <c r="L6" i="87"/>
  <c r="K6" i="87"/>
  <c r="J6" i="87"/>
  <c r="I6" i="87"/>
  <c r="H6" i="87"/>
  <c r="G6" i="87"/>
  <c r="F6" i="87"/>
  <c r="E6" i="87"/>
  <c r="D6" i="87"/>
  <c r="W5" i="87"/>
  <c r="V5" i="87"/>
  <c r="U5" i="87"/>
  <c r="T5" i="87"/>
  <c r="S5" i="87"/>
  <c r="R5" i="87"/>
  <c r="Q5" i="87"/>
  <c r="P5" i="87"/>
  <c r="O5" i="87"/>
  <c r="N5" i="87"/>
  <c r="M5" i="87"/>
  <c r="L5" i="87"/>
  <c r="K5" i="87"/>
  <c r="J5" i="87"/>
  <c r="I5" i="87"/>
  <c r="H5" i="87"/>
  <c r="G5" i="87"/>
  <c r="F5" i="87"/>
  <c r="E5" i="87"/>
  <c r="D5" i="87"/>
  <c r="W4" i="87"/>
  <c r="V4" i="87"/>
  <c r="U4" i="87"/>
  <c r="T4" i="87"/>
  <c r="S4" i="87"/>
  <c r="R4" i="87"/>
  <c r="Q4" i="87"/>
  <c r="P4" i="87"/>
  <c r="O4" i="87"/>
  <c r="N4" i="87"/>
  <c r="M4" i="87"/>
  <c r="L4" i="87"/>
  <c r="K4" i="87"/>
  <c r="J4" i="87"/>
  <c r="I4" i="87"/>
  <c r="H4" i="87"/>
  <c r="G4" i="87"/>
  <c r="F4" i="87"/>
  <c r="E4" i="87"/>
  <c r="D4" i="87"/>
  <c r="W1" i="87"/>
  <c r="V1" i="87"/>
  <c r="U1" i="87"/>
  <c r="T1" i="87"/>
  <c r="S1" i="87"/>
  <c r="R1" i="87"/>
  <c r="Q1" i="87"/>
  <c r="P1" i="87"/>
  <c r="O1" i="87"/>
  <c r="N1" i="87"/>
  <c r="M1" i="87"/>
  <c r="L1" i="87"/>
  <c r="K1" i="87"/>
  <c r="J1" i="87"/>
  <c r="I1" i="87"/>
  <c r="H1" i="87"/>
  <c r="G1" i="87"/>
  <c r="F1" i="87"/>
  <c r="E1" i="87"/>
  <c r="D1" i="87"/>
  <c r="A947" i="88"/>
  <c r="A946" i="88"/>
  <c r="A945" i="88"/>
  <c r="A944" i="88"/>
  <c r="A943" i="88"/>
  <c r="A942" i="88"/>
  <c r="A941" i="88"/>
  <c r="A940" i="88"/>
  <c r="A939" i="88"/>
  <c r="A938" i="88"/>
  <c r="A937" i="88"/>
  <c r="A936" i="88"/>
  <c r="A935" i="88"/>
  <c r="A934" i="88"/>
  <c r="A933" i="88"/>
  <c r="A932" i="88"/>
  <c r="A931" i="88"/>
  <c r="A930" i="88"/>
  <c r="A929" i="88"/>
  <c r="A928" i="88"/>
  <c r="A927" i="88"/>
  <c r="A926" i="88"/>
  <c r="A925" i="88"/>
  <c r="A924" i="88"/>
  <c r="A923" i="88"/>
  <c r="A922" i="88"/>
  <c r="A921" i="88"/>
  <c r="A920" i="88"/>
  <c r="A919" i="88"/>
  <c r="A918" i="88"/>
  <c r="A917" i="88"/>
  <c r="A916" i="88"/>
  <c r="A915" i="88"/>
  <c r="A914" i="88"/>
  <c r="A913" i="88"/>
  <c r="A912" i="88"/>
  <c r="A911" i="88"/>
  <c r="A910" i="88"/>
  <c r="A909" i="88"/>
  <c r="A908" i="88"/>
  <c r="A907" i="88"/>
  <c r="A906" i="88"/>
  <c r="A905" i="88"/>
  <c r="A904" i="88"/>
  <c r="A903" i="88"/>
  <c r="A902" i="88"/>
  <c r="A901" i="88"/>
  <c r="A900" i="88"/>
  <c r="A899" i="88"/>
  <c r="A898" i="88"/>
  <c r="A897" i="88"/>
  <c r="A896" i="88"/>
  <c r="A895" i="88"/>
  <c r="A894" i="88"/>
  <c r="A893" i="88"/>
  <c r="A892" i="88"/>
  <c r="A891" i="88"/>
  <c r="A890" i="88"/>
  <c r="A889" i="88"/>
  <c r="A888" i="88"/>
  <c r="A887" i="88"/>
  <c r="A886" i="88"/>
  <c r="A885" i="88"/>
  <c r="A884" i="88"/>
  <c r="A883" i="88"/>
  <c r="A882" i="88"/>
  <c r="A881" i="88"/>
  <c r="A880" i="88"/>
  <c r="A879" i="88"/>
  <c r="A878" i="88"/>
  <c r="A877" i="88"/>
  <c r="A876" i="88"/>
  <c r="A875" i="88"/>
  <c r="A874" i="88"/>
  <c r="A873" i="88"/>
  <c r="A872" i="88"/>
  <c r="A871" i="88"/>
  <c r="A870" i="88"/>
  <c r="A869" i="88"/>
  <c r="A868" i="88"/>
  <c r="A867" i="88"/>
  <c r="A866" i="88"/>
  <c r="A865" i="88"/>
  <c r="A864" i="88"/>
  <c r="A863" i="88"/>
  <c r="A862" i="88"/>
  <c r="A861" i="88"/>
  <c r="A860" i="88"/>
  <c r="A859" i="88"/>
  <c r="A858" i="88"/>
  <c r="A857" i="88"/>
  <c r="A856" i="88"/>
  <c r="A855" i="88"/>
  <c r="A854" i="88"/>
  <c r="A853" i="88"/>
  <c r="A852" i="88"/>
  <c r="A851" i="88"/>
  <c r="A850" i="88"/>
  <c r="A849" i="88"/>
  <c r="A848" i="88"/>
  <c r="A847" i="88"/>
  <c r="A846" i="88"/>
  <c r="A845" i="88"/>
  <c r="A844" i="88"/>
  <c r="A843" i="88"/>
  <c r="A842" i="88"/>
  <c r="A841" i="88"/>
  <c r="A840" i="88"/>
  <c r="A839" i="88"/>
  <c r="A838" i="88"/>
  <c r="A837" i="88"/>
  <c r="A836" i="88"/>
  <c r="A835" i="88"/>
  <c r="A834" i="88"/>
  <c r="A833" i="88"/>
  <c r="A832" i="88"/>
  <c r="A831" i="88"/>
  <c r="A830" i="88"/>
  <c r="A829" i="88"/>
  <c r="A828" i="88"/>
  <c r="A827" i="88"/>
  <c r="A826" i="88"/>
  <c r="A825" i="88"/>
  <c r="A824" i="88"/>
  <c r="A823" i="88"/>
  <c r="A822" i="88"/>
  <c r="A821" i="88"/>
  <c r="A820" i="88"/>
  <c r="A819" i="88"/>
  <c r="A818" i="88"/>
  <c r="A817" i="88"/>
  <c r="A816" i="88"/>
  <c r="A815" i="88"/>
  <c r="A814" i="88"/>
  <c r="A813" i="88"/>
  <c r="A812" i="88"/>
  <c r="A811" i="88"/>
  <c r="A810" i="88"/>
  <c r="A809" i="88"/>
  <c r="A808" i="88"/>
  <c r="A807" i="88"/>
  <c r="A806" i="88"/>
  <c r="A805" i="88"/>
  <c r="A804" i="88"/>
  <c r="A803" i="88"/>
  <c r="A802" i="88"/>
  <c r="A801" i="88"/>
  <c r="A800" i="88"/>
  <c r="A799" i="88"/>
  <c r="A798" i="88"/>
  <c r="A797" i="88"/>
  <c r="A796" i="88"/>
  <c r="A795" i="88"/>
  <c r="A794" i="88"/>
  <c r="A793" i="88"/>
  <c r="A792" i="88"/>
  <c r="A791" i="88"/>
  <c r="A790" i="88"/>
  <c r="A789" i="88"/>
  <c r="A788" i="88"/>
  <c r="A787" i="88"/>
  <c r="A786" i="88"/>
  <c r="A785" i="88"/>
  <c r="A784" i="88"/>
  <c r="A783" i="88"/>
  <c r="A782" i="88"/>
  <c r="A781" i="88"/>
  <c r="A780" i="88"/>
  <c r="A779" i="88"/>
  <c r="A778" i="88"/>
  <c r="A777" i="88"/>
  <c r="A776" i="88"/>
  <c r="A775" i="88"/>
  <c r="A774" i="88"/>
  <c r="A773" i="88"/>
  <c r="A772" i="88"/>
  <c r="A771" i="88"/>
  <c r="A770" i="88"/>
  <c r="A769" i="88"/>
  <c r="A768" i="88"/>
  <c r="A767" i="88"/>
  <c r="A766" i="88"/>
  <c r="A765" i="88"/>
  <c r="A764" i="88"/>
  <c r="A763" i="88"/>
  <c r="A762" i="88"/>
  <c r="A761" i="88"/>
  <c r="A760" i="88"/>
  <c r="A759" i="88"/>
  <c r="A758" i="88"/>
  <c r="A757" i="88"/>
  <c r="A756" i="88"/>
  <c r="A755" i="88"/>
  <c r="A754" i="88"/>
  <c r="A753" i="88"/>
  <c r="A752" i="88"/>
  <c r="A751" i="88"/>
  <c r="A750" i="88"/>
  <c r="A749" i="88"/>
  <c r="A748" i="88"/>
  <c r="A747" i="88"/>
  <c r="A746" i="88"/>
  <c r="A745" i="88"/>
  <c r="A744" i="88"/>
  <c r="A743" i="88"/>
  <c r="A742" i="88"/>
  <c r="A741" i="88"/>
  <c r="A740" i="88"/>
  <c r="A739" i="88"/>
  <c r="A738" i="88"/>
  <c r="A737" i="88"/>
  <c r="A736" i="88"/>
  <c r="A735" i="88"/>
  <c r="A734" i="88"/>
  <c r="A733" i="88"/>
  <c r="A732" i="88"/>
  <c r="A731" i="88"/>
  <c r="A730" i="88"/>
  <c r="A729" i="88"/>
  <c r="A728" i="88"/>
  <c r="A727" i="88"/>
  <c r="A726" i="88"/>
  <c r="A725" i="88"/>
  <c r="A724" i="88"/>
  <c r="A723" i="88"/>
  <c r="A722" i="88"/>
  <c r="A721" i="88"/>
  <c r="A720" i="88"/>
  <c r="A719" i="88"/>
  <c r="A718" i="88"/>
  <c r="A717" i="88"/>
  <c r="A716" i="88"/>
  <c r="A715" i="88"/>
  <c r="A714" i="88"/>
  <c r="A713" i="88"/>
  <c r="A712" i="88"/>
  <c r="A711" i="88"/>
  <c r="A710" i="88"/>
  <c r="A709" i="88"/>
  <c r="A708" i="88"/>
  <c r="A707" i="88"/>
  <c r="A706" i="88"/>
  <c r="A705" i="88"/>
  <c r="A704" i="88"/>
  <c r="A703" i="88"/>
  <c r="A702" i="88"/>
  <c r="A701" i="88"/>
  <c r="A700" i="88"/>
  <c r="A699" i="88"/>
  <c r="A698" i="88"/>
  <c r="A697" i="88"/>
  <c r="A696" i="88"/>
  <c r="A695" i="88"/>
  <c r="A694" i="88"/>
  <c r="A693" i="88"/>
  <c r="A692" i="88"/>
  <c r="A691" i="88"/>
  <c r="A690" i="88"/>
  <c r="A689" i="88"/>
  <c r="A688" i="88"/>
  <c r="A687" i="88"/>
  <c r="A686" i="88"/>
  <c r="A685" i="88"/>
  <c r="A684" i="88"/>
  <c r="A683" i="88"/>
  <c r="A682" i="88"/>
  <c r="A681" i="88"/>
  <c r="A680" i="88"/>
  <c r="A679" i="88"/>
  <c r="A678" i="88"/>
  <c r="A677" i="88"/>
  <c r="A676" i="88"/>
  <c r="A675" i="88"/>
  <c r="A674" i="88"/>
  <c r="A673" i="88"/>
  <c r="A672" i="88"/>
  <c r="A671" i="88"/>
  <c r="A670" i="88"/>
  <c r="A669" i="88"/>
  <c r="A668" i="88"/>
  <c r="A667" i="88"/>
  <c r="A666" i="88"/>
  <c r="A665" i="88"/>
  <c r="A664" i="88"/>
  <c r="A663" i="88"/>
  <c r="A662" i="88"/>
  <c r="A661" i="88"/>
  <c r="A660" i="88"/>
  <c r="A659" i="88"/>
  <c r="A658" i="88"/>
  <c r="A657" i="88"/>
  <c r="A656" i="88"/>
  <c r="A655" i="88"/>
  <c r="A654" i="88"/>
  <c r="A653" i="88"/>
  <c r="A652" i="88"/>
  <c r="A651" i="88"/>
  <c r="A650" i="88"/>
  <c r="A649" i="88"/>
  <c r="A648" i="88"/>
  <c r="A647" i="88"/>
  <c r="A646" i="88"/>
  <c r="A645" i="88"/>
  <c r="A644" i="88"/>
  <c r="A643" i="88"/>
  <c r="A642" i="88"/>
  <c r="A641" i="88"/>
  <c r="A640" i="88"/>
  <c r="A639" i="88"/>
  <c r="A638" i="88"/>
  <c r="A637" i="88"/>
  <c r="A636" i="88"/>
  <c r="A635" i="88"/>
  <c r="A634" i="88"/>
  <c r="A633" i="88"/>
  <c r="A632" i="88"/>
  <c r="A631" i="88"/>
  <c r="A630" i="88"/>
  <c r="A629" i="88"/>
  <c r="A628" i="88"/>
  <c r="A627" i="88"/>
  <c r="A626" i="88"/>
  <c r="A625" i="88"/>
  <c r="A624" i="88"/>
  <c r="A623" i="88"/>
  <c r="A622" i="88"/>
  <c r="A621" i="88"/>
  <c r="A620" i="88"/>
  <c r="A619" i="88"/>
  <c r="A618" i="88"/>
  <c r="A617" i="88"/>
  <c r="A616" i="88"/>
  <c r="A615" i="88"/>
  <c r="A614" i="88"/>
  <c r="A613" i="88"/>
  <c r="A612" i="88"/>
  <c r="A611" i="88"/>
  <c r="A610" i="88"/>
  <c r="A609" i="88"/>
  <c r="A608" i="88"/>
  <c r="A607" i="88"/>
  <c r="A606" i="88"/>
  <c r="A605" i="88"/>
  <c r="A604" i="88"/>
  <c r="A603" i="88"/>
  <c r="A602" i="88"/>
  <c r="A601" i="88"/>
  <c r="A600" i="88"/>
  <c r="A599" i="88"/>
  <c r="A598" i="88"/>
  <c r="A597" i="88"/>
  <c r="A596" i="88"/>
  <c r="A595" i="88"/>
  <c r="A594" i="88"/>
  <c r="A593" i="88"/>
  <c r="A592" i="88"/>
  <c r="A591" i="88"/>
  <c r="A590" i="88"/>
  <c r="A589" i="88"/>
  <c r="A588" i="88"/>
  <c r="A587" i="88"/>
  <c r="A586" i="88"/>
  <c r="A585" i="88"/>
  <c r="A584" i="88"/>
  <c r="A583" i="88"/>
  <c r="A582" i="88"/>
  <c r="A581" i="88"/>
  <c r="A580" i="88"/>
  <c r="A579" i="88"/>
  <c r="A578" i="88"/>
  <c r="A577" i="88"/>
  <c r="A576" i="88"/>
  <c r="A575" i="88"/>
  <c r="A574" i="88"/>
  <c r="A573" i="88"/>
  <c r="A572" i="88"/>
  <c r="A571" i="88"/>
  <c r="A570" i="88"/>
  <c r="A569" i="88"/>
  <c r="A568" i="88"/>
  <c r="A567" i="88"/>
  <c r="A566" i="88"/>
  <c r="A565" i="88"/>
  <c r="A564" i="88"/>
  <c r="A563" i="88"/>
  <c r="A562" i="88"/>
  <c r="A561" i="88"/>
  <c r="A560" i="88"/>
  <c r="A559" i="88"/>
  <c r="A558" i="88"/>
  <c r="A557" i="88"/>
  <c r="A556" i="88"/>
  <c r="A555" i="88"/>
  <c r="A554" i="88"/>
  <c r="A553" i="88"/>
  <c r="A552" i="88"/>
  <c r="A551" i="88"/>
  <c r="A550" i="88"/>
  <c r="A549" i="88"/>
  <c r="A548" i="88"/>
  <c r="A547" i="88"/>
  <c r="A546" i="88"/>
  <c r="A545" i="88"/>
  <c r="A544" i="88"/>
  <c r="A543" i="88"/>
  <c r="A542" i="88"/>
  <c r="A541" i="88"/>
  <c r="A540" i="88"/>
  <c r="A539" i="88"/>
  <c r="A538" i="88"/>
  <c r="A537" i="88"/>
  <c r="A536" i="88"/>
  <c r="A535" i="88"/>
  <c r="A534" i="88"/>
  <c r="A533" i="88"/>
  <c r="A532" i="88"/>
  <c r="A531" i="88"/>
  <c r="A530" i="88"/>
  <c r="A529" i="88"/>
  <c r="A528" i="88"/>
  <c r="A527" i="88"/>
  <c r="A526" i="88"/>
  <c r="A525" i="88"/>
  <c r="A524" i="88"/>
  <c r="A523" i="88"/>
  <c r="A522" i="88"/>
  <c r="A521" i="88"/>
  <c r="A520" i="88"/>
  <c r="A519" i="88"/>
  <c r="A518" i="88"/>
  <c r="A517" i="88"/>
  <c r="A516" i="88"/>
  <c r="A515" i="88"/>
  <c r="A514" i="88"/>
  <c r="A513" i="88"/>
  <c r="A512" i="88"/>
  <c r="A511" i="88"/>
  <c r="A510" i="88"/>
  <c r="A509" i="88"/>
  <c r="A508" i="88"/>
  <c r="A507" i="88"/>
  <c r="A506" i="88"/>
  <c r="A505" i="88"/>
  <c r="A504" i="88"/>
  <c r="A503" i="88"/>
  <c r="A502" i="88"/>
  <c r="A501" i="88"/>
  <c r="A500" i="88"/>
  <c r="A499" i="88"/>
  <c r="A498" i="88"/>
  <c r="A497" i="88"/>
  <c r="A496" i="88"/>
  <c r="A495" i="88"/>
  <c r="A494" i="88"/>
  <c r="A493" i="88"/>
  <c r="A492" i="88"/>
  <c r="A491" i="88"/>
  <c r="A490" i="88"/>
  <c r="A489" i="88"/>
  <c r="A488" i="88"/>
  <c r="A487" i="88"/>
  <c r="A486" i="88"/>
  <c r="A485" i="88"/>
  <c r="A484" i="88"/>
  <c r="A483" i="88"/>
  <c r="A482" i="88"/>
  <c r="A481" i="88"/>
  <c r="A480" i="88"/>
  <c r="A479" i="88"/>
  <c r="A478" i="88"/>
  <c r="A477" i="88"/>
  <c r="A476" i="88"/>
  <c r="A475" i="88"/>
  <c r="A474" i="88"/>
  <c r="A473" i="88"/>
  <c r="A472" i="88"/>
  <c r="A471" i="88"/>
  <c r="A470" i="88"/>
  <c r="A469" i="88"/>
  <c r="A468" i="88"/>
  <c r="A467" i="88"/>
  <c r="A466" i="88"/>
  <c r="A465" i="88"/>
  <c r="A464" i="88"/>
  <c r="A463" i="88"/>
  <c r="A462" i="88"/>
  <c r="A461" i="88"/>
  <c r="A460" i="88"/>
  <c r="A459" i="88"/>
  <c r="A458" i="88"/>
  <c r="A457" i="88"/>
  <c r="A456" i="88"/>
  <c r="A455" i="88"/>
  <c r="A454" i="88"/>
  <c r="A453" i="88"/>
  <c r="A452" i="88"/>
  <c r="A451" i="88"/>
  <c r="A450" i="88"/>
  <c r="A449" i="88"/>
  <c r="A448" i="88"/>
  <c r="A447" i="88"/>
  <c r="A446" i="88"/>
  <c r="A445" i="88"/>
  <c r="A444" i="88"/>
  <c r="A443" i="88"/>
  <c r="A442" i="88"/>
  <c r="A441" i="88"/>
  <c r="A440" i="88"/>
  <c r="A439" i="88"/>
  <c r="A438" i="88"/>
  <c r="A437" i="88"/>
  <c r="A436" i="88"/>
  <c r="A435" i="88"/>
  <c r="A434" i="88"/>
  <c r="A433" i="88"/>
  <c r="A432" i="88"/>
  <c r="A431" i="88"/>
  <c r="A430" i="88"/>
  <c r="A429" i="88"/>
  <c r="A428" i="88"/>
  <c r="A427" i="88"/>
  <c r="A426" i="88"/>
  <c r="A425" i="88"/>
  <c r="A424" i="88"/>
  <c r="A423" i="88"/>
  <c r="A422" i="88"/>
  <c r="A421" i="88"/>
  <c r="A420" i="88"/>
  <c r="A419" i="88"/>
  <c r="A418" i="88"/>
  <c r="A417" i="88"/>
  <c r="A416" i="88"/>
  <c r="A415" i="88"/>
  <c r="A414" i="88"/>
  <c r="A413" i="88"/>
  <c r="A412" i="88"/>
  <c r="A411" i="88"/>
  <c r="A410" i="88"/>
  <c r="A409" i="88"/>
  <c r="A408" i="88"/>
  <c r="A407" i="88"/>
  <c r="A406" i="88"/>
  <c r="A405" i="88"/>
  <c r="A404" i="88"/>
  <c r="A403" i="88"/>
  <c r="A402" i="88"/>
  <c r="A401" i="88"/>
  <c r="A400" i="88"/>
  <c r="A399" i="88"/>
  <c r="A398" i="88"/>
  <c r="A397" i="88"/>
  <c r="A396" i="88"/>
  <c r="A395" i="88"/>
  <c r="A394" i="88"/>
  <c r="A393" i="88"/>
  <c r="A392" i="88"/>
  <c r="A391" i="88"/>
  <c r="A390" i="88"/>
  <c r="A389" i="88"/>
  <c r="A388" i="88"/>
  <c r="A387" i="88"/>
  <c r="A386" i="88"/>
  <c r="A385" i="88"/>
  <c r="A384" i="88"/>
  <c r="A383" i="88"/>
  <c r="A382" i="88"/>
  <c r="A381" i="88"/>
  <c r="A380" i="88"/>
  <c r="A379" i="88"/>
  <c r="A378" i="88"/>
  <c r="A377" i="88"/>
  <c r="A376" i="88"/>
  <c r="A375" i="88"/>
  <c r="A374" i="88"/>
  <c r="A373" i="88"/>
  <c r="A372" i="88"/>
  <c r="A371" i="88"/>
  <c r="A370" i="88"/>
  <c r="A369" i="88"/>
  <c r="A368" i="88"/>
  <c r="A367" i="88"/>
  <c r="A366" i="88"/>
  <c r="A365" i="88"/>
  <c r="A364" i="88"/>
  <c r="A363" i="88"/>
  <c r="A362" i="88"/>
  <c r="A361" i="88"/>
  <c r="A360" i="88"/>
  <c r="A359" i="88"/>
  <c r="A358" i="88"/>
  <c r="A357" i="88"/>
  <c r="A356" i="88"/>
  <c r="A355" i="88"/>
  <c r="A354" i="88"/>
  <c r="A353" i="88"/>
  <c r="A352" i="88"/>
  <c r="A351" i="88"/>
  <c r="A350" i="88"/>
  <c r="A349" i="88"/>
  <c r="A348" i="88"/>
  <c r="A347" i="88"/>
  <c r="A346" i="88"/>
  <c r="A345" i="88"/>
  <c r="A344" i="88"/>
  <c r="A343" i="88"/>
  <c r="A342" i="88"/>
  <c r="A341" i="88"/>
  <c r="A340" i="88"/>
  <c r="A339" i="88"/>
  <c r="A338" i="88"/>
  <c r="A337" i="88"/>
  <c r="A336" i="88"/>
  <c r="A335" i="88"/>
  <c r="A334" i="88"/>
  <c r="A333" i="88"/>
  <c r="A332" i="88"/>
  <c r="A331" i="88"/>
  <c r="A330" i="88"/>
  <c r="A329" i="88"/>
  <c r="A328" i="88"/>
  <c r="A327" i="88"/>
  <c r="A326" i="88"/>
  <c r="A325" i="88"/>
  <c r="A324" i="88"/>
  <c r="A323" i="88"/>
  <c r="A322" i="88"/>
  <c r="A321" i="88"/>
  <c r="A320" i="88"/>
  <c r="A319" i="88"/>
  <c r="A318" i="88"/>
  <c r="A317" i="88"/>
  <c r="A316" i="88"/>
  <c r="A315" i="88"/>
  <c r="A314" i="88"/>
  <c r="A313" i="88"/>
  <c r="A312" i="88"/>
  <c r="A311" i="88"/>
  <c r="A310" i="88"/>
  <c r="A309" i="88"/>
  <c r="A308" i="88"/>
  <c r="A307" i="88"/>
  <c r="A306" i="88"/>
  <c r="A305" i="88"/>
  <c r="A304" i="88"/>
  <c r="A303" i="88"/>
  <c r="A302" i="88"/>
  <c r="A301" i="88"/>
  <c r="A300" i="88"/>
  <c r="A299" i="88"/>
  <c r="A298" i="88"/>
  <c r="A297" i="88"/>
  <c r="A296" i="88"/>
  <c r="A295" i="88"/>
  <c r="A294" i="88"/>
  <c r="A293" i="88"/>
  <c r="A292" i="88"/>
  <c r="A291" i="88"/>
  <c r="A290" i="88"/>
  <c r="A289" i="88"/>
  <c r="A288" i="88"/>
  <c r="A287" i="88"/>
  <c r="A286" i="88"/>
  <c r="A285" i="88"/>
  <c r="A284" i="88"/>
  <c r="A283" i="88"/>
  <c r="A282" i="88"/>
  <c r="A281" i="88"/>
  <c r="A280" i="88"/>
  <c r="A279" i="88"/>
  <c r="A278" i="88"/>
  <c r="A277" i="88"/>
  <c r="A276" i="88"/>
  <c r="A275" i="88"/>
  <c r="A274" i="88"/>
  <c r="A273" i="88"/>
  <c r="A272" i="88"/>
  <c r="A271" i="88"/>
  <c r="A270" i="88"/>
  <c r="A269" i="88"/>
  <c r="A268" i="88"/>
  <c r="A267" i="88"/>
  <c r="A266" i="88"/>
  <c r="A265" i="88"/>
  <c r="A264" i="88"/>
  <c r="A263" i="88"/>
  <c r="A262" i="88"/>
  <c r="A261" i="88"/>
  <c r="A260" i="88"/>
  <c r="A259" i="88"/>
  <c r="A258" i="88"/>
  <c r="A257" i="88"/>
  <c r="A256" i="88"/>
  <c r="A255" i="88"/>
  <c r="A254" i="88"/>
  <c r="A253" i="88"/>
  <c r="A252" i="88"/>
  <c r="A251" i="88"/>
  <c r="A250" i="88"/>
  <c r="A249" i="88"/>
  <c r="A248" i="88"/>
  <c r="A247" i="88"/>
  <c r="A246" i="88"/>
  <c r="A245" i="88"/>
  <c r="A244" i="88"/>
  <c r="A243" i="88"/>
  <c r="A242" i="88"/>
  <c r="A241" i="88"/>
  <c r="A240" i="88"/>
  <c r="A239" i="88"/>
  <c r="A238" i="88"/>
  <c r="A237" i="88"/>
  <c r="A236" i="88"/>
  <c r="A235" i="88"/>
  <c r="A234" i="88"/>
  <c r="A233" i="88"/>
  <c r="A232" i="88"/>
  <c r="A231" i="88"/>
  <c r="A230" i="88"/>
  <c r="A229" i="88"/>
  <c r="A228" i="88"/>
  <c r="A227" i="88"/>
  <c r="A226" i="88"/>
  <c r="A225" i="88"/>
  <c r="A224" i="88"/>
  <c r="A223" i="88"/>
  <c r="A222" i="88"/>
  <c r="A221" i="88"/>
  <c r="A220" i="88"/>
  <c r="A219" i="88"/>
  <c r="A218" i="88"/>
  <c r="A217" i="88"/>
  <c r="A216" i="88"/>
  <c r="A215" i="88"/>
  <c r="A214" i="88"/>
  <c r="A213" i="88"/>
  <c r="A212" i="88"/>
  <c r="A211" i="88"/>
  <c r="A210" i="88"/>
  <c r="A209" i="88"/>
  <c r="A208" i="88"/>
  <c r="A207" i="88"/>
  <c r="A206" i="88"/>
  <c r="A205" i="88"/>
  <c r="A204" i="88"/>
  <c r="A203" i="88"/>
  <c r="A202" i="88"/>
  <c r="A201" i="88"/>
  <c r="A200" i="88"/>
  <c r="A199" i="88"/>
  <c r="A198" i="88"/>
  <c r="A197" i="88"/>
  <c r="A196" i="88"/>
  <c r="A195" i="88"/>
  <c r="A194" i="88"/>
  <c r="A193" i="88"/>
  <c r="A192" i="88"/>
  <c r="A191" i="88"/>
  <c r="A190" i="88"/>
  <c r="A189" i="88"/>
  <c r="A188" i="88"/>
  <c r="A187" i="88"/>
  <c r="A186" i="88"/>
  <c r="A185" i="88"/>
  <c r="A184" i="88"/>
  <c r="A183" i="88"/>
  <c r="A182" i="88"/>
  <c r="A181" i="88"/>
  <c r="A180" i="88"/>
  <c r="A179" i="88"/>
  <c r="A178" i="88"/>
  <c r="A177" i="88"/>
  <c r="A176" i="88"/>
  <c r="A175" i="88"/>
  <c r="A174" i="88"/>
  <c r="A173" i="88"/>
  <c r="A172" i="88"/>
  <c r="A171" i="88"/>
  <c r="A170" i="88"/>
  <c r="A169" i="88"/>
  <c r="A168" i="88"/>
  <c r="A167" i="88"/>
  <c r="A166" i="88"/>
  <c r="A165" i="88"/>
  <c r="A164" i="88"/>
  <c r="A163" i="88"/>
  <c r="A162" i="88"/>
  <c r="A161" i="88"/>
  <c r="A160" i="88"/>
  <c r="A159" i="88"/>
  <c r="A158" i="88"/>
  <c r="A157" i="88"/>
  <c r="A156" i="88"/>
  <c r="A155" i="88"/>
  <c r="A154" i="88"/>
  <c r="A153" i="88"/>
  <c r="A152" i="88"/>
  <c r="A151" i="88"/>
  <c r="A150" i="88"/>
  <c r="A149" i="88"/>
  <c r="A148" i="88"/>
  <c r="A147" i="88"/>
  <c r="A146" i="88"/>
  <c r="A145" i="88"/>
  <c r="A144" i="88"/>
  <c r="A143" i="88"/>
  <c r="A142" i="88"/>
  <c r="A141" i="88"/>
  <c r="A140" i="88"/>
  <c r="A139" i="88"/>
  <c r="A138" i="88"/>
  <c r="A137" i="88"/>
  <c r="A136" i="88"/>
  <c r="A135" i="88"/>
  <c r="A134" i="88"/>
  <c r="A133" i="88"/>
  <c r="A132" i="88"/>
  <c r="A131" i="88"/>
  <c r="A130" i="88"/>
  <c r="A129" i="88"/>
  <c r="A128" i="88"/>
  <c r="A127" i="88"/>
  <c r="A126" i="88"/>
  <c r="A125" i="88"/>
  <c r="A124" i="88"/>
  <c r="A123" i="88"/>
  <c r="A122" i="88"/>
  <c r="A121" i="88"/>
  <c r="A120" i="88"/>
  <c r="A119" i="88"/>
  <c r="A118" i="88"/>
  <c r="A117" i="88"/>
  <c r="A116" i="88"/>
  <c r="A115" i="88"/>
  <c r="A114" i="88"/>
  <c r="A113" i="88"/>
  <c r="A112" i="88"/>
  <c r="A111" i="88"/>
  <c r="A110" i="88"/>
  <c r="A109" i="88"/>
  <c r="A108" i="88"/>
  <c r="A107" i="88"/>
  <c r="A106" i="88"/>
  <c r="A105" i="88"/>
  <c r="A104" i="88"/>
  <c r="A103" i="88"/>
  <c r="A102" i="88"/>
  <c r="A101" i="88"/>
  <c r="A100" i="88"/>
  <c r="A99" i="88"/>
  <c r="A98" i="88"/>
  <c r="A97" i="88"/>
  <c r="A96" i="88"/>
  <c r="A95" i="88"/>
  <c r="A94" i="88"/>
  <c r="A93" i="88"/>
  <c r="A92" i="88"/>
  <c r="A91" i="88"/>
  <c r="A90" i="88"/>
  <c r="A89" i="88"/>
  <c r="A88" i="88"/>
  <c r="A87" i="88"/>
  <c r="A86" i="88"/>
  <c r="A85" i="88"/>
  <c r="A84" i="88"/>
  <c r="A83" i="88"/>
  <c r="A82" i="88"/>
  <c r="A81" i="88"/>
  <c r="A80" i="88"/>
  <c r="A79" i="88"/>
  <c r="A78" i="88"/>
  <c r="A77" i="88"/>
  <c r="A76" i="88"/>
  <c r="A75" i="88"/>
  <c r="A74" i="88"/>
  <c r="A73" i="88"/>
  <c r="A72" i="88"/>
  <c r="A71" i="88"/>
  <c r="A70" i="88"/>
  <c r="A69" i="88"/>
  <c r="A68" i="88"/>
  <c r="A67" i="88"/>
  <c r="A66" i="88"/>
  <c r="A65" i="88"/>
  <c r="A64" i="88"/>
  <c r="A63" i="88"/>
  <c r="A62" i="88"/>
  <c r="A61" i="88"/>
  <c r="A60" i="88"/>
  <c r="A59" i="88"/>
  <c r="A58" i="88"/>
  <c r="A57" i="88"/>
  <c r="A56" i="88"/>
  <c r="A55" i="88"/>
  <c r="A54" i="88"/>
  <c r="A53" i="88"/>
  <c r="A52" i="88"/>
  <c r="A51" i="88"/>
  <c r="A50" i="88"/>
  <c r="A49" i="88"/>
  <c r="A48" i="88"/>
  <c r="A47" i="88"/>
  <c r="A46" i="88"/>
  <c r="A45" i="88"/>
  <c r="A44" i="88"/>
  <c r="A43" i="88"/>
  <c r="A42" i="88"/>
  <c r="A41" i="88"/>
  <c r="A40" i="88"/>
  <c r="A39" i="88"/>
  <c r="A38" i="88"/>
  <c r="A37" i="88"/>
  <c r="A36" i="88"/>
  <c r="A35" i="88"/>
  <c r="A34" i="88"/>
  <c r="A33" i="88"/>
  <c r="A32" i="88"/>
  <c r="A31" i="88"/>
  <c r="A30" i="88"/>
  <c r="A29" i="88"/>
  <c r="A28" i="88"/>
  <c r="A27" i="88"/>
  <c r="A26" i="88"/>
  <c r="A25" i="88"/>
  <c r="A24" i="88"/>
  <c r="A23" i="88"/>
  <c r="A22" i="88"/>
  <c r="A21" i="88"/>
  <c r="A20" i="88"/>
  <c r="A19" i="88"/>
  <c r="A18" i="88"/>
  <c r="A17" i="88"/>
  <c r="F9" i="88"/>
  <c r="E9" i="88"/>
  <c r="D9" i="88"/>
  <c r="F8" i="88"/>
  <c r="E8" i="88"/>
  <c r="D8" i="88"/>
  <c r="F7" i="88"/>
  <c r="E7" i="88"/>
  <c r="D7" i="88"/>
  <c r="F5" i="88"/>
  <c r="E5" i="88"/>
  <c r="D5" i="88"/>
  <c r="F4" i="88"/>
  <c r="E4" i="88"/>
  <c r="D4" i="88"/>
  <c r="F3" i="88"/>
  <c r="E3" i="88"/>
  <c r="D3" i="88"/>
  <c r="F2" i="88"/>
  <c r="E2" i="88"/>
  <c r="D2" i="88"/>
  <c r="O21" i="95"/>
  <c r="N21" i="95"/>
  <c r="L21" i="95"/>
  <c r="F21" i="95"/>
  <c r="E21" i="95"/>
  <c r="P13" i="95"/>
  <c r="P21" i="95" s="1"/>
  <c r="O13" i="95"/>
  <c r="N13" i="95"/>
  <c r="L13" i="95"/>
  <c r="K13" i="95"/>
  <c r="K21" i="95" s="1"/>
  <c r="J13" i="95"/>
  <c r="J21" i="95" s="1"/>
  <c r="I13" i="95"/>
  <c r="I21" i="95" s="1"/>
  <c r="H13" i="95"/>
  <c r="H21" i="95" s="1"/>
  <c r="G13" i="95"/>
  <c r="G21" i="95" s="1"/>
  <c r="F13" i="95"/>
  <c r="E13" i="95"/>
  <c r="P9" i="95"/>
  <c r="O9" i="95"/>
  <c r="N9" i="95"/>
  <c r="L9" i="95"/>
  <c r="K9" i="95"/>
  <c r="J9" i="95"/>
  <c r="I9" i="95"/>
  <c r="H9" i="95"/>
  <c r="G9" i="95"/>
  <c r="F9" i="95"/>
  <c r="E9" i="95"/>
  <c r="N21" i="86"/>
  <c r="M21" i="86"/>
  <c r="K21" i="86"/>
  <c r="G21" i="86"/>
  <c r="F21" i="86"/>
  <c r="E21" i="86"/>
  <c r="E15" i="86"/>
  <c r="E14" i="86"/>
  <c r="E13" i="86" s="1"/>
  <c r="N13" i="86"/>
  <c r="M13" i="86"/>
  <c r="K13" i="86"/>
  <c r="J13" i="86"/>
  <c r="J21" i="86" s="1"/>
  <c r="I13" i="86"/>
  <c r="I21" i="86" s="1"/>
  <c r="H13" i="86"/>
  <c r="H21" i="86" s="1"/>
  <c r="G13" i="86"/>
  <c r="F13" i="86"/>
  <c r="N9" i="86"/>
  <c r="M9" i="86"/>
  <c r="K9" i="86"/>
  <c r="J9" i="86"/>
  <c r="I9" i="86"/>
  <c r="H9" i="86"/>
  <c r="G9" i="86"/>
  <c r="F9" i="86"/>
  <c r="E9" i="86"/>
  <c r="M21" i="83"/>
  <c r="K21" i="83"/>
  <c r="J21" i="83"/>
  <c r="I21" i="83"/>
  <c r="H21" i="83"/>
  <c r="G15" i="83"/>
  <c r="G14" i="83"/>
  <c r="F14" i="83"/>
  <c r="N13" i="83"/>
  <c r="N21" i="83" s="1"/>
  <c r="M13" i="83"/>
  <c r="K13" i="83"/>
  <c r="J13" i="83"/>
  <c r="I13" i="83"/>
  <c r="H13" i="83"/>
  <c r="G13" i="83"/>
  <c r="G21" i="83" s="1"/>
  <c r="F13" i="83"/>
  <c r="E13" i="83"/>
  <c r="E21" i="83" s="1"/>
  <c r="F10" i="83"/>
  <c r="F21" i="83" s="1"/>
  <c r="N9" i="83"/>
  <c r="M9" i="83"/>
  <c r="K9" i="83"/>
  <c r="J9" i="83"/>
  <c r="I9" i="83"/>
  <c r="H9" i="83"/>
  <c r="G9" i="83"/>
  <c r="F9" i="83"/>
  <c r="E9" i="83"/>
  <c r="F46" i="84"/>
  <c r="H46" i="84" s="1"/>
  <c r="I46" i="84" s="1"/>
  <c r="G44" i="84"/>
  <c r="F41" i="84"/>
  <c r="Z68" i="10" s="1"/>
  <c r="F40" i="84"/>
  <c r="Z67" i="10" s="1"/>
  <c r="F39" i="84"/>
  <c r="Z66" i="10" s="1"/>
  <c r="F38" i="84"/>
  <c r="F35" i="84"/>
  <c r="Z62" i="10" s="1"/>
  <c r="F34" i="84"/>
  <c r="Z61" i="10" s="1"/>
  <c r="F33" i="84"/>
  <c r="Z60" i="10" s="1"/>
  <c r="F32" i="84"/>
  <c r="F30" i="84"/>
  <c r="F29" i="84"/>
  <c r="Z57" i="10" s="1"/>
  <c r="F28" i="84"/>
  <c r="G26" i="84"/>
  <c r="F26" i="84"/>
  <c r="G21" i="84"/>
  <c r="I20" i="84"/>
  <c r="F20" i="84"/>
  <c r="H20" i="84" s="1"/>
  <c r="F19" i="84"/>
  <c r="Z49" i="10" s="1"/>
  <c r="Z14" i="10" s="1"/>
  <c r="E174" i="92" s="1"/>
  <c r="F18" i="84"/>
  <c r="F17" i="84"/>
  <c r="Z48" i="10" s="1"/>
  <c r="Z13" i="10" s="1"/>
  <c r="E173" i="92" s="1"/>
  <c r="H16" i="84"/>
  <c r="I16" i="84" s="1"/>
  <c r="F16" i="84"/>
  <c r="Z38" i="10" s="1"/>
  <c r="H15" i="84"/>
  <c r="I15" i="84" s="1"/>
  <c r="F15" i="84"/>
  <c r="Z37" i="10" s="1"/>
  <c r="F14" i="84"/>
  <c r="Z34" i="10" s="1"/>
  <c r="H13" i="84"/>
  <c r="I13" i="84" s="1"/>
  <c r="G13" i="84"/>
  <c r="F13" i="84"/>
  <c r="F12" i="84"/>
  <c r="H11" i="84"/>
  <c r="F11" i="84"/>
  <c r="Z31" i="10" s="1"/>
  <c r="H10" i="84"/>
  <c r="G10" i="84"/>
  <c r="F10" i="84"/>
  <c r="Z29" i="10" s="1"/>
  <c r="I46" i="79"/>
  <c r="H46" i="79"/>
  <c r="F46" i="79"/>
  <c r="E42" i="79"/>
  <c r="F41" i="79"/>
  <c r="F40" i="79"/>
  <c r="F39" i="79"/>
  <c r="F38" i="79"/>
  <c r="E37" i="79"/>
  <c r="D37" i="79"/>
  <c r="C37" i="79"/>
  <c r="B37" i="79"/>
  <c r="F35" i="79"/>
  <c r="F34" i="79"/>
  <c r="F33" i="79"/>
  <c r="X60" i="10" s="1"/>
  <c r="F32" i="79"/>
  <c r="E31" i="79"/>
  <c r="D31" i="79"/>
  <c r="C31" i="79"/>
  <c r="B31" i="79"/>
  <c r="H30" i="79"/>
  <c r="I30" i="79" s="1"/>
  <c r="F30" i="79"/>
  <c r="F29" i="79"/>
  <c r="F28" i="79"/>
  <c r="F27" i="79"/>
  <c r="H27" i="79" s="1"/>
  <c r="I27" i="79" s="1"/>
  <c r="E27" i="79"/>
  <c r="D27" i="79"/>
  <c r="D42" i="79" s="1"/>
  <c r="C27" i="79"/>
  <c r="B27" i="79"/>
  <c r="B42" i="79" s="1"/>
  <c r="G26" i="79"/>
  <c r="F26" i="79"/>
  <c r="E21" i="79"/>
  <c r="D21" i="79"/>
  <c r="B21" i="79"/>
  <c r="H20" i="79"/>
  <c r="I20" i="79" s="1"/>
  <c r="F20" i="79"/>
  <c r="F19" i="79"/>
  <c r="H19" i="79" s="1"/>
  <c r="I19" i="79" s="1"/>
  <c r="E19" i="79"/>
  <c r="D19" i="79"/>
  <c r="C19" i="79"/>
  <c r="F18" i="79"/>
  <c r="H18" i="79" s="1"/>
  <c r="I18" i="79" s="1"/>
  <c r="F17" i="79"/>
  <c r="H17" i="79" s="1"/>
  <c r="I17" i="79" s="1"/>
  <c r="I16" i="79"/>
  <c r="F16" i="79"/>
  <c r="H16" i="79" s="1"/>
  <c r="H15" i="79"/>
  <c r="I15" i="79" s="1"/>
  <c r="F15" i="79"/>
  <c r="F14" i="79"/>
  <c r="F13" i="79" s="1"/>
  <c r="H13" i="79" s="1"/>
  <c r="I13" i="79" s="1"/>
  <c r="G13" i="79"/>
  <c r="G21" i="79" s="1"/>
  <c r="G44" i="79" s="1"/>
  <c r="E13" i="79"/>
  <c r="C13" i="79"/>
  <c r="H12" i="79"/>
  <c r="F12" i="79"/>
  <c r="F11" i="79"/>
  <c r="H11" i="79" s="1"/>
  <c r="F10" i="79"/>
  <c r="E9" i="79"/>
  <c r="D9" i="79"/>
  <c r="C9" i="79"/>
  <c r="C21" i="79" s="1"/>
  <c r="H46" i="78"/>
  <c r="I46" i="78" s="1"/>
  <c r="F46" i="78"/>
  <c r="F41" i="78"/>
  <c r="X68" i="10" s="1"/>
  <c r="F40" i="78"/>
  <c r="X67" i="10" s="1"/>
  <c r="F39" i="78"/>
  <c r="X66" i="10" s="1"/>
  <c r="F38" i="78"/>
  <c r="E37" i="78"/>
  <c r="D37" i="78"/>
  <c r="C37" i="78"/>
  <c r="B37" i="78"/>
  <c r="F35" i="78"/>
  <c r="F34" i="78"/>
  <c r="X61" i="10" s="1"/>
  <c r="F33" i="78"/>
  <c r="F32" i="78"/>
  <c r="X59" i="10" s="1"/>
  <c r="E31" i="78"/>
  <c r="E42" i="78" s="1"/>
  <c r="D31" i="78"/>
  <c r="C31" i="78"/>
  <c r="B31" i="78"/>
  <c r="F30" i="78"/>
  <c r="F29" i="78"/>
  <c r="X57" i="10" s="1"/>
  <c r="F28" i="78"/>
  <c r="X56" i="10" s="1"/>
  <c r="E27" i="78"/>
  <c r="D27" i="78"/>
  <c r="C27" i="78"/>
  <c r="C42" i="78" s="1"/>
  <c r="B27" i="78"/>
  <c r="B42" i="78" s="1"/>
  <c r="H26" i="78"/>
  <c r="I26" i="78" s="1"/>
  <c r="G26" i="78"/>
  <c r="F26" i="78"/>
  <c r="X55" i="10" s="1"/>
  <c r="D21" i="78"/>
  <c r="B21" i="78"/>
  <c r="F20" i="78"/>
  <c r="F19" i="78"/>
  <c r="E19" i="78"/>
  <c r="D19" i="78"/>
  <c r="C19" i="78"/>
  <c r="H18" i="78"/>
  <c r="I18" i="78" s="1"/>
  <c r="F18" i="78"/>
  <c r="X45" i="10" s="1"/>
  <c r="X12" i="10" s="1"/>
  <c r="E158" i="92" s="1"/>
  <c r="H17" i="78"/>
  <c r="I17" i="78" s="1"/>
  <c r="F17" i="78"/>
  <c r="X48" i="10" s="1"/>
  <c r="X13" i="10" s="1"/>
  <c r="E159" i="92" s="1"/>
  <c r="H16" i="78"/>
  <c r="I16" i="78" s="1"/>
  <c r="F16" i="78"/>
  <c r="X38" i="10" s="1"/>
  <c r="F15" i="78"/>
  <c r="X37" i="10" s="1"/>
  <c r="I14" i="78"/>
  <c r="H14" i="78"/>
  <c r="F14" i="78"/>
  <c r="X34" i="10" s="1"/>
  <c r="G13" i="78"/>
  <c r="G21" i="78" s="1"/>
  <c r="G44" i="78" s="1"/>
  <c r="E13" i="78"/>
  <c r="E21" i="78" s="1"/>
  <c r="C13" i="78"/>
  <c r="C21" i="78" s="1"/>
  <c r="H12" i="78"/>
  <c r="F12" i="78"/>
  <c r="X32" i="10" s="1"/>
  <c r="H11" i="78"/>
  <c r="F11" i="78"/>
  <c r="X31" i="10" s="1"/>
  <c r="H10" i="78"/>
  <c r="F10" i="78"/>
  <c r="X29" i="10" s="1"/>
  <c r="E9" i="78"/>
  <c r="D9" i="78"/>
  <c r="C9" i="78"/>
  <c r="F46" i="76"/>
  <c r="W69" i="10" s="1"/>
  <c r="D42" i="76"/>
  <c r="F41" i="76"/>
  <c r="W68" i="10" s="1"/>
  <c r="F40" i="76"/>
  <c r="F39" i="76"/>
  <c r="W66" i="10" s="1"/>
  <c r="F38" i="76"/>
  <c r="W65" i="10" s="1"/>
  <c r="E37" i="76"/>
  <c r="D37" i="76"/>
  <c r="C37" i="76"/>
  <c r="B37" i="76"/>
  <c r="F35" i="76"/>
  <c r="W62" i="10" s="1"/>
  <c r="F34" i="76"/>
  <c r="W61" i="10" s="1"/>
  <c r="F33" i="76"/>
  <c r="W60" i="10" s="1"/>
  <c r="F32" i="76"/>
  <c r="W59" i="10" s="1"/>
  <c r="E31" i="76"/>
  <c r="E42" i="76" s="1"/>
  <c r="D31" i="76"/>
  <c r="C31" i="76"/>
  <c r="C42" i="76" s="1"/>
  <c r="B31" i="76"/>
  <c r="B42" i="76" s="1"/>
  <c r="F30" i="76"/>
  <c r="W58" i="10" s="1"/>
  <c r="F29" i="76"/>
  <c r="W57" i="10" s="1"/>
  <c r="F28" i="76"/>
  <c r="W56" i="10" s="1"/>
  <c r="F27" i="76"/>
  <c r="H27" i="76" s="1"/>
  <c r="I27" i="76" s="1"/>
  <c r="E27" i="76"/>
  <c r="D27" i="76"/>
  <c r="C27" i="76"/>
  <c r="B27" i="76"/>
  <c r="G26" i="76"/>
  <c r="F26" i="76"/>
  <c r="E21" i="76"/>
  <c r="C21" i="76"/>
  <c r="B21" i="76"/>
  <c r="F20" i="76"/>
  <c r="W50" i="10" s="1"/>
  <c r="W15" i="10" s="1"/>
  <c r="E154" i="92" s="1"/>
  <c r="E19" i="76"/>
  <c r="D19" i="76"/>
  <c r="C19" i="76"/>
  <c r="H18" i="76"/>
  <c r="I18" i="76" s="1"/>
  <c r="F18" i="76"/>
  <c r="W45" i="10" s="1"/>
  <c r="W12" i="10" s="1"/>
  <c r="E151" i="92" s="1"/>
  <c r="F17" i="76"/>
  <c r="W48" i="10" s="1"/>
  <c r="W13" i="10" s="1"/>
  <c r="E152" i="92" s="1"/>
  <c r="I16" i="76"/>
  <c r="H16" i="76"/>
  <c r="F16" i="76"/>
  <c r="W38" i="10" s="1"/>
  <c r="F15" i="76"/>
  <c r="F14" i="76"/>
  <c r="G13" i="76"/>
  <c r="G21" i="76" s="1"/>
  <c r="G44" i="76" s="1"/>
  <c r="E13" i="76"/>
  <c r="C13" i="76"/>
  <c r="F12" i="76"/>
  <c r="H11" i="76"/>
  <c r="F11" i="76"/>
  <c r="W31" i="10" s="1"/>
  <c r="H10" i="76"/>
  <c r="F10" i="76"/>
  <c r="W29" i="10" s="1"/>
  <c r="E9" i="76"/>
  <c r="D9" i="76"/>
  <c r="C9" i="76"/>
  <c r="D522" i="75"/>
  <c r="D520" i="75"/>
  <c r="D524" i="75" s="1"/>
  <c r="C520" i="75"/>
  <c r="I21" i="71"/>
  <c r="G21" i="71"/>
  <c r="F21" i="71"/>
  <c r="I15" i="71"/>
  <c r="I14" i="71"/>
  <c r="H14" i="71"/>
  <c r="H13" i="71" s="1"/>
  <c r="O13" i="71"/>
  <c r="O21" i="71" s="1"/>
  <c r="N13" i="71"/>
  <c r="N21" i="71" s="1"/>
  <c r="L13" i="71"/>
  <c r="L21" i="71" s="1"/>
  <c r="J13" i="71"/>
  <c r="J21" i="71" s="1"/>
  <c r="I13" i="71"/>
  <c r="G13" i="71"/>
  <c r="F13" i="71"/>
  <c r="E13" i="71"/>
  <c r="E21" i="71" s="1"/>
  <c r="H10" i="71"/>
  <c r="H9" i="71" s="1"/>
  <c r="O9" i="71"/>
  <c r="N9" i="71"/>
  <c r="L9" i="71"/>
  <c r="J9" i="71"/>
  <c r="I9" i="71"/>
  <c r="G9" i="71"/>
  <c r="F9" i="71"/>
  <c r="E9" i="71"/>
  <c r="I45" i="69"/>
  <c r="H45" i="69"/>
  <c r="F45" i="69"/>
  <c r="V69" i="10" s="1"/>
  <c r="F40" i="69"/>
  <c r="V67" i="10" s="1"/>
  <c r="F39" i="69"/>
  <c r="V66" i="10" s="1"/>
  <c r="F38" i="69"/>
  <c r="E37" i="69"/>
  <c r="D37" i="69"/>
  <c r="C37" i="69"/>
  <c r="B37" i="69"/>
  <c r="F34" i="69"/>
  <c r="V61" i="10" s="1"/>
  <c r="F33" i="69"/>
  <c r="V60" i="10" s="1"/>
  <c r="F32" i="69"/>
  <c r="V59" i="10" s="1"/>
  <c r="F31" i="69"/>
  <c r="H31" i="69" s="1"/>
  <c r="I31" i="69" s="1"/>
  <c r="E31" i="69"/>
  <c r="D31" i="69"/>
  <c r="C31" i="69"/>
  <c r="B31" i="69"/>
  <c r="H30" i="69"/>
  <c r="I30" i="69" s="1"/>
  <c r="F30" i="69"/>
  <c r="V58" i="10" s="1"/>
  <c r="F29" i="69"/>
  <c r="V57" i="10" s="1"/>
  <c r="F28" i="69"/>
  <c r="V56" i="10" s="1"/>
  <c r="E27" i="69"/>
  <c r="E41" i="69" s="1"/>
  <c r="D27" i="69"/>
  <c r="C27" i="69"/>
  <c r="C41" i="69" s="1"/>
  <c r="B27" i="69"/>
  <c r="B41" i="69" s="1"/>
  <c r="G26" i="69"/>
  <c r="H26" i="69" s="1"/>
  <c r="I26" i="69" s="1"/>
  <c r="F26" i="69"/>
  <c r="B21" i="69"/>
  <c r="H20" i="69"/>
  <c r="I20" i="69" s="1"/>
  <c r="F20" i="69"/>
  <c r="V50" i="10" s="1"/>
  <c r="V15" i="10" s="1"/>
  <c r="E147" i="92" s="1"/>
  <c r="F19" i="69"/>
  <c r="V49" i="10" s="1"/>
  <c r="V14" i="10" s="1"/>
  <c r="E146" i="92" s="1"/>
  <c r="I18" i="69"/>
  <c r="H18" i="69"/>
  <c r="F18" i="69"/>
  <c r="F17" i="69"/>
  <c r="F16" i="69"/>
  <c r="F15" i="69"/>
  <c r="V37" i="10" s="1"/>
  <c r="E14" i="69"/>
  <c r="C14" i="69"/>
  <c r="G13" i="69"/>
  <c r="G21" i="69" s="1"/>
  <c r="G43" i="69" s="1"/>
  <c r="E13" i="69"/>
  <c r="H12" i="69"/>
  <c r="I12" i="69" s="1"/>
  <c r="F12" i="69"/>
  <c r="V32" i="10" s="1"/>
  <c r="H11" i="69"/>
  <c r="I11" i="69" s="1"/>
  <c r="F11" i="69"/>
  <c r="V31" i="10" s="1"/>
  <c r="E10" i="69"/>
  <c r="D10" i="69"/>
  <c r="C10" i="69"/>
  <c r="D9" i="69"/>
  <c r="D21" i="69" s="1"/>
  <c r="C9" i="69"/>
  <c r="G48" i="66"/>
  <c r="F48" i="66"/>
  <c r="G43" i="66"/>
  <c r="F43" i="66"/>
  <c r="G36" i="66"/>
  <c r="F36" i="66"/>
  <c r="F28" i="66"/>
  <c r="G28" i="66" s="1"/>
  <c r="G22" i="66"/>
  <c r="F22" i="66"/>
  <c r="G15" i="66"/>
  <c r="F15" i="66"/>
  <c r="I38" i="21"/>
  <c r="H38" i="21"/>
  <c r="G27" i="21"/>
  <c r="G42" i="21" s="1"/>
  <c r="H26" i="21"/>
  <c r="I26" i="21" s="1"/>
  <c r="I25" i="21"/>
  <c r="H25" i="21"/>
  <c r="I24" i="21"/>
  <c r="H24" i="21"/>
  <c r="I23" i="21"/>
  <c r="H23" i="21"/>
  <c r="H21" i="21"/>
  <c r="I21" i="21" s="1"/>
  <c r="I20" i="21"/>
  <c r="H20" i="21"/>
  <c r="F17" i="21"/>
  <c r="H17" i="21" s="1"/>
  <c r="I17" i="21" s="1"/>
  <c r="E17" i="21"/>
  <c r="C17" i="21"/>
  <c r="I15" i="21"/>
  <c r="H15" i="21"/>
  <c r="H14" i="21"/>
  <c r="I14" i="21" s="1"/>
  <c r="H11" i="21"/>
  <c r="I11" i="21" s="1"/>
  <c r="F11" i="21"/>
  <c r="E11" i="21"/>
  <c r="D11" i="21"/>
  <c r="C11" i="21"/>
  <c r="B1326" i="92"/>
  <c r="B1325" i="92"/>
  <c r="B1324" i="92"/>
  <c r="B1323" i="92"/>
  <c r="B1322" i="92"/>
  <c r="B1321" i="92"/>
  <c r="A1321" i="92"/>
  <c r="E1320" i="92"/>
  <c r="B1320" i="92"/>
  <c r="A1320" i="92"/>
  <c r="E1319" i="92"/>
  <c r="B1319" i="92"/>
  <c r="A1319" i="92"/>
  <c r="E1318" i="92"/>
  <c r="B1318" i="92"/>
  <c r="A1318" i="92"/>
  <c r="B1317" i="92"/>
  <c r="B1316" i="92"/>
  <c r="B1315" i="92"/>
  <c r="B1314" i="92"/>
  <c r="B1313" i="92"/>
  <c r="B1312" i="92"/>
  <c r="B1311" i="92"/>
  <c r="B1310" i="92"/>
  <c r="B1309" i="92"/>
  <c r="B1308" i="92"/>
  <c r="E1307" i="92"/>
  <c r="B1307" i="92"/>
  <c r="E1306" i="92"/>
  <c r="B1306" i="92"/>
  <c r="B1305" i="92"/>
  <c r="E1304" i="92"/>
  <c r="B1304" i="92"/>
  <c r="B1303" i="92"/>
  <c r="B1302" i="92"/>
  <c r="B1301" i="92"/>
  <c r="B1300" i="92"/>
  <c r="E1299" i="92"/>
  <c r="B1299" i="92"/>
  <c r="B1298" i="92"/>
  <c r="B1297" i="92"/>
  <c r="B1296" i="92"/>
  <c r="A1296" i="92"/>
  <c r="B1295" i="92"/>
  <c r="A1295" i="92"/>
  <c r="B1294" i="92"/>
  <c r="B1293" i="92"/>
  <c r="B1292" i="92"/>
  <c r="B1291" i="92"/>
  <c r="B1290" i="92"/>
  <c r="E1289" i="92"/>
  <c r="B1289" i="92"/>
  <c r="A1289" i="92"/>
  <c r="E1288" i="92"/>
  <c r="B1288" i="92"/>
  <c r="A1288" i="92"/>
  <c r="B1287" i="92"/>
  <c r="A1287" i="92"/>
  <c r="B1286" i="92"/>
  <c r="A1286" i="92"/>
  <c r="E1285" i="92"/>
  <c r="B1285" i="92"/>
  <c r="E1284" i="92"/>
  <c r="B1284" i="92"/>
  <c r="B1283" i="92"/>
  <c r="E1282" i="92"/>
  <c r="B1282" i="92"/>
  <c r="B1281" i="92"/>
  <c r="B1280" i="92"/>
  <c r="B1279" i="92"/>
  <c r="B1278" i="92"/>
  <c r="B1277" i="92"/>
  <c r="B1276" i="92"/>
  <c r="B1275" i="92"/>
  <c r="E1274" i="92"/>
  <c r="B1274" i="92"/>
  <c r="B1273" i="92"/>
  <c r="B1272" i="92"/>
  <c r="B1271" i="92"/>
  <c r="B1270" i="92"/>
  <c r="E1269" i="92"/>
  <c r="B1269" i="92"/>
  <c r="E1268" i="92"/>
  <c r="B1268" i="92"/>
  <c r="B1267" i="92"/>
  <c r="B1266" i="92"/>
  <c r="B1265" i="92"/>
  <c r="E1264" i="92"/>
  <c r="B1264" i="92"/>
  <c r="A1264" i="92"/>
  <c r="B1263" i="92"/>
  <c r="A1263" i="92"/>
  <c r="B1262" i="92"/>
  <c r="B1261" i="92"/>
  <c r="B1260" i="92"/>
  <c r="B1259" i="92"/>
  <c r="B1258" i="92"/>
  <c r="E1257" i="92"/>
  <c r="B1257" i="92"/>
  <c r="A1257" i="92"/>
  <c r="E1256" i="92"/>
  <c r="B1256" i="92"/>
  <c r="A1256" i="92"/>
  <c r="B1255" i="92"/>
  <c r="A1255" i="92"/>
  <c r="E1254" i="92"/>
  <c r="B1254" i="92"/>
  <c r="A1254" i="92"/>
  <c r="B1253" i="92"/>
  <c r="B1252" i="92"/>
  <c r="B1251" i="92"/>
  <c r="B1250" i="92"/>
  <c r="B1249" i="92"/>
  <c r="B1248" i="92"/>
  <c r="B1247" i="92"/>
  <c r="B1246" i="92"/>
  <c r="B1245" i="92"/>
  <c r="B1244" i="92"/>
  <c r="B1243" i="92"/>
  <c r="B1242" i="92"/>
  <c r="B1241" i="92"/>
  <c r="B1240" i="92"/>
  <c r="B1239" i="92"/>
  <c r="B1238" i="92"/>
  <c r="B1237" i="92"/>
  <c r="B1236" i="92"/>
  <c r="E1235" i="92"/>
  <c r="B1235" i="92"/>
  <c r="B1234" i="92"/>
  <c r="B1233" i="92"/>
  <c r="B1232" i="92"/>
  <c r="A1232" i="92"/>
  <c r="B1231" i="92"/>
  <c r="A1231" i="92"/>
  <c r="B1230" i="92"/>
  <c r="B1229" i="92"/>
  <c r="B1228" i="92"/>
  <c r="B1227" i="92"/>
  <c r="B1226" i="92"/>
  <c r="B1225" i="92"/>
  <c r="A1225" i="92"/>
  <c r="B1224" i="92"/>
  <c r="A1224" i="92"/>
  <c r="B1223" i="92"/>
  <c r="A1223" i="92"/>
  <c r="E1222" i="92"/>
  <c r="B1222" i="92"/>
  <c r="A1222" i="92"/>
  <c r="E1221" i="92"/>
  <c r="B1221" i="92"/>
  <c r="A1221" i="92"/>
  <c r="B1220" i="92"/>
  <c r="B1219" i="92"/>
  <c r="B1218" i="92"/>
  <c r="B1217" i="92"/>
  <c r="B1216" i="92"/>
  <c r="B1215" i="92"/>
  <c r="B1214" i="92"/>
  <c r="B1213" i="92"/>
  <c r="B1212" i="92"/>
  <c r="B1211" i="92"/>
  <c r="B1210" i="92"/>
  <c r="B1209" i="92"/>
  <c r="B1208" i="92"/>
  <c r="B1207" i="92"/>
  <c r="B1206" i="92"/>
  <c r="B1205" i="92"/>
  <c r="B1204" i="92"/>
  <c r="B1203" i="92"/>
  <c r="B1202" i="92"/>
  <c r="B1201" i="92"/>
  <c r="B1200" i="92"/>
  <c r="B1199" i="92"/>
  <c r="B1198" i="92"/>
  <c r="B1197" i="92"/>
  <c r="B1196" i="92"/>
  <c r="B1195" i="92"/>
  <c r="B1194" i="92"/>
  <c r="A1194" i="92"/>
  <c r="B1193" i="92"/>
  <c r="B1192" i="92"/>
  <c r="B1191" i="92"/>
  <c r="B1190" i="92"/>
  <c r="B1189" i="92"/>
  <c r="B1188" i="92"/>
  <c r="B1187" i="92"/>
  <c r="B1186" i="92"/>
  <c r="B1185" i="92"/>
  <c r="B1184" i="92"/>
  <c r="B1183" i="92"/>
  <c r="B1182" i="92"/>
  <c r="B1181" i="92"/>
  <c r="B1180" i="92"/>
  <c r="A1180" i="92"/>
  <c r="B1179" i="92"/>
  <c r="A1179" i="92"/>
  <c r="B1178" i="92"/>
  <c r="A1178" i="92"/>
  <c r="B1177" i="92"/>
  <c r="A1177" i="92"/>
  <c r="B1176" i="92"/>
  <c r="A1176" i="92"/>
  <c r="B1175" i="92"/>
  <c r="A1175" i="92"/>
  <c r="B1174" i="92"/>
  <c r="A1174" i="92"/>
  <c r="B1173" i="92"/>
  <c r="A1173" i="92"/>
  <c r="B1172" i="92"/>
  <c r="A1172" i="92"/>
  <c r="B1171" i="92"/>
  <c r="A1171" i="92"/>
  <c r="B1170" i="92"/>
  <c r="A1170" i="92"/>
  <c r="B1169" i="92"/>
  <c r="A1169" i="92"/>
  <c r="B1168" i="92"/>
  <c r="A1168" i="92"/>
  <c r="B1167" i="92"/>
  <c r="A1167" i="92"/>
  <c r="B1166" i="92"/>
  <c r="A1166" i="92"/>
  <c r="B1165" i="92"/>
  <c r="A1165" i="92"/>
  <c r="B1164" i="92"/>
  <c r="A1164" i="92"/>
  <c r="B1163" i="92"/>
  <c r="A1163" i="92"/>
  <c r="B1162" i="92"/>
  <c r="A1162" i="92"/>
  <c r="B1161" i="92"/>
  <c r="A1161" i="92"/>
  <c r="B1160" i="92"/>
  <c r="A1160" i="92"/>
  <c r="B1159" i="92"/>
  <c r="A1159" i="92"/>
  <c r="B1158" i="92"/>
  <c r="A1158" i="92"/>
  <c r="B1157" i="92"/>
  <c r="A1157" i="92"/>
  <c r="B1156" i="92"/>
  <c r="A1156" i="92"/>
  <c r="B1155" i="92"/>
  <c r="A1155" i="92"/>
  <c r="B1154" i="92"/>
  <c r="A1154" i="92"/>
  <c r="B1153" i="92"/>
  <c r="A1153" i="92"/>
  <c r="B1152" i="92"/>
  <c r="A1152" i="92"/>
  <c r="B1151" i="92"/>
  <c r="A1151" i="92"/>
  <c r="B1150" i="92"/>
  <c r="A1150" i="92"/>
  <c r="B1149" i="92"/>
  <c r="A1149" i="92"/>
  <c r="E1148" i="92"/>
  <c r="B1148" i="92"/>
  <c r="A1148" i="92"/>
  <c r="E1147" i="92"/>
  <c r="B1147" i="92"/>
  <c r="A1147" i="92"/>
  <c r="E1146" i="92"/>
  <c r="B1146" i="92"/>
  <c r="A1146" i="92"/>
  <c r="E1145" i="92"/>
  <c r="B1145" i="92"/>
  <c r="A1145" i="92"/>
  <c r="E1144" i="92"/>
  <c r="B1144" i="92"/>
  <c r="A1144" i="92"/>
  <c r="E1143" i="92"/>
  <c r="B1143" i="92"/>
  <c r="A1143" i="92"/>
  <c r="E1142" i="92"/>
  <c r="B1142" i="92"/>
  <c r="A1142" i="92"/>
  <c r="E1141" i="92"/>
  <c r="B1141" i="92"/>
  <c r="A1141" i="92"/>
  <c r="B1140" i="92"/>
  <c r="A1140" i="92"/>
  <c r="B1139" i="92"/>
  <c r="A1139" i="92"/>
  <c r="B1138" i="92"/>
  <c r="A1138" i="92"/>
  <c r="B1137" i="92"/>
  <c r="A1137" i="92"/>
  <c r="B1136" i="92"/>
  <c r="A1136" i="92"/>
  <c r="B1135" i="92"/>
  <c r="A1135" i="92"/>
  <c r="B1134" i="92"/>
  <c r="A1134" i="92"/>
  <c r="B1133" i="92"/>
  <c r="A1133" i="92"/>
  <c r="B1132" i="92"/>
  <c r="A1132" i="92"/>
  <c r="B1131" i="92"/>
  <c r="A1131" i="92"/>
  <c r="B1130" i="92"/>
  <c r="A1130" i="92"/>
  <c r="B1129" i="92"/>
  <c r="A1129" i="92"/>
  <c r="B1128" i="92"/>
  <c r="A1128" i="92"/>
  <c r="B1127" i="92"/>
  <c r="A1127" i="92"/>
  <c r="B1126" i="92"/>
  <c r="A1126" i="92"/>
  <c r="B1125" i="92"/>
  <c r="A1125" i="92"/>
  <c r="B1124" i="92"/>
  <c r="A1124" i="92"/>
  <c r="B1123" i="92"/>
  <c r="A1123" i="92"/>
  <c r="B1122" i="92"/>
  <c r="A1122" i="92"/>
  <c r="B1121" i="92"/>
  <c r="A1121" i="92"/>
  <c r="B1120" i="92"/>
  <c r="A1120" i="92"/>
  <c r="B1119" i="92"/>
  <c r="A1119" i="92"/>
  <c r="B1118" i="92"/>
  <c r="A1118" i="92"/>
  <c r="B1117" i="92"/>
  <c r="A1117" i="92"/>
  <c r="B1116" i="92"/>
  <c r="A1116" i="92"/>
  <c r="B1115" i="92"/>
  <c r="A1115" i="92"/>
  <c r="B1114" i="92"/>
  <c r="A1114" i="92"/>
  <c r="B1113" i="92"/>
  <c r="A1113" i="92"/>
  <c r="B1112" i="92"/>
  <c r="A1112" i="92"/>
  <c r="B1111" i="92"/>
  <c r="A1111" i="92"/>
  <c r="B1110" i="92"/>
  <c r="A1110" i="92"/>
  <c r="B1109" i="92"/>
  <c r="A1109" i="92"/>
  <c r="B1108" i="92"/>
  <c r="A1108" i="92"/>
  <c r="B1107" i="92"/>
  <c r="A1107" i="92"/>
  <c r="B1106" i="92"/>
  <c r="A1106" i="92"/>
  <c r="B1105" i="92"/>
  <c r="A1105" i="92"/>
  <c r="B1104" i="92"/>
  <c r="A1104" i="92"/>
  <c r="B1103" i="92"/>
  <c r="A1103" i="92"/>
  <c r="B1102" i="92"/>
  <c r="A1102" i="92"/>
  <c r="B1101" i="92"/>
  <c r="A1101" i="92"/>
  <c r="B1100" i="92"/>
  <c r="A1100" i="92"/>
  <c r="B1099" i="92"/>
  <c r="A1099" i="92"/>
  <c r="B1098" i="92"/>
  <c r="A1098" i="92"/>
  <c r="B1097" i="92"/>
  <c r="A1097" i="92"/>
  <c r="B1096" i="92"/>
  <c r="A1096" i="92"/>
  <c r="B1095" i="92"/>
  <c r="A1095" i="92"/>
  <c r="B1094" i="92"/>
  <c r="A1094" i="92"/>
  <c r="B1093" i="92"/>
  <c r="A1093" i="92"/>
  <c r="B1092" i="92"/>
  <c r="A1092" i="92"/>
  <c r="B1091" i="92"/>
  <c r="A1091" i="92"/>
  <c r="B1090" i="92"/>
  <c r="A1090" i="92"/>
  <c r="B1089" i="92"/>
  <c r="A1089" i="92"/>
  <c r="B1088" i="92"/>
  <c r="A1088" i="92"/>
  <c r="B1087" i="92"/>
  <c r="A1087" i="92"/>
  <c r="B1086" i="92"/>
  <c r="A1086" i="92"/>
  <c r="B1085" i="92"/>
  <c r="A1085" i="92"/>
  <c r="B1084" i="92"/>
  <c r="A1084" i="92"/>
  <c r="B1083" i="92"/>
  <c r="A1083" i="92"/>
  <c r="B1082" i="92"/>
  <c r="A1082" i="92"/>
  <c r="B1081" i="92"/>
  <c r="A1081" i="92"/>
  <c r="B1080" i="92"/>
  <c r="A1080" i="92"/>
  <c r="B1079" i="92"/>
  <c r="A1079" i="92"/>
  <c r="B1078" i="92"/>
  <c r="A1078" i="92"/>
  <c r="B1077" i="92"/>
  <c r="A1077" i="92"/>
  <c r="B1076" i="92"/>
  <c r="A1076" i="92"/>
  <c r="B1075" i="92"/>
  <c r="A1075" i="92"/>
  <c r="B1074" i="92"/>
  <c r="A1074" i="92"/>
  <c r="B1073" i="92"/>
  <c r="A1073" i="92"/>
  <c r="B1072" i="92"/>
  <c r="A1072" i="92"/>
  <c r="B1071" i="92"/>
  <c r="A1071" i="92"/>
  <c r="B1070" i="92"/>
  <c r="A1070" i="92"/>
  <c r="B1069" i="92"/>
  <c r="A1069" i="92"/>
  <c r="B1068" i="92"/>
  <c r="A1068" i="92"/>
  <c r="B1067" i="92"/>
  <c r="A1067" i="92"/>
  <c r="B1066" i="92"/>
  <c r="A1066" i="92"/>
  <c r="B1065" i="92"/>
  <c r="A1065" i="92"/>
  <c r="B1064" i="92"/>
  <c r="A1064" i="92"/>
  <c r="B1063" i="92"/>
  <c r="A1063" i="92"/>
  <c r="B1062" i="92"/>
  <c r="A1062" i="92"/>
  <c r="B1061" i="92"/>
  <c r="A1061" i="92"/>
  <c r="B1060" i="92"/>
  <c r="B1059" i="92"/>
  <c r="B1058" i="92"/>
  <c r="B1057" i="92"/>
  <c r="B1056" i="92"/>
  <c r="B1055" i="92"/>
  <c r="B1054" i="92"/>
  <c r="B1053" i="92"/>
  <c r="B1052" i="92"/>
  <c r="B1051" i="92"/>
  <c r="B1050" i="92"/>
  <c r="B1049" i="92"/>
  <c r="B1048" i="92"/>
  <c r="B1047" i="92"/>
  <c r="B1046" i="92"/>
  <c r="B1045" i="92"/>
  <c r="B1044" i="92"/>
  <c r="B1043" i="92"/>
  <c r="B1042" i="92"/>
  <c r="B1041" i="92"/>
  <c r="B1040" i="92"/>
  <c r="B1039" i="92"/>
  <c r="A1039" i="92"/>
  <c r="B1038" i="92"/>
  <c r="B1037" i="92"/>
  <c r="B1036" i="92"/>
  <c r="B1035" i="92"/>
  <c r="B1034" i="92"/>
  <c r="B1033" i="92"/>
  <c r="B1032" i="92"/>
  <c r="B1031" i="92"/>
  <c r="B1030" i="92"/>
  <c r="B1029" i="92"/>
  <c r="B1028" i="92"/>
  <c r="B1027" i="92"/>
  <c r="B1026" i="92"/>
  <c r="B1025" i="92"/>
  <c r="A1025" i="92"/>
  <c r="B1024" i="92"/>
  <c r="A1024" i="92"/>
  <c r="B1023" i="92"/>
  <c r="A1023" i="92"/>
  <c r="B1022" i="92"/>
  <c r="A1022" i="92"/>
  <c r="B1021" i="92"/>
  <c r="A1021" i="92"/>
  <c r="B1020" i="92"/>
  <c r="A1020" i="92"/>
  <c r="B1019" i="92"/>
  <c r="A1019" i="92"/>
  <c r="B1018" i="92"/>
  <c r="A1018" i="92"/>
  <c r="B1017" i="92"/>
  <c r="A1017" i="92"/>
  <c r="B1016" i="92"/>
  <c r="A1016" i="92"/>
  <c r="B1015" i="92"/>
  <c r="A1015" i="92"/>
  <c r="B1014" i="92"/>
  <c r="A1014" i="92"/>
  <c r="B1013" i="92"/>
  <c r="A1013" i="92"/>
  <c r="B1012" i="92"/>
  <c r="A1012" i="92"/>
  <c r="B1011" i="92"/>
  <c r="A1011" i="92"/>
  <c r="B1010" i="92"/>
  <c r="A1010" i="92"/>
  <c r="B1009" i="92"/>
  <c r="A1009" i="92"/>
  <c r="B1008" i="92"/>
  <c r="A1008" i="92"/>
  <c r="B1007" i="92"/>
  <c r="A1007" i="92"/>
  <c r="B1006" i="92"/>
  <c r="A1006" i="92"/>
  <c r="B1005" i="92"/>
  <c r="A1005" i="92"/>
  <c r="B1004" i="92"/>
  <c r="A1004" i="92"/>
  <c r="B1003" i="92"/>
  <c r="A1003" i="92"/>
  <c r="B1002" i="92"/>
  <c r="A1002" i="92"/>
  <c r="B1001" i="92"/>
  <c r="A1001" i="92"/>
  <c r="B1000" i="92"/>
  <c r="A1000" i="92"/>
  <c r="B999" i="92"/>
  <c r="A999" i="92"/>
  <c r="B998" i="92"/>
  <c r="A998" i="92"/>
  <c r="E997" i="92"/>
  <c r="B997" i="92"/>
  <c r="A997" i="92"/>
  <c r="E996" i="92"/>
  <c r="B996" i="92"/>
  <c r="A996" i="92"/>
  <c r="E995" i="92"/>
  <c r="B995" i="92"/>
  <c r="A995" i="92"/>
  <c r="E994" i="92"/>
  <c r="B994" i="92"/>
  <c r="A994" i="92"/>
  <c r="E993" i="92"/>
  <c r="B993" i="92"/>
  <c r="A993" i="92"/>
  <c r="E992" i="92"/>
  <c r="B992" i="92"/>
  <c r="A992" i="92"/>
  <c r="E991" i="92"/>
  <c r="B991" i="92"/>
  <c r="A991" i="92"/>
  <c r="B990" i="92"/>
  <c r="A990" i="92"/>
  <c r="B989" i="92"/>
  <c r="A989" i="92"/>
  <c r="B988" i="92"/>
  <c r="A988" i="92"/>
  <c r="B987" i="92"/>
  <c r="A987" i="92"/>
  <c r="B986" i="92"/>
  <c r="A986" i="92"/>
  <c r="B985" i="92"/>
  <c r="A985" i="92"/>
  <c r="B984" i="92"/>
  <c r="A984" i="92"/>
  <c r="B983" i="92"/>
  <c r="A983" i="92"/>
  <c r="B982" i="92"/>
  <c r="A982" i="92"/>
  <c r="B981" i="92"/>
  <c r="A981" i="92"/>
  <c r="B980" i="92"/>
  <c r="A980" i="92"/>
  <c r="B979" i="92"/>
  <c r="A979" i="92"/>
  <c r="B978" i="92"/>
  <c r="A978" i="92"/>
  <c r="B977" i="92"/>
  <c r="A977" i="92"/>
  <c r="B976" i="92"/>
  <c r="A976" i="92"/>
  <c r="B975" i="92"/>
  <c r="A975" i="92"/>
  <c r="B974" i="92"/>
  <c r="A974" i="92"/>
  <c r="B973" i="92"/>
  <c r="A973" i="92"/>
  <c r="B972" i="92"/>
  <c r="A972" i="92"/>
  <c r="B971" i="92"/>
  <c r="A971" i="92"/>
  <c r="B970" i="92"/>
  <c r="A970" i="92"/>
  <c r="B969" i="92"/>
  <c r="A969" i="92"/>
  <c r="B968" i="92"/>
  <c r="A968" i="92"/>
  <c r="B967" i="92"/>
  <c r="A967" i="92"/>
  <c r="B966" i="92"/>
  <c r="A966" i="92"/>
  <c r="B965" i="92"/>
  <c r="A965" i="92"/>
  <c r="B964" i="92"/>
  <c r="A964" i="92"/>
  <c r="B963" i="92"/>
  <c r="A963" i="92"/>
  <c r="B962" i="92"/>
  <c r="A962" i="92"/>
  <c r="B961" i="92"/>
  <c r="A961" i="92"/>
  <c r="B960" i="92"/>
  <c r="A960" i="92"/>
  <c r="B959" i="92"/>
  <c r="A959" i="92"/>
  <c r="B958" i="92"/>
  <c r="A958" i="92"/>
  <c r="B957" i="92"/>
  <c r="A957" i="92"/>
  <c r="B956" i="92"/>
  <c r="A956" i="92"/>
  <c r="B955" i="92"/>
  <c r="A955" i="92"/>
  <c r="B954" i="92"/>
  <c r="A954" i="92"/>
  <c r="B953" i="92"/>
  <c r="A953" i="92"/>
  <c r="B952" i="92"/>
  <c r="A952" i="92"/>
  <c r="B951" i="92"/>
  <c r="A951" i="92"/>
  <c r="B950" i="92"/>
  <c r="A950" i="92"/>
  <c r="B949" i="92"/>
  <c r="A949" i="92"/>
  <c r="B948" i="92"/>
  <c r="B947" i="92"/>
  <c r="B946" i="92"/>
  <c r="B945" i="92"/>
  <c r="A945" i="92"/>
  <c r="B944" i="92"/>
  <c r="B943" i="92"/>
  <c r="B942" i="92"/>
  <c r="B941" i="92"/>
  <c r="B940" i="92"/>
  <c r="B939" i="92"/>
  <c r="B938" i="92"/>
  <c r="B937" i="92"/>
  <c r="B936" i="92"/>
  <c r="B935" i="92"/>
  <c r="B934" i="92"/>
  <c r="B933" i="92"/>
  <c r="B932" i="92"/>
  <c r="B931" i="92"/>
  <c r="B930" i="92"/>
  <c r="B929" i="92"/>
  <c r="B928" i="92"/>
  <c r="B927" i="92"/>
  <c r="B926" i="92"/>
  <c r="B925" i="92"/>
  <c r="B924" i="92"/>
  <c r="B923" i="92"/>
  <c r="B922" i="92"/>
  <c r="B921" i="92"/>
  <c r="B920" i="92"/>
  <c r="A920" i="92"/>
  <c r="B919" i="92"/>
  <c r="B918" i="92"/>
  <c r="B917" i="92"/>
  <c r="B916" i="92"/>
  <c r="B915" i="92"/>
  <c r="B914" i="92"/>
  <c r="B913" i="92"/>
  <c r="B912" i="92"/>
  <c r="B911" i="92"/>
  <c r="B910" i="92"/>
  <c r="B909" i="92"/>
  <c r="B908" i="92"/>
  <c r="A908" i="92"/>
  <c r="B907" i="92"/>
  <c r="A907" i="92"/>
  <c r="B906" i="92"/>
  <c r="A906" i="92"/>
  <c r="B905" i="92"/>
  <c r="A905" i="92"/>
  <c r="B904" i="92"/>
  <c r="A904" i="92"/>
  <c r="B903" i="92"/>
  <c r="A903" i="92"/>
  <c r="B902" i="92"/>
  <c r="A902" i="92"/>
  <c r="B901" i="92"/>
  <c r="A901" i="92"/>
  <c r="B900" i="92"/>
  <c r="A900" i="92"/>
  <c r="B899" i="92"/>
  <c r="A899" i="92"/>
  <c r="B898" i="92"/>
  <c r="A898" i="92"/>
  <c r="B897" i="92"/>
  <c r="A897" i="92"/>
  <c r="B896" i="92"/>
  <c r="A896" i="92"/>
  <c r="B895" i="92"/>
  <c r="A895" i="92"/>
  <c r="B894" i="92"/>
  <c r="A894" i="92"/>
  <c r="B893" i="92"/>
  <c r="A893" i="92"/>
  <c r="B892" i="92"/>
  <c r="A892" i="92"/>
  <c r="B891" i="92"/>
  <c r="A891" i="92"/>
  <c r="B890" i="92"/>
  <c r="A890" i="92"/>
  <c r="B889" i="92"/>
  <c r="A889" i="92"/>
  <c r="B888" i="92"/>
  <c r="A888" i="92"/>
  <c r="B887" i="92"/>
  <c r="A887" i="92"/>
  <c r="B886" i="92"/>
  <c r="A886" i="92"/>
  <c r="B885" i="92"/>
  <c r="A885" i="92"/>
  <c r="B884" i="92"/>
  <c r="A884" i="92"/>
  <c r="B883" i="92"/>
  <c r="A883" i="92"/>
  <c r="B882" i="92"/>
  <c r="A882" i="92"/>
  <c r="B881" i="92"/>
  <c r="A881" i="92"/>
  <c r="B880" i="92"/>
  <c r="A880" i="92"/>
  <c r="B879" i="92"/>
  <c r="A879" i="92"/>
  <c r="B878" i="92"/>
  <c r="A878" i="92"/>
  <c r="B877" i="92"/>
  <c r="A877" i="92"/>
  <c r="E876" i="92"/>
  <c r="B876" i="92"/>
  <c r="A876" i="92"/>
  <c r="E875" i="92"/>
  <c r="B875" i="92"/>
  <c r="A875" i="92"/>
  <c r="E874" i="92"/>
  <c r="B874" i="92"/>
  <c r="A874" i="92"/>
  <c r="E873" i="92"/>
  <c r="B873" i="92"/>
  <c r="A873" i="92"/>
  <c r="E872" i="92"/>
  <c r="B872" i="92"/>
  <c r="A872" i="92"/>
  <c r="E871" i="92"/>
  <c r="B871" i="92"/>
  <c r="A871" i="92"/>
  <c r="E870" i="92"/>
  <c r="B870" i="92"/>
  <c r="A870" i="92"/>
  <c r="E869" i="92"/>
  <c r="B869" i="92"/>
  <c r="A869" i="92"/>
  <c r="B868" i="92"/>
  <c r="A868" i="92"/>
  <c r="B867" i="92"/>
  <c r="A867" i="92"/>
  <c r="B866" i="92"/>
  <c r="A866" i="92"/>
  <c r="B865" i="92"/>
  <c r="A865" i="92"/>
  <c r="B864" i="92"/>
  <c r="A864" i="92"/>
  <c r="B863" i="92"/>
  <c r="A863" i="92"/>
  <c r="B862" i="92"/>
  <c r="A862" i="92"/>
  <c r="B861" i="92"/>
  <c r="A861" i="92"/>
  <c r="B860" i="92"/>
  <c r="A860" i="92"/>
  <c r="B859" i="92"/>
  <c r="A859" i="92"/>
  <c r="B858" i="92"/>
  <c r="A858" i="92"/>
  <c r="B857" i="92"/>
  <c r="A857" i="92"/>
  <c r="B856" i="92"/>
  <c r="A856" i="92"/>
  <c r="B855" i="92"/>
  <c r="A855" i="92"/>
  <c r="B854" i="92"/>
  <c r="A854" i="92"/>
  <c r="B853" i="92"/>
  <c r="A853" i="92"/>
  <c r="B852" i="92"/>
  <c r="A852" i="92"/>
  <c r="B851" i="92"/>
  <c r="A851" i="92"/>
  <c r="B850" i="92"/>
  <c r="A850" i="92"/>
  <c r="B849" i="92"/>
  <c r="A849" i="92"/>
  <c r="B848" i="92"/>
  <c r="A848" i="92"/>
  <c r="B847" i="92"/>
  <c r="A847" i="92"/>
  <c r="B846" i="92"/>
  <c r="A846" i="92"/>
  <c r="B845" i="92"/>
  <c r="A845" i="92"/>
  <c r="B844" i="92"/>
  <c r="A844" i="92"/>
  <c r="B843" i="92"/>
  <c r="A843" i="92"/>
  <c r="B842" i="92"/>
  <c r="A842" i="92"/>
  <c r="B841" i="92"/>
  <c r="A841" i="92"/>
  <c r="B840" i="92"/>
  <c r="A840" i="92"/>
  <c r="B839" i="92"/>
  <c r="A839" i="92"/>
  <c r="B838" i="92"/>
  <c r="A838" i="92"/>
  <c r="B837" i="92"/>
  <c r="A837" i="92"/>
  <c r="E836" i="92"/>
  <c r="B836" i="92"/>
  <c r="A836" i="92"/>
  <c r="E835" i="92"/>
  <c r="B835" i="92"/>
  <c r="A835" i="92"/>
  <c r="E834" i="92"/>
  <c r="B834" i="92"/>
  <c r="A834" i="92"/>
  <c r="E833" i="92"/>
  <c r="B833" i="92"/>
  <c r="A833" i="92"/>
  <c r="E832" i="92"/>
  <c r="B832" i="92"/>
  <c r="A832" i="92"/>
  <c r="E831" i="92"/>
  <c r="B831" i="92"/>
  <c r="A831" i="92"/>
  <c r="E830" i="92"/>
  <c r="B830" i="92"/>
  <c r="A830" i="92"/>
  <c r="B829" i="92"/>
  <c r="B828" i="92"/>
  <c r="B827" i="92"/>
  <c r="B826" i="92"/>
  <c r="B825" i="92"/>
  <c r="B824" i="92"/>
  <c r="B823" i="92"/>
  <c r="B822" i="92"/>
  <c r="B821" i="92"/>
  <c r="B820" i="92"/>
  <c r="B819" i="92"/>
  <c r="B818" i="92"/>
  <c r="B817" i="92"/>
  <c r="B816" i="92"/>
  <c r="B815" i="92"/>
  <c r="B814" i="92"/>
  <c r="B813" i="92"/>
  <c r="B812" i="92"/>
  <c r="B811" i="92"/>
  <c r="B810" i="92"/>
  <c r="B809" i="92"/>
  <c r="B808" i="92"/>
  <c r="B807" i="92"/>
  <c r="B806" i="92"/>
  <c r="B805" i="92"/>
  <c r="B804" i="92"/>
  <c r="A804" i="92"/>
  <c r="B803" i="92"/>
  <c r="B802" i="92"/>
  <c r="B801" i="92"/>
  <c r="B800" i="92"/>
  <c r="B799" i="92"/>
  <c r="B798" i="92"/>
  <c r="B797" i="92"/>
  <c r="B796" i="92"/>
  <c r="B795" i="92"/>
  <c r="B794" i="92"/>
  <c r="B793" i="92"/>
  <c r="B792" i="92"/>
  <c r="B791" i="92"/>
  <c r="B790" i="92"/>
  <c r="B789" i="92"/>
  <c r="A789" i="92"/>
  <c r="B788" i="92"/>
  <c r="A788" i="92"/>
  <c r="B787" i="92"/>
  <c r="A787" i="92"/>
  <c r="B786" i="92"/>
  <c r="A786" i="92"/>
  <c r="B785" i="92"/>
  <c r="A785" i="92"/>
  <c r="B784" i="92"/>
  <c r="A784" i="92"/>
  <c r="B783" i="92"/>
  <c r="A783" i="92"/>
  <c r="B782" i="92"/>
  <c r="A782" i="92"/>
  <c r="B781" i="92"/>
  <c r="A781" i="92"/>
  <c r="B780" i="92"/>
  <c r="A780" i="92"/>
  <c r="B779" i="92"/>
  <c r="A779" i="92"/>
  <c r="B778" i="92"/>
  <c r="A778" i="92"/>
  <c r="B777" i="92"/>
  <c r="A777" i="92"/>
  <c r="B776" i="92"/>
  <c r="A776" i="92"/>
  <c r="B775" i="92"/>
  <c r="A775" i="92"/>
  <c r="B774" i="92"/>
  <c r="A774" i="92"/>
  <c r="B773" i="92"/>
  <c r="A773" i="92"/>
  <c r="B772" i="92"/>
  <c r="A772" i="92"/>
  <c r="B771" i="92"/>
  <c r="A771" i="92"/>
  <c r="B770" i="92"/>
  <c r="A770" i="92"/>
  <c r="B769" i="92"/>
  <c r="A769" i="92"/>
  <c r="B768" i="92"/>
  <c r="A768" i="92"/>
  <c r="B767" i="92"/>
  <c r="A767" i="92"/>
  <c r="B766" i="92"/>
  <c r="A766" i="92"/>
  <c r="B765" i="92"/>
  <c r="A765" i="92"/>
  <c r="B764" i="92"/>
  <c r="A764" i="92"/>
  <c r="B763" i="92"/>
  <c r="A763" i="92"/>
  <c r="B762" i="92"/>
  <c r="A762" i="92"/>
  <c r="B761" i="92"/>
  <c r="A761" i="92"/>
  <c r="B760" i="92"/>
  <c r="A760" i="92"/>
  <c r="B759" i="92"/>
  <c r="A759" i="92"/>
  <c r="B758" i="92"/>
  <c r="A758" i="92"/>
  <c r="E757" i="92"/>
  <c r="B757" i="92"/>
  <c r="A757" i="92"/>
  <c r="E756" i="92"/>
  <c r="B756" i="92"/>
  <c r="A756" i="92"/>
  <c r="E755" i="92"/>
  <c r="B755" i="92"/>
  <c r="A755" i="92"/>
  <c r="E754" i="92"/>
  <c r="B754" i="92"/>
  <c r="A754" i="92"/>
  <c r="E753" i="92"/>
  <c r="B753" i="92"/>
  <c r="A753" i="92"/>
  <c r="E752" i="92"/>
  <c r="B752" i="92"/>
  <c r="A752" i="92"/>
  <c r="E751" i="92"/>
  <c r="B751" i="92"/>
  <c r="A751" i="92"/>
  <c r="E750" i="92"/>
  <c r="B750" i="92"/>
  <c r="A750" i="92"/>
  <c r="B749" i="92"/>
  <c r="A749" i="92"/>
  <c r="B748" i="92"/>
  <c r="A748" i="92"/>
  <c r="B747" i="92"/>
  <c r="A747" i="92"/>
  <c r="B746" i="92"/>
  <c r="A746" i="92"/>
  <c r="B745" i="92"/>
  <c r="A745" i="92"/>
  <c r="B744" i="92"/>
  <c r="A744" i="92"/>
  <c r="B743" i="92"/>
  <c r="A743" i="92"/>
  <c r="B742" i="92"/>
  <c r="A742" i="92"/>
  <c r="B741" i="92"/>
  <c r="A741" i="92"/>
  <c r="B740" i="92"/>
  <c r="A740" i="92"/>
  <c r="B739" i="92"/>
  <c r="A739" i="92"/>
  <c r="B738" i="92"/>
  <c r="A738" i="92"/>
  <c r="B737" i="92"/>
  <c r="A737" i="92"/>
  <c r="B736" i="92"/>
  <c r="A736" i="92"/>
  <c r="B735" i="92"/>
  <c r="A735" i="92"/>
  <c r="B734" i="92"/>
  <c r="A734" i="92"/>
  <c r="B733" i="92"/>
  <c r="A733" i="92"/>
  <c r="B732" i="92"/>
  <c r="A732" i="92"/>
  <c r="B731" i="92"/>
  <c r="A731" i="92"/>
  <c r="B730" i="92"/>
  <c r="A730" i="92"/>
  <c r="B729" i="92"/>
  <c r="A729" i="92"/>
  <c r="B728" i="92"/>
  <c r="A728" i="92"/>
  <c r="B727" i="92"/>
  <c r="A727" i="92"/>
  <c r="B726" i="92"/>
  <c r="A726" i="92"/>
  <c r="B725" i="92"/>
  <c r="A725" i="92"/>
  <c r="B724" i="92"/>
  <c r="A724" i="92"/>
  <c r="B723" i="92"/>
  <c r="A723" i="92"/>
  <c r="B722" i="92"/>
  <c r="A722" i="92"/>
  <c r="B721" i="92"/>
  <c r="A721" i="92"/>
  <c r="B720" i="92"/>
  <c r="A720" i="92"/>
  <c r="B719" i="92"/>
  <c r="A719" i="92"/>
  <c r="B718" i="92"/>
  <c r="A718" i="92"/>
  <c r="B717" i="92"/>
  <c r="A717" i="92"/>
  <c r="B716" i="92"/>
  <c r="A716" i="92"/>
  <c r="B715" i="92"/>
  <c r="A715" i="92"/>
  <c r="B714" i="92"/>
  <c r="A714" i="92"/>
  <c r="B713" i="92"/>
  <c r="A713" i="92"/>
  <c r="B712" i="92"/>
  <c r="A712" i="92"/>
  <c r="B711" i="92"/>
  <c r="A711" i="92"/>
  <c r="B710" i="92"/>
  <c r="A710" i="92"/>
  <c r="B709" i="92"/>
  <c r="A709" i="92"/>
  <c r="B708" i="92"/>
  <c r="A708" i="92"/>
  <c r="B707" i="92"/>
  <c r="A707" i="92"/>
  <c r="B706" i="92"/>
  <c r="A706" i="92"/>
  <c r="B705" i="92"/>
  <c r="A705" i="92"/>
  <c r="B704" i="92"/>
  <c r="A704" i="92"/>
  <c r="B703" i="92"/>
  <c r="A703" i="92"/>
  <c r="B702" i="92"/>
  <c r="A702" i="92"/>
  <c r="B701" i="92"/>
  <c r="A701" i="92"/>
  <c r="B700" i="92"/>
  <c r="A700" i="92"/>
  <c r="B699" i="92"/>
  <c r="A699" i="92"/>
  <c r="B698" i="92"/>
  <c r="A698" i="92"/>
  <c r="B697" i="92"/>
  <c r="A697" i="92"/>
  <c r="B696" i="92"/>
  <c r="A696" i="92"/>
  <c r="B695" i="92"/>
  <c r="A695" i="92"/>
  <c r="B694" i="92"/>
  <c r="A694" i="92"/>
  <c r="B693" i="92"/>
  <c r="A693" i="92"/>
  <c r="B692" i="92"/>
  <c r="A692" i="92"/>
  <c r="B691" i="92"/>
  <c r="A691" i="92"/>
  <c r="B690" i="92"/>
  <c r="A690" i="92"/>
  <c r="B689" i="92"/>
  <c r="A689" i="92"/>
  <c r="B688" i="92"/>
  <c r="A688" i="92"/>
  <c r="B687" i="92"/>
  <c r="A687" i="92"/>
  <c r="B686" i="92"/>
  <c r="A686" i="92"/>
  <c r="B685" i="92"/>
  <c r="A685" i="92"/>
  <c r="B684" i="92"/>
  <c r="A684" i="92"/>
  <c r="B683" i="92"/>
  <c r="A683" i="92"/>
  <c r="B682" i="92"/>
  <c r="A682" i="92"/>
  <c r="B681" i="92"/>
  <c r="A681" i="92"/>
  <c r="B680" i="92"/>
  <c r="A680" i="92"/>
  <c r="B679" i="92"/>
  <c r="A679" i="92"/>
  <c r="B678" i="92"/>
  <c r="A678" i="92"/>
  <c r="B677" i="92"/>
  <c r="A677" i="92"/>
  <c r="B676" i="92"/>
  <c r="A676" i="92"/>
  <c r="B675" i="92"/>
  <c r="A675" i="92"/>
  <c r="B674" i="92"/>
  <c r="A674" i="92"/>
  <c r="B673" i="92"/>
  <c r="A673" i="92"/>
  <c r="B672" i="92"/>
  <c r="A672" i="92"/>
  <c r="B671" i="92"/>
  <c r="A671" i="92"/>
  <c r="B670" i="92"/>
  <c r="A670" i="92"/>
  <c r="E669" i="92"/>
  <c r="B669" i="92"/>
  <c r="A669" i="92"/>
  <c r="E668" i="92"/>
  <c r="B668" i="92"/>
  <c r="A668" i="92"/>
  <c r="B667" i="92"/>
  <c r="A667" i="92"/>
  <c r="E666" i="92"/>
  <c r="B666" i="92"/>
  <c r="A666" i="92"/>
  <c r="E665" i="92"/>
  <c r="B665" i="92"/>
  <c r="A665" i="92"/>
  <c r="E664" i="92"/>
  <c r="B664" i="92"/>
  <c r="A664" i="92"/>
  <c r="E663" i="92"/>
  <c r="B663" i="92"/>
  <c r="A663" i="92"/>
  <c r="E662" i="92"/>
  <c r="B662" i="92"/>
  <c r="A662" i="92"/>
  <c r="E661" i="92"/>
  <c r="B661" i="92"/>
  <c r="A661" i="92"/>
  <c r="E660" i="92"/>
  <c r="B660" i="92"/>
  <c r="A660" i="92"/>
  <c r="E659" i="92"/>
  <c r="B659" i="92"/>
  <c r="A659" i="92"/>
  <c r="E658" i="92"/>
  <c r="B658" i="92"/>
  <c r="A658" i="92"/>
  <c r="E657" i="92"/>
  <c r="B657" i="92"/>
  <c r="A657" i="92"/>
  <c r="E656" i="92"/>
  <c r="B656" i="92"/>
  <c r="A656" i="92"/>
  <c r="E655" i="92"/>
  <c r="B655" i="92"/>
  <c r="A655" i="92"/>
  <c r="E654" i="92"/>
  <c r="B654" i="92"/>
  <c r="A654" i="92"/>
  <c r="E653" i="92"/>
  <c r="B653" i="92"/>
  <c r="A653" i="92"/>
  <c r="E652" i="92"/>
  <c r="B652" i="92"/>
  <c r="A652" i="92"/>
  <c r="E651" i="92"/>
  <c r="B651" i="92"/>
  <c r="A651" i="92"/>
  <c r="E650" i="92"/>
  <c r="B650" i="92"/>
  <c r="A650" i="92"/>
  <c r="E649" i="92"/>
  <c r="B649" i="92"/>
  <c r="A649" i="92"/>
  <c r="E648" i="92"/>
  <c r="B648" i="92"/>
  <c r="A648" i="92"/>
  <c r="E647" i="92"/>
  <c r="B647" i="92"/>
  <c r="A647" i="92"/>
  <c r="E646" i="92"/>
  <c r="B646" i="92"/>
  <c r="A646" i="92"/>
  <c r="E645" i="92"/>
  <c r="B645" i="92"/>
  <c r="A645" i="92"/>
  <c r="E644" i="92"/>
  <c r="B644" i="92"/>
  <c r="A644" i="92"/>
  <c r="E643" i="92"/>
  <c r="B643" i="92"/>
  <c r="A643" i="92"/>
  <c r="E642" i="92"/>
  <c r="B642" i="92"/>
  <c r="A642" i="92"/>
  <c r="E641" i="92"/>
  <c r="B641" i="92"/>
  <c r="A641" i="92"/>
  <c r="E640" i="92"/>
  <c r="B640" i="92"/>
  <c r="A640" i="92"/>
  <c r="E639" i="92"/>
  <c r="B639" i="92"/>
  <c r="A639" i="92"/>
  <c r="E638" i="92"/>
  <c r="B638" i="92"/>
  <c r="A638" i="92"/>
  <c r="E637" i="92"/>
  <c r="B637" i="92"/>
  <c r="A637" i="92"/>
  <c r="E636" i="92"/>
  <c r="B636" i="92"/>
  <c r="A636" i="92"/>
  <c r="E635" i="92"/>
  <c r="B635" i="92"/>
  <c r="A635" i="92"/>
  <c r="E634" i="92"/>
  <c r="B634" i="92"/>
  <c r="A634" i="92"/>
  <c r="E633" i="92"/>
  <c r="B633" i="92"/>
  <c r="A633" i="92"/>
  <c r="E632" i="92"/>
  <c r="B632" i="92"/>
  <c r="A632" i="92"/>
  <c r="E631" i="92"/>
  <c r="B631" i="92"/>
  <c r="A631" i="92"/>
  <c r="E630" i="92"/>
  <c r="B630" i="92"/>
  <c r="A630" i="92"/>
  <c r="E629" i="92"/>
  <c r="B629" i="92"/>
  <c r="A629" i="92"/>
  <c r="E628" i="92"/>
  <c r="B628" i="92"/>
  <c r="A628" i="92"/>
  <c r="E627" i="92"/>
  <c r="B627" i="92"/>
  <c r="A627" i="92"/>
  <c r="E626" i="92"/>
  <c r="B626" i="92"/>
  <c r="A626" i="92"/>
  <c r="E625" i="92"/>
  <c r="B625" i="92"/>
  <c r="A625" i="92"/>
  <c r="E624" i="92"/>
  <c r="B624" i="92"/>
  <c r="A624" i="92"/>
  <c r="E623" i="92"/>
  <c r="B623" i="92"/>
  <c r="A623" i="92"/>
  <c r="E622" i="92"/>
  <c r="B622" i="92"/>
  <c r="A622" i="92"/>
  <c r="E621" i="92"/>
  <c r="B621" i="92"/>
  <c r="A621" i="92"/>
  <c r="E620" i="92"/>
  <c r="B620" i="92"/>
  <c r="A620" i="92"/>
  <c r="E619" i="92"/>
  <c r="B619" i="92"/>
  <c r="A619" i="92"/>
  <c r="E618" i="92"/>
  <c r="B618" i="92"/>
  <c r="A618" i="92"/>
  <c r="E617" i="92"/>
  <c r="B617" i="92"/>
  <c r="A617" i="92"/>
  <c r="E616" i="92"/>
  <c r="B616" i="92"/>
  <c r="A616" i="92"/>
  <c r="E615" i="92"/>
  <c r="B615" i="92"/>
  <c r="A615" i="92"/>
  <c r="E614" i="92"/>
  <c r="B614" i="92"/>
  <c r="A614" i="92"/>
  <c r="E613" i="92"/>
  <c r="B613" i="92"/>
  <c r="A613" i="92"/>
  <c r="E612" i="92"/>
  <c r="B612" i="92"/>
  <c r="A612" i="92"/>
  <c r="E611" i="92"/>
  <c r="B611" i="92"/>
  <c r="A611" i="92"/>
  <c r="E610" i="92"/>
  <c r="B610" i="92"/>
  <c r="A610" i="92"/>
  <c r="E609" i="92"/>
  <c r="B609" i="92"/>
  <c r="A609" i="92"/>
  <c r="E608" i="92"/>
  <c r="B608" i="92"/>
  <c r="A608" i="92"/>
  <c r="E607" i="92"/>
  <c r="B607" i="92"/>
  <c r="A607" i="92"/>
  <c r="E606" i="92"/>
  <c r="B606" i="92"/>
  <c r="A606" i="92"/>
  <c r="E605" i="92"/>
  <c r="B605" i="92"/>
  <c r="A605" i="92"/>
  <c r="E604" i="92"/>
  <c r="B604" i="92"/>
  <c r="A604" i="92"/>
  <c r="E603" i="92"/>
  <c r="B603" i="92"/>
  <c r="A603" i="92"/>
  <c r="E602" i="92"/>
  <c r="B602" i="92"/>
  <c r="A602" i="92"/>
  <c r="E601" i="92"/>
  <c r="B601" i="92"/>
  <c r="A601" i="92"/>
  <c r="E600" i="92"/>
  <c r="B600" i="92"/>
  <c r="A600" i="92"/>
  <c r="E599" i="92"/>
  <c r="B599" i="92"/>
  <c r="A599" i="92"/>
  <c r="E598" i="92"/>
  <c r="B598" i="92"/>
  <c r="A598" i="92"/>
  <c r="E597" i="92"/>
  <c r="B597" i="92"/>
  <c r="A597" i="92"/>
  <c r="E596" i="92"/>
  <c r="B596" i="92"/>
  <c r="A596" i="92"/>
  <c r="E595" i="92"/>
  <c r="B595" i="92"/>
  <c r="A595" i="92"/>
  <c r="E594" i="92"/>
  <c r="B594" i="92"/>
  <c r="A594" i="92"/>
  <c r="E593" i="92"/>
  <c r="B593" i="92"/>
  <c r="A593" i="92"/>
  <c r="E592" i="92"/>
  <c r="B592" i="92"/>
  <c r="A592" i="92"/>
  <c r="E591" i="92"/>
  <c r="B591" i="92"/>
  <c r="A591" i="92"/>
  <c r="E590" i="92"/>
  <c r="B590" i="92"/>
  <c r="A590" i="92"/>
  <c r="B589" i="92"/>
  <c r="B588" i="92"/>
  <c r="B587" i="92"/>
  <c r="B586" i="92"/>
  <c r="B585" i="92"/>
  <c r="B584" i="92"/>
  <c r="B583" i="92"/>
  <c r="B582" i="92"/>
  <c r="B581" i="92"/>
  <c r="B580" i="92"/>
  <c r="B579" i="92"/>
  <c r="B578" i="92"/>
  <c r="B577" i="92"/>
  <c r="B576" i="92"/>
  <c r="B575" i="92"/>
  <c r="B574" i="92"/>
  <c r="B573" i="92"/>
  <c r="B572" i="92"/>
  <c r="B571" i="92"/>
  <c r="B570" i="92"/>
  <c r="B569" i="92"/>
  <c r="B568" i="92"/>
  <c r="B567" i="92"/>
  <c r="B566" i="92"/>
  <c r="B565" i="92"/>
  <c r="B564" i="92"/>
  <c r="B563" i="92"/>
  <c r="B562" i="92"/>
  <c r="B561" i="92"/>
  <c r="B560" i="92"/>
  <c r="B559" i="92"/>
  <c r="B558" i="92"/>
  <c r="B557" i="92"/>
  <c r="B556" i="92"/>
  <c r="B555" i="92"/>
  <c r="B554" i="92"/>
  <c r="A554" i="92"/>
  <c r="B553" i="92"/>
  <c r="A553" i="92"/>
  <c r="B552" i="92"/>
  <c r="A552" i="92"/>
  <c r="B551" i="92"/>
  <c r="A551" i="92"/>
  <c r="B550" i="92"/>
  <c r="A550" i="92"/>
  <c r="B549" i="92"/>
  <c r="A549" i="92"/>
  <c r="B548" i="92"/>
  <c r="A548" i="92"/>
  <c r="B547" i="92"/>
  <c r="A547" i="92"/>
  <c r="B546" i="92"/>
  <c r="A546" i="92"/>
  <c r="B545" i="92"/>
  <c r="A545" i="92"/>
  <c r="B544" i="92"/>
  <c r="A544" i="92"/>
  <c r="B543" i="92"/>
  <c r="A543" i="92"/>
  <c r="B542" i="92"/>
  <c r="A542" i="92"/>
  <c r="B541" i="92"/>
  <c r="A541" i="92"/>
  <c r="B540" i="92"/>
  <c r="A540" i="92"/>
  <c r="B539" i="92"/>
  <c r="A539" i="92"/>
  <c r="B538" i="92"/>
  <c r="A538" i="92"/>
  <c r="B537" i="92"/>
  <c r="A537" i="92"/>
  <c r="B536" i="92"/>
  <c r="A536" i="92"/>
  <c r="B535" i="92"/>
  <c r="A535" i="92"/>
  <c r="B534" i="92"/>
  <c r="A534" i="92"/>
  <c r="B533" i="92"/>
  <c r="A533" i="92"/>
  <c r="B532" i="92"/>
  <c r="A532" i="92"/>
  <c r="B531" i="92"/>
  <c r="A531" i="92"/>
  <c r="B530" i="92"/>
  <c r="A530" i="92"/>
  <c r="B529" i="92"/>
  <c r="A529" i="92"/>
  <c r="B528" i="92"/>
  <c r="A528" i="92"/>
  <c r="B527" i="92"/>
  <c r="A527" i="92"/>
  <c r="E526" i="92"/>
  <c r="B526" i="92"/>
  <c r="A526" i="92"/>
  <c r="E525" i="92"/>
  <c r="B525" i="92"/>
  <c r="A525" i="92"/>
  <c r="E524" i="92"/>
  <c r="B524" i="92"/>
  <c r="A524" i="92"/>
  <c r="E523" i="92"/>
  <c r="B523" i="92"/>
  <c r="A523" i="92"/>
  <c r="E522" i="92"/>
  <c r="B522" i="92"/>
  <c r="A522" i="92"/>
  <c r="E521" i="92"/>
  <c r="B521" i="92"/>
  <c r="A521" i="92"/>
  <c r="E520" i="92"/>
  <c r="B520" i="92"/>
  <c r="A520" i="92"/>
  <c r="B519" i="92"/>
  <c r="A519" i="92"/>
  <c r="B518" i="92"/>
  <c r="A518" i="92"/>
  <c r="B517" i="92"/>
  <c r="A517" i="92"/>
  <c r="B516" i="92"/>
  <c r="A516" i="92"/>
  <c r="B515" i="92"/>
  <c r="A515" i="92"/>
  <c r="B514" i="92"/>
  <c r="A514" i="92"/>
  <c r="B513" i="92"/>
  <c r="A513" i="92"/>
  <c r="B512" i="92"/>
  <c r="A512" i="92"/>
  <c r="B511" i="92"/>
  <c r="A511" i="92"/>
  <c r="B510" i="92"/>
  <c r="A510" i="92"/>
  <c r="B509" i="92"/>
  <c r="A509" i="92"/>
  <c r="B508" i="92"/>
  <c r="A508" i="92"/>
  <c r="B507" i="92"/>
  <c r="A507" i="92"/>
  <c r="B506" i="92"/>
  <c r="A506" i="92"/>
  <c r="B505" i="92"/>
  <c r="A505" i="92"/>
  <c r="B504" i="92"/>
  <c r="A504" i="92"/>
  <c r="B503" i="92"/>
  <c r="A503" i="92"/>
  <c r="B502" i="92"/>
  <c r="A502" i="92"/>
  <c r="B501" i="92"/>
  <c r="A501" i="92"/>
  <c r="B500" i="92"/>
  <c r="A500" i="92"/>
  <c r="B499" i="92"/>
  <c r="A499" i="92"/>
  <c r="B498" i="92"/>
  <c r="A498" i="92"/>
  <c r="B497" i="92"/>
  <c r="A497" i="92"/>
  <c r="B496" i="92"/>
  <c r="A496" i="92"/>
  <c r="B495" i="92"/>
  <c r="A495" i="92"/>
  <c r="B494" i="92"/>
  <c r="A494" i="92"/>
  <c r="B493" i="92"/>
  <c r="A493" i="92"/>
  <c r="B492" i="92"/>
  <c r="A492" i="92"/>
  <c r="B491" i="92"/>
  <c r="A491" i="92"/>
  <c r="B490" i="92"/>
  <c r="A490" i="92"/>
  <c r="B489" i="92"/>
  <c r="A489" i="92"/>
  <c r="B488" i="92"/>
  <c r="A488" i="92"/>
  <c r="B487" i="92"/>
  <c r="A487" i="92"/>
  <c r="B486" i="92"/>
  <c r="A486" i="92"/>
  <c r="B485" i="92"/>
  <c r="A485" i="92"/>
  <c r="B484" i="92"/>
  <c r="A484" i="92"/>
  <c r="B483" i="92"/>
  <c r="A483" i="92"/>
  <c r="B482" i="92"/>
  <c r="A482" i="92"/>
  <c r="B481" i="92"/>
  <c r="A481" i="92"/>
  <c r="B480" i="92"/>
  <c r="A480" i="92"/>
  <c r="B479" i="92"/>
  <c r="A479" i="92"/>
  <c r="B478" i="92"/>
  <c r="A478" i="92"/>
  <c r="B477" i="92"/>
  <c r="A477" i="92"/>
  <c r="B476" i="92"/>
  <c r="A476" i="92"/>
  <c r="B475" i="92"/>
  <c r="A475" i="92"/>
  <c r="B474" i="92"/>
  <c r="A474" i="92"/>
  <c r="B473" i="92"/>
  <c r="A473" i="92"/>
  <c r="B472" i="92"/>
  <c r="A472" i="92"/>
  <c r="B471" i="92"/>
  <c r="A471" i="92"/>
  <c r="B470" i="92"/>
  <c r="A470" i="92"/>
  <c r="B469" i="92"/>
  <c r="A469" i="92"/>
  <c r="B468" i="92"/>
  <c r="A468" i="92"/>
  <c r="B467" i="92"/>
  <c r="A467" i="92"/>
  <c r="B466" i="92"/>
  <c r="A466" i="92"/>
  <c r="B465" i="92"/>
  <c r="A465" i="92"/>
  <c r="B464" i="92"/>
  <c r="A464" i="92"/>
  <c r="B463" i="92"/>
  <c r="A463" i="92"/>
  <c r="B462" i="92"/>
  <c r="A462" i="92"/>
  <c r="B461" i="92"/>
  <c r="A461" i="92"/>
  <c r="B460" i="92"/>
  <c r="A460" i="92"/>
  <c r="B459" i="92"/>
  <c r="A459" i="92"/>
  <c r="B458" i="92"/>
  <c r="A458" i="92"/>
  <c r="B457" i="92"/>
  <c r="A457" i="92"/>
  <c r="B456" i="92"/>
  <c r="A456" i="92"/>
  <c r="B455" i="92"/>
  <c r="A455" i="92"/>
  <c r="B454" i="92"/>
  <c r="A454" i="92"/>
  <c r="B453" i="92"/>
  <c r="A453" i="92"/>
  <c r="B452" i="92"/>
  <c r="A452" i="92"/>
  <c r="B451" i="92"/>
  <c r="A451" i="92"/>
  <c r="B450" i="92"/>
  <c r="A450" i="92"/>
  <c r="E449" i="92"/>
  <c r="B449" i="92"/>
  <c r="A449" i="92"/>
  <c r="B448" i="92"/>
  <c r="A448" i="92"/>
  <c r="E447" i="92"/>
  <c r="B447" i="92"/>
  <c r="A447" i="92"/>
  <c r="E446" i="92"/>
  <c r="B446" i="92"/>
  <c r="A446" i="92"/>
  <c r="E445" i="92"/>
  <c r="B445" i="92"/>
  <c r="A445" i="92"/>
  <c r="E444" i="92"/>
  <c r="B444" i="92"/>
  <c r="A444" i="92"/>
  <c r="E443" i="92"/>
  <c r="B443" i="92"/>
  <c r="A443" i="92"/>
  <c r="E442" i="92"/>
  <c r="B442" i="92"/>
  <c r="A442" i="92"/>
  <c r="E441" i="92"/>
  <c r="B441" i="92"/>
  <c r="A441" i="92"/>
  <c r="E440" i="92"/>
  <c r="B440" i="92"/>
  <c r="A440" i="92"/>
  <c r="E439" i="92"/>
  <c r="B439" i="92"/>
  <c r="A439" i="92"/>
  <c r="E438" i="92"/>
  <c r="B438" i="92"/>
  <c r="A438" i="92"/>
  <c r="E437" i="92"/>
  <c r="B437" i="92"/>
  <c r="A437" i="92"/>
  <c r="E436" i="92"/>
  <c r="B436" i="92"/>
  <c r="A436" i="92"/>
  <c r="E435" i="92"/>
  <c r="B435" i="92"/>
  <c r="A435" i="92"/>
  <c r="E434" i="92"/>
  <c r="B434" i="92"/>
  <c r="A434" i="92"/>
  <c r="E433" i="92"/>
  <c r="B433" i="92"/>
  <c r="A433" i="92"/>
  <c r="E432" i="92"/>
  <c r="B432" i="92"/>
  <c r="A432" i="92"/>
  <c r="E431" i="92"/>
  <c r="B431" i="92"/>
  <c r="A431" i="92"/>
  <c r="E430" i="92"/>
  <c r="B430" i="92"/>
  <c r="A430" i="92"/>
  <c r="E429" i="92"/>
  <c r="B429" i="92"/>
  <c r="A429" i="92"/>
  <c r="E428" i="92"/>
  <c r="B428" i="92"/>
  <c r="A428" i="92"/>
  <c r="E427" i="92"/>
  <c r="B427" i="92"/>
  <c r="A427" i="92"/>
  <c r="E426" i="92"/>
  <c r="B426" i="92"/>
  <c r="A426" i="92"/>
  <c r="E425" i="92"/>
  <c r="B425" i="92"/>
  <c r="A425" i="92"/>
  <c r="E424" i="92"/>
  <c r="B424" i="92"/>
  <c r="A424" i="92"/>
  <c r="E423" i="92"/>
  <c r="B423" i="92"/>
  <c r="A423" i="92"/>
  <c r="E422" i="92"/>
  <c r="B422" i="92"/>
  <c r="A422" i="92"/>
  <c r="E421" i="92"/>
  <c r="B421" i="92"/>
  <c r="A421" i="92"/>
  <c r="E420" i="92"/>
  <c r="B420" i="92"/>
  <c r="A420" i="92"/>
  <c r="E419" i="92"/>
  <c r="B419" i="92"/>
  <c r="A419" i="92"/>
  <c r="E418" i="92"/>
  <c r="B418" i="92"/>
  <c r="A418" i="92"/>
  <c r="E417" i="92"/>
  <c r="B417" i="92"/>
  <c r="A417" i="92"/>
  <c r="E416" i="92"/>
  <c r="B416" i="92"/>
  <c r="A416" i="92"/>
  <c r="E415" i="92"/>
  <c r="B415" i="92"/>
  <c r="A415" i="92"/>
  <c r="E414" i="92"/>
  <c r="B414" i="92"/>
  <c r="A414" i="92"/>
  <c r="E413" i="92"/>
  <c r="B413" i="92"/>
  <c r="A413" i="92"/>
  <c r="E412" i="92"/>
  <c r="B412" i="92"/>
  <c r="A412" i="92"/>
  <c r="E411" i="92"/>
  <c r="B411" i="92"/>
  <c r="A411" i="92"/>
  <c r="E410" i="92"/>
  <c r="B410" i="92"/>
  <c r="A410" i="92"/>
  <c r="E409" i="92"/>
  <c r="B409" i="92"/>
  <c r="A409" i="92"/>
  <c r="E408" i="92"/>
  <c r="B408" i="92"/>
  <c r="A408" i="92"/>
  <c r="E407" i="92"/>
  <c r="B407" i="92"/>
  <c r="A407" i="92"/>
  <c r="E406" i="92"/>
  <c r="B406" i="92"/>
  <c r="A406" i="92"/>
  <c r="E405" i="92"/>
  <c r="B405" i="92"/>
  <c r="A405" i="92"/>
  <c r="E404" i="92"/>
  <c r="B404" i="92"/>
  <c r="A404" i="92"/>
  <c r="E403" i="92"/>
  <c r="B403" i="92"/>
  <c r="A403" i="92"/>
  <c r="E402" i="92"/>
  <c r="B402" i="92"/>
  <c r="A402" i="92"/>
  <c r="E401" i="92"/>
  <c r="B401" i="92"/>
  <c r="A401" i="92"/>
  <c r="E400" i="92"/>
  <c r="B400" i="92"/>
  <c r="A400" i="92"/>
  <c r="E399" i="92"/>
  <c r="B399" i="92"/>
  <c r="A399" i="92"/>
  <c r="E398" i="92"/>
  <c r="B398" i="92"/>
  <c r="A398" i="92"/>
  <c r="E397" i="92"/>
  <c r="B397" i="92"/>
  <c r="A397" i="92"/>
  <c r="E396" i="92"/>
  <c r="B396" i="92"/>
  <c r="A396" i="92"/>
  <c r="E395" i="92"/>
  <c r="B395" i="92"/>
  <c r="A395" i="92"/>
  <c r="E394" i="92"/>
  <c r="B394" i="92"/>
  <c r="A394" i="92"/>
  <c r="E393" i="92"/>
  <c r="B393" i="92"/>
  <c r="A393" i="92"/>
  <c r="E392" i="92"/>
  <c r="B392" i="92"/>
  <c r="A392" i="92"/>
  <c r="E391" i="92"/>
  <c r="B391" i="92"/>
  <c r="A391" i="92"/>
  <c r="E390" i="92"/>
  <c r="B390" i="92"/>
  <c r="A390" i="92"/>
  <c r="E389" i="92"/>
  <c r="B389" i="92"/>
  <c r="A389" i="92"/>
  <c r="E388" i="92"/>
  <c r="B388" i="92"/>
  <c r="A388" i="92"/>
  <c r="E387" i="92"/>
  <c r="B387" i="92"/>
  <c r="A387" i="92"/>
  <c r="E386" i="92"/>
  <c r="B386" i="92"/>
  <c r="A386" i="92"/>
  <c r="E385" i="92"/>
  <c r="B385" i="92"/>
  <c r="A385" i="92"/>
  <c r="E384" i="92"/>
  <c r="B384" i="92"/>
  <c r="A384" i="92"/>
  <c r="E383" i="92"/>
  <c r="B383" i="92"/>
  <c r="A383" i="92"/>
  <c r="E382" i="92"/>
  <c r="B382" i="92"/>
  <c r="A382" i="92"/>
  <c r="E381" i="92"/>
  <c r="B381" i="92"/>
  <c r="A381" i="92"/>
  <c r="E380" i="92"/>
  <c r="B380" i="92"/>
  <c r="A380" i="92"/>
  <c r="B379" i="92"/>
  <c r="B378" i="92"/>
  <c r="B377" i="92"/>
  <c r="B376" i="92"/>
  <c r="B375" i="92"/>
  <c r="E374" i="92"/>
  <c r="B374" i="92"/>
  <c r="B373" i="92"/>
  <c r="E372" i="92"/>
  <c r="B372" i="92"/>
  <c r="E371" i="92"/>
  <c r="B371" i="92"/>
  <c r="E370" i="92"/>
  <c r="B370" i="92"/>
  <c r="E369" i="92"/>
  <c r="B369" i="92"/>
  <c r="E368" i="92"/>
  <c r="B368" i="92"/>
  <c r="E367" i="92"/>
  <c r="B367" i="92"/>
  <c r="E366" i="92"/>
  <c r="B366" i="92"/>
  <c r="B365" i="92"/>
  <c r="B364" i="92"/>
  <c r="B363" i="92"/>
  <c r="E362" i="92"/>
  <c r="B362" i="92"/>
  <c r="B361" i="92"/>
  <c r="B360" i="92"/>
  <c r="B359" i="92"/>
  <c r="B358" i="92"/>
  <c r="B357" i="92"/>
  <c r="B356" i="92"/>
  <c r="B355" i="92"/>
  <c r="B354" i="92"/>
  <c r="B353" i="92"/>
  <c r="B352" i="92"/>
  <c r="B351" i="92"/>
  <c r="B350" i="92"/>
  <c r="A350" i="92"/>
  <c r="E349" i="92"/>
  <c r="B349" i="92"/>
  <c r="B348" i="92"/>
  <c r="E347" i="92"/>
  <c r="B347" i="92"/>
  <c r="B346" i="92"/>
  <c r="B345" i="92"/>
  <c r="B344" i="92"/>
  <c r="A344" i="92"/>
  <c r="E343" i="92"/>
  <c r="B343" i="92"/>
  <c r="A343" i="92"/>
  <c r="E342" i="92"/>
  <c r="B342" i="92"/>
  <c r="A342" i="92"/>
  <c r="B341" i="92"/>
  <c r="A341" i="92"/>
  <c r="B340" i="92"/>
  <c r="A340" i="92"/>
  <c r="B339" i="92"/>
  <c r="A339" i="92"/>
  <c r="B338" i="92"/>
  <c r="A338" i="92"/>
  <c r="B337" i="92"/>
  <c r="B336" i="92"/>
  <c r="B335" i="92"/>
  <c r="B334" i="92"/>
  <c r="B333" i="92"/>
  <c r="B332" i="92"/>
  <c r="B331" i="92"/>
  <c r="B330" i="92"/>
  <c r="E329" i="92"/>
  <c r="B329" i="92"/>
  <c r="B328" i="92"/>
  <c r="B327" i="92"/>
  <c r="B326" i="92"/>
  <c r="B325" i="92"/>
  <c r="E324" i="92"/>
  <c r="B324" i="92"/>
  <c r="B323" i="92"/>
  <c r="E322" i="92"/>
  <c r="B322" i="92"/>
  <c r="A322" i="92"/>
  <c r="B321" i="92"/>
  <c r="B320" i="92"/>
  <c r="B319" i="92"/>
  <c r="B318" i="92"/>
  <c r="A318" i="92"/>
  <c r="B317" i="92"/>
  <c r="A317" i="92"/>
  <c r="B316" i="92"/>
  <c r="A316" i="92"/>
  <c r="E315" i="92"/>
  <c r="B315" i="92"/>
  <c r="A315" i="92"/>
  <c r="E314" i="92"/>
  <c r="B314" i="92"/>
  <c r="A314" i="92"/>
  <c r="B313" i="92"/>
  <c r="A313" i="92"/>
  <c r="B312" i="92"/>
  <c r="A312" i="92"/>
  <c r="B311" i="92"/>
  <c r="A311" i="92"/>
  <c r="E310" i="92"/>
  <c r="B310" i="92"/>
  <c r="A310" i="92"/>
  <c r="B309" i="92"/>
  <c r="A309" i="92"/>
  <c r="B308" i="92"/>
  <c r="A308" i="92"/>
  <c r="B307" i="92"/>
  <c r="A307" i="92"/>
  <c r="B306" i="92"/>
  <c r="A306" i="92"/>
  <c r="B305" i="92"/>
  <c r="A305" i="92"/>
  <c r="B304" i="92"/>
  <c r="A304" i="92"/>
  <c r="B303" i="92"/>
  <c r="A303" i="92"/>
  <c r="E302" i="92"/>
  <c r="B302" i="92"/>
  <c r="B301" i="92"/>
  <c r="B300" i="92"/>
  <c r="B299" i="92"/>
  <c r="B298" i="92"/>
  <c r="E297" i="92"/>
  <c r="B297" i="92"/>
  <c r="B296" i="92"/>
  <c r="E295" i="92"/>
  <c r="B295" i="92"/>
  <c r="B294" i="92"/>
  <c r="B293" i="92"/>
  <c r="B292" i="92"/>
  <c r="B291" i="92"/>
  <c r="B290" i="92"/>
  <c r="E289" i="92"/>
  <c r="B289" i="92"/>
  <c r="E288" i="92"/>
  <c r="B288" i="92"/>
  <c r="B287" i="92"/>
  <c r="B286" i="92"/>
  <c r="B285" i="92"/>
  <c r="B284" i="92"/>
  <c r="E283" i="92"/>
  <c r="B283" i="92"/>
  <c r="E282" i="92"/>
  <c r="B282" i="92"/>
  <c r="E281" i="92"/>
  <c r="B281" i="92"/>
  <c r="B280" i="92"/>
  <c r="B279" i="92"/>
  <c r="B278" i="92"/>
  <c r="B277" i="92"/>
  <c r="B276" i="92"/>
  <c r="B275" i="92"/>
  <c r="E274" i="92"/>
  <c r="B274" i="92"/>
  <c r="A274" i="92"/>
  <c r="B273" i="92"/>
  <c r="A273" i="92"/>
  <c r="B272" i="92"/>
  <c r="B271" i="92"/>
  <c r="E270" i="92"/>
  <c r="B270" i="92"/>
  <c r="E269" i="92"/>
  <c r="B269" i="92"/>
  <c r="B268" i="92"/>
  <c r="B267" i="92"/>
  <c r="B266" i="92"/>
  <c r="B265" i="92"/>
  <c r="B264" i="92"/>
  <c r="B263" i="92"/>
  <c r="A263" i="92"/>
  <c r="E262" i="92"/>
  <c r="B262" i="92"/>
  <c r="B261" i="92"/>
  <c r="B260" i="92"/>
  <c r="B259" i="92"/>
  <c r="B258" i="92"/>
  <c r="B257" i="92"/>
  <c r="B256" i="92"/>
  <c r="E255" i="92"/>
  <c r="B255" i="92"/>
  <c r="B254" i="92"/>
  <c r="B253" i="92"/>
  <c r="B252" i="92"/>
  <c r="B251" i="92"/>
  <c r="B250" i="92"/>
  <c r="B249" i="92"/>
  <c r="B248" i="92"/>
  <c r="B247" i="92"/>
  <c r="B246" i="92"/>
  <c r="E245" i="92"/>
  <c r="B245" i="92"/>
  <c r="A245" i="92"/>
  <c r="B244" i="92"/>
  <c r="A244" i="92"/>
  <c r="B243" i="92"/>
  <c r="E242" i="92"/>
  <c r="B242" i="92"/>
  <c r="B241" i="92"/>
  <c r="B240" i="92"/>
  <c r="B239" i="92"/>
  <c r="B238" i="92"/>
  <c r="B237" i="92"/>
  <c r="B236" i="92"/>
  <c r="E235" i="92"/>
  <c r="B235" i="92"/>
  <c r="B234" i="92"/>
  <c r="B233" i="92"/>
  <c r="E232" i="92"/>
  <c r="B232" i="92"/>
  <c r="B231" i="92"/>
  <c r="A231" i="92"/>
  <c r="B230" i="92"/>
  <c r="E229" i="92"/>
  <c r="B229" i="92"/>
  <c r="E228" i="92"/>
  <c r="B228" i="92"/>
  <c r="B227" i="92"/>
  <c r="B226" i="92"/>
  <c r="B225" i="92"/>
  <c r="B224" i="92"/>
  <c r="B223" i="92"/>
  <c r="B222" i="92"/>
  <c r="E221" i="92"/>
  <c r="B221" i="92"/>
  <c r="B220" i="92"/>
  <c r="B219" i="92"/>
  <c r="B218" i="92"/>
  <c r="B217" i="92"/>
  <c r="B216" i="92"/>
  <c r="E215" i="92"/>
  <c r="B215" i="92"/>
  <c r="B214" i="92"/>
  <c r="B213" i="92"/>
  <c r="B212" i="92"/>
  <c r="B211" i="92"/>
  <c r="B210" i="92"/>
  <c r="B209" i="92"/>
  <c r="B208" i="92"/>
  <c r="B207" i="92"/>
  <c r="B206" i="92"/>
  <c r="B205" i="92"/>
  <c r="B204" i="92"/>
  <c r="A204" i="92"/>
  <c r="B203" i="92"/>
  <c r="A203" i="92"/>
  <c r="E202" i="92"/>
  <c r="B202" i="92"/>
  <c r="A202" i="92"/>
  <c r="B201" i="92"/>
  <c r="A201" i="92"/>
  <c r="B200" i="92"/>
  <c r="A200" i="92"/>
  <c r="E199" i="92"/>
  <c r="B199" i="92"/>
  <c r="A199" i="92"/>
  <c r="E198" i="92"/>
  <c r="B198" i="92"/>
  <c r="A198" i="92"/>
  <c r="B197" i="92"/>
  <c r="B196" i="92"/>
  <c r="B195" i="92"/>
  <c r="B194" i="92"/>
  <c r="B193" i="92"/>
  <c r="B192" i="92"/>
  <c r="B191" i="92"/>
  <c r="B190" i="92"/>
  <c r="B189" i="92"/>
  <c r="B188" i="92"/>
  <c r="B187" i="92"/>
  <c r="B186" i="92"/>
  <c r="B185" i="92"/>
  <c r="B184" i="92"/>
  <c r="B183" i="92"/>
  <c r="B182" i="92"/>
  <c r="B181" i="92"/>
  <c r="B180" i="92"/>
  <c r="B179" i="92"/>
  <c r="B178" i="92"/>
  <c r="B177" i="92"/>
  <c r="B176" i="92"/>
  <c r="B175" i="92"/>
  <c r="B174" i="92"/>
  <c r="B173" i="92"/>
  <c r="B172" i="92"/>
  <c r="B171" i="92"/>
  <c r="B170" i="92"/>
  <c r="B169" i="92"/>
  <c r="B168" i="92"/>
  <c r="B167" i="92"/>
  <c r="B166" i="92"/>
  <c r="B165" i="92"/>
  <c r="B164" i="92"/>
  <c r="B163" i="92"/>
  <c r="B162" i="92"/>
  <c r="B161" i="92"/>
  <c r="B160" i="92"/>
  <c r="B159" i="92"/>
  <c r="B158" i="92"/>
  <c r="B157" i="92"/>
  <c r="B156" i="92"/>
  <c r="B155" i="92"/>
  <c r="B154" i="92"/>
  <c r="B153" i="92"/>
  <c r="B152" i="92"/>
  <c r="B151" i="92"/>
  <c r="B150" i="92"/>
  <c r="B149" i="92"/>
  <c r="B148" i="92"/>
  <c r="B147" i="92"/>
  <c r="B146" i="92"/>
  <c r="B145" i="92"/>
  <c r="B144" i="92"/>
  <c r="B143" i="92"/>
  <c r="B142" i="92"/>
  <c r="B141" i="92"/>
  <c r="B140" i="92"/>
  <c r="B139" i="92"/>
  <c r="B138" i="92"/>
  <c r="B137" i="92"/>
  <c r="B136" i="92"/>
  <c r="B135" i="92"/>
  <c r="B134" i="92"/>
  <c r="B133" i="92"/>
  <c r="E132" i="92"/>
  <c r="B132" i="92"/>
  <c r="E131" i="92"/>
  <c r="B131" i="92"/>
  <c r="B130" i="92"/>
  <c r="B129" i="92"/>
  <c r="B128" i="92"/>
  <c r="B127" i="92"/>
  <c r="B126" i="92"/>
  <c r="B125" i="92"/>
  <c r="B124" i="92"/>
  <c r="B123" i="92"/>
  <c r="B122" i="92"/>
  <c r="B121" i="92"/>
  <c r="B120" i="92"/>
  <c r="B119" i="92"/>
  <c r="B118" i="92"/>
  <c r="B117" i="92"/>
  <c r="B116" i="92"/>
  <c r="B115" i="92"/>
  <c r="B114" i="92"/>
  <c r="E113" i="92"/>
  <c r="B113" i="92"/>
  <c r="B112" i="92"/>
  <c r="B111" i="92"/>
  <c r="E110" i="92"/>
  <c r="B110" i="92"/>
  <c r="B109" i="92"/>
  <c r="B108" i="92"/>
  <c r="B107" i="92"/>
  <c r="B106" i="92"/>
  <c r="B105" i="92"/>
  <c r="B104" i="92"/>
  <c r="B103" i="92"/>
  <c r="B102" i="92"/>
  <c r="B101" i="92"/>
  <c r="B100" i="92"/>
  <c r="B99" i="92"/>
  <c r="B98" i="92"/>
  <c r="B97" i="92"/>
  <c r="B96" i="92"/>
  <c r="E95" i="92"/>
  <c r="B95" i="92"/>
  <c r="B94" i="92"/>
  <c r="B93" i="92"/>
  <c r="B92" i="92"/>
  <c r="A92" i="92"/>
  <c r="B91" i="92"/>
  <c r="A91" i="92"/>
  <c r="E90" i="92"/>
  <c r="B90" i="92"/>
  <c r="A90" i="92"/>
  <c r="B89" i="92"/>
  <c r="A89" i="92"/>
  <c r="B88" i="92"/>
  <c r="A88" i="92"/>
  <c r="B87" i="92"/>
  <c r="A87" i="92"/>
  <c r="B86" i="92"/>
  <c r="A86" i="92"/>
  <c r="B85" i="92"/>
  <c r="A85" i="92"/>
  <c r="B84" i="92"/>
  <c r="A84" i="92"/>
  <c r="B83" i="92"/>
  <c r="A83" i="92"/>
  <c r="E82" i="92"/>
  <c r="B82" i="92"/>
  <c r="A82" i="92"/>
  <c r="B81" i="92"/>
  <c r="A81" i="92"/>
  <c r="B80" i="92"/>
  <c r="A80" i="92"/>
  <c r="B79" i="92"/>
  <c r="A79" i="92"/>
  <c r="B78" i="92"/>
  <c r="A78" i="92"/>
  <c r="B77" i="92"/>
  <c r="A77" i="92"/>
  <c r="B76" i="92"/>
  <c r="A76" i="92"/>
  <c r="E75" i="92"/>
  <c r="B75" i="92"/>
  <c r="A75" i="92"/>
  <c r="B74" i="92"/>
  <c r="A74" i="92"/>
  <c r="B73" i="92"/>
  <c r="A73" i="92"/>
  <c r="B72" i="92"/>
  <c r="A72" i="92"/>
  <c r="B71" i="92"/>
  <c r="A71" i="92"/>
  <c r="B70" i="92"/>
  <c r="A70" i="92"/>
  <c r="B69" i="92"/>
  <c r="A69" i="92"/>
  <c r="E68" i="92"/>
  <c r="B68" i="92"/>
  <c r="A68" i="92"/>
  <c r="B67" i="92"/>
  <c r="A67" i="92"/>
  <c r="B66" i="92"/>
  <c r="A66" i="92"/>
  <c r="B65" i="92"/>
  <c r="A65" i="92"/>
  <c r="B64" i="92"/>
  <c r="A64" i="92"/>
  <c r="B63" i="92"/>
  <c r="A63" i="92"/>
  <c r="B62" i="92"/>
  <c r="A62" i="92"/>
  <c r="B61" i="92"/>
  <c r="A61" i="92"/>
  <c r="B60" i="92"/>
  <c r="A60" i="92"/>
  <c r="B59" i="92"/>
  <c r="A59" i="92"/>
  <c r="B58" i="92"/>
  <c r="A58" i="92"/>
  <c r="E57" i="92"/>
  <c r="B57" i="92"/>
  <c r="A57" i="92"/>
  <c r="B56" i="92"/>
  <c r="A56" i="92"/>
  <c r="B55" i="92"/>
  <c r="A55" i="92"/>
  <c r="B54" i="92"/>
  <c r="A54" i="92"/>
  <c r="B53" i="92"/>
  <c r="A53" i="92"/>
  <c r="B52" i="92"/>
  <c r="A52" i="92"/>
  <c r="B51" i="92"/>
  <c r="A51" i="92"/>
  <c r="E50" i="92"/>
  <c r="B50" i="92"/>
  <c r="A50" i="92"/>
  <c r="B49" i="92"/>
  <c r="A49" i="92"/>
  <c r="B48" i="92"/>
  <c r="A48" i="92"/>
  <c r="B47" i="92"/>
  <c r="A47" i="92"/>
  <c r="B46" i="92"/>
  <c r="A46" i="92"/>
  <c r="B45" i="92"/>
  <c r="A45" i="92"/>
  <c r="B44" i="92"/>
  <c r="A44" i="92"/>
  <c r="E43" i="92"/>
  <c r="B43" i="92"/>
  <c r="A43" i="92"/>
  <c r="B42" i="92"/>
  <c r="A42" i="92"/>
  <c r="B41" i="92"/>
  <c r="A41" i="92"/>
  <c r="E40" i="92"/>
  <c r="B40" i="92"/>
  <c r="A40" i="92"/>
  <c r="B39" i="92"/>
  <c r="A39" i="92"/>
  <c r="B38" i="92"/>
  <c r="A38" i="92"/>
  <c r="B37" i="92"/>
  <c r="A37" i="92"/>
  <c r="E36" i="92"/>
  <c r="B36" i="92"/>
  <c r="A36" i="92"/>
  <c r="B35" i="92"/>
  <c r="A35" i="92"/>
  <c r="B34" i="92"/>
  <c r="A34" i="92"/>
  <c r="B33" i="92"/>
  <c r="A33" i="92"/>
  <c r="B32" i="92"/>
  <c r="A32" i="92"/>
  <c r="B31" i="92"/>
  <c r="A31" i="92"/>
  <c r="B30" i="92"/>
  <c r="A30" i="92"/>
  <c r="E29" i="92"/>
  <c r="B29" i="92"/>
  <c r="A29" i="92"/>
  <c r="B28" i="92"/>
  <c r="A28" i="92"/>
  <c r="B27" i="92"/>
  <c r="A27" i="92"/>
  <c r="B26" i="92"/>
  <c r="A26" i="92"/>
  <c r="E25" i="92"/>
  <c r="B25" i="92"/>
  <c r="A25" i="92"/>
  <c r="B24" i="92"/>
  <c r="A24" i="92"/>
  <c r="B23" i="92"/>
  <c r="A23" i="92"/>
  <c r="E22" i="92"/>
  <c r="B22" i="92"/>
  <c r="A22" i="92"/>
  <c r="B21" i="92"/>
  <c r="A21" i="92"/>
  <c r="B20" i="92"/>
  <c r="A20" i="92"/>
  <c r="B19" i="92"/>
  <c r="A19" i="92"/>
  <c r="B18" i="92"/>
  <c r="A18" i="92"/>
  <c r="B17" i="92"/>
  <c r="A17" i="92"/>
  <c r="B16" i="92"/>
  <c r="A16" i="92"/>
  <c r="E15" i="92"/>
  <c r="B15" i="92"/>
  <c r="A15" i="92"/>
  <c r="B14" i="92"/>
  <c r="A14" i="92"/>
  <c r="B13" i="92"/>
  <c r="A13" i="92"/>
  <c r="B12" i="92"/>
  <c r="A12" i="92"/>
  <c r="B11" i="92"/>
  <c r="A11" i="92"/>
  <c r="B10" i="92"/>
  <c r="A10" i="92"/>
  <c r="B9" i="92"/>
  <c r="A9" i="92"/>
  <c r="E8" i="92"/>
  <c r="B8" i="92"/>
  <c r="A8" i="92"/>
  <c r="B7" i="92"/>
  <c r="A7" i="92"/>
  <c r="B6" i="92"/>
  <c r="A6" i="92"/>
  <c r="B5" i="92"/>
  <c r="A5" i="92"/>
  <c r="E4" i="92"/>
  <c r="B4" i="92"/>
  <c r="A4" i="92"/>
  <c r="B3" i="92"/>
  <c r="A3" i="92"/>
  <c r="B2" i="92"/>
  <c r="A2" i="92"/>
  <c r="E29" i="59"/>
  <c r="J27" i="59"/>
  <c r="J26" i="59"/>
  <c r="T93" i="10" s="1"/>
  <c r="J25" i="59"/>
  <c r="T92" i="10" s="1"/>
  <c r="J24" i="59"/>
  <c r="J22" i="59"/>
  <c r="N21" i="59"/>
  <c r="U87" i="10" s="1"/>
  <c r="J21" i="59"/>
  <c r="T87" i="10" s="1"/>
  <c r="L20" i="59"/>
  <c r="L19" i="59" s="1"/>
  <c r="G20" i="59"/>
  <c r="G19" i="59" s="1"/>
  <c r="G12" i="59" s="1"/>
  <c r="G29" i="59" s="1"/>
  <c r="E20" i="59"/>
  <c r="J20" i="59" s="1"/>
  <c r="T84" i="10" s="1"/>
  <c r="E19" i="59"/>
  <c r="J17" i="59"/>
  <c r="J16" i="59"/>
  <c r="N15" i="59"/>
  <c r="U79" i="10" s="1"/>
  <c r="J15" i="59"/>
  <c r="L14" i="59"/>
  <c r="G14" i="59"/>
  <c r="E14" i="59"/>
  <c r="E12" i="59"/>
  <c r="J10" i="59"/>
  <c r="J21" i="61"/>
  <c r="I21" i="61"/>
  <c r="H21" i="61"/>
  <c r="K15" i="61"/>
  <c r="K14" i="61"/>
  <c r="K13" i="61" s="1"/>
  <c r="K21" i="61" s="1"/>
  <c r="J14" i="61"/>
  <c r="N13" i="61"/>
  <c r="N21" i="61" s="1"/>
  <c r="M13" i="61"/>
  <c r="M21" i="61" s="1"/>
  <c r="J13" i="61"/>
  <c r="I13" i="61"/>
  <c r="H13" i="61"/>
  <c r="G13" i="61"/>
  <c r="G21" i="61" s="1"/>
  <c r="F13" i="61"/>
  <c r="F21" i="61" s="1"/>
  <c r="E13" i="61"/>
  <c r="E21" i="61" s="1"/>
  <c r="J10" i="61"/>
  <c r="N9" i="61"/>
  <c r="M9" i="61"/>
  <c r="K9" i="61"/>
  <c r="J9" i="61"/>
  <c r="I9" i="61"/>
  <c r="H9" i="61"/>
  <c r="G9" i="61"/>
  <c r="F9" i="61"/>
  <c r="E9" i="61"/>
  <c r="G48" i="56"/>
  <c r="G45" i="56"/>
  <c r="G29" i="56" s="1"/>
  <c r="E45" i="56"/>
  <c r="E46" i="56" s="1"/>
  <c r="B45" i="56"/>
  <c r="F44" i="56"/>
  <c r="U67" i="10" s="1"/>
  <c r="F43" i="56"/>
  <c r="U66" i="10" s="1"/>
  <c r="F42" i="56"/>
  <c r="U65" i="10" s="1"/>
  <c r="D42" i="56"/>
  <c r="C42" i="56"/>
  <c r="C41" i="56" s="1"/>
  <c r="E41" i="56"/>
  <c r="D41" i="56"/>
  <c r="D45" i="56" s="1"/>
  <c r="D46" i="56" s="1"/>
  <c r="B41" i="56"/>
  <c r="F40" i="56"/>
  <c r="U61" i="10" s="1"/>
  <c r="F39" i="56"/>
  <c r="U60" i="10" s="1"/>
  <c r="F38" i="56"/>
  <c r="U59" i="10" s="1"/>
  <c r="F37" i="56"/>
  <c r="H37" i="56" s="1"/>
  <c r="I37" i="56" s="1"/>
  <c r="E37" i="56"/>
  <c r="D37" i="56"/>
  <c r="C37" i="56"/>
  <c r="C45" i="56" s="1"/>
  <c r="B37" i="56"/>
  <c r="F34" i="56"/>
  <c r="B34" i="56"/>
  <c r="B29" i="56" s="1"/>
  <c r="F29" i="56" s="1"/>
  <c r="H33" i="56"/>
  <c r="I33" i="56" s="1"/>
  <c r="F33" i="56"/>
  <c r="F32" i="56"/>
  <c r="F31" i="56"/>
  <c r="E30" i="56"/>
  <c r="D30" i="56"/>
  <c r="D29" i="56" s="1"/>
  <c r="B30" i="56"/>
  <c r="E29" i="56"/>
  <c r="C29" i="56"/>
  <c r="G23" i="56"/>
  <c r="B23" i="56"/>
  <c r="H22" i="56"/>
  <c r="I22" i="56" s="1"/>
  <c r="F22" i="56"/>
  <c r="U50" i="10" s="1"/>
  <c r="U15" i="10" s="1"/>
  <c r="E140" i="92" s="1"/>
  <c r="F21" i="56"/>
  <c r="U49" i="10" s="1"/>
  <c r="U14" i="10" s="1"/>
  <c r="E139" i="92" s="1"/>
  <c r="H20" i="56"/>
  <c r="I20" i="56" s="1"/>
  <c r="F20" i="56"/>
  <c r="U45" i="10" s="1"/>
  <c r="U12" i="10" s="1"/>
  <c r="E137" i="92" s="1"/>
  <c r="H19" i="56"/>
  <c r="I19" i="56" s="1"/>
  <c r="F19" i="56"/>
  <c r="U48" i="10" s="1"/>
  <c r="U13" i="10" s="1"/>
  <c r="E138" i="92" s="1"/>
  <c r="I18" i="56"/>
  <c r="H18" i="56"/>
  <c r="F18" i="56"/>
  <c r="U38" i="10" s="1"/>
  <c r="F17" i="56"/>
  <c r="F16" i="56"/>
  <c r="U36" i="10" s="1"/>
  <c r="F15" i="56"/>
  <c r="E14" i="56"/>
  <c r="C14" i="56"/>
  <c r="I13" i="56"/>
  <c r="H13" i="56"/>
  <c r="F13" i="56"/>
  <c r="U32" i="10" s="1"/>
  <c r="I12" i="56"/>
  <c r="H12" i="56"/>
  <c r="F12" i="56"/>
  <c r="U31" i="10" s="1"/>
  <c r="F11" i="56"/>
  <c r="U30" i="10" s="1"/>
  <c r="F10" i="56"/>
  <c r="U29" i="10" s="1"/>
  <c r="E9" i="56"/>
  <c r="E23" i="56" s="1"/>
  <c r="D9" i="56"/>
  <c r="C9" i="56"/>
  <c r="C23" i="56" s="1"/>
  <c r="AF66" i="18"/>
  <c r="AF63" i="18"/>
  <c r="AC63" i="18"/>
  <c r="AF34" i="18"/>
  <c r="AE34" i="18"/>
  <c r="AG32" i="18"/>
  <c r="AL31" i="18"/>
  <c r="AK31" i="18"/>
  <c r="AG31" i="18"/>
  <c r="AM30" i="18"/>
  <c r="AL30" i="18"/>
  <c r="AG30" i="18"/>
  <c r="AM29" i="18"/>
  <c r="AL29" i="18"/>
  <c r="AG29" i="18"/>
  <c r="AL28" i="18"/>
  <c r="AM28" i="18" s="1"/>
  <c r="AG28" i="18"/>
  <c r="AM24" i="18"/>
  <c r="AL24" i="18"/>
  <c r="AG24" i="18"/>
  <c r="AE24" i="18"/>
  <c r="AM23" i="18"/>
  <c r="AL23" i="18"/>
  <c r="AG23" i="18"/>
  <c r="AG22" i="18"/>
  <c r="AG21" i="18"/>
  <c r="AG20" i="18"/>
  <c r="T20" i="18"/>
  <c r="V20" i="18" s="1"/>
  <c r="P20" i="18"/>
  <c r="L20" i="18"/>
  <c r="H20" i="18"/>
  <c r="D20" i="18"/>
  <c r="AG19" i="18"/>
  <c r="R19" i="18"/>
  <c r="Q19" i="18"/>
  <c r="T19" i="18" s="1"/>
  <c r="P19" i="18"/>
  <c r="L19" i="18"/>
  <c r="H19" i="18"/>
  <c r="D19" i="18"/>
  <c r="AE18" i="18"/>
  <c r="AG18" i="18" s="1"/>
  <c r="AK17" i="18"/>
  <c r="AM17" i="18" s="1"/>
  <c r="AG17" i="18"/>
  <c r="AE17" i="18"/>
  <c r="N17" i="18"/>
  <c r="N22" i="18" s="1"/>
  <c r="M17" i="18"/>
  <c r="M22" i="18" s="1"/>
  <c r="H17" i="18"/>
  <c r="H22" i="18" s="1"/>
  <c r="AL16" i="18"/>
  <c r="AM16" i="18" s="1"/>
  <c r="AG16" i="18"/>
  <c r="R16" i="18"/>
  <c r="Q16" i="18"/>
  <c r="P16" i="18"/>
  <c r="L16" i="18"/>
  <c r="H16" i="18"/>
  <c r="D16" i="18"/>
  <c r="AM15" i="18"/>
  <c r="AL15" i="18"/>
  <c r="R15" i="18"/>
  <c r="T15" i="18" s="1"/>
  <c r="Q15" i="18"/>
  <c r="P15" i="18"/>
  <c r="L15" i="18"/>
  <c r="H15" i="18"/>
  <c r="D15" i="18"/>
  <c r="AL14" i="18"/>
  <c r="AG14" i="18"/>
  <c r="Q14" i="18"/>
  <c r="P14" i="18"/>
  <c r="L14" i="18"/>
  <c r="H14" i="18"/>
  <c r="D14" i="18"/>
  <c r="AM13" i="18"/>
  <c r="AL13" i="18"/>
  <c r="R13" i="18" s="1"/>
  <c r="AG13" i="18"/>
  <c r="Q13" i="18"/>
  <c r="P13" i="18"/>
  <c r="L13" i="18"/>
  <c r="H13" i="18"/>
  <c r="D13" i="18"/>
  <c r="AL12" i="18"/>
  <c r="AG12" i="18"/>
  <c r="AG34" i="18" s="1"/>
  <c r="Q12" i="18"/>
  <c r="P12" i="18"/>
  <c r="L12" i="18"/>
  <c r="H12" i="18"/>
  <c r="D12" i="18"/>
  <c r="AL11" i="18"/>
  <c r="AL17" i="18" s="1"/>
  <c r="R11" i="18"/>
  <c r="Q11" i="18"/>
  <c r="P11" i="18"/>
  <c r="L11" i="18"/>
  <c r="H11" i="18"/>
  <c r="D11" i="18"/>
  <c r="AM10" i="18"/>
  <c r="AL10" i="18"/>
  <c r="R10" i="18"/>
  <c r="T10" i="18" s="1"/>
  <c r="Q10" i="18"/>
  <c r="Q17" i="18" s="1"/>
  <c r="Q22" i="18" s="1"/>
  <c r="P10" i="18"/>
  <c r="L10" i="18"/>
  <c r="H10" i="18"/>
  <c r="D10" i="18"/>
  <c r="D17" i="18" s="1"/>
  <c r="D22" i="18" s="1"/>
  <c r="F17" i="20"/>
  <c r="G14" i="20" s="1"/>
  <c r="G16" i="20"/>
  <c r="F14" i="20"/>
  <c r="F13" i="20"/>
  <c r="G13" i="20" s="1"/>
  <c r="F12" i="20"/>
  <c r="G12" i="20" s="1"/>
  <c r="G11" i="20"/>
  <c r="F11" i="20"/>
  <c r="F10" i="20"/>
  <c r="B18" i="17"/>
  <c r="B27" i="17" s="1"/>
  <c r="B32" i="17" s="1"/>
  <c r="B9" i="17"/>
  <c r="G70" i="1"/>
  <c r="K66" i="1"/>
  <c r="J66" i="1"/>
  <c r="I66" i="1"/>
  <c r="H66" i="1"/>
  <c r="G66" i="1"/>
  <c r="F66" i="1"/>
  <c r="F68" i="1" s="1"/>
  <c r="E66" i="1"/>
  <c r="D66" i="1"/>
  <c r="C66" i="1"/>
  <c r="C68" i="1" s="1"/>
  <c r="B66" i="1"/>
  <c r="H64" i="1"/>
  <c r="K63" i="1"/>
  <c r="J63" i="1"/>
  <c r="I63" i="1"/>
  <c r="H63" i="1"/>
  <c r="G63" i="1"/>
  <c r="F63" i="1"/>
  <c r="E63" i="1"/>
  <c r="D63" i="1"/>
  <c r="C63" i="1"/>
  <c r="B63" i="1"/>
  <c r="K62" i="1"/>
  <c r="J62" i="1"/>
  <c r="I62" i="1"/>
  <c r="H62" i="1"/>
  <c r="G62" i="1"/>
  <c r="F62" i="1"/>
  <c r="E62" i="1"/>
  <c r="D62" i="1"/>
  <c r="C62" i="1"/>
  <c r="B62" i="1"/>
  <c r="K61" i="1"/>
  <c r="J61" i="1"/>
  <c r="I61" i="1"/>
  <c r="H61" i="1"/>
  <c r="G61" i="1"/>
  <c r="F61" i="1"/>
  <c r="E61" i="1"/>
  <c r="D61" i="1"/>
  <c r="C61" i="1"/>
  <c r="B61" i="1"/>
  <c r="K60" i="1"/>
  <c r="J60" i="1"/>
  <c r="I60" i="1"/>
  <c r="H60" i="1"/>
  <c r="G60" i="1"/>
  <c r="F60" i="1"/>
  <c r="E60" i="1"/>
  <c r="D60" i="1"/>
  <c r="C60" i="1"/>
  <c r="B60" i="1"/>
  <c r="B64" i="1" s="1"/>
  <c r="K59" i="1"/>
  <c r="K64" i="1" s="1"/>
  <c r="J59" i="1"/>
  <c r="J64" i="1" s="1"/>
  <c r="I59" i="1"/>
  <c r="H59" i="1"/>
  <c r="G59" i="1"/>
  <c r="F59" i="1"/>
  <c r="E59" i="1"/>
  <c r="D59" i="1"/>
  <c r="C59" i="1"/>
  <c r="C64" i="1" s="1"/>
  <c r="B59" i="1"/>
  <c r="K58" i="1"/>
  <c r="J58" i="1"/>
  <c r="I58" i="1"/>
  <c r="H58" i="1"/>
  <c r="G58" i="1"/>
  <c r="F58" i="1"/>
  <c r="F64" i="1" s="1"/>
  <c r="E58" i="1"/>
  <c r="E64" i="1" s="1"/>
  <c r="E68" i="1" s="1"/>
  <c r="D58" i="1"/>
  <c r="C58" i="1"/>
  <c r="B58" i="1"/>
  <c r="K56" i="1"/>
  <c r="J56" i="1"/>
  <c r="I56" i="1"/>
  <c r="H56" i="1"/>
  <c r="G56" i="1"/>
  <c r="F56" i="1"/>
  <c r="E56" i="1"/>
  <c r="D56" i="1"/>
  <c r="C56" i="1"/>
  <c r="B56" i="1"/>
  <c r="K46" i="1"/>
  <c r="I46" i="1"/>
  <c r="G46" i="1"/>
  <c r="E46" i="1"/>
  <c r="C46" i="1"/>
  <c r="H43" i="1"/>
  <c r="F43" i="1"/>
  <c r="F32" i="1" s="1"/>
  <c r="E43" i="1"/>
  <c r="D43" i="1"/>
  <c r="D32" i="1" s="1"/>
  <c r="K39" i="1"/>
  <c r="K43" i="1" s="1"/>
  <c r="K32" i="1" s="1"/>
  <c r="J39" i="1"/>
  <c r="J43" i="1" s="1"/>
  <c r="J32" i="1" s="1"/>
  <c r="I39" i="1"/>
  <c r="I43" i="1" s="1"/>
  <c r="H39" i="1"/>
  <c r="G39" i="1"/>
  <c r="G43" i="1" s="1"/>
  <c r="F39" i="1"/>
  <c r="E39" i="1"/>
  <c r="D39" i="1"/>
  <c r="C39" i="1"/>
  <c r="C43" i="1" s="1"/>
  <c r="C32" i="1" s="1"/>
  <c r="B39" i="1"/>
  <c r="B43" i="1" s="1"/>
  <c r="B32" i="1" s="1"/>
  <c r="I32" i="1"/>
  <c r="H32" i="1"/>
  <c r="G32" i="1"/>
  <c r="E32" i="1"/>
  <c r="K20" i="1"/>
  <c r="K70" i="1" s="1"/>
  <c r="G20" i="1"/>
  <c r="F20" i="1"/>
  <c r="F70" i="1" s="1"/>
  <c r="D20" i="1"/>
  <c r="D70" i="1" s="1"/>
  <c r="C20" i="1"/>
  <c r="K16" i="1"/>
  <c r="J16" i="1"/>
  <c r="J20" i="1" s="1"/>
  <c r="K21" i="1" s="1"/>
  <c r="I16" i="1"/>
  <c r="I20" i="1" s="1"/>
  <c r="H16" i="1"/>
  <c r="H20" i="1" s="1"/>
  <c r="H70" i="1" s="1"/>
  <c r="G16" i="1"/>
  <c r="F16" i="1"/>
  <c r="E16" i="1"/>
  <c r="E20" i="1" s="1"/>
  <c r="D16" i="1"/>
  <c r="C16" i="1"/>
  <c r="B16" i="1"/>
  <c r="B20" i="1" s="1"/>
  <c r="B70" i="1" s="1"/>
  <c r="K2" i="1"/>
  <c r="A1" i="1"/>
  <c r="S68" i="9"/>
  <c r="R68" i="9"/>
  <c r="Q68" i="9"/>
  <c r="P68" i="9"/>
  <c r="O68" i="9"/>
  <c r="N68" i="9"/>
  <c r="M68" i="9"/>
  <c r="L68" i="9"/>
  <c r="K68" i="9"/>
  <c r="J68" i="9"/>
  <c r="I68" i="9"/>
  <c r="H68" i="9"/>
  <c r="A68" i="9"/>
  <c r="S67" i="9"/>
  <c r="R67" i="9"/>
  <c r="Q67" i="9"/>
  <c r="P67" i="9"/>
  <c r="O67" i="9"/>
  <c r="N67" i="9"/>
  <c r="M67" i="9"/>
  <c r="L67" i="9"/>
  <c r="K67" i="9"/>
  <c r="J67" i="9"/>
  <c r="I67" i="9"/>
  <c r="H67" i="9"/>
  <c r="A67" i="9"/>
  <c r="S66" i="9"/>
  <c r="R66" i="9"/>
  <c r="Q66" i="9"/>
  <c r="P66" i="9"/>
  <c r="O66" i="9"/>
  <c r="O64" i="9" s="1"/>
  <c r="N66" i="9"/>
  <c r="N64" i="9" s="1"/>
  <c r="M66" i="9"/>
  <c r="L66" i="9"/>
  <c r="K66" i="9"/>
  <c r="J66" i="9"/>
  <c r="I66" i="9"/>
  <c r="H66" i="9"/>
  <c r="A66" i="9"/>
  <c r="S65" i="9"/>
  <c r="S64" i="9" s="1"/>
  <c r="R65" i="9"/>
  <c r="Q65" i="9"/>
  <c r="Q64" i="9" s="1"/>
  <c r="P65" i="9"/>
  <c r="O65" i="9"/>
  <c r="N65" i="9"/>
  <c r="M65" i="9"/>
  <c r="M64" i="9" s="1"/>
  <c r="L65" i="9"/>
  <c r="L64" i="9" s="1"/>
  <c r="K65" i="9"/>
  <c r="K64" i="9" s="1"/>
  <c r="J65" i="9"/>
  <c r="I65" i="9"/>
  <c r="I64" i="9" s="1"/>
  <c r="H65" i="9"/>
  <c r="A65" i="9"/>
  <c r="R64" i="9"/>
  <c r="P64" i="9"/>
  <c r="J64" i="9"/>
  <c r="H64" i="9"/>
  <c r="S63" i="9"/>
  <c r="R63" i="9"/>
  <c r="Q63" i="9"/>
  <c r="P63" i="9"/>
  <c r="O63" i="9"/>
  <c r="N63" i="9"/>
  <c r="M63" i="9"/>
  <c r="L63" i="9"/>
  <c r="K63" i="9"/>
  <c r="J63" i="9"/>
  <c r="I63" i="9"/>
  <c r="H63" i="9"/>
  <c r="A63" i="9"/>
  <c r="S62" i="9"/>
  <c r="R62" i="9"/>
  <c r="Q62" i="9"/>
  <c r="P62" i="9"/>
  <c r="O62" i="9"/>
  <c r="N62" i="9"/>
  <c r="M62" i="9"/>
  <c r="L62" i="9"/>
  <c r="K62" i="9"/>
  <c r="J62" i="9"/>
  <c r="I62" i="9"/>
  <c r="H62" i="9"/>
  <c r="A62" i="9"/>
  <c r="S61" i="9"/>
  <c r="R61" i="9"/>
  <c r="Q61" i="9"/>
  <c r="P61" i="9"/>
  <c r="O61" i="9"/>
  <c r="N61" i="9"/>
  <c r="M61" i="9"/>
  <c r="L61" i="9"/>
  <c r="K61" i="9"/>
  <c r="J61" i="9"/>
  <c r="I61" i="9"/>
  <c r="H61" i="9"/>
  <c r="A61" i="9"/>
  <c r="S60" i="9"/>
  <c r="R60" i="9"/>
  <c r="Q60" i="9"/>
  <c r="P60" i="9"/>
  <c r="O60" i="9"/>
  <c r="N60" i="9"/>
  <c r="M60" i="9"/>
  <c r="L60" i="9"/>
  <c r="K60" i="9"/>
  <c r="J60" i="9"/>
  <c r="I60" i="9"/>
  <c r="H60" i="9"/>
  <c r="A60" i="9"/>
  <c r="S59" i="9"/>
  <c r="R59" i="9"/>
  <c r="Q59" i="9"/>
  <c r="P59" i="9"/>
  <c r="O59" i="9"/>
  <c r="N59" i="9"/>
  <c r="M59" i="9"/>
  <c r="L59" i="9"/>
  <c r="K59" i="9"/>
  <c r="J59" i="9"/>
  <c r="I59" i="9"/>
  <c r="H59" i="9"/>
  <c r="A59" i="9"/>
  <c r="S58" i="9"/>
  <c r="R58" i="9"/>
  <c r="Q58" i="9"/>
  <c r="P58" i="9"/>
  <c r="O58" i="9"/>
  <c r="N58" i="9"/>
  <c r="M58" i="9"/>
  <c r="L58" i="9"/>
  <c r="K58" i="9"/>
  <c r="J58" i="9"/>
  <c r="I58" i="9"/>
  <c r="H58" i="9"/>
  <c r="A58" i="9"/>
  <c r="S57" i="9"/>
  <c r="S55" i="9" s="1"/>
  <c r="R57" i="9"/>
  <c r="R55" i="9" s="1"/>
  <c r="Q57" i="9"/>
  <c r="P57" i="9"/>
  <c r="O57" i="9"/>
  <c r="N57" i="9"/>
  <c r="M57" i="9"/>
  <c r="L57" i="9"/>
  <c r="K57" i="9"/>
  <c r="K55" i="9" s="1"/>
  <c r="J57" i="9"/>
  <c r="J55" i="9" s="1"/>
  <c r="I57" i="9"/>
  <c r="H57" i="9"/>
  <c r="A57" i="9"/>
  <c r="S56" i="9"/>
  <c r="R56" i="9"/>
  <c r="Q56" i="9"/>
  <c r="Q55" i="9" s="1"/>
  <c r="P56" i="9"/>
  <c r="P55" i="9" s="1"/>
  <c r="O56" i="9"/>
  <c r="O55" i="9" s="1"/>
  <c r="N56" i="9"/>
  <c r="M56" i="9"/>
  <c r="M55" i="9" s="1"/>
  <c r="L56" i="9"/>
  <c r="K56" i="9"/>
  <c r="J56" i="9"/>
  <c r="I56" i="9"/>
  <c r="I55" i="9" s="1"/>
  <c r="H56" i="9"/>
  <c r="H55" i="9" s="1"/>
  <c r="A56" i="9"/>
  <c r="N55" i="9"/>
  <c r="L55" i="9"/>
  <c r="A55" i="9"/>
  <c r="S54" i="9"/>
  <c r="R54" i="9"/>
  <c r="Q54" i="9"/>
  <c r="P54" i="9"/>
  <c r="O54" i="9"/>
  <c r="N54" i="9"/>
  <c r="M54" i="9"/>
  <c r="L54" i="9"/>
  <c r="K54" i="9"/>
  <c r="J54" i="9"/>
  <c r="I54" i="9"/>
  <c r="H54" i="9"/>
  <c r="A54" i="9"/>
  <c r="S53" i="9"/>
  <c r="R53" i="9"/>
  <c r="Q53" i="9"/>
  <c r="P53" i="9"/>
  <c r="O53" i="9"/>
  <c r="N53" i="9"/>
  <c r="M53" i="9"/>
  <c r="L53" i="9"/>
  <c r="K53" i="9"/>
  <c r="J53" i="9"/>
  <c r="I53" i="9"/>
  <c r="H53" i="9"/>
  <c r="A53" i="9"/>
  <c r="S52" i="9"/>
  <c r="S50" i="9" s="1"/>
  <c r="R52" i="9"/>
  <c r="Q52" i="9"/>
  <c r="P52" i="9"/>
  <c r="O52" i="9"/>
  <c r="N52" i="9"/>
  <c r="M52" i="9"/>
  <c r="L52" i="9"/>
  <c r="L50" i="9" s="1"/>
  <c r="K52" i="9"/>
  <c r="K50" i="9" s="1"/>
  <c r="J52" i="9"/>
  <c r="I52" i="9"/>
  <c r="H52" i="9"/>
  <c r="A52" i="9"/>
  <c r="S51" i="9"/>
  <c r="R51" i="9"/>
  <c r="R50" i="9" s="1"/>
  <c r="Q51" i="9"/>
  <c r="P51" i="9"/>
  <c r="P50" i="9" s="1"/>
  <c r="O51" i="9"/>
  <c r="N51" i="9"/>
  <c r="M51" i="9"/>
  <c r="L51" i="9"/>
  <c r="K51" i="9"/>
  <c r="J51" i="9"/>
  <c r="J50" i="9" s="1"/>
  <c r="I51" i="9"/>
  <c r="H51" i="9"/>
  <c r="H50" i="9" s="1"/>
  <c r="A51" i="9"/>
  <c r="O50" i="9"/>
  <c r="M50" i="9"/>
  <c r="A50" i="9"/>
  <c r="S46" i="9"/>
  <c r="R46" i="9"/>
  <c r="Q46" i="9"/>
  <c r="P46" i="9"/>
  <c r="O46" i="9"/>
  <c r="N46" i="9"/>
  <c r="M46" i="9"/>
  <c r="L46" i="9"/>
  <c r="K46" i="9"/>
  <c r="J46" i="9"/>
  <c r="I46" i="9"/>
  <c r="H46" i="9"/>
  <c r="A46" i="9"/>
  <c r="S45" i="9"/>
  <c r="R45" i="9"/>
  <c r="Q45" i="9"/>
  <c r="P45" i="9"/>
  <c r="O45" i="9"/>
  <c r="N45" i="9"/>
  <c r="M45" i="9"/>
  <c r="L45" i="9"/>
  <c r="K45" i="9"/>
  <c r="J45" i="9"/>
  <c r="I45" i="9"/>
  <c r="H45" i="9"/>
  <c r="A45" i="9"/>
  <c r="S44" i="9"/>
  <c r="R44" i="9"/>
  <c r="Q44" i="9"/>
  <c r="P44" i="9"/>
  <c r="O44" i="9"/>
  <c r="N44" i="9"/>
  <c r="M44" i="9"/>
  <c r="M42" i="9" s="1"/>
  <c r="L44" i="9"/>
  <c r="L42" i="9" s="1"/>
  <c r="K44" i="9"/>
  <c r="J44" i="9"/>
  <c r="I44" i="9"/>
  <c r="H44" i="9"/>
  <c r="A44" i="9"/>
  <c r="S43" i="9"/>
  <c r="S42" i="9" s="1"/>
  <c r="R43" i="9"/>
  <c r="R42" i="9" s="1"/>
  <c r="Q43" i="9"/>
  <c r="Q42" i="9" s="1"/>
  <c r="P43" i="9"/>
  <c r="O43" i="9"/>
  <c r="O42" i="9" s="1"/>
  <c r="N43" i="9"/>
  <c r="M43" i="9"/>
  <c r="L43" i="9"/>
  <c r="K43" i="9"/>
  <c r="K42" i="9" s="1"/>
  <c r="J43" i="9"/>
  <c r="J42" i="9" s="1"/>
  <c r="I43" i="9"/>
  <c r="I42" i="9" s="1"/>
  <c r="H43" i="9"/>
  <c r="A43" i="9"/>
  <c r="P42" i="9"/>
  <c r="N42" i="9"/>
  <c r="H42" i="9"/>
  <c r="S41" i="9"/>
  <c r="R41" i="9"/>
  <c r="Q41" i="9"/>
  <c r="P41" i="9"/>
  <c r="O41" i="9"/>
  <c r="N41" i="9"/>
  <c r="M41" i="9"/>
  <c r="L41" i="9"/>
  <c r="K41" i="9"/>
  <c r="J41" i="9"/>
  <c r="I41" i="9"/>
  <c r="H41" i="9"/>
  <c r="A41" i="9"/>
  <c r="S40" i="9"/>
  <c r="R40" i="9"/>
  <c r="Q40" i="9"/>
  <c r="P40" i="9"/>
  <c r="O40" i="9"/>
  <c r="N40" i="9"/>
  <c r="M40" i="9"/>
  <c r="L40" i="9"/>
  <c r="K40" i="9"/>
  <c r="J40" i="9"/>
  <c r="I40" i="9"/>
  <c r="H40" i="9"/>
  <c r="A40" i="9"/>
  <c r="S39" i="9"/>
  <c r="R39" i="9"/>
  <c r="Q39" i="9"/>
  <c r="P39" i="9"/>
  <c r="O39" i="9"/>
  <c r="N39" i="9"/>
  <c r="M39" i="9"/>
  <c r="L39" i="9"/>
  <c r="K39" i="9"/>
  <c r="J39" i="9"/>
  <c r="I39" i="9"/>
  <c r="H39" i="9"/>
  <c r="A39" i="9"/>
  <c r="S38" i="9"/>
  <c r="R38" i="9"/>
  <c r="Q38" i="9"/>
  <c r="P38" i="9"/>
  <c r="O38" i="9"/>
  <c r="N38" i="9"/>
  <c r="M38" i="9"/>
  <c r="L38" i="9"/>
  <c r="K38" i="9"/>
  <c r="J38" i="9"/>
  <c r="I38" i="9"/>
  <c r="H38" i="9"/>
  <c r="A38" i="9"/>
  <c r="S37" i="9"/>
  <c r="R37" i="9"/>
  <c r="Q37" i="9"/>
  <c r="P37" i="9"/>
  <c r="O37" i="9"/>
  <c r="N37" i="9"/>
  <c r="M37" i="9"/>
  <c r="L37" i="9"/>
  <c r="K37" i="9"/>
  <c r="J37" i="9"/>
  <c r="I37" i="9"/>
  <c r="H37" i="9"/>
  <c r="A37" i="9"/>
  <c r="S36" i="9"/>
  <c r="R36" i="9"/>
  <c r="Q36" i="9"/>
  <c r="P36" i="9"/>
  <c r="O36" i="9"/>
  <c r="N36" i="9"/>
  <c r="M36" i="9"/>
  <c r="L36" i="9"/>
  <c r="K36" i="9"/>
  <c r="J36" i="9"/>
  <c r="I36" i="9"/>
  <c r="H36" i="9"/>
  <c r="A36" i="9"/>
  <c r="S35" i="9"/>
  <c r="R35" i="9"/>
  <c r="Q35" i="9"/>
  <c r="P35" i="9"/>
  <c r="P33" i="9" s="1"/>
  <c r="O35" i="9"/>
  <c r="N35" i="9"/>
  <c r="M35" i="9"/>
  <c r="L35" i="9"/>
  <c r="K35" i="9"/>
  <c r="J35" i="9"/>
  <c r="I35" i="9"/>
  <c r="H35" i="9"/>
  <c r="H33" i="9" s="1"/>
  <c r="A35" i="9"/>
  <c r="S34" i="9"/>
  <c r="S33" i="9" s="1"/>
  <c r="R34" i="9"/>
  <c r="Q34" i="9"/>
  <c r="P34" i="9"/>
  <c r="O34" i="9"/>
  <c r="O33" i="9" s="1"/>
  <c r="N34" i="9"/>
  <c r="M34" i="9"/>
  <c r="M33" i="9" s="1"/>
  <c r="L34" i="9"/>
  <c r="K34" i="9"/>
  <c r="K33" i="9" s="1"/>
  <c r="J34" i="9"/>
  <c r="I34" i="9"/>
  <c r="H34" i="9"/>
  <c r="A34" i="9"/>
  <c r="R33" i="9"/>
  <c r="L33" i="9"/>
  <c r="J33" i="9"/>
  <c r="S32" i="9"/>
  <c r="R32" i="9"/>
  <c r="Q32" i="9"/>
  <c r="P32" i="9"/>
  <c r="O32" i="9"/>
  <c r="N32" i="9"/>
  <c r="M32" i="9"/>
  <c r="L32" i="9"/>
  <c r="K32" i="9"/>
  <c r="J32" i="9"/>
  <c r="I32" i="9"/>
  <c r="H32" i="9"/>
  <c r="A32" i="9"/>
  <c r="S31" i="9"/>
  <c r="R31" i="9"/>
  <c r="Q31" i="9"/>
  <c r="P31" i="9"/>
  <c r="O31" i="9"/>
  <c r="N31" i="9"/>
  <c r="M31" i="9"/>
  <c r="L31" i="9"/>
  <c r="K31" i="9"/>
  <c r="J31" i="9"/>
  <c r="I31" i="9"/>
  <c r="H31" i="9"/>
  <c r="A31" i="9"/>
  <c r="S30" i="9"/>
  <c r="R30" i="9"/>
  <c r="Q30" i="9"/>
  <c r="Q28" i="9" s="1"/>
  <c r="P30" i="9"/>
  <c r="P28" i="9" s="1"/>
  <c r="O30" i="9"/>
  <c r="N30" i="9"/>
  <c r="M30" i="9"/>
  <c r="L30" i="9"/>
  <c r="K30" i="9"/>
  <c r="J30" i="9"/>
  <c r="I30" i="9"/>
  <c r="I28" i="9" s="1"/>
  <c r="H30" i="9"/>
  <c r="H28" i="9" s="1"/>
  <c r="A30" i="9"/>
  <c r="S29" i="9"/>
  <c r="R29" i="9"/>
  <c r="Q29" i="9"/>
  <c r="P29" i="9"/>
  <c r="O29" i="9"/>
  <c r="O28" i="9" s="1"/>
  <c r="N29" i="9"/>
  <c r="M29" i="9"/>
  <c r="M28" i="9" s="1"/>
  <c r="L29" i="9"/>
  <c r="K29" i="9"/>
  <c r="J29" i="9"/>
  <c r="I29" i="9"/>
  <c r="H29" i="9"/>
  <c r="A29" i="9"/>
  <c r="R28" i="9"/>
  <c r="L28" i="9"/>
  <c r="J28" i="9"/>
  <c r="M21" i="9"/>
  <c r="I21" i="9"/>
  <c r="P20" i="9"/>
  <c r="O20" i="9"/>
  <c r="M20" i="9"/>
  <c r="L20" i="9"/>
  <c r="H20" i="9"/>
  <c r="G20" i="9"/>
  <c r="E20" i="9"/>
  <c r="E21" i="9" s="1"/>
  <c r="D20" i="9"/>
  <c r="S16" i="9"/>
  <c r="S20" i="9" s="1"/>
  <c r="S21" i="9" s="1"/>
  <c r="R16" i="9"/>
  <c r="R20" i="9" s="1"/>
  <c r="Q16" i="9"/>
  <c r="Q20" i="9" s="1"/>
  <c r="Q21" i="9" s="1"/>
  <c r="P16" i="9"/>
  <c r="O16" i="9"/>
  <c r="N16" i="9"/>
  <c r="N20" i="9" s="1"/>
  <c r="M16" i="9"/>
  <c r="L16" i="9"/>
  <c r="K16" i="9"/>
  <c r="K20" i="9" s="1"/>
  <c r="K21" i="9" s="1"/>
  <c r="J16" i="9"/>
  <c r="J20" i="9" s="1"/>
  <c r="I16" i="9"/>
  <c r="I20" i="9" s="1"/>
  <c r="H16" i="9"/>
  <c r="G16" i="9"/>
  <c r="F16" i="9"/>
  <c r="F20" i="9" s="1"/>
  <c r="E16" i="9"/>
  <c r="D16" i="9"/>
  <c r="C16" i="9"/>
  <c r="C20" i="9" s="1"/>
  <c r="C21" i="9" s="1"/>
  <c r="B16" i="9"/>
  <c r="B20" i="9" s="1"/>
  <c r="R7" i="9"/>
  <c r="Q7" i="9" s="1"/>
  <c r="P7" i="9" s="1"/>
  <c r="O7" i="9" s="1"/>
  <c r="N7" i="9" s="1"/>
  <c r="M7" i="9" s="1"/>
  <c r="L7" i="9" s="1"/>
  <c r="K7" i="9" s="1"/>
  <c r="J7" i="9" s="1"/>
  <c r="I7" i="9" s="1"/>
  <c r="H7" i="9" s="1"/>
  <c r="G7" i="9" s="1"/>
  <c r="F7" i="9" s="1"/>
  <c r="E7" i="9" s="1"/>
  <c r="D7" i="9" s="1"/>
  <c r="C7" i="9" s="1"/>
  <c r="B7" i="9" s="1"/>
  <c r="S2" i="9"/>
  <c r="A1" i="9"/>
  <c r="A264" i="92" l="1"/>
  <c r="A265" i="92"/>
  <c r="A262" i="92"/>
  <c r="A99" i="92"/>
  <c r="J15" i="10"/>
  <c r="E63" i="92" s="1"/>
  <c r="N50" i="10"/>
  <c r="E15" i="10"/>
  <c r="E28" i="92" s="1"/>
  <c r="AB7" i="87"/>
  <c r="AB3" i="87" s="1"/>
  <c r="AB2" i="87" s="1"/>
  <c r="A319" i="92"/>
  <c r="A320" i="92"/>
  <c r="A321" i="92"/>
  <c r="I16" i="8"/>
  <c r="AB16" i="8"/>
  <c r="AG16" i="8"/>
  <c r="AI16" i="8"/>
  <c r="R16" i="8"/>
  <c r="A255" i="92"/>
  <c r="A300" i="92"/>
  <c r="A232" i="92"/>
  <c r="A253" i="92"/>
  <c r="A266" i="92"/>
  <c r="A206" i="92"/>
  <c r="A256" i="92"/>
  <c r="A272" i="92"/>
  <c r="A243" i="92"/>
  <c r="A254" i="92"/>
  <c r="A207" i="92"/>
  <c r="A209" i="92"/>
  <c r="A227" i="92"/>
  <c r="A249" i="92"/>
  <c r="A362" i="92"/>
  <c r="A208" i="92"/>
  <c r="A246" i="92"/>
  <c r="A211" i="92"/>
  <c r="A250" i="92"/>
  <c r="A259" i="92"/>
  <c r="A210" i="92"/>
  <c r="A247" i="92"/>
  <c r="A268" i="92"/>
  <c r="A228" i="92"/>
  <c r="A240" i="92"/>
  <c r="A269" i="92"/>
  <c r="A257" i="92"/>
  <c r="A226" i="92"/>
  <c r="A241" i="92"/>
  <c r="A251" i="92"/>
  <c r="A260" i="92"/>
  <c r="A267" i="92"/>
  <c r="A229" i="92"/>
  <c r="A270" i="92"/>
  <c r="A252" i="92"/>
  <c r="A298" i="92"/>
  <c r="F15" i="10"/>
  <c r="E35" i="92" s="1"/>
  <c r="A93" i="92"/>
  <c r="A95" i="92"/>
  <c r="G94" i="10"/>
  <c r="AD33" i="10"/>
  <c r="N15" i="10"/>
  <c r="E91" i="92" s="1"/>
  <c r="J94" i="10"/>
  <c r="A924" i="92"/>
  <c r="A562" i="92"/>
  <c r="A815" i="92"/>
  <c r="A564" i="92"/>
  <c r="A799" i="92"/>
  <c r="A1034" i="92"/>
  <c r="A565" i="92"/>
  <c r="A800" i="92"/>
  <c r="A1035" i="92"/>
  <c r="A1195" i="92"/>
  <c r="A1196" i="92"/>
  <c r="A563" i="92"/>
  <c r="A798" i="92"/>
  <c r="A1190" i="92"/>
  <c r="A566" i="92"/>
  <c r="A801" i="92"/>
  <c r="A917" i="92"/>
  <c r="A1036" i="92"/>
  <c r="A934" i="92"/>
  <c r="A1191" i="92"/>
  <c r="A1209" i="92"/>
  <c r="A922" i="92"/>
  <c r="A1033" i="92"/>
  <c r="A567" i="92"/>
  <c r="A802" i="92"/>
  <c r="A918" i="92"/>
  <c r="A1037" i="92"/>
  <c r="A805" i="92"/>
  <c r="R74" i="3"/>
  <c r="E717" i="92" s="1"/>
  <c r="A1192" i="92"/>
  <c r="A1227" i="92"/>
  <c r="A568" i="92"/>
  <c r="A803" i="92"/>
  <c r="A919" i="92"/>
  <c r="A1038" i="92"/>
  <c r="A921" i="92"/>
  <c r="A923" i="92"/>
  <c r="A1189" i="92"/>
  <c r="A1193" i="92"/>
  <c r="E1311" i="92"/>
  <c r="S16" i="8"/>
  <c r="E1317" i="92"/>
  <c r="Y16" i="8"/>
  <c r="E1322" i="92"/>
  <c r="Z16" i="8"/>
  <c r="E1295" i="92"/>
  <c r="C16" i="8"/>
  <c r="E1323" i="92"/>
  <c r="AA16" i="8"/>
  <c r="T16" i="8"/>
  <c r="X16" i="8"/>
  <c r="AC16" i="8"/>
  <c r="F16" i="8"/>
  <c r="AD16" i="8"/>
  <c r="G16" i="8"/>
  <c r="AE16" i="8"/>
  <c r="H16" i="8"/>
  <c r="AF16" i="8"/>
  <c r="E1326" i="92"/>
  <c r="E1313" i="92"/>
  <c r="U16" i="8"/>
  <c r="E1302" i="92"/>
  <c r="J16" i="8"/>
  <c r="AH16" i="8"/>
  <c r="E1312" i="92"/>
  <c r="E1303" i="92"/>
  <c r="K16" i="8"/>
  <c r="E1296" i="92"/>
  <c r="D16" i="8"/>
  <c r="L16" i="8"/>
  <c r="AK16" i="8"/>
  <c r="AJ16" i="8"/>
  <c r="E1305" i="92"/>
  <c r="M16" i="8"/>
  <c r="E1314" i="92"/>
  <c r="V16" i="8"/>
  <c r="E1315" i="92"/>
  <c r="W16" i="8"/>
  <c r="N16" i="8"/>
  <c r="E16" i="8"/>
  <c r="O16" i="8"/>
  <c r="P16" i="8"/>
  <c r="E1309" i="92"/>
  <c r="Q16" i="8"/>
  <c r="AA7" i="87"/>
  <c r="AA8" i="87"/>
  <c r="A555" i="92"/>
  <c r="A792" i="92"/>
  <c r="A916" i="92"/>
  <c r="A556" i="92"/>
  <c r="A793" i="92"/>
  <c r="A1181" i="92"/>
  <c r="A557" i="92"/>
  <c r="A794" i="92"/>
  <c r="A1182" i="92"/>
  <c r="A1026" i="92"/>
  <c r="A558" i="92"/>
  <c r="A795" i="92"/>
  <c r="A909" i="92"/>
  <c r="A1183" i="92"/>
  <c r="A1027" i="92"/>
  <c r="A559" i="92"/>
  <c r="A796" i="92"/>
  <c r="A910" i="92"/>
  <c r="A1184" i="92"/>
  <c r="A560" i="92"/>
  <c r="A797" i="92"/>
  <c r="A911" i="92"/>
  <c r="A1185" i="92"/>
  <c r="A1029" i="92"/>
  <c r="A1226" i="92"/>
  <c r="A1028" i="92"/>
  <c r="A561" i="92"/>
  <c r="A912" i="92"/>
  <c r="A1186" i="92"/>
  <c r="A1030" i="92"/>
  <c r="A913" i="92"/>
  <c r="A1187" i="92"/>
  <c r="A1031" i="92"/>
  <c r="A790" i="92"/>
  <c r="A914" i="92"/>
  <c r="A1188" i="92"/>
  <c r="A1032" i="92"/>
  <c r="A791" i="92"/>
  <c r="A573" i="92"/>
  <c r="A816" i="92"/>
  <c r="AJ51" i="3"/>
  <c r="AJ51" i="32" s="1"/>
  <c r="AJ124" i="3"/>
  <c r="AJ124" i="32" s="1"/>
  <c r="A935" i="92"/>
  <c r="A1047" i="92"/>
  <c r="A1210" i="92"/>
  <c r="AJ125" i="3"/>
  <c r="AJ125" i="32" s="1"/>
  <c r="AJ141" i="3"/>
  <c r="AJ141" i="32" s="1"/>
  <c r="AJ158" i="3"/>
  <c r="AJ159" i="32" s="1"/>
  <c r="A574" i="92"/>
  <c r="A936" i="92"/>
  <c r="A1048" i="92"/>
  <c r="A1211" i="92"/>
  <c r="AJ103" i="3"/>
  <c r="AJ103" i="32" s="1"/>
  <c r="A818" i="92"/>
  <c r="AJ126" i="3"/>
  <c r="AJ126" i="32" s="1"/>
  <c r="AJ142" i="3"/>
  <c r="AJ142" i="32" s="1"/>
  <c r="AJ112" i="3"/>
  <c r="AJ112" i="32" s="1"/>
  <c r="A817" i="92"/>
  <c r="A576" i="92"/>
  <c r="A937" i="92"/>
  <c r="A1049" i="92"/>
  <c r="A1212" i="92"/>
  <c r="AJ104" i="3"/>
  <c r="AJ104" i="32" s="1"/>
  <c r="A807" i="92"/>
  <c r="A819" i="92"/>
  <c r="A926" i="92"/>
  <c r="A1201" i="92"/>
  <c r="AJ127" i="3"/>
  <c r="AJ127" i="32" s="1"/>
  <c r="AJ143" i="3"/>
  <c r="AJ143" i="32" s="1"/>
  <c r="A577" i="92"/>
  <c r="A938" i="92"/>
  <c r="A1050" i="92"/>
  <c r="AJ65" i="3"/>
  <c r="AJ65" i="32" s="1"/>
  <c r="AJ105" i="3"/>
  <c r="AJ105" i="32" s="1"/>
  <c r="A820" i="92"/>
  <c r="A927" i="92"/>
  <c r="AJ144" i="3"/>
  <c r="AJ144" i="32" s="1"/>
  <c r="A578" i="92"/>
  <c r="A939" i="92"/>
  <c r="A1051" i="92"/>
  <c r="AJ66" i="3"/>
  <c r="AJ66" i="32" s="1"/>
  <c r="AJ106" i="3"/>
  <c r="AJ106" i="32" s="1"/>
  <c r="AJ130" i="3"/>
  <c r="AJ130" i="32" s="1"/>
  <c r="AJ46" i="3"/>
  <c r="AJ46" i="32" s="1"/>
  <c r="AJ73" i="3"/>
  <c r="AJ73" i="32" s="1"/>
  <c r="AJ145" i="3"/>
  <c r="AJ145" i="32" s="1"/>
  <c r="A821" i="92"/>
  <c r="A579" i="92"/>
  <c r="A940" i="92"/>
  <c r="A1040" i="92"/>
  <c r="A1052" i="92"/>
  <c r="A1205" i="92"/>
  <c r="AJ67" i="3"/>
  <c r="AJ67" i="32" s="1"/>
  <c r="AJ107" i="3"/>
  <c r="AJ107" i="32" s="1"/>
  <c r="A810" i="92"/>
  <c r="A811" i="92"/>
  <c r="A930" i="92"/>
  <c r="A1229" i="92"/>
  <c r="AJ47" i="3"/>
  <c r="AJ47" i="32" s="1"/>
  <c r="AJ74" i="3"/>
  <c r="AJ74" i="32" s="1"/>
  <c r="AJ146" i="3"/>
  <c r="AJ146" i="32" s="1"/>
  <c r="A580" i="92"/>
  <c r="A1041" i="92"/>
  <c r="A1053" i="92"/>
  <c r="A1206" i="92"/>
  <c r="AJ54" i="3"/>
  <c r="AJ54" i="32" s="1"/>
  <c r="AJ68" i="3"/>
  <c r="AJ68" i="32" s="1"/>
  <c r="AJ108" i="3"/>
  <c r="AJ108" i="32" s="1"/>
  <c r="A931" i="92"/>
  <c r="AJ48" i="3"/>
  <c r="AJ48" i="32" s="1"/>
  <c r="AJ123" i="3"/>
  <c r="AJ123" i="32" s="1"/>
  <c r="A581" i="92"/>
  <c r="A1207" i="92"/>
  <c r="AJ69" i="3"/>
  <c r="AJ69" i="32" s="1"/>
  <c r="AJ149" i="3"/>
  <c r="AJ149" i="32" s="1"/>
  <c r="A814" i="92"/>
  <c r="A1043" i="92"/>
  <c r="AJ49" i="3"/>
  <c r="AJ49" i="32" s="1"/>
  <c r="AJ111" i="3"/>
  <c r="AJ111" i="32" s="1"/>
  <c r="AJ122" i="3"/>
  <c r="AJ122" i="32" s="1"/>
  <c r="AJ50" i="3"/>
  <c r="AJ50" i="32" s="1"/>
  <c r="A571" i="92"/>
  <c r="A582" i="92"/>
  <c r="A933" i="92"/>
  <c r="AJ70" i="3"/>
  <c r="AJ70" i="32" s="1"/>
  <c r="AJ150" i="3"/>
  <c r="AJ150" i="32" s="1"/>
  <c r="A806" i="92"/>
  <c r="A932" i="92"/>
  <c r="A1042" i="92"/>
  <c r="A1202" i="92"/>
  <c r="A1203" i="92"/>
  <c r="A808" i="92"/>
  <c r="A1044" i="92"/>
  <c r="A569" i="92"/>
  <c r="A1204" i="92"/>
  <c r="A809" i="92"/>
  <c r="A925" i="92"/>
  <c r="A1045" i="92"/>
  <c r="A1216" i="92"/>
  <c r="A570" i="92"/>
  <c r="A1046" i="92"/>
  <c r="A1228" i="92"/>
  <c r="A572" i="92"/>
  <c r="A1197" i="92"/>
  <c r="A812" i="92"/>
  <c r="A928" i="92"/>
  <c r="A823" i="92"/>
  <c r="A1198" i="92"/>
  <c r="A813" i="92"/>
  <c r="A929" i="92"/>
  <c r="A1199" i="92"/>
  <c r="A575" i="92"/>
  <c r="A363" i="92"/>
  <c r="A364" i="92"/>
  <c r="A223" i="92"/>
  <c r="A365" i="92"/>
  <c r="A214" i="92"/>
  <c r="A215" i="92"/>
  <c r="A216" i="92"/>
  <c r="A359" i="92"/>
  <c r="A360" i="92"/>
  <c r="A296" i="92"/>
  <c r="A297" i="92"/>
  <c r="A299" i="92"/>
  <c r="F14" i="58"/>
  <c r="F18" i="58" s="1"/>
  <c r="F147" i="58" s="1"/>
  <c r="A301" i="92"/>
  <c r="A217" i="92"/>
  <c r="A218" i="92"/>
  <c r="A212" i="92"/>
  <c r="A357" i="92"/>
  <c r="Q74" i="3"/>
  <c r="E709" i="92" s="1"/>
  <c r="E1262" i="92"/>
  <c r="E1237" i="92"/>
  <c r="E1241" i="92"/>
  <c r="E1261" i="92"/>
  <c r="E1242" i="92"/>
  <c r="E1244" i="92"/>
  <c r="E1245" i="92"/>
  <c r="E1249" i="92"/>
  <c r="E1250" i="92"/>
  <c r="E1231" i="92"/>
  <c r="E1233" i="92"/>
  <c r="E1234" i="92"/>
  <c r="E1258" i="92"/>
  <c r="E1259" i="92"/>
  <c r="E1236" i="92"/>
  <c r="E1260" i="92"/>
  <c r="AL120" i="3"/>
  <c r="AL101" i="3"/>
  <c r="AL139" i="3"/>
  <c r="Y139" i="35"/>
  <c r="Y139" i="34"/>
  <c r="Z139" i="31"/>
  <c r="Z139" i="34"/>
  <c r="Z139" i="35"/>
  <c r="X120" i="34"/>
  <c r="X139" i="34"/>
  <c r="X155" i="34"/>
  <c r="W82" i="35"/>
  <c r="W139" i="35"/>
  <c r="X82" i="35"/>
  <c r="X156" i="35"/>
  <c r="X139" i="35"/>
  <c r="Z8" i="87"/>
  <c r="AI130" i="3"/>
  <c r="AI130" i="32" s="1"/>
  <c r="AI123" i="3"/>
  <c r="AI123" i="32" s="1"/>
  <c r="AI127" i="3"/>
  <c r="AI127" i="32" s="1"/>
  <c r="AI126" i="3"/>
  <c r="AI126" i="32" s="1"/>
  <c r="AI122" i="3"/>
  <c r="AI122" i="32" s="1"/>
  <c r="AI125" i="3"/>
  <c r="AI125" i="32" s="1"/>
  <c r="AI124" i="3"/>
  <c r="AI124" i="32" s="1"/>
  <c r="Z7" i="87"/>
  <c r="AI150" i="3"/>
  <c r="AI150" i="32" s="1"/>
  <c r="AI145" i="3"/>
  <c r="AI145" i="32" s="1"/>
  <c r="AI144" i="3"/>
  <c r="AI144" i="32" s="1"/>
  <c r="AI143" i="3"/>
  <c r="AI143" i="32" s="1"/>
  <c r="AI142" i="3"/>
  <c r="AI142" i="32" s="1"/>
  <c r="AI141" i="3"/>
  <c r="AI141" i="32" s="1"/>
  <c r="AI146" i="3"/>
  <c r="AI146" i="32" s="1"/>
  <c r="AI149" i="3"/>
  <c r="AI149" i="32" s="1"/>
  <c r="AI46" i="3"/>
  <c r="AI46" i="32" s="1"/>
  <c r="AI69" i="3"/>
  <c r="AI69" i="32" s="1"/>
  <c r="AI158" i="3"/>
  <c r="AI159" i="32" s="1"/>
  <c r="AI68" i="3"/>
  <c r="AI68" i="32" s="1"/>
  <c r="AI112" i="3"/>
  <c r="AI112" i="32" s="1"/>
  <c r="AI48" i="3"/>
  <c r="AI48" i="32" s="1"/>
  <c r="AI108" i="3"/>
  <c r="AI108" i="32" s="1"/>
  <c r="AI106" i="3"/>
  <c r="AI106" i="32" s="1"/>
  <c r="AI105" i="3"/>
  <c r="AI105" i="32" s="1"/>
  <c r="AI54" i="3"/>
  <c r="AI54" i="32" s="1"/>
  <c r="AI111" i="3"/>
  <c r="AI111" i="32" s="1"/>
  <c r="AI47" i="3"/>
  <c r="AI47" i="32" s="1"/>
  <c r="AI107" i="3"/>
  <c r="AI107" i="32" s="1"/>
  <c r="AI104" i="3"/>
  <c r="AI104" i="32" s="1"/>
  <c r="AI103" i="3"/>
  <c r="AI103" i="32" s="1"/>
  <c r="AI50" i="3"/>
  <c r="AI50" i="32" s="1"/>
  <c r="AI74" i="3"/>
  <c r="AI74" i="32" s="1"/>
  <c r="AI67" i="3"/>
  <c r="AI67" i="32" s="1"/>
  <c r="AI51" i="3"/>
  <c r="AI51" i="32" s="1"/>
  <c r="AI73" i="3"/>
  <c r="AI73" i="32" s="1"/>
  <c r="AI70" i="3"/>
  <c r="AI70" i="32" s="1"/>
  <c r="AI66" i="3"/>
  <c r="AI66" i="32" s="1"/>
  <c r="AI65" i="3"/>
  <c r="AI65" i="32" s="1"/>
  <c r="AI49" i="3"/>
  <c r="AI49" i="32" s="1"/>
  <c r="H15" i="10"/>
  <c r="E49" i="92" s="1"/>
  <c r="L94" i="10"/>
  <c r="G15" i="10"/>
  <c r="E42" i="92" s="1"/>
  <c r="F33" i="10"/>
  <c r="F11" i="10" s="1"/>
  <c r="E31" i="92" s="1"/>
  <c r="F50" i="10"/>
  <c r="Q112" i="10"/>
  <c r="R74" i="34" s="1"/>
  <c r="R101" i="10"/>
  <c r="T16" i="10"/>
  <c r="T21" i="10" s="1"/>
  <c r="AB10" i="10"/>
  <c r="E184" i="92" s="1"/>
  <c r="D94" i="10"/>
  <c r="T53" i="10"/>
  <c r="T71" i="10" s="1"/>
  <c r="AD10" i="10"/>
  <c r="J50" i="10"/>
  <c r="F94" i="10"/>
  <c r="L50" i="10"/>
  <c r="O101" i="10"/>
  <c r="AD18" i="10"/>
  <c r="H10" i="10"/>
  <c r="E44" i="92" s="1"/>
  <c r="A326" i="92"/>
  <c r="A327" i="92"/>
  <c r="A325" i="92"/>
  <c r="A328" i="92"/>
  <c r="A329" i="92"/>
  <c r="A330" i="92"/>
  <c r="AA6" i="35"/>
  <c r="AA156" i="35" s="1"/>
  <c r="AA156" i="3"/>
  <c r="AB44" i="3"/>
  <c r="AB44" i="34" s="1"/>
  <c r="AB156" i="3"/>
  <c r="AD139" i="3"/>
  <c r="AD156" i="3"/>
  <c r="AE44" i="3"/>
  <c r="AE156" i="3"/>
  <c r="AF25" i="3"/>
  <c r="AF25" i="33" s="1"/>
  <c r="AF156" i="3"/>
  <c r="AL156" i="3"/>
  <c r="AL126" i="3"/>
  <c r="AL127" i="3"/>
  <c r="AL141" i="3"/>
  <c r="AL142" i="3"/>
  <c r="AL130" i="3"/>
  <c r="AL143" i="3"/>
  <c r="AL144" i="3"/>
  <c r="AL145" i="3"/>
  <c r="AL122" i="3"/>
  <c r="AL146" i="3"/>
  <c r="AL123" i="3"/>
  <c r="AL124" i="3"/>
  <c r="AL125" i="3"/>
  <c r="AI139" i="31"/>
  <c r="AI101" i="31"/>
  <c r="AI120" i="31"/>
  <c r="A286" i="92"/>
  <c r="K14" i="58"/>
  <c r="K18" i="58" s="1"/>
  <c r="A287" i="92"/>
  <c r="N14" i="58"/>
  <c r="N18" i="58" s="1"/>
  <c r="A288" i="92"/>
  <c r="A282" i="92"/>
  <c r="S14" i="58"/>
  <c r="S18" i="58" s="1"/>
  <c r="E226" i="92"/>
  <c r="A285" i="92"/>
  <c r="A283" i="92"/>
  <c r="V14" i="58"/>
  <c r="V18" i="58" s="1"/>
  <c r="C14" i="58"/>
  <c r="C18" i="58" s="1"/>
  <c r="F39" i="3"/>
  <c r="AH103" i="3"/>
  <c r="AH103" i="32" s="1"/>
  <c r="AH65" i="3"/>
  <c r="AH65" i="32" s="1"/>
  <c r="AH112" i="3"/>
  <c r="AH112" i="32" s="1"/>
  <c r="AH111" i="3"/>
  <c r="AH111" i="32" s="1"/>
  <c r="AH73" i="3"/>
  <c r="AH73" i="32" s="1"/>
  <c r="AH51" i="3"/>
  <c r="AH51" i="32" s="1"/>
  <c r="AH106" i="3"/>
  <c r="AH106" i="32" s="1"/>
  <c r="AH54" i="3"/>
  <c r="AH54" i="32" s="1"/>
  <c r="AH158" i="3"/>
  <c r="AH159" i="32" s="1"/>
  <c r="AH108" i="3"/>
  <c r="AH108" i="32" s="1"/>
  <c r="AH70" i="3"/>
  <c r="AH70" i="32" s="1"/>
  <c r="AH50" i="3"/>
  <c r="AH50" i="32" s="1"/>
  <c r="AH107" i="3"/>
  <c r="AH107" i="32" s="1"/>
  <c r="AH49" i="3"/>
  <c r="AH49" i="32" s="1"/>
  <c r="AH74" i="3"/>
  <c r="AH74" i="32" s="1"/>
  <c r="AH69" i="3"/>
  <c r="AH69" i="32" s="1"/>
  <c r="AH48" i="3"/>
  <c r="AH48" i="32" s="1"/>
  <c r="AH68" i="3"/>
  <c r="AH68" i="32" s="1"/>
  <c r="AH105" i="3"/>
  <c r="AH105" i="32" s="1"/>
  <c r="AH67" i="3"/>
  <c r="AH67" i="32" s="1"/>
  <c r="AH47" i="3"/>
  <c r="AH47" i="32" s="1"/>
  <c r="AH104" i="3"/>
  <c r="AH104" i="32" s="1"/>
  <c r="AH66" i="3"/>
  <c r="AH66" i="32" s="1"/>
  <c r="AH46" i="3"/>
  <c r="AH46" i="32" s="1"/>
  <c r="AH125" i="3"/>
  <c r="AH125" i="32" s="1"/>
  <c r="AH123" i="3"/>
  <c r="AH123" i="32" s="1"/>
  <c r="AH124" i="3"/>
  <c r="AH124" i="32" s="1"/>
  <c r="AH122" i="3"/>
  <c r="AH122" i="32" s="1"/>
  <c r="AH130" i="3"/>
  <c r="AH130" i="32" s="1"/>
  <c r="AH127" i="3"/>
  <c r="AH127" i="32" s="1"/>
  <c r="AH126" i="3"/>
  <c r="AH126" i="32" s="1"/>
  <c r="AH144" i="3"/>
  <c r="AH144" i="32" s="1"/>
  <c r="AH143" i="3"/>
  <c r="AH143" i="32" s="1"/>
  <c r="AH142" i="3"/>
  <c r="AH142" i="32" s="1"/>
  <c r="AH141" i="3"/>
  <c r="AH141" i="32" s="1"/>
  <c r="AH150" i="3"/>
  <c r="AH150" i="32" s="1"/>
  <c r="AH149" i="3"/>
  <c r="AH149" i="32" s="1"/>
  <c r="AH146" i="3"/>
  <c r="AH146" i="32" s="1"/>
  <c r="AH145" i="3"/>
  <c r="AH145" i="32" s="1"/>
  <c r="AL54" i="3"/>
  <c r="AL50" i="3"/>
  <c r="AL49" i="3"/>
  <c r="AL48" i="3"/>
  <c r="AL51" i="3"/>
  <c r="AL47" i="3"/>
  <c r="AL46" i="3"/>
  <c r="AG25" i="3"/>
  <c r="AG44" i="32" s="1"/>
  <c r="AG6" i="33"/>
  <c r="AG156" i="33" s="1"/>
  <c r="AG25" i="32"/>
  <c r="AG120" i="32"/>
  <c r="AG6" i="32"/>
  <c r="AG156" i="32" s="1"/>
  <c r="AH101" i="31"/>
  <c r="AH120" i="31"/>
  <c r="Y8" i="87"/>
  <c r="Y7" i="87"/>
  <c r="A331" i="92"/>
  <c r="A281" i="92"/>
  <c r="L10" i="10"/>
  <c r="E72" i="92" s="1"/>
  <c r="J28" i="10"/>
  <c r="F78" i="10"/>
  <c r="G46" i="34" s="1"/>
  <c r="I94" i="10"/>
  <c r="J70" i="34" s="1"/>
  <c r="J32" i="34" s="1"/>
  <c r="B94" i="10"/>
  <c r="C70" i="34" s="1"/>
  <c r="C32" i="34" s="1"/>
  <c r="X28" i="10"/>
  <c r="M10" i="10"/>
  <c r="E79" i="92" s="1"/>
  <c r="D14" i="58"/>
  <c r="D18" i="58" s="1"/>
  <c r="L14" i="58"/>
  <c r="L18" i="58" s="1"/>
  <c r="T14" i="58"/>
  <c r="T18" i="58" s="1"/>
  <c r="AG130" i="3"/>
  <c r="AG130" i="32" s="1"/>
  <c r="AG127" i="3"/>
  <c r="AG127" i="32" s="1"/>
  <c r="AG126" i="3"/>
  <c r="AG126" i="32" s="1"/>
  <c r="AG125" i="3"/>
  <c r="AG125" i="32" s="1"/>
  <c r="AG123" i="3"/>
  <c r="AG123" i="32" s="1"/>
  <c r="AG124" i="3"/>
  <c r="AG124" i="32" s="1"/>
  <c r="AG122" i="3"/>
  <c r="AG122" i="32" s="1"/>
  <c r="AG150" i="3"/>
  <c r="AG150" i="32" s="1"/>
  <c r="AG149" i="3"/>
  <c r="AG149" i="32" s="1"/>
  <c r="AG146" i="3"/>
  <c r="AG146" i="32" s="1"/>
  <c r="AG145" i="3"/>
  <c r="AG145" i="32" s="1"/>
  <c r="AG144" i="3"/>
  <c r="AG144" i="32" s="1"/>
  <c r="AG143" i="3"/>
  <c r="AG143" i="32" s="1"/>
  <c r="AG142" i="3"/>
  <c r="AG142" i="32" s="1"/>
  <c r="AG141" i="3"/>
  <c r="AG141" i="32" s="1"/>
  <c r="W68" i="3"/>
  <c r="E761" i="92" s="1"/>
  <c r="AG103" i="3"/>
  <c r="AG103" i="32" s="1"/>
  <c r="AG65" i="3"/>
  <c r="AG65" i="32" s="1"/>
  <c r="AG158" i="3"/>
  <c r="AG159" i="32" s="1"/>
  <c r="AG112" i="3"/>
  <c r="AG112" i="32" s="1"/>
  <c r="AG74" i="3"/>
  <c r="AG74" i="32" s="1"/>
  <c r="AG54" i="3"/>
  <c r="AG54" i="32" s="1"/>
  <c r="AG111" i="3"/>
  <c r="AG111" i="32" s="1"/>
  <c r="AG73" i="3"/>
  <c r="AG73" i="32" s="1"/>
  <c r="AG51" i="3"/>
  <c r="AG51" i="32" s="1"/>
  <c r="AG108" i="3"/>
  <c r="AG108" i="32" s="1"/>
  <c r="AG70" i="3"/>
  <c r="AG70" i="32" s="1"/>
  <c r="AG50" i="3"/>
  <c r="AG50" i="32" s="1"/>
  <c r="AG107" i="3"/>
  <c r="AG107" i="32" s="1"/>
  <c r="AG69" i="3"/>
  <c r="AG69" i="32" s="1"/>
  <c r="AG49" i="3"/>
  <c r="AG49" i="32" s="1"/>
  <c r="AG106" i="3"/>
  <c r="AG106" i="32" s="1"/>
  <c r="AG68" i="3"/>
  <c r="AG68" i="32" s="1"/>
  <c r="AG48" i="3"/>
  <c r="AG48" i="32" s="1"/>
  <c r="AG104" i="3"/>
  <c r="AG104" i="32" s="1"/>
  <c r="AG46" i="3"/>
  <c r="AG46" i="32" s="1"/>
  <c r="AG105" i="3"/>
  <c r="AG105" i="32" s="1"/>
  <c r="AG67" i="3"/>
  <c r="AG67" i="32" s="1"/>
  <c r="AG47" i="3"/>
  <c r="AG47" i="32" s="1"/>
  <c r="AG66" i="3"/>
  <c r="AG66" i="32" s="1"/>
  <c r="AA14" i="58"/>
  <c r="AA18" i="58" s="1"/>
  <c r="X8" i="87"/>
  <c r="AD150" i="3"/>
  <c r="E1212" i="92" s="1"/>
  <c r="X7" i="87"/>
  <c r="AC74" i="3"/>
  <c r="E813" i="92" s="1"/>
  <c r="AF158" i="3"/>
  <c r="AF159" i="32" s="1"/>
  <c r="W84" i="3"/>
  <c r="A276" i="92"/>
  <c r="A334" i="92"/>
  <c r="A378" i="92"/>
  <c r="A221" i="92"/>
  <c r="A224" i="92"/>
  <c r="A332" i="92"/>
  <c r="A279" i="92"/>
  <c r="A375" i="92"/>
  <c r="A219" i="92"/>
  <c r="A277" i="92"/>
  <c r="A335" i="92"/>
  <c r="A376" i="92"/>
  <c r="A379" i="92"/>
  <c r="E14" i="58"/>
  <c r="E18" i="58" s="1"/>
  <c r="M14" i="58"/>
  <c r="M18" i="58" s="1"/>
  <c r="U14" i="58"/>
  <c r="U18" i="58" s="1"/>
  <c r="A337" i="92"/>
  <c r="A222" i="92"/>
  <c r="A280" i="92"/>
  <c r="A373" i="92"/>
  <c r="A275" i="92"/>
  <c r="A333" i="92"/>
  <c r="A225" i="92"/>
  <c r="A374" i="92"/>
  <c r="A368" i="92"/>
  <c r="A366" i="92"/>
  <c r="A371" i="92"/>
  <c r="A369" i="92"/>
  <c r="A372" i="92"/>
  <c r="A367" i="92"/>
  <c r="AB14" i="58"/>
  <c r="AB18" i="58" s="1"/>
  <c r="AC14" i="58"/>
  <c r="N74" i="3"/>
  <c r="E685" i="92" s="1"/>
  <c r="B37" i="17"/>
  <c r="I50" i="9"/>
  <c r="Q50" i="9"/>
  <c r="V19" i="18"/>
  <c r="U55" i="10"/>
  <c r="U18" i="10" s="1"/>
  <c r="E141" i="92" s="1"/>
  <c r="K46" i="56"/>
  <c r="H29" i="56"/>
  <c r="I29" i="56" s="1"/>
  <c r="K28" i="9"/>
  <c r="S28" i="9"/>
  <c r="C21" i="1"/>
  <c r="I64" i="1"/>
  <c r="I68" i="1" s="1"/>
  <c r="T13" i="18"/>
  <c r="H34" i="56"/>
  <c r="I34" i="56" s="1"/>
  <c r="J70" i="1"/>
  <c r="K71" i="1" s="1"/>
  <c r="N33" i="9"/>
  <c r="Q33" i="9"/>
  <c r="V10" i="18"/>
  <c r="F45" i="56"/>
  <c r="H45" i="56" s="1"/>
  <c r="I45" i="56" s="1"/>
  <c r="C46" i="56"/>
  <c r="I33" i="9"/>
  <c r="N50" i="9"/>
  <c r="G64" i="1"/>
  <c r="G68" i="1" s="1"/>
  <c r="K68" i="1"/>
  <c r="G21" i="9"/>
  <c r="E21" i="1"/>
  <c r="E70" i="1"/>
  <c r="E71" i="1" s="1"/>
  <c r="P17" i="18"/>
  <c r="P22" i="18" s="1"/>
  <c r="V15" i="18"/>
  <c r="L12" i="59"/>
  <c r="L29" i="59" s="1"/>
  <c r="N28" i="9"/>
  <c r="O21" i="9"/>
  <c r="I70" i="1"/>
  <c r="I71" i="1" s="1"/>
  <c r="I21" i="1"/>
  <c r="G21" i="1"/>
  <c r="F13" i="76"/>
  <c r="H13" i="76" s="1"/>
  <c r="I13" i="76" s="1"/>
  <c r="W34" i="10"/>
  <c r="H14" i="76"/>
  <c r="I14" i="76" s="1"/>
  <c r="F37" i="84"/>
  <c r="H37" i="84" s="1"/>
  <c r="I37" i="84" s="1"/>
  <c r="Z65" i="10"/>
  <c r="B68" i="1"/>
  <c r="J68" i="1"/>
  <c r="T16" i="18"/>
  <c r="B46" i="56"/>
  <c r="T81" i="10"/>
  <c r="N16" i="59"/>
  <c r="U81" i="10" s="1"/>
  <c r="N25" i="59"/>
  <c r="U92" i="10" s="1"/>
  <c r="V65" i="10"/>
  <c r="F37" i="69"/>
  <c r="H37" i="69" s="1"/>
  <c r="I37" i="69" s="1"/>
  <c r="C524" i="75"/>
  <c r="C522" i="75"/>
  <c r="W37" i="10"/>
  <c r="H15" i="76"/>
  <c r="I15" i="76" s="1"/>
  <c r="W55" i="10"/>
  <c r="W18" i="10" s="1"/>
  <c r="H26" i="76"/>
  <c r="I26" i="76" s="1"/>
  <c r="C42" i="79"/>
  <c r="H43" i="90"/>
  <c r="I43" i="90" s="1"/>
  <c r="I26" i="90"/>
  <c r="C70" i="1"/>
  <c r="C71" i="1" s="1"/>
  <c r="G10" i="20"/>
  <c r="AM11" i="18"/>
  <c r="F9" i="56"/>
  <c r="G34" i="56"/>
  <c r="N20" i="59"/>
  <c r="N26" i="59"/>
  <c r="U93" i="10" s="1"/>
  <c r="F27" i="21"/>
  <c r="H30" i="84"/>
  <c r="I30" i="84" s="1"/>
  <c r="Z58" i="10"/>
  <c r="M15" i="10"/>
  <c r="E84" i="92" s="1"/>
  <c r="M50" i="10"/>
  <c r="L17" i="18"/>
  <c r="L22" i="18" s="1"/>
  <c r="T82" i="10"/>
  <c r="N17" i="59"/>
  <c r="U82" i="10" s="1"/>
  <c r="F14" i="69"/>
  <c r="C13" i="69"/>
  <c r="C21" i="69" s="1"/>
  <c r="D21" i="76"/>
  <c r="F19" i="76"/>
  <c r="X65" i="10"/>
  <c r="F37" i="78"/>
  <c r="H37" i="78" s="1"/>
  <c r="I37" i="78" s="1"/>
  <c r="H17" i="56"/>
  <c r="I17" i="56" s="1"/>
  <c r="U37" i="10"/>
  <c r="F41" i="56"/>
  <c r="H41" i="56" s="1"/>
  <c r="I41" i="56" s="1"/>
  <c r="T95" i="10"/>
  <c r="T94" i="10" s="1"/>
  <c r="N27" i="59"/>
  <c r="U95" i="10" s="1"/>
  <c r="U94" i="10" s="1"/>
  <c r="W32" i="10"/>
  <c r="W28" i="10" s="1"/>
  <c r="H12" i="76"/>
  <c r="F9" i="76"/>
  <c r="X58" i="10"/>
  <c r="H30" i="78"/>
  <c r="I30" i="78" s="1"/>
  <c r="Z32" i="10"/>
  <c r="Z28" i="10" s="1"/>
  <c r="H12" i="84"/>
  <c r="F9" i="84"/>
  <c r="F31" i="84"/>
  <c r="H31" i="84" s="1"/>
  <c r="I31" i="84" s="1"/>
  <c r="Z59" i="10"/>
  <c r="J19" i="59"/>
  <c r="X49" i="10"/>
  <c r="X14" i="10" s="1"/>
  <c r="E160" i="92" s="1"/>
  <c r="H19" i="78"/>
  <c r="I19" i="78" s="1"/>
  <c r="X62" i="10"/>
  <c r="F31" i="78"/>
  <c r="H31" i="78" s="1"/>
  <c r="I31" i="78" s="1"/>
  <c r="H10" i="79"/>
  <c r="F9" i="79"/>
  <c r="R12" i="18"/>
  <c r="T12" i="18" s="1"/>
  <c r="AM12" i="18"/>
  <c r="T103" i="10"/>
  <c r="N10" i="59"/>
  <c r="U103" i="10" s="1"/>
  <c r="G71" i="1"/>
  <c r="N14" i="59"/>
  <c r="N22" i="59"/>
  <c r="U88" i="10" s="1"/>
  <c r="T88" i="10"/>
  <c r="T83" i="10" s="1"/>
  <c r="V38" i="10"/>
  <c r="H16" i="69"/>
  <c r="I16" i="69" s="1"/>
  <c r="D41" i="69"/>
  <c r="X50" i="10"/>
  <c r="X15" i="10" s="1"/>
  <c r="E161" i="92" s="1"/>
  <c r="H20" i="78"/>
  <c r="I20" i="78" s="1"/>
  <c r="H26" i="79"/>
  <c r="I26" i="79" s="1"/>
  <c r="R14" i="18"/>
  <c r="T14" i="18" s="1"/>
  <c r="AM14" i="18"/>
  <c r="F14" i="56"/>
  <c r="H14" i="56" s="1"/>
  <c r="I14" i="56" s="1"/>
  <c r="U35" i="10"/>
  <c r="F30" i="56"/>
  <c r="H30" i="56" s="1"/>
  <c r="I30" i="56" s="1"/>
  <c r="E9" i="69"/>
  <c r="E21" i="69" s="1"/>
  <c r="F10" i="69"/>
  <c r="F15" i="20"/>
  <c r="G15" i="20" s="1"/>
  <c r="D64" i="1"/>
  <c r="D68" i="1" s="1"/>
  <c r="H68" i="1"/>
  <c r="T11" i="18"/>
  <c r="T17" i="18" s="1"/>
  <c r="AM31" i="18"/>
  <c r="H21" i="56"/>
  <c r="I21" i="56" s="1"/>
  <c r="T79" i="10"/>
  <c r="J14" i="59"/>
  <c r="T91" i="10"/>
  <c r="N24" i="59"/>
  <c r="U91" i="10" s="1"/>
  <c r="V48" i="10"/>
  <c r="V13" i="10" s="1"/>
  <c r="E145" i="92" s="1"/>
  <c r="H17" i="69"/>
  <c r="I17" i="69" s="1"/>
  <c r="D42" i="78"/>
  <c r="Z105" i="3"/>
  <c r="E903" i="92" s="1"/>
  <c r="AE105" i="3"/>
  <c r="E943" i="92" s="1"/>
  <c r="T105" i="3"/>
  <c r="E847" i="92" s="1"/>
  <c r="Z55" i="10"/>
  <c r="H26" i="84"/>
  <c r="I26" i="84" s="1"/>
  <c r="V112" i="3"/>
  <c r="E868" i="92" s="1"/>
  <c r="T106" i="3"/>
  <c r="E848" i="92" s="1"/>
  <c r="AE104" i="3"/>
  <c r="E942" i="92" s="1"/>
  <c r="S104" i="3"/>
  <c r="E838" i="92" s="1"/>
  <c r="S74" i="3"/>
  <c r="E725" i="92" s="1"/>
  <c r="AB69" i="3"/>
  <c r="E802" i="92" s="1"/>
  <c r="T68" i="3"/>
  <c r="E729" i="92" s="1"/>
  <c r="AD67" i="3"/>
  <c r="E816" i="92" s="1"/>
  <c r="P67" i="3"/>
  <c r="E696" i="92" s="1"/>
  <c r="V66" i="3"/>
  <c r="E743" i="92" s="1"/>
  <c r="Y65" i="3"/>
  <c r="E774" i="92" s="1"/>
  <c r="T51" i="3"/>
  <c r="T51" i="32" s="1"/>
  <c r="O48" i="3"/>
  <c r="E466" i="92" s="1"/>
  <c r="N47" i="3"/>
  <c r="E458" i="92" s="1"/>
  <c r="R47" i="3"/>
  <c r="E486" i="92" s="1"/>
  <c r="X65" i="3"/>
  <c r="E766" i="92" s="1"/>
  <c r="O67" i="3"/>
  <c r="O67" i="32" s="1"/>
  <c r="W88" i="3"/>
  <c r="U112" i="3"/>
  <c r="E860" i="92" s="1"/>
  <c r="H19" i="69"/>
  <c r="I19" i="69" s="1"/>
  <c r="H21" i="71"/>
  <c r="H17" i="76"/>
  <c r="I17" i="76" s="1"/>
  <c r="H46" i="76"/>
  <c r="I46" i="76" s="1"/>
  <c r="F13" i="78"/>
  <c r="H13" i="78" s="1"/>
  <c r="I13" i="78" s="1"/>
  <c r="H15" i="78"/>
  <c r="I15" i="78" s="1"/>
  <c r="H14" i="79"/>
  <c r="I14" i="79" s="1"/>
  <c r="F37" i="79"/>
  <c r="H37" i="79" s="1"/>
  <c r="I37" i="79" s="1"/>
  <c r="H19" i="84"/>
  <c r="I19" i="84" s="1"/>
  <c r="X48" i="3"/>
  <c r="E536" i="92" s="1"/>
  <c r="AB65" i="3"/>
  <c r="E798" i="92" s="1"/>
  <c r="Q67" i="3"/>
  <c r="E704" i="92" s="1"/>
  <c r="AA106" i="3"/>
  <c r="E912" i="92" s="1"/>
  <c r="W112" i="3"/>
  <c r="E884" i="92" s="1"/>
  <c r="C27" i="94"/>
  <c r="AB66" i="3"/>
  <c r="E799" i="92" s="1"/>
  <c r="Z67" i="3"/>
  <c r="E784" i="92" s="1"/>
  <c r="AA70" i="3"/>
  <c r="E795" i="92" s="1"/>
  <c r="V70" i="3"/>
  <c r="E747" i="92" s="1"/>
  <c r="T70" i="3"/>
  <c r="T70" i="32" s="1"/>
  <c r="R70" i="3"/>
  <c r="R70" i="34" s="1"/>
  <c r="N70" i="3"/>
  <c r="AC73" i="3"/>
  <c r="E812" i="92" s="1"/>
  <c r="X157" i="3"/>
  <c r="X157" i="34" s="1"/>
  <c r="F31" i="76"/>
  <c r="H31" i="76" s="1"/>
  <c r="I31" i="76" s="1"/>
  <c r="Y33" i="10"/>
  <c r="Y11" i="10" s="1"/>
  <c r="E164" i="92" s="1"/>
  <c r="M48" i="3"/>
  <c r="E452" i="92" s="1"/>
  <c r="AE67" i="3"/>
  <c r="AE67" i="32" s="1"/>
  <c r="V104" i="3"/>
  <c r="E862" i="92" s="1"/>
  <c r="S106" i="3"/>
  <c r="E840" i="92" s="1"/>
  <c r="AF111" i="3"/>
  <c r="AF111" i="32" s="1"/>
  <c r="AE111" i="3"/>
  <c r="E947" i="92" s="1"/>
  <c r="Z33" i="10"/>
  <c r="Z11" i="10" s="1"/>
  <c r="E171" i="92" s="1"/>
  <c r="AA18" i="10"/>
  <c r="E183" i="92" s="1"/>
  <c r="P48" i="3"/>
  <c r="E473" i="92" s="1"/>
  <c r="N51" i="3"/>
  <c r="E462" i="92" s="1"/>
  <c r="T66" i="3"/>
  <c r="E727" i="92" s="1"/>
  <c r="X68" i="3"/>
  <c r="E769" i="92" s="1"/>
  <c r="Z70" i="3"/>
  <c r="Z70" i="34" s="1"/>
  <c r="U106" i="3"/>
  <c r="E856" i="92" s="1"/>
  <c r="X158" i="3"/>
  <c r="E1223" i="92" s="1"/>
  <c r="H15" i="69"/>
  <c r="I15" i="69" s="1"/>
  <c r="H20" i="76"/>
  <c r="I20" i="76" s="1"/>
  <c r="H30" i="76"/>
  <c r="I30" i="76" s="1"/>
  <c r="F27" i="78"/>
  <c r="F31" i="79"/>
  <c r="H31" i="79" s="1"/>
  <c r="I31" i="79" s="1"/>
  <c r="H14" i="84"/>
  <c r="I14" i="84" s="1"/>
  <c r="H17" i="84"/>
  <c r="I17" i="84" s="1"/>
  <c r="Z56" i="10"/>
  <c r="F27" i="84"/>
  <c r="H27" i="84" s="1"/>
  <c r="I27" i="84" s="1"/>
  <c r="T112" i="3"/>
  <c r="E852" i="92" s="1"/>
  <c r="E28" i="10"/>
  <c r="B50" i="10"/>
  <c r="B15" i="10"/>
  <c r="E7" i="92" s="1"/>
  <c r="V55" i="10"/>
  <c r="AE48" i="3"/>
  <c r="E585" i="92" s="1"/>
  <c r="V51" i="3"/>
  <c r="E518" i="92" s="1"/>
  <c r="Z66" i="3"/>
  <c r="E783" i="92" s="1"/>
  <c r="T104" i="3"/>
  <c r="E846" i="92" s="1"/>
  <c r="AF106" i="3"/>
  <c r="AF106" i="32" s="1"/>
  <c r="W111" i="3"/>
  <c r="E883" i="92" s="1"/>
  <c r="F27" i="69"/>
  <c r="H27" i="69" s="1"/>
  <c r="I27" i="69" s="1"/>
  <c r="F37" i="76"/>
  <c r="H37" i="76" s="1"/>
  <c r="I37" i="76" s="1"/>
  <c r="F9" i="78"/>
  <c r="Z69" i="10"/>
  <c r="Y69" i="10"/>
  <c r="X69" i="10"/>
  <c r="Z45" i="10"/>
  <c r="Z12" i="10" s="1"/>
  <c r="E172" i="92" s="1"/>
  <c r="H18" i="84"/>
  <c r="I18" i="84" s="1"/>
  <c r="Q53" i="10"/>
  <c r="Q71" i="10" s="1"/>
  <c r="Q11" i="10"/>
  <c r="E108" i="92" s="1"/>
  <c r="Z47" i="3"/>
  <c r="E549" i="92" s="1"/>
  <c r="AF65" i="3"/>
  <c r="AF65" i="32" s="1"/>
  <c r="AF67" i="3"/>
  <c r="AF67" i="32" s="1"/>
  <c r="R68" i="3"/>
  <c r="E713" i="92" s="1"/>
  <c r="T74" i="3"/>
  <c r="E733" i="92" s="1"/>
  <c r="AD104" i="3"/>
  <c r="E934" i="92" s="1"/>
  <c r="C50" i="10"/>
  <c r="K50" i="10"/>
  <c r="D50" i="10"/>
  <c r="L15" i="10"/>
  <c r="E77" i="92" s="1"/>
  <c r="F83" i="10"/>
  <c r="G47" i="34" s="1"/>
  <c r="AC49" i="3"/>
  <c r="E572" i="92" s="1"/>
  <c r="AF107" i="3"/>
  <c r="AF107" i="32" s="1"/>
  <c r="C28" i="10"/>
  <c r="K28" i="10"/>
  <c r="I10" i="10"/>
  <c r="E51" i="92" s="1"/>
  <c r="F10" i="10"/>
  <c r="G65" i="32" s="1"/>
  <c r="G27" i="32" s="1"/>
  <c r="N10" i="10"/>
  <c r="E86" i="92" s="1"/>
  <c r="S53" i="10"/>
  <c r="S71" i="10" s="1"/>
  <c r="D33" i="10"/>
  <c r="D11" i="10" s="1"/>
  <c r="E17" i="92" s="1"/>
  <c r="L33" i="10"/>
  <c r="L11" i="10" s="1"/>
  <c r="E73" i="92" s="1"/>
  <c r="C33" i="10"/>
  <c r="C11" i="10" s="1"/>
  <c r="E10" i="92" s="1"/>
  <c r="K33" i="10"/>
  <c r="K11" i="10" s="1"/>
  <c r="E66" i="92" s="1"/>
  <c r="B33" i="10"/>
  <c r="B11" i="10" s="1"/>
  <c r="E3" i="92" s="1"/>
  <c r="AB18" i="10"/>
  <c r="E190" i="92" s="1"/>
  <c r="S78" i="10"/>
  <c r="T47" i="3"/>
  <c r="E500" i="92" s="1"/>
  <c r="U48" i="3"/>
  <c r="E508" i="92" s="1"/>
  <c r="W49" i="3"/>
  <c r="E530" i="92" s="1"/>
  <c r="U67" i="3"/>
  <c r="E736" i="92" s="1"/>
  <c r="D39" i="3"/>
  <c r="M74" i="3"/>
  <c r="E677" i="92" s="1"/>
  <c r="U74" i="3"/>
  <c r="E741" i="92" s="1"/>
  <c r="W85" i="3"/>
  <c r="W85" i="34" s="1"/>
  <c r="Z103" i="3"/>
  <c r="E901" i="92" s="1"/>
  <c r="U104" i="3"/>
  <c r="E854" i="92" s="1"/>
  <c r="V106" i="3"/>
  <c r="E864" i="92" s="1"/>
  <c r="U107" i="3"/>
  <c r="E857" i="92" s="1"/>
  <c r="X112" i="3"/>
  <c r="E892" i="92" s="1"/>
  <c r="Y158" i="3"/>
  <c r="D28" i="10"/>
  <c r="L28" i="10"/>
  <c r="AA33" i="10"/>
  <c r="AA11" i="10" s="1"/>
  <c r="E178" i="92" s="1"/>
  <c r="E33" i="10"/>
  <c r="E11" i="10" s="1"/>
  <c r="E24" i="92" s="1"/>
  <c r="M33" i="10"/>
  <c r="M11" i="10" s="1"/>
  <c r="E80" i="92" s="1"/>
  <c r="N112" i="10"/>
  <c r="O113" i="10" s="1"/>
  <c r="AE112" i="10"/>
  <c r="G78" i="10"/>
  <c r="H46" i="34" s="1"/>
  <c r="H78" i="10"/>
  <c r="M78" i="10"/>
  <c r="B83" i="10"/>
  <c r="J83" i="10"/>
  <c r="K47" i="34" s="1"/>
  <c r="C33" i="3"/>
  <c r="C14" i="3" s="1"/>
  <c r="K33" i="3"/>
  <c r="K14" i="3" s="1"/>
  <c r="AE46" i="3"/>
  <c r="E583" i="92" s="1"/>
  <c r="V47" i="3"/>
  <c r="E514" i="92" s="1"/>
  <c r="V48" i="3"/>
  <c r="E515" i="92" s="1"/>
  <c r="AE50" i="3"/>
  <c r="E587" i="92" s="1"/>
  <c r="AE65" i="3"/>
  <c r="AE65" i="32" s="1"/>
  <c r="AA66" i="3"/>
  <c r="E791" i="92" s="1"/>
  <c r="AA67" i="3"/>
  <c r="E792" i="92" s="1"/>
  <c r="V67" i="3"/>
  <c r="E744" i="92" s="1"/>
  <c r="AC68" i="3"/>
  <c r="E809" i="92" s="1"/>
  <c r="AB68" i="3"/>
  <c r="E801" i="92" s="1"/>
  <c r="AA73" i="3"/>
  <c r="E796" i="92" s="1"/>
  <c r="V74" i="3"/>
  <c r="E749" i="92" s="1"/>
  <c r="W89" i="3"/>
  <c r="W89" i="34" s="1"/>
  <c r="W106" i="3"/>
  <c r="E880" i="92" s="1"/>
  <c r="Z108" i="3"/>
  <c r="Z108" i="34" s="1"/>
  <c r="Y112" i="3"/>
  <c r="E900" i="92" s="1"/>
  <c r="AC158" i="3"/>
  <c r="E1228" i="92" s="1"/>
  <c r="Q124" i="3"/>
  <c r="Q124" i="34" s="1"/>
  <c r="I14" i="58"/>
  <c r="I18" i="58" s="1"/>
  <c r="Q14" i="58"/>
  <c r="Q18" i="58" s="1"/>
  <c r="Y14" i="58"/>
  <c r="Y18" i="58" s="1"/>
  <c r="P53" i="10"/>
  <c r="P71" i="10" s="1"/>
  <c r="N33" i="10"/>
  <c r="N11" i="10" s="1"/>
  <c r="E87" i="92" s="1"/>
  <c r="O112" i="10"/>
  <c r="W67" i="3"/>
  <c r="E760" i="92" s="1"/>
  <c r="AD68" i="3"/>
  <c r="E817" i="92" s="1"/>
  <c r="O74" i="3"/>
  <c r="E693" i="92" s="1"/>
  <c r="W74" i="3"/>
  <c r="E765" i="92" s="1"/>
  <c r="W86" i="3"/>
  <c r="W86" i="32" s="1"/>
  <c r="T103" i="3"/>
  <c r="E845" i="92" s="1"/>
  <c r="W104" i="3"/>
  <c r="E878" i="92" s="1"/>
  <c r="Z112" i="3"/>
  <c r="E908" i="92" s="1"/>
  <c r="B14" i="58"/>
  <c r="B18" i="58" s="1"/>
  <c r="B147" i="58" s="1"/>
  <c r="J14" i="58"/>
  <c r="J18" i="58" s="1"/>
  <c r="R14" i="58"/>
  <c r="R18" i="58" s="1"/>
  <c r="Z14" i="58"/>
  <c r="Z18" i="58" s="1"/>
  <c r="Y18" i="10"/>
  <c r="E169" i="92" s="1"/>
  <c r="AC18" i="10"/>
  <c r="E197" i="92" s="1"/>
  <c r="P112" i="10"/>
  <c r="P101" i="10"/>
  <c r="AB46" i="3"/>
  <c r="E562" i="92" s="1"/>
  <c r="AA48" i="3"/>
  <c r="E557" i="92" s="1"/>
  <c r="Y48" i="3"/>
  <c r="E543" i="92" s="1"/>
  <c r="AA51" i="3"/>
  <c r="AA51" i="34" s="1"/>
  <c r="AA54" i="3"/>
  <c r="E561" i="92" s="1"/>
  <c r="P65" i="3"/>
  <c r="E694" i="92" s="1"/>
  <c r="N66" i="3"/>
  <c r="E679" i="92" s="1"/>
  <c r="M67" i="3"/>
  <c r="E672" i="92" s="1"/>
  <c r="X67" i="3"/>
  <c r="E768" i="92" s="1"/>
  <c r="N68" i="3"/>
  <c r="E681" i="92" s="1"/>
  <c r="AE68" i="3"/>
  <c r="E825" i="92" s="1"/>
  <c r="G19" i="3"/>
  <c r="G161" i="3" s="1"/>
  <c r="M73" i="3"/>
  <c r="E676" i="92" s="1"/>
  <c r="P74" i="3"/>
  <c r="E701" i="92" s="1"/>
  <c r="X74" i="3"/>
  <c r="E773" i="92" s="1"/>
  <c r="AE103" i="3"/>
  <c r="E941" i="92" s="1"/>
  <c r="AA104" i="3"/>
  <c r="E910" i="92" s="1"/>
  <c r="AE106" i="3"/>
  <c r="E944" i="92" s="1"/>
  <c r="AC106" i="3"/>
  <c r="E928" i="92" s="1"/>
  <c r="S108" i="3"/>
  <c r="S108" i="34" s="1"/>
  <c r="S112" i="3"/>
  <c r="E844" i="92" s="1"/>
  <c r="G33" i="10"/>
  <c r="G11" i="10" s="1"/>
  <c r="H47" i="32" s="1"/>
  <c r="O33" i="10"/>
  <c r="O11" i="10" s="1"/>
  <c r="E94" i="92" s="1"/>
  <c r="B78" i="10"/>
  <c r="C65" i="34" s="1"/>
  <c r="C27" i="34" s="1"/>
  <c r="K78" i="10"/>
  <c r="L65" i="34" s="1"/>
  <c r="L27" i="34" s="1"/>
  <c r="Q101" i="10"/>
  <c r="C94" i="10"/>
  <c r="K94" i="10"/>
  <c r="AA47" i="3"/>
  <c r="E556" i="92" s="1"/>
  <c r="AD48" i="3"/>
  <c r="E578" i="92" s="1"/>
  <c r="T65" i="3"/>
  <c r="E726" i="92" s="1"/>
  <c r="R66" i="3"/>
  <c r="E711" i="92" s="1"/>
  <c r="N67" i="3"/>
  <c r="E680" i="92" s="1"/>
  <c r="Y67" i="3"/>
  <c r="E776" i="92" s="1"/>
  <c r="Q68" i="3"/>
  <c r="E705" i="92" s="1"/>
  <c r="AE69" i="3"/>
  <c r="AE69" i="32" s="1"/>
  <c r="Y73" i="3"/>
  <c r="E780" i="92" s="1"/>
  <c r="Y74" i="3"/>
  <c r="W87" i="3"/>
  <c r="W92" i="3"/>
  <c r="Z104" i="3"/>
  <c r="E902" i="92" s="1"/>
  <c r="AC104" i="3"/>
  <c r="E926" i="92" s="1"/>
  <c r="AD106" i="3"/>
  <c r="E936" i="92" s="1"/>
  <c r="W101" i="34"/>
  <c r="I16" i="32"/>
  <c r="H16" i="32"/>
  <c r="J77" i="3"/>
  <c r="J38" i="3"/>
  <c r="H19" i="3"/>
  <c r="H161" i="3" s="1"/>
  <c r="J58" i="3"/>
  <c r="E146" i="58"/>
  <c r="Z46" i="3"/>
  <c r="E548" i="92" s="1"/>
  <c r="V49" i="3"/>
  <c r="E516" i="92" s="1"/>
  <c r="AF49" i="3"/>
  <c r="AF49" i="32" s="1"/>
  <c r="Y50" i="3"/>
  <c r="E545" i="92" s="1"/>
  <c r="Z69" i="3"/>
  <c r="E786" i="92" s="1"/>
  <c r="S103" i="3"/>
  <c r="E837" i="92" s="1"/>
  <c r="AD103" i="3"/>
  <c r="E933" i="92" s="1"/>
  <c r="S105" i="3"/>
  <c r="E839" i="92" s="1"/>
  <c r="AD105" i="3"/>
  <c r="E935" i="92" s="1"/>
  <c r="T107" i="3"/>
  <c r="E849" i="92" s="1"/>
  <c r="U111" i="3"/>
  <c r="E859" i="92" s="1"/>
  <c r="AB158" i="3"/>
  <c r="E1227" i="92" s="1"/>
  <c r="Z50" i="3"/>
  <c r="E552" i="92" s="1"/>
  <c r="F33" i="3"/>
  <c r="F14" i="3" s="1"/>
  <c r="P46" i="3"/>
  <c r="E471" i="92" s="1"/>
  <c r="AF46" i="3"/>
  <c r="AF46" i="32" s="1"/>
  <c r="AB47" i="3"/>
  <c r="E563" i="92" s="1"/>
  <c r="Q48" i="3"/>
  <c r="E480" i="92" s="1"/>
  <c r="Z48" i="3"/>
  <c r="E550" i="92" s="1"/>
  <c r="N49" i="3"/>
  <c r="E460" i="92" s="1"/>
  <c r="X49" i="3"/>
  <c r="E537" i="92" s="1"/>
  <c r="AB50" i="3"/>
  <c r="E566" i="92" s="1"/>
  <c r="Z51" i="3"/>
  <c r="Z51" i="34" s="1"/>
  <c r="H58" i="3"/>
  <c r="M54" i="3"/>
  <c r="E456" i="92" s="1"/>
  <c r="Q65" i="3"/>
  <c r="E702" i="92" s="1"/>
  <c r="AD66" i="3"/>
  <c r="E815" i="92" s="1"/>
  <c r="R67" i="3"/>
  <c r="E712" i="92" s="1"/>
  <c r="AB67" i="3"/>
  <c r="E800" i="92" s="1"/>
  <c r="O68" i="3"/>
  <c r="E689" i="92" s="1"/>
  <c r="Y68" i="3"/>
  <c r="E777" i="92" s="1"/>
  <c r="P69" i="3"/>
  <c r="E698" i="92" s="1"/>
  <c r="AF69" i="3"/>
  <c r="AF69" i="32" s="1"/>
  <c r="AB70" i="3"/>
  <c r="AB70" i="32" s="1"/>
  <c r="Q73" i="3"/>
  <c r="E708" i="92" s="1"/>
  <c r="U103" i="3"/>
  <c r="E853" i="92" s="1"/>
  <c r="AB104" i="3"/>
  <c r="E918" i="92" s="1"/>
  <c r="U105" i="3"/>
  <c r="E855" i="92" s="1"/>
  <c r="AB106" i="3"/>
  <c r="E920" i="92" s="1"/>
  <c r="V107" i="3"/>
  <c r="E865" i="92" s="1"/>
  <c r="Y108" i="3"/>
  <c r="Y108" i="34" s="1"/>
  <c r="X111" i="3"/>
  <c r="E891" i="92" s="1"/>
  <c r="R120" i="3"/>
  <c r="AE158" i="3"/>
  <c r="E1230" i="92" s="1"/>
  <c r="E33" i="3"/>
  <c r="E14" i="3" s="1"/>
  <c r="Q46" i="3"/>
  <c r="E478" i="92" s="1"/>
  <c r="AD47" i="3"/>
  <c r="E577" i="92" s="1"/>
  <c r="R48" i="3"/>
  <c r="E487" i="92" s="1"/>
  <c r="AB48" i="3"/>
  <c r="E564" i="92" s="1"/>
  <c r="O49" i="3"/>
  <c r="E467" i="92" s="1"/>
  <c r="Y49" i="3"/>
  <c r="E544" i="92" s="1"/>
  <c r="P50" i="3"/>
  <c r="E475" i="92" s="1"/>
  <c r="AF50" i="3"/>
  <c r="AF50" i="32" s="1"/>
  <c r="AB51" i="3"/>
  <c r="AB51" i="34" s="1"/>
  <c r="Q54" i="3"/>
  <c r="E484" i="92" s="1"/>
  <c r="R65" i="3"/>
  <c r="E710" i="92" s="1"/>
  <c r="T67" i="3"/>
  <c r="E728" i="92" s="1"/>
  <c r="AC67" i="3"/>
  <c r="E808" i="92" s="1"/>
  <c r="P68" i="3"/>
  <c r="E697" i="92" s="1"/>
  <c r="Z68" i="3"/>
  <c r="E785" i="92" s="1"/>
  <c r="Q69" i="3"/>
  <c r="E706" i="92" s="1"/>
  <c r="AD70" i="3"/>
  <c r="AD70" i="34" s="1"/>
  <c r="I19" i="3"/>
  <c r="I161" i="3" s="1"/>
  <c r="U73" i="3"/>
  <c r="E740" i="92" s="1"/>
  <c r="V103" i="3"/>
  <c r="E861" i="92" s="1"/>
  <c r="V105" i="3"/>
  <c r="E863" i="92" s="1"/>
  <c r="X107" i="3"/>
  <c r="E889" i="92" s="1"/>
  <c r="AD108" i="3"/>
  <c r="AD108" i="34" s="1"/>
  <c r="Y111" i="3"/>
  <c r="E899" i="92" s="1"/>
  <c r="C8" i="3"/>
  <c r="R46" i="3"/>
  <c r="E485" i="92" s="1"/>
  <c r="T48" i="3"/>
  <c r="E501" i="92" s="1"/>
  <c r="AC48" i="3"/>
  <c r="E571" i="92" s="1"/>
  <c r="P49" i="3"/>
  <c r="E474" i="92" s="1"/>
  <c r="Z49" i="3"/>
  <c r="E551" i="92" s="1"/>
  <c r="Q50" i="3"/>
  <c r="E482" i="92" s="1"/>
  <c r="AD51" i="3"/>
  <c r="AD51" i="34" s="1"/>
  <c r="U54" i="3"/>
  <c r="E512" i="92" s="1"/>
  <c r="R69" i="3"/>
  <c r="E714" i="92" s="1"/>
  <c r="W103" i="3"/>
  <c r="E877" i="92" s="1"/>
  <c r="W105" i="3"/>
  <c r="E879" i="92" s="1"/>
  <c r="Y107" i="3"/>
  <c r="E897" i="92" s="1"/>
  <c r="Z111" i="3"/>
  <c r="E907" i="92" s="1"/>
  <c r="T46" i="3"/>
  <c r="E499" i="92" s="1"/>
  <c r="Q49" i="3"/>
  <c r="E481" i="92" s="1"/>
  <c r="AB49" i="3"/>
  <c r="E565" i="92" s="1"/>
  <c r="R50" i="3"/>
  <c r="E489" i="92" s="1"/>
  <c r="Y54" i="3"/>
  <c r="E547" i="92" s="1"/>
  <c r="T69" i="3"/>
  <c r="E730" i="92" s="1"/>
  <c r="AE74" i="3"/>
  <c r="E829" i="92" s="1"/>
  <c r="AA103" i="3"/>
  <c r="E909" i="92" s="1"/>
  <c r="AA105" i="3"/>
  <c r="E911" i="92" s="1"/>
  <c r="AD107" i="3"/>
  <c r="E937" i="92" s="1"/>
  <c r="AC111" i="3"/>
  <c r="E931" i="92" s="1"/>
  <c r="X46" i="3"/>
  <c r="E534" i="92" s="1"/>
  <c r="R49" i="3"/>
  <c r="E488" i="92" s="1"/>
  <c r="AD49" i="3"/>
  <c r="E579" i="92" s="1"/>
  <c r="T50" i="3"/>
  <c r="E503" i="92" s="1"/>
  <c r="AC54" i="3"/>
  <c r="E575" i="92" s="1"/>
  <c r="X69" i="3"/>
  <c r="E770" i="92" s="1"/>
  <c r="AB103" i="3"/>
  <c r="E917" i="92" s="1"/>
  <c r="AB105" i="3"/>
  <c r="E919" i="92" s="1"/>
  <c r="Z158" i="3"/>
  <c r="E1225" i="92" s="1"/>
  <c r="AF44" i="3"/>
  <c r="AF44" i="33" s="1"/>
  <c r="Y46" i="3"/>
  <c r="E541" i="92" s="1"/>
  <c r="N48" i="3"/>
  <c r="E459" i="92" s="1"/>
  <c r="W48" i="3"/>
  <c r="E529" i="92" s="1"/>
  <c r="AF48" i="3"/>
  <c r="AF48" i="32" s="1"/>
  <c r="T49" i="3"/>
  <c r="E502" i="92" s="1"/>
  <c r="AE49" i="3"/>
  <c r="E586" i="92" s="1"/>
  <c r="X50" i="3"/>
  <c r="E538" i="92" s="1"/>
  <c r="R51" i="3"/>
  <c r="R51" i="34" s="1"/>
  <c r="Z65" i="3"/>
  <c r="E782" i="92" s="1"/>
  <c r="V68" i="3"/>
  <c r="E745" i="92" s="1"/>
  <c r="AF68" i="3"/>
  <c r="AF68" i="32" s="1"/>
  <c r="Y69" i="3"/>
  <c r="E778" i="92" s="1"/>
  <c r="AC103" i="3"/>
  <c r="E925" i="92" s="1"/>
  <c r="AC105" i="3"/>
  <c r="E927" i="92" s="1"/>
  <c r="S111" i="3"/>
  <c r="E843" i="92" s="1"/>
  <c r="AA158" i="3"/>
  <c r="E1226" i="92" s="1"/>
  <c r="P7" i="87"/>
  <c r="E1301" i="92"/>
  <c r="E1248" i="92"/>
  <c r="E1232" i="92"/>
  <c r="E1291" i="92"/>
  <c r="E1310" i="92"/>
  <c r="E1292" i="92"/>
  <c r="E1298" i="92"/>
  <c r="E1263" i="92"/>
  <c r="E1253" i="92"/>
  <c r="E1276" i="92"/>
  <c r="E1325" i="92"/>
  <c r="E5" i="8"/>
  <c r="A1297" i="92"/>
  <c r="A1265" i="92"/>
  <c r="A1233" i="92"/>
  <c r="E1290" i="92"/>
  <c r="F16" i="32"/>
  <c r="W82" i="32"/>
  <c r="W25" i="35"/>
  <c r="E1252" i="92"/>
  <c r="E1321" i="92"/>
  <c r="E1297" i="92"/>
  <c r="E1240" i="92"/>
  <c r="H7" i="87"/>
  <c r="V7" i="87"/>
  <c r="AB150" i="3"/>
  <c r="E1196" i="92" s="1"/>
  <c r="G7" i="87"/>
  <c r="G3" i="87" s="1"/>
  <c r="G2" i="87" s="1"/>
  <c r="O7" i="87"/>
  <c r="W7" i="87"/>
  <c r="R141" i="3"/>
  <c r="E1101" i="92" s="1"/>
  <c r="AF141" i="3"/>
  <c r="AF141" i="32" s="1"/>
  <c r="V142" i="3"/>
  <c r="E1134" i="92" s="1"/>
  <c r="R144" i="3"/>
  <c r="E1104" i="92" s="1"/>
  <c r="AC144" i="3"/>
  <c r="E1200" i="92" s="1"/>
  <c r="P145" i="3"/>
  <c r="P145" i="34" s="1"/>
  <c r="Z145" i="3"/>
  <c r="E1177" i="92" s="1"/>
  <c r="P146" i="3"/>
  <c r="P146" i="34" s="1"/>
  <c r="AB146" i="3"/>
  <c r="E1194" i="92" s="1"/>
  <c r="R149" i="3"/>
  <c r="E1107" i="92" s="1"/>
  <c r="M150" i="3"/>
  <c r="U150" i="3"/>
  <c r="E1132" i="92" s="1"/>
  <c r="AC150" i="3"/>
  <c r="E1204" i="92" s="1"/>
  <c r="T141" i="3"/>
  <c r="E1117" i="92" s="1"/>
  <c r="X142" i="3"/>
  <c r="E1158" i="92" s="1"/>
  <c r="V143" i="3"/>
  <c r="E1135" i="92" s="1"/>
  <c r="T144" i="3"/>
  <c r="E1120" i="92" s="1"/>
  <c r="AD144" i="3"/>
  <c r="E1208" i="92" s="1"/>
  <c r="Q145" i="3"/>
  <c r="E1097" i="92" s="1"/>
  <c r="AB145" i="3"/>
  <c r="E1193" i="92" s="1"/>
  <c r="Q146" i="3"/>
  <c r="Q146" i="34" s="1"/>
  <c r="AD146" i="3"/>
  <c r="AD146" i="32" s="1"/>
  <c r="U149" i="3"/>
  <c r="E1131" i="92" s="1"/>
  <c r="N150" i="3"/>
  <c r="E1076" i="92" s="1"/>
  <c r="V150" i="3"/>
  <c r="I7" i="87"/>
  <c r="Q7" i="87"/>
  <c r="V141" i="3"/>
  <c r="Y142" i="3"/>
  <c r="E1166" i="92" s="1"/>
  <c r="Y144" i="3"/>
  <c r="E1168" i="92" s="1"/>
  <c r="U144" i="3"/>
  <c r="E1128" i="92" s="1"/>
  <c r="AE144" i="3"/>
  <c r="E1216" i="92" s="1"/>
  <c r="R145" i="3"/>
  <c r="E1105" i="92" s="1"/>
  <c r="AD145" i="3"/>
  <c r="E1209" i="92" s="1"/>
  <c r="R146" i="3"/>
  <c r="E1106" i="92" s="1"/>
  <c r="AF146" i="3"/>
  <c r="AF146" i="32" s="1"/>
  <c r="W149" i="3"/>
  <c r="E1155" i="92" s="1"/>
  <c r="O150" i="3"/>
  <c r="E1084" i="92" s="1"/>
  <c r="W150" i="3"/>
  <c r="AE150" i="3"/>
  <c r="E1220" i="92" s="1"/>
  <c r="J7" i="87"/>
  <c r="R7" i="87"/>
  <c r="X141" i="3"/>
  <c r="E1157" i="92" s="1"/>
  <c r="N142" i="3"/>
  <c r="E1070" i="92" s="1"/>
  <c r="Z142" i="3"/>
  <c r="E1174" i="92" s="1"/>
  <c r="V144" i="3"/>
  <c r="E1136" i="92" s="1"/>
  <c r="AF144" i="3"/>
  <c r="AF144" i="32" s="1"/>
  <c r="T145" i="3"/>
  <c r="E1121" i="92" s="1"/>
  <c r="AE145" i="3"/>
  <c r="E1217" i="92" s="1"/>
  <c r="T146" i="3"/>
  <c r="E1122" i="92" s="1"/>
  <c r="Z149" i="3"/>
  <c r="E1179" i="92" s="1"/>
  <c r="P150" i="3"/>
  <c r="E1092" i="92" s="1"/>
  <c r="X150" i="3"/>
  <c r="E1164" i="92" s="1"/>
  <c r="K7" i="87"/>
  <c r="S7" i="87"/>
  <c r="Y141" i="3"/>
  <c r="E1165" i="92" s="1"/>
  <c r="P142" i="3"/>
  <c r="E1086" i="92" s="1"/>
  <c r="AB142" i="3"/>
  <c r="E1190" i="92" s="1"/>
  <c r="M144" i="3"/>
  <c r="E1064" i="92" s="1"/>
  <c r="W144" i="3"/>
  <c r="E1152" i="92" s="1"/>
  <c r="V145" i="3"/>
  <c r="V145" i="32" s="1"/>
  <c r="AF145" i="3"/>
  <c r="AF145" i="32" s="1"/>
  <c r="V146" i="3"/>
  <c r="V146" i="32" s="1"/>
  <c r="Y149" i="3"/>
  <c r="E1171" i="92" s="1"/>
  <c r="AC149" i="3"/>
  <c r="E1203" i="92" s="1"/>
  <c r="Q150" i="3"/>
  <c r="Y150" i="3"/>
  <c r="E1172" i="92" s="1"/>
  <c r="D7" i="87"/>
  <c r="D3" i="87" s="1"/>
  <c r="D2" i="87" s="1"/>
  <c r="L7" i="87"/>
  <c r="T7" i="87"/>
  <c r="N141" i="3"/>
  <c r="E1069" i="92" s="1"/>
  <c r="Z141" i="3"/>
  <c r="E1173" i="92" s="1"/>
  <c r="Q142" i="3"/>
  <c r="E1094" i="92" s="1"/>
  <c r="AD142" i="3"/>
  <c r="E1206" i="92" s="1"/>
  <c r="N144" i="3"/>
  <c r="X144" i="3"/>
  <c r="E1160" i="92" s="1"/>
  <c r="W145" i="3"/>
  <c r="E1153" i="92" s="1"/>
  <c r="X146" i="3"/>
  <c r="X146" i="34" s="1"/>
  <c r="AE149" i="3"/>
  <c r="E1219" i="92" s="1"/>
  <c r="R150" i="3"/>
  <c r="E1108" i="92" s="1"/>
  <c r="Z150" i="3"/>
  <c r="E1180" i="92" s="1"/>
  <c r="E7" i="87"/>
  <c r="E3" i="87" s="1"/>
  <c r="E2" i="87" s="1"/>
  <c r="M7" i="87"/>
  <c r="U7" i="87"/>
  <c r="P141" i="3"/>
  <c r="E1085" i="92" s="1"/>
  <c r="AB141" i="3"/>
  <c r="E1189" i="92" s="1"/>
  <c r="R142" i="3"/>
  <c r="E1102" i="92" s="1"/>
  <c r="AF142" i="3"/>
  <c r="AF142" i="32" s="1"/>
  <c r="O144" i="3"/>
  <c r="E1080" i="92" s="1"/>
  <c r="Z144" i="3"/>
  <c r="E1176" i="92" s="1"/>
  <c r="N145" i="3"/>
  <c r="X145" i="3"/>
  <c r="E1161" i="92" s="1"/>
  <c r="Y146" i="3"/>
  <c r="Y146" i="34" s="1"/>
  <c r="M149" i="3"/>
  <c r="M149" i="34" s="1"/>
  <c r="S150" i="3"/>
  <c r="E1116" i="92" s="1"/>
  <c r="AA150" i="3"/>
  <c r="E1188" i="92" s="1"/>
  <c r="F7" i="87"/>
  <c r="F3" i="87" s="1"/>
  <c r="F2" i="87" s="1"/>
  <c r="N7" i="87"/>
  <c r="Q141" i="3"/>
  <c r="E1093" i="92" s="1"/>
  <c r="AD141" i="3"/>
  <c r="AD141" i="34" s="1"/>
  <c r="T142" i="3"/>
  <c r="E1118" i="92" s="1"/>
  <c r="P144" i="3"/>
  <c r="E1088" i="92" s="1"/>
  <c r="AB144" i="3"/>
  <c r="E1192" i="92" s="1"/>
  <c r="O145" i="3"/>
  <c r="E1081" i="92" s="1"/>
  <c r="Y145" i="3"/>
  <c r="E1169" i="92" s="1"/>
  <c r="N146" i="3"/>
  <c r="Z146" i="3"/>
  <c r="E1178" i="92" s="1"/>
  <c r="O149" i="3"/>
  <c r="E1083" i="92" s="1"/>
  <c r="T150" i="3"/>
  <c r="E1124" i="92" s="1"/>
  <c r="A238" i="92"/>
  <c r="A294" i="92"/>
  <c r="H14" i="58"/>
  <c r="H18" i="58" s="1"/>
  <c r="H20" i="58" s="1"/>
  <c r="P14" i="58"/>
  <c r="P18" i="58" s="1"/>
  <c r="A354" i="92"/>
  <c r="A352" i="92"/>
  <c r="A355" i="92"/>
  <c r="A358" i="92"/>
  <c r="A353" i="92"/>
  <c r="X14" i="58"/>
  <c r="X18" i="58" s="1"/>
  <c r="A233" i="92"/>
  <c r="A289" i="92"/>
  <c r="A345" i="92"/>
  <c r="A348" i="92"/>
  <c r="A236" i="92"/>
  <c r="A292" i="92"/>
  <c r="A239" i="92"/>
  <c r="A295" i="92"/>
  <c r="A351" i="92"/>
  <c r="A234" i="92"/>
  <c r="A290" i="92"/>
  <c r="A346" i="92"/>
  <c r="G14" i="58"/>
  <c r="G18" i="58" s="1"/>
  <c r="G147" i="58" s="1"/>
  <c r="O14" i="58"/>
  <c r="O18" i="58" s="1"/>
  <c r="W14" i="58"/>
  <c r="W18" i="58" s="1"/>
  <c r="A237" i="92"/>
  <c r="A293" i="92"/>
  <c r="A349" i="92"/>
  <c r="E205" i="92"/>
  <c r="E261" i="92"/>
  <c r="E317" i="92"/>
  <c r="E373" i="92"/>
  <c r="D10" i="10"/>
  <c r="E16" i="92" s="1"/>
  <c r="I15" i="10"/>
  <c r="E56" i="92" s="1"/>
  <c r="Y112" i="10"/>
  <c r="AG112" i="10"/>
  <c r="J78" i="10"/>
  <c r="K8" i="3"/>
  <c r="D33" i="3"/>
  <c r="D14" i="3" s="1"/>
  <c r="AC43" i="33"/>
  <c r="AC43" i="34"/>
  <c r="E10" i="10"/>
  <c r="E23" i="92" s="1"/>
  <c r="S11" i="10"/>
  <c r="E122" i="92" s="1"/>
  <c r="AD11" i="10"/>
  <c r="AD16" i="10" s="1"/>
  <c r="H33" i="10"/>
  <c r="H11" i="10" s="1"/>
  <c r="E45" i="92" s="1"/>
  <c r="R33" i="10"/>
  <c r="R11" i="10" s="1"/>
  <c r="E115" i="92" s="1"/>
  <c r="X33" i="10"/>
  <c r="X11" i="10" s="1"/>
  <c r="E157" i="92" s="1"/>
  <c r="R112" i="10"/>
  <c r="AE119" i="33"/>
  <c r="AE43" i="33"/>
  <c r="C25" i="33"/>
  <c r="C25" i="35"/>
  <c r="C25" i="34"/>
  <c r="C25" i="32"/>
  <c r="C25" i="31"/>
  <c r="K25" i="33"/>
  <c r="K25" i="35"/>
  <c r="K25" i="34"/>
  <c r="K25" i="32"/>
  <c r="K25" i="31"/>
  <c r="S25" i="33"/>
  <c r="S25" i="35"/>
  <c r="S25" i="34"/>
  <c r="S25" i="31"/>
  <c r="S25" i="32"/>
  <c r="AA25" i="3"/>
  <c r="AA25" i="31" s="1"/>
  <c r="I33" i="3"/>
  <c r="I14" i="3" s="1"/>
  <c r="L19" i="3"/>
  <c r="L77" i="3"/>
  <c r="A98" i="92"/>
  <c r="E50" i="10"/>
  <c r="G50" i="10"/>
  <c r="O50" i="10"/>
  <c r="AA112" i="10"/>
  <c r="C78" i="10"/>
  <c r="D46" i="34" s="1"/>
  <c r="I78" i="10"/>
  <c r="J46" i="34" s="1"/>
  <c r="AB101" i="10"/>
  <c r="W101" i="10"/>
  <c r="F19" i="3"/>
  <c r="H33" i="3"/>
  <c r="H14" i="3" s="1"/>
  <c r="P16" i="10"/>
  <c r="P21" i="10" s="1"/>
  <c r="AD28" i="10"/>
  <c r="H28" i="10"/>
  <c r="R28" i="10"/>
  <c r="M28" i="10"/>
  <c r="Y28" i="10"/>
  <c r="J33" i="10"/>
  <c r="J11" i="10" s="1"/>
  <c r="E59" i="92" s="1"/>
  <c r="L33" i="3"/>
  <c r="L14" i="3" s="1"/>
  <c r="L58" i="3"/>
  <c r="I63" i="34"/>
  <c r="I63" i="35"/>
  <c r="I63" i="33"/>
  <c r="I63" i="32"/>
  <c r="I63" i="31"/>
  <c r="Q63" i="34"/>
  <c r="Q63" i="35"/>
  <c r="Q63" i="33"/>
  <c r="Q63" i="32"/>
  <c r="Q63" i="31"/>
  <c r="Y63" i="34"/>
  <c r="Y63" i="33"/>
  <c r="Y63" i="35"/>
  <c r="Y63" i="31"/>
  <c r="C19" i="3"/>
  <c r="C161" i="3" s="1"/>
  <c r="K19" i="3"/>
  <c r="K161" i="3" s="1"/>
  <c r="J120" i="34"/>
  <c r="J120" i="33"/>
  <c r="J120" i="35"/>
  <c r="J120" i="32"/>
  <c r="J120" i="31"/>
  <c r="A96" i="92"/>
  <c r="K10" i="10"/>
  <c r="E65" i="92" s="1"/>
  <c r="Y10" i="10"/>
  <c r="E163" i="92" s="1"/>
  <c r="I28" i="10"/>
  <c r="U28" i="10"/>
  <c r="AC28" i="10"/>
  <c r="G10" i="10"/>
  <c r="H65" i="32" s="1"/>
  <c r="H27" i="32" s="1"/>
  <c r="I33" i="10"/>
  <c r="I11" i="10" s="1"/>
  <c r="E52" i="92" s="1"/>
  <c r="AC33" i="10"/>
  <c r="AC11" i="10" s="1"/>
  <c r="E192" i="92" s="1"/>
  <c r="AC112" i="10"/>
  <c r="E78" i="10"/>
  <c r="F46" i="34" s="1"/>
  <c r="S83" i="10"/>
  <c r="S101" i="10" s="1"/>
  <c r="G83" i="10"/>
  <c r="H66" i="34" s="1"/>
  <c r="H28" i="34" s="1"/>
  <c r="C83" i="10"/>
  <c r="E8" i="3"/>
  <c r="L39" i="3"/>
  <c r="AC120" i="32"/>
  <c r="AC6" i="31"/>
  <c r="AC156" i="31" s="1"/>
  <c r="AC25" i="32"/>
  <c r="AC63" i="3"/>
  <c r="AC63" i="33" s="1"/>
  <c r="AC44" i="3"/>
  <c r="AC44" i="35" s="1"/>
  <c r="AC25" i="3"/>
  <c r="AC25" i="33" s="1"/>
  <c r="AD24" i="34"/>
  <c r="AD24" i="33"/>
  <c r="AD24" i="35"/>
  <c r="G25" i="34"/>
  <c r="G25" i="33"/>
  <c r="G25" i="35"/>
  <c r="G25" i="32"/>
  <c r="G25" i="31"/>
  <c r="O25" i="34"/>
  <c r="O25" i="33"/>
  <c r="O25" i="32"/>
  <c r="O25" i="31"/>
  <c r="O25" i="35"/>
  <c r="W25" i="34"/>
  <c r="W25" i="33"/>
  <c r="W25" i="31"/>
  <c r="U44" i="34"/>
  <c r="U44" i="35"/>
  <c r="U139" i="3"/>
  <c r="U44" i="31"/>
  <c r="U44" i="33"/>
  <c r="U44" i="32"/>
  <c r="U82" i="3"/>
  <c r="E19" i="3"/>
  <c r="E161" i="3" s="1"/>
  <c r="D77" i="3"/>
  <c r="Q6" i="10"/>
  <c r="AE24" i="33"/>
  <c r="H25" i="34"/>
  <c r="H25" i="33"/>
  <c r="H25" i="35"/>
  <c r="H25" i="32"/>
  <c r="H25" i="31"/>
  <c r="P25" i="34"/>
  <c r="P25" i="33"/>
  <c r="P25" i="35"/>
  <c r="P25" i="32"/>
  <c r="P25" i="31"/>
  <c r="X25" i="34"/>
  <c r="X25" i="33"/>
  <c r="X25" i="31"/>
  <c r="J33" i="3"/>
  <c r="J14" i="3" s="1"/>
  <c r="D19" i="3"/>
  <c r="AA43" i="33"/>
  <c r="F58" i="3"/>
  <c r="F77" i="3"/>
  <c r="M120" i="33"/>
  <c r="M120" i="35"/>
  <c r="M120" i="32"/>
  <c r="M120" i="34"/>
  <c r="M120" i="31"/>
  <c r="P25" i="10"/>
  <c r="A94" i="92"/>
  <c r="A97" i="92"/>
  <c r="C10" i="10"/>
  <c r="E9" i="92" s="1"/>
  <c r="B10" i="10"/>
  <c r="E2" i="92" s="1"/>
  <c r="J10" i="10"/>
  <c r="E58" i="92" s="1"/>
  <c r="O28" i="10"/>
  <c r="AA10" i="10"/>
  <c r="N101" i="10"/>
  <c r="I25" i="34"/>
  <c r="I25" i="33"/>
  <c r="I25" i="35"/>
  <c r="I25" i="32"/>
  <c r="I25" i="31"/>
  <c r="Q25" i="34"/>
  <c r="Q25" i="33"/>
  <c r="Q25" i="35"/>
  <c r="Q25" i="32"/>
  <c r="Q25" i="31"/>
  <c r="Y25" i="34"/>
  <c r="Y25" i="33"/>
  <c r="Y25" i="35"/>
  <c r="Y25" i="31"/>
  <c r="G8" i="3"/>
  <c r="G33" i="3"/>
  <c r="G14" i="3" s="1"/>
  <c r="W44" i="33"/>
  <c r="W44" i="34"/>
  <c r="D58" i="3"/>
  <c r="AA62" i="33"/>
  <c r="E63" i="34"/>
  <c r="E63" i="35"/>
  <c r="E63" i="33"/>
  <c r="E63" i="31"/>
  <c r="E63" i="32"/>
  <c r="M63" i="34"/>
  <c r="M63" i="35"/>
  <c r="M63" i="33"/>
  <c r="M63" i="31"/>
  <c r="M63" i="32"/>
  <c r="U63" i="34"/>
  <c r="U63" i="35"/>
  <c r="U63" i="33"/>
  <c r="U63" i="31"/>
  <c r="U63" i="32"/>
  <c r="H39" i="3"/>
  <c r="N120" i="35"/>
  <c r="N120" i="32"/>
  <c r="N120" i="34"/>
  <c r="N120" i="33"/>
  <c r="N120" i="31"/>
  <c r="AB25" i="32"/>
  <c r="AB6" i="32"/>
  <c r="AB156" i="32" s="1"/>
  <c r="J25" i="34"/>
  <c r="J25" i="33"/>
  <c r="J25" i="35"/>
  <c r="J25" i="32"/>
  <c r="J25" i="31"/>
  <c r="R25" i="34"/>
  <c r="R25" i="33"/>
  <c r="R25" i="35"/>
  <c r="R25" i="32"/>
  <c r="R25" i="31"/>
  <c r="Z25" i="34"/>
  <c r="Z25" i="33"/>
  <c r="Z25" i="35"/>
  <c r="Z25" i="31"/>
  <c r="V44" i="33"/>
  <c r="V44" i="34"/>
  <c r="V44" i="31"/>
  <c r="V44" i="35"/>
  <c r="S46" i="3"/>
  <c r="E492" i="92" s="1"/>
  <c r="AA46" i="3"/>
  <c r="E555" i="92" s="1"/>
  <c r="M47" i="3"/>
  <c r="E451" i="92" s="1"/>
  <c r="U47" i="3"/>
  <c r="E507" i="92" s="1"/>
  <c r="AC47" i="3"/>
  <c r="E570" i="92" s="1"/>
  <c r="S50" i="3"/>
  <c r="E496" i="92" s="1"/>
  <c r="AA50" i="3"/>
  <c r="E559" i="92" s="1"/>
  <c r="M51" i="3"/>
  <c r="U51" i="3"/>
  <c r="U51" i="32" s="1"/>
  <c r="AC51" i="3"/>
  <c r="AC51" i="34" s="1"/>
  <c r="T54" i="3"/>
  <c r="E505" i="92" s="1"/>
  <c r="AB54" i="3"/>
  <c r="E568" i="92" s="1"/>
  <c r="D63" i="35"/>
  <c r="D63" i="33"/>
  <c r="D63" i="34"/>
  <c r="D63" i="32"/>
  <c r="D63" i="31"/>
  <c r="L63" i="35"/>
  <c r="L63" i="33"/>
  <c r="L63" i="34"/>
  <c r="L63" i="32"/>
  <c r="L63" i="31"/>
  <c r="T63" i="35"/>
  <c r="T63" i="33"/>
  <c r="T63" i="34"/>
  <c r="T63" i="32"/>
  <c r="T63" i="31"/>
  <c r="S65" i="3"/>
  <c r="E718" i="92" s="1"/>
  <c r="AA65" i="3"/>
  <c r="E790" i="92" s="1"/>
  <c r="M66" i="3"/>
  <c r="U66" i="3"/>
  <c r="E735" i="92" s="1"/>
  <c r="AC66" i="3"/>
  <c r="E807" i="92" s="1"/>
  <c r="S69" i="3"/>
  <c r="E722" i="92" s="1"/>
  <c r="AA69" i="3"/>
  <c r="E794" i="92" s="1"/>
  <c r="M70" i="3"/>
  <c r="M70" i="34" s="1"/>
  <c r="U70" i="3"/>
  <c r="AC70" i="3"/>
  <c r="AC70" i="34" s="1"/>
  <c r="T73" i="3"/>
  <c r="E732" i="92" s="1"/>
  <c r="AB73" i="3"/>
  <c r="E804" i="92" s="1"/>
  <c r="AD74" i="3"/>
  <c r="F82" i="33"/>
  <c r="F82" i="35"/>
  <c r="F82" i="34"/>
  <c r="F82" i="31"/>
  <c r="F82" i="32"/>
  <c r="N82" i="33"/>
  <c r="N82" i="35"/>
  <c r="N82" i="34"/>
  <c r="N82" i="31"/>
  <c r="N82" i="32"/>
  <c r="V82" i="33"/>
  <c r="V82" i="35"/>
  <c r="V82" i="34"/>
  <c r="V82" i="31"/>
  <c r="V82" i="32"/>
  <c r="AD100" i="34"/>
  <c r="AD100" i="35"/>
  <c r="AD100" i="33"/>
  <c r="H101" i="33"/>
  <c r="H101" i="34"/>
  <c r="H101" i="35"/>
  <c r="H101" i="31"/>
  <c r="H101" i="32"/>
  <c r="P101" i="33"/>
  <c r="P101" i="34"/>
  <c r="P101" i="35"/>
  <c r="P101" i="31"/>
  <c r="P101" i="32"/>
  <c r="AB108" i="3"/>
  <c r="AB108" i="34" s="1"/>
  <c r="AF112" i="3"/>
  <c r="AF112" i="32" s="1"/>
  <c r="AD112" i="3"/>
  <c r="E940" i="92" s="1"/>
  <c r="AB112" i="3"/>
  <c r="E924" i="92" s="1"/>
  <c r="V120" i="35"/>
  <c r="V120" i="32"/>
  <c r="V120" i="34"/>
  <c r="V120" i="33"/>
  <c r="F139" i="34"/>
  <c r="F139" i="35"/>
  <c r="F139" i="33"/>
  <c r="F139" i="31"/>
  <c r="F139" i="32"/>
  <c r="N139" i="34"/>
  <c r="N139" i="35"/>
  <c r="N139" i="31"/>
  <c r="N139" i="32"/>
  <c r="N139" i="33"/>
  <c r="H77" i="3"/>
  <c r="G82" i="33"/>
  <c r="G82" i="35"/>
  <c r="G82" i="34"/>
  <c r="G82" i="31"/>
  <c r="O82" i="33"/>
  <c r="O82" i="35"/>
  <c r="O82" i="34"/>
  <c r="O82" i="31"/>
  <c r="I101" i="34"/>
  <c r="I101" i="33"/>
  <c r="I101" i="35"/>
  <c r="I120" i="3"/>
  <c r="I101" i="31"/>
  <c r="Q101" i="34"/>
  <c r="Q101" i="32"/>
  <c r="Q101" i="33"/>
  <c r="Q101" i="35"/>
  <c r="Q120" i="3"/>
  <c r="Q101" i="31"/>
  <c r="Y101" i="35"/>
  <c r="Y101" i="34"/>
  <c r="Y101" i="33"/>
  <c r="Y101" i="31"/>
  <c r="AD119" i="34"/>
  <c r="AD119" i="33"/>
  <c r="AD119" i="35"/>
  <c r="L120" i="33"/>
  <c r="L120" i="35"/>
  <c r="L120" i="32"/>
  <c r="L120" i="31"/>
  <c r="L120" i="34"/>
  <c r="X139" i="33"/>
  <c r="X139" i="32"/>
  <c r="X139" i="31"/>
  <c r="Y143" i="3"/>
  <c r="E1167" i="92" s="1"/>
  <c r="Q143" i="3"/>
  <c r="E1095" i="92" s="1"/>
  <c r="AF143" i="3"/>
  <c r="AF143" i="32" s="1"/>
  <c r="X143" i="3"/>
  <c r="E1159" i="92" s="1"/>
  <c r="P143" i="3"/>
  <c r="E1087" i="92" s="1"/>
  <c r="AE143" i="3"/>
  <c r="E1215" i="92" s="1"/>
  <c r="W143" i="3"/>
  <c r="E1151" i="92" s="1"/>
  <c r="O143" i="3"/>
  <c r="E1079" i="92" s="1"/>
  <c r="AC143" i="3"/>
  <c r="E1199" i="92" s="1"/>
  <c r="U143" i="3"/>
  <c r="E1127" i="92" s="1"/>
  <c r="M143" i="3"/>
  <c r="M143" i="32" s="1"/>
  <c r="AB143" i="3"/>
  <c r="E1191" i="92" s="1"/>
  <c r="T143" i="3"/>
  <c r="E1119" i="92" s="1"/>
  <c r="Z143" i="3"/>
  <c r="E1175" i="92" s="1"/>
  <c r="R143" i="3"/>
  <c r="E1103" i="92" s="1"/>
  <c r="K83" i="10"/>
  <c r="AA24" i="33"/>
  <c r="D25" i="33"/>
  <c r="D25" i="35"/>
  <c r="D25" i="34"/>
  <c r="D25" i="32"/>
  <c r="D25" i="31"/>
  <c r="L25" i="33"/>
  <c r="L25" i="35"/>
  <c r="L25" i="34"/>
  <c r="L25" i="32"/>
  <c r="L25" i="31"/>
  <c r="T25" i="33"/>
  <c r="T25" i="35"/>
  <c r="T25" i="34"/>
  <c r="T25" i="32"/>
  <c r="T25" i="31"/>
  <c r="AD43" i="33"/>
  <c r="AD43" i="35"/>
  <c r="AD43" i="34"/>
  <c r="X44" i="33"/>
  <c r="X44" i="34"/>
  <c r="M46" i="3"/>
  <c r="E450" i="92" s="1"/>
  <c r="U46" i="3"/>
  <c r="E506" i="92" s="1"/>
  <c r="AC46" i="3"/>
  <c r="E569" i="92" s="1"/>
  <c r="O47" i="3"/>
  <c r="E465" i="92" s="1"/>
  <c r="W47" i="3"/>
  <c r="E528" i="92" s="1"/>
  <c r="AE47" i="3"/>
  <c r="E584" i="92" s="1"/>
  <c r="S49" i="3"/>
  <c r="E495" i="92" s="1"/>
  <c r="AA49" i="3"/>
  <c r="E558" i="92" s="1"/>
  <c r="M50" i="3"/>
  <c r="E454" i="92" s="1"/>
  <c r="U50" i="3"/>
  <c r="E510" i="92" s="1"/>
  <c r="AC50" i="3"/>
  <c r="E573" i="92" s="1"/>
  <c r="O51" i="3"/>
  <c r="O51" i="34" s="1"/>
  <c r="W51" i="3"/>
  <c r="W51" i="34" s="1"/>
  <c r="AE51" i="3"/>
  <c r="AE51" i="32" s="1"/>
  <c r="N54" i="3"/>
  <c r="E463" i="92" s="1"/>
  <c r="V54" i="3"/>
  <c r="E519" i="92" s="1"/>
  <c r="AD54" i="3"/>
  <c r="E582" i="92" s="1"/>
  <c r="F63" i="34"/>
  <c r="F63" i="33"/>
  <c r="F63" i="35"/>
  <c r="F63" i="31"/>
  <c r="N63" i="34"/>
  <c r="N63" i="35"/>
  <c r="N63" i="31"/>
  <c r="N63" i="33"/>
  <c r="V63" i="34"/>
  <c r="V63" i="31"/>
  <c r="V63" i="35"/>
  <c r="M65" i="3"/>
  <c r="U65" i="3"/>
  <c r="E734" i="92" s="1"/>
  <c r="AC65" i="3"/>
  <c r="E806" i="92" s="1"/>
  <c r="O66" i="3"/>
  <c r="W66" i="3"/>
  <c r="E759" i="92" s="1"/>
  <c r="AE66" i="3"/>
  <c r="E823" i="92" s="1"/>
  <c r="S68" i="3"/>
  <c r="E721" i="92" s="1"/>
  <c r="AA68" i="3"/>
  <c r="E793" i="92" s="1"/>
  <c r="M69" i="3"/>
  <c r="M69" i="32" s="1"/>
  <c r="U69" i="3"/>
  <c r="E738" i="92" s="1"/>
  <c r="AC69" i="3"/>
  <c r="E810" i="92" s="1"/>
  <c r="O70" i="3"/>
  <c r="O70" i="32" s="1"/>
  <c r="W70" i="3"/>
  <c r="W70" i="32" s="1"/>
  <c r="AE70" i="3"/>
  <c r="AE70" i="32" s="1"/>
  <c r="N73" i="3"/>
  <c r="N73" i="34" s="1"/>
  <c r="V73" i="3"/>
  <c r="E748" i="92" s="1"/>
  <c r="AD73" i="3"/>
  <c r="E820" i="92" s="1"/>
  <c r="AF74" i="3"/>
  <c r="H82" i="33"/>
  <c r="H82" i="35"/>
  <c r="H82" i="34"/>
  <c r="H82" i="31"/>
  <c r="H82" i="32"/>
  <c r="P82" i="33"/>
  <c r="P82" i="35"/>
  <c r="P82" i="34"/>
  <c r="P82" i="31"/>
  <c r="P82" i="32"/>
  <c r="J101" i="34"/>
  <c r="J101" i="32"/>
  <c r="J101" i="35"/>
  <c r="J101" i="33"/>
  <c r="R101" i="34"/>
  <c r="R101" i="32"/>
  <c r="R101" i="35"/>
  <c r="Z101" i="34"/>
  <c r="Z101" i="35"/>
  <c r="Z101" i="33"/>
  <c r="X103" i="3"/>
  <c r="E885" i="92" s="1"/>
  <c r="AF103" i="3"/>
  <c r="AF103" i="32" s="1"/>
  <c r="X104" i="3"/>
  <c r="E886" i="92" s="1"/>
  <c r="AF104" i="3"/>
  <c r="AF104" i="32" s="1"/>
  <c r="X105" i="3"/>
  <c r="E887" i="92" s="1"/>
  <c r="AF105" i="3"/>
  <c r="AF105" i="32" s="1"/>
  <c r="X106" i="3"/>
  <c r="E888" i="92" s="1"/>
  <c r="AE107" i="3"/>
  <c r="E945" i="92" s="1"/>
  <c r="W107" i="3"/>
  <c r="E881" i="92" s="1"/>
  <c r="AC107" i="3"/>
  <c r="E929" i="92" s="1"/>
  <c r="Z107" i="3"/>
  <c r="E905" i="92" s="1"/>
  <c r="T108" i="3"/>
  <c r="T108" i="32" s="1"/>
  <c r="AF108" i="3"/>
  <c r="AF108" i="32" s="1"/>
  <c r="AA112" i="3"/>
  <c r="E916" i="92" s="1"/>
  <c r="AD138" i="34"/>
  <c r="AD138" i="35"/>
  <c r="H139" i="35"/>
  <c r="H139" i="33"/>
  <c r="H139" i="32"/>
  <c r="H139" i="34"/>
  <c r="H139" i="31"/>
  <c r="P139" i="35"/>
  <c r="P139" i="33"/>
  <c r="P139" i="32"/>
  <c r="P139" i="34"/>
  <c r="P139" i="31"/>
  <c r="Y139" i="33"/>
  <c r="Y139" i="32"/>
  <c r="Y139" i="31"/>
  <c r="Z101" i="31"/>
  <c r="V44" i="32"/>
  <c r="R101" i="33"/>
  <c r="H94" i="10"/>
  <c r="AB24" i="33"/>
  <c r="E25" i="35"/>
  <c r="E25" i="34"/>
  <c r="E25" i="33"/>
  <c r="E25" i="32"/>
  <c r="E25" i="31"/>
  <c r="M25" i="35"/>
  <c r="M25" i="34"/>
  <c r="M25" i="33"/>
  <c r="M25" i="32"/>
  <c r="M25" i="31"/>
  <c r="U25" i="35"/>
  <c r="U25" i="34"/>
  <c r="U25" i="33"/>
  <c r="U25" i="32"/>
  <c r="U25" i="31"/>
  <c r="AE25" i="3"/>
  <c r="AE25" i="33" s="1"/>
  <c r="Y44" i="33"/>
  <c r="Y44" i="34"/>
  <c r="Y44" i="35"/>
  <c r="Y44" i="31"/>
  <c r="N46" i="3"/>
  <c r="E457" i="92" s="1"/>
  <c r="V46" i="3"/>
  <c r="E513" i="92" s="1"/>
  <c r="AD46" i="3"/>
  <c r="E576" i="92" s="1"/>
  <c r="P47" i="3"/>
  <c r="E472" i="92" s="1"/>
  <c r="X47" i="3"/>
  <c r="E535" i="92" s="1"/>
  <c r="AF47" i="3"/>
  <c r="AF47" i="32" s="1"/>
  <c r="N50" i="3"/>
  <c r="E461" i="92" s="1"/>
  <c r="V50" i="3"/>
  <c r="E517" i="92" s="1"/>
  <c r="AD50" i="3"/>
  <c r="E580" i="92" s="1"/>
  <c r="P51" i="3"/>
  <c r="P51" i="32" s="1"/>
  <c r="X51" i="3"/>
  <c r="X51" i="32" s="1"/>
  <c r="AF51" i="3"/>
  <c r="AF51" i="32" s="1"/>
  <c r="O54" i="3"/>
  <c r="E470" i="92" s="1"/>
  <c r="W54" i="3"/>
  <c r="E533" i="92" s="1"/>
  <c r="AE54" i="3"/>
  <c r="AC62" i="34"/>
  <c r="AC62" i="33"/>
  <c r="G63" i="34"/>
  <c r="G63" i="35"/>
  <c r="G63" i="33"/>
  <c r="G63" i="31"/>
  <c r="G63" i="32"/>
  <c r="O63" i="34"/>
  <c r="O63" i="35"/>
  <c r="O63" i="33"/>
  <c r="O63" i="31"/>
  <c r="O63" i="32"/>
  <c r="W63" i="34"/>
  <c r="W63" i="33"/>
  <c r="N65" i="3"/>
  <c r="E678" i="92" s="1"/>
  <c r="V65" i="3"/>
  <c r="E742" i="92" s="1"/>
  <c r="AD65" i="3"/>
  <c r="E814" i="92" s="1"/>
  <c r="P66" i="3"/>
  <c r="E695" i="92" s="1"/>
  <c r="X66" i="3"/>
  <c r="E767" i="92" s="1"/>
  <c r="AF66" i="3"/>
  <c r="AF66" i="32" s="1"/>
  <c r="N69" i="3"/>
  <c r="E682" i="92" s="1"/>
  <c r="V69" i="3"/>
  <c r="E746" i="92" s="1"/>
  <c r="AD69" i="3"/>
  <c r="E818" i="92" s="1"/>
  <c r="P70" i="3"/>
  <c r="P70" i="34" s="1"/>
  <c r="X70" i="3"/>
  <c r="X70" i="34" s="1"/>
  <c r="AF70" i="3"/>
  <c r="AF70" i="32" s="1"/>
  <c r="O73" i="3"/>
  <c r="O73" i="34" s="1"/>
  <c r="W73" i="3"/>
  <c r="E764" i="92" s="1"/>
  <c r="AE73" i="3"/>
  <c r="E828" i="92" s="1"/>
  <c r="I82" i="33"/>
  <c r="I82" i="35"/>
  <c r="I82" i="34"/>
  <c r="I82" i="31"/>
  <c r="I82" i="32"/>
  <c r="Q82" i="33"/>
  <c r="Q82" i="35"/>
  <c r="Q82" i="34"/>
  <c r="Q82" i="31"/>
  <c r="Q82" i="32"/>
  <c r="C101" i="34"/>
  <c r="C101" i="35"/>
  <c r="C101" i="33"/>
  <c r="C120" i="3"/>
  <c r="C101" i="32"/>
  <c r="C101" i="31"/>
  <c r="K101" i="34"/>
  <c r="K101" i="32"/>
  <c r="K101" i="35"/>
  <c r="K101" i="33"/>
  <c r="K120" i="3"/>
  <c r="K101" i="31"/>
  <c r="S101" i="34"/>
  <c r="S101" i="32"/>
  <c r="S101" i="35"/>
  <c r="S101" i="33"/>
  <c r="S120" i="3"/>
  <c r="S101" i="31"/>
  <c r="Y103" i="3"/>
  <c r="E893" i="92" s="1"/>
  <c r="Y104" i="3"/>
  <c r="E894" i="92" s="1"/>
  <c r="Y105" i="3"/>
  <c r="E895" i="92" s="1"/>
  <c r="Y106" i="3"/>
  <c r="E896" i="92" s="1"/>
  <c r="AA107" i="3"/>
  <c r="E913" i="92" s="1"/>
  <c r="V108" i="3"/>
  <c r="E866" i="92" s="1"/>
  <c r="AC112" i="3"/>
  <c r="E932" i="92" s="1"/>
  <c r="I139" i="33"/>
  <c r="I139" i="32"/>
  <c r="I139" i="35"/>
  <c r="I139" i="34"/>
  <c r="I139" i="31"/>
  <c r="Q139" i="33"/>
  <c r="Q139" i="32"/>
  <c r="Q139" i="35"/>
  <c r="Q139" i="34"/>
  <c r="Q139" i="31"/>
  <c r="Z139" i="33"/>
  <c r="Z139" i="32"/>
  <c r="N143" i="3"/>
  <c r="N143" i="34" s="1"/>
  <c r="B157" i="35"/>
  <c r="B157" i="33"/>
  <c r="B158" i="32"/>
  <c r="B157" i="31"/>
  <c r="B157" i="34"/>
  <c r="V120" i="31"/>
  <c r="G82" i="32"/>
  <c r="I83" i="10"/>
  <c r="J66" i="34" s="1"/>
  <c r="J28" i="34" s="1"/>
  <c r="AC24" i="34"/>
  <c r="AC24" i="33"/>
  <c r="F25" i="34"/>
  <c r="F25" i="35"/>
  <c r="F25" i="32"/>
  <c r="F25" i="31"/>
  <c r="F25" i="33"/>
  <c r="N25" i="34"/>
  <c r="N25" i="35"/>
  <c r="N25" i="33"/>
  <c r="N25" i="32"/>
  <c r="N25" i="31"/>
  <c r="V25" i="34"/>
  <c r="V25" i="35"/>
  <c r="V25" i="33"/>
  <c r="V25" i="32"/>
  <c r="V25" i="31"/>
  <c r="Z44" i="33"/>
  <c r="Z44" i="34"/>
  <c r="Z44" i="35"/>
  <c r="Z44" i="31"/>
  <c r="O46" i="3"/>
  <c r="O46" i="34" s="1"/>
  <c r="W46" i="3"/>
  <c r="Q47" i="3"/>
  <c r="E479" i="92" s="1"/>
  <c r="Y47" i="3"/>
  <c r="E542" i="92" s="1"/>
  <c r="S48" i="3"/>
  <c r="E494" i="92" s="1"/>
  <c r="M49" i="3"/>
  <c r="E453" i="92" s="1"/>
  <c r="U49" i="3"/>
  <c r="E509" i="92" s="1"/>
  <c r="O50" i="3"/>
  <c r="E468" i="92" s="1"/>
  <c r="W50" i="3"/>
  <c r="E531" i="92" s="1"/>
  <c r="Q51" i="3"/>
  <c r="Q51" i="32" s="1"/>
  <c r="Y51" i="3"/>
  <c r="Y51" i="32" s="1"/>
  <c r="P54" i="3"/>
  <c r="E477" i="92" s="1"/>
  <c r="X54" i="3"/>
  <c r="E540" i="92" s="1"/>
  <c r="AF54" i="3"/>
  <c r="AF54" i="32" s="1"/>
  <c r="AD62" i="35"/>
  <c r="AD62" i="33"/>
  <c r="AD62" i="34"/>
  <c r="H63" i="34"/>
  <c r="H63" i="35"/>
  <c r="H63" i="33"/>
  <c r="H63" i="31"/>
  <c r="H63" i="32"/>
  <c r="P63" i="34"/>
  <c r="P63" i="35"/>
  <c r="P63" i="33"/>
  <c r="P63" i="31"/>
  <c r="P63" i="32"/>
  <c r="X63" i="34"/>
  <c r="X63" i="33"/>
  <c r="O65" i="3"/>
  <c r="E686" i="92" s="1"/>
  <c r="W65" i="3"/>
  <c r="Q66" i="3"/>
  <c r="E703" i="92" s="1"/>
  <c r="Y66" i="3"/>
  <c r="E775" i="92" s="1"/>
  <c r="S67" i="3"/>
  <c r="E720" i="92" s="1"/>
  <c r="M68" i="3"/>
  <c r="M68" i="34" s="1"/>
  <c r="U68" i="3"/>
  <c r="E737" i="92" s="1"/>
  <c r="O69" i="3"/>
  <c r="O69" i="34" s="1"/>
  <c r="W69" i="3"/>
  <c r="E762" i="92" s="1"/>
  <c r="Q70" i="3"/>
  <c r="Q70" i="32" s="1"/>
  <c r="Y70" i="3"/>
  <c r="Y70" i="34" s="1"/>
  <c r="P73" i="3"/>
  <c r="P73" i="34" s="1"/>
  <c r="X73" i="3"/>
  <c r="E772" i="92" s="1"/>
  <c r="AF73" i="3"/>
  <c r="AF73" i="32" s="1"/>
  <c r="Z74" i="3"/>
  <c r="E789" i="92" s="1"/>
  <c r="J82" i="35"/>
  <c r="J82" i="34"/>
  <c r="J82" i="33"/>
  <c r="J82" i="31"/>
  <c r="J82" i="32"/>
  <c r="R82" i="35"/>
  <c r="R82" i="34"/>
  <c r="R82" i="33"/>
  <c r="R82" i="31"/>
  <c r="R82" i="32"/>
  <c r="D101" i="34"/>
  <c r="D101" i="35"/>
  <c r="D101" i="33"/>
  <c r="D101" i="32"/>
  <c r="D101" i="31"/>
  <c r="L101" i="34"/>
  <c r="L101" i="32"/>
  <c r="L101" i="35"/>
  <c r="L101" i="33"/>
  <c r="L101" i="31"/>
  <c r="T101" i="34"/>
  <c r="T101" i="32"/>
  <c r="T101" i="35"/>
  <c r="T101" i="33"/>
  <c r="T101" i="31"/>
  <c r="Z106" i="3"/>
  <c r="E904" i="92" s="1"/>
  <c r="S107" i="3"/>
  <c r="E841" i="92" s="1"/>
  <c r="AB107" i="3"/>
  <c r="E921" i="92" s="1"/>
  <c r="X108" i="3"/>
  <c r="X108" i="34" s="1"/>
  <c r="AD111" i="3"/>
  <c r="E939" i="92" s="1"/>
  <c r="V111" i="3"/>
  <c r="E867" i="92" s="1"/>
  <c r="AB111" i="3"/>
  <c r="E923" i="92" s="1"/>
  <c r="T111" i="3"/>
  <c r="E851" i="92" s="1"/>
  <c r="AA111" i="3"/>
  <c r="E915" i="92" s="1"/>
  <c r="AE112" i="3"/>
  <c r="E948" i="92" s="1"/>
  <c r="D120" i="3"/>
  <c r="P120" i="3"/>
  <c r="Z120" i="34"/>
  <c r="Z120" i="33"/>
  <c r="Z120" i="35"/>
  <c r="Z120" i="31"/>
  <c r="J139" i="33"/>
  <c r="J139" i="32"/>
  <c r="J139" i="34"/>
  <c r="J139" i="35"/>
  <c r="R139" i="33"/>
  <c r="R139" i="32"/>
  <c r="R139" i="34"/>
  <c r="R139" i="35"/>
  <c r="S143" i="3"/>
  <c r="E1111" i="92" s="1"/>
  <c r="O82" i="32"/>
  <c r="AA74" i="3"/>
  <c r="E797" i="92" s="1"/>
  <c r="C82" i="35"/>
  <c r="C82" i="34"/>
  <c r="C82" i="31"/>
  <c r="C82" i="33"/>
  <c r="C82" i="32"/>
  <c r="K82" i="35"/>
  <c r="K82" i="34"/>
  <c r="K82" i="31"/>
  <c r="K82" i="33"/>
  <c r="K82" i="32"/>
  <c r="S82" i="35"/>
  <c r="S82" i="34"/>
  <c r="S82" i="33"/>
  <c r="S82" i="31"/>
  <c r="S82" i="32"/>
  <c r="AA100" i="33"/>
  <c r="E101" i="34"/>
  <c r="E101" i="35"/>
  <c r="E101" i="33"/>
  <c r="E101" i="32"/>
  <c r="E101" i="31"/>
  <c r="M101" i="34"/>
  <c r="M101" i="32"/>
  <c r="M101" i="35"/>
  <c r="M101" i="33"/>
  <c r="M101" i="31"/>
  <c r="U101" i="34"/>
  <c r="U101" i="32"/>
  <c r="U101" i="35"/>
  <c r="U101" i="33"/>
  <c r="U101" i="31"/>
  <c r="E120" i="3"/>
  <c r="R120" i="34"/>
  <c r="R120" i="33"/>
  <c r="R120" i="35"/>
  <c r="R120" i="32"/>
  <c r="R120" i="31"/>
  <c r="B158" i="35"/>
  <c r="B158" i="33"/>
  <c r="B159" i="32"/>
  <c r="B158" i="34"/>
  <c r="B158" i="31"/>
  <c r="T44" i="35"/>
  <c r="T44" i="34"/>
  <c r="T44" i="33"/>
  <c r="T44" i="32"/>
  <c r="T44" i="31"/>
  <c r="S47" i="3"/>
  <c r="E493" i="92" s="1"/>
  <c r="S51" i="3"/>
  <c r="S51" i="32" s="1"/>
  <c r="R54" i="3"/>
  <c r="E491" i="92" s="1"/>
  <c r="Z54" i="3"/>
  <c r="E554" i="92" s="1"/>
  <c r="J63" i="35"/>
  <c r="J63" i="33"/>
  <c r="J63" i="34"/>
  <c r="J63" i="32"/>
  <c r="R63" i="35"/>
  <c r="R63" i="33"/>
  <c r="R63" i="34"/>
  <c r="R63" i="32"/>
  <c r="Z63" i="33"/>
  <c r="Z63" i="35"/>
  <c r="Z63" i="34"/>
  <c r="Z63" i="31"/>
  <c r="S66" i="3"/>
  <c r="E719" i="92" s="1"/>
  <c r="S70" i="3"/>
  <c r="E723" i="92" s="1"/>
  <c r="R73" i="3"/>
  <c r="E716" i="92" s="1"/>
  <c r="Z73" i="3"/>
  <c r="E788" i="92" s="1"/>
  <c r="AB74" i="3"/>
  <c r="D82" i="34"/>
  <c r="D82" i="33"/>
  <c r="D82" i="35"/>
  <c r="D82" i="32"/>
  <c r="D82" i="31"/>
  <c r="L82" i="34"/>
  <c r="L82" i="33"/>
  <c r="L82" i="35"/>
  <c r="L82" i="32"/>
  <c r="L82" i="31"/>
  <c r="T82" i="3"/>
  <c r="F101" i="35"/>
  <c r="F101" i="33"/>
  <c r="F101" i="34"/>
  <c r="F101" i="32"/>
  <c r="F101" i="31"/>
  <c r="N101" i="35"/>
  <c r="N101" i="33"/>
  <c r="N101" i="34"/>
  <c r="N101" i="31"/>
  <c r="N101" i="32"/>
  <c r="V101" i="35"/>
  <c r="V101" i="33"/>
  <c r="V101" i="34"/>
  <c r="V101" i="32"/>
  <c r="V101" i="31"/>
  <c r="AA119" i="33"/>
  <c r="F120" i="3"/>
  <c r="T120" i="3"/>
  <c r="D139" i="33"/>
  <c r="D139" i="32"/>
  <c r="D139" i="34"/>
  <c r="D139" i="35"/>
  <c r="D139" i="31"/>
  <c r="L139" i="33"/>
  <c r="L139" i="32"/>
  <c r="L139" i="34"/>
  <c r="L139" i="35"/>
  <c r="L139" i="31"/>
  <c r="T139" i="3"/>
  <c r="AA143" i="3"/>
  <c r="E1183" i="92" s="1"/>
  <c r="B68" i="31"/>
  <c r="B144" i="31"/>
  <c r="J139" i="31"/>
  <c r="F63" i="32"/>
  <c r="S54" i="3"/>
  <c r="E498" i="92" s="1"/>
  <c r="C63" i="35"/>
  <c r="C63" i="33"/>
  <c r="C63" i="32"/>
  <c r="C63" i="34"/>
  <c r="C63" i="31"/>
  <c r="K63" i="35"/>
  <c r="K63" i="33"/>
  <c r="K63" i="34"/>
  <c r="K63" i="32"/>
  <c r="K63" i="31"/>
  <c r="S63" i="35"/>
  <c r="S63" i="33"/>
  <c r="S63" i="34"/>
  <c r="S63" i="32"/>
  <c r="S63" i="31"/>
  <c r="S73" i="3"/>
  <c r="E724" i="92" s="1"/>
  <c r="E82" i="34"/>
  <c r="E82" i="33"/>
  <c r="E82" i="32"/>
  <c r="E82" i="35"/>
  <c r="M82" i="34"/>
  <c r="M82" i="33"/>
  <c r="M82" i="32"/>
  <c r="M82" i="35"/>
  <c r="AC100" i="34"/>
  <c r="AC100" i="33"/>
  <c r="G101" i="35"/>
  <c r="G101" i="33"/>
  <c r="G101" i="32"/>
  <c r="G101" i="31"/>
  <c r="G120" i="3"/>
  <c r="G101" i="34"/>
  <c r="O101" i="35"/>
  <c r="O101" i="33"/>
  <c r="O101" i="31"/>
  <c r="O101" i="32"/>
  <c r="O120" i="3"/>
  <c r="AE108" i="3"/>
  <c r="AE108" i="32" s="1"/>
  <c r="W108" i="3"/>
  <c r="W108" i="34" s="1"/>
  <c r="AC108" i="3"/>
  <c r="AC108" i="34" s="1"/>
  <c r="U108" i="3"/>
  <c r="U108" i="32" s="1"/>
  <c r="AA108" i="3"/>
  <c r="AA108" i="32" s="1"/>
  <c r="AB119" i="33"/>
  <c r="H120" i="3"/>
  <c r="U120" i="3"/>
  <c r="V139" i="3"/>
  <c r="AD143" i="3"/>
  <c r="E1207" i="92" s="1"/>
  <c r="W82" i="31"/>
  <c r="W101" i="31"/>
  <c r="W120" i="31"/>
  <c r="J101" i="31"/>
  <c r="R139" i="31"/>
  <c r="N63" i="32"/>
  <c r="I101" i="32"/>
  <c r="V63" i="33"/>
  <c r="Q149" i="3"/>
  <c r="E1099" i="92" s="1"/>
  <c r="AL150" i="3"/>
  <c r="Z155" i="35"/>
  <c r="Z155" i="33"/>
  <c r="B96" i="31"/>
  <c r="B134" i="31"/>
  <c r="B27" i="32"/>
  <c r="B8" i="33"/>
  <c r="B27" i="33" s="1"/>
  <c r="AL149" i="3"/>
  <c r="S149" i="3"/>
  <c r="E1115" i="92" s="1"/>
  <c r="AA149" i="3"/>
  <c r="AA149" i="34" s="1"/>
  <c r="B105" i="31"/>
  <c r="AC119" i="34"/>
  <c r="AC119" i="33"/>
  <c r="C139" i="33"/>
  <c r="C139" i="32"/>
  <c r="C139" i="34"/>
  <c r="C139" i="35"/>
  <c r="K139" i="33"/>
  <c r="K139" i="32"/>
  <c r="K139" i="34"/>
  <c r="K139" i="35"/>
  <c r="S139" i="33"/>
  <c r="S139" i="32"/>
  <c r="S139" i="34"/>
  <c r="S139" i="35"/>
  <c r="S141" i="3"/>
  <c r="S141" i="34" s="1"/>
  <c r="AA141" i="3"/>
  <c r="S142" i="3"/>
  <c r="E1110" i="92" s="1"/>
  <c r="AA142" i="3"/>
  <c r="E1182" i="92" s="1"/>
  <c r="S146" i="3"/>
  <c r="S146" i="34" s="1"/>
  <c r="AA146" i="3"/>
  <c r="AA146" i="34" s="1"/>
  <c r="T149" i="3"/>
  <c r="E1123" i="92" s="1"/>
  <c r="AB149" i="3"/>
  <c r="E1195" i="92" s="1"/>
  <c r="B109" i="31"/>
  <c r="B149" i="31"/>
  <c r="B115" i="31"/>
  <c r="Y120" i="35"/>
  <c r="Y120" i="34"/>
  <c r="Y120" i="33"/>
  <c r="E139" i="34"/>
  <c r="E139" i="35"/>
  <c r="E139" i="33"/>
  <c r="E139" i="32"/>
  <c r="M139" i="34"/>
  <c r="M139" i="35"/>
  <c r="M139" i="33"/>
  <c r="M139" i="32"/>
  <c r="M141" i="3"/>
  <c r="U141" i="3"/>
  <c r="AC141" i="3"/>
  <c r="M142" i="3"/>
  <c r="E1062" i="92" s="1"/>
  <c r="U142" i="3"/>
  <c r="E1126" i="92" s="1"/>
  <c r="AC142" i="3"/>
  <c r="E1198" i="92" s="1"/>
  <c r="Q144" i="3"/>
  <c r="E1096" i="92" s="1"/>
  <c r="S145" i="3"/>
  <c r="E1113" i="92" s="1"/>
  <c r="AA145" i="3"/>
  <c r="E1185" i="92" s="1"/>
  <c r="M146" i="3"/>
  <c r="M146" i="32" s="1"/>
  <c r="U146" i="3"/>
  <c r="AC146" i="3"/>
  <c r="AC146" i="34" s="1"/>
  <c r="N149" i="3"/>
  <c r="E1075" i="92" s="1"/>
  <c r="V149" i="3"/>
  <c r="E1139" i="92" s="1"/>
  <c r="AD149" i="3"/>
  <c r="E1211" i="92" s="1"/>
  <c r="AF150" i="3"/>
  <c r="AF150" i="32" s="1"/>
  <c r="AD158" i="3"/>
  <c r="E1229" i="92" s="1"/>
  <c r="J16" i="32"/>
  <c r="B55" i="32"/>
  <c r="B67" i="32"/>
  <c r="X155" i="35"/>
  <c r="X155" i="33"/>
  <c r="B86" i="31"/>
  <c r="B124" i="31"/>
  <c r="G139" i="34"/>
  <c r="G139" i="35"/>
  <c r="G139" i="33"/>
  <c r="G139" i="32"/>
  <c r="O139" i="34"/>
  <c r="O139" i="35"/>
  <c r="O139" i="33"/>
  <c r="O139" i="32"/>
  <c r="W139" i="33"/>
  <c r="W139" i="32"/>
  <c r="O141" i="3"/>
  <c r="E1077" i="92" s="1"/>
  <c r="W141" i="3"/>
  <c r="E1149" i="92" s="1"/>
  <c r="AE141" i="3"/>
  <c r="AE141" i="32" s="1"/>
  <c r="O142" i="3"/>
  <c r="E1078" i="92" s="1"/>
  <c r="W142" i="3"/>
  <c r="E1150" i="92" s="1"/>
  <c r="AE142" i="3"/>
  <c r="E1214" i="92" s="1"/>
  <c r="S144" i="3"/>
  <c r="E1112" i="92" s="1"/>
  <c r="AA144" i="3"/>
  <c r="E1184" i="92" s="1"/>
  <c r="M145" i="3"/>
  <c r="E1065" i="92" s="1"/>
  <c r="U145" i="3"/>
  <c r="E1129" i="92" s="1"/>
  <c r="AC145" i="3"/>
  <c r="E1201" i="92" s="1"/>
  <c r="O146" i="3"/>
  <c r="E1082" i="92" s="1"/>
  <c r="W146" i="3"/>
  <c r="E1154" i="92" s="1"/>
  <c r="AE146" i="3"/>
  <c r="AE146" i="32" s="1"/>
  <c r="P149" i="3"/>
  <c r="E1091" i="92" s="1"/>
  <c r="X149" i="3"/>
  <c r="E1163" i="92" s="1"/>
  <c r="AF149" i="3"/>
  <c r="AF149" i="32" s="1"/>
  <c r="Y155" i="35"/>
  <c r="Y155" i="33"/>
  <c r="B90" i="31"/>
  <c r="B128" i="31"/>
  <c r="B38" i="34"/>
  <c r="W63" i="35"/>
  <c r="B152" i="34"/>
  <c r="W120" i="34"/>
  <c r="B38" i="33"/>
  <c r="B134" i="34"/>
  <c r="AD139" i="33"/>
  <c r="AD139" i="31"/>
  <c r="AD139" i="32"/>
  <c r="W112" i="10"/>
  <c r="U10" i="10"/>
  <c r="AC10" i="10"/>
  <c r="E83" i="10"/>
  <c r="M83" i="10"/>
  <c r="AF5" i="33"/>
  <c r="AF5" i="32"/>
  <c r="AF119" i="33"/>
  <c r="AF100" i="33"/>
  <c r="AF43" i="33"/>
  <c r="AF24" i="33"/>
  <c r="AF62" i="33"/>
  <c r="C15" i="10"/>
  <c r="E14" i="92" s="1"/>
  <c r="K15" i="10"/>
  <c r="E70" i="92" s="1"/>
  <c r="E94" i="10"/>
  <c r="F51" i="34" s="1"/>
  <c r="M94" i="10"/>
  <c r="AF155" i="33"/>
  <c r="O10" i="10"/>
  <c r="D15" i="10"/>
  <c r="E21" i="92" s="1"/>
  <c r="B28" i="10"/>
  <c r="D78" i="10"/>
  <c r="E46" i="34" s="1"/>
  <c r="L78" i="10"/>
  <c r="D83" i="10"/>
  <c r="E47" i="34" s="1"/>
  <c r="AF44" i="31"/>
  <c r="X10" i="10"/>
  <c r="AB28" i="10"/>
  <c r="X101" i="10"/>
  <c r="AF101" i="10"/>
  <c r="G28" i="10"/>
  <c r="AD6" i="33"/>
  <c r="AD156" i="33" s="1"/>
  <c r="AD101" i="32"/>
  <c r="AD44" i="32"/>
  <c r="AD6" i="34"/>
  <c r="AD155" i="34" s="1"/>
  <c r="AD120" i="3"/>
  <c r="AD101" i="3"/>
  <c r="AD63" i="32"/>
  <c r="AD25" i="3"/>
  <c r="AD6" i="35"/>
  <c r="AD156" i="35" s="1"/>
  <c r="AD6" i="32"/>
  <c r="AD156" i="32" s="1"/>
  <c r="AD44" i="3"/>
  <c r="AD25" i="32"/>
  <c r="AD6" i="31"/>
  <c r="AD156" i="31" s="1"/>
  <c r="AD63" i="3"/>
  <c r="AD120" i="32"/>
  <c r="R10" i="10"/>
  <c r="Z10" i="10"/>
  <c r="AB33" i="10"/>
  <c r="AB11" i="10" s="1"/>
  <c r="E185" i="92" s="1"/>
  <c r="AE44" i="33"/>
  <c r="AE44" i="31"/>
  <c r="B31" i="31"/>
  <c r="B50" i="31"/>
  <c r="B69" i="31"/>
  <c r="AA63" i="32"/>
  <c r="AB6" i="35"/>
  <c r="AB156" i="35" s="1"/>
  <c r="H50" i="10"/>
  <c r="AB112" i="10"/>
  <c r="AC101" i="10"/>
  <c r="AB25" i="3"/>
  <c r="AA101" i="3"/>
  <c r="AA120" i="3"/>
  <c r="AE139" i="3"/>
  <c r="B32" i="31"/>
  <c r="B51" i="31"/>
  <c r="B70" i="31"/>
  <c r="B87" i="31"/>
  <c r="B106" i="31"/>
  <c r="B125" i="31"/>
  <c r="B145" i="31"/>
  <c r="AC6" i="32"/>
  <c r="AC156" i="32" s="1"/>
  <c r="AA43" i="32"/>
  <c r="AB63" i="32"/>
  <c r="B125" i="32"/>
  <c r="B17" i="33"/>
  <c r="B36" i="33" s="1"/>
  <c r="B39" i="33"/>
  <c r="AA6" i="34"/>
  <c r="AA155" i="34" s="1"/>
  <c r="B77" i="34"/>
  <c r="AC6" i="35"/>
  <c r="AC156" i="35" s="1"/>
  <c r="X63" i="35"/>
  <c r="F28" i="10"/>
  <c r="N28" i="10"/>
  <c r="AD101" i="10"/>
  <c r="AE62" i="33"/>
  <c r="AE63" i="3"/>
  <c r="AB101" i="3"/>
  <c r="AB120" i="3"/>
  <c r="AF139" i="3"/>
  <c r="AE6" i="31"/>
  <c r="AE156" i="31" s="1"/>
  <c r="B33" i="31"/>
  <c r="W44" i="31"/>
  <c r="B52" i="31"/>
  <c r="W63" i="31"/>
  <c r="B71" i="31"/>
  <c r="B88" i="31"/>
  <c r="B107" i="31"/>
  <c r="B146" i="31"/>
  <c r="B33" i="32"/>
  <c r="AA44" i="32"/>
  <c r="AC63" i="32"/>
  <c r="B90" i="32"/>
  <c r="AA101" i="32"/>
  <c r="B147" i="32"/>
  <c r="AB6" i="34"/>
  <c r="AB155" i="34" s="1"/>
  <c r="W82" i="34"/>
  <c r="W44" i="35"/>
  <c r="AA28" i="10"/>
  <c r="V112" i="10"/>
  <c r="W112" i="34" s="1"/>
  <c r="AD112" i="10"/>
  <c r="H83" i="10"/>
  <c r="I66" i="34" s="1"/>
  <c r="I28" i="34" s="1"/>
  <c r="AE101" i="10"/>
  <c r="AA101" i="10"/>
  <c r="V101" i="10"/>
  <c r="AF63" i="3"/>
  <c r="AC101" i="3"/>
  <c r="AC120" i="3"/>
  <c r="AF6" i="31"/>
  <c r="AF156" i="31" s="1"/>
  <c r="B35" i="31"/>
  <c r="B54" i="31"/>
  <c r="B73" i="31"/>
  <c r="B89" i="31"/>
  <c r="B108" i="31"/>
  <c r="AB44" i="32"/>
  <c r="AB101" i="32"/>
  <c r="AC6" i="34"/>
  <c r="AC155" i="34" s="1"/>
  <c r="B95" i="34"/>
  <c r="B16" i="35"/>
  <c r="B149" i="35" s="1"/>
  <c r="X44" i="35"/>
  <c r="B152" i="35"/>
  <c r="B27" i="31"/>
  <c r="B36" i="31"/>
  <c r="B46" i="31"/>
  <c r="B55" i="31"/>
  <c r="B65" i="31"/>
  <c r="B74" i="31"/>
  <c r="AC44" i="32"/>
  <c r="AC101" i="32"/>
  <c r="AA6" i="33"/>
  <c r="AA156" i="33" s="1"/>
  <c r="X112" i="10"/>
  <c r="AF112" i="10"/>
  <c r="Y101" i="10"/>
  <c r="AG101" i="10"/>
  <c r="AE44" i="32"/>
  <c r="AE101" i="32"/>
  <c r="AE25" i="32"/>
  <c r="AE120" i="32"/>
  <c r="AE63" i="32"/>
  <c r="AE6" i="32"/>
  <c r="AE156" i="32" s="1"/>
  <c r="AE6" i="33"/>
  <c r="AE156" i="33" s="1"/>
  <c r="AE100" i="33"/>
  <c r="AE101" i="3"/>
  <c r="AE120" i="3"/>
  <c r="AA139" i="3"/>
  <c r="AL24" i="31"/>
  <c r="B28" i="31"/>
  <c r="B38" i="31"/>
  <c r="AL43" i="31"/>
  <c r="B47" i="31"/>
  <c r="B57" i="31"/>
  <c r="AL62" i="31"/>
  <c r="B66" i="31"/>
  <c r="B76" i="31"/>
  <c r="B92" i="31"/>
  <c r="B111" i="31"/>
  <c r="B141" i="31"/>
  <c r="B150" i="31"/>
  <c r="G16" i="32"/>
  <c r="AA120" i="32"/>
  <c r="AB6" i="33"/>
  <c r="AB156" i="33" s="1"/>
  <c r="B13" i="34"/>
  <c r="B146" i="34" s="1"/>
  <c r="X101" i="34"/>
  <c r="X25" i="35"/>
  <c r="W101" i="35"/>
  <c r="B114" i="35"/>
  <c r="W120" i="35"/>
  <c r="B133" i="35"/>
  <c r="E1239" i="92"/>
  <c r="E1255" i="92"/>
  <c r="E1324" i="92"/>
  <c r="Z101" i="10"/>
  <c r="AF101" i="32"/>
  <c r="AF44" i="32"/>
  <c r="AF6" i="32"/>
  <c r="AF156" i="32" s="1"/>
  <c r="AF25" i="32"/>
  <c r="AF120" i="32"/>
  <c r="AF63" i="32"/>
  <c r="AF6" i="33"/>
  <c r="AF156" i="33" s="1"/>
  <c r="AA63" i="3"/>
  <c r="AF101" i="3"/>
  <c r="AF120" i="3"/>
  <c r="AB139" i="3"/>
  <c r="AA6" i="31"/>
  <c r="AA156" i="31" s="1"/>
  <c r="B29" i="31"/>
  <c r="B39" i="31"/>
  <c r="B48" i="31"/>
  <c r="B58" i="31"/>
  <c r="B67" i="31"/>
  <c r="B77" i="31"/>
  <c r="B84" i="31"/>
  <c r="B93" i="31"/>
  <c r="B103" i="31"/>
  <c r="B112" i="31"/>
  <c r="AL138" i="31"/>
  <c r="B142" i="31"/>
  <c r="B152" i="31"/>
  <c r="AC24" i="32"/>
  <c r="AA25" i="32"/>
  <c r="W44" i="32"/>
  <c r="B46" i="32"/>
  <c r="B107" i="32"/>
  <c r="AB120" i="32"/>
  <c r="AC6" i="33"/>
  <c r="AC156" i="33" s="1"/>
  <c r="B96" i="35"/>
  <c r="X101" i="35"/>
  <c r="B115" i="35"/>
  <c r="X120" i="35"/>
  <c r="Z112" i="10"/>
  <c r="L83" i="10"/>
  <c r="AE5" i="33"/>
  <c r="AE5" i="32"/>
  <c r="AA44" i="3"/>
  <c r="AB63" i="3"/>
  <c r="AC139" i="3"/>
  <c r="AB6" i="31"/>
  <c r="AB156" i="31" s="1"/>
  <c r="B30" i="31"/>
  <c r="B49" i="31"/>
  <c r="B85" i="31"/>
  <c r="B95" i="31"/>
  <c r="AL100" i="31"/>
  <c r="B104" i="31"/>
  <c r="B114" i="31"/>
  <c r="AA6" i="32"/>
  <c r="AA156" i="32" s="1"/>
  <c r="B51" i="32"/>
  <c r="J47" i="34"/>
  <c r="D70" i="34"/>
  <c r="D32" i="34" s="1"/>
  <c r="D51" i="34"/>
  <c r="L70" i="34"/>
  <c r="L32" i="34" s="1"/>
  <c r="L51" i="34"/>
  <c r="H51" i="34"/>
  <c r="H70" i="34"/>
  <c r="H32" i="34" s="1"/>
  <c r="I67" i="32"/>
  <c r="I29" i="32" s="1"/>
  <c r="I48" i="32"/>
  <c r="D68" i="32"/>
  <c r="D30" i="32" s="1"/>
  <c r="D49" i="32"/>
  <c r="L68" i="32"/>
  <c r="L30" i="32" s="1"/>
  <c r="L49" i="32"/>
  <c r="G69" i="32"/>
  <c r="G31" i="32" s="1"/>
  <c r="G50" i="32"/>
  <c r="J51" i="32"/>
  <c r="J70" i="32"/>
  <c r="J32" i="32" s="1"/>
  <c r="L66" i="34"/>
  <c r="L28" i="34" s="1"/>
  <c r="J67" i="34"/>
  <c r="J29" i="34" s="1"/>
  <c r="J48" i="34"/>
  <c r="F49" i="34"/>
  <c r="F68" i="34"/>
  <c r="F30" i="34" s="1"/>
  <c r="J50" i="34"/>
  <c r="J69" i="34"/>
  <c r="J31" i="34" s="1"/>
  <c r="D54" i="34"/>
  <c r="D73" i="34"/>
  <c r="D35" i="34" s="1"/>
  <c r="L54" i="34"/>
  <c r="L73" i="34"/>
  <c r="L35" i="34" s="1"/>
  <c r="J67" i="32"/>
  <c r="J29" i="32" s="1"/>
  <c r="J48" i="32"/>
  <c r="E68" i="32"/>
  <c r="E30" i="32" s="1"/>
  <c r="E49" i="32"/>
  <c r="H69" i="32"/>
  <c r="H31" i="32" s="1"/>
  <c r="H50" i="32"/>
  <c r="C70" i="32"/>
  <c r="C32" i="32" s="1"/>
  <c r="K51" i="32"/>
  <c r="K70" i="32"/>
  <c r="K32" i="32" s="1"/>
  <c r="C48" i="34"/>
  <c r="C67" i="34"/>
  <c r="C29" i="34" s="1"/>
  <c r="K48" i="34"/>
  <c r="K67" i="34"/>
  <c r="K29" i="34" s="1"/>
  <c r="G49" i="34"/>
  <c r="G68" i="34"/>
  <c r="G30" i="34" s="1"/>
  <c r="C50" i="34"/>
  <c r="C69" i="34"/>
  <c r="C31" i="34" s="1"/>
  <c r="K50" i="34"/>
  <c r="K69" i="34"/>
  <c r="K31" i="34" s="1"/>
  <c r="G51" i="34"/>
  <c r="G70" i="34"/>
  <c r="G32" i="34" s="1"/>
  <c r="E54" i="34"/>
  <c r="E73" i="34"/>
  <c r="E35" i="34" s="1"/>
  <c r="E46" i="32"/>
  <c r="E65" i="32"/>
  <c r="E27" i="32" s="1"/>
  <c r="C67" i="32"/>
  <c r="C29" i="32" s="1"/>
  <c r="C48" i="32"/>
  <c r="K67" i="32"/>
  <c r="K29" i="32" s="1"/>
  <c r="K48" i="32"/>
  <c r="F68" i="32"/>
  <c r="F30" i="32" s="1"/>
  <c r="F49" i="32"/>
  <c r="I69" i="32"/>
  <c r="I31" i="32" s="1"/>
  <c r="I50" i="32"/>
  <c r="D48" i="34"/>
  <c r="D67" i="34"/>
  <c r="D29" i="34" s="1"/>
  <c r="L48" i="34"/>
  <c r="L67" i="34"/>
  <c r="L29" i="34" s="1"/>
  <c r="H68" i="34"/>
  <c r="H30" i="34" s="1"/>
  <c r="H49" i="34"/>
  <c r="D50" i="34"/>
  <c r="D69" i="34"/>
  <c r="D31" i="34" s="1"/>
  <c r="L50" i="34"/>
  <c r="L69" i="34"/>
  <c r="L31" i="34" s="1"/>
  <c r="F54" i="34"/>
  <c r="F73" i="34"/>
  <c r="F35" i="34" s="1"/>
  <c r="D67" i="32"/>
  <c r="D29" i="32" s="1"/>
  <c r="D48" i="32"/>
  <c r="L67" i="32"/>
  <c r="L29" i="32" s="1"/>
  <c r="L48" i="32"/>
  <c r="G68" i="32"/>
  <c r="G30" i="32" s="1"/>
  <c r="G49" i="32"/>
  <c r="J69" i="32"/>
  <c r="J31" i="32" s="1"/>
  <c r="J50" i="32"/>
  <c r="K73" i="32"/>
  <c r="K35" i="32" s="1"/>
  <c r="K54" i="32"/>
  <c r="E48" i="34"/>
  <c r="E67" i="34"/>
  <c r="E29" i="34" s="1"/>
  <c r="I49" i="34"/>
  <c r="I68" i="34"/>
  <c r="I30" i="34" s="1"/>
  <c r="E50" i="34"/>
  <c r="E69" i="34"/>
  <c r="E31" i="34" s="1"/>
  <c r="I51" i="34"/>
  <c r="I70" i="34"/>
  <c r="I32" i="34" s="1"/>
  <c r="G54" i="34"/>
  <c r="G73" i="34"/>
  <c r="G35" i="34" s="1"/>
  <c r="E67" i="32"/>
  <c r="E29" i="32" s="1"/>
  <c r="E48" i="32"/>
  <c r="H68" i="32"/>
  <c r="H30" i="32" s="1"/>
  <c r="H49" i="32"/>
  <c r="C69" i="32"/>
  <c r="C31" i="32" s="1"/>
  <c r="C50" i="32"/>
  <c r="K69" i="32"/>
  <c r="K31" i="32" s="1"/>
  <c r="K50" i="32"/>
  <c r="F51" i="32"/>
  <c r="F70" i="32"/>
  <c r="F32" i="32" s="1"/>
  <c r="L54" i="32"/>
  <c r="L73" i="32"/>
  <c r="L35" i="32" s="1"/>
  <c r="F48" i="34"/>
  <c r="F67" i="34"/>
  <c r="F29" i="34" s="1"/>
  <c r="J49" i="34"/>
  <c r="J68" i="34"/>
  <c r="J30" i="34" s="1"/>
  <c r="F69" i="34"/>
  <c r="F31" i="34" s="1"/>
  <c r="F50" i="34"/>
  <c r="H73" i="34"/>
  <c r="H35" i="34" s="1"/>
  <c r="H54" i="34"/>
  <c r="F67" i="32"/>
  <c r="F29" i="32" s="1"/>
  <c r="F48" i="32"/>
  <c r="I68" i="32"/>
  <c r="I30" i="32" s="1"/>
  <c r="I49" i="32"/>
  <c r="D69" i="32"/>
  <c r="D31" i="32" s="1"/>
  <c r="D50" i="32"/>
  <c r="L69" i="32"/>
  <c r="L31" i="32" s="1"/>
  <c r="L50" i="32"/>
  <c r="G70" i="32"/>
  <c r="G32" i="32" s="1"/>
  <c r="G51" i="32"/>
  <c r="G48" i="34"/>
  <c r="G67" i="34"/>
  <c r="G29" i="34" s="1"/>
  <c r="C49" i="34"/>
  <c r="C68" i="34"/>
  <c r="C30" i="34" s="1"/>
  <c r="K49" i="34"/>
  <c r="K68" i="34"/>
  <c r="K30" i="34" s="1"/>
  <c r="G50" i="34"/>
  <c r="G69" i="34"/>
  <c r="G31" i="34" s="1"/>
  <c r="K51" i="34"/>
  <c r="K70" i="34"/>
  <c r="K32" i="34" s="1"/>
  <c r="I54" i="34"/>
  <c r="I73" i="34"/>
  <c r="I35" i="34" s="1"/>
  <c r="G67" i="32"/>
  <c r="G29" i="32" s="1"/>
  <c r="G48" i="32"/>
  <c r="J68" i="32"/>
  <c r="J30" i="32" s="1"/>
  <c r="J49" i="32"/>
  <c r="E69" i="32"/>
  <c r="E31" i="32" s="1"/>
  <c r="E50" i="32"/>
  <c r="H48" i="34"/>
  <c r="H67" i="34"/>
  <c r="H29" i="34" s="1"/>
  <c r="D49" i="34"/>
  <c r="D68" i="34"/>
  <c r="D30" i="34" s="1"/>
  <c r="L49" i="34"/>
  <c r="L68" i="34"/>
  <c r="L30" i="34" s="1"/>
  <c r="H50" i="34"/>
  <c r="H69" i="34"/>
  <c r="H31" i="34" s="1"/>
  <c r="J54" i="34"/>
  <c r="J73" i="34"/>
  <c r="J35" i="34" s="1"/>
  <c r="H67" i="32"/>
  <c r="H29" i="32" s="1"/>
  <c r="H48" i="32"/>
  <c r="C68" i="32"/>
  <c r="C30" i="32" s="1"/>
  <c r="C49" i="32"/>
  <c r="K68" i="32"/>
  <c r="K30" i="32" s="1"/>
  <c r="K49" i="32"/>
  <c r="F69" i="32"/>
  <c r="F31" i="32" s="1"/>
  <c r="F50" i="32"/>
  <c r="I65" i="34"/>
  <c r="I27" i="34" s="1"/>
  <c r="C47" i="34"/>
  <c r="C66" i="34"/>
  <c r="C28" i="34" s="1"/>
  <c r="I48" i="34"/>
  <c r="I67" i="34"/>
  <c r="I29" i="34" s="1"/>
  <c r="E49" i="34"/>
  <c r="E68" i="34"/>
  <c r="E30" i="34" s="1"/>
  <c r="I50" i="34"/>
  <c r="I69" i="34"/>
  <c r="I31" i="34" s="1"/>
  <c r="E51" i="34"/>
  <c r="E70" i="34"/>
  <c r="E32" i="34" s="1"/>
  <c r="C54" i="34"/>
  <c r="C73" i="34"/>
  <c r="C35" i="34" s="1"/>
  <c r="K54" i="34"/>
  <c r="K73" i="34"/>
  <c r="K35" i="34" s="1"/>
  <c r="D16" i="32"/>
  <c r="E16" i="32"/>
  <c r="C16" i="32"/>
  <c r="I15" i="8"/>
  <c r="Q15" i="8"/>
  <c r="Y15" i="8"/>
  <c r="AG15" i="8"/>
  <c r="H14" i="8"/>
  <c r="P14" i="8"/>
  <c r="X14" i="8"/>
  <c r="AF14" i="8"/>
  <c r="H15" i="8"/>
  <c r="AG14" i="8"/>
  <c r="C14" i="8"/>
  <c r="K14" i="8"/>
  <c r="S14" i="8"/>
  <c r="AA14" i="8"/>
  <c r="AI14" i="8"/>
  <c r="AH15" i="8"/>
  <c r="E1300" i="92"/>
  <c r="E1308" i="92"/>
  <c r="E1316" i="92"/>
  <c r="D14" i="8"/>
  <c r="L14" i="8"/>
  <c r="T14" i="8"/>
  <c r="AB14" i="8"/>
  <c r="E1247" i="92"/>
  <c r="F15" i="8"/>
  <c r="N15" i="8"/>
  <c r="V15" i="8"/>
  <c r="P15" i="8"/>
  <c r="X15" i="8"/>
  <c r="J15" i="8"/>
  <c r="E14" i="8"/>
  <c r="M14" i="8"/>
  <c r="U14" i="8"/>
  <c r="AC14" i="8"/>
  <c r="C15" i="8"/>
  <c r="K15" i="8"/>
  <c r="S15" i="8"/>
  <c r="AA15" i="8"/>
  <c r="AI15" i="8"/>
  <c r="R15" i="8"/>
  <c r="Z15" i="8"/>
  <c r="AD15" i="8"/>
  <c r="I14" i="8"/>
  <c r="AF15" i="8"/>
  <c r="Q14" i="8"/>
  <c r="J14" i="8"/>
  <c r="R14" i="8"/>
  <c r="Z14" i="8"/>
  <c r="AH14" i="8"/>
  <c r="Y14" i="8"/>
  <c r="B58" i="33"/>
  <c r="AD100" i="32"/>
  <c r="AD138" i="32"/>
  <c r="AD62" i="32"/>
  <c r="AD43" i="32"/>
  <c r="AD119" i="32"/>
  <c r="AD24" i="32"/>
  <c r="B147" i="35"/>
  <c r="B128" i="35"/>
  <c r="B109" i="35"/>
  <c r="B33" i="35"/>
  <c r="B90" i="35"/>
  <c r="B71" i="35"/>
  <c r="B52" i="35"/>
  <c r="B48" i="34"/>
  <c r="B105" i="34"/>
  <c r="B124" i="34"/>
  <c r="B29" i="34"/>
  <c r="B143" i="34"/>
  <c r="B86" i="34"/>
  <c r="B67" i="34"/>
  <c r="B123" i="32"/>
  <c r="B104" i="32"/>
  <c r="B66" i="32"/>
  <c r="B9" i="34"/>
  <c r="B47" i="32"/>
  <c r="B142" i="32"/>
  <c r="B85" i="32"/>
  <c r="B9" i="35"/>
  <c r="B9" i="33"/>
  <c r="B28" i="32"/>
  <c r="B92" i="33"/>
  <c r="B35" i="33"/>
  <c r="B54" i="33"/>
  <c r="B149" i="33"/>
  <c r="B130" i="33"/>
  <c r="B73" i="33"/>
  <c r="B111" i="33"/>
  <c r="B70" i="32"/>
  <c r="B92" i="32"/>
  <c r="W100" i="32"/>
  <c r="B108" i="32"/>
  <c r="B126" i="32"/>
  <c r="B149" i="32"/>
  <c r="B95" i="33"/>
  <c r="B8" i="34"/>
  <c r="B17" i="34"/>
  <c r="B8" i="35"/>
  <c r="B17" i="35"/>
  <c r="B31" i="32"/>
  <c r="AB43" i="32"/>
  <c r="B49" i="32"/>
  <c r="AA62" i="32"/>
  <c r="W63" i="32"/>
  <c r="B65" i="32"/>
  <c r="B74" i="32"/>
  <c r="W81" i="32"/>
  <c r="B84" i="32"/>
  <c r="B93" i="32"/>
  <c r="B109" i="32"/>
  <c r="W119" i="32"/>
  <c r="B127" i="32"/>
  <c r="AA138" i="32"/>
  <c r="B141" i="32"/>
  <c r="B150" i="32"/>
  <c r="B10" i="33"/>
  <c r="B96" i="33"/>
  <c r="B11" i="34"/>
  <c r="B57" i="34"/>
  <c r="B96" i="34"/>
  <c r="B153" i="34"/>
  <c r="B134" i="35"/>
  <c r="B153" i="35"/>
  <c r="W24" i="32"/>
  <c r="B35" i="32"/>
  <c r="AC43" i="32"/>
  <c r="B52" i="32"/>
  <c r="AB62" i="32"/>
  <c r="B68" i="32"/>
  <c r="B111" i="32"/>
  <c r="B128" i="32"/>
  <c r="AB138" i="32"/>
  <c r="B11" i="33"/>
  <c r="B114" i="33"/>
  <c r="B14" i="34"/>
  <c r="B39" i="34"/>
  <c r="B10" i="35"/>
  <c r="B38" i="35"/>
  <c r="B29" i="32"/>
  <c r="AC62" i="32"/>
  <c r="B71" i="32"/>
  <c r="B86" i="32"/>
  <c r="AA100" i="32"/>
  <c r="W101" i="32"/>
  <c r="B103" i="32"/>
  <c r="B112" i="32"/>
  <c r="B130" i="32"/>
  <c r="AC138" i="32"/>
  <c r="B143" i="32"/>
  <c r="B12" i="33"/>
  <c r="B115" i="33"/>
  <c r="B114" i="34"/>
  <c r="B11" i="35"/>
  <c r="B39" i="35"/>
  <c r="B57" i="35"/>
  <c r="B32" i="32"/>
  <c r="B50" i="32"/>
  <c r="B87" i="32"/>
  <c r="AB100" i="32"/>
  <c r="AA119" i="32"/>
  <c r="W120" i="32"/>
  <c r="B122" i="32"/>
  <c r="B131" i="32"/>
  <c r="B144" i="32"/>
  <c r="B13" i="33"/>
  <c r="B76" i="33"/>
  <c r="B133" i="33"/>
  <c r="B152" i="33"/>
  <c r="B12" i="34"/>
  <c r="B58" i="34"/>
  <c r="B12" i="35"/>
  <c r="B58" i="35"/>
  <c r="B76" i="35"/>
  <c r="W43" i="32"/>
  <c r="B54" i="32"/>
  <c r="B69" i="32"/>
  <c r="B88" i="32"/>
  <c r="AC100" i="32"/>
  <c r="B105" i="32"/>
  <c r="AB119" i="32"/>
  <c r="B14" i="33"/>
  <c r="B77" i="33"/>
  <c r="B134" i="33"/>
  <c r="B16" i="34"/>
  <c r="B76" i="34"/>
  <c r="B13" i="35"/>
  <c r="B30" i="32"/>
  <c r="B48" i="32"/>
  <c r="B73" i="32"/>
  <c r="B89" i="32"/>
  <c r="B124" i="32"/>
  <c r="B99" i="35"/>
  <c r="B23" i="35"/>
  <c r="B137" i="33"/>
  <c r="B61" i="33"/>
  <c r="B42" i="31"/>
  <c r="B99" i="31"/>
  <c r="B42" i="35"/>
  <c r="B118" i="31"/>
  <c r="B118" i="35"/>
  <c r="B23" i="31"/>
  <c r="B137" i="31"/>
  <c r="B99" i="33"/>
  <c r="B61" i="35"/>
  <c r="B137" i="35"/>
  <c r="B61" i="31"/>
  <c r="B23" i="33"/>
  <c r="B42" i="33"/>
  <c r="B80" i="33"/>
  <c r="A944" i="92"/>
  <c r="A1054" i="92"/>
  <c r="A588" i="92"/>
  <c r="A826" i="92"/>
  <c r="A942" i="92"/>
  <c r="A1055" i="92"/>
  <c r="A1059" i="92"/>
  <c r="A1213" i="92"/>
  <c r="A586" i="92"/>
  <c r="A589" i="92"/>
  <c r="A824" i="92"/>
  <c r="A943" i="92"/>
  <c r="A1214" i="92"/>
  <c r="A948" i="92"/>
  <c r="A1060" i="92"/>
  <c r="A1219" i="92"/>
  <c r="A584" i="92"/>
  <c r="A828" i="92"/>
  <c r="A946" i="92"/>
  <c r="A1057" i="92"/>
  <c r="A1217" i="92"/>
  <c r="A827" i="92"/>
  <c r="A1056" i="92"/>
  <c r="A1230" i="92"/>
  <c r="A587" i="92"/>
  <c r="A825" i="92"/>
  <c r="A941" i="92"/>
  <c r="A1220" i="92"/>
  <c r="A1058" i="92"/>
  <c r="A1215" i="92"/>
  <c r="A585" i="92"/>
  <c r="A822" i="92"/>
  <c r="A829" i="92"/>
  <c r="A947" i="92"/>
  <c r="A1218" i="92"/>
  <c r="AL25" i="3"/>
  <c r="AL25" i="31" s="1"/>
  <c r="B67" i="87"/>
  <c r="B7" i="87" s="1"/>
  <c r="AL120" i="31"/>
  <c r="AG44" i="3"/>
  <c r="AG63" i="32" s="1"/>
  <c r="AL111" i="3"/>
  <c r="AL73" i="3"/>
  <c r="AL74" i="3"/>
  <c r="AL103" i="3"/>
  <c r="AL107" i="3"/>
  <c r="AG6" i="31"/>
  <c r="AG156" i="31" s="1"/>
  <c r="AL112" i="3"/>
  <c r="AL155" i="31"/>
  <c r="AL158" i="3"/>
  <c r="AL6" i="31"/>
  <c r="AL156" i="31" s="1"/>
  <c r="AG63" i="3"/>
  <c r="AL104" i="3"/>
  <c r="AL108" i="3"/>
  <c r="AL63" i="3"/>
  <c r="AL63" i="31" s="1"/>
  <c r="AL65" i="3"/>
  <c r="AL66" i="3"/>
  <c r="AL67" i="3"/>
  <c r="AL68" i="3"/>
  <c r="AL69" i="3"/>
  <c r="AL70" i="3"/>
  <c r="AL105" i="3"/>
  <c r="AL139" i="31"/>
  <c r="AL44" i="3"/>
  <c r="AL44" i="31" s="1"/>
  <c r="AL101" i="31"/>
  <c r="AL106" i="3"/>
  <c r="G14" i="8"/>
  <c r="F14" i="8"/>
  <c r="O14" i="8"/>
  <c r="N14" i="8"/>
  <c r="W14" i="8"/>
  <c r="V14" i="8"/>
  <c r="AE14" i="8"/>
  <c r="AD14" i="8"/>
  <c r="E15" i="8"/>
  <c r="D15" i="8"/>
  <c r="M15" i="8"/>
  <c r="L15" i="8"/>
  <c r="U15" i="8"/>
  <c r="T15" i="8"/>
  <c r="AC15" i="8"/>
  <c r="AB15" i="8"/>
  <c r="G15" i="8"/>
  <c r="O15" i="8"/>
  <c r="W15" i="8"/>
  <c r="AE15" i="8"/>
  <c r="N8" i="87"/>
  <c r="U8" i="87"/>
  <c r="V8" i="87"/>
  <c r="I8" i="87"/>
  <c r="Q8" i="87"/>
  <c r="Y122" i="3"/>
  <c r="Y126" i="3"/>
  <c r="V130" i="3"/>
  <c r="J8" i="87"/>
  <c r="R8" i="87"/>
  <c r="AB65" i="34"/>
  <c r="T68" i="32"/>
  <c r="T70" i="34"/>
  <c r="S106" i="34"/>
  <c r="S106" i="32"/>
  <c r="U125" i="3"/>
  <c r="AD130" i="3"/>
  <c r="K8" i="87"/>
  <c r="S8" i="87"/>
  <c r="W88" i="34"/>
  <c r="W88" i="32"/>
  <c r="W92" i="34"/>
  <c r="T106" i="34"/>
  <c r="T106" i="32"/>
  <c r="AC125" i="3"/>
  <c r="L8" i="87"/>
  <c r="T8" i="87"/>
  <c r="M73" i="34"/>
  <c r="M73" i="32"/>
  <c r="M8" i="87"/>
  <c r="AA130" i="3"/>
  <c r="S130" i="3"/>
  <c r="Z127" i="3"/>
  <c r="R127" i="3"/>
  <c r="AD126" i="3"/>
  <c r="V126" i="3"/>
  <c r="Z125" i="3"/>
  <c r="R125" i="3"/>
  <c r="AD124" i="3"/>
  <c r="V124" i="3"/>
  <c r="Z123" i="3"/>
  <c r="R123" i="3"/>
  <c r="AD122" i="3"/>
  <c r="V122" i="3"/>
  <c r="Z130" i="3"/>
  <c r="R130" i="3"/>
  <c r="Y127" i="3"/>
  <c r="Q127" i="3"/>
  <c r="AC126" i="3"/>
  <c r="U126" i="3"/>
  <c r="Y125" i="3"/>
  <c r="Q125" i="3"/>
  <c r="AC124" i="3"/>
  <c r="U124" i="3"/>
  <c r="Y123" i="3"/>
  <c r="Q123" i="3"/>
  <c r="AC122" i="3"/>
  <c r="U122" i="3"/>
  <c r="Y130" i="3"/>
  <c r="Q130" i="3"/>
  <c r="AF127" i="3"/>
  <c r="AF127" i="32" s="1"/>
  <c r="X127" i="3"/>
  <c r="AB126" i="3"/>
  <c r="T126" i="3"/>
  <c r="AF125" i="3"/>
  <c r="AF125" i="32" s="1"/>
  <c r="X125" i="3"/>
  <c r="AB124" i="3"/>
  <c r="T124" i="3"/>
  <c r="AF123" i="3"/>
  <c r="X123" i="3"/>
  <c r="AB122" i="3"/>
  <c r="T122" i="3"/>
  <c r="AF130" i="3"/>
  <c r="AF130" i="32" s="1"/>
  <c r="X130" i="3"/>
  <c r="AE127" i="3"/>
  <c r="AE127" i="32" s="1"/>
  <c r="W127" i="3"/>
  <c r="AA126" i="3"/>
  <c r="S126" i="3"/>
  <c r="AE125" i="3"/>
  <c r="AE125" i="32" s="1"/>
  <c r="W125" i="3"/>
  <c r="AA124" i="3"/>
  <c r="S124" i="3"/>
  <c r="AE123" i="3"/>
  <c r="W123" i="3"/>
  <c r="AA122" i="3"/>
  <c r="S122" i="3"/>
  <c r="AE130" i="3"/>
  <c r="W130" i="3"/>
  <c r="AD127" i="3"/>
  <c r="V127" i="3"/>
  <c r="Z126" i="3"/>
  <c r="R126" i="3"/>
  <c r="AD125" i="3"/>
  <c r="V125" i="3"/>
  <c r="Z124" i="3"/>
  <c r="R124" i="3"/>
  <c r="AD123" i="3"/>
  <c r="V123" i="3"/>
  <c r="Z122" i="3"/>
  <c r="R122" i="3"/>
  <c r="AC130" i="3"/>
  <c r="U130" i="3"/>
  <c r="AB127" i="3"/>
  <c r="T127" i="3"/>
  <c r="AF126" i="3"/>
  <c r="AF126" i="32" s="1"/>
  <c r="X126" i="3"/>
  <c r="AB125" i="3"/>
  <c r="T125" i="3"/>
  <c r="AF124" i="3"/>
  <c r="AF124" i="32" s="1"/>
  <c r="X124" i="3"/>
  <c r="AB123" i="3"/>
  <c r="T123" i="3"/>
  <c r="AF122" i="3"/>
  <c r="AF122" i="32" s="1"/>
  <c r="X122" i="3"/>
  <c r="AB130" i="3"/>
  <c r="T130" i="3"/>
  <c r="AA127" i="3"/>
  <c r="S127" i="3"/>
  <c r="AE126" i="3"/>
  <c r="AE126" i="32" s="1"/>
  <c r="W126" i="3"/>
  <c r="AA125" i="3"/>
  <c r="S125" i="3"/>
  <c r="AE124" i="3"/>
  <c r="AE124" i="32" s="1"/>
  <c r="W124" i="3"/>
  <c r="AA123" i="3"/>
  <c r="S123" i="3"/>
  <c r="AE122" i="3"/>
  <c r="AE122" i="32" s="1"/>
  <c r="W122" i="3"/>
  <c r="Y124" i="3"/>
  <c r="P48" i="34"/>
  <c r="U123" i="3"/>
  <c r="U127" i="3"/>
  <c r="O8" i="87"/>
  <c r="W8" i="87"/>
  <c r="Y65" i="34"/>
  <c r="Q67" i="34"/>
  <c r="Q67" i="32"/>
  <c r="AC123" i="3"/>
  <c r="AC127" i="3"/>
  <c r="H8" i="87"/>
  <c r="P8" i="87"/>
  <c r="Z66" i="34"/>
  <c r="Z66" i="32"/>
  <c r="W87" i="34"/>
  <c r="U104" i="32"/>
  <c r="Q122" i="3"/>
  <c r="Q126" i="3"/>
  <c r="U111" i="32"/>
  <c r="Y107" i="34"/>
  <c r="F1" i="88"/>
  <c r="D1" i="88"/>
  <c r="E1" i="88"/>
  <c r="AL160" i="3" s="1"/>
  <c r="M19" i="58" l="1"/>
  <c r="AC63" i="31"/>
  <c r="J101" i="10"/>
  <c r="G66" i="34"/>
  <c r="G28" i="34" s="1"/>
  <c r="K46" i="34"/>
  <c r="Y53" i="10"/>
  <c r="Y71" i="10" s="1"/>
  <c r="K65" i="34"/>
  <c r="K27" i="34" s="1"/>
  <c r="AE130" i="32"/>
  <c r="AE54" i="32"/>
  <c r="J53" i="10"/>
  <c r="J71" i="10" s="1"/>
  <c r="I65" i="32"/>
  <c r="I27" i="32" s="1"/>
  <c r="AE113" i="10"/>
  <c r="N70" i="34"/>
  <c r="W33" i="10"/>
  <c r="W11" i="10" s="1"/>
  <c r="E150" i="92" s="1"/>
  <c r="C51" i="32"/>
  <c r="I46" i="32"/>
  <c r="G66" i="32"/>
  <c r="G28" i="32" s="1"/>
  <c r="G47" i="32"/>
  <c r="AK32" i="3"/>
  <c r="AK13" i="3" s="1"/>
  <c r="AK31" i="3"/>
  <c r="AK12" i="3" s="1"/>
  <c r="AJ31" i="32"/>
  <c r="AJ12" i="32" s="1"/>
  <c r="Q113" i="10"/>
  <c r="AA16" i="10"/>
  <c r="AA21" i="10" s="1"/>
  <c r="E66" i="32"/>
  <c r="E28" i="32" s="1"/>
  <c r="J46" i="32"/>
  <c r="M51" i="34"/>
  <c r="J65" i="34"/>
  <c r="J27" i="34" s="1"/>
  <c r="E47" i="32"/>
  <c r="F65" i="34"/>
  <c r="F27" i="34" s="1"/>
  <c r="U70" i="34"/>
  <c r="E53" i="10"/>
  <c r="E71" i="10" s="1"/>
  <c r="G112" i="10"/>
  <c r="H57" i="34" s="1"/>
  <c r="K112" i="10"/>
  <c r="L76" i="34" s="1"/>
  <c r="L38" i="34" s="1"/>
  <c r="AE123" i="32"/>
  <c r="Y107" i="32"/>
  <c r="AB53" i="10"/>
  <c r="AB71" i="10" s="1"/>
  <c r="J65" i="32"/>
  <c r="J27" i="32" s="1"/>
  <c r="F101" i="10"/>
  <c r="G52" i="34" s="1"/>
  <c r="F66" i="32"/>
  <c r="F28" i="32" s="1"/>
  <c r="F47" i="32"/>
  <c r="F53" i="10"/>
  <c r="F71" i="10" s="1"/>
  <c r="C51" i="34"/>
  <c r="C13" i="34" s="1"/>
  <c r="J66" i="32"/>
  <c r="J28" i="32" s="1"/>
  <c r="I47" i="32"/>
  <c r="I70" i="32"/>
  <c r="I32" i="32" s="1"/>
  <c r="J51" i="34"/>
  <c r="F65" i="32"/>
  <c r="F27" i="32" s="1"/>
  <c r="C46" i="34"/>
  <c r="C8" i="34" s="1"/>
  <c r="H16" i="10"/>
  <c r="I52" i="32" s="1"/>
  <c r="AA53" i="10"/>
  <c r="AA71" i="10" s="1"/>
  <c r="L46" i="34"/>
  <c r="L8" i="34" s="1"/>
  <c r="C66" i="32"/>
  <c r="C28" i="32" s="1"/>
  <c r="H65" i="34"/>
  <c r="H27" i="34" s="1"/>
  <c r="H8" i="34" s="1"/>
  <c r="B101" i="10"/>
  <c r="C52" i="34" s="1"/>
  <c r="W87" i="32"/>
  <c r="L70" i="32"/>
  <c r="L32" i="32" s="1"/>
  <c r="H46" i="32"/>
  <c r="H8" i="32" s="1"/>
  <c r="I51" i="32"/>
  <c r="F46" i="32"/>
  <c r="AJ28" i="32"/>
  <c r="AJ9" i="32" s="1"/>
  <c r="D65" i="34"/>
  <c r="D27" i="34" s="1"/>
  <c r="D8" i="34" s="1"/>
  <c r="L51" i="32"/>
  <c r="J47" i="32"/>
  <c r="L53" i="10"/>
  <c r="L71" i="10" s="1"/>
  <c r="AC141" i="32"/>
  <c r="L66" i="32"/>
  <c r="L28" i="32" s="1"/>
  <c r="L47" i="32"/>
  <c r="I53" i="10"/>
  <c r="I71" i="10" s="1"/>
  <c r="C47" i="32"/>
  <c r="R53" i="10"/>
  <c r="R71" i="10" s="1"/>
  <c r="S72" i="10" s="1"/>
  <c r="H70" i="32"/>
  <c r="H32" i="32" s="1"/>
  <c r="E177" i="92"/>
  <c r="Q72" i="10"/>
  <c r="B112" i="10"/>
  <c r="C74" i="34" s="1"/>
  <c r="C36" i="34" s="1"/>
  <c r="C17" i="34" s="1"/>
  <c r="K53" i="10"/>
  <c r="K71" i="10" s="1"/>
  <c r="H51" i="32"/>
  <c r="S112" i="10"/>
  <c r="S113" i="10" s="1"/>
  <c r="L16" i="10"/>
  <c r="L21" i="10" s="1"/>
  <c r="M74" i="32" s="1"/>
  <c r="F112" i="10"/>
  <c r="G74" i="34" s="1"/>
  <c r="G36" i="34" s="1"/>
  <c r="G17" i="34" s="1"/>
  <c r="G65" i="34"/>
  <c r="G27" i="34" s="1"/>
  <c r="E30" i="92"/>
  <c r="AC113" i="10"/>
  <c r="I66" i="32"/>
  <c r="I28" i="32" s="1"/>
  <c r="B53" i="10"/>
  <c r="B71" i="10" s="1"/>
  <c r="C101" i="10"/>
  <c r="D52" i="34" s="1"/>
  <c r="H101" i="10"/>
  <c r="W10" i="10"/>
  <c r="X103" i="32" s="1"/>
  <c r="X18" i="10"/>
  <c r="Y149" i="32" s="1"/>
  <c r="AJ36" i="32"/>
  <c r="AJ17" i="32" s="1"/>
  <c r="AJ35" i="32"/>
  <c r="AJ16" i="32" s="1"/>
  <c r="AJ29" i="32"/>
  <c r="AJ10" i="32" s="1"/>
  <c r="AJ30" i="32"/>
  <c r="AJ11" i="32" s="1"/>
  <c r="AJ27" i="32"/>
  <c r="AJ8" i="32" s="1"/>
  <c r="AJ32" i="32"/>
  <c r="AJ13" i="32" s="1"/>
  <c r="AK29" i="3"/>
  <c r="AK10" i="3" s="1"/>
  <c r="AK36" i="3"/>
  <c r="AK17" i="3" s="1"/>
  <c r="X142" i="34"/>
  <c r="S104" i="32"/>
  <c r="S108" i="32"/>
  <c r="X68" i="32"/>
  <c r="X68" i="34"/>
  <c r="AA103" i="34"/>
  <c r="Z48" i="32"/>
  <c r="Z48" i="34"/>
  <c r="V70" i="34"/>
  <c r="V49" i="34"/>
  <c r="V49" i="32"/>
  <c r="Y49" i="32"/>
  <c r="Y49" i="34"/>
  <c r="W89" i="32"/>
  <c r="T47" i="32"/>
  <c r="T47" i="34"/>
  <c r="V105" i="34"/>
  <c r="P65" i="34"/>
  <c r="AB44" i="33"/>
  <c r="U67" i="34"/>
  <c r="W49" i="34"/>
  <c r="M48" i="32"/>
  <c r="T3" i="87"/>
  <c r="T2" i="87" s="1"/>
  <c r="U51" i="34"/>
  <c r="AD145" i="32"/>
  <c r="V103" i="32"/>
  <c r="E826" i="92"/>
  <c r="W68" i="34"/>
  <c r="AD142" i="34"/>
  <c r="AB67" i="32"/>
  <c r="W49" i="32"/>
  <c r="U112" i="32"/>
  <c r="U150" i="32"/>
  <c r="Q65" i="32"/>
  <c r="Q65" i="34"/>
  <c r="M149" i="32"/>
  <c r="M35" i="32" s="1"/>
  <c r="AF25" i="31"/>
  <c r="T146" i="32"/>
  <c r="Y50" i="32"/>
  <c r="V70" i="32"/>
  <c r="I46" i="34"/>
  <c r="I8" i="34" s="1"/>
  <c r="C112" i="10"/>
  <c r="D57" i="34" s="1"/>
  <c r="H112" i="10"/>
  <c r="I76" i="34" s="1"/>
  <c r="I38" i="34" s="1"/>
  <c r="U146" i="34"/>
  <c r="N146" i="34"/>
  <c r="K66" i="34"/>
  <c r="K28" i="34" s="1"/>
  <c r="K9" i="34" s="1"/>
  <c r="J112" i="10"/>
  <c r="K76" i="34" s="1"/>
  <c r="D47" i="34"/>
  <c r="D66" i="34"/>
  <c r="D28" i="34" s="1"/>
  <c r="K101" i="10"/>
  <c r="L52" i="34" s="1"/>
  <c r="AK35" i="3"/>
  <c r="AK16" i="3" s="1"/>
  <c r="Y73" i="34"/>
  <c r="V105" i="32"/>
  <c r="AC73" i="32"/>
  <c r="AC73" i="34"/>
  <c r="X70" i="32"/>
  <c r="U111" i="34"/>
  <c r="P3" i="87"/>
  <c r="P2" i="87" s="1"/>
  <c r="Y111" i="34"/>
  <c r="P50" i="32"/>
  <c r="T68" i="34"/>
  <c r="AB67" i="34"/>
  <c r="AB48" i="32"/>
  <c r="M48" i="34"/>
  <c r="Q145" i="34"/>
  <c r="Q49" i="32"/>
  <c r="M54" i="32"/>
  <c r="S69" i="34"/>
  <c r="R146" i="34"/>
  <c r="T104" i="34"/>
  <c r="W111" i="34"/>
  <c r="AA3" i="87"/>
  <c r="AA2" i="87" s="1"/>
  <c r="AE103" i="32"/>
  <c r="AE27" i="32" s="1"/>
  <c r="T49" i="32"/>
  <c r="AC49" i="32"/>
  <c r="AC49" i="34"/>
  <c r="T104" i="32"/>
  <c r="AC106" i="34"/>
  <c r="AD108" i="32"/>
  <c r="AA66" i="32"/>
  <c r="X105" i="32"/>
  <c r="AB70" i="34"/>
  <c r="AK28" i="3"/>
  <c r="AK9" i="3" s="1"/>
  <c r="AK30" i="3"/>
  <c r="AK11" i="3" s="1"/>
  <c r="AB142" i="34"/>
  <c r="N3" i="87"/>
  <c r="N2" i="87" s="1"/>
  <c r="AK27" i="3"/>
  <c r="AK8" i="3" s="1"/>
  <c r="X146" i="32"/>
  <c r="O3" i="87"/>
  <c r="O2" i="87" s="1"/>
  <c r="AB65" i="32"/>
  <c r="P49" i="32"/>
  <c r="P49" i="34"/>
  <c r="AD66" i="34"/>
  <c r="E822" i="92"/>
  <c r="X107" i="34"/>
  <c r="T46" i="32"/>
  <c r="T67" i="32"/>
  <c r="AB141" i="32"/>
  <c r="AB141" i="34"/>
  <c r="S69" i="32"/>
  <c r="AC103" i="32"/>
  <c r="AC103" i="34"/>
  <c r="AC50" i="32"/>
  <c r="T67" i="34"/>
  <c r="T143" i="32"/>
  <c r="T143" i="34"/>
  <c r="N54" i="34"/>
  <c r="AH28" i="32"/>
  <c r="AH9" i="32" s="1"/>
  <c r="Z65" i="32"/>
  <c r="W48" i="32"/>
  <c r="S68" i="32"/>
  <c r="W145" i="32"/>
  <c r="N54" i="32"/>
  <c r="K3" i="87"/>
  <c r="K2" i="87" s="1"/>
  <c r="T49" i="34"/>
  <c r="P143" i="34"/>
  <c r="H3" i="87"/>
  <c r="H2" i="87" s="1"/>
  <c r="N32" i="3"/>
  <c r="N13" i="3" s="1"/>
  <c r="Y112" i="34"/>
  <c r="AA107" i="34"/>
  <c r="AB142" i="32"/>
  <c r="T69" i="34"/>
  <c r="AD145" i="34"/>
  <c r="R144" i="32"/>
  <c r="R66" i="34"/>
  <c r="Q49" i="34"/>
  <c r="V144" i="34"/>
  <c r="X111" i="34"/>
  <c r="Z49" i="32"/>
  <c r="Y46" i="34"/>
  <c r="X105" i="34"/>
  <c r="M54" i="34"/>
  <c r="AC143" i="34"/>
  <c r="V50" i="32"/>
  <c r="V3" i="87"/>
  <c r="V2" i="87" s="1"/>
  <c r="Z49" i="34"/>
  <c r="P143" i="32"/>
  <c r="AA54" i="34"/>
  <c r="AJ28" i="3"/>
  <c r="AJ9" i="3" s="1"/>
  <c r="E824" i="92"/>
  <c r="AI28" i="32"/>
  <c r="AI9" i="32" s="1"/>
  <c r="AJ128" i="3"/>
  <c r="AJ30" i="3"/>
  <c r="AJ11" i="3" s="1"/>
  <c r="AJ29" i="3"/>
  <c r="AJ10" i="3" s="1"/>
  <c r="AB145" i="32"/>
  <c r="T107" i="34"/>
  <c r="AJ147" i="3"/>
  <c r="V106" i="32"/>
  <c r="AI36" i="32"/>
  <c r="AI17" i="32" s="1"/>
  <c r="T107" i="32"/>
  <c r="S112" i="34"/>
  <c r="V106" i="34"/>
  <c r="AB73" i="32"/>
  <c r="AD67" i="32"/>
  <c r="Z103" i="34"/>
  <c r="AB145" i="34"/>
  <c r="AD67" i="34"/>
  <c r="AJ31" i="3"/>
  <c r="AJ12" i="3" s="1"/>
  <c r="AJ71" i="3"/>
  <c r="AJ27" i="3"/>
  <c r="AC63" i="35"/>
  <c r="AJ36" i="3"/>
  <c r="AJ17" i="3" s="1"/>
  <c r="AJ35" i="3"/>
  <c r="AJ16" i="3" s="1"/>
  <c r="Y48" i="34"/>
  <c r="AH27" i="32"/>
  <c r="AH8" i="32" s="1"/>
  <c r="AJ32" i="3"/>
  <c r="AJ13" i="3" s="1"/>
  <c r="AJ52" i="3"/>
  <c r="AD146" i="34"/>
  <c r="AA66" i="34"/>
  <c r="O49" i="32"/>
  <c r="AH29" i="32"/>
  <c r="AH10" i="32" s="1"/>
  <c r="Q73" i="32"/>
  <c r="O49" i="34"/>
  <c r="R144" i="34"/>
  <c r="Q73" i="34"/>
  <c r="P65" i="32"/>
  <c r="AJ109" i="3"/>
  <c r="O67" i="34"/>
  <c r="E688" i="92"/>
  <c r="AB44" i="31"/>
  <c r="AH30" i="32"/>
  <c r="AH11" i="32" s="1"/>
  <c r="X49" i="32"/>
  <c r="X49" i="34"/>
  <c r="AC63" i="34"/>
  <c r="H20" i="3"/>
  <c r="V145" i="34"/>
  <c r="X103" i="34"/>
  <c r="AH31" i="32"/>
  <c r="AH12" i="32" s="1"/>
  <c r="AI30" i="32"/>
  <c r="AI11" i="32" s="1"/>
  <c r="AB44" i="35"/>
  <c r="AH36" i="32"/>
  <c r="AH17" i="32" s="1"/>
  <c r="AI27" i="32"/>
  <c r="AI8" i="32" s="1"/>
  <c r="AI31" i="32"/>
  <c r="AI12" i="32" s="1"/>
  <c r="Z112" i="34"/>
  <c r="Y144" i="32"/>
  <c r="AI32" i="32"/>
  <c r="AI13" i="32" s="1"/>
  <c r="T146" i="34"/>
  <c r="Y108" i="32"/>
  <c r="AI35" i="32"/>
  <c r="AI16" i="32" s="1"/>
  <c r="AH32" i="32"/>
  <c r="AH13" i="32" s="1"/>
  <c r="AC46" i="32"/>
  <c r="AI29" i="32"/>
  <c r="AI10" i="32" s="1"/>
  <c r="S49" i="32"/>
  <c r="W105" i="32"/>
  <c r="S49" i="34"/>
  <c r="T66" i="32"/>
  <c r="Z144" i="32"/>
  <c r="Q69" i="34"/>
  <c r="Y144" i="34"/>
  <c r="W105" i="34"/>
  <c r="AB103" i="32"/>
  <c r="AA25" i="34"/>
  <c r="Q69" i="32"/>
  <c r="Z144" i="34"/>
  <c r="AB103" i="34"/>
  <c r="Q74" i="32"/>
  <c r="AH35" i="32"/>
  <c r="AH16" i="32" s="1"/>
  <c r="R66" i="32"/>
  <c r="W68" i="32"/>
  <c r="U19" i="58"/>
  <c r="E19" i="58"/>
  <c r="P47" i="34"/>
  <c r="Z3" i="87"/>
  <c r="Z2" i="87" s="1"/>
  <c r="W74" i="34"/>
  <c r="AC46" i="34"/>
  <c r="R47" i="32"/>
  <c r="V67" i="32"/>
  <c r="V67" i="34"/>
  <c r="X69" i="34"/>
  <c r="Q48" i="32"/>
  <c r="T50" i="34"/>
  <c r="Z145" i="32"/>
  <c r="Z145" i="34"/>
  <c r="Z105" i="32"/>
  <c r="Q48" i="34"/>
  <c r="AB104" i="32"/>
  <c r="P68" i="32"/>
  <c r="P68" i="34"/>
  <c r="AD51" i="32"/>
  <c r="AA47" i="32"/>
  <c r="T103" i="32"/>
  <c r="AC67" i="32"/>
  <c r="AB47" i="32"/>
  <c r="AA47" i="34"/>
  <c r="AB104" i="34"/>
  <c r="R68" i="32"/>
  <c r="X65" i="34"/>
  <c r="R68" i="34"/>
  <c r="T103" i="34"/>
  <c r="N51" i="34"/>
  <c r="AC67" i="34"/>
  <c r="AB47" i="34"/>
  <c r="AA46" i="34"/>
  <c r="Q3" i="87"/>
  <c r="Q2" i="87" s="1"/>
  <c r="W86" i="34"/>
  <c r="AD49" i="32"/>
  <c r="M67" i="32"/>
  <c r="M29" i="32" s="1"/>
  <c r="M10" i="32" s="1"/>
  <c r="I3" i="87"/>
  <c r="I2" i="87" s="1"/>
  <c r="R47" i="34"/>
  <c r="AD49" i="34"/>
  <c r="N73" i="32"/>
  <c r="Y143" i="34"/>
  <c r="N49" i="34"/>
  <c r="Y143" i="32"/>
  <c r="M67" i="34"/>
  <c r="V144" i="32"/>
  <c r="P48" i="32"/>
  <c r="AL128" i="3"/>
  <c r="AL133" i="3" s="1"/>
  <c r="AL135" i="3" s="1"/>
  <c r="Z65" i="34"/>
  <c r="Z50" i="32"/>
  <c r="AD107" i="32"/>
  <c r="Z50" i="34"/>
  <c r="AD107" i="34"/>
  <c r="AE50" i="32"/>
  <c r="U149" i="32"/>
  <c r="U149" i="34"/>
  <c r="AC48" i="32"/>
  <c r="AC48" i="34"/>
  <c r="P144" i="32"/>
  <c r="P144" i="34"/>
  <c r="P67" i="32"/>
  <c r="P67" i="34"/>
  <c r="AA51" i="32"/>
  <c r="R3" i="87"/>
  <c r="R2" i="87" s="1"/>
  <c r="AF31" i="32"/>
  <c r="AF12" i="32" s="1"/>
  <c r="AC65" i="34"/>
  <c r="AC65" i="32"/>
  <c r="AB139" i="35"/>
  <c r="AB139" i="34"/>
  <c r="AC139" i="35"/>
  <c r="AC139" i="34"/>
  <c r="Z47" i="34"/>
  <c r="AD139" i="35"/>
  <c r="AD139" i="34"/>
  <c r="T51" i="34"/>
  <c r="AA67" i="34"/>
  <c r="AA106" i="34"/>
  <c r="AA106" i="32"/>
  <c r="AA139" i="35"/>
  <c r="AA139" i="34"/>
  <c r="AD21" i="10"/>
  <c r="AE22" i="10" s="1"/>
  <c r="D70" i="32"/>
  <c r="D32" i="32" s="1"/>
  <c r="D51" i="32"/>
  <c r="M101" i="10"/>
  <c r="F16" i="10"/>
  <c r="G52" i="32" s="1"/>
  <c r="N70" i="32"/>
  <c r="O66" i="32"/>
  <c r="H47" i="34"/>
  <c r="H9" i="34" s="1"/>
  <c r="G46" i="32"/>
  <c r="C46" i="32"/>
  <c r="Z53" i="10"/>
  <c r="Z71" i="10" s="1"/>
  <c r="AA72" i="10" s="1"/>
  <c r="B16" i="10"/>
  <c r="B21" i="10" s="1"/>
  <c r="K66" i="32"/>
  <c r="K28" i="32" s="1"/>
  <c r="G101" i="10"/>
  <c r="H71" i="34" s="1"/>
  <c r="H33" i="34" s="1"/>
  <c r="AA105" i="32"/>
  <c r="K47" i="32"/>
  <c r="H53" i="10"/>
  <c r="H71" i="10" s="1"/>
  <c r="C65" i="32"/>
  <c r="C27" i="32" s="1"/>
  <c r="N51" i="32"/>
  <c r="D65" i="32"/>
  <c r="D27" i="32" s="1"/>
  <c r="D46" i="32"/>
  <c r="E38" i="92"/>
  <c r="H66" i="32"/>
  <c r="H28" i="32" s="1"/>
  <c r="N146" i="32"/>
  <c r="M53" i="10"/>
  <c r="M71" i="10" s="1"/>
  <c r="K72" i="10"/>
  <c r="S16" i="10"/>
  <c r="S21" i="10" s="1"/>
  <c r="T112" i="32" s="1"/>
  <c r="G16" i="10"/>
  <c r="H52" i="32" s="1"/>
  <c r="U33" i="10"/>
  <c r="AD74" i="34"/>
  <c r="Q16" i="10"/>
  <c r="Q21" i="10" s="1"/>
  <c r="R74" i="32" s="1"/>
  <c r="E147" i="58"/>
  <c r="S149" i="32"/>
  <c r="S149" i="34"/>
  <c r="W50" i="34"/>
  <c r="W107" i="32"/>
  <c r="W107" i="34"/>
  <c r="P141" i="34"/>
  <c r="Q145" i="32"/>
  <c r="T69" i="32"/>
  <c r="AB48" i="34"/>
  <c r="AC143" i="32"/>
  <c r="AA25" i="35"/>
  <c r="AA25" i="33"/>
  <c r="AC44" i="33"/>
  <c r="AC25" i="35"/>
  <c r="AC108" i="32"/>
  <c r="Y50" i="34"/>
  <c r="T66" i="34"/>
  <c r="Z142" i="32"/>
  <c r="T65" i="32"/>
  <c r="O150" i="34"/>
  <c r="T149" i="32"/>
  <c r="T65" i="34"/>
  <c r="W36" i="3"/>
  <c r="W17" i="3" s="1"/>
  <c r="B141" i="33"/>
  <c r="AI147" i="3"/>
  <c r="AI147" i="32" s="1"/>
  <c r="AI128" i="3"/>
  <c r="AI109" i="3"/>
  <c r="N69" i="34"/>
  <c r="Y66" i="34"/>
  <c r="Y106" i="34"/>
  <c r="X54" i="34"/>
  <c r="W106" i="32"/>
  <c r="R70" i="32"/>
  <c r="W106" i="34"/>
  <c r="Z111" i="34"/>
  <c r="U48" i="32"/>
  <c r="W90" i="3"/>
  <c r="W90" i="34" s="1"/>
  <c r="AE25" i="31"/>
  <c r="AC69" i="32"/>
  <c r="S46" i="32"/>
  <c r="AC69" i="34"/>
  <c r="S46" i="34"/>
  <c r="Z111" i="32"/>
  <c r="P74" i="34"/>
  <c r="W84" i="34"/>
  <c r="AC68" i="34"/>
  <c r="AB66" i="34"/>
  <c r="Z105" i="34"/>
  <c r="S104" i="34"/>
  <c r="AA108" i="34"/>
  <c r="AB66" i="32"/>
  <c r="Q68" i="32"/>
  <c r="V51" i="32"/>
  <c r="AA73" i="34"/>
  <c r="V51" i="34"/>
  <c r="R49" i="32"/>
  <c r="U74" i="32"/>
  <c r="AD65" i="32"/>
  <c r="V48" i="32"/>
  <c r="AD106" i="34"/>
  <c r="AD65" i="34"/>
  <c r="V48" i="34"/>
  <c r="Z47" i="32"/>
  <c r="S48" i="32"/>
  <c r="T111" i="32"/>
  <c r="AC106" i="32"/>
  <c r="V50" i="34"/>
  <c r="S66" i="32"/>
  <c r="S48" i="34"/>
  <c r="E690" i="92"/>
  <c r="T111" i="34"/>
  <c r="O69" i="32"/>
  <c r="S66" i="34"/>
  <c r="AD144" i="34"/>
  <c r="Y48" i="32"/>
  <c r="O74" i="34"/>
  <c r="AD106" i="32"/>
  <c r="S47" i="32"/>
  <c r="AC149" i="34"/>
  <c r="Q68" i="34"/>
  <c r="AC50" i="34"/>
  <c r="AC47" i="32"/>
  <c r="S68" i="34"/>
  <c r="S47" i="34"/>
  <c r="AE68" i="32"/>
  <c r="AG29" i="32"/>
  <c r="AG10" i="32" s="1"/>
  <c r="AG31" i="32"/>
  <c r="AG12" i="32" s="1"/>
  <c r="AH52" i="3"/>
  <c r="AH52" i="32" s="1"/>
  <c r="AH31" i="3"/>
  <c r="AH12" i="3" s="1"/>
  <c r="AG28" i="32"/>
  <c r="AG9" i="32" s="1"/>
  <c r="AH28" i="3"/>
  <c r="AH9" i="3" s="1"/>
  <c r="AH36" i="3"/>
  <c r="AH17" i="3" s="1"/>
  <c r="AH35" i="3"/>
  <c r="AH16" i="3" s="1"/>
  <c r="AH128" i="3"/>
  <c r="AH29" i="3"/>
  <c r="AH10" i="3" s="1"/>
  <c r="Y3" i="87"/>
  <c r="Y2" i="87" s="1"/>
  <c r="AH147" i="3"/>
  <c r="AH147" i="32" s="1"/>
  <c r="AH32" i="3"/>
  <c r="AH13" i="3" s="1"/>
  <c r="AH30" i="3"/>
  <c r="AH11" i="3" s="1"/>
  <c r="AH71" i="3"/>
  <c r="AH71" i="32" s="1"/>
  <c r="AH27" i="3"/>
  <c r="AH109" i="3"/>
  <c r="N67" i="34"/>
  <c r="N29" i="34" s="1"/>
  <c r="AB107" i="32"/>
  <c r="V68" i="32"/>
  <c r="AC141" i="34"/>
  <c r="AA104" i="34"/>
  <c r="X67" i="32"/>
  <c r="V68" i="34"/>
  <c r="Q149" i="32"/>
  <c r="N48" i="32"/>
  <c r="Q149" i="34"/>
  <c r="R146" i="32"/>
  <c r="N48" i="34"/>
  <c r="U70" i="32"/>
  <c r="T50" i="32"/>
  <c r="AG32" i="32"/>
  <c r="AG13" i="32" s="1"/>
  <c r="AG35" i="32"/>
  <c r="AG16" i="32" s="1"/>
  <c r="AG36" i="32"/>
  <c r="AG17" i="32" s="1"/>
  <c r="AG27" i="32"/>
  <c r="AG8" i="32" s="1"/>
  <c r="AG30" i="32"/>
  <c r="AG11" i="32" s="1"/>
  <c r="AI27" i="3"/>
  <c r="AI71" i="3"/>
  <c r="AI71" i="32" s="1"/>
  <c r="AI35" i="3"/>
  <c r="AI16" i="3" s="1"/>
  <c r="AI28" i="3"/>
  <c r="AI9" i="3" s="1"/>
  <c r="AI31" i="3"/>
  <c r="AI12" i="3" s="1"/>
  <c r="AI36" i="3"/>
  <c r="AI17" i="3" s="1"/>
  <c r="AI29" i="3"/>
  <c r="AI10" i="3" s="1"/>
  <c r="AI32" i="3"/>
  <c r="AI13" i="3" s="1"/>
  <c r="AI52" i="3"/>
  <c r="AI52" i="32" s="1"/>
  <c r="AI30" i="3"/>
  <c r="AI11" i="3" s="1"/>
  <c r="AG139" i="31"/>
  <c r="AG139" i="32"/>
  <c r="AG139" i="33"/>
  <c r="AG155" i="33"/>
  <c r="AG101" i="31"/>
  <c r="AG101" i="33"/>
  <c r="AG63" i="31"/>
  <c r="AG63" i="33"/>
  <c r="AG120" i="31"/>
  <c r="AG120" i="33"/>
  <c r="AG44" i="31"/>
  <c r="AG44" i="33"/>
  <c r="AG25" i="31"/>
  <c r="AG25" i="33"/>
  <c r="U65" i="32"/>
  <c r="W48" i="34"/>
  <c r="N28" i="3"/>
  <c r="N9" i="3" s="1"/>
  <c r="M146" i="34"/>
  <c r="M32" i="34" s="1"/>
  <c r="M13" i="34" s="1"/>
  <c r="T108" i="34"/>
  <c r="X143" i="34"/>
  <c r="W142" i="34"/>
  <c r="Q66" i="34"/>
  <c r="M51" i="32"/>
  <c r="AC66" i="32"/>
  <c r="AG128" i="3"/>
  <c r="Q146" i="32"/>
  <c r="AC54" i="32"/>
  <c r="U69" i="32"/>
  <c r="AC66" i="34"/>
  <c r="O149" i="32"/>
  <c r="AA103" i="32"/>
  <c r="AC54" i="34"/>
  <c r="AB112" i="34"/>
  <c r="E155" i="92"/>
  <c r="X158" i="32"/>
  <c r="X54" i="32"/>
  <c r="X111" i="32"/>
  <c r="AB74" i="34"/>
  <c r="AG113" i="10"/>
  <c r="Y74" i="34"/>
  <c r="E70" i="32"/>
  <c r="E32" i="32" s="1"/>
  <c r="X53" i="10"/>
  <c r="X71" i="10" s="1"/>
  <c r="Y72" i="10" s="1"/>
  <c r="O53" i="10"/>
  <c r="O71" i="10" s="1"/>
  <c r="E51" i="32"/>
  <c r="Y113" i="10"/>
  <c r="G53" i="10"/>
  <c r="G71" i="10" s="1"/>
  <c r="G72" i="10" s="1"/>
  <c r="E16" i="10"/>
  <c r="F52" i="32" s="1"/>
  <c r="M66" i="34"/>
  <c r="L47" i="34"/>
  <c r="L9" i="34" s="1"/>
  <c r="I16" i="10"/>
  <c r="Z18" i="10"/>
  <c r="E176" i="92" s="1"/>
  <c r="Y158" i="34"/>
  <c r="L112" i="10"/>
  <c r="M74" i="34" s="1"/>
  <c r="W113" i="10"/>
  <c r="E37" i="92"/>
  <c r="V18" i="10"/>
  <c r="W111" i="32" s="1"/>
  <c r="E66" i="34"/>
  <c r="E28" i="34" s="1"/>
  <c r="E9" i="34" s="1"/>
  <c r="D53" i="10"/>
  <c r="D71" i="10" s="1"/>
  <c r="E72" i="10" s="1"/>
  <c r="S19" i="58"/>
  <c r="AG147" i="3"/>
  <c r="AG147" i="32" s="1"/>
  <c r="O47" i="34"/>
  <c r="AC145" i="32"/>
  <c r="O65" i="32"/>
  <c r="X112" i="34"/>
  <c r="S150" i="34"/>
  <c r="S103" i="34"/>
  <c r="S74" i="34"/>
  <c r="O141" i="34"/>
  <c r="AA104" i="32"/>
  <c r="N67" i="32"/>
  <c r="U54" i="32"/>
  <c r="AC68" i="32"/>
  <c r="AE46" i="32"/>
  <c r="AC111" i="32"/>
  <c r="X67" i="34"/>
  <c r="M50" i="34"/>
  <c r="AB46" i="32"/>
  <c r="N141" i="32"/>
  <c r="V149" i="32"/>
  <c r="Z104" i="32"/>
  <c r="U105" i="34"/>
  <c r="AB46" i="34"/>
  <c r="AE105" i="32"/>
  <c r="Z104" i="34"/>
  <c r="W67" i="32"/>
  <c r="O48" i="32"/>
  <c r="AC71" i="3"/>
  <c r="E803" i="92" s="1"/>
  <c r="Y103" i="34"/>
  <c r="V149" i="34"/>
  <c r="P66" i="34"/>
  <c r="W67" i="34"/>
  <c r="O48" i="34"/>
  <c r="S103" i="32"/>
  <c r="T149" i="34"/>
  <c r="O141" i="32"/>
  <c r="Q51" i="34"/>
  <c r="W69" i="34"/>
  <c r="AB50" i="34"/>
  <c r="AC104" i="34"/>
  <c r="AB54" i="32"/>
  <c r="Q124" i="32"/>
  <c r="AC146" i="32"/>
  <c r="T145" i="34"/>
  <c r="Z141" i="34"/>
  <c r="AD103" i="32"/>
  <c r="Y67" i="32"/>
  <c r="Y141" i="34"/>
  <c r="AD68" i="32"/>
  <c r="AB54" i="34"/>
  <c r="U47" i="32"/>
  <c r="AA70" i="32"/>
  <c r="E1224" i="92"/>
  <c r="AA150" i="34"/>
  <c r="T144" i="32"/>
  <c r="Y67" i="34"/>
  <c r="P70" i="32"/>
  <c r="X46" i="34"/>
  <c r="AD68" i="34"/>
  <c r="AA70" i="34"/>
  <c r="T145" i="32"/>
  <c r="AB146" i="32"/>
  <c r="R141" i="32"/>
  <c r="P149" i="32"/>
  <c r="AB146" i="34"/>
  <c r="T144" i="34"/>
  <c r="R141" i="34"/>
  <c r="Y149" i="34"/>
  <c r="P149" i="34"/>
  <c r="P35" i="34" s="1"/>
  <c r="E951" i="92"/>
  <c r="T105" i="32"/>
  <c r="AA48" i="32"/>
  <c r="R36" i="3"/>
  <c r="R17" i="3" s="1"/>
  <c r="AE106" i="32"/>
  <c r="T105" i="34"/>
  <c r="S65" i="32"/>
  <c r="AA48" i="34"/>
  <c r="N30" i="3"/>
  <c r="N11" i="3" s="1"/>
  <c r="X3" i="87"/>
  <c r="M142" i="32"/>
  <c r="S144" i="32"/>
  <c r="O145" i="32"/>
  <c r="X48" i="32"/>
  <c r="R150" i="34"/>
  <c r="R36" i="34" s="1"/>
  <c r="R17" i="34" s="1"/>
  <c r="U106" i="32"/>
  <c r="N68" i="32"/>
  <c r="AB68" i="32"/>
  <c r="S65" i="34"/>
  <c r="M142" i="34"/>
  <c r="S144" i="34"/>
  <c r="O145" i="34"/>
  <c r="O31" i="34" s="1"/>
  <c r="X48" i="34"/>
  <c r="U106" i="34"/>
  <c r="N68" i="34"/>
  <c r="AB68" i="34"/>
  <c r="AE48" i="32"/>
  <c r="U48" i="34"/>
  <c r="AG30" i="3"/>
  <c r="AG11" i="3" s="1"/>
  <c r="D147" i="58"/>
  <c r="AC18" i="58"/>
  <c r="V17" i="18"/>
  <c r="T22" i="18"/>
  <c r="V12" i="18"/>
  <c r="X12" i="18"/>
  <c r="U47" i="34"/>
  <c r="U104" i="34"/>
  <c r="V14" i="18"/>
  <c r="X14" i="18"/>
  <c r="U107" i="32"/>
  <c r="N53" i="10"/>
  <c r="N71" i="10" s="1"/>
  <c r="E781" i="92"/>
  <c r="T78" i="10"/>
  <c r="U141" i="34" s="1"/>
  <c r="J12" i="59"/>
  <c r="J29" i="59" s="1"/>
  <c r="R17" i="18"/>
  <c r="R22" i="18" s="1"/>
  <c r="F42" i="79"/>
  <c r="F21" i="84"/>
  <c r="H21" i="84" s="1"/>
  <c r="I21" i="84" s="1"/>
  <c r="H9" i="84"/>
  <c r="I9" i="84" s="1"/>
  <c r="F42" i="76"/>
  <c r="I101" i="10"/>
  <c r="J71" i="34" s="1"/>
  <c r="J33" i="34" s="1"/>
  <c r="F70" i="34"/>
  <c r="F32" i="34" s="1"/>
  <c r="F13" i="34" s="1"/>
  <c r="V146" i="34"/>
  <c r="AA158" i="34"/>
  <c r="AC145" i="34"/>
  <c r="U107" i="34"/>
  <c r="Z67" i="32"/>
  <c r="Q47" i="34"/>
  <c r="O68" i="32"/>
  <c r="N66" i="32"/>
  <c r="AD48" i="34"/>
  <c r="N47" i="34"/>
  <c r="W104" i="34"/>
  <c r="AD104" i="34"/>
  <c r="B46" i="33"/>
  <c r="B122" i="33"/>
  <c r="D66" i="32"/>
  <c r="D28" i="32" s="1"/>
  <c r="I47" i="34"/>
  <c r="I9" i="34" s="1"/>
  <c r="N16" i="10"/>
  <c r="N21" i="10" s="1"/>
  <c r="C19" i="58"/>
  <c r="H27" i="78"/>
  <c r="I27" i="78" s="1"/>
  <c r="F42" i="78"/>
  <c r="V29" i="10"/>
  <c r="H10" i="69"/>
  <c r="I10" i="69" s="1"/>
  <c r="F9" i="69"/>
  <c r="U78" i="10"/>
  <c r="V103" i="34" s="1"/>
  <c r="F41" i="69"/>
  <c r="V13" i="18"/>
  <c r="X13" i="18"/>
  <c r="W49" i="10"/>
  <c r="W14" i="10" s="1"/>
  <c r="X145" i="32" s="1"/>
  <c r="H19" i="76"/>
  <c r="I19" i="76" s="1"/>
  <c r="N141" i="34"/>
  <c r="V143" i="32"/>
  <c r="U144" i="32"/>
  <c r="R143" i="34"/>
  <c r="Q150" i="32"/>
  <c r="P146" i="32"/>
  <c r="Z67" i="34"/>
  <c r="W70" i="34"/>
  <c r="O68" i="34"/>
  <c r="N66" i="34"/>
  <c r="AB51" i="32"/>
  <c r="AB49" i="32"/>
  <c r="J16" i="10"/>
  <c r="J21" i="10" s="1"/>
  <c r="K76" i="32" s="1"/>
  <c r="D47" i="32"/>
  <c r="M112" i="10"/>
  <c r="N150" i="34" s="1"/>
  <c r="G17" i="20"/>
  <c r="AD70" i="32"/>
  <c r="B84" i="33"/>
  <c r="B65" i="33"/>
  <c r="AE111" i="32"/>
  <c r="E112" i="10"/>
  <c r="F74" i="34" s="1"/>
  <c r="F36" i="34" s="1"/>
  <c r="F17" i="34" s="1"/>
  <c r="M141" i="34"/>
  <c r="M65" i="34"/>
  <c r="V34" i="10"/>
  <c r="V33" i="10" s="1"/>
  <c r="F13" i="69"/>
  <c r="H13" i="69" s="1"/>
  <c r="I13" i="69" s="1"/>
  <c r="H14" i="69"/>
  <c r="I14" i="69" s="1"/>
  <c r="H27" i="21"/>
  <c r="I27" i="21" s="1"/>
  <c r="F42" i="21"/>
  <c r="H42" i="21" s="1"/>
  <c r="I42" i="21" s="1"/>
  <c r="F46" i="56"/>
  <c r="H46" i="56" s="1"/>
  <c r="I46" i="56" s="1"/>
  <c r="AD103" i="34"/>
  <c r="U54" i="34"/>
  <c r="N47" i="32"/>
  <c r="V143" i="34"/>
  <c r="U144" i="34"/>
  <c r="Z70" i="32"/>
  <c r="X106" i="32"/>
  <c r="R142" i="32"/>
  <c r="Z108" i="32"/>
  <c r="AE149" i="32"/>
  <c r="K65" i="32"/>
  <c r="K27" i="32" s="1"/>
  <c r="AB52" i="3"/>
  <c r="E560" i="92" s="1"/>
  <c r="AB71" i="3"/>
  <c r="F21" i="78"/>
  <c r="H21" i="78" s="1"/>
  <c r="I21" i="78" s="1"/>
  <c r="H9" i="78"/>
  <c r="I9" i="78" s="1"/>
  <c r="X11" i="18"/>
  <c r="V11" i="18"/>
  <c r="X16" i="18"/>
  <c r="V16" i="18"/>
  <c r="H9" i="79"/>
  <c r="I9" i="79" s="1"/>
  <c r="F21" i="79"/>
  <c r="H21" i="79" s="1"/>
  <c r="I21" i="79" s="1"/>
  <c r="AC111" i="34"/>
  <c r="AD48" i="32"/>
  <c r="W150" i="34"/>
  <c r="Q150" i="34"/>
  <c r="Q46" i="34"/>
  <c r="AC105" i="32"/>
  <c r="AB69" i="32"/>
  <c r="AB105" i="32"/>
  <c r="AB144" i="32"/>
  <c r="AA143" i="34"/>
  <c r="R142" i="34"/>
  <c r="AC104" i="32"/>
  <c r="W3" i="87"/>
  <c r="W2" i="87" s="1"/>
  <c r="M46" i="32"/>
  <c r="AC105" i="34"/>
  <c r="AB69" i="34"/>
  <c r="AB105" i="34"/>
  <c r="B103" i="33"/>
  <c r="C16" i="10"/>
  <c r="D52" i="32" s="1"/>
  <c r="I112" i="10"/>
  <c r="J74" i="34" s="1"/>
  <c r="J36" i="34" s="1"/>
  <c r="J17" i="34" s="1"/>
  <c r="E65" i="34"/>
  <c r="E27" i="34" s="1"/>
  <c r="E8" i="34" s="1"/>
  <c r="AE49" i="32"/>
  <c r="K10" i="32"/>
  <c r="K46" i="32"/>
  <c r="C53" i="10"/>
  <c r="C71" i="10" s="1"/>
  <c r="Y16" i="10"/>
  <c r="Y21" i="10" s="1"/>
  <c r="Z112" i="32" s="1"/>
  <c r="F21" i="76"/>
  <c r="H21" i="76" s="1"/>
  <c r="I21" i="76" s="1"/>
  <c r="H9" i="76"/>
  <c r="I9" i="76" s="1"/>
  <c r="U84" i="10"/>
  <c r="U83" i="10" s="1"/>
  <c r="N19" i="59"/>
  <c r="N12" i="59" s="1"/>
  <c r="N29" i="59" s="1"/>
  <c r="F23" i="56"/>
  <c r="H9" i="56"/>
  <c r="I9" i="56" s="1"/>
  <c r="P47" i="32"/>
  <c r="AD104" i="32"/>
  <c r="Q46" i="32"/>
  <c r="Z103" i="32"/>
  <c r="AB49" i="34"/>
  <c r="AB144" i="34"/>
  <c r="Z141" i="32"/>
  <c r="Q74" i="34"/>
  <c r="U67" i="32"/>
  <c r="S3" i="87"/>
  <c r="S2" i="87" s="1"/>
  <c r="U105" i="32"/>
  <c r="AB50" i="32"/>
  <c r="AA67" i="32"/>
  <c r="S36" i="3"/>
  <c r="S17" i="3" s="1"/>
  <c r="X95" i="35"/>
  <c r="L101" i="10"/>
  <c r="M16" i="10"/>
  <c r="M21" i="10" s="1"/>
  <c r="N74" i="32" s="1"/>
  <c r="AA113" i="10"/>
  <c r="F42" i="84"/>
  <c r="B54" i="35"/>
  <c r="B35" i="35"/>
  <c r="B92" i="35"/>
  <c r="B130" i="35"/>
  <c r="E13" i="34"/>
  <c r="B150" i="33"/>
  <c r="E12" i="32"/>
  <c r="D12" i="32"/>
  <c r="B73" i="35"/>
  <c r="B111" i="35"/>
  <c r="AF30" i="32"/>
  <c r="AF11" i="32" s="1"/>
  <c r="I10" i="32"/>
  <c r="Y106" i="32"/>
  <c r="AA142" i="32"/>
  <c r="AE73" i="32"/>
  <c r="O46" i="32"/>
  <c r="AA142" i="34"/>
  <c r="P73" i="32"/>
  <c r="Q144" i="32"/>
  <c r="N149" i="32"/>
  <c r="Q144" i="34"/>
  <c r="X108" i="32"/>
  <c r="N149" i="34"/>
  <c r="N35" i="34" s="1"/>
  <c r="Y66" i="32"/>
  <c r="W50" i="32"/>
  <c r="N69" i="32"/>
  <c r="AB159" i="32"/>
  <c r="AC142" i="32"/>
  <c r="AA105" i="34"/>
  <c r="O144" i="32"/>
  <c r="Z69" i="32"/>
  <c r="R67" i="32"/>
  <c r="Y70" i="32"/>
  <c r="Q50" i="32"/>
  <c r="P50" i="34"/>
  <c r="AB107" i="34"/>
  <c r="AB73" i="34"/>
  <c r="U69" i="34"/>
  <c r="T46" i="34"/>
  <c r="O144" i="34"/>
  <c r="Z69" i="34"/>
  <c r="R67" i="34"/>
  <c r="Q50" i="34"/>
  <c r="Y145" i="32"/>
  <c r="O50" i="32"/>
  <c r="O36" i="3"/>
  <c r="O17" i="3" s="1"/>
  <c r="AB158" i="34"/>
  <c r="S142" i="34"/>
  <c r="AD112" i="34"/>
  <c r="O143" i="32"/>
  <c r="O29" i="32" s="1"/>
  <c r="Z68" i="32"/>
  <c r="Y69" i="32"/>
  <c r="Y145" i="34"/>
  <c r="Y105" i="32"/>
  <c r="U103" i="32"/>
  <c r="W73" i="34"/>
  <c r="O50" i="34"/>
  <c r="Z150" i="34"/>
  <c r="AD46" i="32"/>
  <c r="J3" i="87"/>
  <c r="J2" i="87" s="1"/>
  <c r="AD150" i="34"/>
  <c r="W146" i="32"/>
  <c r="O143" i="34"/>
  <c r="Z68" i="34"/>
  <c r="Y69" i="34"/>
  <c r="Q142" i="32"/>
  <c r="Y105" i="34"/>
  <c r="AA109" i="3"/>
  <c r="E906" i="92" s="1"/>
  <c r="AD46" i="34"/>
  <c r="U66" i="32"/>
  <c r="AA50" i="32"/>
  <c r="AC142" i="34"/>
  <c r="R145" i="32"/>
  <c r="P142" i="32"/>
  <c r="W146" i="34"/>
  <c r="Q142" i="34"/>
  <c r="U66" i="34"/>
  <c r="AA50" i="34"/>
  <c r="S142" i="32"/>
  <c r="R145" i="34"/>
  <c r="P142" i="34"/>
  <c r="X51" i="34"/>
  <c r="T109" i="3"/>
  <c r="E842" i="92" s="1"/>
  <c r="R149" i="32"/>
  <c r="AE145" i="32"/>
  <c r="Z71" i="3"/>
  <c r="AD144" i="32"/>
  <c r="AC149" i="32"/>
  <c r="Q66" i="32"/>
  <c r="R149" i="34"/>
  <c r="N49" i="32"/>
  <c r="P28" i="3"/>
  <c r="P9" i="3" s="1"/>
  <c r="AB111" i="32"/>
  <c r="E1137" i="92"/>
  <c r="AB111" i="34"/>
  <c r="T142" i="32"/>
  <c r="S146" i="32"/>
  <c r="Z142" i="34"/>
  <c r="W145" i="34"/>
  <c r="Y54" i="34"/>
  <c r="R49" i="34"/>
  <c r="U71" i="3"/>
  <c r="E731" i="92" s="1"/>
  <c r="T48" i="32"/>
  <c r="E589" i="92"/>
  <c r="P27" i="3"/>
  <c r="P8" i="3" s="1"/>
  <c r="R52" i="3"/>
  <c r="R52" i="34" s="1"/>
  <c r="T142" i="34"/>
  <c r="R51" i="32"/>
  <c r="Z46" i="32"/>
  <c r="Y142" i="32"/>
  <c r="L3" i="87"/>
  <c r="L2" i="87" s="1"/>
  <c r="AD105" i="32"/>
  <c r="AE109" i="3"/>
  <c r="E938" i="92" s="1"/>
  <c r="T48" i="34"/>
  <c r="AE71" i="3"/>
  <c r="AE71" i="32" s="1"/>
  <c r="AE66" i="32"/>
  <c r="AB143" i="32"/>
  <c r="S145" i="32"/>
  <c r="P145" i="32"/>
  <c r="Z46" i="34"/>
  <c r="Y142" i="34"/>
  <c r="AD105" i="34"/>
  <c r="U50" i="32"/>
  <c r="U46" i="32"/>
  <c r="AB143" i="34"/>
  <c r="S145" i="34"/>
  <c r="S141" i="32"/>
  <c r="R48" i="32"/>
  <c r="U109" i="3"/>
  <c r="U114" i="3" s="1"/>
  <c r="P69" i="32"/>
  <c r="U73" i="32"/>
  <c r="M70" i="32"/>
  <c r="M32" i="32" s="1"/>
  <c r="U68" i="32"/>
  <c r="U50" i="34"/>
  <c r="T52" i="3"/>
  <c r="T57" i="3" s="1"/>
  <c r="O146" i="58" s="1"/>
  <c r="O147" i="58" s="1"/>
  <c r="M145" i="32"/>
  <c r="M31" i="32" s="1"/>
  <c r="U108" i="34"/>
  <c r="W149" i="34"/>
  <c r="AD143" i="32"/>
  <c r="M145" i="34"/>
  <c r="T141" i="32"/>
  <c r="V107" i="32"/>
  <c r="R48" i="34"/>
  <c r="Y47" i="32"/>
  <c r="Y146" i="32"/>
  <c r="P69" i="34"/>
  <c r="P31" i="34" s="1"/>
  <c r="U73" i="34"/>
  <c r="V65" i="32"/>
  <c r="N50" i="32"/>
  <c r="U68" i="34"/>
  <c r="T141" i="34"/>
  <c r="T150" i="34"/>
  <c r="V107" i="34"/>
  <c r="R65" i="32"/>
  <c r="AD109" i="3"/>
  <c r="AD114" i="3" s="1"/>
  <c r="P54" i="32"/>
  <c r="Y47" i="34"/>
  <c r="Y147" i="3"/>
  <c r="E1162" i="92" s="1"/>
  <c r="X29" i="3"/>
  <c r="X10" i="3" s="1"/>
  <c r="N50" i="34"/>
  <c r="E1210" i="92"/>
  <c r="AD143" i="34"/>
  <c r="U141" i="32"/>
  <c r="X143" i="32"/>
  <c r="P141" i="32"/>
  <c r="W103" i="34"/>
  <c r="R65" i="34"/>
  <c r="P54" i="34"/>
  <c r="AA74" i="34"/>
  <c r="AE107" i="32"/>
  <c r="Z74" i="34"/>
  <c r="V111" i="34"/>
  <c r="S50" i="34"/>
  <c r="AE144" i="32"/>
  <c r="V46" i="32"/>
  <c r="Q70" i="34"/>
  <c r="T73" i="32"/>
  <c r="O32" i="3"/>
  <c r="O13" i="3" s="1"/>
  <c r="Y141" i="32"/>
  <c r="T147" i="3"/>
  <c r="T152" i="3" s="1"/>
  <c r="O31" i="3"/>
  <c r="O12" i="3" s="1"/>
  <c r="S105" i="32"/>
  <c r="M143" i="34"/>
  <c r="AA143" i="32"/>
  <c r="Y71" i="3"/>
  <c r="E771" i="92" s="1"/>
  <c r="R69" i="34"/>
  <c r="E930" i="92"/>
  <c r="Y51" i="34"/>
  <c r="Q47" i="32"/>
  <c r="V111" i="32"/>
  <c r="M50" i="32"/>
  <c r="S73" i="34"/>
  <c r="AA46" i="32"/>
  <c r="Z52" i="3"/>
  <c r="O149" i="34"/>
  <c r="O35" i="34" s="1"/>
  <c r="AC144" i="32"/>
  <c r="S111" i="32"/>
  <c r="X106" i="34"/>
  <c r="X144" i="32"/>
  <c r="P46" i="32"/>
  <c r="AD54" i="32"/>
  <c r="AD47" i="34"/>
  <c r="M46" i="34"/>
  <c r="N27" i="3"/>
  <c r="N8" i="3" s="1"/>
  <c r="AD147" i="3"/>
  <c r="AD147" i="34" s="1"/>
  <c r="N142" i="32"/>
  <c r="N142" i="34"/>
  <c r="AC144" i="34"/>
  <c r="S111" i="34"/>
  <c r="Z158" i="34"/>
  <c r="X144" i="34"/>
  <c r="P150" i="34"/>
  <c r="Q54" i="32"/>
  <c r="V109" i="3"/>
  <c r="V114" i="3" s="1"/>
  <c r="Y68" i="32"/>
  <c r="X50" i="34"/>
  <c r="P46" i="34"/>
  <c r="AB109" i="3"/>
  <c r="E914" i="92" s="1"/>
  <c r="AD54" i="34"/>
  <c r="AD69" i="32"/>
  <c r="S54" i="34"/>
  <c r="Z36" i="3"/>
  <c r="Z17" i="3" s="1"/>
  <c r="N29" i="3"/>
  <c r="N10" i="3" s="1"/>
  <c r="V147" i="3"/>
  <c r="V152" i="3" s="1"/>
  <c r="AD141" i="32"/>
  <c r="AB150" i="32"/>
  <c r="Q54" i="34"/>
  <c r="R50" i="32"/>
  <c r="R46" i="32"/>
  <c r="Y68" i="34"/>
  <c r="AD69" i="34"/>
  <c r="N65" i="32"/>
  <c r="AB106" i="32"/>
  <c r="S54" i="32"/>
  <c r="U3" i="87"/>
  <c r="U2" i="87" s="1"/>
  <c r="E1205" i="92"/>
  <c r="N143" i="32"/>
  <c r="AB150" i="34"/>
  <c r="W144" i="32"/>
  <c r="Y52" i="3"/>
  <c r="E539" i="92" s="1"/>
  <c r="R50" i="34"/>
  <c r="R46" i="34"/>
  <c r="N65" i="34"/>
  <c r="AB106" i="34"/>
  <c r="M68" i="32"/>
  <c r="E1133" i="92"/>
  <c r="E1071" i="92"/>
  <c r="V141" i="32"/>
  <c r="AF147" i="3"/>
  <c r="AF147" i="32" s="1"/>
  <c r="W144" i="34"/>
  <c r="Z51" i="32"/>
  <c r="AF52" i="3"/>
  <c r="AF57" i="3" s="1"/>
  <c r="AD71" i="3"/>
  <c r="E811" i="92" s="1"/>
  <c r="AD52" i="3"/>
  <c r="AD57" i="3" s="1"/>
  <c r="AF35" i="32"/>
  <c r="AF16" i="32" s="1"/>
  <c r="AC51" i="32"/>
  <c r="P147" i="3"/>
  <c r="P147" i="34" s="1"/>
  <c r="V108" i="32"/>
  <c r="V108" i="34"/>
  <c r="X145" i="34"/>
  <c r="S105" i="34"/>
  <c r="R69" i="32"/>
  <c r="W54" i="34"/>
  <c r="N71" i="3"/>
  <c r="E675" i="92" s="1"/>
  <c r="W66" i="34"/>
  <c r="S73" i="32"/>
  <c r="R71" i="3"/>
  <c r="R71" i="34" s="1"/>
  <c r="G12" i="34"/>
  <c r="F16" i="34"/>
  <c r="E1156" i="92"/>
  <c r="T71" i="3"/>
  <c r="T71" i="34" s="1"/>
  <c r="K13" i="34"/>
  <c r="AB147" i="3"/>
  <c r="AB152" i="3" s="1"/>
  <c r="AB152" i="32" s="1"/>
  <c r="E546" i="92"/>
  <c r="J39" i="3"/>
  <c r="J19" i="3"/>
  <c r="F10" i="34"/>
  <c r="F13" i="32"/>
  <c r="P32" i="3"/>
  <c r="P13" i="3" s="1"/>
  <c r="E779" i="92"/>
  <c r="Z73" i="32"/>
  <c r="Z54" i="32"/>
  <c r="X147" i="3"/>
  <c r="X152" i="3" s="1"/>
  <c r="N31" i="3"/>
  <c r="N12" i="3" s="1"/>
  <c r="Z73" i="34"/>
  <c r="Z54" i="34"/>
  <c r="AE52" i="3"/>
  <c r="AE57" i="3" s="1"/>
  <c r="AE57" i="32" s="1"/>
  <c r="F5" i="8"/>
  <c r="A1266" i="92"/>
  <c r="A1234" i="92"/>
  <c r="A1298" i="92"/>
  <c r="J11" i="32"/>
  <c r="C11" i="34"/>
  <c r="C10" i="32"/>
  <c r="K12" i="34"/>
  <c r="C10" i="34"/>
  <c r="L12" i="32"/>
  <c r="Y150" i="34"/>
  <c r="AA145" i="34"/>
  <c r="AA141" i="32"/>
  <c r="X141" i="34"/>
  <c r="W143" i="34"/>
  <c r="O142" i="32"/>
  <c r="Q71" i="3"/>
  <c r="E699" i="92" s="1"/>
  <c r="Q141" i="32"/>
  <c r="P51" i="34"/>
  <c r="AD73" i="34"/>
  <c r="W65" i="34"/>
  <c r="M69" i="34"/>
  <c r="R147" i="3"/>
  <c r="E1098" i="92" s="1"/>
  <c r="AA141" i="34"/>
  <c r="O142" i="34"/>
  <c r="Q141" i="34"/>
  <c r="X28" i="3"/>
  <c r="X9" i="3" s="1"/>
  <c r="M3" i="87"/>
  <c r="M2" i="87" s="1"/>
  <c r="Z149" i="32"/>
  <c r="U49" i="32"/>
  <c r="E1073" i="92"/>
  <c r="AA146" i="32"/>
  <c r="V52" i="3"/>
  <c r="E511" i="92" s="1"/>
  <c r="N145" i="34"/>
  <c r="N144" i="32"/>
  <c r="Z146" i="32"/>
  <c r="P52" i="3"/>
  <c r="P57" i="3" s="1"/>
  <c r="W47" i="34"/>
  <c r="Z149" i="34"/>
  <c r="S107" i="32"/>
  <c r="Z107" i="32"/>
  <c r="X104" i="32"/>
  <c r="M66" i="32"/>
  <c r="U49" i="34"/>
  <c r="R54" i="32"/>
  <c r="E707" i="92"/>
  <c r="N144" i="34"/>
  <c r="U145" i="32"/>
  <c r="Z146" i="34"/>
  <c r="X109" i="3"/>
  <c r="X114" i="3" s="1"/>
  <c r="O73" i="32"/>
  <c r="W51" i="32"/>
  <c r="S107" i="34"/>
  <c r="M71" i="3"/>
  <c r="E667" i="92" s="1"/>
  <c r="X104" i="34"/>
  <c r="M65" i="32"/>
  <c r="R54" i="34"/>
  <c r="E1072" i="92"/>
  <c r="E758" i="92"/>
  <c r="E1186" i="92"/>
  <c r="N145" i="32"/>
  <c r="U145" i="34"/>
  <c r="R143" i="32"/>
  <c r="AD158" i="34"/>
  <c r="S109" i="3"/>
  <c r="S114" i="3" s="1"/>
  <c r="Z107" i="34"/>
  <c r="S50" i="32"/>
  <c r="N147" i="3"/>
  <c r="U36" i="3"/>
  <c r="U17" i="3" s="1"/>
  <c r="X66" i="32"/>
  <c r="Y104" i="32"/>
  <c r="T73" i="34"/>
  <c r="R73" i="32"/>
  <c r="S52" i="3"/>
  <c r="E490" i="92" s="1"/>
  <c r="M144" i="32"/>
  <c r="M144" i="34"/>
  <c r="M30" i="34" s="1"/>
  <c r="AA145" i="32"/>
  <c r="W143" i="32"/>
  <c r="X71" i="3"/>
  <c r="X76" i="3" s="1"/>
  <c r="X66" i="34"/>
  <c r="AD73" i="32"/>
  <c r="Y104" i="34"/>
  <c r="U52" i="3"/>
  <c r="E504" i="92" s="1"/>
  <c r="R73" i="34"/>
  <c r="N36" i="3"/>
  <c r="N17" i="3" s="1"/>
  <c r="M36" i="3"/>
  <c r="M17" i="3" s="1"/>
  <c r="E1068" i="92"/>
  <c r="Q36" i="3"/>
  <c r="Q17" i="3" s="1"/>
  <c r="E1100" i="92"/>
  <c r="Y36" i="3"/>
  <c r="Y17" i="3" s="1"/>
  <c r="T36" i="3"/>
  <c r="T17" i="3" s="1"/>
  <c r="E1202" i="92"/>
  <c r="X36" i="3"/>
  <c r="X17" i="3" s="1"/>
  <c r="O30" i="3"/>
  <c r="O11" i="3" s="1"/>
  <c r="P36" i="3"/>
  <c r="P17" i="3" s="1"/>
  <c r="E1114" i="92"/>
  <c r="P30" i="3"/>
  <c r="P11" i="3" s="1"/>
  <c r="E1089" i="92"/>
  <c r="P31" i="3"/>
  <c r="P12" i="3" s="1"/>
  <c r="E1067" i="92"/>
  <c r="M35" i="3"/>
  <c r="M16" i="3" s="1"/>
  <c r="V36" i="3"/>
  <c r="V17" i="3" s="1"/>
  <c r="E1140" i="92"/>
  <c r="Z106" i="34"/>
  <c r="S143" i="34"/>
  <c r="E469" i="92"/>
  <c r="P66" i="32"/>
  <c r="W69" i="32"/>
  <c r="O51" i="32"/>
  <c r="O47" i="32"/>
  <c r="AF32" i="32"/>
  <c r="AF13" i="32" s="1"/>
  <c r="Y103" i="32"/>
  <c r="Y109" i="3"/>
  <c r="AE143" i="32"/>
  <c r="Z147" i="3"/>
  <c r="AA111" i="34"/>
  <c r="AB108" i="32"/>
  <c r="AC107" i="32"/>
  <c r="X149" i="32"/>
  <c r="O65" i="34"/>
  <c r="AC47" i="34"/>
  <c r="AA65" i="32"/>
  <c r="S51" i="34"/>
  <c r="E497" i="92"/>
  <c r="AD149" i="32"/>
  <c r="AC107" i="34"/>
  <c r="X149" i="34"/>
  <c r="AF71" i="3"/>
  <c r="E827" i="92" s="1"/>
  <c r="N52" i="3"/>
  <c r="E455" i="92" s="1"/>
  <c r="AD50" i="32"/>
  <c r="Z109" i="3"/>
  <c r="E898" i="92" s="1"/>
  <c r="AA68" i="32"/>
  <c r="AA65" i="34"/>
  <c r="M141" i="32"/>
  <c r="W141" i="34"/>
  <c r="V73" i="32"/>
  <c r="AF27" i="32"/>
  <c r="AF8" i="32" s="1"/>
  <c r="AD50" i="34"/>
  <c r="N46" i="32"/>
  <c r="AA68" i="34"/>
  <c r="AD149" i="34"/>
  <c r="Z143" i="32"/>
  <c r="P71" i="3"/>
  <c r="P76" i="3" s="1"/>
  <c r="P76" i="34" s="1"/>
  <c r="P38" i="34" s="1"/>
  <c r="V73" i="34"/>
  <c r="N46" i="34"/>
  <c r="M49" i="32"/>
  <c r="S70" i="32"/>
  <c r="AA144" i="32"/>
  <c r="Z143" i="34"/>
  <c r="AC70" i="32"/>
  <c r="M49" i="34"/>
  <c r="S70" i="34"/>
  <c r="W147" i="3"/>
  <c r="E1138" i="92" s="1"/>
  <c r="Z106" i="32"/>
  <c r="AA144" i="34"/>
  <c r="S143" i="32"/>
  <c r="AC109" i="3"/>
  <c r="AC114" i="3" s="1"/>
  <c r="AC114" i="34" s="1"/>
  <c r="AC52" i="3"/>
  <c r="E567" i="92" s="1"/>
  <c r="AC36" i="3"/>
  <c r="AC17" i="3" s="1"/>
  <c r="O28" i="3"/>
  <c r="O9" i="3" s="1"/>
  <c r="AL31" i="3"/>
  <c r="AL12" i="3" s="1"/>
  <c r="C147" i="58"/>
  <c r="I19" i="58"/>
  <c r="AA19" i="58"/>
  <c r="K19" i="58"/>
  <c r="W19" i="58"/>
  <c r="L161" i="3"/>
  <c r="L20" i="3"/>
  <c r="T139" i="33"/>
  <c r="T139" i="32"/>
  <c r="T139" i="34"/>
  <c r="T139" i="35"/>
  <c r="T139" i="31"/>
  <c r="W52" i="3"/>
  <c r="E527" i="92"/>
  <c r="U146" i="32"/>
  <c r="Q52" i="3"/>
  <c r="E476" i="92" s="1"/>
  <c r="X52" i="3"/>
  <c r="E532" i="92" s="1"/>
  <c r="Q147" i="3"/>
  <c r="Q152" i="3" s="1"/>
  <c r="O70" i="34"/>
  <c r="O66" i="34"/>
  <c r="AF109" i="3"/>
  <c r="AF109" i="32" s="1"/>
  <c r="AA71" i="3"/>
  <c r="E787" i="92" s="1"/>
  <c r="Q29" i="3"/>
  <c r="Q10" i="3" s="1"/>
  <c r="B127" i="34"/>
  <c r="L65" i="32"/>
  <c r="L27" i="32" s="1"/>
  <c r="F66" i="34"/>
  <c r="F28" i="34" s="1"/>
  <c r="AE142" i="32"/>
  <c r="E1187" i="92"/>
  <c r="T112" i="10"/>
  <c r="U120" i="33"/>
  <c r="U120" i="35"/>
  <c r="U120" i="32"/>
  <c r="U120" i="34"/>
  <c r="U120" i="31"/>
  <c r="E805" i="92"/>
  <c r="AB36" i="3"/>
  <c r="AB17" i="3" s="1"/>
  <c r="P120" i="34"/>
  <c r="P120" i="33"/>
  <c r="P120" i="35"/>
  <c r="P120" i="31"/>
  <c r="P120" i="32"/>
  <c r="P35" i="3"/>
  <c r="P16" i="3" s="1"/>
  <c r="E700" i="92"/>
  <c r="O52" i="3"/>
  <c r="O57" i="3" s="1"/>
  <c r="E464" i="92"/>
  <c r="W109" i="3"/>
  <c r="AD142" i="32"/>
  <c r="U143" i="32"/>
  <c r="O146" i="32"/>
  <c r="O32" i="32" s="1"/>
  <c r="X74" i="34"/>
  <c r="Y46" i="32"/>
  <c r="O54" i="32"/>
  <c r="V71" i="3"/>
  <c r="E739" i="92" s="1"/>
  <c r="AC112" i="34"/>
  <c r="S71" i="3"/>
  <c r="E715" i="92" s="1"/>
  <c r="B89" i="34"/>
  <c r="B131" i="33"/>
  <c r="K11" i="32"/>
  <c r="E101" i="10"/>
  <c r="F52" i="34" s="1"/>
  <c r="L46" i="32"/>
  <c r="F47" i="34"/>
  <c r="AE47" i="32"/>
  <c r="D101" i="10"/>
  <c r="AC147" i="3"/>
  <c r="E1197" i="92"/>
  <c r="AA147" i="3"/>
  <c r="AA152" i="3" s="1"/>
  <c r="E1181" i="92"/>
  <c r="H120" i="34"/>
  <c r="H120" i="33"/>
  <c r="H120" i="35"/>
  <c r="H120" i="31"/>
  <c r="H120" i="32"/>
  <c r="O120" i="35"/>
  <c r="O120" i="32"/>
  <c r="O120" i="34"/>
  <c r="O120" i="33"/>
  <c r="O120" i="31"/>
  <c r="D120" i="33"/>
  <c r="D120" i="35"/>
  <c r="D120" i="32"/>
  <c r="D120" i="31"/>
  <c r="D120" i="34"/>
  <c r="AF74" i="32"/>
  <c r="AF36" i="32" s="1"/>
  <c r="AF17" i="32" s="1"/>
  <c r="AF36" i="3"/>
  <c r="AF17" i="3" s="1"/>
  <c r="AD36" i="3"/>
  <c r="AD17" i="3" s="1"/>
  <c r="E821" i="92"/>
  <c r="O29" i="3"/>
  <c r="O10" i="3" s="1"/>
  <c r="P29" i="3"/>
  <c r="AC25" i="34"/>
  <c r="AC25" i="31"/>
  <c r="AC158" i="34"/>
  <c r="U143" i="34"/>
  <c r="U142" i="32"/>
  <c r="AC150" i="34"/>
  <c r="O146" i="34"/>
  <c r="AA112" i="34"/>
  <c r="O54" i="34"/>
  <c r="X47" i="32"/>
  <c r="AF29" i="32"/>
  <c r="AF10" i="32" s="1"/>
  <c r="AC74" i="34"/>
  <c r="V69" i="32"/>
  <c r="AD66" i="32"/>
  <c r="T54" i="32"/>
  <c r="S67" i="32"/>
  <c r="B108" i="34"/>
  <c r="I12" i="34"/>
  <c r="C9" i="34"/>
  <c r="K16" i="10"/>
  <c r="K21" i="10" s="1"/>
  <c r="L57" i="32" s="1"/>
  <c r="G13" i="34"/>
  <c r="K10" i="34"/>
  <c r="J12" i="34"/>
  <c r="AE104" i="32"/>
  <c r="E1130" i="92"/>
  <c r="AE147" i="3"/>
  <c r="E1213" i="92"/>
  <c r="U147" i="3"/>
  <c r="E1125" i="92"/>
  <c r="S147" i="3"/>
  <c r="E1109" i="92"/>
  <c r="T120" i="33"/>
  <c r="T120" i="35"/>
  <c r="T120" i="32"/>
  <c r="T120" i="34"/>
  <c r="T120" i="31"/>
  <c r="W71" i="3"/>
  <c r="C120" i="33"/>
  <c r="C120" i="35"/>
  <c r="C120" i="32"/>
  <c r="C120" i="34"/>
  <c r="C120" i="31"/>
  <c r="O35" i="3"/>
  <c r="O16" i="3" s="1"/>
  <c r="E692" i="92"/>
  <c r="M31" i="3"/>
  <c r="M12" i="3" s="1"/>
  <c r="E674" i="92"/>
  <c r="M27" i="3"/>
  <c r="E670" i="92"/>
  <c r="U82" i="34"/>
  <c r="U82" i="33"/>
  <c r="U82" i="32"/>
  <c r="U82" i="35"/>
  <c r="U82" i="31"/>
  <c r="AC44" i="34"/>
  <c r="AC44" i="31"/>
  <c r="F161" i="3"/>
  <c r="F20" i="3"/>
  <c r="R6" i="10"/>
  <c r="A105" i="92"/>
  <c r="Q25" i="10"/>
  <c r="A102" i="92"/>
  <c r="A104" i="92"/>
  <c r="A101" i="92"/>
  <c r="A103" i="92"/>
  <c r="A106" i="92"/>
  <c r="Q75" i="10"/>
  <c r="A100" i="92"/>
  <c r="U142" i="34"/>
  <c r="AB149" i="32"/>
  <c r="X158" i="34"/>
  <c r="X47" i="34"/>
  <c r="V54" i="32"/>
  <c r="W46" i="34"/>
  <c r="V69" i="34"/>
  <c r="AD111" i="32"/>
  <c r="T54" i="34"/>
  <c r="AA69" i="32"/>
  <c r="S67" i="34"/>
  <c r="E687" i="92"/>
  <c r="B51" i="34"/>
  <c r="B70" i="34"/>
  <c r="M147" i="3"/>
  <c r="E1061" i="92"/>
  <c r="F120" i="35"/>
  <c r="F120" i="32"/>
  <c r="F120" i="34"/>
  <c r="F120" i="33"/>
  <c r="F120" i="31"/>
  <c r="O27" i="3"/>
  <c r="O8" i="3" s="1"/>
  <c r="K120" i="33"/>
  <c r="K120" i="35"/>
  <c r="K120" i="32"/>
  <c r="K120" i="34"/>
  <c r="K120" i="31"/>
  <c r="O147" i="3"/>
  <c r="O152" i="3" s="1"/>
  <c r="AB149" i="34"/>
  <c r="X150" i="34"/>
  <c r="Y65" i="32"/>
  <c r="Q143" i="32"/>
  <c r="O71" i="3"/>
  <c r="O76" i="3" s="1"/>
  <c r="V54" i="34"/>
  <c r="AD47" i="32"/>
  <c r="AD111" i="34"/>
  <c r="AA52" i="3"/>
  <c r="E553" i="92" s="1"/>
  <c r="AA69" i="34"/>
  <c r="AA49" i="32"/>
  <c r="B55" i="33"/>
  <c r="B74" i="33"/>
  <c r="B93" i="33"/>
  <c r="G8" i="34"/>
  <c r="AL147" i="3"/>
  <c r="E120" i="33"/>
  <c r="E120" i="35"/>
  <c r="E120" i="32"/>
  <c r="E120" i="34"/>
  <c r="E120" i="31"/>
  <c r="N35" i="3"/>
  <c r="N16" i="3" s="1"/>
  <c r="E684" i="92"/>
  <c r="I120" i="34"/>
  <c r="I120" i="33"/>
  <c r="I120" i="31"/>
  <c r="I120" i="35"/>
  <c r="I120" i="32"/>
  <c r="M28" i="3"/>
  <c r="M9" i="3" s="1"/>
  <c r="E671" i="92"/>
  <c r="W108" i="32"/>
  <c r="X73" i="32"/>
  <c r="Q143" i="34"/>
  <c r="Q29" i="34" s="1"/>
  <c r="M47" i="32"/>
  <c r="AA49" i="34"/>
  <c r="J13" i="34"/>
  <c r="AD53" i="10"/>
  <c r="AD71" i="10" s="1"/>
  <c r="AE72" i="10" s="1"/>
  <c r="T82" i="34"/>
  <c r="T82" i="33"/>
  <c r="T82" i="35"/>
  <c r="T82" i="32"/>
  <c r="T82" i="31"/>
  <c r="S120" i="33"/>
  <c r="S120" i="35"/>
  <c r="S120" i="32"/>
  <c r="S120" i="34"/>
  <c r="S120" i="31"/>
  <c r="G120" i="35"/>
  <c r="G120" i="32"/>
  <c r="G120" i="34"/>
  <c r="G120" i="33"/>
  <c r="G120" i="31"/>
  <c r="X73" i="34"/>
  <c r="AA107" i="32"/>
  <c r="M52" i="3"/>
  <c r="E448" i="92" s="1"/>
  <c r="M47" i="34"/>
  <c r="AA36" i="3"/>
  <c r="AA17" i="3" s="1"/>
  <c r="B32" i="34"/>
  <c r="B112" i="33"/>
  <c r="C16" i="34"/>
  <c r="I10" i="34"/>
  <c r="K11" i="34"/>
  <c r="C12" i="34"/>
  <c r="D16" i="34"/>
  <c r="H13" i="34"/>
  <c r="AC53" i="10"/>
  <c r="AC71" i="10" s="1"/>
  <c r="AC72" i="10" s="1"/>
  <c r="E483" i="92"/>
  <c r="V139" i="34"/>
  <c r="V139" i="35"/>
  <c r="V139" i="32"/>
  <c r="V139" i="31"/>
  <c r="V139" i="33"/>
  <c r="M30" i="3"/>
  <c r="M11" i="3" s="1"/>
  <c r="E673" i="92"/>
  <c r="M29" i="3"/>
  <c r="M10" i="3" s="1"/>
  <c r="E1063" i="92"/>
  <c r="Q120" i="34"/>
  <c r="Q120" i="33"/>
  <c r="Q120" i="31"/>
  <c r="Q120" i="32"/>
  <c r="Q120" i="35"/>
  <c r="M32" i="3"/>
  <c r="M13" i="3" s="1"/>
  <c r="D161" i="3"/>
  <c r="D20" i="3"/>
  <c r="U139" i="34"/>
  <c r="U139" i="35"/>
  <c r="U139" i="33"/>
  <c r="U139" i="32"/>
  <c r="U139" i="31"/>
  <c r="AE36" i="3"/>
  <c r="AE17" i="3" s="1"/>
  <c r="O19" i="58"/>
  <c r="Y19" i="58"/>
  <c r="G19" i="58"/>
  <c r="Q19" i="58"/>
  <c r="I74" i="34"/>
  <c r="I36" i="34" s="1"/>
  <c r="I17" i="34" s="1"/>
  <c r="F57" i="34"/>
  <c r="E858" i="92"/>
  <c r="L11" i="34"/>
  <c r="H13" i="32"/>
  <c r="I11" i="32"/>
  <c r="I13" i="34"/>
  <c r="G9" i="34"/>
  <c r="D12" i="34"/>
  <c r="E8" i="32"/>
  <c r="K13" i="32"/>
  <c r="J10" i="32"/>
  <c r="AA44" i="35"/>
  <c r="AA44" i="31"/>
  <c r="AA44" i="34"/>
  <c r="AA44" i="33"/>
  <c r="E691" i="92"/>
  <c r="AE101" i="33"/>
  <c r="AE101" i="31"/>
  <c r="AD63" i="35"/>
  <c r="AD63" i="31"/>
  <c r="AD63" i="34"/>
  <c r="AD63" i="33"/>
  <c r="D112" i="10"/>
  <c r="AC16" i="10"/>
  <c r="E191" i="92"/>
  <c r="AB16" i="10"/>
  <c r="E1218" i="92"/>
  <c r="E574" i="92"/>
  <c r="AE155" i="33"/>
  <c r="AE43" i="32"/>
  <c r="AE100" i="32"/>
  <c r="AE119" i="32"/>
  <c r="AE138" i="32"/>
  <c r="AE24" i="32"/>
  <c r="AE62" i="32"/>
  <c r="AA120" i="33"/>
  <c r="AA120" i="35"/>
  <c r="AA120" i="34"/>
  <c r="AA120" i="31"/>
  <c r="AD101" i="35"/>
  <c r="AD101" i="34"/>
  <c r="AD101" i="31"/>
  <c r="AD101" i="33"/>
  <c r="E135" i="92"/>
  <c r="E850" i="92"/>
  <c r="E581" i="92"/>
  <c r="J16" i="34"/>
  <c r="D11" i="34"/>
  <c r="H11" i="32"/>
  <c r="E12" i="34"/>
  <c r="J12" i="32"/>
  <c r="L10" i="32"/>
  <c r="E16" i="34"/>
  <c r="J9" i="34"/>
  <c r="AC139" i="33"/>
  <c r="AC139" i="31"/>
  <c r="AC139" i="32"/>
  <c r="AA63" i="31"/>
  <c r="AA63" i="34"/>
  <c r="AA63" i="33"/>
  <c r="AA63" i="35"/>
  <c r="AF63" i="33"/>
  <c r="AF63" i="31"/>
  <c r="AF139" i="32"/>
  <c r="AF139" i="33"/>
  <c r="AF139" i="31"/>
  <c r="U112" i="10"/>
  <c r="AA101" i="33"/>
  <c r="AA101" i="35"/>
  <c r="AA101" i="34"/>
  <c r="AA101" i="31"/>
  <c r="AD120" i="33"/>
  <c r="AD120" i="35"/>
  <c r="AD120" i="34"/>
  <c r="AD120" i="31"/>
  <c r="E588" i="92"/>
  <c r="E1090" i="92"/>
  <c r="AF123" i="32"/>
  <c r="AF28" i="32" s="1"/>
  <c r="AF9" i="32" s="1"/>
  <c r="AB139" i="32"/>
  <c r="AB139" i="33"/>
  <c r="AB139" i="31"/>
  <c r="AB120" i="33"/>
  <c r="AB120" i="35"/>
  <c r="AB120" i="34"/>
  <c r="AB120" i="31"/>
  <c r="AD44" i="33"/>
  <c r="AD44" i="35"/>
  <c r="AD44" i="31"/>
  <c r="AD44" i="34"/>
  <c r="X16" i="10"/>
  <c r="E156" i="92"/>
  <c r="AF43" i="32"/>
  <c r="AF62" i="32"/>
  <c r="AF100" i="32"/>
  <c r="AF119" i="32"/>
  <c r="AF138" i="32"/>
  <c r="AF24" i="32"/>
  <c r="E1074" i="92"/>
  <c r="H12" i="32"/>
  <c r="AF120" i="33"/>
  <c r="AF120" i="31"/>
  <c r="AA155" i="33"/>
  <c r="AA155" i="35"/>
  <c r="AB101" i="33"/>
  <c r="AB101" i="35"/>
  <c r="AB101" i="34"/>
  <c r="AB101" i="31"/>
  <c r="O16" i="10"/>
  <c r="E93" i="92"/>
  <c r="AE32" i="32"/>
  <c r="AE13" i="32" s="1"/>
  <c r="E890" i="92"/>
  <c r="AC155" i="33"/>
  <c r="AC155" i="35"/>
  <c r="Z16" i="10"/>
  <c r="E170" i="92"/>
  <c r="E882" i="92"/>
  <c r="E922" i="92"/>
  <c r="I9" i="32"/>
  <c r="L12" i="34"/>
  <c r="D10" i="34"/>
  <c r="AB63" i="31"/>
  <c r="AB63" i="34"/>
  <c r="AB63" i="33"/>
  <c r="AB63" i="35"/>
  <c r="AF101" i="33"/>
  <c r="AF101" i="31"/>
  <c r="AA139" i="31"/>
  <c r="AA139" i="32"/>
  <c r="AA139" i="33"/>
  <c r="AB155" i="33"/>
  <c r="AB155" i="35"/>
  <c r="AC120" i="33"/>
  <c r="AC120" i="35"/>
  <c r="AC120" i="34"/>
  <c r="AC120" i="31"/>
  <c r="AE63" i="33"/>
  <c r="AE63" i="31"/>
  <c r="AB25" i="31"/>
  <c r="AB25" i="34"/>
  <c r="AB25" i="33"/>
  <c r="AB25" i="35"/>
  <c r="R16" i="10"/>
  <c r="E114" i="92"/>
  <c r="AD155" i="33"/>
  <c r="AD155" i="35"/>
  <c r="E683" i="92"/>
  <c r="E946" i="92"/>
  <c r="E819" i="92"/>
  <c r="E763" i="92"/>
  <c r="AE120" i="33"/>
  <c r="AE120" i="31"/>
  <c r="AC101" i="33"/>
  <c r="AC101" i="35"/>
  <c r="AC101" i="34"/>
  <c r="AC101" i="31"/>
  <c r="AE139" i="32"/>
  <c r="AE139" i="33"/>
  <c r="AE139" i="31"/>
  <c r="AD25" i="34"/>
  <c r="AD25" i="33"/>
  <c r="AD25" i="35"/>
  <c r="AD25" i="31"/>
  <c r="D16" i="10"/>
  <c r="H10" i="32"/>
  <c r="G13" i="32"/>
  <c r="F10" i="32"/>
  <c r="H16" i="34"/>
  <c r="H11" i="34"/>
  <c r="F11" i="32"/>
  <c r="C13" i="32"/>
  <c r="G9" i="32"/>
  <c r="J10" i="34"/>
  <c r="L13" i="34"/>
  <c r="T112" i="34"/>
  <c r="AB74" i="32"/>
  <c r="F12" i="32"/>
  <c r="E9" i="32"/>
  <c r="K52" i="34"/>
  <c r="K71" i="34"/>
  <c r="K33" i="34" s="1"/>
  <c r="H10" i="34"/>
  <c r="G10" i="32"/>
  <c r="I16" i="34"/>
  <c r="I52" i="34"/>
  <c r="I71" i="34"/>
  <c r="I33" i="34" s="1"/>
  <c r="E10" i="32"/>
  <c r="G8" i="32"/>
  <c r="I11" i="34"/>
  <c r="D10" i="32"/>
  <c r="L10" i="34"/>
  <c r="G11" i="34"/>
  <c r="K8" i="34"/>
  <c r="J13" i="32"/>
  <c r="G12" i="32"/>
  <c r="H74" i="34"/>
  <c r="H36" i="34" s="1"/>
  <c r="H17" i="34" s="1"/>
  <c r="J8" i="32"/>
  <c r="H12" i="34"/>
  <c r="K12" i="32"/>
  <c r="G16" i="34"/>
  <c r="E10" i="34"/>
  <c r="K16" i="32"/>
  <c r="L11" i="32"/>
  <c r="D13" i="34"/>
  <c r="E11" i="32"/>
  <c r="AB112" i="32"/>
  <c r="T74" i="34"/>
  <c r="D76" i="34"/>
  <c r="D38" i="34" s="1"/>
  <c r="F12" i="34"/>
  <c r="F8" i="34"/>
  <c r="C12" i="32"/>
  <c r="L16" i="34"/>
  <c r="F11" i="34"/>
  <c r="J8" i="34"/>
  <c r="D11" i="32"/>
  <c r="H9" i="32"/>
  <c r="K16" i="34"/>
  <c r="E11" i="34"/>
  <c r="C11" i="32"/>
  <c r="C76" i="34"/>
  <c r="C57" i="34"/>
  <c r="I8" i="32"/>
  <c r="G10" i="34"/>
  <c r="J11" i="34"/>
  <c r="L16" i="32"/>
  <c r="G11" i="32"/>
  <c r="I12" i="32"/>
  <c r="B126" i="33"/>
  <c r="B69" i="33"/>
  <c r="B107" i="33"/>
  <c r="B88" i="33"/>
  <c r="B145" i="33"/>
  <c r="B31" i="33"/>
  <c r="B50" i="33"/>
  <c r="B106" i="34"/>
  <c r="B30" i="34"/>
  <c r="B68" i="34"/>
  <c r="B144" i="34"/>
  <c r="B87" i="34"/>
  <c r="B49" i="34"/>
  <c r="B125" i="34"/>
  <c r="B32" i="35"/>
  <c r="B51" i="35"/>
  <c r="B146" i="35"/>
  <c r="B127" i="35"/>
  <c r="B108" i="35"/>
  <c r="B89" i="35"/>
  <c r="B70" i="35"/>
  <c r="B108" i="33"/>
  <c r="B89" i="33"/>
  <c r="B32" i="33"/>
  <c r="B51" i="33"/>
  <c r="B146" i="33"/>
  <c r="B127" i="33"/>
  <c r="B70" i="33"/>
  <c r="B93" i="34"/>
  <c r="B131" i="34"/>
  <c r="B36" i="34"/>
  <c r="B150" i="34"/>
  <c r="B112" i="34"/>
  <c r="B74" i="34"/>
  <c r="B55" i="34"/>
  <c r="B144" i="33"/>
  <c r="B125" i="33"/>
  <c r="B68" i="33"/>
  <c r="B106" i="33"/>
  <c r="B87" i="33"/>
  <c r="B30" i="33"/>
  <c r="B49" i="33"/>
  <c r="B112" i="35"/>
  <c r="B150" i="35"/>
  <c r="B131" i="35"/>
  <c r="B93" i="35"/>
  <c r="B74" i="35"/>
  <c r="B55" i="35"/>
  <c r="B36" i="35"/>
  <c r="B50" i="35"/>
  <c r="B31" i="35"/>
  <c r="B145" i="35"/>
  <c r="B126" i="35"/>
  <c r="B69" i="35"/>
  <c r="B107" i="35"/>
  <c r="B88" i="35"/>
  <c r="B86" i="35"/>
  <c r="B67" i="35"/>
  <c r="B48" i="35"/>
  <c r="B29" i="35"/>
  <c r="B143" i="35"/>
  <c r="B124" i="35"/>
  <c r="B105" i="35"/>
  <c r="B122" i="34"/>
  <c r="B27" i="34"/>
  <c r="B141" i="34"/>
  <c r="B84" i="34"/>
  <c r="B103" i="34"/>
  <c r="B65" i="34"/>
  <c r="B46" i="34"/>
  <c r="B47" i="33"/>
  <c r="B28" i="33"/>
  <c r="B142" i="33"/>
  <c r="B123" i="33"/>
  <c r="B66" i="33"/>
  <c r="B104" i="33"/>
  <c r="B85" i="33"/>
  <c r="B149" i="34"/>
  <c r="B92" i="34"/>
  <c r="B73" i="34"/>
  <c r="B54" i="34"/>
  <c r="B130" i="34"/>
  <c r="B111" i="34"/>
  <c r="B35" i="34"/>
  <c r="B85" i="35"/>
  <c r="B66" i="35"/>
  <c r="B47" i="35"/>
  <c r="B104" i="35"/>
  <c r="B28" i="35"/>
  <c r="B142" i="35"/>
  <c r="B123" i="35"/>
  <c r="B109" i="33"/>
  <c r="B90" i="33"/>
  <c r="B33" i="33"/>
  <c r="B52" i="33"/>
  <c r="B147" i="33"/>
  <c r="B128" i="33"/>
  <c r="B71" i="33"/>
  <c r="B143" i="33"/>
  <c r="B124" i="33"/>
  <c r="B67" i="33"/>
  <c r="B105" i="33"/>
  <c r="B48" i="33"/>
  <c r="B86" i="33"/>
  <c r="B29" i="33"/>
  <c r="B107" i="34"/>
  <c r="B69" i="34"/>
  <c r="B50" i="34"/>
  <c r="B145" i="34"/>
  <c r="B88" i="34"/>
  <c r="B126" i="34"/>
  <c r="B31" i="34"/>
  <c r="B33" i="34"/>
  <c r="B147" i="34"/>
  <c r="B90" i="34"/>
  <c r="B71" i="34"/>
  <c r="B128" i="34"/>
  <c r="B52" i="34"/>
  <c r="B109" i="34"/>
  <c r="B123" i="34"/>
  <c r="B66" i="34"/>
  <c r="B104" i="34"/>
  <c r="B47" i="34"/>
  <c r="B28" i="34"/>
  <c r="B142" i="34"/>
  <c r="B85" i="34"/>
  <c r="B103" i="35"/>
  <c r="B141" i="35"/>
  <c r="B122" i="35"/>
  <c r="B84" i="35"/>
  <c r="B65" i="35"/>
  <c r="B46" i="35"/>
  <c r="B27" i="35"/>
  <c r="B68" i="35"/>
  <c r="B87" i="35"/>
  <c r="B49" i="35"/>
  <c r="B30" i="35"/>
  <c r="B144" i="35"/>
  <c r="B125" i="35"/>
  <c r="B106" i="35"/>
  <c r="AG32" i="3"/>
  <c r="AG13" i="3" s="1"/>
  <c r="AG28" i="3"/>
  <c r="AG9" i="3" s="1"/>
  <c r="AG52" i="3"/>
  <c r="AG52" i="32" s="1"/>
  <c r="AL29" i="3"/>
  <c r="AL10" i="3" s="1"/>
  <c r="AG31" i="3"/>
  <c r="AG12" i="3" s="1"/>
  <c r="AG109" i="3"/>
  <c r="AL28" i="3"/>
  <c r="AL9" i="3" s="1"/>
  <c r="AG36" i="3"/>
  <c r="AG17" i="3" s="1"/>
  <c r="AL27" i="3"/>
  <c r="AL71" i="3"/>
  <c r="AG29" i="3"/>
  <c r="AG10" i="3" s="1"/>
  <c r="AG35" i="3"/>
  <c r="AG16" i="3" s="1"/>
  <c r="AL52" i="3"/>
  <c r="AL109" i="3"/>
  <c r="AL114" i="3" s="1"/>
  <c r="AG27" i="3"/>
  <c r="AG71" i="3"/>
  <c r="AG71" i="32" s="1"/>
  <c r="AL36" i="3"/>
  <c r="AL17" i="3" s="1"/>
  <c r="AL32" i="3"/>
  <c r="AL13" i="3" s="1"/>
  <c r="AL35" i="3"/>
  <c r="AL16" i="3" s="1"/>
  <c r="AL30" i="3"/>
  <c r="AL11" i="3" s="1"/>
  <c r="AC127" i="34"/>
  <c r="AC32" i="34" s="1"/>
  <c r="AC13" i="34" s="1"/>
  <c r="AC127" i="32"/>
  <c r="E1045" i="92"/>
  <c r="AC32" i="3"/>
  <c r="AC13" i="3" s="1"/>
  <c r="W124" i="34"/>
  <c r="W124" i="32"/>
  <c r="E1000" i="92"/>
  <c r="W29" i="3"/>
  <c r="W10" i="3" s="1"/>
  <c r="T130" i="34"/>
  <c r="T130" i="32"/>
  <c r="E976" i="92"/>
  <c r="T35" i="3"/>
  <c r="T16" i="3" s="1"/>
  <c r="T125" i="34"/>
  <c r="T125" i="32"/>
  <c r="E973" i="92"/>
  <c r="T30" i="3"/>
  <c r="T11" i="3" s="1"/>
  <c r="R122" i="34"/>
  <c r="R122" i="32"/>
  <c r="R27" i="3"/>
  <c r="E956" i="92"/>
  <c r="R128" i="3"/>
  <c r="R133" i="3" s="1"/>
  <c r="R126" i="34"/>
  <c r="R126" i="32"/>
  <c r="R31" i="3"/>
  <c r="R12" i="3" s="1"/>
  <c r="E960" i="92"/>
  <c r="W123" i="34"/>
  <c r="E999" i="92"/>
  <c r="W28" i="3"/>
  <c r="W9" i="3" s="1"/>
  <c r="W127" i="34"/>
  <c r="W127" i="32"/>
  <c r="W32" i="3"/>
  <c r="W13" i="3" s="1"/>
  <c r="T124" i="34"/>
  <c r="T124" i="32"/>
  <c r="T29" i="3"/>
  <c r="T10" i="3" s="1"/>
  <c r="E972" i="92"/>
  <c r="Q130" i="34"/>
  <c r="Q130" i="32"/>
  <c r="Q35" i="3"/>
  <c r="Q16" i="3" s="1"/>
  <c r="E955" i="92"/>
  <c r="Q125" i="34"/>
  <c r="Q125" i="32"/>
  <c r="E952" i="92"/>
  <c r="Q30" i="3"/>
  <c r="Q11" i="3" s="1"/>
  <c r="V122" i="32"/>
  <c r="V128" i="3"/>
  <c r="V133" i="3" s="1"/>
  <c r="V27" i="3"/>
  <c r="E984" i="92"/>
  <c r="V126" i="34"/>
  <c r="V126" i="32"/>
  <c r="V31" i="3"/>
  <c r="V12" i="3" s="1"/>
  <c r="E988" i="92"/>
  <c r="AC123" i="34"/>
  <c r="AC123" i="32"/>
  <c r="AC28" i="3"/>
  <c r="AC9" i="3" s="1"/>
  <c r="E1041" i="92"/>
  <c r="E1056" i="92"/>
  <c r="AE29" i="3"/>
  <c r="AE10" i="3" s="1"/>
  <c r="AB130" i="34"/>
  <c r="AB130" i="32"/>
  <c r="AB35" i="3"/>
  <c r="AB16" i="3" s="1"/>
  <c r="E1039" i="92"/>
  <c r="AB125" i="34"/>
  <c r="AB125" i="32"/>
  <c r="E1036" i="92"/>
  <c r="AB30" i="3"/>
  <c r="AB11" i="3" s="1"/>
  <c r="Z122" i="34"/>
  <c r="Z122" i="32"/>
  <c r="Z128" i="3"/>
  <c r="Z133" i="3" s="1"/>
  <c r="Z27" i="3"/>
  <c r="E1019" i="92"/>
  <c r="Z126" i="34"/>
  <c r="Z126" i="32"/>
  <c r="Z31" i="3"/>
  <c r="Z12" i="3" s="1"/>
  <c r="E1023" i="92"/>
  <c r="E1055" i="92"/>
  <c r="AE28" i="3"/>
  <c r="AE9" i="3" s="1"/>
  <c r="AE32" i="3"/>
  <c r="AE13" i="3" s="1"/>
  <c r="AB124" i="34"/>
  <c r="AB124" i="32"/>
  <c r="AB29" i="3"/>
  <c r="AB10" i="3" s="1"/>
  <c r="E1035" i="92"/>
  <c r="Y130" i="34"/>
  <c r="Y130" i="32"/>
  <c r="E1018" i="92"/>
  <c r="Y35" i="3"/>
  <c r="Y16" i="3" s="1"/>
  <c r="Y125" i="34"/>
  <c r="Y125" i="32"/>
  <c r="Y30" i="3"/>
  <c r="Y11" i="3" s="1"/>
  <c r="E1015" i="92"/>
  <c r="AD122" i="34"/>
  <c r="AD122" i="32"/>
  <c r="AD128" i="3"/>
  <c r="AD133" i="3" s="1"/>
  <c r="AD27" i="3"/>
  <c r="E1047" i="92"/>
  <c r="AD126" i="34"/>
  <c r="AD126" i="32"/>
  <c r="AD31" i="3"/>
  <c r="AD12" i="3" s="1"/>
  <c r="E1051" i="92"/>
  <c r="M35" i="34"/>
  <c r="S125" i="34"/>
  <c r="S125" i="32"/>
  <c r="S30" i="3"/>
  <c r="S11" i="3" s="1"/>
  <c r="E966" i="92"/>
  <c r="X122" i="34"/>
  <c r="X122" i="32"/>
  <c r="X128" i="3"/>
  <c r="E1003" i="92" s="1"/>
  <c r="E1005" i="92"/>
  <c r="X126" i="34"/>
  <c r="X126" i="32"/>
  <c r="X31" i="3"/>
  <c r="X12" i="3" s="1"/>
  <c r="E1009" i="92"/>
  <c r="V123" i="34"/>
  <c r="E985" i="92"/>
  <c r="V28" i="3"/>
  <c r="V9" i="3" s="1"/>
  <c r="V127" i="34"/>
  <c r="V127" i="32"/>
  <c r="V32" i="3"/>
  <c r="V13" i="3" s="1"/>
  <c r="S124" i="34"/>
  <c r="S124" i="32"/>
  <c r="S29" i="3"/>
  <c r="S10" i="3" s="1"/>
  <c r="E965" i="92"/>
  <c r="X130" i="34"/>
  <c r="X130" i="32"/>
  <c r="X35" i="3"/>
  <c r="X16" i="3" s="1"/>
  <c r="E1011" i="92"/>
  <c r="X125" i="34"/>
  <c r="X125" i="32"/>
  <c r="E1008" i="92"/>
  <c r="X30" i="3"/>
  <c r="X11" i="3" s="1"/>
  <c r="U122" i="34"/>
  <c r="U122" i="32"/>
  <c r="U128" i="3"/>
  <c r="U133" i="3" s="1"/>
  <c r="U27" i="3"/>
  <c r="E977" i="92"/>
  <c r="U126" i="34"/>
  <c r="U126" i="32"/>
  <c r="E981" i="92"/>
  <c r="U31" i="3"/>
  <c r="U12" i="3" s="1"/>
  <c r="R123" i="34"/>
  <c r="R123" i="32"/>
  <c r="E957" i="92"/>
  <c r="R28" i="3"/>
  <c r="R9" i="3" s="1"/>
  <c r="R127" i="34"/>
  <c r="R127" i="32"/>
  <c r="R32" i="3"/>
  <c r="R13" i="3" s="1"/>
  <c r="U127" i="34"/>
  <c r="U127" i="32"/>
  <c r="U32" i="3"/>
  <c r="U13" i="3" s="1"/>
  <c r="E982" i="92"/>
  <c r="AA125" i="34"/>
  <c r="AA125" i="32"/>
  <c r="AA30" i="3"/>
  <c r="AA11" i="3" s="1"/>
  <c r="E1029" i="92"/>
  <c r="AF128" i="3"/>
  <c r="AF31" i="3"/>
  <c r="AF12" i="3" s="1"/>
  <c r="AD123" i="34"/>
  <c r="AD123" i="32"/>
  <c r="E1048" i="92"/>
  <c r="AD28" i="3"/>
  <c r="AD9" i="3" s="1"/>
  <c r="AD127" i="34"/>
  <c r="AD127" i="32"/>
  <c r="AD32" i="3"/>
  <c r="AD13" i="3" s="1"/>
  <c r="AA124" i="34"/>
  <c r="AA124" i="32"/>
  <c r="AA29" i="3"/>
  <c r="AA10" i="3" s="1"/>
  <c r="E1028" i="92"/>
  <c r="AF35" i="3"/>
  <c r="AF16" i="3" s="1"/>
  <c r="AF30" i="3"/>
  <c r="AF11" i="3" s="1"/>
  <c r="AC122" i="34"/>
  <c r="AC122" i="32"/>
  <c r="AC128" i="3"/>
  <c r="AC133" i="3" s="1"/>
  <c r="E1040" i="92"/>
  <c r="AC27" i="3"/>
  <c r="AC126" i="34"/>
  <c r="AC126" i="32"/>
  <c r="E1044" i="92"/>
  <c r="AC31" i="3"/>
  <c r="AC12" i="3" s="1"/>
  <c r="Z123" i="34"/>
  <c r="Z123" i="32"/>
  <c r="Z28" i="3"/>
  <c r="Z9" i="3" s="1"/>
  <c r="E1020" i="92"/>
  <c r="Z127" i="34"/>
  <c r="Z127" i="32"/>
  <c r="Z32" i="3"/>
  <c r="Z13" i="3" s="1"/>
  <c r="X27" i="3"/>
  <c r="U123" i="34"/>
  <c r="U123" i="32"/>
  <c r="U28" i="3"/>
  <c r="U9" i="3" s="1"/>
  <c r="E978" i="92"/>
  <c r="P32" i="34"/>
  <c r="Y124" i="34"/>
  <c r="Y124" i="32"/>
  <c r="Y29" i="3"/>
  <c r="Y10" i="3" s="1"/>
  <c r="E1014" i="92"/>
  <c r="W122" i="34"/>
  <c r="W128" i="3"/>
  <c r="W133" i="3" s="1"/>
  <c r="E998" i="92"/>
  <c r="W27" i="3"/>
  <c r="W126" i="34"/>
  <c r="W126" i="32"/>
  <c r="W31" i="3"/>
  <c r="W12" i="3" s="1"/>
  <c r="E1002" i="92"/>
  <c r="T123" i="34"/>
  <c r="T123" i="32"/>
  <c r="T28" i="3"/>
  <c r="T9" i="3" s="1"/>
  <c r="E971" i="92"/>
  <c r="T127" i="34"/>
  <c r="T127" i="32"/>
  <c r="E975" i="92"/>
  <c r="T32" i="3"/>
  <c r="T13" i="3" s="1"/>
  <c r="R124" i="34"/>
  <c r="R124" i="32"/>
  <c r="R29" i="3"/>
  <c r="R10" i="3" s="1"/>
  <c r="E958" i="92"/>
  <c r="W130" i="34"/>
  <c r="W35" i="3"/>
  <c r="W16" i="3" s="1"/>
  <c r="E1004" i="92"/>
  <c r="W125" i="34"/>
  <c r="W125" i="32"/>
  <c r="W30" i="3"/>
  <c r="W11" i="3" s="1"/>
  <c r="E1001" i="92"/>
  <c r="T122" i="34"/>
  <c r="T122" i="32"/>
  <c r="T128" i="3"/>
  <c r="T133" i="3" s="1"/>
  <c r="T27" i="3"/>
  <c r="E970" i="92"/>
  <c r="T126" i="34"/>
  <c r="T126" i="32"/>
  <c r="T31" i="3"/>
  <c r="T12" i="3" s="1"/>
  <c r="E974" i="92"/>
  <c r="Q123" i="34"/>
  <c r="Q123" i="32"/>
  <c r="Q28" i="3"/>
  <c r="Q9" i="3" s="1"/>
  <c r="E950" i="92"/>
  <c r="Q127" i="34"/>
  <c r="Q127" i="32"/>
  <c r="Q32" i="3"/>
  <c r="Q13" i="3" s="1"/>
  <c r="E954" i="92"/>
  <c r="V124" i="34"/>
  <c r="V124" i="32"/>
  <c r="E986" i="92"/>
  <c r="V29" i="3"/>
  <c r="V10" i="3" s="1"/>
  <c r="S130" i="34"/>
  <c r="S130" i="32"/>
  <c r="S35" i="3"/>
  <c r="S16" i="3" s="1"/>
  <c r="E969" i="92"/>
  <c r="AC125" i="34"/>
  <c r="AC125" i="32"/>
  <c r="AC30" i="3"/>
  <c r="AC11" i="3" s="1"/>
  <c r="E1043" i="92"/>
  <c r="V130" i="34"/>
  <c r="V130" i="32"/>
  <c r="V35" i="3"/>
  <c r="V16" i="3" s="1"/>
  <c r="E990" i="92"/>
  <c r="Q126" i="34"/>
  <c r="Q126" i="32"/>
  <c r="Q31" i="3"/>
  <c r="Q12" i="3" s="1"/>
  <c r="E953" i="92"/>
  <c r="AE128" i="3"/>
  <c r="E1054" i="92"/>
  <c r="AE27" i="3"/>
  <c r="AE31" i="3"/>
  <c r="AE12" i="3" s="1"/>
  <c r="E1058" i="92"/>
  <c r="AB123" i="34"/>
  <c r="AB123" i="32"/>
  <c r="AB28" i="3"/>
  <c r="AB9" i="3" s="1"/>
  <c r="E1034" i="92"/>
  <c r="AB127" i="34"/>
  <c r="AB127" i="32"/>
  <c r="AB32" i="3"/>
  <c r="AB13" i="3" s="1"/>
  <c r="E1038" i="92"/>
  <c r="Z124" i="34"/>
  <c r="Z124" i="32"/>
  <c r="E1021" i="92"/>
  <c r="Z29" i="3"/>
  <c r="Z10" i="3" s="1"/>
  <c r="AE35" i="3"/>
  <c r="AE16" i="3" s="1"/>
  <c r="E1060" i="92"/>
  <c r="AE30" i="3"/>
  <c r="AE11" i="3" s="1"/>
  <c r="E1057" i="92"/>
  <c r="AB122" i="34"/>
  <c r="AB122" i="32"/>
  <c r="AB128" i="3"/>
  <c r="AB27" i="3"/>
  <c r="E1033" i="92"/>
  <c r="AB126" i="34"/>
  <c r="AB126" i="32"/>
  <c r="E1037" i="92"/>
  <c r="AB31" i="3"/>
  <c r="AB12" i="3" s="1"/>
  <c r="Y123" i="34"/>
  <c r="Y123" i="32"/>
  <c r="E1013" i="92"/>
  <c r="Y28" i="3"/>
  <c r="Y9" i="3" s="1"/>
  <c r="Y127" i="34"/>
  <c r="Y32" i="34" s="1"/>
  <c r="Y127" i="32"/>
  <c r="Y32" i="3"/>
  <c r="Y13" i="3" s="1"/>
  <c r="E1017" i="92"/>
  <c r="AD124" i="34"/>
  <c r="AD124" i="32"/>
  <c r="E1049" i="92"/>
  <c r="AD29" i="3"/>
  <c r="AD10" i="3" s="1"/>
  <c r="AA130" i="34"/>
  <c r="E1032" i="92"/>
  <c r="AA35" i="3"/>
  <c r="AA16" i="3" s="1"/>
  <c r="AF28" i="3"/>
  <c r="AF9" i="3" s="1"/>
  <c r="Y126" i="34"/>
  <c r="Y126" i="32"/>
  <c r="E1016" i="92"/>
  <c r="Y31" i="3"/>
  <c r="Y12" i="3" s="1"/>
  <c r="Q122" i="34"/>
  <c r="Q122" i="32"/>
  <c r="Q128" i="3"/>
  <c r="Q133" i="3" s="1"/>
  <c r="E949" i="92"/>
  <c r="Q27" i="3"/>
  <c r="S123" i="34"/>
  <c r="S123" i="32"/>
  <c r="S28" i="3"/>
  <c r="S9" i="3" s="1"/>
  <c r="E964" i="92"/>
  <c r="S127" i="34"/>
  <c r="S127" i="32"/>
  <c r="E968" i="92"/>
  <c r="S32" i="3"/>
  <c r="S13" i="3" s="1"/>
  <c r="X124" i="34"/>
  <c r="X124" i="32"/>
  <c r="E1007" i="92"/>
  <c r="U130" i="34"/>
  <c r="U130" i="32"/>
  <c r="U35" i="3"/>
  <c r="U16" i="3" s="1"/>
  <c r="E983" i="92"/>
  <c r="V125" i="34"/>
  <c r="V125" i="32"/>
  <c r="V30" i="3"/>
  <c r="V11" i="3" s="1"/>
  <c r="E987" i="92"/>
  <c r="S122" i="34"/>
  <c r="S122" i="32"/>
  <c r="S128" i="3"/>
  <c r="S133" i="3" s="1"/>
  <c r="S27" i="3"/>
  <c r="E963" i="92"/>
  <c r="S126" i="34"/>
  <c r="S126" i="32"/>
  <c r="E967" i="92"/>
  <c r="S31" i="3"/>
  <c r="S12" i="3" s="1"/>
  <c r="X123" i="34"/>
  <c r="X123" i="32"/>
  <c r="E1006" i="92"/>
  <c r="X127" i="34"/>
  <c r="X32" i="34" s="1"/>
  <c r="X127" i="32"/>
  <c r="X32" i="3"/>
  <c r="X13" i="3" s="1"/>
  <c r="U124" i="34"/>
  <c r="U124" i="32"/>
  <c r="U29" i="3"/>
  <c r="U10" i="3" s="1"/>
  <c r="E979" i="92"/>
  <c r="R130" i="34"/>
  <c r="R130" i="32"/>
  <c r="E962" i="92"/>
  <c r="R35" i="3"/>
  <c r="R16" i="3" s="1"/>
  <c r="R125" i="34"/>
  <c r="R125" i="32"/>
  <c r="R30" i="3"/>
  <c r="R11" i="3" s="1"/>
  <c r="E959" i="92"/>
  <c r="AD130" i="34"/>
  <c r="AD130" i="32"/>
  <c r="AD35" i="3"/>
  <c r="AD16" i="3" s="1"/>
  <c r="E1053" i="92"/>
  <c r="AF27" i="3"/>
  <c r="Y122" i="34"/>
  <c r="Y122" i="32"/>
  <c r="Y128" i="3"/>
  <c r="E1010" i="92" s="1"/>
  <c r="E1012" i="92"/>
  <c r="Y27" i="3"/>
  <c r="AA123" i="34"/>
  <c r="AA123" i="32"/>
  <c r="AA28" i="3"/>
  <c r="AA9" i="3" s="1"/>
  <c r="E1027" i="92"/>
  <c r="AA127" i="34"/>
  <c r="AA127" i="32"/>
  <c r="E1031" i="92"/>
  <c r="AA32" i="3"/>
  <c r="AA13" i="3" s="1"/>
  <c r="AF29" i="3"/>
  <c r="AF10" i="3" s="1"/>
  <c r="AC130" i="34"/>
  <c r="AC130" i="32"/>
  <c r="AC35" i="3"/>
  <c r="AC16" i="3" s="1"/>
  <c r="E1046" i="92"/>
  <c r="AD125" i="34"/>
  <c r="AD125" i="32"/>
  <c r="AD30" i="3"/>
  <c r="AD11" i="3" s="1"/>
  <c r="E1050" i="92"/>
  <c r="AA122" i="34"/>
  <c r="AA122" i="32"/>
  <c r="AA128" i="3"/>
  <c r="AA133" i="3" s="1"/>
  <c r="E1026" i="92"/>
  <c r="AA27" i="3"/>
  <c r="AA126" i="34"/>
  <c r="AA126" i="32"/>
  <c r="E1030" i="92"/>
  <c r="AA31" i="3"/>
  <c r="AA12" i="3" s="1"/>
  <c r="AF32" i="3"/>
  <c r="AF13" i="3" s="1"/>
  <c r="AC124" i="34"/>
  <c r="AC124" i="32"/>
  <c r="E1042" i="92"/>
  <c r="AC29" i="3"/>
  <c r="AC10" i="3" s="1"/>
  <c r="Z130" i="34"/>
  <c r="Z130" i="32"/>
  <c r="Z35" i="3"/>
  <c r="Z16" i="3" s="1"/>
  <c r="E1025" i="92"/>
  <c r="Z125" i="34"/>
  <c r="Z125" i="32"/>
  <c r="Z30" i="3"/>
  <c r="Z11" i="3" s="1"/>
  <c r="E1022" i="92"/>
  <c r="U125" i="34"/>
  <c r="U125" i="32"/>
  <c r="E980" i="92"/>
  <c r="U30" i="3"/>
  <c r="U11" i="3" s="1"/>
  <c r="N32" i="34" l="1"/>
  <c r="N13" i="34" s="1"/>
  <c r="J52" i="34"/>
  <c r="X142" i="32"/>
  <c r="L9" i="32"/>
  <c r="E113" i="10"/>
  <c r="J9" i="32"/>
  <c r="L76" i="32"/>
  <c r="L38" i="32" s="1"/>
  <c r="D9" i="34"/>
  <c r="AA130" i="32"/>
  <c r="T101" i="10"/>
  <c r="C9" i="32"/>
  <c r="K71" i="32"/>
  <c r="K33" i="32" s="1"/>
  <c r="K74" i="32"/>
  <c r="K36" i="32" s="1"/>
  <c r="K17" i="32" s="1"/>
  <c r="I72" i="10"/>
  <c r="U46" i="34"/>
  <c r="K52" i="32"/>
  <c r="K57" i="32"/>
  <c r="L58" i="32" s="1"/>
  <c r="U65" i="34"/>
  <c r="M150" i="34"/>
  <c r="M147" i="34"/>
  <c r="K8" i="32"/>
  <c r="C8" i="32"/>
  <c r="F9" i="32"/>
  <c r="K9" i="32"/>
  <c r="C72" i="10"/>
  <c r="D13" i="32"/>
  <c r="X21" i="10"/>
  <c r="Y74" i="32" s="1"/>
  <c r="E149" i="92"/>
  <c r="G71" i="34"/>
  <c r="G33" i="34" s="1"/>
  <c r="G14" i="34" s="1"/>
  <c r="F71" i="32"/>
  <c r="F33" i="32" s="1"/>
  <c r="F14" i="32" s="1"/>
  <c r="Y73" i="32"/>
  <c r="C52" i="32"/>
  <c r="X65" i="32"/>
  <c r="Y54" i="32"/>
  <c r="Y111" i="32"/>
  <c r="L13" i="32"/>
  <c r="H76" i="34"/>
  <c r="H38" i="34" s="1"/>
  <c r="H19" i="34" s="1"/>
  <c r="L74" i="34"/>
  <c r="L36" i="34" s="1"/>
  <c r="L17" i="34" s="1"/>
  <c r="X46" i="32"/>
  <c r="O72" i="10"/>
  <c r="E162" i="92"/>
  <c r="X141" i="32"/>
  <c r="H52" i="34"/>
  <c r="I13" i="32"/>
  <c r="C21" i="10"/>
  <c r="L57" i="34"/>
  <c r="M72" i="10"/>
  <c r="X50" i="32"/>
  <c r="V46" i="34"/>
  <c r="D71" i="32"/>
  <c r="D33" i="32" s="1"/>
  <c r="C71" i="32"/>
  <c r="C33" i="32" s="1"/>
  <c r="V122" i="34"/>
  <c r="L71" i="32"/>
  <c r="L33" i="32" s="1"/>
  <c r="U103" i="34"/>
  <c r="F8" i="32"/>
  <c r="L74" i="32"/>
  <c r="L36" i="32" s="1"/>
  <c r="L17" i="32" s="1"/>
  <c r="E148" i="92"/>
  <c r="L71" i="34"/>
  <c r="L33" i="34" s="1"/>
  <c r="L14" i="34" s="1"/>
  <c r="U147" i="34"/>
  <c r="F71" i="34"/>
  <c r="F33" i="34" s="1"/>
  <c r="F14" i="34" s="1"/>
  <c r="T150" i="32"/>
  <c r="K74" i="34"/>
  <c r="K36" i="34" s="1"/>
  <c r="K17" i="34" s="1"/>
  <c r="AE74" i="32"/>
  <c r="J57" i="34"/>
  <c r="I71" i="32"/>
  <c r="I33" i="32" s="1"/>
  <c r="I14" i="32" s="1"/>
  <c r="T74" i="32"/>
  <c r="F76" i="34"/>
  <c r="F38" i="34" s="1"/>
  <c r="F19" i="34" s="1"/>
  <c r="I113" i="10"/>
  <c r="K57" i="34"/>
  <c r="AE112" i="32"/>
  <c r="C71" i="34"/>
  <c r="C33" i="34" s="1"/>
  <c r="C14" i="34" s="1"/>
  <c r="J76" i="34"/>
  <c r="J38" i="34" s="1"/>
  <c r="J39" i="34" s="1"/>
  <c r="G71" i="32"/>
  <c r="G33" i="32" s="1"/>
  <c r="G14" i="32" s="1"/>
  <c r="G21" i="10"/>
  <c r="W92" i="32"/>
  <c r="W149" i="32"/>
  <c r="I57" i="34"/>
  <c r="K113" i="10"/>
  <c r="AA149" i="32"/>
  <c r="M150" i="32"/>
  <c r="M36" i="32" s="1"/>
  <c r="M17" i="32" s="1"/>
  <c r="W130" i="32"/>
  <c r="AE150" i="32"/>
  <c r="R150" i="32"/>
  <c r="R36" i="32" s="1"/>
  <c r="R17" i="32" s="1"/>
  <c r="G76" i="34"/>
  <c r="G38" i="34" s="1"/>
  <c r="G57" i="34"/>
  <c r="H58" i="34" s="1"/>
  <c r="AE159" i="32"/>
  <c r="D71" i="34"/>
  <c r="D33" i="34" s="1"/>
  <c r="D14" i="34" s="1"/>
  <c r="M113" i="10"/>
  <c r="C113" i="10"/>
  <c r="W54" i="32"/>
  <c r="M22" i="10"/>
  <c r="W16" i="10"/>
  <c r="W21" i="10" s="1"/>
  <c r="X74" i="32" s="1"/>
  <c r="X69" i="32"/>
  <c r="H21" i="10"/>
  <c r="H71" i="32"/>
  <c r="H33" i="32" s="1"/>
  <c r="H14" i="32" s="1"/>
  <c r="Q22" i="10"/>
  <c r="D74" i="34"/>
  <c r="D36" i="34" s="1"/>
  <c r="D17" i="34" s="1"/>
  <c r="G113" i="10"/>
  <c r="F21" i="10"/>
  <c r="E21" i="10"/>
  <c r="AL115" i="3"/>
  <c r="P29" i="34"/>
  <c r="P10" i="34" s="1"/>
  <c r="W36" i="34"/>
  <c r="W17" i="34" s="1"/>
  <c r="P27" i="34"/>
  <c r="P8" i="34" s="1"/>
  <c r="U36" i="32"/>
  <c r="U17" i="32" s="1"/>
  <c r="P30" i="32"/>
  <c r="P11" i="32" s="1"/>
  <c r="T32" i="32"/>
  <c r="T13" i="32" s="1"/>
  <c r="M16" i="32"/>
  <c r="AB32" i="34"/>
  <c r="AB13" i="34" s="1"/>
  <c r="AJ76" i="3"/>
  <c r="AJ71" i="32"/>
  <c r="R32" i="32"/>
  <c r="R13" i="32" s="1"/>
  <c r="O28" i="32"/>
  <c r="O9" i="32" s="1"/>
  <c r="AJ152" i="3"/>
  <c r="AJ152" i="32" s="1"/>
  <c r="AJ147" i="32"/>
  <c r="AJ57" i="3"/>
  <c r="AJ57" i="32" s="1"/>
  <c r="AJ52" i="32"/>
  <c r="Q29" i="32"/>
  <c r="Q10" i="32" s="1"/>
  <c r="R32" i="34"/>
  <c r="R13" i="34" s="1"/>
  <c r="AJ114" i="3"/>
  <c r="AJ109" i="32"/>
  <c r="W95" i="3"/>
  <c r="W95" i="34" s="1"/>
  <c r="AJ133" i="3"/>
  <c r="AJ133" i="32" s="1"/>
  <c r="AJ128" i="32"/>
  <c r="AC27" i="32"/>
  <c r="AC8" i="32" s="1"/>
  <c r="AB27" i="34"/>
  <c r="AB8" i="34" s="1"/>
  <c r="AA28" i="32"/>
  <c r="AA9" i="32" s="1"/>
  <c r="T31" i="34"/>
  <c r="T12" i="34" s="1"/>
  <c r="AD109" i="34"/>
  <c r="AD32" i="34"/>
  <c r="AD13" i="34" s="1"/>
  <c r="Y35" i="34"/>
  <c r="Y16" i="34" s="1"/>
  <c r="N74" i="34"/>
  <c r="N36" i="34" s="1"/>
  <c r="N17" i="34" s="1"/>
  <c r="AK33" i="3"/>
  <c r="AK14" i="3" s="1"/>
  <c r="Y13" i="34"/>
  <c r="V57" i="3"/>
  <c r="M27" i="34"/>
  <c r="M8" i="34" s="1"/>
  <c r="AK38" i="3"/>
  <c r="AK19" i="3" s="1"/>
  <c r="P29" i="32"/>
  <c r="P10" i="32" s="1"/>
  <c r="P35" i="32"/>
  <c r="P16" i="32" s="1"/>
  <c r="AC29" i="34"/>
  <c r="AC10" i="34" s="1"/>
  <c r="P27" i="32"/>
  <c r="P8" i="32" s="1"/>
  <c r="O36" i="34"/>
  <c r="O17" i="34" s="1"/>
  <c r="Q147" i="32"/>
  <c r="N16" i="34"/>
  <c r="R30" i="34"/>
  <c r="R11" i="34" s="1"/>
  <c r="Z27" i="34"/>
  <c r="Z8" i="34" s="1"/>
  <c r="R28" i="34"/>
  <c r="R9" i="34" s="1"/>
  <c r="P32" i="32"/>
  <c r="P13" i="32" s="1"/>
  <c r="O29" i="34"/>
  <c r="O10" i="34" s="1"/>
  <c r="S31" i="32"/>
  <c r="S12" i="32" s="1"/>
  <c r="R30" i="32"/>
  <c r="R11" i="32" s="1"/>
  <c r="O71" i="32"/>
  <c r="M16" i="34"/>
  <c r="Q31" i="34"/>
  <c r="Q12" i="34" s="1"/>
  <c r="AD71" i="32"/>
  <c r="Y29" i="32"/>
  <c r="Y10" i="32" s="1"/>
  <c r="Q36" i="32"/>
  <c r="Q17" i="32" s="1"/>
  <c r="Q10" i="34"/>
  <c r="AB27" i="32"/>
  <c r="AB8" i="32" s="1"/>
  <c r="E13" i="32"/>
  <c r="D8" i="32"/>
  <c r="AJ8" i="3"/>
  <c r="AJ33" i="3"/>
  <c r="AJ14" i="3" s="1"/>
  <c r="AI114" i="3"/>
  <c r="AI114" i="32" s="1"/>
  <c r="AI109" i="32"/>
  <c r="AI133" i="3"/>
  <c r="AI128" i="32"/>
  <c r="AH114" i="3"/>
  <c r="AH109" i="32"/>
  <c r="AH133" i="3"/>
  <c r="AH128" i="32"/>
  <c r="AD27" i="34"/>
  <c r="AD8" i="34" s="1"/>
  <c r="AE8" i="32"/>
  <c r="S27" i="32"/>
  <c r="S8" i="32" s="1"/>
  <c r="T29" i="34"/>
  <c r="T10" i="34" s="1"/>
  <c r="T31" i="32"/>
  <c r="T12" i="32" s="1"/>
  <c r="U35" i="34"/>
  <c r="U16" i="34" s="1"/>
  <c r="S30" i="34"/>
  <c r="S11" i="34" s="1"/>
  <c r="X13" i="34"/>
  <c r="P30" i="34"/>
  <c r="P11" i="34" s="1"/>
  <c r="Z29" i="32"/>
  <c r="Z10" i="32" s="1"/>
  <c r="Q71" i="32"/>
  <c r="X57" i="3"/>
  <c r="X57" i="34" s="1"/>
  <c r="X52" i="34"/>
  <c r="AC31" i="34"/>
  <c r="AC12" i="34" s="1"/>
  <c r="O35" i="32"/>
  <c r="O16" i="32" s="1"/>
  <c r="M29" i="34"/>
  <c r="M10" i="34" s="1"/>
  <c r="P36" i="34"/>
  <c r="P17" i="34" s="1"/>
  <c r="S109" i="34"/>
  <c r="AE114" i="3"/>
  <c r="AE116" i="3" s="1"/>
  <c r="S28" i="34"/>
  <c r="S9" i="34" s="1"/>
  <c r="N31" i="34"/>
  <c r="N12" i="34" s="1"/>
  <c r="S76" i="3"/>
  <c r="S76" i="34" s="1"/>
  <c r="N32" i="32"/>
  <c r="N13" i="32" s="1"/>
  <c r="T32" i="34"/>
  <c r="T13" i="34" s="1"/>
  <c r="Q35" i="32"/>
  <c r="Q16" i="32" s="1"/>
  <c r="V30" i="34"/>
  <c r="V11" i="34" s="1"/>
  <c r="T27" i="32"/>
  <c r="T8" i="32" s="1"/>
  <c r="T28" i="34"/>
  <c r="T9" i="34" s="1"/>
  <c r="AA32" i="32"/>
  <c r="AA13" i="32" s="1"/>
  <c r="V29" i="32"/>
  <c r="V10" i="32" s="1"/>
  <c r="AD32" i="32"/>
  <c r="AD13" i="32" s="1"/>
  <c r="N35" i="32"/>
  <c r="N16" i="32" s="1"/>
  <c r="M57" i="3"/>
  <c r="M57" i="32" s="1"/>
  <c r="AA114" i="3"/>
  <c r="AA114" i="34" s="1"/>
  <c r="AA32" i="34"/>
  <c r="AA13" i="34" s="1"/>
  <c r="AA109" i="32"/>
  <c r="AA109" i="34"/>
  <c r="M28" i="32"/>
  <c r="M9" i="32" s="1"/>
  <c r="S27" i="34"/>
  <c r="S8" i="34" s="1"/>
  <c r="AC27" i="34"/>
  <c r="AC8" i="34" s="1"/>
  <c r="Z28" i="32"/>
  <c r="Z9" i="32" s="1"/>
  <c r="Q32" i="32"/>
  <c r="Q13" i="32" s="1"/>
  <c r="T114" i="3"/>
  <c r="T114" i="32" s="1"/>
  <c r="W53" i="10"/>
  <c r="W71" i="10" s="1"/>
  <c r="Z52" i="32"/>
  <c r="Q30" i="34"/>
  <c r="Q11" i="34" s="1"/>
  <c r="V30" i="32"/>
  <c r="V11" i="32" s="1"/>
  <c r="U32" i="34"/>
  <c r="U13" i="34" s="1"/>
  <c r="V141" i="34"/>
  <c r="Z159" i="32"/>
  <c r="Q31" i="32"/>
  <c r="Q12" i="32" s="1"/>
  <c r="N30" i="34"/>
  <c r="N11" i="34" s="1"/>
  <c r="V152" i="34"/>
  <c r="V65" i="34"/>
  <c r="U11" i="10"/>
  <c r="U53" i="10"/>
  <c r="U71" i="10" s="1"/>
  <c r="U72" i="10" s="1"/>
  <c r="AA54" i="32"/>
  <c r="W73" i="32"/>
  <c r="O31" i="32"/>
  <c r="O12" i="32" s="1"/>
  <c r="AI152" i="3"/>
  <c r="AI152" i="32" s="1"/>
  <c r="Q35" i="34"/>
  <c r="Q16" i="34" s="1"/>
  <c r="M28" i="34"/>
  <c r="M9" i="34" s="1"/>
  <c r="AB28" i="34"/>
  <c r="AB9" i="34" s="1"/>
  <c r="Y152" i="3"/>
  <c r="Y152" i="34" s="1"/>
  <c r="R35" i="34"/>
  <c r="R16" i="34" s="1"/>
  <c r="T29" i="32"/>
  <c r="T10" i="32" s="1"/>
  <c r="T109" i="32"/>
  <c r="AA29" i="34"/>
  <c r="AA10" i="34" s="1"/>
  <c r="AB109" i="32"/>
  <c r="N76" i="3"/>
  <c r="N76" i="32" s="1"/>
  <c r="N38" i="32" s="1"/>
  <c r="T109" i="34"/>
  <c r="N71" i="34"/>
  <c r="AB28" i="32"/>
  <c r="AB9" i="32" s="1"/>
  <c r="AC109" i="32"/>
  <c r="X29" i="32"/>
  <c r="X10" i="32" s="1"/>
  <c r="V29" i="34"/>
  <c r="V10" i="34" s="1"/>
  <c r="AC109" i="34"/>
  <c r="O27" i="34"/>
  <c r="O8" i="34" s="1"/>
  <c r="AC29" i="32"/>
  <c r="AC10" i="32" s="1"/>
  <c r="Y27" i="34"/>
  <c r="Y8" i="34" s="1"/>
  <c r="Y147" i="34"/>
  <c r="T35" i="34"/>
  <c r="T16" i="34" s="1"/>
  <c r="O27" i="32"/>
  <c r="O8" i="32" s="1"/>
  <c r="N10" i="34"/>
  <c r="X109" i="34"/>
  <c r="Q32" i="34"/>
  <c r="Q13" i="34" s="1"/>
  <c r="AD30" i="34"/>
  <c r="AD11" i="34" s="1"/>
  <c r="R29" i="34"/>
  <c r="R10" i="34" s="1"/>
  <c r="AC76" i="3"/>
  <c r="AC76" i="34" s="1"/>
  <c r="Q76" i="3"/>
  <c r="Q76" i="34" s="1"/>
  <c r="Q71" i="34"/>
  <c r="AC71" i="32"/>
  <c r="AH152" i="3"/>
  <c r="R29" i="32"/>
  <c r="R10" i="32" s="1"/>
  <c r="AC71" i="34"/>
  <c r="T30" i="34"/>
  <c r="T11" i="34" s="1"/>
  <c r="U32" i="32"/>
  <c r="U13" i="32" s="1"/>
  <c r="N27" i="32"/>
  <c r="N8" i="32" s="1"/>
  <c r="AC35" i="34"/>
  <c r="AC16" i="34" s="1"/>
  <c r="S36" i="34"/>
  <c r="S17" i="34" s="1"/>
  <c r="AH76" i="3"/>
  <c r="AI76" i="3"/>
  <c r="AH33" i="3"/>
  <c r="AH14" i="3" s="1"/>
  <c r="AH8" i="3"/>
  <c r="AH57" i="3"/>
  <c r="AI57" i="3"/>
  <c r="AI57" i="32" s="1"/>
  <c r="Q147" i="34"/>
  <c r="S31" i="34"/>
  <c r="S12" i="34" s="1"/>
  <c r="X29" i="34"/>
  <c r="X10" i="34" s="1"/>
  <c r="AE29" i="32"/>
  <c r="AE10" i="32" s="1"/>
  <c r="Z35" i="32"/>
  <c r="Z16" i="32" s="1"/>
  <c r="P52" i="34"/>
  <c r="AB31" i="34"/>
  <c r="AB12" i="34" s="1"/>
  <c r="S71" i="34"/>
  <c r="Y29" i="34"/>
  <c r="Y10" i="34" s="1"/>
  <c r="Z109" i="32"/>
  <c r="P52" i="32"/>
  <c r="AD76" i="3"/>
  <c r="AD76" i="34" s="1"/>
  <c r="Y76" i="3"/>
  <c r="Y76" i="32" s="1"/>
  <c r="Y71" i="34"/>
  <c r="T30" i="32"/>
  <c r="T11" i="32" s="1"/>
  <c r="Y57" i="3"/>
  <c r="Y57" i="32" s="1"/>
  <c r="AD71" i="34"/>
  <c r="Y52" i="34"/>
  <c r="U29" i="32"/>
  <c r="U10" i="32" s="1"/>
  <c r="V154" i="3"/>
  <c r="V27" i="32"/>
  <c r="V8" i="32" s="1"/>
  <c r="W32" i="34"/>
  <c r="W13" i="34" s="1"/>
  <c r="W29" i="34"/>
  <c r="W10" i="34" s="1"/>
  <c r="U31" i="32"/>
  <c r="U12" i="32" s="1"/>
  <c r="AG133" i="3"/>
  <c r="AG128" i="32"/>
  <c r="AG114" i="3"/>
  <c r="AG109" i="32"/>
  <c r="AI8" i="3"/>
  <c r="AI33" i="3"/>
  <c r="AI14" i="3" s="1"/>
  <c r="D9" i="32"/>
  <c r="AF52" i="32"/>
  <c r="Y36" i="34"/>
  <c r="Y17" i="34" s="1"/>
  <c r="M13" i="32"/>
  <c r="M36" i="34"/>
  <c r="M17" i="34" s="1"/>
  <c r="N30" i="32"/>
  <c r="N11" i="32" s="1"/>
  <c r="AA73" i="32"/>
  <c r="L52" i="32"/>
  <c r="K22" i="10"/>
  <c r="Z71" i="32"/>
  <c r="AA111" i="32"/>
  <c r="J52" i="32"/>
  <c r="J71" i="32"/>
  <c r="J33" i="32" s="1"/>
  <c r="I21" i="10"/>
  <c r="Z74" i="32"/>
  <c r="AE31" i="32"/>
  <c r="AE12" i="32" s="1"/>
  <c r="X2" i="87"/>
  <c r="P28" i="34"/>
  <c r="P9" i="34" s="1"/>
  <c r="AD52" i="34"/>
  <c r="S30" i="32"/>
  <c r="S11" i="32" s="1"/>
  <c r="S52" i="34"/>
  <c r="AD31" i="34"/>
  <c r="AD12" i="34" s="1"/>
  <c r="AF76" i="3"/>
  <c r="AF76" i="32" s="1"/>
  <c r="W30" i="32"/>
  <c r="W11" i="32" s="1"/>
  <c r="T28" i="32"/>
  <c r="T9" i="32" s="1"/>
  <c r="AD109" i="32"/>
  <c r="N27" i="34"/>
  <c r="N8" i="34" s="1"/>
  <c r="M31" i="34"/>
  <c r="M12" i="34" s="1"/>
  <c r="AE35" i="32"/>
  <c r="AE16" i="32" s="1"/>
  <c r="AD52" i="32"/>
  <c r="P13" i="34"/>
  <c r="S57" i="3"/>
  <c r="N146" i="58" s="1"/>
  <c r="N147" i="58" s="1"/>
  <c r="AB52" i="34"/>
  <c r="O10" i="32"/>
  <c r="V76" i="3"/>
  <c r="V38" i="3" s="1"/>
  <c r="AC52" i="34"/>
  <c r="AB109" i="34"/>
  <c r="Z114" i="3"/>
  <c r="Z114" i="34" s="1"/>
  <c r="Y30" i="34"/>
  <c r="Y11" i="34" s="1"/>
  <c r="N71" i="32"/>
  <c r="T57" i="34"/>
  <c r="T57" i="32"/>
  <c r="AB52" i="32"/>
  <c r="R57" i="3"/>
  <c r="AF71" i="32"/>
  <c r="N29" i="32"/>
  <c r="N10" i="32" s="1"/>
  <c r="O30" i="34"/>
  <c r="O11" i="34" s="1"/>
  <c r="Q36" i="34"/>
  <c r="Q17" i="34" s="1"/>
  <c r="O30" i="32"/>
  <c r="O11" i="32" s="1"/>
  <c r="AB57" i="3"/>
  <c r="AB57" i="32" s="1"/>
  <c r="P16" i="34"/>
  <c r="W27" i="34"/>
  <c r="W8" i="34" s="1"/>
  <c r="R28" i="32"/>
  <c r="R9" i="32" s="1"/>
  <c r="U109" i="32"/>
  <c r="M71" i="32"/>
  <c r="N52" i="32"/>
  <c r="N52" i="34"/>
  <c r="U109" i="34"/>
  <c r="M71" i="34"/>
  <c r="M33" i="34" s="1"/>
  <c r="AB30" i="32"/>
  <c r="AB11" i="32" s="1"/>
  <c r="U52" i="32"/>
  <c r="AB29" i="34"/>
  <c r="AB10" i="34" s="1"/>
  <c r="U52" i="34"/>
  <c r="P152" i="3"/>
  <c r="P38" i="3" s="1"/>
  <c r="P19" i="3" s="1"/>
  <c r="AC57" i="3"/>
  <c r="AD58" i="3" s="1"/>
  <c r="AD59" i="3" s="1"/>
  <c r="Z76" i="3"/>
  <c r="Z71" i="34"/>
  <c r="AC52" i="32"/>
  <c r="X30" i="34"/>
  <c r="X11" i="34" s="1"/>
  <c r="AD27" i="32"/>
  <c r="AD8" i="32" s="1"/>
  <c r="Q52" i="32"/>
  <c r="R52" i="32"/>
  <c r="AE30" i="32"/>
  <c r="AE11" i="32" s="1"/>
  <c r="N28" i="34"/>
  <c r="N9" i="34" s="1"/>
  <c r="N28" i="32"/>
  <c r="N9" i="32" s="1"/>
  <c r="AC19" i="58"/>
  <c r="AA31" i="34"/>
  <c r="AA12" i="34" s="1"/>
  <c r="W35" i="34"/>
  <c r="W16" i="34" s="1"/>
  <c r="AA30" i="34"/>
  <c r="AA11" i="34" s="1"/>
  <c r="R31" i="34"/>
  <c r="R12" i="34" s="1"/>
  <c r="F43" i="69"/>
  <c r="H41" i="69"/>
  <c r="O12" i="34"/>
  <c r="W152" i="3"/>
  <c r="W154" i="3" s="1"/>
  <c r="Z27" i="32"/>
  <c r="Z8" i="32" s="1"/>
  <c r="U114" i="34"/>
  <c r="N150" i="32"/>
  <c r="N36" i="32" s="1"/>
  <c r="N17" i="32" s="1"/>
  <c r="O74" i="32"/>
  <c r="O150" i="32"/>
  <c r="F44" i="79"/>
  <c r="H42" i="79"/>
  <c r="AB71" i="34"/>
  <c r="AB71" i="32"/>
  <c r="AD28" i="34"/>
  <c r="AD9" i="34" s="1"/>
  <c r="V11" i="10"/>
  <c r="Z30" i="34"/>
  <c r="Z11" i="34" s="1"/>
  <c r="AB31" i="32"/>
  <c r="AB12" i="32" s="1"/>
  <c r="U76" i="3"/>
  <c r="U76" i="34" s="1"/>
  <c r="W147" i="34"/>
  <c r="Z150" i="32"/>
  <c r="H9" i="69"/>
  <c r="I9" i="69" s="1"/>
  <c r="F21" i="69"/>
  <c r="H21" i="69" s="1"/>
  <c r="I21" i="69" s="1"/>
  <c r="F48" i="56"/>
  <c r="H48" i="56" s="1"/>
  <c r="I48" i="56" s="1"/>
  <c r="H23" i="56"/>
  <c r="I23" i="56" s="1"/>
  <c r="U71" i="34"/>
  <c r="R27" i="34"/>
  <c r="R8" i="34" s="1"/>
  <c r="V114" i="34"/>
  <c r="E153" i="92"/>
  <c r="X107" i="32"/>
  <c r="V10" i="10"/>
  <c r="V28" i="10"/>
  <c r="V53" i="10" s="1"/>
  <c r="V71" i="10" s="1"/>
  <c r="V22" i="18"/>
  <c r="X10" i="18"/>
  <c r="X15" i="18"/>
  <c r="X19" i="18"/>
  <c r="X20" i="18"/>
  <c r="U71" i="32"/>
  <c r="AB30" i="34"/>
  <c r="AB11" i="34" s="1"/>
  <c r="AC28" i="34"/>
  <c r="AC9" i="34" s="1"/>
  <c r="AB76" i="3"/>
  <c r="H42" i="84"/>
  <c r="F44" i="84"/>
  <c r="U101" i="10"/>
  <c r="V147" i="34" s="1"/>
  <c r="V142" i="34"/>
  <c r="V104" i="34"/>
  <c r="V66" i="34"/>
  <c r="V47" i="34"/>
  <c r="H42" i="78"/>
  <c r="F44" i="78"/>
  <c r="F44" i="76"/>
  <c r="H42" i="76"/>
  <c r="AA28" i="34"/>
  <c r="AA9" i="34" s="1"/>
  <c r="U28" i="34"/>
  <c r="U9" i="34" s="1"/>
  <c r="S32" i="34"/>
  <c r="S13" i="34" s="1"/>
  <c r="AD36" i="34"/>
  <c r="AD17" i="34" s="1"/>
  <c r="Y28" i="34"/>
  <c r="Y9" i="34" s="1"/>
  <c r="W31" i="34"/>
  <c r="W12" i="34" s="1"/>
  <c r="U30" i="34"/>
  <c r="U11" i="34" s="1"/>
  <c r="U27" i="34"/>
  <c r="U8" i="34" s="1"/>
  <c r="AA27" i="34"/>
  <c r="AA8" i="34" s="1"/>
  <c r="Z28" i="34"/>
  <c r="Z9" i="34" s="1"/>
  <c r="Z35" i="34"/>
  <c r="Z16" i="34" s="1"/>
  <c r="X28" i="34"/>
  <c r="X9" i="34" s="1"/>
  <c r="Q28" i="34"/>
  <c r="Q9" i="34" s="1"/>
  <c r="AC30" i="34"/>
  <c r="AC11" i="34" s="1"/>
  <c r="Y31" i="34"/>
  <c r="Y12" i="34" s="1"/>
  <c r="U29" i="34"/>
  <c r="U10" i="34" s="1"/>
  <c r="X27" i="34"/>
  <c r="X8" i="34" s="1"/>
  <c r="S35" i="34"/>
  <c r="S16" i="34" s="1"/>
  <c r="P12" i="34"/>
  <c r="V32" i="34"/>
  <c r="V13" i="34" s="1"/>
  <c r="X31" i="34"/>
  <c r="X12" i="34" s="1"/>
  <c r="Z36" i="34"/>
  <c r="Z17" i="34" s="1"/>
  <c r="AB36" i="34"/>
  <c r="AB17" i="34" s="1"/>
  <c r="W28" i="34"/>
  <c r="W9" i="34" s="1"/>
  <c r="AD29" i="34"/>
  <c r="AD10" i="34" s="1"/>
  <c r="I14" i="34"/>
  <c r="T27" i="34"/>
  <c r="T8" i="34" s="1"/>
  <c r="AB35" i="34"/>
  <c r="AB16" i="34" s="1"/>
  <c r="Q27" i="34"/>
  <c r="Q8" i="34" s="1"/>
  <c r="Z32" i="34"/>
  <c r="Z13" i="34" s="1"/>
  <c r="P28" i="32"/>
  <c r="P9" i="32" s="1"/>
  <c r="X32" i="32"/>
  <c r="X13" i="32" s="1"/>
  <c r="U30" i="32"/>
  <c r="U11" i="32" s="1"/>
  <c r="M27" i="32"/>
  <c r="M8" i="32" s="1"/>
  <c r="R27" i="32"/>
  <c r="R8" i="32" s="1"/>
  <c r="T35" i="32"/>
  <c r="T16" i="32" s="1"/>
  <c r="M30" i="32"/>
  <c r="M11" i="32" s="1"/>
  <c r="X30" i="32"/>
  <c r="X11" i="32" s="1"/>
  <c r="AA27" i="32"/>
  <c r="AA8" i="32" s="1"/>
  <c r="AC35" i="32"/>
  <c r="AC16" i="32" s="1"/>
  <c r="X28" i="32"/>
  <c r="X9" i="32" s="1"/>
  <c r="Q30" i="32"/>
  <c r="Q11" i="32" s="1"/>
  <c r="S28" i="32"/>
  <c r="S9" i="32" s="1"/>
  <c r="R31" i="32"/>
  <c r="R12" i="32" s="1"/>
  <c r="P31" i="32"/>
  <c r="P12" i="32" s="1"/>
  <c r="AD31" i="32"/>
  <c r="AD12" i="32" s="1"/>
  <c r="N31" i="32"/>
  <c r="N12" i="32" s="1"/>
  <c r="L8" i="32"/>
  <c r="Y31" i="32"/>
  <c r="Y12" i="32" s="1"/>
  <c r="AD29" i="32"/>
  <c r="AD10" i="32" s="1"/>
  <c r="Y28" i="32"/>
  <c r="Y9" i="32" s="1"/>
  <c r="S35" i="32"/>
  <c r="S16" i="32" s="1"/>
  <c r="Z32" i="32"/>
  <c r="Z13" i="32" s="1"/>
  <c r="AC31" i="32"/>
  <c r="AC12" i="32" s="1"/>
  <c r="AA30" i="32"/>
  <c r="AA11" i="32" s="1"/>
  <c r="R35" i="32"/>
  <c r="R16" i="32" s="1"/>
  <c r="AA29" i="32"/>
  <c r="AA10" i="32" s="1"/>
  <c r="Y30" i="32"/>
  <c r="Y11" i="32" s="1"/>
  <c r="AB29" i="32"/>
  <c r="AB10" i="32" s="1"/>
  <c r="Q28" i="32"/>
  <c r="Q9" i="32" s="1"/>
  <c r="V32" i="32"/>
  <c r="V13" i="32" s="1"/>
  <c r="AC28" i="32"/>
  <c r="AC9" i="32" s="1"/>
  <c r="M12" i="32"/>
  <c r="U27" i="32"/>
  <c r="U8" i="32" s="1"/>
  <c r="AD30" i="32"/>
  <c r="AD11" i="32" s="1"/>
  <c r="S32" i="32"/>
  <c r="S13" i="32" s="1"/>
  <c r="V35" i="32"/>
  <c r="V16" i="32" s="1"/>
  <c r="Y32" i="32"/>
  <c r="Y13" i="32" s="1"/>
  <c r="U35" i="32"/>
  <c r="U16" i="32" s="1"/>
  <c r="AC30" i="32"/>
  <c r="AC11" i="32" s="1"/>
  <c r="Q27" i="32"/>
  <c r="Q8" i="32" s="1"/>
  <c r="Z31" i="32"/>
  <c r="Z12" i="32" s="1"/>
  <c r="S29" i="34"/>
  <c r="S10" i="34" s="1"/>
  <c r="W29" i="32"/>
  <c r="W10" i="32" s="1"/>
  <c r="AE76" i="3"/>
  <c r="AA36" i="34"/>
  <c r="AA17" i="34" s="1"/>
  <c r="O71" i="34"/>
  <c r="Z109" i="34"/>
  <c r="V31" i="32"/>
  <c r="V12" i="32" s="1"/>
  <c r="AC32" i="32"/>
  <c r="AC13" i="32" s="1"/>
  <c r="AE109" i="32"/>
  <c r="M11" i="34"/>
  <c r="T52" i="32"/>
  <c r="AD152" i="3"/>
  <c r="O13" i="32"/>
  <c r="Z52" i="34"/>
  <c r="AE28" i="32"/>
  <c r="AE9" i="32" s="1"/>
  <c r="AD28" i="32"/>
  <c r="AD9" i="32" s="1"/>
  <c r="U31" i="34"/>
  <c r="U12" i="34" s="1"/>
  <c r="AA52" i="32"/>
  <c r="N33" i="3"/>
  <c r="N14" i="3" s="1"/>
  <c r="AD35" i="34"/>
  <c r="AD16" i="34" s="1"/>
  <c r="Z30" i="32"/>
  <c r="Z11" i="32" s="1"/>
  <c r="X35" i="32"/>
  <c r="X16" i="32" s="1"/>
  <c r="O16" i="34"/>
  <c r="AE52" i="32"/>
  <c r="T52" i="34"/>
  <c r="U57" i="3"/>
  <c r="U57" i="34" s="1"/>
  <c r="M76" i="3"/>
  <c r="M76" i="32" s="1"/>
  <c r="W30" i="34"/>
  <c r="W11" i="34" s="1"/>
  <c r="AB114" i="3"/>
  <c r="W32" i="32"/>
  <c r="W13" i="32" s="1"/>
  <c r="R76" i="3"/>
  <c r="X76" i="34"/>
  <c r="AA57" i="3"/>
  <c r="AA57" i="34" s="1"/>
  <c r="AA52" i="34"/>
  <c r="X71" i="34"/>
  <c r="AF152" i="3"/>
  <c r="AF152" i="32" s="1"/>
  <c r="T71" i="32"/>
  <c r="Z31" i="34"/>
  <c r="Z12" i="34" s="1"/>
  <c r="T147" i="34"/>
  <c r="T147" i="32"/>
  <c r="X152" i="34"/>
  <c r="X154" i="3"/>
  <c r="AF114" i="3"/>
  <c r="AF114" i="32" s="1"/>
  <c r="Z57" i="3"/>
  <c r="R71" i="32"/>
  <c r="T76" i="3"/>
  <c r="R147" i="34"/>
  <c r="R152" i="3"/>
  <c r="R153" i="3" s="1"/>
  <c r="J161" i="3"/>
  <c r="J20" i="3"/>
  <c r="R147" i="32"/>
  <c r="X133" i="3"/>
  <c r="X38" i="3" s="1"/>
  <c r="AB147" i="34"/>
  <c r="AB147" i="32"/>
  <c r="X147" i="34"/>
  <c r="T152" i="34"/>
  <c r="T152" i="32"/>
  <c r="T154" i="3"/>
  <c r="O28" i="34"/>
  <c r="O9" i="34" s="1"/>
  <c r="G5" i="8"/>
  <c r="A1235" i="92"/>
  <c r="A1299" i="92"/>
  <c r="A1267" i="92"/>
  <c r="O32" i="34"/>
  <c r="O13" i="34" s="1"/>
  <c r="X114" i="34"/>
  <c r="Q154" i="3"/>
  <c r="Q152" i="32"/>
  <c r="Q152" i="34"/>
  <c r="U116" i="3"/>
  <c r="Y27" i="32"/>
  <c r="Y8" i="32" s="1"/>
  <c r="M52" i="34"/>
  <c r="N57" i="3"/>
  <c r="P71" i="32"/>
  <c r="V116" i="3"/>
  <c r="AA35" i="34"/>
  <c r="AA16" i="34" s="1"/>
  <c r="P71" i="34"/>
  <c r="P33" i="34" s="1"/>
  <c r="M52" i="32"/>
  <c r="E1066" i="92"/>
  <c r="N147" i="34"/>
  <c r="N152" i="3"/>
  <c r="N147" i="32"/>
  <c r="AC36" i="34"/>
  <c r="AC17" i="34" s="1"/>
  <c r="O76" i="34"/>
  <c r="O38" i="34" s="1"/>
  <c r="P77" i="3"/>
  <c r="P78" i="3" s="1"/>
  <c r="X116" i="3"/>
  <c r="S71" i="32"/>
  <c r="Z29" i="34"/>
  <c r="Z10" i="34" s="1"/>
  <c r="AB32" i="32"/>
  <c r="AB13" i="32" s="1"/>
  <c r="T36" i="34"/>
  <c r="T17" i="34" s="1"/>
  <c r="V35" i="34"/>
  <c r="V16" i="34" s="1"/>
  <c r="U114" i="32"/>
  <c r="AC116" i="3"/>
  <c r="V115" i="3"/>
  <c r="AD35" i="32"/>
  <c r="AD16" i="32" s="1"/>
  <c r="O76" i="32"/>
  <c r="O38" i="32" s="1"/>
  <c r="E1170" i="92"/>
  <c r="Z152" i="3"/>
  <c r="Z147" i="34"/>
  <c r="Z147" i="32"/>
  <c r="W31" i="32"/>
  <c r="W12" i="32" s="1"/>
  <c r="Y109" i="34"/>
  <c r="Y114" i="3"/>
  <c r="O57" i="34"/>
  <c r="O57" i="32"/>
  <c r="J146" i="58"/>
  <c r="J147" i="58" s="1"/>
  <c r="AB36" i="32"/>
  <c r="AB17" i="32" s="1"/>
  <c r="O33" i="3"/>
  <c r="O14" i="3" s="1"/>
  <c r="X36" i="34"/>
  <c r="X17" i="34" s="1"/>
  <c r="O38" i="3"/>
  <c r="O19" i="3" s="1"/>
  <c r="V31" i="34"/>
  <c r="V12" i="34" s="1"/>
  <c r="AB35" i="32"/>
  <c r="AB16" i="32" s="1"/>
  <c r="S29" i="32"/>
  <c r="S10" i="32" s="1"/>
  <c r="U28" i="32"/>
  <c r="U9" i="32" s="1"/>
  <c r="X35" i="34"/>
  <c r="X16" i="34" s="1"/>
  <c r="AA154" i="3"/>
  <c r="AA152" i="34"/>
  <c r="AD57" i="34"/>
  <c r="AA71" i="34"/>
  <c r="O152" i="34"/>
  <c r="AL76" i="3"/>
  <c r="AL77" i="3" s="1"/>
  <c r="S147" i="34"/>
  <c r="S152" i="3"/>
  <c r="P10" i="3"/>
  <c r="P33" i="3"/>
  <c r="P14" i="3" s="1"/>
  <c r="AC152" i="3"/>
  <c r="AC147" i="34"/>
  <c r="F9" i="34"/>
  <c r="Q52" i="34"/>
  <c r="Y109" i="32"/>
  <c r="U152" i="3"/>
  <c r="U147" i="32"/>
  <c r="W76" i="3"/>
  <c r="W71" i="34"/>
  <c r="AA31" i="32"/>
  <c r="AA12" i="32" s="1"/>
  <c r="Y52" i="32"/>
  <c r="Y147" i="32"/>
  <c r="Y71" i="32"/>
  <c r="AL152" i="3"/>
  <c r="AL153" i="3" s="1"/>
  <c r="W114" i="3"/>
  <c r="W109" i="34"/>
  <c r="S109" i="32"/>
  <c r="S52" i="32"/>
  <c r="R25" i="10"/>
  <c r="A113" i="92"/>
  <c r="A110" i="92"/>
  <c r="A112" i="92"/>
  <c r="A111" i="92"/>
  <c r="A109" i="92"/>
  <c r="A107" i="92"/>
  <c r="R75" i="10"/>
  <c r="S6" i="10"/>
  <c r="A108" i="92"/>
  <c r="AE152" i="3"/>
  <c r="AE147" i="32"/>
  <c r="U74" i="34"/>
  <c r="U150" i="34"/>
  <c r="U112" i="34"/>
  <c r="W52" i="34"/>
  <c r="W57" i="3"/>
  <c r="AA76" i="3"/>
  <c r="E71" i="34"/>
  <c r="E33" i="34" s="1"/>
  <c r="AG152" i="3"/>
  <c r="O52" i="32"/>
  <c r="O52" i="34"/>
  <c r="O147" i="32"/>
  <c r="O154" i="3"/>
  <c r="E52" i="34"/>
  <c r="AA147" i="34"/>
  <c r="AB153" i="3"/>
  <c r="AB152" i="34"/>
  <c r="AA71" i="32"/>
  <c r="O147" i="34"/>
  <c r="Q57" i="3"/>
  <c r="O152" i="32"/>
  <c r="M152" i="3"/>
  <c r="M147" i="32"/>
  <c r="M33" i="3"/>
  <c r="M14" i="3" s="1"/>
  <c r="M8" i="3"/>
  <c r="AB154" i="3"/>
  <c r="E961" i="92"/>
  <c r="L19" i="32"/>
  <c r="AA147" i="32"/>
  <c r="Z21" i="10"/>
  <c r="AA133" i="32" s="1"/>
  <c r="U113" i="10"/>
  <c r="V74" i="34"/>
  <c r="V112" i="34"/>
  <c r="V150" i="34"/>
  <c r="AE133" i="3"/>
  <c r="AE128" i="32"/>
  <c r="E1024" i="92"/>
  <c r="O21" i="10"/>
  <c r="P57" i="32" s="1"/>
  <c r="P147" i="32"/>
  <c r="AB21" i="10"/>
  <c r="AC147" i="32"/>
  <c r="AF133" i="3"/>
  <c r="AF133" i="32" s="1"/>
  <c r="AF128" i="32"/>
  <c r="R21" i="10"/>
  <c r="S133" i="32" s="1"/>
  <c r="S147" i="32"/>
  <c r="Y159" i="32"/>
  <c r="Y150" i="32"/>
  <c r="Y112" i="32"/>
  <c r="AD147" i="32"/>
  <c r="AC21" i="10"/>
  <c r="Y22" i="10"/>
  <c r="D21" i="10"/>
  <c r="E71" i="32"/>
  <c r="E33" i="32" s="1"/>
  <c r="E52" i="32"/>
  <c r="E989" i="92"/>
  <c r="E1052" i="92"/>
  <c r="L19" i="34"/>
  <c r="E57" i="34"/>
  <c r="F58" i="34" s="1"/>
  <c r="E74" i="34"/>
  <c r="E36" i="34" s="1"/>
  <c r="E17" i="34" s="1"/>
  <c r="E76" i="34"/>
  <c r="AF58" i="3"/>
  <c r="AF57" i="32"/>
  <c r="E1059" i="92"/>
  <c r="D19" i="34"/>
  <c r="K14" i="34"/>
  <c r="D58" i="34"/>
  <c r="K38" i="34"/>
  <c r="L77" i="34"/>
  <c r="C38" i="34"/>
  <c r="D77" i="34"/>
  <c r="C76" i="32"/>
  <c r="C57" i="32"/>
  <c r="C74" i="32"/>
  <c r="C36" i="32" s="1"/>
  <c r="C17" i="32" s="1"/>
  <c r="J14" i="34"/>
  <c r="H14" i="34"/>
  <c r="C14" i="32"/>
  <c r="K14" i="32"/>
  <c r="D76" i="32"/>
  <c r="D38" i="32" s="1"/>
  <c r="D57" i="32"/>
  <c r="D74" i="32"/>
  <c r="D36" i="32" s="1"/>
  <c r="D17" i="32" s="1"/>
  <c r="C22" i="10"/>
  <c r="D14" i="32"/>
  <c r="L77" i="32"/>
  <c r="K38" i="32"/>
  <c r="AG57" i="3"/>
  <c r="AL116" i="3"/>
  <c r="AG8" i="3"/>
  <c r="AG33" i="3"/>
  <c r="AG14" i="3" s="1"/>
  <c r="AG76" i="3"/>
  <c r="AG76" i="32" s="1"/>
  <c r="AL57" i="3"/>
  <c r="AL58" i="3" s="1"/>
  <c r="AL8" i="3"/>
  <c r="AL33" i="3"/>
  <c r="AL14" i="3" s="1"/>
  <c r="Q133" i="34"/>
  <c r="Q133" i="32"/>
  <c r="Q135" i="3"/>
  <c r="AA133" i="34"/>
  <c r="AA135" i="3"/>
  <c r="S133" i="34"/>
  <c r="S135" i="3"/>
  <c r="T133" i="34"/>
  <c r="T133" i="32"/>
  <c r="T134" i="3"/>
  <c r="T135" i="3"/>
  <c r="V57" i="34"/>
  <c r="Q146" i="58"/>
  <c r="Q147" i="58" s="1"/>
  <c r="Y128" i="34"/>
  <c r="Y128" i="32"/>
  <c r="U128" i="34"/>
  <c r="U128" i="32"/>
  <c r="AD128" i="34"/>
  <c r="AD128" i="32"/>
  <c r="Z8" i="3"/>
  <c r="Z33" i="3"/>
  <c r="Z14" i="3" s="1"/>
  <c r="V33" i="3"/>
  <c r="V14" i="3" s="1"/>
  <c r="V8" i="3"/>
  <c r="U133" i="34"/>
  <c r="U133" i="32"/>
  <c r="U135" i="3"/>
  <c r="AE33" i="3"/>
  <c r="AE14" i="3" s="1"/>
  <c r="AE8" i="3"/>
  <c r="W133" i="34"/>
  <c r="W135" i="3"/>
  <c r="W33" i="3"/>
  <c r="W14" i="3" s="1"/>
  <c r="W8" i="3"/>
  <c r="AC33" i="3"/>
  <c r="AC14" i="3" s="1"/>
  <c r="AC8" i="3"/>
  <c r="Z128" i="34"/>
  <c r="Z128" i="32"/>
  <c r="Z133" i="34"/>
  <c r="Z133" i="32"/>
  <c r="Z135" i="3"/>
  <c r="AA33" i="3"/>
  <c r="AA14" i="3" s="1"/>
  <c r="AA8" i="3"/>
  <c r="AD133" i="34"/>
  <c r="AD135" i="3"/>
  <c r="AD134" i="3"/>
  <c r="AB33" i="3"/>
  <c r="AB14" i="3" s="1"/>
  <c r="AB8" i="3"/>
  <c r="W128" i="34"/>
  <c r="AD114" i="34"/>
  <c r="AD115" i="34" s="1"/>
  <c r="AD115" i="3"/>
  <c r="AD116" i="3"/>
  <c r="AC128" i="34"/>
  <c r="AC128" i="32"/>
  <c r="Y133" i="3"/>
  <c r="Z134" i="3" s="1"/>
  <c r="P57" i="34"/>
  <c r="P58" i="3"/>
  <c r="P59" i="3" s="1"/>
  <c r="K146" i="58"/>
  <c r="K147" i="58" s="1"/>
  <c r="AA128" i="34"/>
  <c r="AA128" i="32"/>
  <c r="Q8" i="3"/>
  <c r="Q33" i="3"/>
  <c r="Q14" i="3" s="1"/>
  <c r="AB128" i="34"/>
  <c r="AB128" i="32"/>
  <c r="X128" i="34"/>
  <c r="AB133" i="3"/>
  <c r="R128" i="34"/>
  <c r="R128" i="32"/>
  <c r="R133" i="34"/>
  <c r="R133" i="32"/>
  <c r="R134" i="3"/>
  <c r="R135" i="3"/>
  <c r="S33" i="3"/>
  <c r="S14" i="3" s="1"/>
  <c r="S8" i="3"/>
  <c r="T33" i="3"/>
  <c r="T14" i="3" s="1"/>
  <c r="T8" i="3"/>
  <c r="S114" i="34"/>
  <c r="S116" i="3"/>
  <c r="Y8" i="3"/>
  <c r="Y33" i="3"/>
  <c r="Y14" i="3" s="1"/>
  <c r="AF33" i="3"/>
  <c r="AF14" i="3" s="1"/>
  <c r="AF8" i="3"/>
  <c r="S128" i="34"/>
  <c r="S128" i="32"/>
  <c r="Q128" i="34"/>
  <c r="Q128" i="32"/>
  <c r="T128" i="34"/>
  <c r="T128" i="32"/>
  <c r="X33" i="3"/>
  <c r="X14" i="3" s="1"/>
  <c r="X8" i="3"/>
  <c r="R8" i="3"/>
  <c r="R33" i="3"/>
  <c r="R14" i="3" s="1"/>
  <c r="AC133" i="34"/>
  <c r="AC135" i="3"/>
  <c r="V133" i="34"/>
  <c r="V135" i="3"/>
  <c r="V134" i="3"/>
  <c r="U33" i="3"/>
  <c r="U14" i="3" s="1"/>
  <c r="U8" i="3"/>
  <c r="AD33" i="3"/>
  <c r="AD14" i="3" s="1"/>
  <c r="AD8" i="3"/>
  <c r="H77" i="34" l="1"/>
  <c r="X71" i="32"/>
  <c r="L14" i="32"/>
  <c r="G22" i="10"/>
  <c r="T36" i="32"/>
  <c r="T17" i="32" s="1"/>
  <c r="G19" i="34"/>
  <c r="Y35" i="32"/>
  <c r="Y16" i="32" s="1"/>
  <c r="X27" i="32"/>
  <c r="X8" i="32" s="1"/>
  <c r="AE36" i="32"/>
  <c r="AE17" i="32" s="1"/>
  <c r="X112" i="32"/>
  <c r="H39" i="34"/>
  <c r="L58" i="34"/>
  <c r="X114" i="32"/>
  <c r="X31" i="32"/>
  <c r="X12" i="32" s="1"/>
  <c r="X152" i="32"/>
  <c r="X128" i="32"/>
  <c r="J19" i="34"/>
  <c r="J20" i="34" s="1"/>
  <c r="X159" i="32"/>
  <c r="J58" i="34"/>
  <c r="AJ153" i="32"/>
  <c r="I76" i="32"/>
  <c r="I38" i="32" s="1"/>
  <c r="I74" i="32"/>
  <c r="I36" i="32" s="1"/>
  <c r="I17" i="32" s="1"/>
  <c r="I57" i="32"/>
  <c r="X52" i="32"/>
  <c r="X109" i="32"/>
  <c r="G74" i="32"/>
  <c r="G36" i="32" s="1"/>
  <c r="G17" i="32" s="1"/>
  <c r="G76" i="32"/>
  <c r="X147" i="32"/>
  <c r="F57" i="32"/>
  <c r="F74" i="32"/>
  <c r="F36" i="32" s="1"/>
  <c r="F17" i="32" s="1"/>
  <c r="F76" i="32"/>
  <c r="F38" i="32" s="1"/>
  <c r="X76" i="32"/>
  <c r="H57" i="32"/>
  <c r="H74" i="32"/>
  <c r="H36" i="32" s="1"/>
  <c r="H17" i="32" s="1"/>
  <c r="H76" i="32"/>
  <c r="H38" i="32" s="1"/>
  <c r="W72" i="10"/>
  <c r="I19" i="34"/>
  <c r="G57" i="32"/>
  <c r="J77" i="34"/>
  <c r="X150" i="32"/>
  <c r="W35" i="32"/>
  <c r="W16" i="32" s="1"/>
  <c r="AJ33" i="32"/>
  <c r="AJ14" i="32" s="1"/>
  <c r="X96" i="3"/>
  <c r="AJ134" i="3"/>
  <c r="AJ115" i="3"/>
  <c r="AJ114" i="32"/>
  <c r="AJ38" i="3"/>
  <c r="AJ19" i="3" s="1"/>
  <c r="AJ58" i="32"/>
  <c r="AJ76" i="32"/>
  <c r="AJ77" i="3"/>
  <c r="O33" i="32"/>
  <c r="O14" i="32" s="1"/>
  <c r="V128" i="34"/>
  <c r="V71" i="34"/>
  <c r="AJ153" i="3"/>
  <c r="Q33" i="32"/>
  <c r="Q14" i="32" s="1"/>
  <c r="AJ58" i="3"/>
  <c r="AH33" i="32"/>
  <c r="AH14" i="32" s="1"/>
  <c r="V27" i="34"/>
  <c r="V8" i="34" s="1"/>
  <c r="AI33" i="32"/>
  <c r="AI14" i="32" s="1"/>
  <c r="AH152" i="32"/>
  <c r="Y76" i="34"/>
  <c r="AH133" i="32"/>
  <c r="AH114" i="32"/>
  <c r="AH57" i="32"/>
  <c r="AH76" i="32"/>
  <c r="AH77" i="32" s="1"/>
  <c r="AL134" i="3"/>
  <c r="AI133" i="32"/>
  <c r="AJ134" i="32" s="1"/>
  <c r="N58" i="3"/>
  <c r="N59" i="3" s="1"/>
  <c r="S146" i="58"/>
  <c r="S147" i="58" s="1"/>
  <c r="X57" i="32"/>
  <c r="X19" i="3"/>
  <c r="AA114" i="32"/>
  <c r="AA116" i="3"/>
  <c r="X58" i="3"/>
  <c r="X59" i="3" s="1"/>
  <c r="H146" i="58"/>
  <c r="H147" i="58" s="1"/>
  <c r="M57" i="34"/>
  <c r="AE114" i="32"/>
  <c r="AF115" i="32" s="1"/>
  <c r="N76" i="34"/>
  <c r="N38" i="34" s="1"/>
  <c r="T115" i="3"/>
  <c r="Y57" i="34"/>
  <c r="AC57" i="34"/>
  <c r="AD58" i="34" s="1"/>
  <c r="T114" i="34"/>
  <c r="T115" i="34" s="1"/>
  <c r="T38" i="3"/>
  <c r="T116" i="3"/>
  <c r="S38" i="3"/>
  <c r="S19" i="3" s="1"/>
  <c r="AB115" i="3"/>
  <c r="Y154" i="3"/>
  <c r="Y152" i="32"/>
  <c r="Q38" i="3"/>
  <c r="Q19" i="3" s="1"/>
  <c r="Q76" i="32"/>
  <c r="Q38" i="32" s="1"/>
  <c r="N38" i="3"/>
  <c r="N19" i="3" s="1"/>
  <c r="AI38" i="3"/>
  <c r="AI19" i="3" s="1"/>
  <c r="AI76" i="32"/>
  <c r="T58" i="3"/>
  <c r="T59" i="3" s="1"/>
  <c r="S76" i="32"/>
  <c r="S114" i="32"/>
  <c r="E136" i="92"/>
  <c r="V104" i="32"/>
  <c r="V66" i="32"/>
  <c r="V142" i="32"/>
  <c r="V47" i="32"/>
  <c r="V123" i="32"/>
  <c r="U16" i="10"/>
  <c r="N33" i="34"/>
  <c r="N14" i="34" s="1"/>
  <c r="AH77" i="3"/>
  <c r="AH38" i="3"/>
  <c r="AD77" i="3"/>
  <c r="AD78" i="3" s="1"/>
  <c r="AC38" i="3"/>
  <c r="AC19" i="3" s="1"/>
  <c r="AC76" i="32"/>
  <c r="S57" i="34"/>
  <c r="T58" i="34" s="1"/>
  <c r="V76" i="34"/>
  <c r="V38" i="34" s="1"/>
  <c r="V19" i="34" s="1"/>
  <c r="AD33" i="34"/>
  <c r="AD14" i="34" s="1"/>
  <c r="Z116" i="3"/>
  <c r="Q33" i="34"/>
  <c r="Q14" i="34" s="1"/>
  <c r="AD38" i="3"/>
  <c r="AD19" i="3" s="1"/>
  <c r="Z58" i="3"/>
  <c r="Z59" i="3" s="1"/>
  <c r="P14" i="34"/>
  <c r="AG33" i="32"/>
  <c r="AG14" i="32" s="1"/>
  <c r="AF58" i="32"/>
  <c r="AG116" i="3"/>
  <c r="AG114" i="32"/>
  <c r="AH115" i="3"/>
  <c r="AG57" i="32"/>
  <c r="AH58" i="3"/>
  <c r="AG135" i="3"/>
  <c r="AG133" i="32"/>
  <c r="AH134" i="3"/>
  <c r="AG152" i="32"/>
  <c r="AH153" i="3"/>
  <c r="AA35" i="32"/>
  <c r="AA16" i="32" s="1"/>
  <c r="Z114" i="32"/>
  <c r="Z36" i="32"/>
  <c r="Z17" i="32" s="1"/>
  <c r="AC57" i="32"/>
  <c r="S57" i="32"/>
  <c r="T58" i="32" s="1"/>
  <c r="AF33" i="32"/>
  <c r="AF14" i="32" s="1"/>
  <c r="I22" i="10"/>
  <c r="J76" i="32"/>
  <c r="J57" i="32"/>
  <c r="J74" i="32"/>
  <c r="J36" i="32" s="1"/>
  <c r="J17" i="32" s="1"/>
  <c r="J14" i="32"/>
  <c r="P153" i="3"/>
  <c r="AF77" i="3"/>
  <c r="AE76" i="32"/>
  <c r="AF77" i="32" s="1"/>
  <c r="W152" i="34"/>
  <c r="X153" i="34" s="1"/>
  <c r="R58" i="3"/>
  <c r="R59" i="3" s="1"/>
  <c r="N33" i="32"/>
  <c r="N14" i="32" s="1"/>
  <c r="X134" i="3"/>
  <c r="AB57" i="34"/>
  <c r="AB58" i="34" s="1"/>
  <c r="Z115" i="3"/>
  <c r="R57" i="34"/>
  <c r="R57" i="32"/>
  <c r="M146" i="58"/>
  <c r="M147" i="58" s="1"/>
  <c r="Z38" i="3"/>
  <c r="Z19" i="3" s="1"/>
  <c r="P152" i="34"/>
  <c r="P153" i="34" s="1"/>
  <c r="P154" i="3"/>
  <c r="Z76" i="34"/>
  <c r="Z76" i="32"/>
  <c r="Z77" i="32" s="1"/>
  <c r="M33" i="32"/>
  <c r="M14" i="32" s="1"/>
  <c r="Z77" i="3"/>
  <c r="Z78" i="3" s="1"/>
  <c r="O36" i="32"/>
  <c r="O17" i="32" s="1"/>
  <c r="V28" i="34"/>
  <c r="V9" i="34" s="1"/>
  <c r="U57" i="32"/>
  <c r="AB116" i="3"/>
  <c r="AB114" i="34"/>
  <c r="AB115" i="34" s="1"/>
  <c r="V58" i="3"/>
  <c r="V59" i="3" s="1"/>
  <c r="V115" i="34"/>
  <c r="P146" i="58"/>
  <c r="P147" i="58" s="1"/>
  <c r="Q57" i="34"/>
  <c r="AB114" i="32"/>
  <c r="X153" i="3"/>
  <c r="X133" i="32"/>
  <c r="H44" i="78"/>
  <c r="I44" i="78" s="1"/>
  <c r="I42" i="78"/>
  <c r="AC133" i="32"/>
  <c r="E142" i="92"/>
  <c r="W84" i="32"/>
  <c r="V16" i="10"/>
  <c r="W103" i="32"/>
  <c r="W122" i="32"/>
  <c r="W46" i="32"/>
  <c r="W65" i="32"/>
  <c r="W141" i="32"/>
  <c r="H44" i="79"/>
  <c r="I44" i="79" s="1"/>
  <c r="I42" i="79"/>
  <c r="AB76" i="34"/>
  <c r="AB76" i="32"/>
  <c r="N77" i="3"/>
  <c r="N78" i="3" s="1"/>
  <c r="AB58" i="3"/>
  <c r="AB59" i="3" s="1"/>
  <c r="U33" i="34"/>
  <c r="U14" i="34" s="1"/>
  <c r="AA57" i="32"/>
  <c r="AB58" i="32" s="1"/>
  <c r="U38" i="3"/>
  <c r="U19" i="3" s="1"/>
  <c r="E143" i="92"/>
  <c r="W85" i="32"/>
  <c r="W142" i="32"/>
  <c r="W104" i="32"/>
  <c r="W66" i="32"/>
  <c r="W123" i="32"/>
  <c r="W47" i="32"/>
  <c r="U76" i="32"/>
  <c r="U38" i="32" s="1"/>
  <c r="AB77" i="3"/>
  <c r="AB78" i="3" s="1"/>
  <c r="H44" i="76"/>
  <c r="I44" i="76" s="1"/>
  <c r="I42" i="76"/>
  <c r="V52" i="34"/>
  <c r="V109" i="34"/>
  <c r="V77" i="3"/>
  <c r="V78" i="3" s="1"/>
  <c r="H43" i="69"/>
  <c r="I43" i="69" s="1"/>
  <c r="I41" i="69"/>
  <c r="Q57" i="32"/>
  <c r="I42" i="84"/>
  <c r="H44" i="84"/>
  <c r="I44" i="84" s="1"/>
  <c r="O33" i="34"/>
  <c r="O14" i="34" s="1"/>
  <c r="T33" i="34"/>
  <c r="T14" i="34" s="1"/>
  <c r="W33" i="34"/>
  <c r="W14" i="34" s="1"/>
  <c r="T33" i="32"/>
  <c r="T14" i="32" s="1"/>
  <c r="M76" i="34"/>
  <c r="M38" i="34" s="1"/>
  <c r="P77" i="34"/>
  <c r="R38" i="3"/>
  <c r="R19" i="3" s="1"/>
  <c r="R33" i="32"/>
  <c r="R14" i="32" s="1"/>
  <c r="Z33" i="32"/>
  <c r="Z14" i="32" s="1"/>
  <c r="AD154" i="3"/>
  <c r="AD152" i="34"/>
  <c r="AD38" i="34" s="1"/>
  <c r="AD19" i="34" s="1"/>
  <c r="R33" i="34"/>
  <c r="R14" i="34" s="1"/>
  <c r="AB33" i="32"/>
  <c r="AB14" i="32" s="1"/>
  <c r="M38" i="3"/>
  <c r="M19" i="3" s="1"/>
  <c r="AB33" i="34"/>
  <c r="AB14" i="34" s="1"/>
  <c r="Y33" i="34"/>
  <c r="Y14" i="34" s="1"/>
  <c r="R76" i="34"/>
  <c r="R38" i="34" s="1"/>
  <c r="R76" i="32"/>
  <c r="R38" i="32" s="1"/>
  <c r="R77" i="3"/>
  <c r="R78" i="3" s="1"/>
  <c r="Y33" i="32"/>
  <c r="Y14" i="32" s="1"/>
  <c r="P33" i="32"/>
  <c r="P14" i="32" s="1"/>
  <c r="M14" i="34"/>
  <c r="AF115" i="3"/>
  <c r="AF153" i="3"/>
  <c r="L146" i="58"/>
  <c r="L147" i="58" s="1"/>
  <c r="X33" i="34"/>
  <c r="X14" i="34" s="1"/>
  <c r="AA33" i="34"/>
  <c r="AA14" i="34" s="1"/>
  <c r="X135" i="3"/>
  <c r="P20" i="3"/>
  <c r="P21" i="3" s="1"/>
  <c r="S33" i="34"/>
  <c r="S14" i="34" s="1"/>
  <c r="X133" i="34"/>
  <c r="X38" i="34" s="1"/>
  <c r="X19" i="34" s="1"/>
  <c r="Z57" i="34"/>
  <c r="Z57" i="32"/>
  <c r="Z58" i="32" s="1"/>
  <c r="P39" i="3"/>
  <c r="P40" i="3" s="1"/>
  <c r="P58" i="34"/>
  <c r="AL38" i="3"/>
  <c r="AL39" i="3" s="1"/>
  <c r="R152" i="34"/>
  <c r="R153" i="34" s="1"/>
  <c r="R152" i="32"/>
  <c r="R153" i="32" s="1"/>
  <c r="R154" i="3"/>
  <c r="T76" i="32"/>
  <c r="T38" i="32" s="1"/>
  <c r="T19" i="32" s="1"/>
  <c r="T77" i="3"/>
  <c r="T78" i="3" s="1"/>
  <c r="T76" i="34"/>
  <c r="AG154" i="3"/>
  <c r="AA38" i="3"/>
  <c r="AA19" i="3" s="1"/>
  <c r="P58" i="32"/>
  <c r="H5" i="8"/>
  <c r="A1300" i="92"/>
  <c r="A1268" i="92"/>
  <c r="A1236" i="92"/>
  <c r="E14" i="34"/>
  <c r="N152" i="34"/>
  <c r="N152" i="32"/>
  <c r="N154" i="3"/>
  <c r="I146" i="58"/>
  <c r="I147" i="58" s="1"/>
  <c r="N57" i="34"/>
  <c r="N57" i="32"/>
  <c r="N19" i="32" s="1"/>
  <c r="P19" i="34"/>
  <c r="AD33" i="32"/>
  <c r="AD14" i="32" s="1"/>
  <c r="Z33" i="34"/>
  <c r="Z14" i="34" s="1"/>
  <c r="Z152" i="34"/>
  <c r="Z152" i="32"/>
  <c r="Z154" i="3"/>
  <c r="AC33" i="34"/>
  <c r="AC14" i="34" s="1"/>
  <c r="AE33" i="32"/>
  <c r="AE14" i="32" s="1"/>
  <c r="Z153" i="3"/>
  <c r="W38" i="3"/>
  <c r="W19" i="3" s="1"/>
  <c r="Y114" i="34"/>
  <c r="Z115" i="34" s="1"/>
  <c r="Y114" i="32"/>
  <c r="Y116" i="3"/>
  <c r="AF38" i="3"/>
  <c r="U33" i="32"/>
  <c r="U14" i="32" s="1"/>
  <c r="AA76" i="32"/>
  <c r="AA76" i="34"/>
  <c r="AF134" i="3"/>
  <c r="A116" i="92"/>
  <c r="A115" i="92"/>
  <c r="A120" i="92"/>
  <c r="S75" i="10"/>
  <c r="A117" i="92"/>
  <c r="A114" i="92"/>
  <c r="A118" i="92"/>
  <c r="T6" i="10"/>
  <c r="S25" i="10"/>
  <c r="A119" i="92"/>
  <c r="X77" i="3"/>
  <c r="X78" i="3" s="1"/>
  <c r="W76" i="34"/>
  <c r="X77" i="34" s="1"/>
  <c r="AD114" i="32"/>
  <c r="AE38" i="3"/>
  <c r="AE19" i="3" s="1"/>
  <c r="U36" i="34"/>
  <c r="U17" i="34" s="1"/>
  <c r="U152" i="34"/>
  <c r="V153" i="34" s="1"/>
  <c r="U152" i="32"/>
  <c r="V153" i="3"/>
  <c r="U154" i="3"/>
  <c r="AC152" i="34"/>
  <c r="AC154" i="3"/>
  <c r="AD153" i="3"/>
  <c r="AD133" i="32"/>
  <c r="X115" i="3"/>
  <c r="W114" i="34"/>
  <c r="X115" i="34" s="1"/>
  <c r="W116" i="3"/>
  <c r="AA33" i="32"/>
  <c r="AA14" i="32" s="1"/>
  <c r="AC33" i="32"/>
  <c r="AC14" i="32" s="1"/>
  <c r="M152" i="34"/>
  <c r="M152" i="32"/>
  <c r="M154" i="3"/>
  <c r="N153" i="3"/>
  <c r="S33" i="32"/>
  <c r="S14" i="32" s="1"/>
  <c r="W57" i="34"/>
  <c r="X58" i="34" s="1"/>
  <c r="R146" i="58"/>
  <c r="R147" i="58" s="1"/>
  <c r="AE154" i="3"/>
  <c r="AE152" i="32"/>
  <c r="AF153" i="32" s="1"/>
  <c r="AL154" i="3"/>
  <c r="AB153" i="34"/>
  <c r="AD76" i="32"/>
  <c r="AG38" i="3"/>
  <c r="Y36" i="32"/>
  <c r="Y17" i="32" s="1"/>
  <c r="AF38" i="32"/>
  <c r="AF19" i="32" s="1"/>
  <c r="S154" i="3"/>
  <c r="T153" i="3"/>
  <c r="S152" i="34"/>
  <c r="T153" i="34" s="1"/>
  <c r="S22" i="10"/>
  <c r="S74" i="32"/>
  <c r="S150" i="32"/>
  <c r="S112" i="32"/>
  <c r="S152" i="32"/>
  <c r="T153" i="32" s="1"/>
  <c r="AC74" i="32"/>
  <c r="AC150" i="32"/>
  <c r="AC112" i="32"/>
  <c r="AC159" i="32"/>
  <c r="AC152" i="32"/>
  <c r="AC114" i="32"/>
  <c r="F77" i="34"/>
  <c r="E38" i="34"/>
  <c r="O22" i="10"/>
  <c r="P74" i="32"/>
  <c r="P150" i="32"/>
  <c r="P76" i="32"/>
  <c r="P152" i="32"/>
  <c r="P153" i="32" s="1"/>
  <c r="D19" i="32"/>
  <c r="V36" i="34"/>
  <c r="V17" i="34" s="1"/>
  <c r="E14" i="32"/>
  <c r="AA112" i="32"/>
  <c r="AA74" i="32"/>
  <c r="AA150" i="32"/>
  <c r="AA159" i="32"/>
  <c r="AA152" i="32"/>
  <c r="AB153" i="32" s="1"/>
  <c r="AA22" i="10"/>
  <c r="D58" i="32"/>
  <c r="E76" i="32"/>
  <c r="E22" i="10"/>
  <c r="E57" i="32"/>
  <c r="F58" i="32" s="1"/>
  <c r="E74" i="32"/>
  <c r="E36" i="32" s="1"/>
  <c r="E17" i="32" s="1"/>
  <c r="AC22" i="10"/>
  <c r="AD112" i="32"/>
  <c r="AD159" i="32"/>
  <c r="AD150" i="32"/>
  <c r="AD74" i="32"/>
  <c r="AD152" i="32"/>
  <c r="AD57" i="32"/>
  <c r="AE135" i="3"/>
  <c r="AE133" i="32"/>
  <c r="D77" i="32"/>
  <c r="C38" i="32"/>
  <c r="H20" i="34"/>
  <c r="C19" i="34"/>
  <c r="D20" i="34" s="1"/>
  <c r="D39" i="34"/>
  <c r="L39" i="32"/>
  <c r="K19" i="32"/>
  <c r="L20" i="32" s="1"/>
  <c r="L39" i="34"/>
  <c r="K19" i="34"/>
  <c r="L20" i="34" s="1"/>
  <c r="Y38" i="3"/>
  <c r="Y19" i="3" s="1"/>
  <c r="V58" i="34"/>
  <c r="AD134" i="34"/>
  <c r="O19" i="34"/>
  <c r="P39" i="34"/>
  <c r="S38" i="34"/>
  <c r="V134" i="34"/>
  <c r="Q38" i="34"/>
  <c r="R134" i="32"/>
  <c r="AD77" i="34"/>
  <c r="R134" i="34"/>
  <c r="N77" i="32"/>
  <c r="M38" i="32"/>
  <c r="AB133" i="34"/>
  <c r="AB133" i="32"/>
  <c r="AB134" i="32" s="1"/>
  <c r="AB135" i="3"/>
  <c r="AB134" i="3"/>
  <c r="AB38" i="3"/>
  <c r="O19" i="32"/>
  <c r="V19" i="3"/>
  <c r="T134" i="32"/>
  <c r="T134" i="34"/>
  <c r="Y133" i="34"/>
  <c r="Z134" i="34" s="1"/>
  <c r="Y133" i="32"/>
  <c r="Z134" i="32" s="1"/>
  <c r="Y135" i="3"/>
  <c r="AJ115" i="32" l="1"/>
  <c r="F19" i="32"/>
  <c r="AJ38" i="32"/>
  <c r="I19" i="32"/>
  <c r="X33" i="32"/>
  <c r="X14" i="32" s="1"/>
  <c r="X36" i="32"/>
  <c r="X17" i="32" s="1"/>
  <c r="V33" i="34"/>
  <c r="V14" i="34" s="1"/>
  <c r="H58" i="32"/>
  <c r="H19" i="32"/>
  <c r="G38" i="32"/>
  <c r="H77" i="32"/>
  <c r="X38" i="32"/>
  <c r="X19" i="32" s="1"/>
  <c r="J58" i="32"/>
  <c r="N19" i="34"/>
  <c r="AH58" i="32"/>
  <c r="AJ77" i="32"/>
  <c r="AH153" i="32"/>
  <c r="AB115" i="32"/>
  <c r="AJ39" i="3"/>
  <c r="AJ20" i="3"/>
  <c r="AH115" i="32"/>
  <c r="AI38" i="32"/>
  <c r="X20" i="3"/>
  <c r="X21" i="3" s="1"/>
  <c r="AH134" i="32"/>
  <c r="AH19" i="3"/>
  <c r="Z77" i="34"/>
  <c r="T38" i="34"/>
  <c r="T19" i="34" s="1"/>
  <c r="AH38" i="32"/>
  <c r="AH19" i="32" s="1"/>
  <c r="T39" i="3"/>
  <c r="T40" i="3" s="1"/>
  <c r="Z58" i="34"/>
  <c r="T19" i="3"/>
  <c r="T20" i="3" s="1"/>
  <c r="T21" i="3" s="1"/>
  <c r="Z153" i="32"/>
  <c r="S38" i="32"/>
  <c r="T39" i="32" s="1"/>
  <c r="T115" i="32"/>
  <c r="Z115" i="32"/>
  <c r="V77" i="34"/>
  <c r="AD58" i="32"/>
  <c r="V52" i="32"/>
  <c r="V128" i="32"/>
  <c r="V147" i="32"/>
  <c r="U21" i="10"/>
  <c r="V109" i="32"/>
  <c r="V71" i="32"/>
  <c r="V28" i="32"/>
  <c r="V9" i="32" s="1"/>
  <c r="AD77" i="32"/>
  <c r="AL19" i="3"/>
  <c r="AL20" i="3" s="1"/>
  <c r="AH39" i="3"/>
  <c r="AD39" i="3"/>
  <c r="AD40" i="3" s="1"/>
  <c r="AF19" i="3"/>
  <c r="AG38" i="32"/>
  <c r="J38" i="32"/>
  <c r="J77" i="32"/>
  <c r="V20" i="3"/>
  <c r="V21" i="3" s="1"/>
  <c r="AD20" i="3"/>
  <c r="AD21" i="3" s="1"/>
  <c r="V39" i="3"/>
  <c r="V40" i="3" s="1"/>
  <c r="AB38" i="34"/>
  <c r="AB19" i="34" s="1"/>
  <c r="R19" i="32"/>
  <c r="N20" i="3"/>
  <c r="N21" i="3" s="1"/>
  <c r="R58" i="32"/>
  <c r="Z38" i="34"/>
  <c r="Z19" i="34" s="1"/>
  <c r="R19" i="34"/>
  <c r="R58" i="34"/>
  <c r="AB77" i="32"/>
  <c r="Z38" i="32"/>
  <c r="Z19" i="32" s="1"/>
  <c r="R39" i="3"/>
  <c r="R40" i="3" s="1"/>
  <c r="R20" i="3"/>
  <c r="R21" i="3" s="1"/>
  <c r="AB77" i="34"/>
  <c r="AD134" i="32"/>
  <c r="N39" i="3"/>
  <c r="N40" i="3" s="1"/>
  <c r="N77" i="34"/>
  <c r="V21" i="10"/>
  <c r="W90" i="32"/>
  <c r="W52" i="32"/>
  <c r="W128" i="32"/>
  <c r="W147" i="32"/>
  <c r="W71" i="32"/>
  <c r="W109" i="32"/>
  <c r="W27" i="32"/>
  <c r="W8" i="32" s="1"/>
  <c r="W28" i="32"/>
  <c r="W9" i="32" s="1"/>
  <c r="AD153" i="34"/>
  <c r="T77" i="32"/>
  <c r="R77" i="34"/>
  <c r="R77" i="32"/>
  <c r="AC38" i="34"/>
  <c r="AD39" i="34" s="1"/>
  <c r="T77" i="34"/>
  <c r="AF39" i="3"/>
  <c r="X134" i="34"/>
  <c r="N153" i="32"/>
  <c r="P20" i="34"/>
  <c r="N153" i="34"/>
  <c r="I5" i="8"/>
  <c r="A1237" i="92"/>
  <c r="A1301" i="92"/>
  <c r="A1269" i="92"/>
  <c r="N58" i="34"/>
  <c r="N58" i="32"/>
  <c r="U38" i="34"/>
  <c r="U19" i="34" s="1"/>
  <c r="V20" i="34" s="1"/>
  <c r="X39" i="3"/>
  <c r="X40" i="3" s="1"/>
  <c r="AA38" i="34"/>
  <c r="AD38" i="32"/>
  <c r="AD19" i="32" s="1"/>
  <c r="AA38" i="32"/>
  <c r="AA19" i="32" s="1"/>
  <c r="AD115" i="32"/>
  <c r="A124" i="92"/>
  <c r="A121" i="92"/>
  <c r="A123" i="92"/>
  <c r="A126" i="92"/>
  <c r="T75" i="10"/>
  <c r="U6" i="10"/>
  <c r="A125" i="92"/>
  <c r="A122" i="92"/>
  <c r="T25" i="10"/>
  <c r="A127" i="92"/>
  <c r="W38" i="34"/>
  <c r="W19" i="34" s="1"/>
  <c r="X20" i="34" s="1"/>
  <c r="AG19" i="3"/>
  <c r="AD153" i="32"/>
  <c r="AD36" i="32"/>
  <c r="AD17" i="32" s="1"/>
  <c r="AC38" i="32"/>
  <c r="AC19" i="32" s="1"/>
  <c r="S36" i="32"/>
  <c r="S17" i="32" s="1"/>
  <c r="AB134" i="34"/>
  <c r="P38" i="32"/>
  <c r="P77" i="32"/>
  <c r="AF134" i="32"/>
  <c r="AE38" i="32"/>
  <c r="E38" i="32"/>
  <c r="F77" i="32"/>
  <c r="P36" i="32"/>
  <c r="P17" i="32" s="1"/>
  <c r="AC36" i="32"/>
  <c r="AC17" i="32" s="1"/>
  <c r="Z20" i="3"/>
  <c r="Z21" i="3" s="1"/>
  <c r="AA36" i="32"/>
  <c r="AA17" i="32" s="1"/>
  <c r="E19" i="34"/>
  <c r="F20" i="34" s="1"/>
  <c r="F39" i="34"/>
  <c r="D39" i="32"/>
  <c r="C19" i="32"/>
  <c r="D20" i="32" s="1"/>
  <c r="Z39" i="3"/>
  <c r="Z40" i="3" s="1"/>
  <c r="Y38" i="32"/>
  <c r="AB39" i="3"/>
  <c r="AB40" i="3" s="1"/>
  <c r="AB19" i="3"/>
  <c r="AB20" i="3" s="1"/>
  <c r="AB21" i="3" s="1"/>
  <c r="Q19" i="32"/>
  <c r="R39" i="32"/>
  <c r="AB38" i="32"/>
  <c r="AB19" i="32" s="1"/>
  <c r="N39" i="32"/>
  <c r="M19" i="32"/>
  <c r="N20" i="32" s="1"/>
  <c r="Y38" i="34"/>
  <c r="R39" i="34"/>
  <c r="Q19" i="34"/>
  <c r="N39" i="34"/>
  <c r="M19" i="34"/>
  <c r="U19" i="32"/>
  <c r="S19" i="34"/>
  <c r="AJ19" i="32" l="1"/>
  <c r="N20" i="34"/>
  <c r="G19" i="32"/>
  <c r="H20" i="32" s="1"/>
  <c r="H39" i="32"/>
  <c r="AI19" i="32"/>
  <c r="AJ39" i="32"/>
  <c r="T20" i="34"/>
  <c r="T39" i="34"/>
  <c r="V33" i="32"/>
  <c r="V14" i="32" s="1"/>
  <c r="AH39" i="32"/>
  <c r="S19" i="32"/>
  <c r="T20" i="32" s="1"/>
  <c r="V133" i="32"/>
  <c r="V134" i="32" s="1"/>
  <c r="U22" i="10"/>
  <c r="V57" i="32"/>
  <c r="V58" i="32" s="1"/>
  <c r="V150" i="32"/>
  <c r="V74" i="32"/>
  <c r="V112" i="32"/>
  <c r="V152" i="32"/>
  <c r="V153" i="32" s="1"/>
  <c r="V114" i="32"/>
  <c r="V115" i="32" s="1"/>
  <c r="V76" i="32"/>
  <c r="AG19" i="32"/>
  <c r="AH20" i="32" s="1"/>
  <c r="AF20" i="3"/>
  <c r="AH20" i="3"/>
  <c r="J19" i="32"/>
  <c r="J20" i="32" s="1"/>
  <c r="J39" i="32"/>
  <c r="AB39" i="34"/>
  <c r="R20" i="32"/>
  <c r="R20" i="34"/>
  <c r="Z39" i="32"/>
  <c r="W33" i="32"/>
  <c r="W14" i="32" s="1"/>
  <c r="W150" i="32"/>
  <c r="W112" i="32"/>
  <c r="W22" i="10"/>
  <c r="W74" i="32"/>
  <c r="W152" i="32"/>
  <c r="X153" i="32" s="1"/>
  <c r="W133" i="32"/>
  <c r="X134" i="32" s="1"/>
  <c r="W95" i="32"/>
  <c r="X96" i="32" s="1"/>
  <c r="W76" i="32"/>
  <c r="W114" i="32"/>
  <c r="X115" i="32" s="1"/>
  <c r="W57" i="32"/>
  <c r="X58" i="32" s="1"/>
  <c r="AC19" i="34"/>
  <c r="AD20" i="34" s="1"/>
  <c r="J5" i="8"/>
  <c r="A1302" i="92"/>
  <c r="A1270" i="92"/>
  <c r="A1238" i="92"/>
  <c r="V39" i="34"/>
  <c r="AD39" i="32"/>
  <c r="AA19" i="34"/>
  <c r="AB20" i="34" s="1"/>
  <c r="AD20" i="32"/>
  <c r="X39" i="34"/>
  <c r="A132" i="92"/>
  <c r="A129" i="92"/>
  <c r="U75" i="10"/>
  <c r="A131" i="92"/>
  <c r="V6" i="10"/>
  <c r="A128" i="92"/>
  <c r="U25" i="10"/>
  <c r="A133" i="92"/>
  <c r="A130" i="92"/>
  <c r="A134" i="92"/>
  <c r="E19" i="32"/>
  <c r="F20" i="32" s="1"/>
  <c r="F39" i="32"/>
  <c r="AE19" i="32"/>
  <c r="AF20" i="32" s="1"/>
  <c r="AF39" i="32"/>
  <c r="P39" i="32"/>
  <c r="P19" i="32"/>
  <c r="P20" i="32" s="1"/>
  <c r="Y19" i="32"/>
  <c r="Z20" i="32" s="1"/>
  <c r="AB20" i="32"/>
  <c r="AB39" i="32"/>
  <c r="Y19" i="34"/>
  <c r="Z20" i="34" s="1"/>
  <c r="Z39" i="34"/>
  <c r="AJ20" i="32" l="1"/>
  <c r="V36" i="32"/>
  <c r="V17" i="32" s="1"/>
  <c r="V38" i="32"/>
  <c r="V77" i="32"/>
  <c r="W36" i="32"/>
  <c r="W17" i="32" s="1"/>
  <c r="X77" i="32"/>
  <c r="W38" i="32"/>
  <c r="K5" i="8"/>
  <c r="A1303" i="92"/>
  <c r="A1271" i="92"/>
  <c r="A1239" i="92"/>
  <c r="A140" i="92"/>
  <c r="A137" i="92"/>
  <c r="V75" i="10"/>
  <c r="W6" i="10"/>
  <c r="V25" i="10"/>
  <c r="A139" i="92"/>
  <c r="A136" i="92"/>
  <c r="A141" i="92"/>
  <c r="A138" i="92"/>
  <c r="A135" i="92"/>
  <c r="V19" i="32" l="1"/>
  <c r="V20" i="32" s="1"/>
  <c r="V39" i="32"/>
  <c r="W19" i="32"/>
  <c r="X20" i="32" s="1"/>
  <c r="X39" i="32"/>
  <c r="L5" i="8"/>
  <c r="A1240" i="92"/>
  <c r="A1272" i="92"/>
  <c r="A1304" i="92"/>
  <c r="A146" i="92"/>
  <c r="A143" i="92"/>
  <c r="W75" i="10"/>
  <c r="X6" i="10"/>
  <c r="W25" i="10"/>
  <c r="A145" i="92"/>
  <c r="A142" i="92"/>
  <c r="A144" i="92"/>
  <c r="A147" i="92"/>
  <c r="A148" i="92"/>
  <c r="M5" i="8" l="1"/>
  <c r="A1241" i="92"/>
  <c r="A1305" i="92"/>
  <c r="A1273" i="92"/>
  <c r="X75" i="10"/>
  <c r="A152" i="92"/>
  <c r="Y6" i="10"/>
  <c r="X25" i="10"/>
  <c r="A154" i="92"/>
  <c r="A151" i="92"/>
  <c r="A153" i="92"/>
  <c r="A150" i="92"/>
  <c r="A155" i="92"/>
  <c r="A149" i="92"/>
  <c r="N5" i="8" l="1"/>
  <c r="A1306" i="92"/>
  <c r="A1274" i="92"/>
  <c r="A1242" i="92"/>
  <c r="Z6" i="10"/>
  <c r="A158" i="92"/>
  <c r="Y25" i="10"/>
  <c r="A157" i="92"/>
  <c r="A162" i="92"/>
  <c r="A159" i="92"/>
  <c r="A156" i="92"/>
  <c r="A160" i="92"/>
  <c r="Y75" i="10"/>
  <c r="A161" i="92"/>
  <c r="O5" i="8" l="1"/>
  <c r="A1243" i="92"/>
  <c r="A1307" i="92"/>
  <c r="A1275" i="92"/>
  <c r="Z25" i="10"/>
  <c r="A169" i="92"/>
  <c r="A166" i="92"/>
  <c r="A163" i="92"/>
  <c r="A168" i="92"/>
  <c r="A165" i="92"/>
  <c r="A167" i="92"/>
  <c r="A164" i="92"/>
  <c r="Z75" i="10"/>
  <c r="AA6" i="10"/>
  <c r="P5" i="8" l="1"/>
  <c r="A1308" i="92"/>
  <c r="A1276" i="92"/>
  <c r="A1244" i="92"/>
  <c r="A175" i="92"/>
  <c r="A172" i="92"/>
  <c r="A174" i="92"/>
  <c r="A171" i="92"/>
  <c r="A173" i="92"/>
  <c r="AA75" i="10"/>
  <c r="A176" i="92"/>
  <c r="A170" i="92"/>
  <c r="AB6" i="10"/>
  <c r="AA25" i="10"/>
  <c r="Q5" i="8" l="1"/>
  <c r="A1309" i="92"/>
  <c r="A1277" i="92"/>
  <c r="A1245" i="92"/>
  <c r="A178" i="92"/>
  <c r="A181" i="92"/>
  <c r="A183" i="92"/>
  <c r="AB75" i="10"/>
  <c r="A180" i="92"/>
  <c r="A182" i="92"/>
  <c r="A179" i="92"/>
  <c r="A177" i="92"/>
  <c r="AC6" i="10"/>
  <c r="AB25" i="10"/>
  <c r="R5" i="8" l="1"/>
  <c r="A1246" i="92"/>
  <c r="A1310" i="92"/>
  <c r="A1278" i="92"/>
  <c r="A187" i="92"/>
  <c r="A184" i="92"/>
  <c r="AC75" i="10"/>
  <c r="A186" i="92"/>
  <c r="A189" i="92"/>
  <c r="AD6" i="10"/>
  <c r="AC25" i="10"/>
  <c r="A188" i="92"/>
  <c r="A185" i="92"/>
  <c r="A190" i="92"/>
  <c r="S5" i="8" l="1"/>
  <c r="A1311" i="92"/>
  <c r="A1279" i="92"/>
  <c r="A1247" i="92"/>
  <c r="A193" i="92"/>
  <c r="A192" i="92"/>
  <c r="AD75" i="10"/>
  <c r="AE6" i="10"/>
  <c r="AD25" i="10"/>
  <c r="A197" i="92"/>
  <c r="A191" i="92"/>
  <c r="A194" i="92"/>
  <c r="A196" i="92"/>
  <c r="A195" i="92"/>
  <c r="T5" i="8" l="1"/>
  <c r="A1312" i="92"/>
  <c r="A1280" i="92"/>
  <c r="A1248" i="92"/>
  <c r="AE25" i="10"/>
  <c r="AE75" i="10"/>
  <c r="AF6" i="10"/>
  <c r="AF25" i="10" s="1"/>
  <c r="U5" i="8" l="1"/>
  <c r="A1249" i="92"/>
  <c r="A1313" i="92"/>
  <c r="A1281" i="92"/>
  <c r="AF75" i="10"/>
  <c r="AG6" i="10"/>
  <c r="AG25" i="10" s="1"/>
  <c r="AG75" i="10" l="1"/>
  <c r="AH6" i="10"/>
  <c r="V5" i="8"/>
  <c r="A1314" i="92"/>
  <c r="A1282" i="92"/>
  <c r="A1250" i="92"/>
  <c r="AI6" i="10" l="1"/>
  <c r="AH25" i="10"/>
  <c r="AH75" i="10"/>
  <c r="W5" i="8"/>
  <c r="A1283" i="92"/>
  <c r="A1251" i="92"/>
  <c r="A1315" i="92"/>
  <c r="AI25" i="10" l="1"/>
  <c r="AI75" i="10"/>
  <c r="X5" i="8"/>
  <c r="A1252" i="92"/>
  <c r="A1316" i="92"/>
  <c r="A1284" i="92"/>
  <c r="Y5" i="8" l="1"/>
  <c r="A1317" i="92"/>
  <c r="A1285" i="92"/>
  <c r="A1253" i="92"/>
  <c r="Z5" i="8" l="1"/>
  <c r="A1258" i="92"/>
  <c r="A1322" i="92"/>
  <c r="A1290" i="92"/>
  <c r="AA5" i="8" l="1"/>
  <c r="A1323" i="92"/>
  <c r="A1291" i="92"/>
  <c r="A1259" i="92"/>
  <c r="AB5" i="8" l="1"/>
  <c r="A1292" i="92"/>
  <c r="A1260" i="92"/>
  <c r="A1324" i="92"/>
  <c r="AC5" i="8" l="1"/>
  <c r="A1325" i="92"/>
  <c r="A1261" i="92"/>
  <c r="A1293" i="92"/>
  <c r="AD5" i="8" l="1"/>
  <c r="AE5" i="8" s="1"/>
  <c r="AF5" i="8" s="1"/>
  <c r="AG5" i="8" s="1"/>
  <c r="AH5" i="8" s="1"/>
  <c r="AI5" i="8" s="1"/>
  <c r="AJ5" i="8" s="1"/>
  <c r="AK5" i="8" s="1"/>
  <c r="C162" i="31" s="1"/>
  <c r="A1326" i="92"/>
  <c r="A1294" i="92"/>
  <c r="A1262" i="92"/>
  <c r="AK144" i="31" l="1"/>
  <c r="AK126" i="31"/>
  <c r="AK65" i="31"/>
  <c r="AK47" i="31"/>
  <c r="AJ145" i="31"/>
  <c r="AJ145" i="33" s="1"/>
  <c r="AJ160" i="31"/>
  <c r="AJ144" i="31"/>
  <c r="AJ144" i="33" s="1"/>
  <c r="AJ126" i="31"/>
  <c r="AJ126" i="33" s="1"/>
  <c r="AJ65" i="31"/>
  <c r="AJ65" i="33" s="1"/>
  <c r="AJ47" i="31"/>
  <c r="AJ47" i="33" s="1"/>
  <c r="AK158" i="31"/>
  <c r="AK143" i="31"/>
  <c r="AK125" i="31"/>
  <c r="AK108" i="31"/>
  <c r="AK46" i="31"/>
  <c r="AJ111" i="31"/>
  <c r="AJ111" i="33" s="1"/>
  <c r="AJ158" i="31"/>
  <c r="AJ158" i="33" s="1"/>
  <c r="AJ143" i="31"/>
  <c r="AJ143" i="33" s="1"/>
  <c r="AJ125" i="31"/>
  <c r="AJ125" i="33" s="1"/>
  <c r="AJ108" i="31"/>
  <c r="AJ108" i="33" s="1"/>
  <c r="AJ46" i="31"/>
  <c r="AJ46" i="33" s="1"/>
  <c r="AK142" i="31"/>
  <c r="AK124" i="31"/>
  <c r="AK107" i="31"/>
  <c r="AK74" i="31"/>
  <c r="AK145" i="31"/>
  <c r="AJ142" i="31"/>
  <c r="AJ142" i="33" s="1"/>
  <c r="AJ124" i="31"/>
  <c r="AJ124" i="33" s="1"/>
  <c r="AJ107" i="31"/>
  <c r="AJ107" i="33" s="1"/>
  <c r="AJ74" i="31"/>
  <c r="AJ74" i="33" s="1"/>
  <c r="AK66" i="31"/>
  <c r="AK141" i="31"/>
  <c r="AK123" i="31"/>
  <c r="AK106" i="31"/>
  <c r="AK73" i="31"/>
  <c r="AJ141" i="31"/>
  <c r="AJ141" i="33" s="1"/>
  <c r="AJ123" i="31"/>
  <c r="AJ123" i="33" s="1"/>
  <c r="AJ106" i="31"/>
  <c r="AJ106" i="33" s="1"/>
  <c r="AJ73" i="31"/>
  <c r="AJ73" i="33" s="1"/>
  <c r="AK111" i="31"/>
  <c r="AK122" i="31"/>
  <c r="AK105" i="31"/>
  <c r="AK71" i="31"/>
  <c r="AK54" i="31"/>
  <c r="AK48" i="31"/>
  <c r="AJ122" i="31"/>
  <c r="AJ122" i="33" s="1"/>
  <c r="AJ105" i="31"/>
  <c r="AJ105" i="33" s="1"/>
  <c r="AJ71" i="31"/>
  <c r="AJ71" i="33" s="1"/>
  <c r="AJ54" i="31"/>
  <c r="AJ54" i="33" s="1"/>
  <c r="AK150" i="31"/>
  <c r="AK104" i="31"/>
  <c r="AK70" i="31"/>
  <c r="AK52" i="31"/>
  <c r="AJ150" i="31"/>
  <c r="AJ150" i="33" s="1"/>
  <c r="AJ104" i="31"/>
  <c r="AJ104" i="33" s="1"/>
  <c r="AJ70" i="31"/>
  <c r="AJ70" i="33" s="1"/>
  <c r="AJ52" i="31"/>
  <c r="AJ52" i="33" s="1"/>
  <c r="AK127" i="31"/>
  <c r="AK149" i="31"/>
  <c r="AK103" i="31"/>
  <c r="AK69" i="31"/>
  <c r="AK51" i="31"/>
  <c r="AJ127" i="31"/>
  <c r="AJ127" i="33" s="1"/>
  <c r="AJ149" i="31"/>
  <c r="AJ149" i="33" s="1"/>
  <c r="AJ103" i="31"/>
  <c r="AJ103" i="33" s="1"/>
  <c r="AJ69" i="31"/>
  <c r="AJ69" i="33" s="1"/>
  <c r="AJ51" i="31"/>
  <c r="AJ51" i="33" s="1"/>
  <c r="AK147" i="31"/>
  <c r="AK130" i="31"/>
  <c r="AK68" i="31"/>
  <c r="AK50" i="31"/>
  <c r="AJ147" i="31"/>
  <c r="AJ147" i="33" s="1"/>
  <c r="AJ130" i="31"/>
  <c r="AJ130" i="33" s="1"/>
  <c r="AJ68" i="31"/>
  <c r="AJ68" i="33" s="1"/>
  <c r="AJ50" i="31"/>
  <c r="AJ50" i="33" s="1"/>
  <c r="AJ48" i="31"/>
  <c r="AJ48" i="33" s="1"/>
  <c r="AK146" i="31"/>
  <c r="AK112" i="31"/>
  <c r="AK67" i="31"/>
  <c r="AK49" i="31"/>
  <c r="AJ146" i="31"/>
  <c r="AJ146" i="33" s="1"/>
  <c r="AJ112" i="31"/>
  <c r="AJ112" i="33" s="1"/>
  <c r="AJ67" i="31"/>
  <c r="AJ67" i="33" s="1"/>
  <c r="AJ49" i="31"/>
  <c r="AJ49" i="33" s="1"/>
  <c r="AJ66" i="31"/>
  <c r="AJ66" i="33" s="1"/>
  <c r="AK160" i="31"/>
  <c r="AL146" i="31"/>
  <c r="AL141" i="31"/>
  <c r="AL108" i="31"/>
  <c r="V160" i="31"/>
  <c r="AI47" i="31"/>
  <c r="AI47" i="33" s="1"/>
  <c r="AI112" i="31"/>
  <c r="AI112" i="33" s="1"/>
  <c r="AI50" i="31"/>
  <c r="AI50" i="33" s="1"/>
  <c r="AI144" i="31"/>
  <c r="AI144" i="33" s="1"/>
  <c r="AI147" i="31"/>
  <c r="AI147" i="33" s="1"/>
  <c r="I65" i="31"/>
  <c r="T147" i="31"/>
  <c r="W70" i="31"/>
  <c r="E67" i="31"/>
  <c r="J70" i="31"/>
  <c r="V48" i="31"/>
  <c r="Z49" i="31"/>
  <c r="I54" i="31"/>
  <c r="T69" i="31"/>
  <c r="Y48" i="31"/>
  <c r="I47" i="31"/>
  <c r="S68" i="31"/>
  <c r="W48" i="31"/>
  <c r="D46" i="31"/>
  <c r="C74" i="31"/>
  <c r="AD48" i="31"/>
  <c r="Q46" i="31"/>
  <c r="D47" i="31"/>
  <c r="K52" i="31"/>
  <c r="M68" i="31"/>
  <c r="AE68" i="31"/>
  <c r="G71" i="31"/>
  <c r="U74" i="31"/>
  <c r="Y73" i="31"/>
  <c r="C46" i="31"/>
  <c r="R141" i="31"/>
  <c r="X145" i="31"/>
  <c r="Z51" i="31"/>
  <c r="R142" i="31"/>
  <c r="Z105" i="31"/>
  <c r="AE106" i="31"/>
  <c r="AE106" i="33" s="1"/>
  <c r="AA105" i="31"/>
  <c r="Q68" i="31"/>
  <c r="U107" i="31"/>
  <c r="AD108" i="31"/>
  <c r="W108" i="31"/>
  <c r="R54" i="31"/>
  <c r="X47" i="31"/>
  <c r="AA149" i="31"/>
  <c r="X104" i="31"/>
  <c r="W65" i="31"/>
  <c r="U123" i="31"/>
  <c r="M71" i="31"/>
  <c r="AD124" i="31"/>
  <c r="AA124" i="31"/>
  <c r="S125" i="31"/>
  <c r="N52" i="31"/>
  <c r="U147" i="31"/>
  <c r="W125" i="31"/>
  <c r="S127" i="31"/>
  <c r="Y124" i="31"/>
  <c r="Y122" i="31"/>
  <c r="AA49" i="31"/>
  <c r="X124" i="31"/>
  <c r="W130" i="31"/>
  <c r="M147" i="31"/>
  <c r="T124" i="31"/>
  <c r="P52" i="31"/>
  <c r="M52" i="31"/>
  <c r="AC52" i="31"/>
  <c r="Z149" i="31"/>
  <c r="AD125" i="31"/>
  <c r="J65" i="31"/>
  <c r="O142" i="31"/>
  <c r="E49" i="31"/>
  <c r="AG130" i="31"/>
  <c r="AE143" i="31"/>
  <c r="AE143" i="33" s="1"/>
  <c r="AI142" i="31"/>
  <c r="AI142" i="33" s="1"/>
  <c r="F66" i="31"/>
  <c r="U142" i="31"/>
  <c r="AL103" i="31"/>
  <c r="AL69" i="31"/>
  <c r="AL104" i="31"/>
  <c r="AB160" i="31"/>
  <c r="AI143" i="31"/>
  <c r="AI143" i="33" s="1"/>
  <c r="AH69" i="31"/>
  <c r="AI108" i="31"/>
  <c r="AI108" i="33" s="1"/>
  <c r="AH122" i="31"/>
  <c r="L50" i="31"/>
  <c r="T46" i="31"/>
  <c r="AD106" i="31"/>
  <c r="AF112" i="31"/>
  <c r="AF112" i="33" s="1"/>
  <c r="G66" i="31"/>
  <c r="V51" i="31"/>
  <c r="Q54" i="31"/>
  <c r="G52" i="31"/>
  <c r="AC105" i="31"/>
  <c r="Y51" i="31"/>
  <c r="S142" i="31"/>
  <c r="Z74" i="31"/>
  <c r="O69" i="31"/>
  <c r="AF74" i="31"/>
  <c r="C52" i="31"/>
  <c r="AD51" i="31"/>
  <c r="Y47" i="31"/>
  <c r="AE69" i="31"/>
  <c r="H69" i="31"/>
  <c r="U69" i="31"/>
  <c r="E69" i="31"/>
  <c r="H71" i="31"/>
  <c r="AA103" i="31"/>
  <c r="J48" i="31"/>
  <c r="C65" i="31"/>
  <c r="Y111" i="31"/>
  <c r="V112" i="31"/>
  <c r="X149" i="31"/>
  <c r="S150" i="31"/>
  <c r="U104" i="31"/>
  <c r="AF106" i="31"/>
  <c r="AF106" i="33" s="1"/>
  <c r="V108" i="31"/>
  <c r="Z67" i="31"/>
  <c r="R146" i="31"/>
  <c r="AC146" i="31"/>
  <c r="T130" i="31"/>
  <c r="AC141" i="31"/>
  <c r="S67" i="31"/>
  <c r="AD111" i="31"/>
  <c r="AD73" i="31"/>
  <c r="T71" i="31"/>
  <c r="AA130" i="31"/>
  <c r="T127" i="31"/>
  <c r="O52" i="31"/>
  <c r="M49" i="31"/>
  <c r="AA127" i="31"/>
  <c r="AF127" i="31"/>
  <c r="AF127" i="33" s="1"/>
  <c r="Z147" i="31"/>
  <c r="AE123" i="31"/>
  <c r="AE123" i="33" s="1"/>
  <c r="V124" i="31"/>
  <c r="AA123" i="31"/>
  <c r="Z122" i="31"/>
  <c r="V125" i="31"/>
  <c r="AF126" i="31"/>
  <c r="AF126" i="33" s="1"/>
  <c r="AF104" i="31"/>
  <c r="AF104" i="33" s="1"/>
  <c r="AF130" i="31"/>
  <c r="I52" i="31"/>
  <c r="AD70" i="31"/>
  <c r="W141" i="31"/>
  <c r="I160" i="31"/>
  <c r="W150" i="31"/>
  <c r="P71" i="31"/>
  <c r="AL145" i="31"/>
  <c r="AL130" i="31"/>
  <c r="J160" i="31"/>
  <c r="M160" i="31"/>
  <c r="AI111" i="31"/>
  <c r="AH68" i="31"/>
  <c r="AH126" i="31"/>
  <c r="AH126" i="33" s="1"/>
  <c r="AI73" i="31"/>
  <c r="D51" i="31"/>
  <c r="T50" i="31"/>
  <c r="P46" i="31"/>
  <c r="AF47" i="31"/>
  <c r="AF47" i="33" s="1"/>
  <c r="I73" i="31"/>
  <c r="N66" i="31"/>
  <c r="R68" i="31"/>
  <c r="L69" i="31"/>
  <c r="U46" i="31"/>
  <c r="Y67" i="31"/>
  <c r="H47" i="31"/>
  <c r="AB147" i="31"/>
  <c r="AB103" i="31"/>
  <c r="F46" i="31"/>
  <c r="AG68" i="31"/>
  <c r="V66" i="31"/>
  <c r="Q65" i="31"/>
  <c r="E47" i="31"/>
  <c r="AG111" i="31"/>
  <c r="W88" i="31"/>
  <c r="K46" i="31"/>
  <c r="AG144" i="31"/>
  <c r="AG144" i="33" s="1"/>
  <c r="U106" i="31"/>
  <c r="D68" i="31"/>
  <c r="F49" i="31"/>
  <c r="S144" i="31"/>
  <c r="AD107" i="31"/>
  <c r="Q149" i="31"/>
  <c r="X106" i="31"/>
  <c r="S112" i="31"/>
  <c r="J47" i="31"/>
  <c r="M142" i="31"/>
  <c r="O144" i="31"/>
  <c r="V107" i="31"/>
  <c r="V150" i="31"/>
  <c r="O70" i="31"/>
  <c r="V46" i="31"/>
  <c r="U143" i="31"/>
  <c r="AC47" i="31"/>
  <c r="Q123" i="31"/>
  <c r="O71" i="31"/>
  <c r="N71" i="31"/>
  <c r="AC147" i="31"/>
  <c r="X123" i="31"/>
  <c r="Q71" i="31"/>
  <c r="AA71" i="31"/>
  <c r="AB122" i="31"/>
  <c r="Y127" i="31"/>
  <c r="AC46" i="31"/>
  <c r="AD127" i="31"/>
  <c r="AF48" i="31"/>
  <c r="AF48" i="33" s="1"/>
  <c r="Z141" i="31"/>
  <c r="U71" i="31"/>
  <c r="AI122" i="31"/>
  <c r="U73" i="31"/>
  <c r="AE146" i="31"/>
  <c r="AE146" i="33" s="1"/>
  <c r="AL74" i="31"/>
  <c r="AL127" i="31"/>
  <c r="P160" i="31"/>
  <c r="AG160" i="31"/>
  <c r="AH141" i="31"/>
  <c r="AH141" i="33" s="1"/>
  <c r="AI70" i="31"/>
  <c r="AI145" i="31"/>
  <c r="AI145" i="33" s="1"/>
  <c r="AI126" i="31"/>
  <c r="AI126" i="33" s="1"/>
  <c r="I68" i="31"/>
  <c r="T66" i="31"/>
  <c r="X50" i="31"/>
  <c r="AF142" i="31"/>
  <c r="AF142" i="33" s="1"/>
  <c r="AG146" i="31"/>
  <c r="AG146" i="33" s="1"/>
  <c r="N70" i="31"/>
  <c r="AE74" i="31"/>
  <c r="D54" i="31"/>
  <c r="AC48" i="31"/>
  <c r="Y70" i="31"/>
  <c r="L73" i="31"/>
  <c r="AB46" i="31"/>
  <c r="T107" i="31"/>
  <c r="AE51" i="31"/>
  <c r="AE51" i="33" s="1"/>
  <c r="D52" i="31"/>
  <c r="V70" i="31"/>
  <c r="Y66" i="31"/>
  <c r="AE149" i="31"/>
  <c r="L52" i="31"/>
  <c r="V111" i="31"/>
  <c r="F52" i="31"/>
  <c r="AA47" i="31"/>
  <c r="W50" i="31"/>
  <c r="AG141" i="31"/>
  <c r="AG141" i="33" s="1"/>
  <c r="AC50" i="31"/>
  <c r="AC108" i="31"/>
  <c r="Y158" i="31"/>
  <c r="W146" i="31"/>
  <c r="S145" i="31"/>
  <c r="P141" i="31"/>
  <c r="AG122" i="31"/>
  <c r="AC143" i="31"/>
  <c r="Y149" i="31"/>
  <c r="S146" i="31"/>
  <c r="V141" i="31"/>
  <c r="AG51" i="31"/>
  <c r="AG51" i="33" s="1"/>
  <c r="X141" i="31"/>
  <c r="X73" i="31"/>
  <c r="AF71" i="31"/>
  <c r="AF71" i="33" s="1"/>
  <c r="AD149" i="31"/>
  <c r="S143" i="31"/>
  <c r="W90" i="31"/>
  <c r="V126" i="31"/>
  <c r="AA126" i="31"/>
  <c r="AD52" i="31"/>
  <c r="Q127" i="31"/>
  <c r="AB123" i="31"/>
  <c r="Y126" i="31"/>
  <c r="S123" i="31"/>
  <c r="Q126" i="31"/>
  <c r="AF52" i="31"/>
  <c r="AF52" i="33" s="1"/>
  <c r="M69" i="31"/>
  <c r="M54" i="31"/>
  <c r="R66" i="31"/>
  <c r="AL150" i="31"/>
  <c r="AC158" i="31"/>
  <c r="U149" i="31"/>
  <c r="R74" i="31"/>
  <c r="Y146" i="31"/>
  <c r="V69" i="31"/>
  <c r="AL144" i="31"/>
  <c r="AL66" i="31"/>
  <c r="F160" i="31"/>
  <c r="C160" i="31"/>
  <c r="AI74" i="31"/>
  <c r="AH107" i="31"/>
  <c r="AH107" i="33" s="1"/>
  <c r="AH74" i="31"/>
  <c r="AI104" i="31"/>
  <c r="AI104" i="33" s="1"/>
  <c r="F51" i="31"/>
  <c r="T70" i="31"/>
  <c r="X69" i="31"/>
  <c r="AE50" i="31"/>
  <c r="AE50" i="33" s="1"/>
  <c r="C67" i="31"/>
  <c r="Y104" i="31"/>
  <c r="L46" i="31"/>
  <c r="F69" i="31"/>
  <c r="T52" i="31"/>
  <c r="AB104" i="31"/>
  <c r="J52" i="31"/>
  <c r="AB50" i="31"/>
  <c r="X46" i="31"/>
  <c r="G46" i="31"/>
  <c r="I69" i="31"/>
  <c r="M73" i="31"/>
  <c r="W84" i="31"/>
  <c r="AF46" i="31"/>
  <c r="AF46" i="33" s="1"/>
  <c r="D70" i="31"/>
  <c r="AD147" i="31"/>
  <c r="G48" i="31"/>
  <c r="AA65" i="31"/>
  <c r="AD54" i="31"/>
  <c r="S69" i="31"/>
  <c r="Y108" i="31"/>
  <c r="T145" i="31"/>
  <c r="X107" i="31"/>
  <c r="S108" i="31"/>
  <c r="Z111" i="31"/>
  <c r="X144" i="31"/>
  <c r="AG66" i="31"/>
  <c r="U146" i="31"/>
  <c r="Z144" i="31"/>
  <c r="X112" i="31"/>
  <c r="AD146" i="31"/>
  <c r="U49" i="31"/>
  <c r="AA111" i="31"/>
  <c r="M47" i="31"/>
  <c r="AG67" i="31"/>
  <c r="AD50" i="31"/>
  <c r="AF54" i="31"/>
  <c r="U125" i="31"/>
  <c r="U52" i="31"/>
  <c r="R123" i="31"/>
  <c r="T73" i="31"/>
  <c r="F68" i="31"/>
  <c r="AF149" i="31"/>
  <c r="AB112" i="31"/>
  <c r="L67" i="31"/>
  <c r="V105" i="31"/>
  <c r="X122" i="31"/>
  <c r="C69" i="31"/>
  <c r="R150" i="31"/>
  <c r="Y50" i="31"/>
  <c r="AL73" i="31"/>
  <c r="AL65" i="31"/>
  <c r="AD160" i="31"/>
  <c r="W160" i="31"/>
  <c r="AH142" i="31"/>
  <c r="AH142" i="33" s="1"/>
  <c r="AH111" i="31"/>
  <c r="AH103" i="31"/>
  <c r="AI123" i="31"/>
  <c r="AI123" i="33" s="1"/>
  <c r="H52" i="31"/>
  <c r="C68" i="31"/>
  <c r="W85" i="31"/>
  <c r="AC103" i="31"/>
  <c r="D49" i="31"/>
  <c r="E74" i="31"/>
  <c r="W111" i="31"/>
  <c r="AE66" i="31"/>
  <c r="AG149" i="31"/>
  <c r="AC67" i="31"/>
  <c r="R47" i="31"/>
  <c r="G49" i="31"/>
  <c r="AB66" i="31"/>
  <c r="X51" i="31"/>
  <c r="AE65" i="31"/>
  <c r="AG124" i="31"/>
  <c r="AG124" i="33" s="1"/>
  <c r="S103" i="31"/>
  <c r="R46" i="31"/>
  <c r="K51" i="31"/>
  <c r="J69" i="31"/>
  <c r="AD49" i="31"/>
  <c r="L66" i="31"/>
  <c r="T105" i="31"/>
  <c r="O67" i="31"/>
  <c r="U70" i="31"/>
  <c r="O49" i="31"/>
  <c r="AC150" i="31"/>
  <c r="AD150" i="31"/>
  <c r="R144" i="31"/>
  <c r="AB145" i="31"/>
  <c r="W149" i="31"/>
  <c r="S65" i="31"/>
  <c r="V149" i="31"/>
  <c r="AA150" i="31"/>
  <c r="T146" i="31"/>
  <c r="S149" i="31"/>
  <c r="O65" i="31"/>
  <c r="AA68" i="31"/>
  <c r="AG103" i="31"/>
  <c r="AG48" i="31"/>
  <c r="AG48" i="33" s="1"/>
  <c r="AF70" i="31"/>
  <c r="W69" i="31"/>
  <c r="AA52" i="31"/>
  <c r="AE127" i="31"/>
  <c r="AE127" i="33" s="1"/>
  <c r="U130" i="31"/>
  <c r="Y125" i="31"/>
  <c r="V52" i="31"/>
  <c r="AA122" i="31"/>
  <c r="AE147" i="31"/>
  <c r="AE147" i="33" s="1"/>
  <c r="AD122" i="31"/>
  <c r="R125" i="31"/>
  <c r="S122" i="31"/>
  <c r="W52" i="31"/>
  <c r="AG50" i="31"/>
  <c r="AG50" i="33" s="1"/>
  <c r="AC125" i="31"/>
  <c r="S147" i="31"/>
  <c r="W123" i="31"/>
  <c r="U127" i="31"/>
  <c r="S126" i="31"/>
  <c r="V67" i="31"/>
  <c r="I74" i="31"/>
  <c r="J68" i="31"/>
  <c r="AB144" i="31"/>
  <c r="X127" i="31"/>
  <c r="AE112" i="31"/>
  <c r="AE112" i="33" s="1"/>
  <c r="I46" i="31"/>
  <c r="Y103" i="31"/>
  <c r="AL143" i="31"/>
  <c r="AL122" i="31"/>
  <c r="Q160" i="31"/>
  <c r="AC160" i="31"/>
  <c r="AH123" i="31"/>
  <c r="AH123" i="33" s="1"/>
  <c r="AH150" i="31"/>
  <c r="AH150" i="33" s="1"/>
  <c r="AI54" i="31"/>
  <c r="AH124" i="31"/>
  <c r="AH124" i="33" s="1"/>
  <c r="AE48" i="31"/>
  <c r="AE48" i="33" s="1"/>
  <c r="AG123" i="31"/>
  <c r="AG123" i="33" s="1"/>
  <c r="U47" i="31"/>
  <c r="Y141" i="31"/>
  <c r="V145" i="31"/>
  <c r="I66" i="31"/>
  <c r="W49" i="31"/>
  <c r="K71" i="31"/>
  <c r="E71" i="31"/>
  <c r="AB71" i="31"/>
  <c r="R51" i="31"/>
  <c r="C48" i="31"/>
  <c r="AB70" i="31"/>
  <c r="X65" i="31"/>
  <c r="H46" i="31"/>
  <c r="G68" i="31"/>
  <c r="W105" i="31"/>
  <c r="R50" i="31"/>
  <c r="AF146" i="31"/>
  <c r="AF146" i="33" s="1"/>
  <c r="Q124" i="31"/>
  <c r="AC54" i="31"/>
  <c r="H54" i="31"/>
  <c r="AB48" i="31"/>
  <c r="V74" i="31"/>
  <c r="N47" i="31"/>
  <c r="P47" i="31"/>
  <c r="U141" i="31"/>
  <c r="AD144" i="31"/>
  <c r="W112" i="31"/>
  <c r="Z158" i="31"/>
  <c r="AD112" i="31"/>
  <c r="T67" i="31"/>
  <c r="N141" i="31"/>
  <c r="AA143" i="31"/>
  <c r="X150" i="31"/>
  <c r="AG150" i="31"/>
  <c r="AG150" i="33" s="1"/>
  <c r="Z71" i="31"/>
  <c r="AC70" i="31"/>
  <c r="V71" i="31"/>
  <c r="Z146" i="31"/>
  <c r="P66" i="31"/>
  <c r="AF105" i="31"/>
  <c r="AF105" i="33" s="1"/>
  <c r="AD126" i="31"/>
  <c r="S124" i="31"/>
  <c r="Z123" i="31"/>
  <c r="V73" i="31"/>
  <c r="W122" i="31"/>
  <c r="AB126" i="31"/>
  <c r="AE130" i="31"/>
  <c r="X71" i="31"/>
  <c r="X111" i="31"/>
  <c r="AD67" i="31"/>
  <c r="AB125" i="31"/>
  <c r="H160" i="31"/>
  <c r="D71" i="31"/>
  <c r="AA141" i="31"/>
  <c r="X74" i="31"/>
  <c r="T106" i="31"/>
  <c r="P69" i="31"/>
  <c r="X130" i="31"/>
  <c r="AL71" i="31"/>
  <c r="AL111" i="31"/>
  <c r="Z160" i="31"/>
  <c r="D160" i="31"/>
  <c r="AI51" i="31"/>
  <c r="AI51" i="33" s="1"/>
  <c r="AH144" i="31"/>
  <c r="AH144" i="33" s="1"/>
  <c r="AI127" i="31"/>
  <c r="AI127" i="33" s="1"/>
  <c r="AH145" i="31"/>
  <c r="AH145" i="33" s="1"/>
  <c r="AE108" i="31"/>
  <c r="AE108" i="33" s="1"/>
  <c r="G69" i="31"/>
  <c r="M50" i="31"/>
  <c r="Y144" i="31"/>
  <c r="AE49" i="31"/>
  <c r="AE49" i="33" s="1"/>
  <c r="K73" i="31"/>
  <c r="AD74" i="31"/>
  <c r="AF143" i="31"/>
  <c r="AF143" i="33" s="1"/>
  <c r="E50" i="31"/>
  <c r="AB74" i="31"/>
  <c r="Z65" i="31"/>
  <c r="K65" i="31"/>
  <c r="S74" i="31"/>
  <c r="P70" i="31"/>
  <c r="H49" i="31"/>
  <c r="AG108" i="31"/>
  <c r="AG108" i="33" s="1"/>
  <c r="U112" i="31"/>
  <c r="Y54" i="31"/>
  <c r="C49" i="31"/>
  <c r="S46" i="31"/>
  <c r="V68" i="31"/>
  <c r="K49" i="31"/>
  <c r="AA54" i="31"/>
  <c r="T103" i="31"/>
  <c r="AD65" i="31"/>
  <c r="X66" i="31"/>
  <c r="AC145" i="31"/>
  <c r="AE67" i="31"/>
  <c r="AA142" i="31"/>
  <c r="M146" i="31"/>
  <c r="Z145" i="31"/>
  <c r="AC112" i="31"/>
  <c r="AF145" i="31"/>
  <c r="AF145" i="33" s="1"/>
  <c r="Y112" i="31"/>
  <c r="AC142" i="31"/>
  <c r="AG107" i="31"/>
  <c r="AG107" i="33" s="1"/>
  <c r="R147" i="31"/>
  <c r="AB52" i="31"/>
  <c r="W124" i="31"/>
  <c r="AD158" i="31"/>
  <c r="O54" i="31"/>
  <c r="AA112" i="31"/>
  <c r="S52" i="31"/>
  <c r="R126" i="31"/>
  <c r="AB130" i="31"/>
  <c r="AF122" i="31"/>
  <c r="R130" i="31"/>
  <c r="U124" i="31"/>
  <c r="AG52" i="31"/>
  <c r="AG52" i="33" s="1"/>
  <c r="AD130" i="31"/>
  <c r="AF124" i="31"/>
  <c r="AF124" i="33" s="1"/>
  <c r="R52" i="31"/>
  <c r="V127" i="31"/>
  <c r="O147" i="31"/>
  <c r="Y52" i="31"/>
  <c r="AC71" i="31"/>
  <c r="Q52" i="31"/>
  <c r="M66" i="31"/>
  <c r="K70" i="31"/>
  <c r="AD142" i="31"/>
  <c r="U122" i="31"/>
  <c r="AH65" i="31"/>
  <c r="R65" i="31"/>
  <c r="R127" i="31"/>
  <c r="AH147" i="31"/>
  <c r="AH147" i="33" s="1"/>
  <c r="AE104" i="31"/>
  <c r="AE104" i="33" s="1"/>
  <c r="AB158" i="31"/>
  <c r="Q147" i="31"/>
  <c r="AL142" i="31"/>
  <c r="AL158" i="31"/>
  <c r="K160" i="31"/>
  <c r="X160" i="31"/>
  <c r="AI107" i="31"/>
  <c r="AI107" i="33" s="1"/>
  <c r="AI106" i="31"/>
  <c r="AI106" i="33" s="1"/>
  <c r="AH104" i="31"/>
  <c r="AH104" i="33" s="1"/>
  <c r="AH67" i="31"/>
  <c r="F48" i="31"/>
  <c r="AG143" i="31"/>
  <c r="AG143" i="33" s="1"/>
  <c r="U65" i="31"/>
  <c r="Y49" i="31"/>
  <c r="I49" i="31"/>
  <c r="AA70" i="31"/>
  <c r="Z108" i="31"/>
  <c r="AF51" i="31"/>
  <c r="AF51" i="33" s="1"/>
  <c r="J67" i="31"/>
  <c r="X108" i="31"/>
  <c r="Z69" i="31"/>
  <c r="J54" i="31"/>
  <c r="U50" i="31"/>
  <c r="S104" i="31"/>
  <c r="AE145" i="31"/>
  <c r="AE145" i="33" s="1"/>
  <c r="S47" i="31"/>
  <c r="O46" i="31"/>
  <c r="Z68" i="31"/>
  <c r="C71" i="31"/>
  <c r="AA48" i="31"/>
  <c r="M74" i="31"/>
  <c r="I50" i="31"/>
  <c r="AB68" i="31"/>
  <c r="Z104" i="31"/>
  <c r="AD69" i="31"/>
  <c r="W74" i="31"/>
  <c r="V142" i="31"/>
  <c r="C51" i="31"/>
  <c r="AE141" i="31"/>
  <c r="AE141" i="33" s="1"/>
  <c r="T111" i="31"/>
  <c r="AA158" i="31"/>
  <c r="N73" i="31"/>
  <c r="AE144" i="31"/>
  <c r="AE144" i="33" s="1"/>
  <c r="N142" i="31"/>
  <c r="N150" i="31"/>
  <c r="AA145" i="31"/>
  <c r="S70" i="31"/>
  <c r="Q143" i="31"/>
  <c r="AG105" i="31"/>
  <c r="AG105" i="33" s="1"/>
  <c r="P51" i="31"/>
  <c r="AE142" i="31"/>
  <c r="AE142" i="33" s="1"/>
  <c r="Q51" i="31"/>
  <c r="AA125" i="31"/>
  <c r="Q130" i="31"/>
  <c r="AD123" i="31"/>
  <c r="AC122" i="31"/>
  <c r="AA147" i="31"/>
  <c r="AA69" i="31"/>
  <c r="AE122" i="31"/>
  <c r="AB127" i="31"/>
  <c r="Y123" i="31"/>
  <c r="AB124" i="31"/>
  <c r="N147" i="31"/>
  <c r="P149" i="31"/>
  <c r="AB143" i="31"/>
  <c r="AI105" i="31"/>
  <c r="AI105" i="33" s="1"/>
  <c r="Q142" i="31"/>
  <c r="Z150" i="31"/>
  <c r="Q125" i="31"/>
  <c r="W68" i="31"/>
  <c r="Y143" i="31"/>
  <c r="P73" i="31"/>
  <c r="T122" i="31"/>
  <c r="AL70" i="31"/>
  <c r="AL46" i="31"/>
  <c r="R160" i="31"/>
  <c r="N160" i="31"/>
  <c r="AH49" i="31"/>
  <c r="AH49" i="33" s="1"/>
  <c r="AI158" i="31"/>
  <c r="AI158" i="33" s="1"/>
  <c r="AH127" i="31"/>
  <c r="AH127" i="33" s="1"/>
  <c r="AI66" i="31"/>
  <c r="AF108" i="31"/>
  <c r="AF108" i="33" s="1"/>
  <c r="L65" i="31"/>
  <c r="U68" i="31"/>
  <c r="Y68" i="31"/>
  <c r="H68" i="31"/>
  <c r="V104" i="31"/>
  <c r="P48" i="31"/>
  <c r="AF150" i="31"/>
  <c r="AF150" i="33" s="1"/>
  <c r="D74" i="31"/>
  <c r="V49" i="31"/>
  <c r="Q74" i="31"/>
  <c r="G70" i="31"/>
  <c r="AC65" i="31"/>
  <c r="Q145" i="31"/>
  <c r="E48" i="31"/>
  <c r="AA50" i="31"/>
  <c r="O50" i="31"/>
  <c r="Q73" i="31"/>
  <c r="G51" i="31"/>
  <c r="AA66" i="31"/>
  <c r="AE107" i="31"/>
  <c r="AE107" i="33" s="1"/>
  <c r="F67" i="31"/>
  <c r="U105" i="31"/>
  <c r="P49" i="31"/>
  <c r="O68" i="31"/>
  <c r="Q48" i="31"/>
  <c r="V143" i="31"/>
  <c r="D48" i="31"/>
  <c r="W107" i="31"/>
  <c r="AD143" i="31"/>
  <c r="V146" i="31"/>
  <c r="AB107" i="31"/>
  <c r="I48" i="31"/>
  <c r="AE73" i="31"/>
  <c r="AA106" i="31"/>
  <c r="U145" i="31"/>
  <c r="T54" i="31"/>
  <c r="AG54" i="31"/>
  <c r="AG47" i="31"/>
  <c r="AG47" i="33" s="1"/>
  <c r="Q141" i="31"/>
  <c r="V54" i="31"/>
  <c r="AF147" i="31"/>
  <c r="AF147" i="33" s="1"/>
  <c r="T123" i="31"/>
  <c r="Y130" i="31"/>
  <c r="AC126" i="31"/>
  <c r="Z127" i="31"/>
  <c r="Z130" i="31"/>
  <c r="S130" i="31"/>
  <c r="AG71" i="31"/>
  <c r="AG71" i="33" s="1"/>
  <c r="S50" i="31"/>
  <c r="W126" i="31"/>
  <c r="AG158" i="31"/>
  <c r="AG158" i="33" s="1"/>
  <c r="AC130" i="31"/>
  <c r="AE125" i="31"/>
  <c r="AE125" i="33" s="1"/>
  <c r="T125" i="31"/>
  <c r="N149" i="31"/>
  <c r="AG49" i="31"/>
  <c r="AG49" i="33" s="1"/>
  <c r="AI149" i="31"/>
  <c r="N69" i="31"/>
  <c r="N143" i="31"/>
  <c r="W95" i="31"/>
  <c r="V47" i="31"/>
  <c r="K74" i="31"/>
  <c r="N145" i="31"/>
  <c r="AL68" i="31"/>
  <c r="AL147" i="31"/>
  <c r="G160" i="31"/>
  <c r="X158" i="31"/>
  <c r="AH51" i="31"/>
  <c r="AH51" i="33" s="1"/>
  <c r="AI130" i="31"/>
  <c r="AI49" i="31"/>
  <c r="AI49" i="33" s="1"/>
  <c r="AH106" i="31"/>
  <c r="AH106" i="33" s="1"/>
  <c r="C54" i="31"/>
  <c r="F71" i="31"/>
  <c r="T74" i="31"/>
  <c r="R48" i="31"/>
  <c r="D50" i="31"/>
  <c r="AB47" i="31"/>
  <c r="P65" i="31"/>
  <c r="AF65" i="31"/>
  <c r="K67" i="31"/>
  <c r="U54" i="31"/>
  <c r="O143" i="31"/>
  <c r="L54" i="31"/>
  <c r="AC68" i="31"/>
  <c r="Q50" i="31"/>
  <c r="J66" i="31"/>
  <c r="AD104" i="31"/>
  <c r="N54" i="31"/>
  <c r="Y74" i="31"/>
  <c r="J49" i="31"/>
  <c r="Z73" i="31"/>
  <c r="E46" i="31"/>
  <c r="H74" i="31"/>
  <c r="M46" i="31"/>
  <c r="P68" i="31"/>
  <c r="R49" i="31"/>
  <c r="Z47" i="31"/>
  <c r="N146" i="31"/>
  <c r="AG73" i="31"/>
  <c r="AB142" i="31"/>
  <c r="AA108" i="31"/>
  <c r="V106" i="31"/>
  <c r="P54" i="31"/>
  <c r="AF50" i="31"/>
  <c r="AF50" i="33" s="1"/>
  <c r="G65" i="31"/>
  <c r="AB111" i="31"/>
  <c r="AB149" i="31"/>
  <c r="AC127" i="31"/>
  <c r="W143" i="31"/>
  <c r="Y46" i="31"/>
  <c r="AG147" i="31"/>
  <c r="AG147" i="33" s="1"/>
  <c r="T49" i="31"/>
  <c r="AC111" i="31"/>
  <c r="AL67" i="31"/>
  <c r="AL124" i="31"/>
  <c r="AE160" i="31"/>
  <c r="AH160" i="31"/>
  <c r="AH146" i="31"/>
  <c r="AH146" i="33" s="1"/>
  <c r="AH54" i="31"/>
  <c r="AH149" i="31"/>
  <c r="AH105" i="31"/>
  <c r="AH105" i="33" s="1"/>
  <c r="AF111" i="31"/>
  <c r="H66" i="31"/>
  <c r="W92" i="31"/>
  <c r="Z66" i="31"/>
  <c r="K47" i="31"/>
  <c r="AB51" i="31"/>
  <c r="P67" i="31"/>
  <c r="J51" i="31"/>
  <c r="AG74" i="31"/>
  <c r="N68" i="31"/>
  <c r="P142" i="31"/>
  <c r="I70" i="31"/>
  <c r="Z103" i="31"/>
  <c r="Q69" i="31"/>
  <c r="F50" i="31"/>
  <c r="T48" i="31"/>
  <c r="W66" i="31"/>
  <c r="S105" i="31"/>
  <c r="G47" i="31"/>
  <c r="AB49" i="31"/>
  <c r="AG145" i="31"/>
  <c r="AG145" i="33" s="1"/>
  <c r="K50" i="31"/>
  <c r="U48" i="31"/>
  <c r="Y142" i="31"/>
  <c r="X146" i="31"/>
  <c r="R70" i="31"/>
  <c r="AF73" i="31"/>
  <c r="C70" i="31"/>
  <c r="T144" i="31"/>
  <c r="S141" i="31"/>
  <c r="W87" i="31"/>
  <c r="Y69" i="31"/>
  <c r="G74" i="31"/>
  <c r="L70" i="31"/>
  <c r="V144" i="31"/>
  <c r="X147" i="31"/>
  <c r="AA107" i="31"/>
  <c r="AG112" i="31"/>
  <c r="AG112" i="33" s="1"/>
  <c r="S107" i="31"/>
  <c r="AA144" i="31"/>
  <c r="AG46" i="31"/>
  <c r="AG46" i="33" s="1"/>
  <c r="R122" i="31"/>
  <c r="X126" i="31"/>
  <c r="AF125" i="31"/>
  <c r="AF125" i="33" s="1"/>
  <c r="T126" i="31"/>
  <c r="AD71" i="31"/>
  <c r="Y71" i="31"/>
  <c r="X49" i="31"/>
  <c r="U126" i="31"/>
  <c r="O48" i="31"/>
  <c r="I67" i="31"/>
  <c r="AC104" i="31"/>
  <c r="AI68" i="31"/>
  <c r="Z54" i="31"/>
  <c r="U150" i="31"/>
  <c r="AL126" i="31"/>
  <c r="AL54" i="31"/>
  <c r="S160" i="31"/>
  <c r="O160" i="31"/>
  <c r="AH46" i="31"/>
  <c r="AH46" i="33" s="1"/>
  <c r="AI46" i="31"/>
  <c r="AI46" i="33" s="1"/>
  <c r="AH108" i="31"/>
  <c r="AH108" i="33" s="1"/>
  <c r="AI103" i="31"/>
  <c r="AF141" i="31"/>
  <c r="AF141" i="33" s="1"/>
  <c r="J73" i="31"/>
  <c r="N50" i="31"/>
  <c r="Z70" i="31"/>
  <c r="I71" i="31"/>
  <c r="AB67" i="31"/>
  <c r="W73" i="31"/>
  <c r="J46" i="31"/>
  <c r="D67" i="31"/>
  <c r="AC73" i="31"/>
  <c r="AE103" i="31"/>
  <c r="H73" i="31"/>
  <c r="V147" i="31"/>
  <c r="AD103" i="31"/>
  <c r="L48" i="31"/>
  <c r="S54" i="31"/>
  <c r="W86" i="31"/>
  <c r="U111" i="31"/>
  <c r="K48" i="31"/>
  <c r="AB65" i="31"/>
  <c r="AF144" i="31"/>
  <c r="AF144" i="33" s="1"/>
  <c r="H67" i="31"/>
  <c r="AC51" i="31"/>
  <c r="Q67" i="31"/>
  <c r="O150" i="31"/>
  <c r="W142" i="31"/>
  <c r="L49" i="31"/>
  <c r="AG127" i="31"/>
  <c r="AG127" i="33" s="1"/>
  <c r="AC149" i="31"/>
  <c r="T143" i="31"/>
  <c r="X143" i="31"/>
  <c r="W145" i="31"/>
  <c r="G73" i="31"/>
  <c r="AB73" i="31"/>
  <c r="AD145" i="31"/>
  <c r="S51" i="31"/>
  <c r="AE52" i="31"/>
  <c r="AE52" i="33" s="1"/>
  <c r="AA146" i="31"/>
  <c r="W51" i="31"/>
  <c r="W46" i="31"/>
  <c r="AG104" i="31"/>
  <c r="AG104" i="33" s="1"/>
  <c r="W127" i="31"/>
  <c r="X125" i="31"/>
  <c r="R124" i="31"/>
  <c r="AE126" i="31"/>
  <c r="AE126" i="33" s="1"/>
  <c r="X52" i="31"/>
  <c r="O51" i="31"/>
  <c r="W147" i="31"/>
  <c r="V123" i="31"/>
  <c r="L71" i="31"/>
  <c r="Q122" i="31"/>
  <c r="Q66" i="31"/>
  <c r="C47" i="31"/>
  <c r="O149" i="31"/>
  <c r="S71" i="31"/>
  <c r="AH158" i="31"/>
  <c r="AH158" i="33" s="1"/>
  <c r="AB54" i="31"/>
  <c r="W47" i="31"/>
  <c r="AL125" i="31"/>
  <c r="AL123" i="31"/>
  <c r="L160" i="31"/>
  <c r="E160" i="31"/>
  <c r="AH70" i="31"/>
  <c r="AH50" i="31"/>
  <c r="AH50" i="33" s="1"/>
  <c r="AH47" i="31"/>
  <c r="AH47" i="33" s="1"/>
  <c r="AI69" i="31"/>
  <c r="AE46" i="31"/>
  <c r="AE46" i="33" s="1"/>
  <c r="C73" i="31"/>
  <c r="N65" i="31"/>
  <c r="W144" i="31"/>
  <c r="G67" i="31"/>
  <c r="AA73" i="31"/>
  <c r="W89" i="31"/>
  <c r="AF68" i="31"/>
  <c r="F74" i="31"/>
  <c r="AC106" i="31"/>
  <c r="AE70" i="31"/>
  <c r="H51" i="31"/>
  <c r="AD46" i="31"/>
  <c r="Z48" i="31"/>
  <c r="F70" i="31"/>
  <c r="T68" i="31"/>
  <c r="P147" i="31"/>
  <c r="O141" i="31"/>
  <c r="C66" i="31"/>
  <c r="AB69" i="31"/>
  <c r="AF107" i="31"/>
  <c r="AF107" i="33" s="1"/>
  <c r="J74" i="31"/>
  <c r="U67" i="31"/>
  <c r="P74" i="31"/>
  <c r="Y150" i="31"/>
  <c r="X157" i="31"/>
  <c r="J50" i="31"/>
  <c r="X103" i="31"/>
  <c r="S111" i="31"/>
  <c r="M145" i="31"/>
  <c r="Z142" i="31"/>
  <c r="P150" i="31"/>
  <c r="G54" i="31"/>
  <c r="N51" i="31"/>
  <c r="AC107" i="31"/>
  <c r="M141" i="31"/>
  <c r="AF123" i="31"/>
  <c r="AF123" i="33" s="1"/>
  <c r="O73" i="31"/>
  <c r="R143" i="31"/>
  <c r="O66" i="31"/>
  <c r="W71" i="31"/>
  <c r="V122" i="31"/>
  <c r="Z126" i="31"/>
  <c r="W106" i="31"/>
  <c r="N144" i="31"/>
  <c r="AA67" i="31"/>
  <c r="Z112" i="31"/>
  <c r="Q70" i="31"/>
  <c r="AL149" i="31"/>
  <c r="R69" i="31"/>
  <c r="AE124" i="31"/>
  <c r="AE124" i="33" s="1"/>
  <c r="AL51" i="31"/>
  <c r="AL52" i="31"/>
  <c r="T160" i="31"/>
  <c r="AI160" i="31"/>
  <c r="AI125" i="31"/>
  <c r="AI125" i="33" s="1"/>
  <c r="AI48" i="31"/>
  <c r="AI48" i="33" s="1"/>
  <c r="AI141" i="31"/>
  <c r="AI141" i="33" s="1"/>
  <c r="AI146" i="31"/>
  <c r="AI146" i="33" s="1"/>
  <c r="F47" i="31"/>
  <c r="R71" i="31"/>
  <c r="N67" i="31"/>
  <c r="P143" i="31"/>
  <c r="E52" i="31"/>
  <c r="M51" i="31"/>
  <c r="Y105" i="31"/>
  <c r="K69" i="31"/>
  <c r="S48" i="31"/>
  <c r="AE111" i="31"/>
  <c r="AE47" i="31"/>
  <c r="AE47" i="33" s="1"/>
  <c r="E68" i="31"/>
  <c r="AD47" i="31"/>
  <c r="R67" i="31"/>
  <c r="H65" i="31"/>
  <c r="W104" i="31"/>
  <c r="X48" i="31"/>
  <c r="AE105" i="31"/>
  <c r="AE105" i="33" s="1"/>
  <c r="E73" i="31"/>
  <c r="S73" i="31"/>
  <c r="H50" i="31"/>
  <c r="L68" i="31"/>
  <c r="AB106" i="31"/>
  <c r="V103" i="31"/>
  <c r="T149" i="31"/>
  <c r="X142" i="31"/>
  <c r="K66" i="31"/>
  <c r="T47" i="31"/>
  <c r="M143" i="31"/>
  <c r="AF158" i="31"/>
  <c r="AF158" i="33" s="1"/>
  <c r="AB108" i="31"/>
  <c r="P146" i="31"/>
  <c r="N48" i="31"/>
  <c r="U103" i="31"/>
  <c r="AB150" i="31"/>
  <c r="N46" i="31"/>
  <c r="AE71" i="31"/>
  <c r="AE71" i="33" s="1"/>
  <c r="M65" i="31"/>
  <c r="Z107" i="31"/>
  <c r="V130" i="31"/>
  <c r="Z52" i="31"/>
  <c r="Z50" i="31"/>
  <c r="AB141" i="31"/>
  <c r="AC124" i="31"/>
  <c r="AH143" i="31"/>
  <c r="AH143" i="33" s="1"/>
  <c r="AF69" i="31"/>
  <c r="Y65" i="31"/>
  <c r="Z125" i="31"/>
  <c r="D73" i="31"/>
  <c r="F65" i="31"/>
  <c r="E65" i="31"/>
  <c r="P145" i="31"/>
  <c r="Y147" i="31"/>
  <c r="AL50" i="31"/>
  <c r="AL112" i="31"/>
  <c r="AA160" i="31"/>
  <c r="Y160" i="31"/>
  <c r="AH125" i="31"/>
  <c r="AH125" i="33" s="1"/>
  <c r="AI124" i="31"/>
  <c r="AI124" i="33" s="1"/>
  <c r="AH73" i="31"/>
  <c r="AI71" i="31"/>
  <c r="AI71" i="33" s="1"/>
  <c r="U144" i="31"/>
  <c r="AA46" i="31"/>
  <c r="AD68" i="31"/>
  <c r="F73" i="31"/>
  <c r="L51" i="31"/>
  <c r="AC66" i="31"/>
  <c r="Q146" i="31"/>
  <c r="H70" i="31"/>
  <c r="S66" i="31"/>
  <c r="W67" i="31"/>
  <c r="AE150" i="31"/>
  <c r="AE150" i="33" s="1"/>
  <c r="L74" i="31"/>
  <c r="V50" i="31"/>
  <c r="W103" i="31"/>
  <c r="J71" i="31"/>
  <c r="M48" i="31"/>
  <c r="X67" i="31"/>
  <c r="G50" i="31"/>
  <c r="AG142" i="31"/>
  <c r="AG142" i="33" s="1"/>
  <c r="AA74" i="31"/>
  <c r="Y107" i="31"/>
  <c r="AG126" i="31"/>
  <c r="AG126" i="33" s="1"/>
  <c r="T112" i="31"/>
  <c r="T104" i="31"/>
  <c r="T141" i="31"/>
  <c r="P144" i="31"/>
  <c r="F54" i="31"/>
  <c r="W54" i="31"/>
  <c r="AC144" i="31"/>
  <c r="C50" i="31"/>
  <c r="U108" i="31"/>
  <c r="T108" i="31"/>
  <c r="AD66" i="31"/>
  <c r="Q144" i="31"/>
  <c r="Y106" i="31"/>
  <c r="Z143" i="31"/>
  <c r="AG69" i="31"/>
  <c r="M67" i="31"/>
  <c r="O47" i="31"/>
  <c r="AH52" i="31"/>
  <c r="AH52" i="33" s="1"/>
  <c r="AC49" i="31"/>
  <c r="O146" i="31"/>
  <c r="AL105" i="31"/>
  <c r="R145" i="31"/>
  <c r="AL49" i="31"/>
  <c r="AL48" i="31"/>
  <c r="AF160" i="31"/>
  <c r="AL160" i="31"/>
  <c r="AH48" i="31"/>
  <c r="AH48" i="33" s="1"/>
  <c r="AH112" i="31"/>
  <c r="AH112" i="33" s="1"/>
  <c r="AI65" i="31"/>
  <c r="AI52" i="31"/>
  <c r="AI52" i="33" s="1"/>
  <c r="L47" i="31"/>
  <c r="S49" i="31"/>
  <c r="AC74" i="31"/>
  <c r="AF67" i="31"/>
  <c r="D69" i="31"/>
  <c r="AC69" i="31"/>
  <c r="Q47" i="31"/>
  <c r="E51" i="31"/>
  <c r="R73" i="31"/>
  <c r="X105" i="31"/>
  <c r="AE54" i="31"/>
  <c r="I51" i="31"/>
  <c r="V65" i="31"/>
  <c r="O145" i="31"/>
  <c r="AG125" i="31"/>
  <c r="AG125" i="33" s="1"/>
  <c r="U51" i="31"/>
  <c r="O74" i="31"/>
  <c r="AF49" i="31"/>
  <c r="AF49" i="33" s="1"/>
  <c r="E66" i="31"/>
  <c r="S106" i="31"/>
  <c r="E54" i="31"/>
  <c r="D65" i="31"/>
  <c r="N49" i="31"/>
  <c r="Z46" i="31"/>
  <c r="AB146" i="31"/>
  <c r="Q150" i="31"/>
  <c r="E70" i="31"/>
  <c r="X70" i="31"/>
  <c r="AD141" i="31"/>
  <c r="T51" i="31"/>
  <c r="M150" i="31"/>
  <c r="T150" i="31"/>
  <c r="N74" i="31"/>
  <c r="Q49" i="31"/>
  <c r="T142" i="31"/>
  <c r="AF103" i="31"/>
  <c r="AC123" i="31"/>
  <c r="U66" i="31"/>
  <c r="M144" i="31"/>
  <c r="AG65" i="31"/>
  <c r="AL106" i="31"/>
  <c r="M70" i="31"/>
  <c r="AG70" i="31"/>
  <c r="K68" i="31"/>
  <c r="AF66" i="31"/>
  <c r="M149" i="31"/>
  <c r="Z124" i="31"/>
  <c r="AL107" i="31"/>
  <c r="AL47" i="31"/>
  <c r="U160" i="31"/>
  <c r="AI150" i="31"/>
  <c r="AI150" i="33" s="1"/>
  <c r="AI67" i="31"/>
  <c r="AH66" i="31"/>
  <c r="AH130" i="31"/>
  <c r="AH71" i="31"/>
  <c r="AH71" i="33" s="1"/>
  <c r="K54" i="31"/>
  <c r="AA51" i="31"/>
  <c r="R149" i="31"/>
  <c r="D66" i="31"/>
  <c r="AG106" i="31"/>
  <c r="AG106" i="33" s="1"/>
  <c r="AD105" i="31"/>
  <c r="X54" i="31"/>
  <c r="H48" i="31"/>
  <c r="AB105" i="31"/>
  <c r="AE158" i="31"/>
  <c r="AE158" i="33" s="1"/>
  <c r="Z106" i="31"/>
  <c r="AA104" i="31"/>
  <c r="X68" i="31"/>
  <c r="Y145" i="31"/>
  <c r="T65" i="31"/>
  <c r="P50" i="31"/>
  <c r="AJ31" i="33" l="1"/>
  <c r="AJ12" i="33" s="1"/>
  <c r="AL32" i="31"/>
  <c r="AL13" i="31" s="1"/>
  <c r="AJ28" i="33"/>
  <c r="AJ9" i="33" s="1"/>
  <c r="AJ29" i="33"/>
  <c r="AJ10" i="33" s="1"/>
  <c r="AJ32" i="33"/>
  <c r="AJ13" i="33" s="1"/>
  <c r="AJ36" i="33"/>
  <c r="AJ17" i="33" s="1"/>
  <c r="AJ27" i="33"/>
  <c r="AJ8" i="33" s="1"/>
  <c r="AJ30" i="33"/>
  <c r="AJ11" i="33" s="1"/>
  <c r="AJ35" i="33"/>
  <c r="AJ16" i="33" s="1"/>
  <c r="AK29" i="31"/>
  <c r="AK10" i="31" s="1"/>
  <c r="AK109" i="31"/>
  <c r="AK114" i="31" s="1"/>
  <c r="AK152" i="31"/>
  <c r="AJ76" i="31"/>
  <c r="AJ76" i="33" s="1"/>
  <c r="AJ35" i="31"/>
  <c r="AJ16" i="31" s="1"/>
  <c r="AJ32" i="31"/>
  <c r="AJ13" i="31" s="1"/>
  <c r="AK76" i="31"/>
  <c r="AK35" i="31"/>
  <c r="AK16" i="31" s="1"/>
  <c r="AJ30" i="31"/>
  <c r="AJ11" i="31" s="1"/>
  <c r="AK32" i="31"/>
  <c r="AK13" i="31" s="1"/>
  <c r="AK28" i="31"/>
  <c r="AK9" i="31" s="1"/>
  <c r="AK30" i="31"/>
  <c r="AK11" i="31" s="1"/>
  <c r="AJ36" i="31"/>
  <c r="AJ17" i="31" s="1"/>
  <c r="AJ57" i="31"/>
  <c r="AJ57" i="33" s="1"/>
  <c r="AJ27" i="31"/>
  <c r="AJ31" i="31"/>
  <c r="AJ12" i="31" s="1"/>
  <c r="AJ128" i="31"/>
  <c r="AJ28" i="31"/>
  <c r="AJ9" i="31" s="1"/>
  <c r="AJ109" i="31"/>
  <c r="AK36" i="31"/>
  <c r="AK17" i="31" s="1"/>
  <c r="AJ152" i="31"/>
  <c r="AJ152" i="33" s="1"/>
  <c r="AK57" i="31"/>
  <c r="AJ29" i="31"/>
  <c r="AJ10" i="31" s="1"/>
  <c r="AK27" i="31"/>
  <c r="AK31" i="31"/>
  <c r="AK12" i="31" s="1"/>
  <c r="AK128" i="31"/>
  <c r="AK133" i="31" s="1"/>
  <c r="AL152" i="31"/>
  <c r="AL57" i="31"/>
  <c r="AL128" i="31"/>
  <c r="AL133" i="31" s="1"/>
  <c r="AL109" i="31"/>
  <c r="AL114" i="31" s="1"/>
  <c r="AL30" i="31"/>
  <c r="AL11" i="31" s="1"/>
  <c r="AB125" i="33"/>
  <c r="AB125" i="35"/>
  <c r="N141" i="33"/>
  <c r="N141" i="35"/>
  <c r="AB70" i="33"/>
  <c r="AB32" i="31"/>
  <c r="AB13" i="31" s="1"/>
  <c r="AB70" i="35"/>
  <c r="AA122" i="35"/>
  <c r="AA122" i="33"/>
  <c r="AA128" i="31"/>
  <c r="AA133" i="31" s="1"/>
  <c r="AD150" i="33"/>
  <c r="AD150" i="35"/>
  <c r="AE28" i="31"/>
  <c r="AE9" i="31" s="1"/>
  <c r="AE66" i="33"/>
  <c r="AE28" i="33" s="1"/>
  <c r="AE9" i="33" s="1"/>
  <c r="V105" i="35"/>
  <c r="V105" i="33"/>
  <c r="X144" i="35"/>
  <c r="X144" i="33"/>
  <c r="AB104" i="33"/>
  <c r="AB104" i="35"/>
  <c r="R74" i="35"/>
  <c r="R36" i="31"/>
  <c r="R17" i="31" s="1"/>
  <c r="R74" i="33"/>
  <c r="X73" i="35"/>
  <c r="X73" i="33"/>
  <c r="X35" i="31"/>
  <c r="X16" i="31" s="1"/>
  <c r="X76" i="31"/>
  <c r="AE149" i="33"/>
  <c r="AE152" i="31"/>
  <c r="AE152" i="33" s="1"/>
  <c r="AI70" i="33"/>
  <c r="AI32" i="33" s="1"/>
  <c r="AI13" i="33" s="1"/>
  <c r="AI32" i="31"/>
  <c r="AI13" i="31" s="1"/>
  <c r="N71" i="33"/>
  <c r="N71" i="35"/>
  <c r="T50" i="35"/>
  <c r="T50" i="33"/>
  <c r="Z128" i="31"/>
  <c r="Z133" i="31" s="1"/>
  <c r="Z122" i="35"/>
  <c r="Z122" i="33"/>
  <c r="V108" i="35"/>
  <c r="V108" i="33"/>
  <c r="Z74" i="35"/>
  <c r="Z74" i="33"/>
  <c r="Z36" i="31"/>
  <c r="Z17" i="31" s="1"/>
  <c r="U142" i="33"/>
  <c r="U142" i="35"/>
  <c r="S127" i="35"/>
  <c r="S127" i="33"/>
  <c r="Z105" i="35"/>
  <c r="Z105" i="33"/>
  <c r="Y48" i="35"/>
  <c r="Y48" i="33"/>
  <c r="AC123" i="33"/>
  <c r="AC123" i="35"/>
  <c r="S71" i="35"/>
  <c r="S71" i="33"/>
  <c r="Q32" i="31"/>
  <c r="Q13" i="31" s="1"/>
  <c r="Q70" i="35"/>
  <c r="Q70" i="33"/>
  <c r="AA123" i="33"/>
  <c r="AA123" i="35"/>
  <c r="S142" i="35"/>
  <c r="S142" i="33"/>
  <c r="F66" i="33"/>
  <c r="F28" i="33" s="1"/>
  <c r="F66" i="35"/>
  <c r="F28" i="35" s="1"/>
  <c r="F28" i="31"/>
  <c r="F9" i="31" s="1"/>
  <c r="W125" i="33"/>
  <c r="W125" i="35"/>
  <c r="R142" i="33"/>
  <c r="R142" i="35"/>
  <c r="T69" i="35"/>
  <c r="T69" i="33"/>
  <c r="T31" i="31"/>
  <c r="T12" i="31" s="1"/>
  <c r="V32" i="31"/>
  <c r="V13" i="31" s="1"/>
  <c r="V70" i="35"/>
  <c r="V70" i="33"/>
  <c r="Q123" i="35"/>
  <c r="Q123" i="33"/>
  <c r="W88" i="35"/>
  <c r="W88" i="33"/>
  <c r="AI73" i="33"/>
  <c r="AI76" i="31"/>
  <c r="AI35" i="31"/>
  <c r="AI16" i="31" s="1"/>
  <c r="V124" i="35"/>
  <c r="V124" i="33"/>
  <c r="U104" i="33"/>
  <c r="U104" i="35"/>
  <c r="Y51" i="33"/>
  <c r="Y51" i="35"/>
  <c r="U147" i="35"/>
  <c r="U147" i="33"/>
  <c r="Z51" i="33"/>
  <c r="Z51" i="35"/>
  <c r="I54" i="35"/>
  <c r="I54" i="33"/>
  <c r="I57" i="31"/>
  <c r="AC147" i="33"/>
  <c r="AC147" i="35"/>
  <c r="K31" i="31"/>
  <c r="K12" i="31" s="1"/>
  <c r="K69" i="35"/>
  <c r="K31" i="35" s="1"/>
  <c r="K69" i="33"/>
  <c r="K31" i="33" s="1"/>
  <c r="G73" i="33"/>
  <c r="G35" i="33" s="1"/>
  <c r="G73" i="35"/>
  <c r="G35" i="35" s="1"/>
  <c r="G76" i="31"/>
  <c r="G35" i="31"/>
  <c r="G16" i="31" s="1"/>
  <c r="T48" i="35"/>
  <c r="T48" i="33"/>
  <c r="AI149" i="33"/>
  <c r="AI152" i="31"/>
  <c r="AI152" i="33" s="1"/>
  <c r="AB130" i="35"/>
  <c r="AB130" i="33"/>
  <c r="Y105" i="35"/>
  <c r="Y105" i="33"/>
  <c r="W145" i="33"/>
  <c r="W145" i="35"/>
  <c r="F50" i="33"/>
  <c r="F50" i="35"/>
  <c r="O50" i="33"/>
  <c r="O50" i="35"/>
  <c r="R127" i="33"/>
  <c r="R127" i="35"/>
  <c r="AD67" i="35"/>
  <c r="AD29" i="31"/>
  <c r="AD10" i="31" s="1"/>
  <c r="AD67" i="33"/>
  <c r="V52" i="35"/>
  <c r="V52" i="33"/>
  <c r="L67" i="33"/>
  <c r="L29" i="33" s="1"/>
  <c r="L67" i="35"/>
  <c r="L29" i="35" s="1"/>
  <c r="L29" i="31"/>
  <c r="L10" i="31" s="1"/>
  <c r="K46" i="33"/>
  <c r="K46" i="35"/>
  <c r="L51" i="35"/>
  <c r="L51" i="33"/>
  <c r="X143" i="35"/>
  <c r="X143" i="33"/>
  <c r="Y125" i="35"/>
  <c r="Y125" i="33"/>
  <c r="AB71" i="35"/>
  <c r="AB71" i="33"/>
  <c r="U130" i="33"/>
  <c r="U130" i="35"/>
  <c r="U70" i="35"/>
  <c r="U32" i="31"/>
  <c r="U13" i="31" s="1"/>
  <c r="U70" i="33"/>
  <c r="D49" i="35"/>
  <c r="D49" i="33"/>
  <c r="AF149" i="33"/>
  <c r="AF152" i="31"/>
  <c r="X107" i="33"/>
  <c r="X107" i="35"/>
  <c r="L46" i="35"/>
  <c r="L46" i="33"/>
  <c r="V141" i="35"/>
  <c r="V141" i="33"/>
  <c r="D52" i="33"/>
  <c r="D52" i="35"/>
  <c r="AC47" i="33"/>
  <c r="AC47" i="35"/>
  <c r="AG111" i="33"/>
  <c r="S150" i="33"/>
  <c r="S150" i="35"/>
  <c r="AC105" i="33"/>
  <c r="AC105" i="35"/>
  <c r="N52" i="33"/>
  <c r="N52" i="35"/>
  <c r="X145" i="33"/>
  <c r="X145" i="35"/>
  <c r="Z49" i="35"/>
  <c r="Z49" i="33"/>
  <c r="O74" i="35"/>
  <c r="O36" i="31"/>
  <c r="O17" i="31" s="1"/>
  <c r="O74" i="33"/>
  <c r="F36" i="31"/>
  <c r="F17" i="31" s="1"/>
  <c r="F74" i="35"/>
  <c r="F36" i="35" s="1"/>
  <c r="F17" i="35" s="1"/>
  <c r="F74" i="33"/>
  <c r="F36" i="33" s="1"/>
  <c r="F17" i="33" s="1"/>
  <c r="P65" i="35"/>
  <c r="P27" i="31"/>
  <c r="P65" i="33"/>
  <c r="W89" i="35"/>
  <c r="W89" i="33"/>
  <c r="AH130" i="33"/>
  <c r="K66" i="35"/>
  <c r="K28" i="35" s="1"/>
  <c r="K66" i="33"/>
  <c r="K28" i="33" s="1"/>
  <c r="K28" i="31"/>
  <c r="K9" i="31" s="1"/>
  <c r="U150" i="33"/>
  <c r="U150" i="35"/>
  <c r="T54" i="35"/>
  <c r="T57" i="31"/>
  <c r="T54" i="33"/>
  <c r="R126" i="35"/>
  <c r="R126" i="33"/>
  <c r="AC150" i="35"/>
  <c r="AC150" i="33"/>
  <c r="D51" i="35"/>
  <c r="D51" i="33"/>
  <c r="X142" i="33"/>
  <c r="X142" i="35"/>
  <c r="Y150" i="33"/>
  <c r="Y150" i="35"/>
  <c r="Z54" i="33"/>
  <c r="Z54" i="35"/>
  <c r="Z57" i="31"/>
  <c r="P30" i="31"/>
  <c r="P11" i="31" s="1"/>
  <c r="P68" i="35"/>
  <c r="P68" i="33"/>
  <c r="U145" i="35"/>
  <c r="U145" i="33"/>
  <c r="V142" i="35"/>
  <c r="V142" i="33"/>
  <c r="S52" i="33"/>
  <c r="S52" i="35"/>
  <c r="AD112" i="33"/>
  <c r="AD112" i="35"/>
  <c r="O49" i="33"/>
  <c r="O49" i="35"/>
  <c r="S108" i="33"/>
  <c r="S108" i="35"/>
  <c r="T150" i="35"/>
  <c r="T150" i="33"/>
  <c r="F76" i="31"/>
  <c r="F35" i="31"/>
  <c r="F16" i="31" s="1"/>
  <c r="F73" i="33"/>
  <c r="F35" i="33" s="1"/>
  <c r="F73" i="35"/>
  <c r="F35" i="35" s="1"/>
  <c r="W144" i="35"/>
  <c r="W144" i="33"/>
  <c r="AL29" i="31"/>
  <c r="AL10" i="31" s="1"/>
  <c r="T74" i="35"/>
  <c r="T36" i="31"/>
  <c r="T17" i="31" s="1"/>
  <c r="T74" i="33"/>
  <c r="AA106" i="35"/>
  <c r="AA106" i="33"/>
  <c r="AC122" i="33"/>
  <c r="AC128" i="31"/>
  <c r="AC133" i="31" s="1"/>
  <c r="AC122" i="35"/>
  <c r="X71" i="35"/>
  <c r="X71" i="33"/>
  <c r="M150" i="33"/>
  <c r="M150" i="35"/>
  <c r="AE57" i="31"/>
  <c r="AE57" i="33" s="1"/>
  <c r="AE54" i="33"/>
  <c r="T112" i="33"/>
  <c r="T112" i="35"/>
  <c r="AD68" i="35"/>
  <c r="AD30" i="31"/>
  <c r="AD11" i="31" s="1"/>
  <c r="AD68" i="33"/>
  <c r="AC124" i="33"/>
  <c r="AC124" i="35"/>
  <c r="V103" i="35"/>
  <c r="V109" i="31"/>
  <c r="V103" i="33"/>
  <c r="P143" i="35"/>
  <c r="P143" i="33"/>
  <c r="Z126" i="33"/>
  <c r="Z126" i="35"/>
  <c r="U67" i="33"/>
  <c r="U67" i="35"/>
  <c r="U29" i="31"/>
  <c r="U10" i="31" s="1"/>
  <c r="N65" i="35"/>
  <c r="N65" i="33"/>
  <c r="N27" i="31"/>
  <c r="V123" i="35"/>
  <c r="V123" i="33"/>
  <c r="AC149" i="33"/>
  <c r="AC149" i="35"/>
  <c r="AC152" i="31"/>
  <c r="D29" i="31"/>
  <c r="D10" i="31" s="1"/>
  <c r="D67" i="35"/>
  <c r="D29" i="35" s="1"/>
  <c r="D67" i="33"/>
  <c r="D29" i="33" s="1"/>
  <c r="AC104" i="35"/>
  <c r="AC104" i="33"/>
  <c r="Y31" i="31"/>
  <c r="Y12" i="31" s="1"/>
  <c r="Y69" i="35"/>
  <c r="Y69" i="33"/>
  <c r="I32" i="31"/>
  <c r="I13" i="31" s="1"/>
  <c r="I70" i="35"/>
  <c r="I32" i="35" s="1"/>
  <c r="I70" i="33"/>
  <c r="I32" i="33" s="1"/>
  <c r="AC111" i="35"/>
  <c r="AC111" i="33"/>
  <c r="H74" i="35"/>
  <c r="H36" i="35" s="1"/>
  <c r="H17" i="35" s="1"/>
  <c r="H36" i="31"/>
  <c r="H17" i="31" s="1"/>
  <c r="H74" i="33"/>
  <c r="H36" i="33" s="1"/>
  <c r="H17" i="33" s="1"/>
  <c r="F71" i="33"/>
  <c r="F33" i="33" s="1"/>
  <c r="F71" i="35"/>
  <c r="F33" i="35" s="1"/>
  <c r="AE76" i="31"/>
  <c r="AE73" i="33"/>
  <c r="AE35" i="31"/>
  <c r="AE16" i="31" s="1"/>
  <c r="Q145" i="35"/>
  <c r="Q145" i="33"/>
  <c r="AD123" i="35"/>
  <c r="AD123" i="33"/>
  <c r="AD31" i="31"/>
  <c r="AD12" i="31" s="1"/>
  <c r="AD69" i="35"/>
  <c r="AD69" i="33"/>
  <c r="I49" i="35"/>
  <c r="I49" i="33"/>
  <c r="U122" i="33"/>
  <c r="U128" i="31"/>
  <c r="U122" i="35"/>
  <c r="O54" i="35"/>
  <c r="O54" i="33"/>
  <c r="O57" i="31"/>
  <c r="V30" i="31"/>
  <c r="V11" i="31" s="1"/>
  <c r="V68" i="35"/>
  <c r="V68" i="33"/>
  <c r="AE130" i="33"/>
  <c r="W112" i="33"/>
  <c r="W112" i="35"/>
  <c r="E71" i="35"/>
  <c r="E33" i="35" s="1"/>
  <c r="E71" i="33"/>
  <c r="E33" i="33" s="1"/>
  <c r="X127" i="33"/>
  <c r="X127" i="35"/>
  <c r="O67" i="33"/>
  <c r="O29" i="31"/>
  <c r="O10" i="31" s="1"/>
  <c r="O67" i="35"/>
  <c r="AC103" i="35"/>
  <c r="AC103" i="33"/>
  <c r="AC109" i="31"/>
  <c r="F68" i="33"/>
  <c r="F30" i="33" s="1"/>
  <c r="F68" i="35"/>
  <c r="F30" i="35" s="1"/>
  <c r="F30" i="31"/>
  <c r="F11" i="31" s="1"/>
  <c r="T145" i="33"/>
  <c r="T145" i="35"/>
  <c r="Y104" i="33"/>
  <c r="Y104" i="35"/>
  <c r="R28" i="31"/>
  <c r="R9" i="31" s="1"/>
  <c r="R66" i="35"/>
  <c r="R66" i="33"/>
  <c r="S146" i="33"/>
  <c r="S146" i="35"/>
  <c r="U143" i="33"/>
  <c r="U143" i="35"/>
  <c r="E47" i="35"/>
  <c r="E47" i="33"/>
  <c r="AH68" i="33"/>
  <c r="AH30" i="33" s="1"/>
  <c r="AH11" i="33" s="1"/>
  <c r="AH30" i="31"/>
  <c r="AH11" i="31" s="1"/>
  <c r="Z147" i="35"/>
  <c r="Z147" i="33"/>
  <c r="X149" i="35"/>
  <c r="X149" i="33"/>
  <c r="X152" i="31"/>
  <c r="G52" i="35"/>
  <c r="G52" i="33"/>
  <c r="AG130" i="33"/>
  <c r="S125" i="35"/>
  <c r="S125" i="33"/>
  <c r="R141" i="35"/>
  <c r="R141" i="33"/>
  <c r="V48" i="35"/>
  <c r="V48" i="33"/>
  <c r="L52" i="35"/>
  <c r="L52" i="33"/>
  <c r="O145" i="33"/>
  <c r="O145" i="35"/>
  <c r="X157" i="33"/>
  <c r="X157" i="35"/>
  <c r="V144" i="33"/>
  <c r="V144" i="35"/>
  <c r="AA69" i="35"/>
  <c r="AA69" i="33"/>
  <c r="AA31" i="31"/>
  <c r="AA12" i="31" s="1"/>
  <c r="C48" i="35"/>
  <c r="C48" i="33"/>
  <c r="Y66" i="35"/>
  <c r="Y28" i="31"/>
  <c r="Y9" i="31" s="1"/>
  <c r="Y66" i="33"/>
  <c r="V27" i="31"/>
  <c r="V65" i="33"/>
  <c r="V65" i="35"/>
  <c r="N144" i="35"/>
  <c r="N144" i="33"/>
  <c r="Q69" i="35"/>
  <c r="Q31" i="31"/>
  <c r="Q12" i="31" s="1"/>
  <c r="Q69" i="33"/>
  <c r="AA147" i="35"/>
  <c r="AA147" i="33"/>
  <c r="AB112" i="33"/>
  <c r="AB112" i="35"/>
  <c r="W106" i="35"/>
  <c r="W106" i="33"/>
  <c r="L71" i="33"/>
  <c r="L33" i="33" s="1"/>
  <c r="L71" i="35"/>
  <c r="L33" i="35" s="1"/>
  <c r="AC73" i="33"/>
  <c r="AC76" i="31"/>
  <c r="AC35" i="31"/>
  <c r="AC16" i="31" s="1"/>
  <c r="AC73" i="35"/>
  <c r="G74" i="35"/>
  <c r="G36" i="35" s="1"/>
  <c r="G17" i="35" s="1"/>
  <c r="G36" i="31"/>
  <c r="G17" i="31" s="1"/>
  <c r="G74" i="33"/>
  <c r="G36" i="33" s="1"/>
  <c r="G17" i="33" s="1"/>
  <c r="Z103" i="35"/>
  <c r="Z109" i="31"/>
  <c r="Z114" i="31" s="1"/>
  <c r="Z103" i="33"/>
  <c r="M46" i="33"/>
  <c r="M46" i="35"/>
  <c r="T125" i="35"/>
  <c r="T125" i="33"/>
  <c r="E48" i="35"/>
  <c r="E48" i="33"/>
  <c r="AA32" i="31"/>
  <c r="AA13" i="31" s="1"/>
  <c r="AA70" i="35"/>
  <c r="AA70" i="33"/>
  <c r="AH65" i="33"/>
  <c r="AH27" i="31"/>
  <c r="K49" i="35"/>
  <c r="K49" i="33"/>
  <c r="G69" i="35"/>
  <c r="G31" i="35" s="1"/>
  <c r="G69" i="33"/>
  <c r="G31" i="33" s="1"/>
  <c r="G31" i="31"/>
  <c r="G12" i="31" s="1"/>
  <c r="Z158" i="33"/>
  <c r="Z158" i="35"/>
  <c r="P50" i="35"/>
  <c r="P50" i="33"/>
  <c r="T27" i="31"/>
  <c r="T65" i="35"/>
  <c r="T65" i="33"/>
  <c r="T51" i="33"/>
  <c r="T51" i="35"/>
  <c r="X105" i="33"/>
  <c r="X105" i="35"/>
  <c r="O146" i="35"/>
  <c r="O146" i="33"/>
  <c r="AA46" i="33"/>
  <c r="AA46" i="35"/>
  <c r="AB141" i="33"/>
  <c r="AB141" i="35"/>
  <c r="AB106" i="33"/>
  <c r="AB106" i="35"/>
  <c r="N29" i="31"/>
  <c r="N10" i="31" s="1"/>
  <c r="N67" i="35"/>
  <c r="N67" i="33"/>
  <c r="V122" i="33"/>
  <c r="V122" i="35"/>
  <c r="V128" i="31"/>
  <c r="J74" i="35"/>
  <c r="J36" i="35" s="1"/>
  <c r="J17" i="35" s="1"/>
  <c r="J74" i="33"/>
  <c r="J36" i="33" s="1"/>
  <c r="J17" i="33" s="1"/>
  <c r="J36" i="31"/>
  <c r="J17" i="31" s="1"/>
  <c r="C73" i="35"/>
  <c r="C35" i="35" s="1"/>
  <c r="C73" i="33"/>
  <c r="C35" i="33" s="1"/>
  <c r="C35" i="31"/>
  <c r="C16" i="31" s="1"/>
  <c r="C76" i="31"/>
  <c r="W147" i="35"/>
  <c r="W147" i="33"/>
  <c r="J46" i="33"/>
  <c r="J46" i="35"/>
  <c r="I67" i="35"/>
  <c r="I29" i="35" s="1"/>
  <c r="I67" i="33"/>
  <c r="I29" i="33" s="1"/>
  <c r="I29" i="31"/>
  <c r="I10" i="31" s="1"/>
  <c r="W87" i="35"/>
  <c r="W87" i="33"/>
  <c r="P142" i="33"/>
  <c r="P142" i="35"/>
  <c r="T49" i="35"/>
  <c r="T49" i="33"/>
  <c r="E46" i="33"/>
  <c r="E46" i="35"/>
  <c r="C54" i="33"/>
  <c r="C54" i="35"/>
  <c r="C57" i="31"/>
  <c r="AC130" i="33"/>
  <c r="AC130" i="35"/>
  <c r="I48" i="33"/>
  <c r="I48" i="35"/>
  <c r="AC65" i="33"/>
  <c r="AC27" i="31"/>
  <c r="AC65" i="35"/>
  <c r="Q130" i="35"/>
  <c r="Q130" i="33"/>
  <c r="Z104" i="33"/>
  <c r="Z104" i="35"/>
  <c r="Y49" i="35"/>
  <c r="Y49" i="33"/>
  <c r="AD142" i="35"/>
  <c r="AD142" i="33"/>
  <c r="AD158" i="33"/>
  <c r="AD158" i="35"/>
  <c r="S46" i="33"/>
  <c r="S46" i="35"/>
  <c r="AB126" i="35"/>
  <c r="AB126" i="33"/>
  <c r="AD144" i="33"/>
  <c r="AD144" i="35"/>
  <c r="K71" i="33"/>
  <c r="K33" i="33" s="1"/>
  <c r="K71" i="35"/>
  <c r="K33" i="35" s="1"/>
  <c r="AB144" i="35"/>
  <c r="AB144" i="33"/>
  <c r="AA52" i="33"/>
  <c r="AA52" i="35"/>
  <c r="T105" i="35"/>
  <c r="T105" i="33"/>
  <c r="W85" i="33"/>
  <c r="W85" i="35"/>
  <c r="T73" i="33"/>
  <c r="T73" i="35"/>
  <c r="T76" i="31"/>
  <c r="T35" i="31"/>
  <c r="T16" i="31" s="1"/>
  <c r="Y108" i="33"/>
  <c r="Y108" i="35"/>
  <c r="C67" i="33"/>
  <c r="C29" i="33" s="1"/>
  <c r="C29" i="31"/>
  <c r="C10" i="31" s="1"/>
  <c r="C67" i="35"/>
  <c r="C29" i="35" s="1"/>
  <c r="M57" i="31"/>
  <c r="M54" i="33"/>
  <c r="M54" i="35"/>
  <c r="Y149" i="35"/>
  <c r="Y149" i="33"/>
  <c r="Y152" i="31"/>
  <c r="T107" i="33"/>
  <c r="T107" i="35"/>
  <c r="AL36" i="31"/>
  <c r="AL17" i="31" s="1"/>
  <c r="V46" i="33"/>
  <c r="V46" i="35"/>
  <c r="Q65" i="35"/>
  <c r="Q27" i="31"/>
  <c r="Q65" i="33"/>
  <c r="AI111" i="33"/>
  <c r="V112" i="35"/>
  <c r="V112" i="33"/>
  <c r="Q57" i="31"/>
  <c r="Q54" i="33"/>
  <c r="Q54" i="35"/>
  <c r="E49" i="35"/>
  <c r="E49" i="33"/>
  <c r="AA124" i="33"/>
  <c r="AA124" i="35"/>
  <c r="C46" i="33"/>
  <c r="C46" i="35"/>
  <c r="J70" i="33"/>
  <c r="J32" i="33" s="1"/>
  <c r="J70" i="35"/>
  <c r="J32" i="35" s="1"/>
  <c r="J32" i="31"/>
  <c r="J13" i="31" s="1"/>
  <c r="AA51" i="35"/>
  <c r="AA51" i="33"/>
  <c r="AD145" i="33"/>
  <c r="AD145" i="35"/>
  <c r="U51" i="35"/>
  <c r="U51" i="33"/>
  <c r="M143" i="35"/>
  <c r="M143" i="33"/>
  <c r="O149" i="35"/>
  <c r="O149" i="33"/>
  <c r="O152" i="31"/>
  <c r="W66" i="35"/>
  <c r="W28" i="31"/>
  <c r="W9" i="31" s="1"/>
  <c r="W66" i="33"/>
  <c r="G51" i="33"/>
  <c r="G51" i="35"/>
  <c r="X66" i="35"/>
  <c r="X28" i="31"/>
  <c r="X9" i="31" s="1"/>
  <c r="X66" i="33"/>
  <c r="X128" i="31"/>
  <c r="X133" i="31" s="1"/>
  <c r="X122" i="33"/>
  <c r="X122" i="35"/>
  <c r="O69" i="33"/>
  <c r="O31" i="31"/>
  <c r="O12" i="31" s="1"/>
  <c r="O69" i="35"/>
  <c r="T142" i="33"/>
  <c r="T142" i="35"/>
  <c r="Z112" i="35"/>
  <c r="Z112" i="33"/>
  <c r="V147" i="33"/>
  <c r="V147" i="35"/>
  <c r="Z47" i="35"/>
  <c r="Z47" i="33"/>
  <c r="J67" i="35"/>
  <c r="J29" i="35" s="1"/>
  <c r="J29" i="31"/>
  <c r="J10" i="31" s="1"/>
  <c r="J67" i="33"/>
  <c r="J29" i="33" s="1"/>
  <c r="Y65" i="35"/>
  <c r="Y65" i="33"/>
  <c r="Y27" i="31"/>
  <c r="AA35" i="31"/>
  <c r="AA16" i="31" s="1"/>
  <c r="AA73" i="33"/>
  <c r="AA73" i="35"/>
  <c r="AA76" i="31"/>
  <c r="C51" i="33"/>
  <c r="C51" i="35"/>
  <c r="T67" i="33"/>
  <c r="T67" i="35"/>
  <c r="T29" i="31"/>
  <c r="T10" i="31" s="1"/>
  <c r="W111" i="35"/>
  <c r="W111" i="33"/>
  <c r="O71" i="33"/>
  <c r="O71" i="35"/>
  <c r="N74" i="33"/>
  <c r="N74" i="35"/>
  <c r="N36" i="31"/>
  <c r="N17" i="31" s="1"/>
  <c r="T141" i="33"/>
  <c r="T141" i="35"/>
  <c r="M51" i="35"/>
  <c r="M51" i="33"/>
  <c r="G29" i="31"/>
  <c r="G10" i="31" s="1"/>
  <c r="G67" i="33"/>
  <c r="G29" i="33" s="1"/>
  <c r="G67" i="35"/>
  <c r="G29" i="35" s="1"/>
  <c r="AE109" i="31"/>
  <c r="AE109" i="33" s="1"/>
  <c r="AE103" i="33"/>
  <c r="L70" i="35"/>
  <c r="L32" i="35" s="1"/>
  <c r="L70" i="33"/>
  <c r="L32" i="33" s="1"/>
  <c r="L32" i="31"/>
  <c r="L13" i="31" s="1"/>
  <c r="R48" i="33"/>
  <c r="R48" i="35"/>
  <c r="N152" i="31"/>
  <c r="N149" i="33"/>
  <c r="N149" i="35"/>
  <c r="R65" i="35"/>
  <c r="R65" i="33"/>
  <c r="R27" i="31"/>
  <c r="AA54" i="35"/>
  <c r="AA54" i="33"/>
  <c r="AA57" i="31"/>
  <c r="X111" i="33"/>
  <c r="X111" i="35"/>
  <c r="I46" i="33"/>
  <c r="I46" i="35"/>
  <c r="E74" i="35"/>
  <c r="E36" i="35" s="1"/>
  <c r="E17" i="35" s="1"/>
  <c r="E36" i="31"/>
  <c r="E17" i="31" s="1"/>
  <c r="E74" i="33"/>
  <c r="E36" i="33" s="1"/>
  <c r="E17" i="33" s="1"/>
  <c r="AC158" i="35"/>
  <c r="AC158" i="33"/>
  <c r="I51" i="33"/>
  <c r="I51" i="35"/>
  <c r="T104" i="33"/>
  <c r="T104" i="35"/>
  <c r="E52" i="33"/>
  <c r="E52" i="35"/>
  <c r="T143" i="35"/>
  <c r="T143" i="33"/>
  <c r="W74" i="35"/>
  <c r="W36" i="31"/>
  <c r="W17" i="31" s="1"/>
  <c r="W74" i="33"/>
  <c r="Y145" i="33"/>
  <c r="Y145" i="35"/>
  <c r="U144" i="35"/>
  <c r="U144" i="33"/>
  <c r="O51" i="35"/>
  <c r="O51" i="33"/>
  <c r="W76" i="31"/>
  <c r="W35" i="31"/>
  <c r="W16" i="31" s="1"/>
  <c r="W73" i="35"/>
  <c r="W73" i="33"/>
  <c r="O48" i="35"/>
  <c r="O48" i="33"/>
  <c r="S141" i="35"/>
  <c r="S141" i="33"/>
  <c r="Z73" i="33"/>
  <c r="Z73" i="35"/>
  <c r="Z76" i="31"/>
  <c r="Z35" i="31"/>
  <c r="Z16" i="31" s="1"/>
  <c r="AB107" i="35"/>
  <c r="AB107" i="33"/>
  <c r="G70" i="35"/>
  <c r="G32" i="35" s="1"/>
  <c r="G70" i="33"/>
  <c r="G32" i="33" s="1"/>
  <c r="G32" i="31"/>
  <c r="G13" i="31" s="1"/>
  <c r="T122" i="33"/>
  <c r="T128" i="31"/>
  <c r="T122" i="35"/>
  <c r="AA125" i="35"/>
  <c r="AA125" i="33"/>
  <c r="AB68" i="35"/>
  <c r="AB30" i="31"/>
  <c r="AB11" i="31" s="1"/>
  <c r="AB68" i="33"/>
  <c r="U27" i="31"/>
  <c r="U65" i="33"/>
  <c r="U65" i="35"/>
  <c r="K70" i="35"/>
  <c r="K32" i="35" s="1"/>
  <c r="K32" i="31"/>
  <c r="K13" i="31" s="1"/>
  <c r="K70" i="33"/>
  <c r="K32" i="33" s="1"/>
  <c r="W124" i="33"/>
  <c r="W124" i="35"/>
  <c r="C49" i="35"/>
  <c r="C49" i="33"/>
  <c r="W122" i="33"/>
  <c r="W128" i="31"/>
  <c r="W122" i="35"/>
  <c r="U141" i="33"/>
  <c r="U141" i="35"/>
  <c r="W49" i="35"/>
  <c r="W49" i="33"/>
  <c r="J68" i="35"/>
  <c r="J30" i="35" s="1"/>
  <c r="J30" i="31"/>
  <c r="J11" i="31" s="1"/>
  <c r="J68" i="33"/>
  <c r="J30" i="33" s="1"/>
  <c r="W69" i="35"/>
  <c r="W69" i="33"/>
  <c r="W31" i="31"/>
  <c r="W12" i="31" s="1"/>
  <c r="L28" i="31"/>
  <c r="L9" i="31" s="1"/>
  <c r="L66" i="35"/>
  <c r="L28" i="35" s="1"/>
  <c r="L66" i="33"/>
  <c r="L28" i="33" s="1"/>
  <c r="C68" i="33"/>
  <c r="C30" i="33" s="1"/>
  <c r="C68" i="35"/>
  <c r="C30" i="35" s="1"/>
  <c r="C30" i="31"/>
  <c r="C11" i="31" s="1"/>
  <c r="R123" i="35"/>
  <c r="R123" i="33"/>
  <c r="S69" i="33"/>
  <c r="S31" i="31"/>
  <c r="S12" i="31" s="1"/>
  <c r="S69" i="35"/>
  <c r="M31" i="31"/>
  <c r="M12" i="31" s="1"/>
  <c r="M69" i="35"/>
  <c r="M69" i="33"/>
  <c r="AC143" i="33"/>
  <c r="AC143" i="35"/>
  <c r="AB46" i="33"/>
  <c r="AB46" i="35"/>
  <c r="O32" i="31"/>
  <c r="O13" i="31" s="1"/>
  <c r="O70" i="35"/>
  <c r="O70" i="33"/>
  <c r="V66" i="33"/>
  <c r="V28" i="31"/>
  <c r="V9" i="31" s="1"/>
  <c r="V66" i="35"/>
  <c r="AA127" i="33"/>
  <c r="AA127" i="35"/>
  <c r="Y111" i="35"/>
  <c r="Y111" i="33"/>
  <c r="V51" i="35"/>
  <c r="V51" i="33"/>
  <c r="O142" i="33"/>
  <c r="O142" i="35"/>
  <c r="AD124" i="33"/>
  <c r="AD124" i="35"/>
  <c r="Y76" i="31"/>
  <c r="Y73" i="35"/>
  <c r="Y35" i="31"/>
  <c r="Y16" i="31" s="1"/>
  <c r="Y73" i="33"/>
  <c r="E29" i="31"/>
  <c r="E10" i="31" s="1"/>
  <c r="E67" i="35"/>
  <c r="E29" i="35" s="1"/>
  <c r="E67" i="33"/>
  <c r="E29" i="33" s="1"/>
  <c r="S111" i="35"/>
  <c r="S111" i="33"/>
  <c r="K57" i="31"/>
  <c r="K54" i="35"/>
  <c r="K54" i="33"/>
  <c r="S48" i="35"/>
  <c r="S48" i="33"/>
  <c r="AB73" i="35"/>
  <c r="AB73" i="33"/>
  <c r="AB76" i="31"/>
  <c r="AB35" i="31"/>
  <c r="AB16" i="31" s="1"/>
  <c r="N146" i="33"/>
  <c r="N146" i="35"/>
  <c r="K73" i="33"/>
  <c r="K35" i="33" s="1"/>
  <c r="K76" i="31"/>
  <c r="K73" i="35"/>
  <c r="K35" i="35" s="1"/>
  <c r="K35" i="31"/>
  <c r="K16" i="31" s="1"/>
  <c r="U106" i="33"/>
  <c r="U106" i="35"/>
  <c r="Z125" i="33"/>
  <c r="Z125" i="35"/>
  <c r="AH66" i="33"/>
  <c r="AH28" i="33" s="1"/>
  <c r="AH9" i="33" s="1"/>
  <c r="AH28" i="31"/>
  <c r="AH9" i="31" s="1"/>
  <c r="AF31" i="31"/>
  <c r="AF12" i="31" s="1"/>
  <c r="AF69" i="33"/>
  <c r="AF31" i="33" s="1"/>
  <c r="AF12" i="33" s="1"/>
  <c r="Q128" i="31"/>
  <c r="Q122" i="35"/>
  <c r="Q122" i="33"/>
  <c r="AA50" i="33"/>
  <c r="AA50" i="35"/>
  <c r="Z108" i="33"/>
  <c r="Z108" i="35"/>
  <c r="M50" i="35"/>
  <c r="M50" i="33"/>
  <c r="R51" i="33"/>
  <c r="R51" i="35"/>
  <c r="F69" i="35"/>
  <c r="F31" i="35" s="1"/>
  <c r="F31" i="31"/>
  <c r="F12" i="31" s="1"/>
  <c r="F69" i="33"/>
  <c r="F31" i="33" s="1"/>
  <c r="AI67" i="33"/>
  <c r="AI29" i="33" s="1"/>
  <c r="AI10" i="33" s="1"/>
  <c r="AI29" i="31"/>
  <c r="AI10" i="31" s="1"/>
  <c r="R145" i="33"/>
  <c r="R145" i="35"/>
  <c r="T149" i="33"/>
  <c r="T152" i="31"/>
  <c r="T149" i="35"/>
  <c r="P36" i="31"/>
  <c r="P17" i="31" s="1"/>
  <c r="P74" i="35"/>
  <c r="P74" i="33"/>
  <c r="AI68" i="33"/>
  <c r="AI30" i="33" s="1"/>
  <c r="AI11" i="33" s="1"/>
  <c r="AI30" i="31"/>
  <c r="AI11" i="31" s="1"/>
  <c r="AA112" i="35"/>
  <c r="AA112" i="33"/>
  <c r="AD141" i="35"/>
  <c r="AD141" i="33"/>
  <c r="R73" i="33"/>
  <c r="R35" i="31"/>
  <c r="R16" i="31" s="1"/>
  <c r="R73" i="35"/>
  <c r="R76" i="31"/>
  <c r="AC49" i="33"/>
  <c r="AC49" i="35"/>
  <c r="Y107" i="35"/>
  <c r="Y107" i="33"/>
  <c r="Z50" i="33"/>
  <c r="Z50" i="35"/>
  <c r="L30" i="31"/>
  <c r="L11" i="31" s="1"/>
  <c r="L68" i="35"/>
  <c r="L30" i="35" s="1"/>
  <c r="L68" i="33"/>
  <c r="L30" i="33" s="1"/>
  <c r="R71" i="33"/>
  <c r="R71" i="35"/>
  <c r="W71" i="33"/>
  <c r="W71" i="35"/>
  <c r="L49" i="35"/>
  <c r="L49" i="33"/>
  <c r="N30" i="31"/>
  <c r="N11" i="31" s="1"/>
  <c r="N68" i="35"/>
  <c r="N68" i="33"/>
  <c r="X68" i="35"/>
  <c r="X30" i="31"/>
  <c r="X11" i="31" s="1"/>
  <c r="X68" i="33"/>
  <c r="X70" i="35"/>
  <c r="X70" i="33"/>
  <c r="X32" i="31"/>
  <c r="X13" i="31" s="1"/>
  <c r="E51" i="35"/>
  <c r="E51" i="33"/>
  <c r="AA36" i="31"/>
  <c r="AA17" i="31" s="1"/>
  <c r="AA74" i="33"/>
  <c r="AA74" i="35"/>
  <c r="Z52" i="33"/>
  <c r="Z52" i="35"/>
  <c r="H50" i="33"/>
  <c r="H50" i="35"/>
  <c r="F47" i="35"/>
  <c r="F47" i="33"/>
  <c r="O66" i="35"/>
  <c r="O66" i="33"/>
  <c r="O28" i="31"/>
  <c r="O9" i="31" s="1"/>
  <c r="AB69" i="35"/>
  <c r="AB31" i="31"/>
  <c r="AB12" i="31" s="1"/>
  <c r="AB69" i="33"/>
  <c r="AI31" i="31"/>
  <c r="AI12" i="31" s="1"/>
  <c r="AI69" i="33"/>
  <c r="AI31" i="33" s="1"/>
  <c r="AI12" i="33" s="1"/>
  <c r="X52" i="35"/>
  <c r="X52" i="33"/>
  <c r="W142" i="35"/>
  <c r="W142" i="33"/>
  <c r="AB29" i="31"/>
  <c r="AB10" i="31" s="1"/>
  <c r="AB67" i="35"/>
  <c r="AB67" i="33"/>
  <c r="U126" i="35"/>
  <c r="U126" i="33"/>
  <c r="T144" i="35"/>
  <c r="T144" i="33"/>
  <c r="AG74" i="33"/>
  <c r="AG36" i="33" s="1"/>
  <c r="AG17" i="33" s="1"/>
  <c r="AG36" i="31"/>
  <c r="AG17" i="31" s="1"/>
  <c r="Y46" i="33"/>
  <c r="Y46" i="35"/>
  <c r="J49" i="33"/>
  <c r="J49" i="35"/>
  <c r="W126" i="33"/>
  <c r="W126" i="35"/>
  <c r="V146" i="35"/>
  <c r="V146" i="33"/>
  <c r="Q74" i="33"/>
  <c r="Q36" i="31"/>
  <c r="Q17" i="31" s="1"/>
  <c r="Q74" i="35"/>
  <c r="P73" i="33"/>
  <c r="P35" i="31"/>
  <c r="P16" i="31" s="1"/>
  <c r="P73" i="35"/>
  <c r="P76" i="31"/>
  <c r="Q51" i="33"/>
  <c r="Q51" i="35"/>
  <c r="I50" i="33"/>
  <c r="I50" i="35"/>
  <c r="M28" i="31"/>
  <c r="M9" i="31" s="1"/>
  <c r="M66" i="35"/>
  <c r="M66" i="33"/>
  <c r="AB52" i="35"/>
  <c r="AB52" i="33"/>
  <c r="Y54" i="33"/>
  <c r="Y54" i="35"/>
  <c r="Y57" i="31"/>
  <c r="V76" i="31"/>
  <c r="V35" i="31"/>
  <c r="V16" i="31" s="1"/>
  <c r="V73" i="35"/>
  <c r="V73" i="33"/>
  <c r="P47" i="35"/>
  <c r="P47" i="33"/>
  <c r="I66" i="35"/>
  <c r="I28" i="35" s="1"/>
  <c r="I28" i="31"/>
  <c r="I9" i="31" s="1"/>
  <c r="I66" i="33"/>
  <c r="I28" i="33" s="1"/>
  <c r="I36" i="31"/>
  <c r="I17" i="31" s="1"/>
  <c r="I74" i="35"/>
  <c r="I36" i="35" s="1"/>
  <c r="I17" i="35" s="1"/>
  <c r="I74" i="33"/>
  <c r="I36" i="33" s="1"/>
  <c r="I17" i="33" s="1"/>
  <c r="AF70" i="33"/>
  <c r="AF32" i="33" s="1"/>
  <c r="AF13" i="33" s="1"/>
  <c r="AF32" i="31"/>
  <c r="AF13" i="31" s="1"/>
  <c r="AD49" i="33"/>
  <c r="AD49" i="35"/>
  <c r="H52" i="33"/>
  <c r="H52" i="35"/>
  <c r="U52" i="35"/>
  <c r="U52" i="33"/>
  <c r="AD54" i="35"/>
  <c r="AD54" i="33"/>
  <c r="AD57" i="31"/>
  <c r="X31" i="31"/>
  <c r="X12" i="31" s="1"/>
  <c r="X69" i="35"/>
  <c r="X69" i="33"/>
  <c r="AG122" i="33"/>
  <c r="AG128" i="31"/>
  <c r="AG128" i="33" s="1"/>
  <c r="L35" i="31"/>
  <c r="L16" i="31" s="1"/>
  <c r="L73" i="35"/>
  <c r="L35" i="35" s="1"/>
  <c r="L73" i="33"/>
  <c r="L35" i="33" s="1"/>
  <c r="L76" i="31"/>
  <c r="U76" i="31"/>
  <c r="U73" i="33"/>
  <c r="U35" i="31"/>
  <c r="U16" i="31" s="1"/>
  <c r="U73" i="35"/>
  <c r="V150" i="35"/>
  <c r="V150" i="33"/>
  <c r="AG68" i="33"/>
  <c r="AG30" i="33" s="1"/>
  <c r="AG11" i="33" s="1"/>
  <c r="AG30" i="31"/>
  <c r="AG11" i="31" s="1"/>
  <c r="M49" i="35"/>
  <c r="M49" i="33"/>
  <c r="C27" i="31"/>
  <c r="C65" i="35"/>
  <c r="C27" i="35" s="1"/>
  <c r="C65" i="33"/>
  <c r="C27" i="33" s="1"/>
  <c r="G66" i="33"/>
  <c r="G28" i="33" s="1"/>
  <c r="G66" i="35"/>
  <c r="G28" i="35" s="1"/>
  <c r="G28" i="31"/>
  <c r="G9" i="31" s="1"/>
  <c r="J65" i="35"/>
  <c r="J27" i="35" s="1"/>
  <c r="J65" i="33"/>
  <c r="J27" i="33" s="1"/>
  <c r="J27" i="31"/>
  <c r="M71" i="33"/>
  <c r="M71" i="35"/>
  <c r="U74" i="35"/>
  <c r="U36" i="31"/>
  <c r="U17" i="31" s="1"/>
  <c r="U74" i="33"/>
  <c r="W70" i="35"/>
  <c r="W70" i="33"/>
  <c r="W32" i="31"/>
  <c r="W13" i="31" s="1"/>
  <c r="S66" i="33"/>
  <c r="S66" i="35"/>
  <c r="S28" i="31"/>
  <c r="S9" i="31" s="1"/>
  <c r="AF103" i="33"/>
  <c r="AF109" i="31"/>
  <c r="AF109" i="33" s="1"/>
  <c r="J50" i="35"/>
  <c r="J50" i="33"/>
  <c r="AB47" i="35"/>
  <c r="AB47" i="33"/>
  <c r="AD65" i="35"/>
  <c r="AD65" i="33"/>
  <c r="AD27" i="31"/>
  <c r="Q49" i="33"/>
  <c r="Q49" i="35"/>
  <c r="AA29" i="31"/>
  <c r="AA10" i="31" s="1"/>
  <c r="AA67" i="35"/>
  <c r="AA67" i="33"/>
  <c r="R49" i="35"/>
  <c r="R49" i="33"/>
  <c r="Z111" i="35"/>
  <c r="Z111" i="33"/>
  <c r="Z124" i="35"/>
  <c r="Z124" i="33"/>
  <c r="S73" i="35"/>
  <c r="S76" i="31"/>
  <c r="S73" i="33"/>
  <c r="S35" i="31"/>
  <c r="S16" i="31" s="1"/>
  <c r="I71" i="35"/>
  <c r="I33" i="35" s="1"/>
  <c r="I71" i="33"/>
  <c r="I33" i="33" s="1"/>
  <c r="C70" i="35"/>
  <c r="C32" i="35" s="1"/>
  <c r="C70" i="33"/>
  <c r="C32" i="33" s="1"/>
  <c r="C32" i="31"/>
  <c r="C13" i="31" s="1"/>
  <c r="AI130" i="33"/>
  <c r="V49" i="35"/>
  <c r="V49" i="33"/>
  <c r="F48" i="35"/>
  <c r="F48" i="33"/>
  <c r="U112" i="35"/>
  <c r="U112" i="33"/>
  <c r="J48" i="33"/>
  <c r="J48" i="35"/>
  <c r="AD125" i="35"/>
  <c r="AD125" i="33"/>
  <c r="U123" i="35"/>
  <c r="U123" i="33"/>
  <c r="G71" i="33"/>
  <c r="G33" i="33" s="1"/>
  <c r="G71" i="35"/>
  <c r="G33" i="35" s="1"/>
  <c r="T147" i="35"/>
  <c r="T147" i="33"/>
  <c r="L48" i="33"/>
  <c r="L48" i="35"/>
  <c r="D73" i="33"/>
  <c r="D35" i="33" s="1"/>
  <c r="D73" i="35"/>
  <c r="D35" i="35" s="1"/>
  <c r="D35" i="31"/>
  <c r="D16" i="31" s="1"/>
  <c r="D76" i="31"/>
  <c r="AD109" i="31"/>
  <c r="AD114" i="31" s="1"/>
  <c r="AD103" i="33"/>
  <c r="AD103" i="35"/>
  <c r="N69" i="35"/>
  <c r="N69" i="33"/>
  <c r="N31" i="31"/>
  <c r="N12" i="31" s="1"/>
  <c r="J52" i="33"/>
  <c r="J52" i="35"/>
  <c r="Z67" i="35"/>
  <c r="Z67" i="33"/>
  <c r="Z29" i="31"/>
  <c r="Z10" i="31" s="1"/>
  <c r="Q146" i="33"/>
  <c r="Q146" i="35"/>
  <c r="C47" i="35"/>
  <c r="C47" i="33"/>
  <c r="X147" i="35"/>
  <c r="X147" i="33"/>
  <c r="AG54" i="33"/>
  <c r="AG57" i="31"/>
  <c r="AG57" i="33" s="1"/>
  <c r="AE122" i="33"/>
  <c r="AE128" i="31"/>
  <c r="AE128" i="33" s="1"/>
  <c r="H73" i="35"/>
  <c r="H35" i="35" s="1"/>
  <c r="H76" i="31"/>
  <c r="H73" i="33"/>
  <c r="H35" i="33" s="1"/>
  <c r="H35" i="31"/>
  <c r="H16" i="31" s="1"/>
  <c r="Y103" i="33"/>
  <c r="Y103" i="35"/>
  <c r="Y109" i="31"/>
  <c r="T52" i="35"/>
  <c r="T52" i="33"/>
  <c r="V130" i="33"/>
  <c r="V130" i="35"/>
  <c r="W143" i="35"/>
  <c r="W143" i="33"/>
  <c r="R147" i="35"/>
  <c r="R147" i="33"/>
  <c r="Z123" i="33"/>
  <c r="Z123" i="35"/>
  <c r="N47" i="33"/>
  <c r="N47" i="35"/>
  <c r="V67" i="35"/>
  <c r="V67" i="33"/>
  <c r="V29" i="31"/>
  <c r="V10" i="31" s="1"/>
  <c r="J69" i="35"/>
  <c r="J31" i="35" s="1"/>
  <c r="J69" i="33"/>
  <c r="J31" i="33" s="1"/>
  <c r="J31" i="31"/>
  <c r="J12" i="31" s="1"/>
  <c r="U125" i="35"/>
  <c r="U125" i="33"/>
  <c r="AA65" i="35"/>
  <c r="AA65" i="33"/>
  <c r="AA27" i="31"/>
  <c r="T70" i="33"/>
  <c r="T70" i="35"/>
  <c r="T32" i="31"/>
  <c r="T13" i="31" s="1"/>
  <c r="Q126" i="35"/>
  <c r="Q126" i="33"/>
  <c r="P141" i="33"/>
  <c r="P141" i="35"/>
  <c r="Y70" i="33"/>
  <c r="Y70" i="35"/>
  <c r="Y32" i="31"/>
  <c r="Y13" i="31" s="1"/>
  <c r="AI122" i="33"/>
  <c r="AI128" i="31"/>
  <c r="AI128" i="33" s="1"/>
  <c r="V107" i="35"/>
  <c r="V107" i="33"/>
  <c r="F46" i="35"/>
  <c r="F46" i="33"/>
  <c r="O52" i="33"/>
  <c r="O52" i="35"/>
  <c r="Z106" i="33"/>
  <c r="Z106" i="35"/>
  <c r="M149" i="33"/>
  <c r="M149" i="35"/>
  <c r="M152" i="31"/>
  <c r="Q150" i="33"/>
  <c r="Q150" i="35"/>
  <c r="AC69" i="35"/>
  <c r="AC69" i="33"/>
  <c r="AC31" i="31"/>
  <c r="AC12" i="31" s="1"/>
  <c r="M67" i="33"/>
  <c r="M67" i="35"/>
  <c r="M29" i="31"/>
  <c r="M10" i="31" s="1"/>
  <c r="G50" i="35"/>
  <c r="G50" i="33"/>
  <c r="Z107" i="33"/>
  <c r="Z107" i="35"/>
  <c r="E73" i="35"/>
  <c r="E35" i="35" s="1"/>
  <c r="E76" i="31"/>
  <c r="E73" i="33"/>
  <c r="E35" i="33" s="1"/>
  <c r="E35" i="31"/>
  <c r="E16" i="31" s="1"/>
  <c r="O35" i="31"/>
  <c r="O16" i="31" s="1"/>
  <c r="O73" i="35"/>
  <c r="O73" i="33"/>
  <c r="O76" i="31"/>
  <c r="O141" i="35"/>
  <c r="O141" i="33"/>
  <c r="R124" i="35"/>
  <c r="R124" i="33"/>
  <c r="Q29" i="31"/>
  <c r="Q10" i="31" s="1"/>
  <c r="Q67" i="35"/>
  <c r="Q67" i="33"/>
  <c r="Z70" i="35"/>
  <c r="Z32" i="31"/>
  <c r="Z13" i="31" s="1"/>
  <c r="Z70" i="33"/>
  <c r="Y71" i="35"/>
  <c r="Y71" i="33"/>
  <c r="AF76" i="31"/>
  <c r="AF73" i="33"/>
  <c r="AF35" i="31"/>
  <c r="AF16" i="31" s="1"/>
  <c r="P67" i="35"/>
  <c r="P29" i="31"/>
  <c r="P10" i="31" s="1"/>
  <c r="P67" i="33"/>
  <c r="AC127" i="35"/>
  <c r="AC127" i="33"/>
  <c r="N54" i="35"/>
  <c r="N54" i="33"/>
  <c r="N57" i="31"/>
  <c r="W107" i="33"/>
  <c r="W107" i="35"/>
  <c r="D74" i="35"/>
  <c r="D36" i="35" s="1"/>
  <c r="D17" i="35" s="1"/>
  <c r="D36" i="31"/>
  <c r="D17" i="31" s="1"/>
  <c r="D74" i="33"/>
  <c r="D36" i="33" s="1"/>
  <c r="D17" i="33" s="1"/>
  <c r="W68" i="35"/>
  <c r="W30" i="31"/>
  <c r="W11" i="31" s="1"/>
  <c r="W68" i="33"/>
  <c r="P51" i="35"/>
  <c r="P51" i="33"/>
  <c r="AA48" i="35"/>
  <c r="AA48" i="33"/>
  <c r="AH67" i="33"/>
  <c r="AH29" i="33" s="1"/>
  <c r="AH10" i="33" s="1"/>
  <c r="AH29" i="31"/>
  <c r="AH10" i="31" s="1"/>
  <c r="AC71" i="35"/>
  <c r="AC71" i="33"/>
  <c r="S124" i="35"/>
  <c r="S124" i="33"/>
  <c r="V74" i="35"/>
  <c r="V36" i="31"/>
  <c r="V17" i="31" s="1"/>
  <c r="V74" i="33"/>
  <c r="Y141" i="35"/>
  <c r="Y141" i="33"/>
  <c r="S126" i="35"/>
  <c r="S126" i="33"/>
  <c r="AG103" i="33"/>
  <c r="AG109" i="31"/>
  <c r="AG109" i="33" s="1"/>
  <c r="K51" i="33"/>
  <c r="K51" i="35"/>
  <c r="AH103" i="33"/>
  <c r="AH109" i="31"/>
  <c r="AH109" i="33" s="1"/>
  <c r="AF54" i="33"/>
  <c r="AF57" i="31"/>
  <c r="G48" i="35"/>
  <c r="G48" i="33"/>
  <c r="F51" i="33"/>
  <c r="F51" i="35"/>
  <c r="S123" i="33"/>
  <c r="S123" i="35"/>
  <c r="S145" i="33"/>
  <c r="S145" i="35"/>
  <c r="AC48" i="35"/>
  <c r="AC48" i="33"/>
  <c r="U71" i="33"/>
  <c r="U71" i="35"/>
  <c r="O144" i="35"/>
  <c r="O144" i="33"/>
  <c r="AB109" i="31"/>
  <c r="AB114" i="31" s="1"/>
  <c r="AB103" i="35"/>
  <c r="AB103" i="33"/>
  <c r="T127" i="35"/>
  <c r="T127" i="33"/>
  <c r="AA103" i="35"/>
  <c r="AA103" i="33"/>
  <c r="AA109" i="31"/>
  <c r="AD106" i="33"/>
  <c r="AD106" i="35"/>
  <c r="Z149" i="33"/>
  <c r="Z152" i="31"/>
  <c r="Z149" i="35"/>
  <c r="W27" i="31"/>
  <c r="W65" i="35"/>
  <c r="W65" i="33"/>
  <c r="AE68" i="33"/>
  <c r="AE30" i="33" s="1"/>
  <c r="AE11" i="33" s="1"/>
  <c r="AE30" i="31"/>
  <c r="AE11" i="31" s="1"/>
  <c r="I65" i="33"/>
  <c r="I27" i="33" s="1"/>
  <c r="I27" i="31"/>
  <c r="I65" i="35"/>
  <c r="I27" i="35" s="1"/>
  <c r="AC144" i="33"/>
  <c r="AC144" i="35"/>
  <c r="F57" i="31"/>
  <c r="F54" i="33"/>
  <c r="F54" i="35"/>
  <c r="AC66" i="33"/>
  <c r="AC66" i="35"/>
  <c r="AC28" i="31"/>
  <c r="AC9" i="31" s="1"/>
  <c r="Q28" i="31"/>
  <c r="Q9" i="31" s="1"/>
  <c r="Q66" i="35"/>
  <c r="Q66" i="33"/>
  <c r="D50" i="35"/>
  <c r="D50" i="33"/>
  <c r="T103" i="33"/>
  <c r="T103" i="35"/>
  <c r="T109" i="31"/>
  <c r="U149" i="33"/>
  <c r="U149" i="35"/>
  <c r="U152" i="31"/>
  <c r="AA104" i="33"/>
  <c r="AA104" i="35"/>
  <c r="Q47" i="35"/>
  <c r="Q47" i="33"/>
  <c r="AH73" i="33"/>
  <c r="AH76" i="31"/>
  <c r="AH35" i="31"/>
  <c r="AH16" i="31" s="1"/>
  <c r="R143" i="35"/>
  <c r="R143" i="33"/>
  <c r="O150" i="33"/>
  <c r="O150" i="35"/>
  <c r="X49" i="35"/>
  <c r="X49" i="33"/>
  <c r="J51" i="33"/>
  <c r="J51" i="35"/>
  <c r="Y74" i="35"/>
  <c r="Y36" i="31"/>
  <c r="Y17" i="31" s="1"/>
  <c r="Y74" i="33"/>
  <c r="S50" i="33"/>
  <c r="S50" i="35"/>
  <c r="AD143" i="33"/>
  <c r="AD143" i="35"/>
  <c r="Y143" i="33"/>
  <c r="Y143" i="35"/>
  <c r="M74" i="35"/>
  <c r="M74" i="33"/>
  <c r="M36" i="31"/>
  <c r="M17" i="31" s="1"/>
  <c r="Q52" i="35"/>
  <c r="Q52" i="33"/>
  <c r="V145" i="33"/>
  <c r="V145" i="35"/>
  <c r="AF66" i="33"/>
  <c r="AF28" i="33" s="1"/>
  <c r="AF9" i="33" s="1"/>
  <c r="AF28" i="31"/>
  <c r="AF9" i="31" s="1"/>
  <c r="AB146" i="33"/>
  <c r="AB146" i="35"/>
  <c r="D69" i="35"/>
  <c r="D31" i="35" s="1"/>
  <c r="D69" i="33"/>
  <c r="D31" i="33" s="1"/>
  <c r="D31" i="31"/>
  <c r="D12" i="31" s="1"/>
  <c r="AG69" i="33"/>
  <c r="AG31" i="33" s="1"/>
  <c r="AG12" i="33" s="1"/>
  <c r="AG31" i="31"/>
  <c r="AG12" i="31" s="1"/>
  <c r="X29" i="31"/>
  <c r="X10" i="31" s="1"/>
  <c r="X67" i="35"/>
  <c r="X67" i="33"/>
  <c r="M27" i="31"/>
  <c r="M65" i="35"/>
  <c r="M65" i="33"/>
  <c r="P147" i="33"/>
  <c r="P147" i="35"/>
  <c r="AH70" i="33"/>
  <c r="AH32" i="33" s="1"/>
  <c r="AH13" i="33" s="1"/>
  <c r="AH32" i="31"/>
  <c r="AH13" i="31" s="1"/>
  <c r="X125" i="33"/>
  <c r="X125" i="35"/>
  <c r="AC51" i="35"/>
  <c r="AC51" i="33"/>
  <c r="N50" i="35"/>
  <c r="N50" i="33"/>
  <c r="AD71" i="35"/>
  <c r="AD71" i="33"/>
  <c r="R70" i="33"/>
  <c r="R32" i="31"/>
  <c r="R13" i="31" s="1"/>
  <c r="R70" i="35"/>
  <c r="AB51" i="33"/>
  <c r="AB51" i="35"/>
  <c r="AB149" i="33"/>
  <c r="AB152" i="31"/>
  <c r="AB149" i="35"/>
  <c r="AD104" i="35"/>
  <c r="AD104" i="33"/>
  <c r="X158" i="35"/>
  <c r="X158" i="33"/>
  <c r="S130" i="35"/>
  <c r="S130" i="33"/>
  <c r="D48" i="33"/>
  <c r="D48" i="35"/>
  <c r="Q125" i="33"/>
  <c r="Q125" i="35"/>
  <c r="C71" i="33"/>
  <c r="C33" i="33" s="1"/>
  <c r="C71" i="35"/>
  <c r="C33" i="35" s="1"/>
  <c r="Y52" i="35"/>
  <c r="Y52" i="33"/>
  <c r="AC142" i="33"/>
  <c r="AC142" i="35"/>
  <c r="H49" i="35"/>
  <c r="H49" i="33"/>
  <c r="AD126" i="33"/>
  <c r="AD126" i="35"/>
  <c r="AB48" i="35"/>
  <c r="AB48" i="33"/>
  <c r="U47" i="35"/>
  <c r="U47" i="33"/>
  <c r="U127" i="35"/>
  <c r="U127" i="33"/>
  <c r="AA30" i="31"/>
  <c r="AA11" i="31" s="1"/>
  <c r="AA68" i="35"/>
  <c r="AA68" i="33"/>
  <c r="R46" i="33"/>
  <c r="R46" i="35"/>
  <c r="AH111" i="33"/>
  <c r="AD50" i="33"/>
  <c r="AD50" i="35"/>
  <c r="AD147" i="33"/>
  <c r="AD147" i="35"/>
  <c r="Y126" i="35"/>
  <c r="Y126" i="33"/>
  <c r="W146" i="35"/>
  <c r="W146" i="33"/>
  <c r="D54" i="35"/>
  <c r="D54" i="33"/>
  <c r="D57" i="31"/>
  <c r="Z141" i="35"/>
  <c r="Z141" i="33"/>
  <c r="M142" i="33"/>
  <c r="M142" i="35"/>
  <c r="AB147" i="35"/>
  <c r="AB147" i="33"/>
  <c r="P71" i="35"/>
  <c r="P71" i="33"/>
  <c r="AA130" i="33"/>
  <c r="AA130" i="35"/>
  <c r="H71" i="35"/>
  <c r="H33" i="35" s="1"/>
  <c r="H71" i="33"/>
  <c r="H33" i="33" s="1"/>
  <c r="T46" i="35"/>
  <c r="T46" i="33"/>
  <c r="AC52" i="35"/>
  <c r="AC52" i="33"/>
  <c r="X104" i="35"/>
  <c r="X104" i="33"/>
  <c r="M68" i="35"/>
  <c r="M30" i="31"/>
  <c r="M11" i="31" s="1"/>
  <c r="M68" i="33"/>
  <c r="AF128" i="31"/>
  <c r="AF128" i="33" s="1"/>
  <c r="AF122" i="33"/>
  <c r="X65" i="33"/>
  <c r="X27" i="31"/>
  <c r="X65" i="35"/>
  <c r="AG149" i="33"/>
  <c r="AG152" i="31"/>
  <c r="AG152" i="33" s="1"/>
  <c r="Y146" i="35"/>
  <c r="Y146" i="33"/>
  <c r="Y124" i="35"/>
  <c r="Y124" i="33"/>
  <c r="T47" i="33"/>
  <c r="T47" i="35"/>
  <c r="Q73" i="35"/>
  <c r="Q76" i="31"/>
  <c r="Q73" i="33"/>
  <c r="Q35" i="31"/>
  <c r="Q16" i="31" s="1"/>
  <c r="P144" i="35"/>
  <c r="P144" i="33"/>
  <c r="Y144" i="35"/>
  <c r="Y144" i="33"/>
  <c r="X141" i="33"/>
  <c r="X141" i="35"/>
  <c r="E70" i="33"/>
  <c r="E32" i="33" s="1"/>
  <c r="E32" i="31"/>
  <c r="E13" i="31" s="1"/>
  <c r="E70" i="35"/>
  <c r="E32" i="35" s="1"/>
  <c r="O47" i="33"/>
  <c r="O47" i="35"/>
  <c r="C66" i="35"/>
  <c r="C28" i="35" s="1"/>
  <c r="C66" i="33"/>
  <c r="C28" i="33" s="1"/>
  <c r="C28" i="31"/>
  <c r="C9" i="31" s="1"/>
  <c r="AB105" i="33"/>
  <c r="AB105" i="35"/>
  <c r="K68" i="33"/>
  <c r="K30" i="33" s="1"/>
  <c r="K68" i="35"/>
  <c r="K30" i="35" s="1"/>
  <c r="K30" i="31"/>
  <c r="K11" i="31" s="1"/>
  <c r="Z46" i="35"/>
  <c r="Z46" i="33"/>
  <c r="AF67" i="33"/>
  <c r="AF29" i="33" s="1"/>
  <c r="AF10" i="33" s="1"/>
  <c r="AF29" i="31"/>
  <c r="AF10" i="31" s="1"/>
  <c r="Z143" i="35"/>
  <c r="Z143" i="33"/>
  <c r="M48" i="35"/>
  <c r="M48" i="33"/>
  <c r="X48" i="35"/>
  <c r="X48" i="33"/>
  <c r="M141" i="33"/>
  <c r="M141" i="35"/>
  <c r="T68" i="33"/>
  <c r="T30" i="31"/>
  <c r="T11" i="31" s="1"/>
  <c r="T68" i="35"/>
  <c r="W127" i="35"/>
  <c r="W127" i="33"/>
  <c r="H67" i="35"/>
  <c r="H29" i="35" s="1"/>
  <c r="H29" i="31"/>
  <c r="H10" i="31" s="1"/>
  <c r="H67" i="33"/>
  <c r="H29" i="33" s="1"/>
  <c r="J73" i="35"/>
  <c r="J35" i="35" s="1"/>
  <c r="J35" i="31"/>
  <c r="J16" i="31" s="1"/>
  <c r="J73" i="33"/>
  <c r="J35" i="33" s="1"/>
  <c r="J76" i="31"/>
  <c r="T126" i="35"/>
  <c r="T126" i="33"/>
  <c r="X146" i="33"/>
  <c r="X146" i="35"/>
  <c r="K47" i="33"/>
  <c r="K47" i="35"/>
  <c r="AB111" i="33"/>
  <c r="AB111" i="35"/>
  <c r="J28" i="31"/>
  <c r="J9" i="31" s="1"/>
  <c r="J66" i="35"/>
  <c r="J28" i="35" s="1"/>
  <c r="J66" i="33"/>
  <c r="J28" i="33" s="1"/>
  <c r="Z130" i="33"/>
  <c r="Z130" i="35"/>
  <c r="V143" i="35"/>
  <c r="V143" i="33"/>
  <c r="P48" i="33"/>
  <c r="P48" i="35"/>
  <c r="Z150" i="35"/>
  <c r="Z150" i="33"/>
  <c r="Q143" i="33"/>
  <c r="Q143" i="35"/>
  <c r="Z68" i="35"/>
  <c r="Z68" i="33"/>
  <c r="Z30" i="31"/>
  <c r="Z11" i="31" s="1"/>
  <c r="O147" i="35"/>
  <c r="O147" i="33"/>
  <c r="Y112" i="33"/>
  <c r="Y112" i="35"/>
  <c r="P70" i="33"/>
  <c r="P32" i="31"/>
  <c r="P13" i="31" s="1"/>
  <c r="P70" i="35"/>
  <c r="H54" i="33"/>
  <c r="H54" i="35"/>
  <c r="H57" i="31"/>
  <c r="W123" i="33"/>
  <c r="W123" i="35"/>
  <c r="O65" i="35"/>
  <c r="O65" i="33"/>
  <c r="O27" i="31"/>
  <c r="S103" i="35"/>
  <c r="S109" i="31"/>
  <c r="S103" i="33"/>
  <c r="AG67" i="33"/>
  <c r="AG29" i="33" s="1"/>
  <c r="AG10" i="33" s="1"/>
  <c r="AG29" i="31"/>
  <c r="AG10" i="31" s="1"/>
  <c r="D70" i="33"/>
  <c r="D32" i="33" s="1"/>
  <c r="D70" i="35"/>
  <c r="D32" i="35" s="1"/>
  <c r="D32" i="31"/>
  <c r="D13" i="31" s="1"/>
  <c r="AH74" i="33"/>
  <c r="AH36" i="33" s="1"/>
  <c r="AH17" i="33" s="1"/>
  <c r="AH36" i="31"/>
  <c r="AH17" i="31" s="1"/>
  <c r="AB123" i="35"/>
  <c r="AB123" i="33"/>
  <c r="Y158" i="35"/>
  <c r="Y158" i="33"/>
  <c r="AE36" i="31"/>
  <c r="AE17" i="31" s="1"/>
  <c r="AE74" i="33"/>
  <c r="AE36" i="33" s="1"/>
  <c r="AE17" i="33" s="1"/>
  <c r="J47" i="33"/>
  <c r="J47" i="35"/>
  <c r="H47" i="33"/>
  <c r="H47" i="35"/>
  <c r="W150" i="35"/>
  <c r="W150" i="33"/>
  <c r="T71" i="35"/>
  <c r="T71" i="33"/>
  <c r="E69" i="33"/>
  <c r="E31" i="33" s="1"/>
  <c r="E69" i="35"/>
  <c r="E31" i="35" s="1"/>
  <c r="E31" i="31"/>
  <c r="E12" i="31" s="1"/>
  <c r="L50" i="33"/>
  <c r="L50" i="35"/>
  <c r="M52" i="33"/>
  <c r="M52" i="35"/>
  <c r="AA149" i="35"/>
  <c r="AA149" i="33"/>
  <c r="AA152" i="31"/>
  <c r="K52" i="33"/>
  <c r="K52" i="35"/>
  <c r="Y142" i="35"/>
  <c r="Y142" i="33"/>
  <c r="Z66" i="33"/>
  <c r="Z66" i="35"/>
  <c r="Z28" i="31"/>
  <c r="Z9" i="31" s="1"/>
  <c r="G65" i="33"/>
  <c r="G27" i="33" s="1"/>
  <c r="G65" i="35"/>
  <c r="G27" i="35" s="1"/>
  <c r="G27" i="31"/>
  <c r="Q50" i="35"/>
  <c r="Q50" i="33"/>
  <c r="Z127" i="35"/>
  <c r="Z127" i="33"/>
  <c r="Q48" i="33"/>
  <c r="Q48" i="35"/>
  <c r="V104" i="33"/>
  <c r="V104" i="35"/>
  <c r="Q142" i="35"/>
  <c r="Q142" i="33"/>
  <c r="S70" i="33"/>
  <c r="S70" i="35"/>
  <c r="S32" i="31"/>
  <c r="S13" i="31" s="1"/>
  <c r="O46" i="33"/>
  <c r="O46" i="35"/>
  <c r="V127" i="35"/>
  <c r="V127" i="33"/>
  <c r="S74" i="35"/>
  <c r="S36" i="31"/>
  <c r="S17" i="31" s="1"/>
  <c r="S74" i="33"/>
  <c r="P28" i="31"/>
  <c r="P9" i="31" s="1"/>
  <c r="P66" i="35"/>
  <c r="P66" i="33"/>
  <c r="AC54" i="35"/>
  <c r="AC57" i="31"/>
  <c r="AC54" i="33"/>
  <c r="S147" i="33"/>
  <c r="S147" i="35"/>
  <c r="S149" i="35"/>
  <c r="S152" i="31"/>
  <c r="S149" i="33"/>
  <c r="M47" i="35"/>
  <c r="M47" i="33"/>
  <c r="Q127" i="35"/>
  <c r="Q127" i="33"/>
  <c r="AC108" i="35"/>
  <c r="AC108" i="33"/>
  <c r="N70" i="35"/>
  <c r="N70" i="33"/>
  <c r="N32" i="31"/>
  <c r="N13" i="31" s="1"/>
  <c r="AD127" i="35"/>
  <c r="AD127" i="33"/>
  <c r="S112" i="35"/>
  <c r="S112" i="33"/>
  <c r="Y29" i="31"/>
  <c r="Y10" i="31" s="1"/>
  <c r="Y67" i="35"/>
  <c r="Y67" i="33"/>
  <c r="AD35" i="31"/>
  <c r="AD16" i="31" s="1"/>
  <c r="AD76" i="31"/>
  <c r="AD73" i="33"/>
  <c r="AD73" i="35"/>
  <c r="U31" i="31"/>
  <c r="U12" i="31" s="1"/>
  <c r="U69" i="35"/>
  <c r="U69" i="33"/>
  <c r="AH122" i="33"/>
  <c r="AH128" i="31"/>
  <c r="AH128" i="33" s="1"/>
  <c r="P52" i="35"/>
  <c r="P52" i="33"/>
  <c r="X47" i="35"/>
  <c r="X47" i="33"/>
  <c r="D47" i="35"/>
  <c r="D47" i="33"/>
  <c r="AA143" i="33"/>
  <c r="AA143" i="35"/>
  <c r="AG66" i="33"/>
  <c r="AG28" i="33" s="1"/>
  <c r="AG9" i="33" s="1"/>
  <c r="AG28" i="31"/>
  <c r="AG9" i="31" s="1"/>
  <c r="P46" i="33"/>
  <c r="P46" i="35"/>
  <c r="H48" i="33"/>
  <c r="H48" i="35"/>
  <c r="AG70" i="33"/>
  <c r="AG32" i="33" s="1"/>
  <c r="AG13" i="33" s="1"/>
  <c r="AG32" i="31"/>
  <c r="AG13" i="31" s="1"/>
  <c r="N49" i="33"/>
  <c r="N49" i="35"/>
  <c r="Y106" i="33"/>
  <c r="Y106" i="35"/>
  <c r="J71" i="35"/>
  <c r="J33" i="35" s="1"/>
  <c r="J71" i="33"/>
  <c r="J33" i="33" s="1"/>
  <c r="N46" i="35"/>
  <c r="N46" i="33"/>
  <c r="W104" i="33"/>
  <c r="W104" i="35"/>
  <c r="AC107" i="33"/>
  <c r="AC107" i="35"/>
  <c r="F32" i="31"/>
  <c r="F13" i="31" s="1"/>
  <c r="F70" i="35"/>
  <c r="F32" i="35" s="1"/>
  <c r="F70" i="33"/>
  <c r="F32" i="33" s="1"/>
  <c r="X54" i="33"/>
  <c r="X54" i="35"/>
  <c r="X57" i="31"/>
  <c r="S49" i="33"/>
  <c r="S49" i="35"/>
  <c r="W103" i="35"/>
  <c r="W103" i="33"/>
  <c r="W109" i="31"/>
  <c r="AB150" i="33"/>
  <c r="AB150" i="35"/>
  <c r="AB65" i="33"/>
  <c r="AB65" i="35"/>
  <c r="AB27" i="31"/>
  <c r="X126" i="35"/>
  <c r="X126" i="33"/>
  <c r="U48" i="33"/>
  <c r="U48" i="35"/>
  <c r="AC68" i="35"/>
  <c r="AC30" i="31"/>
  <c r="AC11" i="31" s="1"/>
  <c r="AC68" i="33"/>
  <c r="AA145" i="33"/>
  <c r="AA145" i="35"/>
  <c r="T146" i="35"/>
  <c r="T146" i="33"/>
  <c r="AA111" i="35"/>
  <c r="AA111" i="33"/>
  <c r="W84" i="35"/>
  <c r="W84" i="33"/>
  <c r="AC50" i="35"/>
  <c r="AC50" i="33"/>
  <c r="AC46" i="35"/>
  <c r="AC46" i="33"/>
  <c r="X106" i="33"/>
  <c r="X106" i="35"/>
  <c r="U46" i="33"/>
  <c r="U46" i="35"/>
  <c r="W141" i="35"/>
  <c r="W141" i="33"/>
  <c r="AD111" i="33"/>
  <c r="AD111" i="35"/>
  <c r="H69" i="35"/>
  <c r="H31" i="35" s="1"/>
  <c r="H69" i="33"/>
  <c r="H31" i="33" s="1"/>
  <c r="H31" i="31"/>
  <c r="H12" i="31" s="1"/>
  <c r="T124" i="35"/>
  <c r="T124" i="33"/>
  <c r="R54" i="35"/>
  <c r="R54" i="33"/>
  <c r="R57" i="31"/>
  <c r="Q46" i="35"/>
  <c r="Q46" i="33"/>
  <c r="AF30" i="31"/>
  <c r="AF11" i="31" s="1"/>
  <c r="AF68" i="33"/>
  <c r="AF30" i="33" s="1"/>
  <c r="AF11" i="33" s="1"/>
  <c r="X108" i="33"/>
  <c r="X108" i="35"/>
  <c r="V125" i="35"/>
  <c r="V125" i="33"/>
  <c r="M70" i="33"/>
  <c r="M70" i="35"/>
  <c r="M32" i="31"/>
  <c r="M13" i="31" s="1"/>
  <c r="Q144" i="35"/>
  <c r="Q144" i="33"/>
  <c r="H65" i="35"/>
  <c r="H27" i="35" s="1"/>
  <c r="H65" i="33"/>
  <c r="H27" i="33" s="1"/>
  <c r="H27" i="31"/>
  <c r="Z48" i="33"/>
  <c r="Z48" i="35"/>
  <c r="W46" i="33"/>
  <c r="W46" i="35"/>
  <c r="AI103" i="33"/>
  <c r="AI109" i="31"/>
  <c r="AI109" i="33" s="1"/>
  <c r="W92" i="35"/>
  <c r="W92" i="33"/>
  <c r="AC126" i="35"/>
  <c r="AC126" i="33"/>
  <c r="O68" i="33"/>
  <c r="O68" i="35"/>
  <c r="O30" i="31"/>
  <c r="O11" i="31" s="1"/>
  <c r="H30" i="31"/>
  <c r="H11" i="31" s="1"/>
  <c r="H68" i="33"/>
  <c r="H30" i="33" s="1"/>
  <c r="H68" i="35"/>
  <c r="H30" i="35" s="1"/>
  <c r="X130" i="33"/>
  <c r="X130" i="35"/>
  <c r="AI74" i="33"/>
  <c r="AI36" i="33" s="1"/>
  <c r="AI17" i="33" s="1"/>
  <c r="AI36" i="31"/>
  <c r="AI17" i="31" s="1"/>
  <c r="AD105" i="33"/>
  <c r="AD105" i="35"/>
  <c r="E54" i="33"/>
  <c r="E54" i="35"/>
  <c r="E57" i="31"/>
  <c r="AD66" i="35"/>
  <c r="AD28" i="31"/>
  <c r="AD9" i="31" s="1"/>
  <c r="AD66" i="33"/>
  <c r="R122" i="35"/>
  <c r="R128" i="31"/>
  <c r="R133" i="31" s="1"/>
  <c r="R122" i="33"/>
  <c r="K50" i="35"/>
  <c r="K50" i="33"/>
  <c r="H28" i="31"/>
  <c r="H9" i="31" s="1"/>
  <c r="H66" i="35"/>
  <c r="H28" i="35" s="1"/>
  <c r="H66" i="33"/>
  <c r="H28" i="33" s="1"/>
  <c r="P54" i="33"/>
  <c r="P54" i="35"/>
  <c r="P57" i="31"/>
  <c r="L54" i="33"/>
  <c r="L57" i="31"/>
  <c r="L54" i="35"/>
  <c r="Y130" i="33"/>
  <c r="Y130" i="35"/>
  <c r="P49" i="35"/>
  <c r="P49" i="33"/>
  <c r="Y68" i="35"/>
  <c r="Y68" i="33"/>
  <c r="Y30" i="31"/>
  <c r="Y11" i="31" s="1"/>
  <c r="AB143" i="33"/>
  <c r="AB143" i="35"/>
  <c r="N150" i="33"/>
  <c r="N150" i="35"/>
  <c r="Z145" i="33"/>
  <c r="Z145" i="35"/>
  <c r="Z65" i="33"/>
  <c r="Z27" i="31"/>
  <c r="Z65" i="35"/>
  <c r="P31" i="31"/>
  <c r="P12" i="31" s="1"/>
  <c r="P69" i="33"/>
  <c r="P69" i="35"/>
  <c r="V71" i="35"/>
  <c r="V71" i="33"/>
  <c r="AI54" i="33"/>
  <c r="AI57" i="31"/>
  <c r="AI57" i="33" s="1"/>
  <c r="AA150" i="33"/>
  <c r="AA150" i="35"/>
  <c r="X51" i="33"/>
  <c r="X51" i="35"/>
  <c r="AL27" i="31"/>
  <c r="U49" i="33"/>
  <c r="U49" i="35"/>
  <c r="M35" i="31"/>
  <c r="M16" i="31" s="1"/>
  <c r="M76" i="31"/>
  <c r="M73" i="33"/>
  <c r="M73" i="35"/>
  <c r="AA126" i="33"/>
  <c r="AA126" i="35"/>
  <c r="Y127" i="35"/>
  <c r="Y127" i="33"/>
  <c r="Q149" i="35"/>
  <c r="Q149" i="33"/>
  <c r="Q152" i="31"/>
  <c r="L69" i="35"/>
  <c r="L31" i="35" s="1"/>
  <c r="L31" i="31"/>
  <c r="L12" i="31" s="1"/>
  <c r="L69" i="33"/>
  <c r="L31" i="33" s="1"/>
  <c r="AD32" i="31"/>
  <c r="AD13" i="31" s="1"/>
  <c r="AD70" i="35"/>
  <c r="AD70" i="33"/>
  <c r="S29" i="31"/>
  <c r="S10" i="31" s="1"/>
  <c r="S67" i="33"/>
  <c r="S67" i="35"/>
  <c r="AE69" i="33"/>
  <c r="AE31" i="33" s="1"/>
  <c r="AE12" i="33" s="1"/>
  <c r="AE31" i="31"/>
  <c r="AE12" i="31" s="1"/>
  <c r="AH69" i="33"/>
  <c r="AH31" i="33" s="1"/>
  <c r="AH12" i="33" s="1"/>
  <c r="AH31" i="31"/>
  <c r="AH12" i="31" s="1"/>
  <c r="M147" i="35"/>
  <c r="M147" i="33"/>
  <c r="W108" i="33"/>
  <c r="W108" i="35"/>
  <c r="AD48" i="35"/>
  <c r="AD48" i="33"/>
  <c r="W54" i="35"/>
  <c r="W54" i="33"/>
  <c r="W57" i="31"/>
  <c r="X103" i="35"/>
  <c r="X109" i="31"/>
  <c r="X103" i="33"/>
  <c r="AA107" i="35"/>
  <c r="AA107" i="33"/>
  <c r="AB127" i="33"/>
  <c r="AB127" i="35"/>
  <c r="R144" i="35"/>
  <c r="R144" i="33"/>
  <c r="I47" i="35"/>
  <c r="I47" i="33"/>
  <c r="AC36" i="31"/>
  <c r="AC17" i="31" s="1"/>
  <c r="AC74" i="35"/>
  <c r="AC74" i="33"/>
  <c r="D27" i="31"/>
  <c r="D65" i="35"/>
  <c r="D27" i="35" s="1"/>
  <c r="D65" i="33"/>
  <c r="D27" i="33" s="1"/>
  <c r="N51" i="33"/>
  <c r="N51" i="35"/>
  <c r="S47" i="33"/>
  <c r="S47" i="35"/>
  <c r="R52" i="35"/>
  <c r="R52" i="33"/>
  <c r="AC112" i="35"/>
  <c r="AC112" i="33"/>
  <c r="K27" i="31"/>
  <c r="K65" i="35"/>
  <c r="K27" i="35" s="1"/>
  <c r="K65" i="33"/>
  <c r="K27" i="33" s="1"/>
  <c r="Z146" i="33"/>
  <c r="Z146" i="35"/>
  <c r="Q124" i="35"/>
  <c r="Q124" i="33"/>
  <c r="AC125" i="33"/>
  <c r="AC125" i="35"/>
  <c r="AE65" i="33"/>
  <c r="AE27" i="31"/>
  <c r="AD52" i="35"/>
  <c r="AD52" i="33"/>
  <c r="L47" i="33"/>
  <c r="L47" i="35"/>
  <c r="V50" i="33"/>
  <c r="V50" i="35"/>
  <c r="U109" i="31"/>
  <c r="U114" i="31" s="1"/>
  <c r="U103" i="35"/>
  <c r="U103" i="33"/>
  <c r="R67" i="35"/>
  <c r="R29" i="31"/>
  <c r="R10" i="31" s="1"/>
  <c r="R67" i="33"/>
  <c r="G54" i="35"/>
  <c r="G54" i="33"/>
  <c r="G57" i="31"/>
  <c r="AD46" i="35"/>
  <c r="AD46" i="33"/>
  <c r="W51" i="33"/>
  <c r="W51" i="35"/>
  <c r="K48" i="35"/>
  <c r="K48" i="33"/>
  <c r="N145" i="35"/>
  <c r="N145" i="33"/>
  <c r="AG65" i="33"/>
  <c r="AG27" i="31"/>
  <c r="S106" i="35"/>
  <c r="S106" i="33"/>
  <c r="T108" i="35"/>
  <c r="T108" i="33"/>
  <c r="L74" i="33"/>
  <c r="L36" i="33" s="1"/>
  <c r="L17" i="33" s="1"/>
  <c r="L36" i="31"/>
  <c r="L17" i="31" s="1"/>
  <c r="L74" i="35"/>
  <c r="L36" i="35" s="1"/>
  <c r="L17" i="35" s="1"/>
  <c r="Y147" i="35"/>
  <c r="Y147" i="33"/>
  <c r="N48" i="33"/>
  <c r="N48" i="35"/>
  <c r="AD47" i="33"/>
  <c r="AD47" i="35"/>
  <c r="P150" i="33"/>
  <c r="P150" i="35"/>
  <c r="H51" i="33"/>
  <c r="H51" i="35"/>
  <c r="W47" i="35"/>
  <c r="W47" i="33"/>
  <c r="AA146" i="33"/>
  <c r="AA146" i="35"/>
  <c r="U111" i="33"/>
  <c r="U111" i="35"/>
  <c r="AF111" i="33"/>
  <c r="V106" i="33"/>
  <c r="V106" i="35"/>
  <c r="O143" i="33"/>
  <c r="O143" i="35"/>
  <c r="K74" i="35"/>
  <c r="K36" i="35" s="1"/>
  <c r="K17" i="35" s="1"/>
  <c r="K36" i="31"/>
  <c r="K17" i="31" s="1"/>
  <c r="K74" i="33"/>
  <c r="K36" i="33" s="1"/>
  <c r="K17" i="33" s="1"/>
  <c r="T123" i="35"/>
  <c r="T123" i="33"/>
  <c r="U105" i="33"/>
  <c r="U105" i="35"/>
  <c r="U68" i="33"/>
  <c r="U30" i="31"/>
  <c r="U11" i="31" s="1"/>
  <c r="U68" i="35"/>
  <c r="P152" i="31"/>
  <c r="P149" i="35"/>
  <c r="P149" i="33"/>
  <c r="N142" i="35"/>
  <c r="N142" i="33"/>
  <c r="S104" i="35"/>
  <c r="S104" i="33"/>
  <c r="AD130" i="35"/>
  <c r="AD130" i="33"/>
  <c r="M146" i="33"/>
  <c r="M146" i="35"/>
  <c r="AB74" i="35"/>
  <c r="AB36" i="31"/>
  <c r="AB17" i="31" s="1"/>
  <c r="AB74" i="33"/>
  <c r="T106" i="35"/>
  <c r="T106" i="33"/>
  <c r="AC70" i="35"/>
  <c r="AC70" i="33"/>
  <c r="AC32" i="31"/>
  <c r="AC13" i="31" s="1"/>
  <c r="R50" i="35"/>
  <c r="R50" i="33"/>
  <c r="W52" i="35"/>
  <c r="W52" i="33"/>
  <c r="V149" i="35"/>
  <c r="V152" i="31"/>
  <c r="V149" i="33"/>
  <c r="AB66" i="33"/>
  <c r="AB66" i="35"/>
  <c r="AB28" i="31"/>
  <c r="AB9" i="31" s="1"/>
  <c r="AL35" i="31"/>
  <c r="AL16" i="31" s="1"/>
  <c r="AL76" i="31"/>
  <c r="AD146" i="35"/>
  <c r="AD146" i="33"/>
  <c r="I31" i="31"/>
  <c r="I12" i="31" s="1"/>
  <c r="I69" i="33"/>
  <c r="I31" i="33" s="1"/>
  <c r="I69" i="35"/>
  <c r="I31" i="35" s="1"/>
  <c r="V126" i="33"/>
  <c r="V126" i="35"/>
  <c r="W50" i="35"/>
  <c r="W50" i="33"/>
  <c r="X50" i="35"/>
  <c r="X50" i="33"/>
  <c r="AB122" i="35"/>
  <c r="AB122" i="33"/>
  <c r="AB128" i="31"/>
  <c r="AB133" i="31" s="1"/>
  <c r="AD107" i="35"/>
  <c r="AD107" i="33"/>
  <c r="R68" i="35"/>
  <c r="R68" i="33"/>
  <c r="R30" i="31"/>
  <c r="R11" i="31" s="1"/>
  <c r="I52" i="33"/>
  <c r="I52" i="35"/>
  <c r="AC141" i="35"/>
  <c r="AC141" i="33"/>
  <c r="Y47" i="35"/>
  <c r="Y47" i="33"/>
  <c r="W130" i="35"/>
  <c r="W130" i="33"/>
  <c r="AD108" i="35"/>
  <c r="AD108" i="33"/>
  <c r="C36" i="31"/>
  <c r="C17" i="31" s="1"/>
  <c r="C74" i="35"/>
  <c r="C36" i="35" s="1"/>
  <c r="C17" i="35" s="1"/>
  <c r="C74" i="33"/>
  <c r="C36" i="33" s="1"/>
  <c r="C17" i="33" s="1"/>
  <c r="AE111" i="33"/>
  <c r="H32" i="31"/>
  <c r="H13" i="31" s="1"/>
  <c r="H70" i="35"/>
  <c r="H32" i="35" s="1"/>
  <c r="H70" i="33"/>
  <c r="H32" i="33" s="1"/>
  <c r="T111" i="33"/>
  <c r="T111" i="35"/>
  <c r="M144" i="33"/>
  <c r="M144" i="35"/>
  <c r="E66" i="33"/>
  <c r="E28" i="33" s="1"/>
  <c r="E28" i="31"/>
  <c r="E9" i="31" s="1"/>
  <c r="E66" i="35"/>
  <c r="E28" i="35" s="1"/>
  <c r="U108" i="33"/>
  <c r="U108" i="35"/>
  <c r="P145" i="33"/>
  <c r="P145" i="35"/>
  <c r="P146" i="35"/>
  <c r="P146" i="33"/>
  <c r="E68" i="33"/>
  <c r="E30" i="33" s="1"/>
  <c r="E11" i="33" s="1"/>
  <c r="E30" i="31"/>
  <c r="E11" i="31" s="1"/>
  <c r="E68" i="35"/>
  <c r="E30" i="35" s="1"/>
  <c r="Z142" i="35"/>
  <c r="Z142" i="33"/>
  <c r="AE70" i="33"/>
  <c r="AE32" i="33" s="1"/>
  <c r="AE13" i="33" s="1"/>
  <c r="AE32" i="31"/>
  <c r="AE13" i="31" s="1"/>
  <c r="AB57" i="31"/>
  <c r="AB54" i="35"/>
  <c r="AB54" i="33"/>
  <c r="W86" i="35"/>
  <c r="W86" i="33"/>
  <c r="L27" i="31"/>
  <c r="L65" i="35"/>
  <c r="L27" i="35" s="1"/>
  <c r="L65" i="33"/>
  <c r="L27" i="33" s="1"/>
  <c r="U50" i="33"/>
  <c r="U50" i="35"/>
  <c r="S122" i="33"/>
  <c r="S122" i="35"/>
  <c r="S128" i="31"/>
  <c r="S133" i="31" s="1"/>
  <c r="S27" i="31"/>
  <c r="S65" i="35"/>
  <c r="S65" i="33"/>
  <c r="G49" i="33"/>
  <c r="G49" i="35"/>
  <c r="Y50" i="35"/>
  <c r="Y50" i="33"/>
  <c r="X112" i="33"/>
  <c r="X112" i="35"/>
  <c r="G46" i="35"/>
  <c r="G46" i="33"/>
  <c r="AL28" i="31"/>
  <c r="AL9" i="31" s="1"/>
  <c r="W90" i="33"/>
  <c r="W90" i="35"/>
  <c r="AA47" i="35"/>
  <c r="AA47" i="33"/>
  <c r="T66" i="35"/>
  <c r="T66" i="33"/>
  <c r="T28" i="31"/>
  <c r="T9" i="31" s="1"/>
  <c r="AA71" i="33"/>
  <c r="AA71" i="35"/>
  <c r="S144" i="33"/>
  <c r="S144" i="35"/>
  <c r="N66" i="35"/>
  <c r="N66" i="33"/>
  <c r="N28" i="31"/>
  <c r="N9" i="31" s="1"/>
  <c r="AF130" i="33"/>
  <c r="T130" i="35"/>
  <c r="T130" i="33"/>
  <c r="AD51" i="33"/>
  <c r="AD51" i="35"/>
  <c r="X124" i="33"/>
  <c r="X124" i="35"/>
  <c r="U107" i="35"/>
  <c r="U107" i="33"/>
  <c r="D46" i="35"/>
  <c r="D46" i="33"/>
  <c r="F27" i="31"/>
  <c r="F65" i="33"/>
  <c r="F27" i="33" s="1"/>
  <c r="F65" i="35"/>
  <c r="F27" i="35" s="1"/>
  <c r="D28" i="31"/>
  <c r="D9" i="31" s="1"/>
  <c r="D66" i="35"/>
  <c r="D28" i="35" s="1"/>
  <c r="D66" i="33"/>
  <c r="D28" i="33" s="1"/>
  <c r="AI65" i="33"/>
  <c r="AI27" i="31"/>
  <c r="AA144" i="33"/>
  <c r="AA144" i="35"/>
  <c r="AB49" i="33"/>
  <c r="AB49" i="35"/>
  <c r="AA108" i="33"/>
  <c r="AA108" i="35"/>
  <c r="U54" i="35"/>
  <c r="U54" i="33"/>
  <c r="U57" i="31"/>
  <c r="V47" i="33"/>
  <c r="V47" i="35"/>
  <c r="F67" i="33"/>
  <c r="F29" i="33" s="1"/>
  <c r="F29" i="31"/>
  <c r="F10" i="31" s="1"/>
  <c r="F67" i="35"/>
  <c r="F29" i="35" s="1"/>
  <c r="N147" i="35"/>
  <c r="N147" i="33"/>
  <c r="AA142" i="35"/>
  <c r="AA142" i="33"/>
  <c r="E50" i="35"/>
  <c r="E50" i="33"/>
  <c r="X36" i="31"/>
  <c r="X17" i="31" s="1"/>
  <c r="X74" i="33"/>
  <c r="X74" i="35"/>
  <c r="Z71" i="33"/>
  <c r="Z71" i="35"/>
  <c r="W105" i="33"/>
  <c r="W105" i="35"/>
  <c r="R152" i="31"/>
  <c r="R149" i="33"/>
  <c r="R149" i="35"/>
  <c r="U28" i="31"/>
  <c r="U9" i="31" s="1"/>
  <c r="U66" i="33"/>
  <c r="U66" i="35"/>
  <c r="C50" i="33"/>
  <c r="C50" i="35"/>
  <c r="W29" i="31"/>
  <c r="W10" i="31" s="1"/>
  <c r="W67" i="35"/>
  <c r="W67" i="33"/>
  <c r="E65" i="35"/>
  <c r="E27" i="35" s="1"/>
  <c r="E65" i="33"/>
  <c r="E27" i="33" s="1"/>
  <c r="E27" i="31"/>
  <c r="AB108" i="33"/>
  <c r="AB108" i="35"/>
  <c r="R69" i="33"/>
  <c r="R69" i="35"/>
  <c r="R31" i="31"/>
  <c r="R12" i="31" s="1"/>
  <c r="M145" i="33"/>
  <c r="M145" i="35"/>
  <c r="AC106" i="35"/>
  <c r="AC106" i="33"/>
  <c r="S51" i="35"/>
  <c r="S51" i="33"/>
  <c r="S54" i="35"/>
  <c r="S54" i="33"/>
  <c r="S57" i="31"/>
  <c r="S107" i="35"/>
  <c r="S107" i="33"/>
  <c r="G47" i="33"/>
  <c r="G47" i="35"/>
  <c r="AH149" i="33"/>
  <c r="AH152" i="31"/>
  <c r="AB142" i="33"/>
  <c r="AB142" i="35"/>
  <c r="K29" i="31"/>
  <c r="K10" i="31" s="1"/>
  <c r="K67" i="33"/>
  <c r="K29" i="33" s="1"/>
  <c r="K67" i="35"/>
  <c r="K29" i="35" s="1"/>
  <c r="W95" i="33"/>
  <c r="X96" i="33" s="1"/>
  <c r="W95" i="35"/>
  <c r="X96" i="35" s="1"/>
  <c r="X96" i="31"/>
  <c r="V57" i="31"/>
  <c r="V54" i="33"/>
  <c r="V54" i="35"/>
  <c r="AB124" i="33"/>
  <c r="AB124" i="35"/>
  <c r="N76" i="31"/>
  <c r="N73" i="35"/>
  <c r="N73" i="33"/>
  <c r="N35" i="31"/>
  <c r="N16" i="31" s="1"/>
  <c r="J54" i="35"/>
  <c r="J54" i="33"/>
  <c r="J57" i="31"/>
  <c r="Q147" i="35"/>
  <c r="Q147" i="33"/>
  <c r="U124" i="33"/>
  <c r="U124" i="35"/>
  <c r="AE67" i="33"/>
  <c r="AE29" i="33" s="1"/>
  <c r="AE10" i="33" s="1"/>
  <c r="AE29" i="31"/>
  <c r="AE10" i="31" s="1"/>
  <c r="AA141" i="35"/>
  <c r="AA141" i="33"/>
  <c r="G68" i="35"/>
  <c r="G30" i="35" s="1"/>
  <c r="G68" i="33"/>
  <c r="G30" i="33" s="1"/>
  <c r="G30" i="31"/>
  <c r="G11" i="31" s="1"/>
  <c r="R125" i="35"/>
  <c r="R125" i="33"/>
  <c r="W152" i="31"/>
  <c r="W149" i="35"/>
  <c r="W149" i="33"/>
  <c r="R47" i="33"/>
  <c r="R47" i="35"/>
  <c r="R150" i="33"/>
  <c r="R150" i="35"/>
  <c r="Z144" i="35"/>
  <c r="Z144" i="33"/>
  <c r="X46" i="35"/>
  <c r="X46" i="33"/>
  <c r="S143" i="35"/>
  <c r="S143" i="33"/>
  <c r="F52" i="33"/>
  <c r="F52" i="35"/>
  <c r="I68" i="35"/>
  <c r="I30" i="35" s="1"/>
  <c r="I68" i="33"/>
  <c r="I30" i="33" s="1"/>
  <c r="I30" i="31"/>
  <c r="I11" i="31" s="1"/>
  <c r="Q71" i="35"/>
  <c r="Q71" i="33"/>
  <c r="F49" i="33"/>
  <c r="F49" i="35"/>
  <c r="I76" i="31"/>
  <c r="I73" i="35"/>
  <c r="I35" i="35" s="1"/>
  <c r="I73" i="33"/>
  <c r="I35" i="33" s="1"/>
  <c r="I35" i="31"/>
  <c r="I16" i="31" s="1"/>
  <c r="AC146" i="35"/>
  <c r="AC146" i="33"/>
  <c r="C52" i="33"/>
  <c r="C52" i="35"/>
  <c r="AA49" i="33"/>
  <c r="AA49" i="35"/>
  <c r="Q30" i="31"/>
  <c r="Q11" i="31" s="1"/>
  <c r="Q68" i="35"/>
  <c r="Q68" i="33"/>
  <c r="W48" i="33"/>
  <c r="W48" i="35"/>
  <c r="S105" i="35"/>
  <c r="S105" i="33"/>
  <c r="AH54" i="33"/>
  <c r="AH57" i="31"/>
  <c r="AG73" i="33"/>
  <c r="AG35" i="31"/>
  <c r="AG16" i="31" s="1"/>
  <c r="AG76" i="31"/>
  <c r="AF27" i="31"/>
  <c r="AF65" i="33"/>
  <c r="N143" i="35"/>
  <c r="N143" i="33"/>
  <c r="Q141" i="33"/>
  <c r="Q141" i="35"/>
  <c r="AA66" i="33"/>
  <c r="AA28" i="31"/>
  <c r="AA9" i="31" s="1"/>
  <c r="AA66" i="35"/>
  <c r="AI66" i="33"/>
  <c r="AI28" i="33" s="1"/>
  <c r="AI9" i="33" s="1"/>
  <c r="AI28" i="31"/>
  <c r="AI9" i="31" s="1"/>
  <c r="Y123" i="35"/>
  <c r="Y123" i="33"/>
  <c r="AA158" i="35"/>
  <c r="AA158" i="33"/>
  <c r="Z69" i="35"/>
  <c r="Z69" i="33"/>
  <c r="Z31" i="31"/>
  <c r="Z12" i="31" s="1"/>
  <c r="AB158" i="35"/>
  <c r="AB158" i="33"/>
  <c r="R130" i="33"/>
  <c r="R130" i="35"/>
  <c r="AC145" i="35"/>
  <c r="AC145" i="33"/>
  <c r="AD74" i="35"/>
  <c r="AD36" i="31"/>
  <c r="AD17" i="31" s="1"/>
  <c r="AD74" i="33"/>
  <c r="D71" i="33"/>
  <c r="D33" i="33" s="1"/>
  <c r="D71" i="35"/>
  <c r="D33" i="35" s="1"/>
  <c r="X150" i="35"/>
  <c r="X150" i="33"/>
  <c r="H46" i="35"/>
  <c r="H46" i="33"/>
  <c r="AD122" i="33"/>
  <c r="AD128" i="31"/>
  <c r="AD133" i="31" s="1"/>
  <c r="AD122" i="35"/>
  <c r="AB145" i="35"/>
  <c r="AB145" i="33"/>
  <c r="AC67" i="33"/>
  <c r="AC67" i="35"/>
  <c r="AC29" i="31"/>
  <c r="AC10" i="31" s="1"/>
  <c r="C69" i="33"/>
  <c r="C31" i="33" s="1"/>
  <c r="C31" i="31"/>
  <c r="C12" i="31" s="1"/>
  <c r="C69" i="35"/>
  <c r="C31" i="35" s="1"/>
  <c r="U146" i="35"/>
  <c r="U146" i="33"/>
  <c r="AB50" i="35"/>
  <c r="AB50" i="33"/>
  <c r="V31" i="31"/>
  <c r="V12" i="31" s="1"/>
  <c r="V69" i="35"/>
  <c r="V69" i="33"/>
  <c r="AD152" i="31"/>
  <c r="AD149" i="33"/>
  <c r="AD149" i="35"/>
  <c r="V111" i="33"/>
  <c r="V111" i="35"/>
  <c r="V114" i="31"/>
  <c r="X123" i="33"/>
  <c r="X123" i="35"/>
  <c r="D68" i="35"/>
  <c r="D30" i="35" s="1"/>
  <c r="D68" i="33"/>
  <c r="D30" i="33" s="1"/>
  <c r="D30" i="31"/>
  <c r="D11" i="31" s="1"/>
  <c r="R146" i="35"/>
  <c r="R146" i="33"/>
  <c r="AF74" i="33"/>
  <c r="AF36" i="33" s="1"/>
  <c r="AF17" i="33" s="1"/>
  <c r="AF36" i="31"/>
  <c r="AF17" i="31" s="1"/>
  <c r="AL31" i="31"/>
  <c r="AL12" i="31" s="1"/>
  <c r="Y122" i="35"/>
  <c r="Y122" i="33"/>
  <c r="Y128" i="31"/>
  <c r="AA105" i="33"/>
  <c r="AA105" i="35"/>
  <c r="S68" i="33"/>
  <c r="S30" i="31"/>
  <c r="S11" i="31" s="1"/>
  <c r="S68" i="35"/>
  <c r="E8" i="33" l="1"/>
  <c r="O31" i="35"/>
  <c r="O12" i="35" s="1"/>
  <c r="E11" i="35"/>
  <c r="M36" i="35"/>
  <c r="M17" i="35" s="1"/>
  <c r="D11" i="33"/>
  <c r="N28" i="35"/>
  <c r="N35" i="35"/>
  <c r="N16" i="35" s="1"/>
  <c r="F8" i="33"/>
  <c r="K8" i="35"/>
  <c r="AJ133" i="31"/>
  <c r="AJ133" i="33" s="1"/>
  <c r="AJ128" i="33"/>
  <c r="N27" i="33"/>
  <c r="D11" i="35"/>
  <c r="AJ114" i="31"/>
  <c r="AJ114" i="33" s="1"/>
  <c r="AJ109" i="33"/>
  <c r="K8" i="33"/>
  <c r="AJ153" i="31"/>
  <c r="F8" i="35"/>
  <c r="AJ58" i="31"/>
  <c r="J8" i="33"/>
  <c r="J14" i="35"/>
  <c r="J8" i="35"/>
  <c r="AJ77" i="31"/>
  <c r="I10" i="35"/>
  <c r="AJ8" i="31"/>
  <c r="AJ33" i="31"/>
  <c r="AJ14" i="31" s="1"/>
  <c r="E13" i="33"/>
  <c r="AK38" i="31"/>
  <c r="AK19" i="31" s="1"/>
  <c r="AK8" i="31"/>
  <c r="AK33" i="31"/>
  <c r="AK14" i="31" s="1"/>
  <c r="L13" i="33"/>
  <c r="S32" i="35"/>
  <c r="S13" i="35" s="1"/>
  <c r="E9" i="33"/>
  <c r="E13" i="35"/>
  <c r="J11" i="33"/>
  <c r="F10" i="35"/>
  <c r="P29" i="33"/>
  <c r="P10" i="33" s="1"/>
  <c r="L8" i="35"/>
  <c r="E9" i="35"/>
  <c r="C11" i="33"/>
  <c r="F13" i="33"/>
  <c r="H11" i="33"/>
  <c r="O32" i="33"/>
  <c r="O13" i="33" s="1"/>
  <c r="F12" i="35"/>
  <c r="L8" i="33"/>
  <c r="AI33" i="33"/>
  <c r="AI14" i="33" s="1"/>
  <c r="S36" i="35"/>
  <c r="S17" i="35" s="1"/>
  <c r="AF33" i="33"/>
  <c r="AF14" i="33" s="1"/>
  <c r="O35" i="35"/>
  <c r="O16" i="35" s="1"/>
  <c r="R31" i="33"/>
  <c r="R12" i="33" s="1"/>
  <c r="U28" i="35"/>
  <c r="U9" i="35" s="1"/>
  <c r="AF114" i="31"/>
  <c r="AF114" i="33" s="1"/>
  <c r="Y29" i="33"/>
  <c r="Y10" i="33" s="1"/>
  <c r="AD36" i="35"/>
  <c r="AD17" i="35" s="1"/>
  <c r="AG27" i="33"/>
  <c r="AG8" i="33" s="1"/>
  <c r="O31" i="33"/>
  <c r="O12" i="33" s="1"/>
  <c r="M35" i="35"/>
  <c r="M16" i="35" s="1"/>
  <c r="AD36" i="33"/>
  <c r="AD17" i="33" s="1"/>
  <c r="AG33" i="33"/>
  <c r="AG14" i="33" s="1"/>
  <c r="P28" i="35"/>
  <c r="P9" i="35" s="1"/>
  <c r="P33" i="33"/>
  <c r="P14" i="33" s="1"/>
  <c r="AG35" i="33"/>
  <c r="AG16" i="33" s="1"/>
  <c r="Z31" i="35"/>
  <c r="Z12" i="35" s="1"/>
  <c r="U30" i="33"/>
  <c r="U11" i="33" s="1"/>
  <c r="AE27" i="33"/>
  <c r="AE8" i="33" s="1"/>
  <c r="O30" i="35"/>
  <c r="O11" i="35" s="1"/>
  <c r="V29" i="33"/>
  <c r="V10" i="33" s="1"/>
  <c r="O30" i="33"/>
  <c r="O11" i="33" s="1"/>
  <c r="N27" i="35"/>
  <c r="M32" i="35"/>
  <c r="M13" i="35" s="1"/>
  <c r="Q28" i="35"/>
  <c r="Q9" i="35" s="1"/>
  <c r="I11" i="35"/>
  <c r="K11" i="35"/>
  <c r="V27" i="35"/>
  <c r="V8" i="35" s="1"/>
  <c r="H12" i="33"/>
  <c r="K11" i="33"/>
  <c r="M35" i="33"/>
  <c r="M16" i="33" s="1"/>
  <c r="E10" i="33"/>
  <c r="L14" i="33"/>
  <c r="N30" i="33"/>
  <c r="N11" i="33" s="1"/>
  <c r="AC29" i="33"/>
  <c r="AC10" i="33" s="1"/>
  <c r="I16" i="35"/>
  <c r="D9" i="33"/>
  <c r="AB27" i="35"/>
  <c r="AB8" i="35" s="1"/>
  <c r="I11" i="33"/>
  <c r="I12" i="35"/>
  <c r="D8" i="35"/>
  <c r="P31" i="35"/>
  <c r="P12" i="35" s="1"/>
  <c r="M30" i="35"/>
  <c r="M11" i="35" s="1"/>
  <c r="O35" i="33"/>
  <c r="O16" i="33" s="1"/>
  <c r="AC28" i="35"/>
  <c r="AC9" i="35" s="1"/>
  <c r="P31" i="33"/>
  <c r="P12" i="33" s="1"/>
  <c r="AC36" i="33"/>
  <c r="AC17" i="33" s="1"/>
  <c r="E14" i="33"/>
  <c r="D8" i="33"/>
  <c r="I12" i="33"/>
  <c r="D14" i="35"/>
  <c r="S32" i="33"/>
  <c r="S13" i="33" s="1"/>
  <c r="M27" i="33"/>
  <c r="M8" i="33" s="1"/>
  <c r="G13" i="33"/>
  <c r="D14" i="33"/>
  <c r="AA28" i="35"/>
  <c r="AA9" i="35" s="1"/>
  <c r="Z27" i="33"/>
  <c r="Z8" i="33" s="1"/>
  <c r="H9" i="33"/>
  <c r="S30" i="35"/>
  <c r="S11" i="35" s="1"/>
  <c r="R29" i="33"/>
  <c r="R10" i="33" s="1"/>
  <c r="J12" i="35"/>
  <c r="C12" i="33"/>
  <c r="D13" i="35"/>
  <c r="F12" i="33"/>
  <c r="E10" i="35"/>
  <c r="AF27" i="33"/>
  <c r="AF8" i="33" s="1"/>
  <c r="AC29" i="35"/>
  <c r="AC10" i="35" s="1"/>
  <c r="I16" i="33"/>
  <c r="E8" i="35"/>
  <c r="N9" i="35"/>
  <c r="D13" i="33"/>
  <c r="D12" i="33"/>
  <c r="M29" i="35"/>
  <c r="M10" i="35" s="1"/>
  <c r="C10" i="35"/>
  <c r="D12" i="35"/>
  <c r="M29" i="33"/>
  <c r="M10" i="33" s="1"/>
  <c r="D9" i="35"/>
  <c r="S36" i="33"/>
  <c r="S17" i="33" s="1"/>
  <c r="Z28" i="33"/>
  <c r="Z9" i="33" s="1"/>
  <c r="C13" i="35"/>
  <c r="Q27" i="33"/>
  <c r="AB36" i="33"/>
  <c r="AB17" i="33" s="1"/>
  <c r="K10" i="35"/>
  <c r="H8" i="33"/>
  <c r="J16" i="35"/>
  <c r="T32" i="35"/>
  <c r="T13" i="35" s="1"/>
  <c r="R31" i="35"/>
  <c r="R12" i="35" s="1"/>
  <c r="H8" i="35"/>
  <c r="AC28" i="33"/>
  <c r="AC9" i="33" s="1"/>
  <c r="S35" i="33"/>
  <c r="S16" i="33" s="1"/>
  <c r="X31" i="33"/>
  <c r="X12" i="33" s="1"/>
  <c r="P36" i="33"/>
  <c r="P17" i="33" s="1"/>
  <c r="H12" i="35"/>
  <c r="T36" i="33"/>
  <c r="T17" i="33" s="1"/>
  <c r="R30" i="33"/>
  <c r="R11" i="33" s="1"/>
  <c r="H9" i="35"/>
  <c r="H10" i="35"/>
  <c r="AF133" i="31"/>
  <c r="AF133" i="33" s="1"/>
  <c r="AH33" i="33"/>
  <c r="AH14" i="33" s="1"/>
  <c r="E14" i="35"/>
  <c r="AC30" i="33"/>
  <c r="AC11" i="33" s="1"/>
  <c r="J9" i="33"/>
  <c r="V27" i="33"/>
  <c r="V8" i="33" s="1"/>
  <c r="R28" i="33"/>
  <c r="R9" i="33" s="1"/>
  <c r="H14" i="33"/>
  <c r="C11" i="35"/>
  <c r="G12" i="33"/>
  <c r="J10" i="33"/>
  <c r="K13" i="33"/>
  <c r="N35" i="33"/>
  <c r="N16" i="33" s="1"/>
  <c r="P28" i="33"/>
  <c r="P9" i="33" s="1"/>
  <c r="I8" i="33"/>
  <c r="W32" i="33"/>
  <c r="W13" i="33" s="1"/>
  <c r="AB31" i="33"/>
  <c r="AB12" i="33" s="1"/>
  <c r="L9" i="35"/>
  <c r="J10" i="35"/>
  <c r="F16" i="35"/>
  <c r="Z32" i="35"/>
  <c r="Z13" i="35" s="1"/>
  <c r="H16" i="35"/>
  <c r="F16" i="33"/>
  <c r="K9" i="35"/>
  <c r="Y36" i="33"/>
  <c r="Y17" i="33" s="1"/>
  <c r="Z31" i="33"/>
  <c r="Z12" i="33" s="1"/>
  <c r="C14" i="33"/>
  <c r="V29" i="35"/>
  <c r="V10" i="35" s="1"/>
  <c r="AE33" i="33"/>
  <c r="AE14" i="33" s="1"/>
  <c r="U36" i="33"/>
  <c r="U17" i="33" s="1"/>
  <c r="L14" i="35"/>
  <c r="Y36" i="35"/>
  <c r="Y17" i="35" s="1"/>
  <c r="W27" i="33"/>
  <c r="W8" i="33" s="1"/>
  <c r="AL153" i="31"/>
  <c r="N32" i="33"/>
  <c r="N13" i="33" s="1"/>
  <c r="Y32" i="33"/>
  <c r="Y13" i="33" s="1"/>
  <c r="O28" i="33"/>
  <c r="O9" i="33" s="1"/>
  <c r="AB27" i="33"/>
  <c r="AB8" i="33" s="1"/>
  <c r="J14" i="33"/>
  <c r="N32" i="35"/>
  <c r="N13" i="35" s="1"/>
  <c r="G8" i="33"/>
  <c r="X27" i="33"/>
  <c r="X8" i="33" s="1"/>
  <c r="M33" i="35"/>
  <c r="M14" i="35" s="1"/>
  <c r="O28" i="35"/>
  <c r="O9" i="35" s="1"/>
  <c r="N30" i="35"/>
  <c r="N11" i="35" s="1"/>
  <c r="R35" i="33"/>
  <c r="R16" i="33" s="1"/>
  <c r="K16" i="35"/>
  <c r="AB30" i="33"/>
  <c r="AB11" i="33" s="1"/>
  <c r="C10" i="33"/>
  <c r="AG114" i="31"/>
  <c r="D16" i="33"/>
  <c r="M33" i="33"/>
  <c r="M14" i="33" s="1"/>
  <c r="C16" i="33"/>
  <c r="K16" i="33"/>
  <c r="AB133" i="35"/>
  <c r="AB133" i="33"/>
  <c r="AB134" i="31"/>
  <c r="U114" i="35"/>
  <c r="U114" i="33"/>
  <c r="S133" i="33"/>
  <c r="S133" i="35"/>
  <c r="S29" i="33"/>
  <c r="S10" i="33" s="1"/>
  <c r="AC30" i="35"/>
  <c r="AC11" i="35" s="1"/>
  <c r="M8" i="31"/>
  <c r="M33" i="31"/>
  <c r="M14" i="31" s="1"/>
  <c r="AD152" i="33"/>
  <c r="AD152" i="35"/>
  <c r="AD153" i="31"/>
  <c r="G11" i="33"/>
  <c r="T28" i="35"/>
  <c r="T9" i="35" s="1"/>
  <c r="U30" i="35"/>
  <c r="U11" i="35" s="1"/>
  <c r="AG8" i="31"/>
  <c r="AG33" i="31"/>
  <c r="AG14" i="31" s="1"/>
  <c r="L12" i="33"/>
  <c r="E12" i="35"/>
  <c r="R32" i="35"/>
  <c r="R13" i="35" s="1"/>
  <c r="I8" i="35"/>
  <c r="AB109" i="35"/>
  <c r="AB109" i="33"/>
  <c r="W30" i="33"/>
  <c r="W11" i="33" s="1"/>
  <c r="C33" i="31"/>
  <c r="C14" i="31" s="1"/>
  <c r="C8" i="31"/>
  <c r="AD57" i="33"/>
  <c r="AD57" i="35"/>
  <c r="AD58" i="31"/>
  <c r="V35" i="35"/>
  <c r="V16" i="35" s="1"/>
  <c r="Q133" i="31"/>
  <c r="R134" i="31" s="1"/>
  <c r="Q128" i="35"/>
  <c r="Q33" i="35" s="1"/>
  <c r="Q14" i="35" s="1"/>
  <c r="Q128" i="33"/>
  <c r="Q33" i="33" s="1"/>
  <c r="Q14" i="33" s="1"/>
  <c r="G13" i="35"/>
  <c r="AA35" i="33"/>
  <c r="AA16" i="33" s="1"/>
  <c r="Q31" i="35"/>
  <c r="Q12" i="35" s="1"/>
  <c r="O29" i="33"/>
  <c r="O10" i="33" s="1"/>
  <c r="AD31" i="33"/>
  <c r="AD12" i="33" s="1"/>
  <c r="P27" i="35"/>
  <c r="P8" i="35" s="1"/>
  <c r="W29" i="33"/>
  <c r="W10" i="33" s="1"/>
  <c r="V114" i="35"/>
  <c r="V115" i="31"/>
  <c r="V114" i="33"/>
  <c r="V31" i="33"/>
  <c r="V12" i="33" s="1"/>
  <c r="G11" i="35"/>
  <c r="V57" i="35"/>
  <c r="V57" i="33"/>
  <c r="V58" i="31"/>
  <c r="AC32" i="33"/>
  <c r="AC13" i="33" s="1"/>
  <c r="W57" i="35"/>
  <c r="W57" i="33"/>
  <c r="AD28" i="35"/>
  <c r="AD9" i="35" s="1"/>
  <c r="E12" i="33"/>
  <c r="AH114" i="31"/>
  <c r="U152" i="35"/>
  <c r="U152" i="33"/>
  <c r="I8" i="31"/>
  <c r="I33" i="31"/>
  <c r="I14" i="31" s="1"/>
  <c r="J12" i="33"/>
  <c r="Q36" i="33"/>
  <c r="Q17" i="33" s="1"/>
  <c r="T152" i="35"/>
  <c r="T153" i="31"/>
  <c r="T152" i="33"/>
  <c r="W36" i="33"/>
  <c r="W17" i="33" s="1"/>
  <c r="X128" i="35"/>
  <c r="X128" i="33"/>
  <c r="Z109" i="35"/>
  <c r="Z109" i="33"/>
  <c r="AD31" i="35"/>
  <c r="AD12" i="35" s="1"/>
  <c r="Y31" i="33"/>
  <c r="Y12" i="33" s="1"/>
  <c r="AC128" i="35"/>
  <c r="AC128" i="33"/>
  <c r="X8" i="31"/>
  <c r="X33" i="31"/>
  <c r="X14" i="31" s="1"/>
  <c r="AG76" i="33"/>
  <c r="Q76" i="35"/>
  <c r="Q76" i="33"/>
  <c r="Y128" i="35"/>
  <c r="Y128" i="33"/>
  <c r="V31" i="35"/>
  <c r="V12" i="35" s="1"/>
  <c r="Q30" i="33"/>
  <c r="Q11" i="33" s="1"/>
  <c r="U57" i="35"/>
  <c r="U57" i="33"/>
  <c r="AC32" i="35"/>
  <c r="AC13" i="35" s="1"/>
  <c r="L12" i="35"/>
  <c r="Y133" i="31"/>
  <c r="E57" i="35"/>
  <c r="E57" i="33"/>
  <c r="AB33" i="31"/>
  <c r="AB14" i="31" s="1"/>
  <c r="AB8" i="31"/>
  <c r="G33" i="31"/>
  <c r="G14" i="31" s="1"/>
  <c r="G8" i="31"/>
  <c r="Z30" i="33"/>
  <c r="Z11" i="33" s="1"/>
  <c r="C14" i="35"/>
  <c r="R32" i="33"/>
  <c r="R13" i="33" s="1"/>
  <c r="W30" i="35"/>
  <c r="W11" i="35" s="1"/>
  <c r="Z32" i="33"/>
  <c r="Z13" i="33" s="1"/>
  <c r="H16" i="33"/>
  <c r="N31" i="33"/>
  <c r="N12" i="33" s="1"/>
  <c r="Z114" i="33"/>
  <c r="Z114" i="35"/>
  <c r="S28" i="35"/>
  <c r="S9" i="35" s="1"/>
  <c r="V76" i="35"/>
  <c r="V76" i="33"/>
  <c r="V77" i="31"/>
  <c r="AA57" i="35"/>
  <c r="AA57" i="33"/>
  <c r="Y33" i="31"/>
  <c r="Y14" i="31" s="1"/>
  <c r="Y8" i="31"/>
  <c r="X28" i="33"/>
  <c r="X9" i="33" s="1"/>
  <c r="J13" i="35"/>
  <c r="N29" i="33"/>
  <c r="N10" i="33" s="1"/>
  <c r="Y31" i="35"/>
  <c r="Y12" i="35" s="1"/>
  <c r="Q32" i="33"/>
  <c r="Q13" i="33" s="1"/>
  <c r="L33" i="31"/>
  <c r="L14" i="31" s="1"/>
  <c r="L8" i="31"/>
  <c r="E8" i="31"/>
  <c r="E33" i="31"/>
  <c r="E14" i="31" s="1"/>
  <c r="G57" i="35"/>
  <c r="G57" i="33"/>
  <c r="Q30" i="35"/>
  <c r="Q11" i="35" s="1"/>
  <c r="R152" i="33"/>
  <c r="R153" i="31"/>
  <c r="R152" i="35"/>
  <c r="Q152" i="35"/>
  <c r="Q152" i="33"/>
  <c r="G8" i="35"/>
  <c r="Z30" i="35"/>
  <c r="Z11" i="35" s="1"/>
  <c r="X27" i="35"/>
  <c r="X8" i="35" s="1"/>
  <c r="P33" i="35"/>
  <c r="P14" i="35" s="1"/>
  <c r="H76" i="33"/>
  <c r="H38" i="33" s="1"/>
  <c r="H76" i="35"/>
  <c r="H38" i="35" s="1"/>
  <c r="H38" i="31"/>
  <c r="H77" i="31"/>
  <c r="N31" i="35"/>
  <c r="N12" i="35" s="1"/>
  <c r="S28" i="33"/>
  <c r="S9" i="33" s="1"/>
  <c r="Y57" i="35"/>
  <c r="Y57" i="33"/>
  <c r="K57" i="35"/>
  <c r="K57" i="33"/>
  <c r="V28" i="35"/>
  <c r="V9" i="35" s="1"/>
  <c r="W36" i="35"/>
  <c r="W17" i="35" s="1"/>
  <c r="Y27" i="33"/>
  <c r="Y8" i="33" s="1"/>
  <c r="J13" i="33"/>
  <c r="N29" i="35"/>
  <c r="N10" i="35" s="1"/>
  <c r="Q32" i="35"/>
  <c r="Q13" i="35" s="1"/>
  <c r="T109" i="35"/>
  <c r="T109" i="33"/>
  <c r="X32" i="33"/>
  <c r="X13" i="33" s="1"/>
  <c r="L9" i="33"/>
  <c r="Z76" i="33"/>
  <c r="Z76" i="35"/>
  <c r="Z77" i="31"/>
  <c r="Z38" i="31"/>
  <c r="Y27" i="35"/>
  <c r="Y8" i="35" s="1"/>
  <c r="X28" i="35"/>
  <c r="X9" i="35" s="1"/>
  <c r="O36" i="33"/>
  <c r="O17" i="33" s="1"/>
  <c r="I57" i="35"/>
  <c r="I57" i="33"/>
  <c r="V32" i="33"/>
  <c r="V13" i="33" s="1"/>
  <c r="Z128" i="35"/>
  <c r="Z128" i="33"/>
  <c r="X32" i="35"/>
  <c r="X13" i="35" s="1"/>
  <c r="V28" i="33"/>
  <c r="V9" i="33" s="1"/>
  <c r="Z35" i="35"/>
  <c r="Z16" i="35" s="1"/>
  <c r="R8" i="31"/>
  <c r="R33" i="31"/>
  <c r="R14" i="31" s="1"/>
  <c r="Y152" i="33"/>
  <c r="Y152" i="35"/>
  <c r="V8" i="31"/>
  <c r="V33" i="31"/>
  <c r="V14" i="31" s="1"/>
  <c r="V109" i="33"/>
  <c r="V109" i="35"/>
  <c r="V32" i="35"/>
  <c r="V13" i="35" s="1"/>
  <c r="AA30" i="33"/>
  <c r="AA11" i="33" s="1"/>
  <c r="Q29" i="33"/>
  <c r="Q10" i="33" s="1"/>
  <c r="AA28" i="33"/>
  <c r="AA9" i="33" s="1"/>
  <c r="K10" i="33"/>
  <c r="D33" i="31"/>
  <c r="D14" i="31" s="1"/>
  <c r="D8" i="31"/>
  <c r="L58" i="31"/>
  <c r="L57" i="35"/>
  <c r="L57" i="33"/>
  <c r="R57" i="33"/>
  <c r="R58" i="31"/>
  <c r="R57" i="35"/>
  <c r="Z28" i="35"/>
  <c r="Z9" i="35" s="1"/>
  <c r="O8" i="31"/>
  <c r="O33" i="31"/>
  <c r="O14" i="31" s="1"/>
  <c r="AA30" i="35"/>
  <c r="AA11" i="35" s="1"/>
  <c r="W27" i="35"/>
  <c r="W8" i="35" s="1"/>
  <c r="Q29" i="35"/>
  <c r="Q10" i="35" s="1"/>
  <c r="Y32" i="35"/>
  <c r="Y13" i="35" s="1"/>
  <c r="AD109" i="35"/>
  <c r="AD109" i="33"/>
  <c r="W32" i="35"/>
  <c r="W13" i="35" s="1"/>
  <c r="X30" i="33"/>
  <c r="X11" i="33" s="1"/>
  <c r="K13" i="35"/>
  <c r="Z35" i="33"/>
  <c r="Z16" i="33" s="1"/>
  <c r="R27" i="33"/>
  <c r="R8" i="33" s="1"/>
  <c r="N36" i="35"/>
  <c r="N17" i="35" s="1"/>
  <c r="AC27" i="35"/>
  <c r="AC8" i="35" s="1"/>
  <c r="I10" i="33"/>
  <c r="G12" i="35"/>
  <c r="AC35" i="35"/>
  <c r="AC16" i="35" s="1"/>
  <c r="Y28" i="33"/>
  <c r="Y9" i="33" s="1"/>
  <c r="R28" i="35"/>
  <c r="R9" i="35" s="1"/>
  <c r="D10" i="33"/>
  <c r="T57" i="35"/>
  <c r="T57" i="33"/>
  <c r="O36" i="35"/>
  <c r="O17" i="35" s="1"/>
  <c r="O27" i="33"/>
  <c r="O8" i="33" s="1"/>
  <c r="J76" i="33"/>
  <c r="J38" i="33" s="1"/>
  <c r="J76" i="35"/>
  <c r="J38" i="35" s="1"/>
  <c r="J77" i="31"/>
  <c r="J38" i="31"/>
  <c r="AB31" i="35"/>
  <c r="AB12" i="35" s="1"/>
  <c r="R77" i="31"/>
  <c r="R76" i="35"/>
  <c r="R76" i="33"/>
  <c r="O32" i="35"/>
  <c r="O13" i="35" s="1"/>
  <c r="U27" i="35"/>
  <c r="U8" i="35" s="1"/>
  <c r="R27" i="35"/>
  <c r="R8" i="35" s="1"/>
  <c r="N36" i="33"/>
  <c r="N17" i="33" s="1"/>
  <c r="W28" i="33"/>
  <c r="W9" i="33" s="1"/>
  <c r="AC8" i="31"/>
  <c r="AC33" i="31"/>
  <c r="AC14" i="31" s="1"/>
  <c r="AE133" i="31"/>
  <c r="AE133" i="33" s="1"/>
  <c r="D10" i="35"/>
  <c r="T36" i="35"/>
  <c r="T17" i="35" s="1"/>
  <c r="AL58" i="31"/>
  <c r="N33" i="35"/>
  <c r="N14" i="35" s="1"/>
  <c r="AE8" i="31"/>
  <c r="AE33" i="31"/>
  <c r="AE14" i="31" s="1"/>
  <c r="AB36" i="35"/>
  <c r="AB17" i="35" s="1"/>
  <c r="W109" i="35"/>
  <c r="W109" i="33"/>
  <c r="W8" i="31"/>
  <c r="W33" i="31"/>
  <c r="W14" i="31" s="1"/>
  <c r="V36" i="33"/>
  <c r="V17" i="33" s="1"/>
  <c r="D76" i="35"/>
  <c r="D38" i="35" s="1"/>
  <c r="D76" i="33"/>
  <c r="D38" i="33" s="1"/>
  <c r="D77" i="31"/>
  <c r="D38" i="31"/>
  <c r="AA29" i="33"/>
  <c r="AA10" i="33" s="1"/>
  <c r="U35" i="35"/>
  <c r="U16" i="35" s="1"/>
  <c r="C12" i="35"/>
  <c r="X36" i="35"/>
  <c r="X17" i="35" s="1"/>
  <c r="T114" i="31"/>
  <c r="AL77" i="31"/>
  <c r="AL38" i="31"/>
  <c r="AC36" i="35"/>
  <c r="AC17" i="35" s="1"/>
  <c r="Z27" i="35"/>
  <c r="Z8" i="35" s="1"/>
  <c r="P57" i="33"/>
  <c r="P57" i="35"/>
  <c r="P58" i="31"/>
  <c r="H33" i="31"/>
  <c r="H14" i="31" s="1"/>
  <c r="H8" i="31"/>
  <c r="U31" i="33"/>
  <c r="U12" i="33" s="1"/>
  <c r="O27" i="35"/>
  <c r="O8" i="35" s="1"/>
  <c r="J16" i="33"/>
  <c r="M30" i="33"/>
  <c r="M11" i="33" s="1"/>
  <c r="AC31" i="33"/>
  <c r="AC12" i="33" s="1"/>
  <c r="AA29" i="35"/>
  <c r="AA10" i="35" s="1"/>
  <c r="M28" i="33"/>
  <c r="M9" i="33" s="1"/>
  <c r="X30" i="35"/>
  <c r="X11" i="35" s="1"/>
  <c r="R35" i="35"/>
  <c r="R16" i="35" s="1"/>
  <c r="W31" i="33"/>
  <c r="W12" i="33" s="1"/>
  <c r="U27" i="33"/>
  <c r="U8" i="33" s="1"/>
  <c r="O33" i="35"/>
  <c r="O14" i="35" s="1"/>
  <c r="K14" i="35"/>
  <c r="AC27" i="33"/>
  <c r="AC8" i="33" s="1"/>
  <c r="AC76" i="35"/>
  <c r="AC76" i="33"/>
  <c r="Y28" i="35"/>
  <c r="Y9" i="35" s="1"/>
  <c r="AG133" i="31"/>
  <c r="AE35" i="33"/>
  <c r="AE16" i="33" s="1"/>
  <c r="N33" i="33"/>
  <c r="N14" i="33" s="1"/>
  <c r="Z33" i="31"/>
  <c r="Z14" i="31" s="1"/>
  <c r="Z8" i="31"/>
  <c r="X133" i="33"/>
  <c r="X133" i="35"/>
  <c r="U31" i="35"/>
  <c r="U12" i="35" s="1"/>
  <c r="Q28" i="33"/>
  <c r="Q9" i="33" s="1"/>
  <c r="Z152" i="33"/>
  <c r="Z153" i="31"/>
  <c r="Z152" i="35"/>
  <c r="V36" i="35"/>
  <c r="V17" i="35" s="1"/>
  <c r="N57" i="33"/>
  <c r="N58" i="31"/>
  <c r="N57" i="35"/>
  <c r="AC31" i="35"/>
  <c r="AC12" i="35" s="1"/>
  <c r="D16" i="35"/>
  <c r="AI133" i="31"/>
  <c r="AI133" i="33" s="1"/>
  <c r="U36" i="35"/>
  <c r="U17" i="35" s="1"/>
  <c r="U35" i="33"/>
  <c r="U16" i="33" s="1"/>
  <c r="M28" i="35"/>
  <c r="M9" i="35" s="1"/>
  <c r="Y35" i="33"/>
  <c r="Y16" i="33" s="1"/>
  <c r="W31" i="35"/>
  <c r="W12" i="35" s="1"/>
  <c r="U8" i="31"/>
  <c r="U33" i="31"/>
  <c r="U14" i="31" s="1"/>
  <c r="O33" i="33"/>
  <c r="O14" i="33" s="1"/>
  <c r="W28" i="35"/>
  <c r="W9" i="35" s="1"/>
  <c r="K14" i="33"/>
  <c r="AH8" i="31"/>
  <c r="AH33" i="31"/>
  <c r="AH14" i="31" s="1"/>
  <c r="AC35" i="33"/>
  <c r="AC16" i="33" s="1"/>
  <c r="V30" i="33"/>
  <c r="V11" i="33" s="1"/>
  <c r="AE76" i="33"/>
  <c r="AC152" i="33"/>
  <c r="AC152" i="35"/>
  <c r="AD30" i="33"/>
  <c r="AD11" i="33" s="1"/>
  <c r="P30" i="33"/>
  <c r="P11" i="33" s="1"/>
  <c r="AF152" i="33"/>
  <c r="AF153" i="33" s="1"/>
  <c r="AF153" i="31"/>
  <c r="T31" i="33"/>
  <c r="T12" i="33" s="1"/>
  <c r="N153" i="31"/>
  <c r="N152" i="35"/>
  <c r="N152" i="33"/>
  <c r="W114" i="31"/>
  <c r="O152" i="35"/>
  <c r="O152" i="33"/>
  <c r="M57" i="35"/>
  <c r="M57" i="33"/>
  <c r="AH27" i="33"/>
  <c r="AH8" i="33" s="1"/>
  <c r="V30" i="35"/>
  <c r="V11" i="35" s="1"/>
  <c r="F14" i="35"/>
  <c r="P30" i="35"/>
  <c r="P11" i="35" s="1"/>
  <c r="L10" i="35"/>
  <c r="T31" i="35"/>
  <c r="T12" i="35" s="1"/>
  <c r="AA128" i="33"/>
  <c r="AA128" i="35"/>
  <c r="AB57" i="35"/>
  <c r="AB57" i="33"/>
  <c r="AB58" i="31"/>
  <c r="AD133" i="33"/>
  <c r="AD134" i="31"/>
  <c r="AD133" i="35"/>
  <c r="D57" i="35"/>
  <c r="D57" i="33"/>
  <c r="D58" i="31"/>
  <c r="H13" i="33"/>
  <c r="R30" i="35"/>
  <c r="R11" i="35" s="1"/>
  <c r="AB28" i="35"/>
  <c r="AB9" i="35" s="1"/>
  <c r="AD35" i="35"/>
  <c r="AD16" i="35" s="1"/>
  <c r="H57" i="33"/>
  <c r="H58" i="31"/>
  <c r="H57" i="35"/>
  <c r="H10" i="33"/>
  <c r="L76" i="35"/>
  <c r="L38" i="35" s="1"/>
  <c r="L76" i="33"/>
  <c r="L38" i="33" s="1"/>
  <c r="L38" i="31"/>
  <c r="L77" i="31"/>
  <c r="K76" i="35"/>
  <c r="K76" i="33"/>
  <c r="K38" i="31"/>
  <c r="K19" i="31" s="1"/>
  <c r="Y35" i="35"/>
  <c r="Y16" i="35" s="1"/>
  <c r="W35" i="33"/>
  <c r="W16" i="33" s="1"/>
  <c r="AC133" i="33"/>
  <c r="AC133" i="35"/>
  <c r="AA32" i="33"/>
  <c r="AA13" i="33" s="1"/>
  <c r="F14" i="33"/>
  <c r="AD30" i="35"/>
  <c r="AD11" i="35" s="1"/>
  <c r="K9" i="33"/>
  <c r="L10" i="33"/>
  <c r="S114" i="31"/>
  <c r="S38" i="31" s="1"/>
  <c r="S19" i="31" s="1"/>
  <c r="S109" i="35"/>
  <c r="S109" i="33"/>
  <c r="AH153" i="31"/>
  <c r="AH152" i="33"/>
  <c r="AH153" i="33" s="1"/>
  <c r="U76" i="35"/>
  <c r="U76" i="33"/>
  <c r="AI8" i="31"/>
  <c r="AI33" i="31"/>
  <c r="AI14" i="31" s="1"/>
  <c r="AF8" i="31"/>
  <c r="AF33" i="31"/>
  <c r="AF14" i="31" s="1"/>
  <c r="AI27" i="33"/>
  <c r="AI8" i="33" s="1"/>
  <c r="N28" i="33"/>
  <c r="N9" i="33" s="1"/>
  <c r="H13" i="35"/>
  <c r="AB28" i="33"/>
  <c r="AB9" i="33" s="1"/>
  <c r="M76" i="33"/>
  <c r="M76" i="35"/>
  <c r="M38" i="31"/>
  <c r="M19" i="31" s="1"/>
  <c r="H11" i="35"/>
  <c r="X57" i="35"/>
  <c r="X57" i="33"/>
  <c r="X58" i="31"/>
  <c r="AD35" i="33"/>
  <c r="AD16" i="33" s="1"/>
  <c r="S152" i="33"/>
  <c r="S152" i="35"/>
  <c r="AA152" i="33"/>
  <c r="AA152" i="35"/>
  <c r="Z133" i="35"/>
  <c r="Z133" i="33"/>
  <c r="Q35" i="33"/>
  <c r="Q16" i="33" s="1"/>
  <c r="O76" i="33"/>
  <c r="O76" i="35"/>
  <c r="O38" i="31"/>
  <c r="O19" i="31" s="1"/>
  <c r="M152" i="35"/>
  <c r="M152" i="33"/>
  <c r="C13" i="33"/>
  <c r="AD8" i="31"/>
  <c r="AD33" i="31"/>
  <c r="AD14" i="31" s="1"/>
  <c r="J8" i="31"/>
  <c r="J33" i="31"/>
  <c r="J14" i="31" s="1"/>
  <c r="L16" i="33"/>
  <c r="Y76" i="35"/>
  <c r="Y76" i="33"/>
  <c r="J11" i="35"/>
  <c r="AB30" i="35"/>
  <c r="AB11" i="35" s="1"/>
  <c r="W35" i="35"/>
  <c r="W16" i="35" s="1"/>
  <c r="Q57" i="35"/>
  <c r="Q57" i="33"/>
  <c r="C76" i="35"/>
  <c r="C76" i="33"/>
  <c r="C38" i="31"/>
  <c r="C19" i="31" s="1"/>
  <c r="AA32" i="35"/>
  <c r="AA13" i="35" s="1"/>
  <c r="AA31" i="33"/>
  <c r="AA12" i="33" s="1"/>
  <c r="X152" i="33"/>
  <c r="X153" i="31"/>
  <c r="X152" i="35"/>
  <c r="O57" i="35"/>
  <c r="O57" i="33"/>
  <c r="Z57" i="33"/>
  <c r="Z57" i="35"/>
  <c r="Z58" i="31"/>
  <c r="X36" i="33"/>
  <c r="X17" i="33" s="1"/>
  <c r="J57" i="33"/>
  <c r="J58" i="31"/>
  <c r="J57" i="35"/>
  <c r="L16" i="35"/>
  <c r="AA31" i="35"/>
  <c r="AA12" i="35" s="1"/>
  <c r="F11" i="35"/>
  <c r="AH133" i="31"/>
  <c r="U32" i="33"/>
  <c r="U13" i="33" s="1"/>
  <c r="X76" i="35"/>
  <c r="X76" i="33"/>
  <c r="X77" i="31"/>
  <c r="AB32" i="35"/>
  <c r="AB13" i="35" s="1"/>
  <c r="M31" i="33"/>
  <c r="M12" i="33" s="1"/>
  <c r="I76" i="35"/>
  <c r="I76" i="33"/>
  <c r="I38" i="31"/>
  <c r="I19" i="31" s="1"/>
  <c r="W29" i="35"/>
  <c r="W10" i="35" s="1"/>
  <c r="S27" i="33"/>
  <c r="S8" i="33" s="1"/>
  <c r="AE114" i="31"/>
  <c r="AE114" i="33" s="1"/>
  <c r="AB128" i="33"/>
  <c r="AB128" i="35"/>
  <c r="V152" i="35"/>
  <c r="V152" i="33"/>
  <c r="V153" i="31"/>
  <c r="S29" i="35"/>
  <c r="S10" i="35" s="1"/>
  <c r="AD114" i="33"/>
  <c r="AD114" i="35"/>
  <c r="P32" i="35"/>
  <c r="P13" i="35" s="1"/>
  <c r="Q35" i="35"/>
  <c r="Q16" i="35" s="1"/>
  <c r="T32" i="33"/>
  <c r="T13" i="33" s="1"/>
  <c r="I14" i="33"/>
  <c r="AD27" i="35"/>
  <c r="AD8" i="35" s="1"/>
  <c r="I9" i="33"/>
  <c r="M31" i="35"/>
  <c r="M12" i="35" s="1"/>
  <c r="W76" i="33"/>
  <c r="W76" i="35"/>
  <c r="T29" i="35"/>
  <c r="T10" i="35" s="1"/>
  <c r="C57" i="35"/>
  <c r="C57" i="33"/>
  <c r="F11" i="33"/>
  <c r="N33" i="31"/>
  <c r="N14" i="31" s="1"/>
  <c r="N8" i="31"/>
  <c r="F76" i="35"/>
  <c r="F38" i="35" s="1"/>
  <c r="F76" i="33"/>
  <c r="F38" i="33" s="1"/>
  <c r="F77" i="31"/>
  <c r="F38" i="31"/>
  <c r="AD29" i="33"/>
  <c r="AD10" i="33" s="1"/>
  <c r="M36" i="33"/>
  <c r="M17" i="33" s="1"/>
  <c r="AH76" i="33"/>
  <c r="AH77" i="31"/>
  <c r="AF57" i="33"/>
  <c r="AF58" i="33" s="1"/>
  <c r="AF58" i="31"/>
  <c r="AA8" i="31"/>
  <c r="AA33" i="31"/>
  <c r="AA14" i="31" s="1"/>
  <c r="G14" i="35"/>
  <c r="I14" i="35"/>
  <c r="P76" i="35"/>
  <c r="P38" i="35" s="1"/>
  <c r="P76" i="33"/>
  <c r="P77" i="31"/>
  <c r="P38" i="31"/>
  <c r="L13" i="35"/>
  <c r="T29" i="33"/>
  <c r="T10" i="33" s="1"/>
  <c r="AI114" i="31"/>
  <c r="AI114" i="33" s="1"/>
  <c r="C16" i="35"/>
  <c r="AC109" i="33"/>
  <c r="AC109" i="35"/>
  <c r="AC114" i="31"/>
  <c r="AD115" i="31" s="1"/>
  <c r="N8" i="33"/>
  <c r="U32" i="35"/>
  <c r="U13" i="35" s="1"/>
  <c r="G38" i="31"/>
  <c r="G19" i="31" s="1"/>
  <c r="G76" i="35"/>
  <c r="G76" i="33"/>
  <c r="X35" i="33"/>
  <c r="X16" i="33" s="1"/>
  <c r="AB32" i="33"/>
  <c r="AB13" i="33" s="1"/>
  <c r="AH58" i="31"/>
  <c r="AH57" i="33"/>
  <c r="AH58" i="33" s="1"/>
  <c r="W152" i="35"/>
  <c r="W152" i="33"/>
  <c r="N76" i="33"/>
  <c r="N38" i="31"/>
  <c r="N77" i="31"/>
  <c r="N76" i="35"/>
  <c r="N38" i="35" s="1"/>
  <c r="S57" i="35"/>
  <c r="S57" i="33"/>
  <c r="S8" i="31"/>
  <c r="S33" i="31"/>
  <c r="S14" i="31" s="1"/>
  <c r="AL8" i="31"/>
  <c r="AL33" i="31"/>
  <c r="AL14" i="31" s="1"/>
  <c r="F13" i="35"/>
  <c r="Y29" i="35"/>
  <c r="Y10" i="35" s="1"/>
  <c r="P32" i="33"/>
  <c r="P13" i="33" s="1"/>
  <c r="J9" i="35"/>
  <c r="T30" i="35"/>
  <c r="T11" i="35" s="1"/>
  <c r="AB152" i="33"/>
  <c r="AB152" i="35"/>
  <c r="AB153" i="31"/>
  <c r="M27" i="35"/>
  <c r="M8" i="35" s="1"/>
  <c r="AH35" i="33"/>
  <c r="AH16" i="33" s="1"/>
  <c r="P29" i="35"/>
  <c r="P10" i="35" s="1"/>
  <c r="AA27" i="33"/>
  <c r="AA8" i="33" s="1"/>
  <c r="Z29" i="33"/>
  <c r="Z10" i="33" s="1"/>
  <c r="G14" i="33"/>
  <c r="G9" i="35"/>
  <c r="I9" i="35"/>
  <c r="P35" i="35"/>
  <c r="P16" i="35" s="1"/>
  <c r="AB29" i="33"/>
  <c r="AB10" i="33" s="1"/>
  <c r="AB76" i="33"/>
  <c r="AB77" i="31"/>
  <c r="AB76" i="35"/>
  <c r="AB38" i="31"/>
  <c r="S31" i="35"/>
  <c r="S12" i="35" s="1"/>
  <c r="T133" i="31"/>
  <c r="T128" i="33"/>
  <c r="T128" i="35"/>
  <c r="U128" i="35"/>
  <c r="U128" i="33"/>
  <c r="N8" i="35"/>
  <c r="U133" i="31"/>
  <c r="U38" i="31" s="1"/>
  <c r="U19" i="31" s="1"/>
  <c r="AD29" i="35"/>
  <c r="AD10" i="35" s="1"/>
  <c r="G16" i="35"/>
  <c r="F9" i="35"/>
  <c r="X35" i="35"/>
  <c r="X16" i="35" s="1"/>
  <c r="AA114" i="31"/>
  <c r="AB115" i="31" s="1"/>
  <c r="AA109" i="35"/>
  <c r="AA109" i="33"/>
  <c r="AD27" i="33"/>
  <c r="AD8" i="33" s="1"/>
  <c r="R29" i="35"/>
  <c r="R10" i="35" s="1"/>
  <c r="AC57" i="33"/>
  <c r="AC57" i="35"/>
  <c r="F57" i="35"/>
  <c r="F58" i="31"/>
  <c r="F57" i="33"/>
  <c r="E16" i="33"/>
  <c r="Z29" i="35"/>
  <c r="Z10" i="35" s="1"/>
  <c r="G9" i="33"/>
  <c r="AB29" i="35"/>
  <c r="AB10" i="35" s="1"/>
  <c r="AB35" i="33"/>
  <c r="AB16" i="33" s="1"/>
  <c r="Q8" i="33"/>
  <c r="T76" i="35"/>
  <c r="T76" i="33"/>
  <c r="T77" i="31"/>
  <c r="T27" i="33"/>
  <c r="T8" i="33" s="1"/>
  <c r="G16" i="33"/>
  <c r="F9" i="33"/>
  <c r="R36" i="33"/>
  <c r="R17" i="33" s="1"/>
  <c r="AD32" i="35"/>
  <c r="AD13" i="35" s="1"/>
  <c r="Y30" i="33"/>
  <c r="Y11" i="33" s="1"/>
  <c r="AB114" i="35"/>
  <c r="AB114" i="33"/>
  <c r="T30" i="33"/>
  <c r="T11" i="33" s="1"/>
  <c r="C9" i="33"/>
  <c r="H14" i="35"/>
  <c r="X29" i="33"/>
  <c r="X10" i="33" s="1"/>
  <c r="AF35" i="33"/>
  <c r="AF16" i="33" s="1"/>
  <c r="E76" i="35"/>
  <c r="E38" i="31"/>
  <c r="E19" i="31" s="1"/>
  <c r="E76" i="33"/>
  <c r="Y114" i="31"/>
  <c r="Y109" i="35"/>
  <c r="Y109" i="33"/>
  <c r="S76" i="35"/>
  <c r="S76" i="33"/>
  <c r="C8" i="33"/>
  <c r="X31" i="35"/>
  <c r="X12" i="35" s="1"/>
  <c r="P35" i="33"/>
  <c r="P16" i="33" s="1"/>
  <c r="AA36" i="35"/>
  <c r="AA17" i="35" s="1"/>
  <c r="L11" i="33"/>
  <c r="P36" i="35"/>
  <c r="P17" i="35" s="1"/>
  <c r="AB35" i="35"/>
  <c r="AB16" i="35" s="1"/>
  <c r="S31" i="33"/>
  <c r="S12" i="33" s="1"/>
  <c r="W133" i="31"/>
  <c r="X134" i="31" s="1"/>
  <c r="W128" i="35"/>
  <c r="W128" i="33"/>
  <c r="G10" i="35"/>
  <c r="AA76" i="33"/>
  <c r="AA76" i="35"/>
  <c r="Q8" i="31"/>
  <c r="Q33" i="31"/>
  <c r="Q14" i="31" s="1"/>
  <c r="T35" i="35"/>
  <c r="T16" i="35" s="1"/>
  <c r="T27" i="35"/>
  <c r="T8" i="35" s="1"/>
  <c r="Q31" i="33"/>
  <c r="Q12" i="33" s="1"/>
  <c r="O29" i="35"/>
  <c r="O10" i="35" s="1"/>
  <c r="I13" i="33"/>
  <c r="U29" i="35"/>
  <c r="U10" i="35" s="1"/>
  <c r="P27" i="33"/>
  <c r="P8" i="33" s="1"/>
  <c r="K12" i="33"/>
  <c r="AI76" i="33"/>
  <c r="Z36" i="33"/>
  <c r="Z17" i="33" s="1"/>
  <c r="R38" i="31"/>
  <c r="R133" i="33"/>
  <c r="R133" i="35"/>
  <c r="AD76" i="33"/>
  <c r="AD77" i="31"/>
  <c r="AD76" i="35"/>
  <c r="AD38" i="31"/>
  <c r="S27" i="35"/>
  <c r="S8" i="35" s="1"/>
  <c r="K8" i="31"/>
  <c r="K33" i="31"/>
  <c r="K14" i="31" s="1"/>
  <c r="M32" i="33"/>
  <c r="M13" i="33" s="1"/>
  <c r="AD128" i="33"/>
  <c r="AD128" i="35"/>
  <c r="S128" i="35"/>
  <c r="S128" i="33"/>
  <c r="AD32" i="33"/>
  <c r="AD13" i="33" s="1"/>
  <c r="R128" i="35"/>
  <c r="R33" i="35" s="1"/>
  <c r="R14" i="35" s="1"/>
  <c r="R128" i="33"/>
  <c r="R33" i="33" s="1"/>
  <c r="R14" i="33" s="1"/>
  <c r="AA27" i="35"/>
  <c r="AA8" i="35" s="1"/>
  <c r="F8" i="31"/>
  <c r="F33" i="31"/>
  <c r="F14" i="31" s="1"/>
  <c r="U109" i="35"/>
  <c r="U109" i="33"/>
  <c r="S30" i="33"/>
  <c r="S11" i="33" s="1"/>
  <c r="U28" i="33"/>
  <c r="U9" i="33" s="1"/>
  <c r="F10" i="33"/>
  <c r="T28" i="33"/>
  <c r="T9" i="33" s="1"/>
  <c r="P153" i="31"/>
  <c r="P152" i="33"/>
  <c r="P152" i="35"/>
  <c r="X109" i="33"/>
  <c r="X109" i="35"/>
  <c r="Y30" i="35"/>
  <c r="Y11" i="35" s="1"/>
  <c r="AD28" i="33"/>
  <c r="AD9" i="33" s="1"/>
  <c r="C9" i="35"/>
  <c r="AA133" i="33"/>
  <c r="AA133" i="35"/>
  <c r="X29" i="35"/>
  <c r="X10" i="35" s="1"/>
  <c r="AF76" i="33"/>
  <c r="AF77" i="31"/>
  <c r="E16" i="35"/>
  <c r="S35" i="35"/>
  <c r="S16" i="35" s="1"/>
  <c r="C8" i="35"/>
  <c r="V35" i="33"/>
  <c r="V16" i="33" s="1"/>
  <c r="Q36" i="35"/>
  <c r="Q17" i="35" s="1"/>
  <c r="AA36" i="33"/>
  <c r="AA17" i="33" s="1"/>
  <c r="L11" i="35"/>
  <c r="X114" i="31"/>
  <c r="G10" i="33"/>
  <c r="AA35" i="35"/>
  <c r="AA16" i="35" s="1"/>
  <c r="Q27" i="35"/>
  <c r="Q8" i="35" s="1"/>
  <c r="T35" i="33"/>
  <c r="T16" i="33" s="1"/>
  <c r="V133" i="31"/>
  <c r="V128" i="35"/>
  <c r="V128" i="33"/>
  <c r="T33" i="31"/>
  <c r="T14" i="31" s="1"/>
  <c r="T8" i="31"/>
  <c r="I13" i="35"/>
  <c r="U29" i="33"/>
  <c r="U10" i="33" s="1"/>
  <c r="P33" i="31"/>
  <c r="P14" i="31" s="1"/>
  <c r="P8" i="31"/>
  <c r="K12" i="35"/>
  <c r="AI35" i="33"/>
  <c r="AI16" i="33" s="1"/>
  <c r="Z36" i="35"/>
  <c r="Z17" i="35" s="1"/>
  <c r="R36" i="35"/>
  <c r="R17" i="35" s="1"/>
  <c r="AJ33" i="33" l="1"/>
  <c r="AJ14" i="33" s="1"/>
  <c r="AJ38" i="33"/>
  <c r="AJ19" i="33" s="1"/>
  <c r="AK21" i="31"/>
  <c r="AJ38" i="31"/>
  <c r="AJ19" i="31" s="1"/>
  <c r="AJ21" i="31" s="1"/>
  <c r="AJ134" i="31"/>
  <c r="AJ115" i="31"/>
  <c r="AF38" i="31"/>
  <c r="AF19" i="31" s="1"/>
  <c r="AF21" i="31" s="1"/>
  <c r="AB134" i="33"/>
  <c r="Z77" i="33"/>
  <c r="R58" i="33"/>
  <c r="AD33" i="33"/>
  <c r="AD14" i="33" s="1"/>
  <c r="AD58" i="33"/>
  <c r="Z33" i="33"/>
  <c r="Z14" i="33" s="1"/>
  <c r="AI38" i="33"/>
  <c r="AI19" i="33" s="1"/>
  <c r="AA38" i="31"/>
  <c r="AA19" i="31" s="1"/>
  <c r="AA21" i="31" s="1"/>
  <c r="AH38" i="31"/>
  <c r="AH19" i="31" s="1"/>
  <c r="AH21" i="31" s="1"/>
  <c r="AD153" i="35"/>
  <c r="N58" i="33"/>
  <c r="T58" i="33"/>
  <c r="X33" i="33"/>
  <c r="X14" i="33" s="1"/>
  <c r="U21" i="31"/>
  <c r="W33" i="35"/>
  <c r="W14" i="35" s="1"/>
  <c r="U33" i="35"/>
  <c r="U14" i="35" s="1"/>
  <c r="W33" i="33"/>
  <c r="W14" i="33" s="1"/>
  <c r="AA33" i="35"/>
  <c r="AA14" i="35" s="1"/>
  <c r="AA33" i="33"/>
  <c r="AA14" i="33" s="1"/>
  <c r="Y33" i="35"/>
  <c r="Y14" i="35" s="1"/>
  <c r="N38" i="33"/>
  <c r="N19" i="33" s="1"/>
  <c r="T153" i="33"/>
  <c r="AB33" i="33"/>
  <c r="AB14" i="33" s="1"/>
  <c r="T33" i="35"/>
  <c r="T14" i="35" s="1"/>
  <c r="S21" i="31"/>
  <c r="T33" i="33"/>
  <c r="T14" i="33" s="1"/>
  <c r="AD58" i="35"/>
  <c r="N153" i="33"/>
  <c r="N153" i="35"/>
  <c r="P153" i="35"/>
  <c r="R153" i="33"/>
  <c r="S33" i="35"/>
  <c r="S14" i="35" s="1"/>
  <c r="Z33" i="35"/>
  <c r="Z14" i="35" s="1"/>
  <c r="AD134" i="35"/>
  <c r="AC33" i="35"/>
  <c r="AC14" i="35" s="1"/>
  <c r="AC33" i="33"/>
  <c r="AC14" i="33" s="1"/>
  <c r="S33" i="33"/>
  <c r="S14" i="33" s="1"/>
  <c r="AC38" i="31"/>
  <c r="AC19" i="31" s="1"/>
  <c r="AC21" i="31" s="1"/>
  <c r="T153" i="35"/>
  <c r="D58" i="35"/>
  <c r="L19" i="35"/>
  <c r="AD153" i="33"/>
  <c r="R58" i="35"/>
  <c r="AD38" i="35"/>
  <c r="AD19" i="35" s="1"/>
  <c r="Z77" i="35"/>
  <c r="AF134" i="33"/>
  <c r="V33" i="33"/>
  <c r="V14" i="33" s="1"/>
  <c r="AB38" i="35"/>
  <c r="AB19" i="35" s="1"/>
  <c r="P58" i="35"/>
  <c r="X33" i="35"/>
  <c r="X14" i="35" s="1"/>
  <c r="N58" i="35"/>
  <c r="P153" i="33"/>
  <c r="H19" i="33"/>
  <c r="T77" i="33"/>
  <c r="Z153" i="35"/>
  <c r="Y33" i="33"/>
  <c r="Y14" i="33" s="1"/>
  <c r="AG114" i="33"/>
  <c r="AL115" i="31"/>
  <c r="N19" i="35"/>
  <c r="X58" i="35"/>
  <c r="U33" i="33"/>
  <c r="U14" i="33" s="1"/>
  <c r="R153" i="35"/>
  <c r="P19" i="35"/>
  <c r="AD33" i="35"/>
  <c r="AD14" i="35" s="1"/>
  <c r="R38" i="35"/>
  <c r="R19" i="35" s="1"/>
  <c r="V58" i="33"/>
  <c r="AF115" i="33"/>
  <c r="V33" i="35"/>
  <c r="V14" i="35" s="1"/>
  <c r="Z58" i="33"/>
  <c r="V58" i="35"/>
  <c r="AI38" i="31"/>
  <c r="AI19" i="31" s="1"/>
  <c r="AI21" i="31" s="1"/>
  <c r="AB33" i="35"/>
  <c r="AB14" i="35" s="1"/>
  <c r="Y38" i="31"/>
  <c r="Y19" i="31" s="1"/>
  <c r="Y21" i="31" s="1"/>
  <c r="Y133" i="33"/>
  <c r="Y133" i="35"/>
  <c r="AB77" i="35"/>
  <c r="E38" i="33"/>
  <c r="F77" i="33"/>
  <c r="O38" i="33"/>
  <c r="P77" i="33"/>
  <c r="F19" i="33"/>
  <c r="Y114" i="35"/>
  <c r="Z115" i="35" s="1"/>
  <c r="Y114" i="33"/>
  <c r="Z115" i="33" s="1"/>
  <c r="F19" i="35"/>
  <c r="P77" i="35"/>
  <c r="O38" i="35"/>
  <c r="Z58" i="35"/>
  <c r="AD38" i="33"/>
  <c r="AD19" i="33" s="1"/>
  <c r="N19" i="31"/>
  <c r="N20" i="31" s="1"/>
  <c r="N39" i="31"/>
  <c r="O21" i="31"/>
  <c r="AB77" i="33"/>
  <c r="P39" i="31"/>
  <c r="P19" i="31"/>
  <c r="P20" i="31" s="1"/>
  <c r="AF115" i="31"/>
  <c r="AD134" i="33"/>
  <c r="D19" i="31"/>
  <c r="D20" i="31" s="1"/>
  <c r="D39" i="31"/>
  <c r="Z19" i="31"/>
  <c r="Z21" i="31" s="1"/>
  <c r="H58" i="33"/>
  <c r="Q133" i="35"/>
  <c r="R134" i="35" s="1"/>
  <c r="Q133" i="33"/>
  <c r="R134" i="33" s="1"/>
  <c r="AF38" i="33"/>
  <c r="AF19" i="33" s="1"/>
  <c r="U133" i="35"/>
  <c r="U38" i="35" s="1"/>
  <c r="U133" i="33"/>
  <c r="U38" i="33" s="1"/>
  <c r="D77" i="33"/>
  <c r="C38" i="33"/>
  <c r="F77" i="35"/>
  <c r="E38" i="35"/>
  <c r="X153" i="33"/>
  <c r="AH134" i="31"/>
  <c r="AH133" i="33"/>
  <c r="C38" i="35"/>
  <c r="D77" i="35"/>
  <c r="H58" i="35"/>
  <c r="Z115" i="31"/>
  <c r="T133" i="35"/>
  <c r="T134" i="35" s="1"/>
  <c r="T133" i="33"/>
  <c r="T134" i="33" s="1"/>
  <c r="W38" i="31"/>
  <c r="W19" i="31" s="1"/>
  <c r="W21" i="31" s="1"/>
  <c r="W114" i="35"/>
  <c r="W114" i="33"/>
  <c r="AB134" i="35"/>
  <c r="R38" i="33"/>
  <c r="R19" i="33" s="1"/>
  <c r="X153" i="35"/>
  <c r="P38" i="33"/>
  <c r="P19" i="33" s="1"/>
  <c r="D58" i="33"/>
  <c r="D19" i="33"/>
  <c r="Z38" i="35"/>
  <c r="Z19" i="35" s="1"/>
  <c r="H19" i="31"/>
  <c r="H20" i="31" s="1"/>
  <c r="H39" i="31"/>
  <c r="R19" i="31"/>
  <c r="Z134" i="31"/>
  <c r="D19" i="35"/>
  <c r="Z38" i="33"/>
  <c r="Z19" i="33" s="1"/>
  <c r="H19" i="35"/>
  <c r="W133" i="35"/>
  <c r="X134" i="35" s="1"/>
  <c r="W133" i="33"/>
  <c r="K38" i="33"/>
  <c r="L77" i="33"/>
  <c r="V133" i="35"/>
  <c r="V38" i="35" s="1"/>
  <c r="V19" i="35" s="1"/>
  <c r="V133" i="33"/>
  <c r="V38" i="33" s="1"/>
  <c r="V19" i="33" s="1"/>
  <c r="V134" i="31"/>
  <c r="X77" i="35"/>
  <c r="AB153" i="35"/>
  <c r="K38" i="35"/>
  <c r="L77" i="35"/>
  <c r="Z153" i="33"/>
  <c r="M21" i="31"/>
  <c r="X77" i="33"/>
  <c r="AB153" i="33"/>
  <c r="H77" i="33"/>
  <c r="G38" i="33"/>
  <c r="L19" i="31"/>
  <c r="L20" i="31" s="1"/>
  <c r="L39" i="31"/>
  <c r="AG133" i="33"/>
  <c r="AL134" i="31"/>
  <c r="R77" i="33"/>
  <c r="V38" i="31"/>
  <c r="AB19" i="31"/>
  <c r="G38" i="35"/>
  <c r="H77" i="35"/>
  <c r="V77" i="35"/>
  <c r="L19" i="33"/>
  <c r="Q38" i="31"/>
  <c r="Q19" i="31" s="1"/>
  <c r="Q21" i="31" s="1"/>
  <c r="J19" i="31"/>
  <c r="J20" i="31" s="1"/>
  <c r="J39" i="31"/>
  <c r="R77" i="35"/>
  <c r="AF134" i="31"/>
  <c r="AG38" i="31"/>
  <c r="AG19" i="31" s="1"/>
  <c r="AG21" i="31" s="1"/>
  <c r="AE38" i="31"/>
  <c r="AE19" i="31" s="1"/>
  <c r="AE21" i="31" s="1"/>
  <c r="J19" i="35"/>
  <c r="AH77" i="33"/>
  <c r="V153" i="33"/>
  <c r="T134" i="31"/>
  <c r="X114" i="33"/>
  <c r="X38" i="33" s="1"/>
  <c r="X114" i="35"/>
  <c r="X38" i="35" s="1"/>
  <c r="X19" i="35" s="1"/>
  <c r="X115" i="31"/>
  <c r="AD77" i="33"/>
  <c r="AF77" i="33"/>
  <c r="AE38" i="33"/>
  <c r="AD77" i="35"/>
  <c r="AC114" i="35"/>
  <c r="AD115" i="35" s="1"/>
  <c r="AC114" i="33"/>
  <c r="AD115" i="33" s="1"/>
  <c r="J77" i="33"/>
  <c r="I38" i="33"/>
  <c r="P58" i="33"/>
  <c r="J19" i="33"/>
  <c r="V153" i="35"/>
  <c r="V115" i="33"/>
  <c r="V77" i="33"/>
  <c r="AB38" i="33"/>
  <c r="AB19" i="33" s="1"/>
  <c r="I38" i="35"/>
  <c r="J77" i="35"/>
  <c r="S114" i="35"/>
  <c r="S38" i="35" s="1"/>
  <c r="S114" i="33"/>
  <c r="S38" i="33" s="1"/>
  <c r="AL19" i="31"/>
  <c r="AL21" i="31" s="1"/>
  <c r="AB58" i="33"/>
  <c r="AH114" i="33"/>
  <c r="AH115" i="31"/>
  <c r="V115" i="35"/>
  <c r="F19" i="31"/>
  <c r="F20" i="31" s="1"/>
  <c r="F39" i="31"/>
  <c r="N77" i="35"/>
  <c r="M38" i="35"/>
  <c r="T38" i="31"/>
  <c r="T114" i="33"/>
  <c r="T115" i="31"/>
  <c r="T114" i="35"/>
  <c r="J58" i="33"/>
  <c r="L58" i="33"/>
  <c r="F58" i="33"/>
  <c r="AB58" i="35"/>
  <c r="T77" i="35"/>
  <c r="AA114" i="35"/>
  <c r="AA38" i="35" s="1"/>
  <c r="AA114" i="33"/>
  <c r="AA38" i="33" s="1"/>
  <c r="AD19" i="31"/>
  <c r="T58" i="35"/>
  <c r="X38" i="31"/>
  <c r="M38" i="33"/>
  <c r="N77" i="33"/>
  <c r="J58" i="35"/>
  <c r="L58" i="35"/>
  <c r="F58" i="35"/>
  <c r="X58" i="33"/>
  <c r="AJ39" i="31" l="1"/>
  <c r="AJ20" i="31"/>
  <c r="AB20" i="31"/>
  <c r="AB39" i="31"/>
  <c r="AD39" i="31"/>
  <c r="AD20" i="31"/>
  <c r="AG38" i="33"/>
  <c r="AG19" i="33" s="1"/>
  <c r="N21" i="31"/>
  <c r="P21" i="31"/>
  <c r="AH115" i="33"/>
  <c r="T115" i="35"/>
  <c r="W38" i="33"/>
  <c r="W19" i="33" s="1"/>
  <c r="T115" i="33"/>
  <c r="Z39" i="31"/>
  <c r="Z20" i="31"/>
  <c r="X134" i="33"/>
  <c r="AB21" i="31"/>
  <c r="AC38" i="33"/>
  <c r="AC19" i="33" s="1"/>
  <c r="AD20" i="33" s="1"/>
  <c r="AB115" i="35"/>
  <c r="Q38" i="33"/>
  <c r="R39" i="33" s="1"/>
  <c r="X115" i="35"/>
  <c r="AA19" i="33"/>
  <c r="AB20" i="33" s="1"/>
  <c r="AB39" i="33"/>
  <c r="AA19" i="35"/>
  <c r="AB20" i="35" s="1"/>
  <c r="AB39" i="35"/>
  <c r="X19" i="33"/>
  <c r="U19" i="33"/>
  <c r="V20" i="33" s="1"/>
  <c r="V39" i="33"/>
  <c r="U19" i="35"/>
  <c r="V20" i="35" s="1"/>
  <c r="V39" i="35"/>
  <c r="N39" i="33"/>
  <c r="M19" i="33"/>
  <c r="N20" i="33" s="1"/>
  <c r="X19" i="31"/>
  <c r="X39" i="31"/>
  <c r="AH20" i="31"/>
  <c r="M19" i="35"/>
  <c r="N20" i="35" s="1"/>
  <c r="N39" i="35"/>
  <c r="H39" i="35"/>
  <c r="G19" i="35"/>
  <c r="H20" i="35" s="1"/>
  <c r="R20" i="31"/>
  <c r="P39" i="33"/>
  <c r="O19" i="33"/>
  <c r="P20" i="33" s="1"/>
  <c r="D39" i="35"/>
  <c r="C19" i="35"/>
  <c r="D20" i="35" s="1"/>
  <c r="R39" i="31"/>
  <c r="L39" i="35"/>
  <c r="K19" i="35"/>
  <c r="L20" i="35" s="1"/>
  <c r="AH134" i="33"/>
  <c r="V19" i="31"/>
  <c r="V39" i="31"/>
  <c r="W38" i="35"/>
  <c r="E19" i="33"/>
  <c r="F20" i="33" s="1"/>
  <c r="F39" i="33"/>
  <c r="S19" i="35"/>
  <c r="AH38" i="33"/>
  <c r="AH19" i="33" s="1"/>
  <c r="AB115" i="33"/>
  <c r="E19" i="35"/>
  <c r="F20" i="35" s="1"/>
  <c r="F39" i="35"/>
  <c r="AL39" i="31"/>
  <c r="R21" i="31"/>
  <c r="C19" i="33"/>
  <c r="D20" i="33" s="1"/>
  <c r="D39" i="33"/>
  <c r="AF39" i="31"/>
  <c r="AF20" i="31"/>
  <c r="V134" i="33"/>
  <c r="Y38" i="35"/>
  <c r="Z134" i="35"/>
  <c r="T19" i="31"/>
  <c r="T39" i="31"/>
  <c r="AD21" i="31"/>
  <c r="AF39" i="33"/>
  <c r="AE19" i="33"/>
  <c r="AF20" i="33" s="1"/>
  <c r="L39" i="33"/>
  <c r="K19" i="33"/>
  <c r="L20" i="33" s="1"/>
  <c r="V134" i="35"/>
  <c r="Y38" i="33"/>
  <c r="Z134" i="33"/>
  <c r="AL20" i="31"/>
  <c r="S19" i="33"/>
  <c r="AC38" i="35"/>
  <c r="T38" i="35"/>
  <c r="T19" i="35" s="1"/>
  <c r="Q38" i="35"/>
  <c r="AH39" i="31"/>
  <c r="J39" i="33"/>
  <c r="I19" i="33"/>
  <c r="J20" i="33" s="1"/>
  <c r="I19" i="35"/>
  <c r="J20" i="35" s="1"/>
  <c r="J39" i="35"/>
  <c r="H39" i="33"/>
  <c r="G19" i="33"/>
  <c r="H20" i="33" s="1"/>
  <c r="X115" i="33"/>
  <c r="O19" i="35"/>
  <c r="P20" i="35" s="1"/>
  <c r="P39" i="35"/>
  <c r="T38" i="33"/>
  <c r="T19" i="33" s="1"/>
  <c r="T20" i="33" l="1"/>
  <c r="X20" i="33"/>
  <c r="X39" i="33"/>
  <c r="Q19" i="33"/>
  <c r="R20" i="33" s="1"/>
  <c r="T39" i="33"/>
  <c r="AD39" i="33"/>
  <c r="T20" i="35"/>
  <c r="AH39" i="33"/>
  <c r="AH20" i="33"/>
  <c r="V21" i="31"/>
  <c r="V20" i="31"/>
  <c r="T39" i="35"/>
  <c r="X39" i="35"/>
  <c r="W19" i="35"/>
  <c r="X20" i="35" s="1"/>
  <c r="Y19" i="35"/>
  <c r="Z20" i="35" s="1"/>
  <c r="Z39" i="35"/>
  <c r="Q19" i="35"/>
  <c r="R20" i="35" s="1"/>
  <c r="R39" i="35"/>
  <c r="AC19" i="35"/>
  <c r="AD20" i="35" s="1"/>
  <c r="AD39" i="35"/>
  <c r="T21" i="31"/>
  <c r="T20" i="31"/>
  <c r="X20" i="31"/>
  <c r="X21" i="31"/>
  <c r="Y19" i="33"/>
  <c r="Z20" i="33" s="1"/>
  <c r="Z39"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A1" authorId="0" shapeId="0" xr:uid="{00000000-0006-0000-0200-000001000000}">
      <text>
        <r>
          <rPr>
            <b/>
            <sz val="9"/>
            <color indexed="10"/>
            <rFont val="Tahoma"/>
            <family val="2"/>
          </rPr>
          <t>Michael Mann:</t>
        </r>
        <r>
          <rPr>
            <sz val="9"/>
            <color indexed="10"/>
            <rFont val="Tahoma"/>
            <family val="2"/>
          </rPr>
          <t xml:space="preserve">
Do not delete this sheet! High-demand adjustments depend on data on this 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9" authorId="0" shapeId="0" xr:uid="{00000000-0006-0000-1700-000001000000}">
      <text>
        <r>
          <rPr>
            <b/>
            <sz val="8"/>
            <color indexed="81"/>
            <rFont val="Tahoma"/>
            <family val="2"/>
          </rPr>
          <t>Beard, Melissa (OFM):</t>
        </r>
        <r>
          <rPr>
            <sz val="8"/>
            <color indexed="81"/>
            <rFont val="Tahoma"/>
            <family val="2"/>
          </rPr>
          <t xml:space="preserve">
2009 09-11 1244 Sec 602
Breakdown provided by G. Quarfoth in email date 10/6/09 </t>
        </r>
      </text>
    </comment>
    <comment ref="G13" authorId="0" shapeId="0" xr:uid="{00000000-0006-0000-1700-000002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7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7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700-000005000000}">
      <text>
        <r>
          <rPr>
            <b/>
            <sz val="8"/>
            <color indexed="81"/>
            <rFont val="Tahoma"/>
            <family val="2"/>
          </rPr>
          <t>Beard, Melissa (OFM):</t>
        </r>
        <r>
          <rPr>
            <sz val="8"/>
            <color indexed="81"/>
            <rFont val="Tahoma"/>
            <family val="2"/>
          </rPr>
          <t xml:space="preserve">
2009 09-11 1244 Sec 602</t>
        </r>
      </text>
    </comment>
    <comment ref="G20" authorId="0" shapeId="0" xr:uid="{00000000-0006-0000-1700-000006000000}">
      <text>
        <r>
          <rPr>
            <b/>
            <sz val="8"/>
            <color indexed="81"/>
            <rFont val="Tahoma"/>
            <family val="2"/>
          </rPr>
          <t>Beard, Melissa (OFM):</t>
        </r>
        <r>
          <rPr>
            <sz val="8"/>
            <color indexed="81"/>
            <rFont val="Tahoma"/>
            <family val="2"/>
          </rPr>
          <t xml:space="preserve">
2009 09-11 1244 Sec 602</t>
        </r>
      </text>
    </comment>
    <comment ref="G27" authorId="0" shapeId="0" xr:uid="{00000000-0006-0000-1700-000007000000}">
      <text>
        <r>
          <rPr>
            <b/>
            <sz val="8"/>
            <color indexed="81"/>
            <rFont val="Tahoma"/>
            <family val="2"/>
          </rPr>
          <t>Beard, Melissa (OFM):</t>
        </r>
        <r>
          <rPr>
            <sz val="8"/>
            <color indexed="81"/>
            <rFont val="Tahoma"/>
            <family val="2"/>
          </rPr>
          <t xml:space="preserve">
2010 09-11 6444 Sec. 603(1)</t>
        </r>
      </text>
    </comment>
    <comment ref="G30" authorId="1" shapeId="0" xr:uid="{00000000-0006-0000-17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7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700-00000A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13" authorId="0" shapeId="0" xr:uid="{00000000-0006-0000-1800-000001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800-000002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800-000003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800-000004000000}">
      <text>
        <r>
          <rPr>
            <b/>
            <sz val="8"/>
            <color indexed="81"/>
            <rFont val="Tahoma"/>
            <family val="2"/>
          </rPr>
          <t>Beard, Melissa (OFM):</t>
        </r>
        <r>
          <rPr>
            <sz val="8"/>
            <color indexed="81"/>
            <rFont val="Tahoma"/>
            <family val="2"/>
          </rPr>
          <t xml:space="preserve">
2009 09-11 1244 Sec 602</t>
        </r>
      </text>
    </comment>
    <comment ref="G20" authorId="0" shapeId="0" xr:uid="{00000000-0006-0000-1800-000005000000}">
      <text>
        <r>
          <rPr>
            <b/>
            <sz val="8"/>
            <color indexed="81"/>
            <rFont val="Tahoma"/>
            <family val="2"/>
          </rPr>
          <t>Beard, Melissa (OFM):</t>
        </r>
        <r>
          <rPr>
            <sz val="8"/>
            <color indexed="81"/>
            <rFont val="Tahoma"/>
            <family val="2"/>
          </rPr>
          <t xml:space="preserve">
2009 09-11 1244 Sec 602</t>
        </r>
      </text>
    </comment>
    <comment ref="G27" authorId="0" shapeId="0" xr:uid="{00000000-0006-0000-1800-000006000000}">
      <text>
        <r>
          <rPr>
            <b/>
            <sz val="8"/>
            <color indexed="81"/>
            <rFont val="Tahoma"/>
            <family val="2"/>
          </rPr>
          <t>Beard, Melissa (OFM):</t>
        </r>
        <r>
          <rPr>
            <sz val="8"/>
            <color indexed="81"/>
            <rFont val="Tahoma"/>
            <family val="2"/>
          </rPr>
          <t xml:space="preserve">
2012 11-13 2127 Sec. 601(1)</t>
        </r>
      </text>
    </comment>
    <comment ref="G30" authorId="1" shapeId="0" xr:uid="{00000000-0006-0000-1800-000007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800-000008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800-000009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13" authorId="0" shapeId="0" xr:uid="{00000000-0006-0000-1900-000001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900-000002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900-000003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900-000004000000}">
      <text>
        <r>
          <rPr>
            <b/>
            <sz val="8"/>
            <color indexed="81"/>
            <rFont val="Tahoma"/>
            <family val="2"/>
          </rPr>
          <t>Beard, Melissa (OFM):</t>
        </r>
        <r>
          <rPr>
            <sz val="8"/>
            <color indexed="81"/>
            <rFont val="Tahoma"/>
            <family val="2"/>
          </rPr>
          <t xml:space="preserve">
2009 09-11 1244 Sec 602</t>
        </r>
      </text>
    </comment>
    <comment ref="G20" authorId="0" shapeId="0" xr:uid="{00000000-0006-0000-1900-000005000000}">
      <text>
        <r>
          <rPr>
            <b/>
            <sz val="8"/>
            <color indexed="81"/>
            <rFont val="Tahoma"/>
            <family val="2"/>
          </rPr>
          <t>Beard, Melissa (OFM):</t>
        </r>
        <r>
          <rPr>
            <sz val="8"/>
            <color indexed="81"/>
            <rFont val="Tahoma"/>
            <family val="2"/>
          </rPr>
          <t xml:space="preserve">
2009 09-11 1244 Sec 602</t>
        </r>
      </text>
    </comment>
    <comment ref="G27" authorId="0" shapeId="0" xr:uid="{00000000-0006-0000-1900-000006000000}">
      <text>
        <r>
          <rPr>
            <b/>
            <sz val="8"/>
            <color indexed="81"/>
            <rFont val="Tahoma"/>
            <family val="2"/>
          </rPr>
          <t>Beard, Melissa (OFM):</t>
        </r>
        <r>
          <rPr>
            <sz val="8"/>
            <color indexed="81"/>
            <rFont val="Tahoma"/>
            <family val="2"/>
          </rPr>
          <t xml:space="preserve">
2012 11-13 2127 Sec. 601(1)</t>
        </r>
      </text>
    </comment>
    <comment ref="G30" authorId="1" shapeId="0" xr:uid="{00000000-0006-0000-1900-000007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900-000008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900-000009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13" authorId="0" shapeId="0" xr:uid="{00000000-0006-0000-1A00-000001000000}">
      <text>
        <r>
          <rPr>
            <b/>
            <sz val="8"/>
            <color indexed="81"/>
            <rFont val="Tahoma"/>
            <family val="2"/>
          </rPr>
          <t>Beard, Melissa (OFM):</t>
        </r>
        <r>
          <rPr>
            <sz val="8"/>
            <color indexed="81"/>
            <rFont val="Tahoma"/>
            <family val="2"/>
          </rPr>
          <t xml:space="preserve">
2009 09-11 1244 Sec 602
Breakdown provided by R. Backes</t>
        </r>
      </text>
    </comment>
    <comment ref="G17" authorId="1" shapeId="0" xr:uid="{00000000-0006-0000-1A00-000002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 ref="G22" authorId="0" shapeId="0" xr:uid="{00000000-0006-0000-1A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23" authorId="0" shapeId="0" xr:uid="{00000000-0006-0000-1A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24" authorId="0" shapeId="0" xr:uid="{00000000-0006-0000-1A00-000005000000}">
      <text>
        <r>
          <rPr>
            <b/>
            <sz val="8"/>
            <color indexed="81"/>
            <rFont val="Tahoma"/>
            <family val="2"/>
          </rPr>
          <t>Beard, Melissa (OFM):</t>
        </r>
        <r>
          <rPr>
            <sz val="8"/>
            <color indexed="81"/>
            <rFont val="Tahoma"/>
            <family val="2"/>
          </rPr>
          <t xml:space="preserve">
2009 09-11 1244 Sec 602</t>
        </r>
      </text>
    </comment>
    <comment ref="G25" authorId="0" shapeId="0" xr:uid="{00000000-0006-0000-1A00-000006000000}">
      <text>
        <r>
          <rPr>
            <b/>
            <sz val="8"/>
            <color indexed="81"/>
            <rFont val="Tahoma"/>
            <family val="2"/>
          </rPr>
          <t>Beard, Melissa (OFM):</t>
        </r>
        <r>
          <rPr>
            <sz val="8"/>
            <color indexed="81"/>
            <rFont val="Tahoma"/>
            <family val="2"/>
          </rPr>
          <t xml:space="preserve">
2009 09-11 1244 Sec 602</t>
        </r>
      </text>
    </comment>
    <comment ref="G32" authorId="0" shapeId="0" xr:uid="{00000000-0006-0000-1A00-000007000000}">
      <text>
        <r>
          <rPr>
            <b/>
            <sz val="8"/>
            <color indexed="81"/>
            <rFont val="Tahoma"/>
            <family val="2"/>
          </rPr>
          <t>Beard, Melissa (OFM):</t>
        </r>
        <r>
          <rPr>
            <sz val="8"/>
            <color indexed="81"/>
            <rFont val="Tahoma"/>
            <family val="2"/>
          </rPr>
          <t xml:space="preserve">
2012 11-13 2127 Sec. 601(1)</t>
        </r>
      </text>
    </comment>
    <comment ref="G35" authorId="1" shapeId="0" xr:uid="{00000000-0006-0000-1A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6" authorId="1" shapeId="0" xr:uid="{00000000-0006-0000-1A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yowell_ti</author>
  </authors>
  <commentList>
    <comment ref="E15" authorId="0" shapeId="0" xr:uid="{00000000-0006-0000-1B00-000001000000}">
      <text>
        <r>
          <rPr>
            <b/>
            <sz val="8"/>
            <color indexed="81"/>
            <rFont val="Tahoma"/>
            <family val="2"/>
          </rPr>
          <t>yowell_ti:</t>
        </r>
        <r>
          <rPr>
            <sz val="8"/>
            <color indexed="81"/>
            <rFont val="Tahoma"/>
            <family val="2"/>
          </rPr>
          <t xml:space="preserve">
Corrected to account for previous over-reporting by WSU Tri-Cities.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00000000-0006-0000-1D00-00000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 ref="G32" authorId="1" shapeId="0" xr:uid="{00000000-0006-0000-1D00-000002000000}">
      <text>
        <r>
          <rPr>
            <b/>
            <sz val="8"/>
            <color indexed="81"/>
            <rFont val="Tahoma"/>
            <family val="2"/>
          </rPr>
          <t>Beard, Melissa (OFM):</t>
        </r>
        <r>
          <rPr>
            <sz val="8"/>
            <color indexed="81"/>
            <rFont val="Tahoma"/>
            <family val="2"/>
          </rPr>
          <t xml:space="preserve">
2012 11-13 2127 Sec. 601(1)</t>
        </r>
      </text>
    </comment>
    <comment ref="G35" authorId="0" shapeId="0" xr:uid="{00000000-0006-0000-1D00-000003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6" authorId="0" shapeId="0" xr:uid="{00000000-0006-0000-1D00-000004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00000000-0006-0000-1F00-00000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 ref="G32" authorId="1" shapeId="0" xr:uid="{00000000-0006-0000-1F00-000002000000}">
      <text>
        <r>
          <rPr>
            <b/>
            <sz val="8"/>
            <color indexed="81"/>
            <rFont val="Tahoma"/>
            <family val="2"/>
          </rPr>
          <t>Beard, Melissa (OFM):</t>
        </r>
        <r>
          <rPr>
            <sz val="8"/>
            <color indexed="81"/>
            <rFont val="Tahoma"/>
            <family val="2"/>
          </rPr>
          <t xml:space="preserve">
2012 11-13 2127 Sec. 601(1)</t>
        </r>
      </text>
    </comment>
    <comment ref="G35" authorId="0" shapeId="0" xr:uid="{00000000-0006-0000-1F00-000003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6" authorId="0" shapeId="0" xr:uid="{00000000-0006-0000-1F00-000004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DBE66FA7-9FDA-47E7-85FE-D83E3D811813}">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00AABFEE-19A0-4864-9A27-0E6D7BD41A99}">
      <text>
        <r>
          <rPr>
            <b/>
            <sz val="8"/>
            <color indexed="81"/>
            <rFont val="Tahoma"/>
            <family val="2"/>
          </rPr>
          <t>Beard, Melissa (OFM):</t>
        </r>
        <r>
          <rPr>
            <sz val="8"/>
            <color indexed="81"/>
            <rFont val="Tahoma"/>
            <family val="2"/>
          </rPr>
          <t xml:space="preserve">
2015 15-17 6052 Sec. 605(1)</t>
        </r>
      </text>
    </comment>
    <comment ref="H33" authorId="1" shapeId="0" xr:uid="{B7D60657-3E5E-4F75-849D-525899E75530}">
      <text>
        <r>
          <rPr>
            <b/>
            <sz val="8"/>
            <color indexed="81"/>
            <rFont val="Tahoma"/>
            <family val="2"/>
          </rPr>
          <t>Beard, Melissa (OFM):</t>
        </r>
        <r>
          <rPr>
            <sz val="8"/>
            <color indexed="81"/>
            <rFont val="Tahoma"/>
            <family val="2"/>
          </rPr>
          <t xml:space="preserve">
2015 15-17 6052 Sec. 605(1)</t>
        </r>
      </text>
    </comment>
    <comment ref="G36" authorId="0" shapeId="0" xr:uid="{3E7E9AF0-F5D2-4B6F-A23E-FEFF6AA7621C}">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FE279FFF-D28C-4E4B-95A1-F58C055E29A7}">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E25CA95A-58B2-4848-A09E-C5DCB00B2FC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E4B1E077-22D3-4FDC-99AC-A8C7D6DF4AC1}">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1D11365C-79E9-4604-887E-A9A6F7D4034A}">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B99957D2-B318-4371-B253-D15FE0B1017F}">
      <text>
        <r>
          <rPr>
            <b/>
            <sz val="8"/>
            <color indexed="81"/>
            <rFont val="Tahoma"/>
            <family val="2"/>
          </rPr>
          <t>Beard, Melissa (OFM):</t>
        </r>
        <r>
          <rPr>
            <sz val="8"/>
            <color indexed="81"/>
            <rFont val="Tahoma"/>
            <family val="2"/>
          </rPr>
          <t xml:space="preserve">
2015 15-17 6052 Sec. 605(1)</t>
        </r>
      </text>
    </comment>
    <comment ref="H33" authorId="1" shapeId="0" xr:uid="{7A8EDFD4-77F8-4B3A-BEA0-9A4D10632B12}">
      <text>
        <r>
          <rPr>
            <b/>
            <sz val="8"/>
            <color indexed="81"/>
            <rFont val="Tahoma"/>
            <family val="2"/>
          </rPr>
          <t>Beard, Melissa (OFM):</t>
        </r>
        <r>
          <rPr>
            <sz val="8"/>
            <color indexed="81"/>
            <rFont val="Tahoma"/>
            <family val="2"/>
          </rPr>
          <t xml:space="preserve">
2015 15-17 6052 Sec. 605(1)</t>
        </r>
      </text>
    </comment>
    <comment ref="G36" authorId="0" shapeId="0" xr:uid="{FCB6CE41-E967-40A9-80BE-A4082DED41F9}">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A8573F79-6D58-4633-BCD7-BB0D030C4A3D}">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9C18477D-BA27-4BD2-A11B-533083049ED4}">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87AB880E-04E2-40B9-B533-83F7E4E474C6}">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49CD59B7-D233-4439-8D72-E39DBBCAED7B}">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942E00CB-F662-4147-83FE-A7505103BC57}">
      <text>
        <r>
          <rPr>
            <b/>
            <sz val="8"/>
            <color indexed="81"/>
            <rFont val="Tahoma"/>
            <family val="2"/>
          </rPr>
          <t>OFM:</t>
        </r>
        <r>
          <rPr>
            <sz val="8"/>
            <color indexed="81"/>
            <rFont val="Tahoma"/>
            <family val="2"/>
          </rPr>
          <t xml:space="preserve">
2015 15-17 6052 Sec. 605(1)</t>
        </r>
      </text>
    </comment>
    <comment ref="G36" authorId="0" shapeId="0" xr:uid="{26BF3CE2-7DEC-4A9A-9E4B-E47E2FCED015}">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1AD306ED-7DF1-4A58-A507-1FAE2DC4E809}">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F4300786-F826-41FB-8ADF-234C9FEA25C1}">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CBCAA87C-D493-4935-B252-7FD6755F3453}">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A1" authorId="0" shapeId="0" xr:uid="{00000000-0006-0000-0300-000001000000}">
      <text>
        <r>
          <rPr>
            <b/>
            <sz val="9"/>
            <color indexed="10"/>
            <rFont val="Tahoma"/>
            <family val="2"/>
          </rPr>
          <t>Michael Mann:</t>
        </r>
        <r>
          <rPr>
            <sz val="9"/>
            <color indexed="10"/>
            <rFont val="Tahoma"/>
            <family val="2"/>
          </rPr>
          <t xml:space="preserve">
Do not delete this sheet! High-demand adjustments depend on data on this 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00000000-0006-0000-0700-00000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00000000-0006-0000-0700-000002000000}">
      <text>
        <r>
          <rPr>
            <b/>
            <sz val="8"/>
            <color indexed="81"/>
            <rFont val="Tahoma"/>
            <family val="2"/>
          </rPr>
          <t>OFM:</t>
        </r>
        <r>
          <rPr>
            <sz val="8"/>
            <color indexed="81"/>
            <rFont val="Tahoma"/>
            <family val="2"/>
          </rPr>
          <t xml:space="preserve">
2015 15-17 6052 Sec. 605(1)</t>
        </r>
      </text>
    </comment>
    <comment ref="G36" authorId="0" shapeId="0" xr:uid="{00000000-0006-0000-0700-000003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00000000-0006-0000-0700-000004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00000000-0006-0000-0700-000005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00000000-0006-0000-0700-000006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Q8" authorId="0" shapeId="0" xr:uid="{00000000-0006-0000-2200-000001000000}">
      <text>
        <r>
          <rPr>
            <sz val="9"/>
            <color indexed="81"/>
            <rFont val="Tahoma"/>
            <family val="2"/>
          </rPr>
          <t>As of 21 Feb 2011, the agency and OFM are working to resolve an error that exists in the amount for the UW -- MM.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00000000-0006-0000-0700-00000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00000000-0006-0000-0700-000002000000}">
      <text>
        <r>
          <rPr>
            <b/>
            <sz val="8"/>
            <color indexed="81"/>
            <rFont val="Tahoma"/>
            <family val="2"/>
          </rPr>
          <t>OFM:</t>
        </r>
        <r>
          <rPr>
            <sz val="8"/>
            <color indexed="81"/>
            <rFont val="Tahoma"/>
            <family val="2"/>
          </rPr>
          <t xml:space="preserve">
2015 15-17 6052 Sec. 605(1)</t>
        </r>
      </text>
    </comment>
    <comment ref="G36" authorId="0" shapeId="0" xr:uid="{00000000-0006-0000-0700-000003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00000000-0006-0000-0700-000004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00000000-0006-0000-0700-000005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00000000-0006-0000-0700-000006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Beard, Melissa (OFM)</author>
  </authors>
  <commentList>
    <comment ref="G17" authorId="0" shapeId="0" xr:uid="{5F03E285-D120-4473-B7A7-D180196764BC}">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
Legislature transferred funding from SBCTC to WSU in 2014
</t>
        </r>
      </text>
    </comment>
    <comment ref="G33" authorId="1" shapeId="0" xr:uid="{0F38C1A5-7599-494F-8111-C3BD78AB6C24}">
      <text>
        <r>
          <rPr>
            <b/>
            <sz val="8"/>
            <color indexed="81"/>
            <rFont val="Tahoma"/>
            <family val="2"/>
          </rPr>
          <t>OFM:</t>
        </r>
        <r>
          <rPr>
            <sz val="8"/>
            <color indexed="81"/>
            <rFont val="Tahoma"/>
            <family val="2"/>
          </rPr>
          <t xml:space="preserve">
2015 15-17 6052 Sec. 605(1)</t>
        </r>
      </text>
    </comment>
    <comment ref="G36" authorId="0" shapeId="0" xr:uid="{463B12E8-83A6-4A6B-A388-1B9E2FEB66A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H36" authorId="0" shapeId="0" xr:uid="{C55F21EE-4680-4457-8542-01184662593D}">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7" authorId="0" shapeId="0" xr:uid="{1111A440-661A-4ADD-9581-B03C14A2A0FE}">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H37" authorId="0" shapeId="0" xr:uid="{5002A685-59E2-493A-9DED-D9F5C050E6A7}">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A1" authorId="0" shapeId="0" xr:uid="{1DBE773C-C040-4B6F-ABD0-069739D38810}">
      <text>
        <r>
          <rPr>
            <sz val="9"/>
            <color indexed="81"/>
            <rFont val="Tahoma"/>
            <family val="2"/>
          </rPr>
          <t>Note: Italicized enrollment for UW and Total Higher Education for 2021-22 updated 6 December 2023</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B1" authorId="0" shapeId="0" xr:uid="{00000000-0006-0000-2400-000001000000}">
      <text>
        <r>
          <rPr>
            <sz val="9"/>
            <color indexed="81"/>
            <rFont val="Verdana"/>
            <family val="2"/>
          </rPr>
          <t xml:space="preserve">Update includes Final data for FY2024, enacted amounts from the 2024 Legislative Session, and forecast data that correspond to the November 2024 Economic and Revenue Forecast at https://erfc.wa.gov/publications/quarterly-updates.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Mann</author>
  </authors>
  <commentList>
    <comment ref="A9" authorId="0" shapeId="0" xr:uid="{00000000-0006-0000-2A00-000001000000}">
      <text>
        <r>
          <rPr>
            <sz val="8"/>
            <color indexed="81"/>
            <rFont val="Tahoma"/>
            <family val="2"/>
          </rPr>
          <t xml:space="preserve">In June of 2004, Chuck Gusak (staff at ERFC) advised us that state income numbers had been revised all the way back to 1969 to reflect changes to the National Income and Products Accounts.
</t>
        </r>
      </text>
    </comment>
    <comment ref="A16" authorId="0" shapeId="0" xr:uid="{24B2385B-A85C-4078-B275-AD7B05C87898}">
      <text>
        <r>
          <rPr>
            <sz val="8"/>
            <color indexed="81"/>
            <rFont val="Tahoma"/>
            <family val="2"/>
          </rPr>
          <t xml:space="preserve">In June of 2004, Chuck Gusak (staff at ERFC) advised us that state income numbers had been revised all the way back to 1969 to reflect changes to the National Income and Products Accounts.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Howson</author>
  </authors>
  <commentList>
    <comment ref="A3" authorId="0" shapeId="0" xr:uid="{00000000-0006-0000-0400-000001000000}">
      <text>
        <r>
          <rPr>
            <b/>
            <sz val="8"/>
            <color indexed="81"/>
            <rFont val="Tahoma"/>
            <family val="2"/>
          </rPr>
          <t>Susan Howson:</t>
        </r>
        <r>
          <rPr>
            <sz val="8"/>
            <color indexed="81"/>
            <rFont val="Tahoma"/>
            <family val="2"/>
          </rPr>
          <t xml:space="preserve">
ECA $'s for Building Maintenance to Capital shift</t>
        </r>
      </text>
    </comment>
    <comment ref="Q8" authorId="0" shapeId="0" xr:uid="{00000000-0006-0000-0400-000002000000}">
      <text>
        <r>
          <rPr>
            <b/>
            <sz val="8"/>
            <color indexed="81"/>
            <rFont val="Tahoma"/>
            <family val="2"/>
          </rPr>
          <t>Susan Howson:</t>
        </r>
        <r>
          <rPr>
            <sz val="8"/>
            <color indexed="81"/>
            <rFont val="Tahoma"/>
            <family val="2"/>
          </rPr>
          <t xml:space="preserve">
LEAP expenditures 12-8-04, plus enacted ECA building maintenance shift to capital</t>
        </r>
      </text>
    </comment>
    <comment ref="R8" authorId="0" shapeId="0" xr:uid="{00000000-0006-0000-0400-000003000000}">
      <text>
        <r>
          <rPr>
            <b/>
            <sz val="8"/>
            <color indexed="81"/>
            <rFont val="Tahoma"/>
            <family val="2"/>
          </rPr>
          <t>Susan Howson:</t>
        </r>
        <r>
          <rPr>
            <sz val="8"/>
            <color indexed="81"/>
            <rFont val="Tahoma"/>
            <family val="2"/>
          </rPr>
          <t xml:space="preserve">
Allocated Jr level transfer dollars, high demand dollars to institutions, plus enacted ECA building maintenance shift to capital - see data in columns Z-AM</t>
        </r>
      </text>
    </comment>
    <comment ref="Q19" authorId="0" shapeId="0" xr:uid="{00000000-0006-0000-0400-000004000000}">
      <text>
        <r>
          <rPr>
            <b/>
            <sz val="8"/>
            <color indexed="81"/>
            <rFont val="Tahoma"/>
            <family val="2"/>
          </rPr>
          <t>Susan Howson:</t>
        </r>
        <r>
          <rPr>
            <sz val="8"/>
            <color indexed="81"/>
            <rFont val="Tahoma"/>
            <family val="2"/>
          </rPr>
          <t xml:space="preserve">
Less high demand expenditures - these are allocated to the 4-Yr institutions above</t>
        </r>
      </text>
    </comment>
    <comment ref="R19" authorId="0" shapeId="0" xr:uid="{00000000-0006-0000-0400-000005000000}">
      <text>
        <r>
          <rPr>
            <b/>
            <sz val="8"/>
            <color indexed="81"/>
            <rFont val="Tahoma"/>
            <family val="2"/>
          </rPr>
          <t>Susan Howson:</t>
        </r>
        <r>
          <rPr>
            <sz val="8"/>
            <color indexed="81"/>
            <rFont val="Tahoma"/>
            <family val="2"/>
          </rPr>
          <t xml:space="preserve">
High Demand dollars allocated to 4-yr institutions above, backed out of HECB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yowell_ti</author>
  </authors>
  <commentList>
    <comment ref="H15" authorId="0" shapeId="0" xr:uid="{00000000-0006-0000-0900-000001000000}">
      <text>
        <r>
          <rPr>
            <b/>
            <sz val="8"/>
            <color indexed="81"/>
            <rFont val="Tahoma"/>
            <family val="2"/>
          </rPr>
          <t>yowell_ti:</t>
        </r>
        <r>
          <rPr>
            <sz val="8"/>
            <color indexed="81"/>
            <rFont val="Tahoma"/>
            <family val="2"/>
          </rPr>
          <t xml:space="preserve">
Corrected to account for previous over-reporting by WSU Tri-Cities.</t>
        </r>
      </text>
    </comment>
    <comment ref="I15" authorId="0" shapeId="0" xr:uid="{00000000-0006-0000-0900-000002000000}">
      <text>
        <r>
          <rPr>
            <b/>
            <sz val="8"/>
            <color indexed="81"/>
            <rFont val="Tahoma"/>
            <family val="2"/>
          </rPr>
          <t>yowell_ti:</t>
        </r>
        <r>
          <rPr>
            <sz val="8"/>
            <color indexed="81"/>
            <rFont val="Tahoma"/>
            <family val="2"/>
          </rPr>
          <t xml:space="preserve">
Corrected to account for previous over-reporting by WSU Tri-Cities.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Office of Financial Management</author>
  </authors>
  <commentList>
    <comment ref="G9" authorId="0" shapeId="0" xr:uid="{00000000-0006-0000-0800-000001000000}">
      <text>
        <r>
          <rPr>
            <b/>
            <sz val="8"/>
            <color indexed="81"/>
            <rFont val="Tahoma"/>
            <family val="2"/>
          </rPr>
          <t>Office of Financial Management:</t>
        </r>
        <r>
          <rPr>
            <sz val="8"/>
            <color indexed="81"/>
            <rFont val="Tahoma"/>
            <family val="2"/>
          </rPr>
          <t xml:space="preserve">
Sec 604</t>
        </r>
      </text>
    </comment>
    <comment ref="G12" authorId="0" shapeId="0" xr:uid="{00000000-0006-0000-0800-000002000000}">
      <text>
        <r>
          <rPr>
            <b/>
            <sz val="8"/>
            <color indexed="81"/>
            <rFont val="Tahoma"/>
            <family val="2"/>
          </rPr>
          <t>Office of Financial Management:</t>
        </r>
        <r>
          <rPr>
            <sz val="8"/>
            <color indexed="81"/>
            <rFont val="Tahoma"/>
            <family val="2"/>
          </rPr>
          <t xml:space="preserve">
Sec 604</t>
        </r>
      </text>
    </comment>
    <comment ref="G13" authorId="0" shapeId="0" xr:uid="{00000000-0006-0000-0800-000003000000}">
      <text>
        <r>
          <rPr>
            <b/>
            <sz val="8"/>
            <color indexed="81"/>
            <rFont val="Tahoma"/>
            <family val="2"/>
          </rPr>
          <t>Office of Financial Management:</t>
        </r>
        <r>
          <rPr>
            <sz val="8"/>
            <color indexed="81"/>
            <rFont val="Tahoma"/>
            <family val="2"/>
          </rPr>
          <t xml:space="preserve">
Sec 604</t>
        </r>
      </text>
    </comment>
    <comment ref="G14" authorId="0" shapeId="0" xr:uid="{00000000-0006-0000-0800-000004000000}">
      <text>
        <r>
          <rPr>
            <b/>
            <sz val="8"/>
            <color indexed="81"/>
            <rFont val="Tahoma"/>
            <family val="2"/>
          </rPr>
          <t>Office of Financial Management:</t>
        </r>
        <r>
          <rPr>
            <sz val="8"/>
            <color indexed="81"/>
            <rFont val="Tahoma"/>
            <family val="2"/>
          </rPr>
          <t xml:space="preserve">
Sec 604</t>
        </r>
      </text>
    </comment>
    <comment ref="G17" authorId="0" shapeId="0" xr:uid="{00000000-0006-0000-0800-000005000000}">
      <text>
        <r>
          <rPr>
            <b/>
            <sz val="8"/>
            <color indexed="81"/>
            <rFont val="Tahoma"/>
            <family val="2"/>
          </rPr>
          <t>Office of Financial Management:</t>
        </r>
        <r>
          <rPr>
            <sz val="8"/>
            <color indexed="81"/>
            <rFont val="Tahoma"/>
            <family val="2"/>
          </rPr>
          <t xml:space="preserve">
Sec 604</t>
        </r>
      </text>
    </comment>
    <comment ref="G18" authorId="0" shapeId="0" xr:uid="{00000000-0006-0000-0800-000006000000}">
      <text>
        <r>
          <rPr>
            <b/>
            <sz val="8"/>
            <color indexed="81"/>
            <rFont val="Tahoma"/>
            <family val="2"/>
          </rPr>
          <t>Office of Financial Management:</t>
        </r>
        <r>
          <rPr>
            <sz val="8"/>
            <color indexed="81"/>
            <rFont val="Tahoma"/>
            <family val="2"/>
          </rPr>
          <t xml:space="preserve">
Sec 604</t>
        </r>
      </text>
    </comment>
    <comment ref="G19" authorId="0" shapeId="0" xr:uid="{00000000-0006-0000-0800-000007000000}">
      <text>
        <r>
          <rPr>
            <b/>
            <sz val="8"/>
            <color indexed="81"/>
            <rFont val="Tahoma"/>
            <family val="2"/>
          </rPr>
          <t>Office of Financial Management:</t>
        </r>
        <r>
          <rPr>
            <sz val="8"/>
            <color indexed="81"/>
            <rFont val="Tahoma"/>
            <family val="2"/>
          </rPr>
          <t xml:space="preserve">
Sec 604</t>
        </r>
      </text>
    </comment>
    <comment ref="G20" authorId="0" shapeId="0" xr:uid="{00000000-0006-0000-0800-000008000000}">
      <text>
        <r>
          <rPr>
            <b/>
            <sz val="8"/>
            <color indexed="81"/>
            <rFont val="Tahoma"/>
            <family val="2"/>
          </rPr>
          <t>Office of Financial Management:</t>
        </r>
        <r>
          <rPr>
            <sz val="8"/>
            <color indexed="81"/>
            <rFont val="Tahoma"/>
            <family val="2"/>
          </rPr>
          <t xml:space="preserve">
Sec 604</t>
        </r>
      </text>
    </comment>
    <comment ref="G21" authorId="0" shapeId="0" xr:uid="{00000000-0006-0000-0800-000009000000}">
      <text>
        <r>
          <rPr>
            <b/>
            <sz val="8"/>
            <color indexed="81"/>
            <rFont val="Tahoma"/>
            <family val="2"/>
          </rPr>
          <t>Office of Financial Management:</t>
        </r>
        <r>
          <rPr>
            <sz val="8"/>
            <color indexed="81"/>
            <rFont val="Tahoma"/>
            <family val="2"/>
          </rPr>
          <t xml:space="preserve">
Sec 604</t>
        </r>
      </text>
    </comment>
    <comment ref="G22" authorId="0" shapeId="0" xr:uid="{00000000-0006-0000-0800-00000A000000}">
      <text>
        <r>
          <rPr>
            <b/>
            <sz val="8"/>
            <color indexed="81"/>
            <rFont val="Tahoma"/>
            <family val="2"/>
          </rPr>
          <t>Office of Financial Management:</t>
        </r>
        <r>
          <rPr>
            <sz val="8"/>
            <color indexed="81"/>
            <rFont val="Tahoma"/>
            <family val="2"/>
          </rPr>
          <t xml:space="preserve">
Sec 604</t>
        </r>
      </text>
    </comment>
    <comment ref="B31" authorId="0" shapeId="0" xr:uid="{00000000-0006-0000-0800-00000B000000}">
      <text>
        <r>
          <rPr>
            <b/>
            <sz val="8"/>
            <color indexed="81"/>
            <rFont val="Tahoma"/>
            <family val="2"/>
          </rPr>
          <t>Office of Financial Management:</t>
        </r>
        <r>
          <rPr>
            <sz val="8"/>
            <color indexed="81"/>
            <rFont val="Tahoma"/>
            <family val="2"/>
          </rPr>
          <t xml:space="preserve">
Data comes from SBCTC via letter from Michael Scroggins</t>
        </r>
      </text>
    </comment>
    <comment ref="B32" authorId="0" shapeId="0" xr:uid="{00000000-0006-0000-0800-00000C000000}">
      <text>
        <r>
          <rPr>
            <b/>
            <sz val="8"/>
            <color indexed="81"/>
            <rFont val="Tahoma"/>
            <family val="2"/>
          </rPr>
          <t>Office of Financial Management:</t>
        </r>
        <r>
          <rPr>
            <sz val="8"/>
            <color indexed="81"/>
            <rFont val="Tahoma"/>
            <family val="2"/>
          </rPr>
          <t xml:space="preserve">
Data comes from SBCTC via letter from Michael Scroggins</t>
        </r>
      </text>
    </comment>
    <comment ref="B33" authorId="0" shapeId="0" xr:uid="{00000000-0006-0000-0800-00000D000000}">
      <text>
        <r>
          <rPr>
            <b/>
            <sz val="8"/>
            <color indexed="81"/>
            <rFont val="Tahoma"/>
            <family val="2"/>
          </rPr>
          <t>Office of Financial Management:</t>
        </r>
        <r>
          <rPr>
            <sz val="8"/>
            <color indexed="81"/>
            <rFont val="Tahoma"/>
            <family val="2"/>
          </rPr>
          <t xml:space="preserve">
Data comes from SBCTC via letter from Michael Scroggins</t>
        </r>
      </text>
    </comment>
    <comment ref="G33" authorId="0" shapeId="0" xr:uid="{00000000-0006-0000-0800-00000E000000}">
      <text>
        <r>
          <rPr>
            <b/>
            <sz val="8"/>
            <color indexed="81"/>
            <rFont val="Tahoma"/>
            <family val="2"/>
          </rPr>
          <t>Office of Financial Management:</t>
        </r>
        <r>
          <rPr>
            <sz val="8"/>
            <color indexed="81"/>
            <rFont val="Tahoma"/>
            <family val="2"/>
          </rPr>
          <t xml:space="preserve">
80 FTEs per 2687 Sec 605 (16) FY 2009 + 80FTEs in carryforward level per Denise Graham (SBCTC)</t>
        </r>
      </text>
    </comment>
    <comment ref="B34" authorId="0" shapeId="0" xr:uid="{00000000-0006-0000-0800-00000F000000}">
      <text>
        <r>
          <rPr>
            <b/>
            <sz val="8"/>
            <color indexed="81"/>
            <rFont val="Tahoma"/>
            <family val="2"/>
          </rPr>
          <t>Office of Financial Management:</t>
        </r>
        <r>
          <rPr>
            <sz val="8"/>
            <color indexed="81"/>
            <rFont val="Tahoma"/>
            <family val="2"/>
          </rPr>
          <t xml:space="preserve">
Data comes from SBCTC via letter from Michael Scroggins</t>
        </r>
      </text>
    </comment>
    <comment ref="G37" authorId="0" shapeId="0" xr:uid="{00000000-0006-0000-0800-000010000000}">
      <text>
        <r>
          <rPr>
            <b/>
            <sz val="8"/>
            <color indexed="81"/>
            <rFont val="Tahoma"/>
            <family val="2"/>
          </rPr>
          <t>Office of Financial Management:</t>
        </r>
        <r>
          <rPr>
            <sz val="8"/>
            <color indexed="81"/>
            <rFont val="Tahoma"/>
            <family val="2"/>
          </rPr>
          <t xml:space="preserve">
Co-Location
120 FTEs/yr per 2006 Supplemental 6386 Sec 602 (13) funding info.</t>
        </r>
      </text>
    </comment>
    <comment ref="G41" authorId="0" shapeId="0" xr:uid="{00000000-0006-0000-0800-000011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9" authorId="0" shapeId="0" xr:uid="{00000000-0006-0000-0F00-000001000000}">
      <text>
        <r>
          <rPr>
            <b/>
            <sz val="8"/>
            <color indexed="81"/>
            <rFont val="Tahoma"/>
            <family val="2"/>
          </rPr>
          <t>Beard, Melissa (OFM):</t>
        </r>
        <r>
          <rPr>
            <sz val="8"/>
            <color indexed="81"/>
            <rFont val="Tahoma"/>
            <family val="2"/>
          </rPr>
          <t xml:space="preserve">
2009 09-11 1244 Sec 602
Breakdown provided by G. Quarfoth in email date 10/6/09 </t>
        </r>
      </text>
    </comment>
    <comment ref="G13" authorId="0" shapeId="0" xr:uid="{00000000-0006-0000-0F00-000002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0F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0F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0F00-000005000000}">
      <text>
        <r>
          <rPr>
            <b/>
            <sz val="8"/>
            <color indexed="81"/>
            <rFont val="Tahoma"/>
            <family val="2"/>
          </rPr>
          <t>Beard, Melissa (OFM):</t>
        </r>
        <r>
          <rPr>
            <sz val="8"/>
            <color indexed="81"/>
            <rFont val="Tahoma"/>
            <family val="2"/>
          </rPr>
          <t xml:space="preserve">
2009 09-11 1244 Sec 602</t>
        </r>
      </text>
    </comment>
    <comment ref="G20" authorId="0" shapeId="0" xr:uid="{00000000-0006-0000-0F00-000006000000}">
      <text>
        <r>
          <rPr>
            <b/>
            <sz val="8"/>
            <color indexed="81"/>
            <rFont val="Tahoma"/>
            <family val="2"/>
          </rPr>
          <t>Beard, Melissa (OFM):</t>
        </r>
        <r>
          <rPr>
            <sz val="8"/>
            <color indexed="81"/>
            <rFont val="Tahoma"/>
            <family val="2"/>
          </rPr>
          <t xml:space="preserve">
2009 09-11 1244 Sec 602</t>
        </r>
      </text>
    </comment>
    <comment ref="G27" authorId="0" shapeId="0" xr:uid="{00000000-0006-0000-0F00-000007000000}">
      <text>
        <r>
          <rPr>
            <b/>
            <sz val="8"/>
            <color indexed="81"/>
            <rFont val="Tahoma"/>
            <family val="2"/>
          </rPr>
          <t>Beard, Melissa (OFM):</t>
        </r>
        <r>
          <rPr>
            <sz val="8"/>
            <color indexed="81"/>
            <rFont val="Tahoma"/>
            <family val="2"/>
          </rPr>
          <t xml:space="preserve">
2009 09-11 1244 Sec 605</t>
        </r>
      </text>
    </comment>
    <comment ref="G30" authorId="1" shapeId="0" xr:uid="{00000000-0006-0000-0F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0F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0F00-00000A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yowell_ti</author>
  </authors>
  <commentList>
    <comment ref="F15" authorId="0" shapeId="0" xr:uid="{00000000-0006-0000-1100-000001000000}">
      <text>
        <r>
          <rPr>
            <b/>
            <sz val="8"/>
            <color indexed="81"/>
            <rFont val="Tahoma"/>
            <family val="2"/>
          </rPr>
          <t>yowell_ti:</t>
        </r>
        <r>
          <rPr>
            <sz val="8"/>
            <color indexed="81"/>
            <rFont val="Tahoma"/>
            <family val="2"/>
          </rPr>
          <t xml:space="preserve">
Corrected to account for previous over-reporting by WSU Tri-Cities.</t>
        </r>
      </text>
    </comment>
    <comment ref="G15" authorId="0" shapeId="0" xr:uid="{00000000-0006-0000-1100-000002000000}">
      <text>
        <r>
          <rPr>
            <b/>
            <sz val="8"/>
            <color indexed="81"/>
            <rFont val="Tahoma"/>
            <family val="2"/>
          </rPr>
          <t>yowell_ti:</t>
        </r>
        <r>
          <rPr>
            <sz val="8"/>
            <color indexed="81"/>
            <rFont val="Tahoma"/>
            <family val="2"/>
          </rPr>
          <t xml:space="preserve">
Corrected to account for previous over-reporting by WSU Tri-Cities.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9" authorId="0" shapeId="0" xr:uid="{00000000-0006-0000-1400-000001000000}">
      <text>
        <r>
          <rPr>
            <b/>
            <sz val="8"/>
            <color indexed="81"/>
            <rFont val="Tahoma"/>
            <family val="2"/>
          </rPr>
          <t>Beard, Melissa (OFM):</t>
        </r>
        <r>
          <rPr>
            <sz val="8"/>
            <color indexed="81"/>
            <rFont val="Tahoma"/>
            <family val="2"/>
          </rPr>
          <t xml:space="preserve">
2009 09-11 1244 Sec 602
Breakdown provided by G. Quarfoth in email date 10/6/09 </t>
        </r>
      </text>
    </comment>
    <comment ref="G13" authorId="0" shapeId="0" xr:uid="{00000000-0006-0000-1400-000002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4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4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400-000005000000}">
      <text>
        <r>
          <rPr>
            <b/>
            <sz val="8"/>
            <color indexed="81"/>
            <rFont val="Tahoma"/>
            <family val="2"/>
          </rPr>
          <t>Beard, Melissa (OFM):</t>
        </r>
        <r>
          <rPr>
            <sz val="8"/>
            <color indexed="81"/>
            <rFont val="Tahoma"/>
            <family val="2"/>
          </rPr>
          <t xml:space="preserve">
2009 09-11 1244 Sec 602</t>
        </r>
      </text>
    </comment>
    <comment ref="G20" authorId="0" shapeId="0" xr:uid="{00000000-0006-0000-1400-000006000000}">
      <text>
        <r>
          <rPr>
            <b/>
            <sz val="8"/>
            <color indexed="81"/>
            <rFont val="Tahoma"/>
            <family val="2"/>
          </rPr>
          <t>Beard, Melissa (OFM):</t>
        </r>
        <r>
          <rPr>
            <sz val="8"/>
            <color indexed="81"/>
            <rFont val="Tahoma"/>
            <family val="2"/>
          </rPr>
          <t xml:space="preserve">
2009 09-11 1244 Sec 602</t>
        </r>
      </text>
    </comment>
    <comment ref="G27" authorId="0" shapeId="0" xr:uid="{00000000-0006-0000-1400-000007000000}">
      <text>
        <r>
          <rPr>
            <b/>
            <sz val="8"/>
            <color indexed="81"/>
            <rFont val="Tahoma"/>
            <family val="2"/>
          </rPr>
          <t>Beard, Melissa (OFM):</t>
        </r>
        <r>
          <rPr>
            <sz val="8"/>
            <color indexed="81"/>
            <rFont val="Tahoma"/>
            <family val="2"/>
          </rPr>
          <t xml:space="preserve">
2010 09-11 6444 Sec. 603(1)</t>
        </r>
      </text>
    </comment>
    <comment ref="G30" authorId="1" shapeId="0" xr:uid="{00000000-0006-0000-14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4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400-00000A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Beard, Melissa (OFM)</author>
    <author>Office of Financial Management</author>
  </authors>
  <commentList>
    <comment ref="G9" authorId="0" shapeId="0" xr:uid="{00000000-0006-0000-1600-000001000000}">
      <text>
        <r>
          <rPr>
            <b/>
            <sz val="8"/>
            <color indexed="81"/>
            <rFont val="Tahoma"/>
            <family val="2"/>
          </rPr>
          <t>Beard, Melissa (OFM):</t>
        </r>
        <r>
          <rPr>
            <sz val="8"/>
            <color indexed="81"/>
            <rFont val="Tahoma"/>
            <family val="2"/>
          </rPr>
          <t xml:space="preserve">
2009 09-11 1244 Sec 602
Breakdown provided by G. Quarfoth in email date 10/6/09 </t>
        </r>
      </text>
    </comment>
    <comment ref="G13" authorId="0" shapeId="0" xr:uid="{00000000-0006-0000-1600-000002000000}">
      <text>
        <r>
          <rPr>
            <b/>
            <sz val="8"/>
            <color indexed="81"/>
            <rFont val="Tahoma"/>
            <family val="2"/>
          </rPr>
          <t>Beard, Melissa (OFM):</t>
        </r>
        <r>
          <rPr>
            <sz val="8"/>
            <color indexed="81"/>
            <rFont val="Tahoma"/>
            <family val="2"/>
          </rPr>
          <t xml:space="preserve">
2009 09-11 1244 Sec 602
Breakdown provided by R. Backes</t>
        </r>
      </text>
    </comment>
    <comment ref="G17" authorId="0" shapeId="0" xr:uid="{00000000-0006-0000-1600-000003000000}">
      <text>
        <r>
          <rPr>
            <b/>
            <sz val="8"/>
            <color indexed="81"/>
            <rFont val="Tahoma"/>
            <family val="2"/>
          </rPr>
          <t>Beard, Melissa (OFM):</t>
        </r>
        <r>
          <rPr>
            <sz val="8"/>
            <color indexed="81"/>
            <rFont val="Tahoma"/>
            <family val="2"/>
          </rPr>
          <t xml:space="preserve">
2009 09-11 1244 Sec 602 has wrong number-transposed with EWU per email from Tim Yowell 5/21/09</t>
        </r>
      </text>
    </comment>
    <comment ref="G18" authorId="0" shapeId="0" xr:uid="{00000000-0006-0000-1600-000004000000}">
      <text>
        <r>
          <rPr>
            <b/>
            <sz val="8"/>
            <color indexed="81"/>
            <rFont val="Tahoma"/>
            <family val="2"/>
          </rPr>
          <t>Beard, Melissa (OFM):</t>
        </r>
        <r>
          <rPr>
            <sz val="8"/>
            <color indexed="81"/>
            <rFont val="Tahoma"/>
            <family val="2"/>
          </rPr>
          <t xml:space="preserve">
2009 09-11 1244 Sec 602 has wrong number, transposed with CWU per email from Tim Yowell 5/21/09</t>
        </r>
      </text>
    </comment>
    <comment ref="G19" authorId="0" shapeId="0" xr:uid="{00000000-0006-0000-1600-000005000000}">
      <text>
        <r>
          <rPr>
            <b/>
            <sz val="8"/>
            <color indexed="81"/>
            <rFont val="Tahoma"/>
            <family val="2"/>
          </rPr>
          <t>Beard, Melissa (OFM):</t>
        </r>
        <r>
          <rPr>
            <sz val="8"/>
            <color indexed="81"/>
            <rFont val="Tahoma"/>
            <family val="2"/>
          </rPr>
          <t xml:space="preserve">
2009 09-11 1244 Sec 602</t>
        </r>
      </text>
    </comment>
    <comment ref="G20" authorId="0" shapeId="0" xr:uid="{00000000-0006-0000-1600-000006000000}">
      <text>
        <r>
          <rPr>
            <b/>
            <sz val="8"/>
            <color indexed="81"/>
            <rFont val="Tahoma"/>
            <family val="2"/>
          </rPr>
          <t>Beard, Melissa (OFM):</t>
        </r>
        <r>
          <rPr>
            <sz val="8"/>
            <color indexed="81"/>
            <rFont val="Tahoma"/>
            <family val="2"/>
          </rPr>
          <t xml:space="preserve">
2009 09-11 1244 Sec 602</t>
        </r>
      </text>
    </comment>
    <comment ref="G27" authorId="0" shapeId="0" xr:uid="{00000000-0006-0000-1600-000007000000}">
      <text>
        <r>
          <rPr>
            <b/>
            <sz val="8"/>
            <color indexed="81"/>
            <rFont val="Tahoma"/>
            <family val="2"/>
          </rPr>
          <t>Beard, Melissa (OFM):</t>
        </r>
        <r>
          <rPr>
            <sz val="8"/>
            <color indexed="81"/>
            <rFont val="Tahoma"/>
            <family val="2"/>
          </rPr>
          <t xml:space="preserve">
2010 09-11 6444 Sec. 603(1)</t>
        </r>
      </text>
    </comment>
    <comment ref="G30" authorId="1" shapeId="0" xr:uid="{00000000-0006-0000-1600-000008000000}">
      <text>
        <r>
          <rPr>
            <b/>
            <sz val="8"/>
            <color indexed="81"/>
            <rFont val="Tahoma"/>
            <family val="2"/>
          </rPr>
          <t>Office of Financial Management:</t>
        </r>
        <r>
          <rPr>
            <sz val="8"/>
            <color indexed="81"/>
            <rFont val="Tahoma"/>
            <family val="2"/>
          </rPr>
          <t xml:space="preserve">
80 FTEs per 2687 Sec 605 (16) FY 2009 + 80FTEs in carryforward level 
Legislature funded 40 FTEs in FY 2010
SBCTC shifted 20 FTEs from partnership program allocation
per Denise Graham (SBCTC) email 10/27/09
FY 2011-add another 20 from partnership programs
</t>
        </r>
      </text>
    </comment>
    <comment ref="G31" authorId="1" shapeId="0" xr:uid="{00000000-0006-0000-1600-000009000000}">
      <text>
        <r>
          <rPr>
            <b/>
            <sz val="8"/>
            <color indexed="81"/>
            <rFont val="Tahoma"/>
            <family val="2"/>
          </rPr>
          <t>Office of Financial Management:</t>
        </r>
        <r>
          <rPr>
            <sz val="8"/>
            <color indexed="81"/>
            <rFont val="Tahoma"/>
            <family val="2"/>
          </rPr>
          <t xml:space="preserve">
Co-Location
120 FTEs/yr per 2006 Supplemental 6386 Sec 602 (13) funding info.
Olympic College-30 FTEs and Peninsula College-10 FTEs per 2009 09-11 1244 Section 605 (7) out of the 240 already allocated.
FY 2010 35 FTEs moved to UCNPS and 40 moved to Bachelor Degree programs per Carmen email 10/27/09</t>
        </r>
      </text>
    </comment>
    <comment ref="G37" authorId="1" shapeId="0" xr:uid="{00000000-0006-0000-1600-00000A000000}">
      <text>
        <r>
          <rPr>
            <b/>
            <sz val="8"/>
            <color indexed="81"/>
            <rFont val="Tahoma"/>
            <family val="2"/>
          </rPr>
          <t>Office of Financial Management:</t>
        </r>
        <r>
          <rPr>
            <sz val="8"/>
            <color indexed="81"/>
            <rFont val="Tahoma"/>
            <family val="2"/>
          </rPr>
          <t xml:space="preserve">
Began as NSIS in 1999-01 biennium at WWU; 250 FTE historically per SBCTC (Denise and Carmen)
SBCTC moved 35 FTEs from partnership programs in FY 2010 per Carmen email 10/27/09
Legislature appropriated 25 FTEs to SBCTC for UW-Bothell 2010 supplemental 6444 Sec. 603(11)</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lallam Oversight HE Capital" type="1" refreshedVersion="5"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 In ('2014','2015','2016')) AND (ExpenditureAgency.TransactionType&lt;&gt;'ocb') AND (Appropriation.Title50 Like 'preventive%')"/>
  </connection>
  <connection id="2" xr16:uid="{00000000-0015-0000-FFFF-FFFF01000000}" name="Connection" type="1" refreshedVersion="2">
    <dbPr connection="DSN=Clallam;Description=Clallam;UID=mann_mi;APP=Microsoft Office 2003;WSID=LEGMANN-MI;DATABASE=OFMMonitor;Network=DBNMPNTW;Trusted_Connection=Yes" command="SELECT agylevel_expend.agency, agylevel_expend.approp_char, agylevel_expend_years.fiscal_year, agylevel_expend.fund_group, agylevel_expend.fund, agylevel_expend.approp_type, Sum(agylevel_expend_years.ytd_amount) AS 'Sum of ytd_amount'_x000d__x000a_FROM OFMMonitor.dbo.agylevel_expend agylevel_expend, OFMMonitor.dbo.agylevel_expend_years agylevel_expend_years_x000d__x000a_WHERE agylevel_expend_years.record_key = agylevel_expend.record_key_x000d__x000a_GROUP BY agylevel_expend.agency, agylevel_expend.approp_char, agylevel_expend_years.fiscal_year, agylevel_expend.fund_group, agylevel_expend.fund, agylevel_expend.approp_type, agylevel_expend.est_act_x000d__x000a_HAVING (agylevel_expend.est_act='act') AND (agylevel_expend_years.fiscal_year In ('2003','2004','2005','2006','2007')) AND (agylevel_expend.fund_group='GFS')"/>
  </connection>
  <connection id="3" xr16:uid="{00000000-0015-0000-FFFF-FFFF02000000}" name="Connection1" type="1" refreshedVersion="2">
    <dbPr connection="DSN=Clallam;Description=Clallam;UID=mann_mi;APP=Microsoft Office 2003;WSID=LEGMANN-MI;DATABASE=OFMMonitor;Network=DBNMPNTW;Trusted_Connection=Yes" command="SELECT agylevel_expend.agency, agylevel_expend.approp_char, agylevel_expend_years.fiscal_year, agylevel_expend.fund_group, agylevel_expend.fund, agylevel_expend.approp_type, Sum(agylevel_expend_years.ytd_amount) AS 'Sum of ytd_amount'_x000d__x000a_FROM OFMMonitor.dbo.agylevel_expend agylevel_expend, OFMMonitor.dbo.agylevel_expend_years agylevel_expend_years_x000d__x000a_WHERE agylevel_expend_years.record_key = agylevel_expend.record_key_x000d__x000a_GROUP BY agylevel_expend.agency, agylevel_expend.approp_char, agylevel_expend_years.fiscal_year, agylevel_expend.fund_group, agylevel_expend.fund, agylevel_expend.approp_type, agylevel_expend.est_act_x000d__x000a_HAVING (agylevel_expend.est_act='act') AND (agylevel_expend_years.fiscal_year In ('2003','2004','2005','2006','2007')) AND (agylevel_expend.fund='149')"/>
  </connection>
  <connection id="4" xr16:uid="{00000000-0015-0000-FFFF-FFFF03000000}" name="HE Other Funds Oversight Actuals"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AND (ExpenditureAgency.Agency In ('340','343','360','365','370','375','376','380','699'))"/>
  </connection>
  <connection id="5" xr16:uid="{00000000-0015-0000-FFFF-FFFF04000000}" name="HE Oversight Preventive Fasility and Maint"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
  </connection>
  <connection id="6" xr16:uid="{00000000-0015-0000-FFFF-FFFF05000000}" name="HE Preventive Facility &amp; Maintenance"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7" xr16:uid="{00000000-0015-0000-FFFF-FFFF06000000}" odcFile="\\Kitsap\mann_mi$\Documents\OversightActualsQueryFromClallamHEPreventive.odc" name="Query Clallam HE Preventive" type="1" refreshedVersion="5" background="1" saveData="1">
    <dbPr connection="DSN=Clallam;Description=Clallam;UID=mann_mi;Trusted_Connection=Yes;APP=Microsoft Office 2013;WSID=LEGMANN-MI;DATABASE=Oversight" command="SELECT ExpenditureAgency.TransactionType,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gency, ExpenditureAgency.BudgetCharacter, ExpenditureAgency.Fund+'-'+ExpenditureAgency.AppropType, Appropriation.Title50, ExpenditureAgency.FY, ExpenditureAgency.EstimateActual_x000d__x000a_HAVING (ExpenditureAgency.EstimateActual='act') AND (ExpenditureAgency.FY&gt;'2013') AND (ExpenditureAgency.TransactionType&lt;&gt;'ocb') AND (Appropriation.Title50 Like 'preventive%')"/>
  </connection>
  <connection id="8" xr16:uid="{00000000-0015-0000-FFFF-FFFF07000000}" name="Query from Clallam"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2015') AND (Revenue.EstimateActual='act') AND (Revenue.Fund='149') AND (Revenue.TransactionType&lt;&gt;'rec') OR (Revenue.FY&gt;'2015') AND (Revenue.EstimateActual='est') AND (Revenue.Fund='149') AND (Revenue.TransactionType&lt;&gt;'rec')"/>
  </connection>
  <connection id="9" xr16:uid="{00000000-0015-0000-FFFF-FFFF08000000}" name="Query from Clallam Oversight Fund History"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7') AND (FundHistory.Amount&lt;&gt;0)"/>
  </connection>
  <connection id="10" xr16:uid="{00000000-0015-0000-FFFF-FFFF09000000}" name="Query from Clallam PBudget Capital HE Preventive Maint" type="1" refreshedVersion="6" saveData="1">
    <dbPr connection="DSN=Clallam;Description=Clallam;UID=mann_mi;Trusted_Connection=Yes;APP=Microsoft Office 2013;WSID=LEGMANN-MI;DATABASE=BudgetPublic" command="SELECT FundingCap.Biennium, FundingCap.VersionCode, FundingCap.Agency, FundingCap.ProjectId, ProjectTitleCap.ProjectTitle, FundingCap.ItemGroup, FundingCap.Fund+'-'+FundingCap.AppropType AS 'FundCode', FundingCap.AmountNewAppropFY1_x000d__x000a_FROM BudgetPublic.dbo.FundingCap FundingCap, BudgetPublic.dbo.ProjectTitleCap ProjectTitleCap_x000d__x000a_WHERE ProjectTitleCap.Agency = FundingCap.Agency AND ProjectTitleCap.Biennium = FundingCap.Biennium AND ProjectTitleCap.ProjectId = FundingCap.ProjectId AND ((FundingCap.VersionCode='LEG') AND (ProjectTitleCap.ProjectTitle Like 'Preventive%'))"/>
  </connection>
  <connection id="11" xr16:uid="{00000000-0015-0000-FFFF-FFFF0A000000}" name="Query from Clallam2" type="1" refreshedVersion="4">
    <dbPr connection="DSN=Clallam;Description=Clallam;UID=mann_mi;Trusted_Connection=Yes;APP=Microsoft Office 2010;WSID=LEGMANN-MI;DATABASE=Hamms" command="SELECT FundHistory.Agy, FundHistory.BudChar, Fund+'-'+AppType AS 'FundCode', FundHistory.FY, Sum(FundHistory.Amount) AS 'Sum of Amount'_x000d__x000a_FROM Hamms.dbo.FundHistory FundHistory_x000d__x000a_GROUP BY FundHistory.Agy, FundHistory.BudChar, Fund+'-'+AppType, FundHistory.FY"/>
  </connection>
  <connection id="12" xr16:uid="{00000000-0015-0000-FFFF-FFFF0B000000}" name="Query from ClallamSW" type="1" refreshedVersion="5"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 In ('2014','2015','2016')) AND (ExpenditureAgency.TransactionType&lt;&gt;'ocb')"/>
  </connection>
  <connection id="13" xr16:uid="{00000000-0015-0000-FFFF-FFFF0C000000}" name="Query from King" type="1" refreshedVersion="3">
    <dbPr connection="DSN=King;Description=King;UID=mann_mi;APP=2007 Microsoft Office system;WSID=LEGMANN-MI1;DATABASE=PreHistory;Network=DBNMPNTW;Trusted_Connection=Yes" command="SELECT RevenuePreHistoryRecast.fiscal_year, RevenuePreHistoryRecast.agency, RevenuePreHistoryRecast.fund, RevenuePreHistoryRecast.major_source+' '+MajorSource.Lttl AS 'MajorSourceTitle', RevenuePreHistoryRecast.major_source+RevenuePreHistoryRecast.source+' '+Source.Lttl AS 'SourceTitle', RevenuePreHistoryRecast.fund_group, RevenuePreHistoryRecast.biennium, RevenuePreHistoryRecast.amount_x000d__x000a_FROM Hamms.dbo.MajorSource MajorSource, PreHistory.dbo.RevenuePreHistoryRecast RevenuePreHistoryRecast, Hamms.dbo.Source Source_x000d__x000a_WHERE Source.Source = RevenuePreHistoryRecast.source AND RevenuePreHistoryRecast.major_source = Source.MajorSource AND MajorSource.Bien = Source.Bien AND MajorSource.MajorSource = RevenuePreHistoryRecast.major_source AND ((RevenuePreHistoryRecast.fund='149') AND (Source.Bien='2007-09'))"/>
  </connection>
  <connection id="14" xr16:uid="{00000000-0015-0000-FFFF-FFFF0D000000}" name="Query1" type="1" refreshedVersion="6" savePassword="1" saveData="1">
    <dbPr connection="Description=Clallam;DRIVER=SQL Server;SERVER=CLALLAM;UID=mann_mi;Trusted_Connection=Yes;APP=Microsoft Office XP;WSID=LEGMANN-MI;DATABASE=OFMMonitor" command="SELECT revenue.biennium, revenue.est_act, revenue.transaction_type, revenue.maj_func, revenue.min_func, revenue.agency, revenue.program, revenue.fund, revenue.fund+' '+fund.full_title AS 'FundTitle', revenue.fund_group, revenue.major_source, revenue.major_source+' '+majorsource.full_title AS 'MajorSourceTitle', revenue.source, revenue.source+' '+source.full_title AS 'SourceTitle', revenue.budget_type, revenue_months.fiscal_year, revenue_months.month, Sum(revenue_months.monthly_amount) AS 'Sum of monthly_amount'_x000d__x000a_FROM OFMTitles.dbo.fund fund, OFMTitles.dbo.majorsource majorsource, OFMMonitor.dbo.revenue revenue, OFMMonitor.dbo.revenue_months revenue_months, OFMTitles.dbo.source source_x000d__x000a_WHERE revenue_months.record_key = revenue.record_key AND majorsource.major_source = revenue.major_source AND source.major_source = revenue.major_source AND source.source = revenue.source AND fund.fund = revenue.fund AND fund.approp_period = revenue.biennium AND majorsource.approp_period = revenue.biennium AND source.approp_period = revenue.biennium_x000d__x000a_GROUP BY revenue.biennium, revenue.est_act, revenue.transaction_type, revenue.maj_func, revenue.min_func, revenue.agency, revenue.program, revenue.fund, revenue.fund+' '+fund.full_title, revenue.fund_group, revenue.major_source, revenue.major_source+' '+majorsource.full_title, revenue.source, revenue.source+' '+source.full_title, revenue.budget_type, revenue_months.fiscal_year, revenue_months.month_x000d__x000a_HAVING (revenue_months.fiscal_year Between '2000' And '2015') AND (revenue.est_act='act') AND (revenue.transaction_type&lt;&gt;'REC') AND (revenue.fund='149') OR (revenue_months.fiscal_year In ('2016','2017')) AND (revenue.est_act='est') AND (revenue.transaction_type&lt;&gt;'REC') AND (revenue.fund='149')"/>
  </connection>
  <connection id="15" xr16:uid="{00000000-0015-0000-FFFF-FFFF0E000000}" name="Query11" type="1" refreshedVersion="3" savePassword="1" saveData="1">
    <dbPr connection="Description=Clallam;DRIVER=SQL Server;SERVER=CLALLAM;UID=feltus_ke;Trusted_Connection=Yes;APP=Microsoft Office XP;WSID=LEGMANN-MI;DATABASE=OFMMonitor;Network=DBNMPNTW" command="SELECT revenue.biennium, revenue.est_act, revenue.transaction_type, revenue.maj_func, revenue.min_func, revenue.agency, revenue.program, revenue.fund, revenue.fund+' '+fund.full_title AS 'FundTitle', revenue.fund_group, revenue.major_source, revenue.major_source+' '+majorsource.full_title AS 'MajorSourceTitle', revenue.source, revenue.source+' '+source.full_title AS 'SourceTitle', revenue.budget_type, revenue_months.fiscal_year, revenue_months.month, Sum(revenue_months.monthly_amount) AS 'Sum of monthly_amount'_x000d__x000a_FROM OFMTitles.dbo.fund fund, OFMTitles.dbo.majorsource majorsource, OFMMonitor.dbo.revenue revenue, OFMMonitor.dbo.revenue_months revenue_months, OFMTitles.dbo.source source_x000d__x000a_WHERE revenue_months.record_key = revenue.record_key AND majorsource.major_source = revenue.major_source AND source.major_source = revenue.major_source AND source.source = revenue.source AND fund.fund = revenue.fund AND fund.approp_period = revenue.biennium AND majorsource.approp_period = revenue.biennium AND source.approp_period = revenue.biennium_x000d__x000a_GROUP BY revenue.biennium, revenue.est_act, revenue.transaction_type, revenue.maj_func, revenue.min_func, revenue.agency, revenue.program, revenue.fund, revenue.fund+' '+fund.full_title, revenue.fund_group, revenue.major_source, revenue.major_source+' '+majorsource.full_title, revenue.source, revenue.source+' '+source.full_title, revenue.budget_type, revenue_months.fiscal_year, revenue_months.month_x000d__x000a_HAVING (revenue_months.fiscal_year Between '2000' And '2011') AND (revenue.est_act='act') AND (revenue.transaction_type&lt;&gt;'REC') AND (revenue.agency In ('360','365','370','375','376','380','699')) OR (revenue_months.fiscal_year In ('2010','2011')) AND (revenue.est_act='est') AND (revenue.transaction_type&lt;&gt;'REC') AND (revenue.agency In ('360','365','370','375','376','380','699'))"/>
  </connection>
  <connection id="16" xr16:uid="{00000000-0015-0000-FFFF-FFFF0F000000}" name="Query110"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343','360','365','370','375','376','377','380','699')) AND (expend.transaction_type&lt;&gt;'ocb') OR (expend_months.fiscal_year&gt;'2009') AND (expend.est_act='est') AND (expend.agency In ('343','360','365','370','375','376','377','380','699')) AND (expend.transaction_type='FND')"/>
  </connection>
  <connection id="17" xr16:uid="{00000000-0015-0000-FFFF-FFFF10000000}" name="Query111"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OR (expend_months.fiscal_year In ('2012','2013')) AND (expend.est_act='est') AND (expend.agency In ('343','360','365','370','375','376','377','380','699')) AND (expend.transaction_type='fnd') AND (expend.approp_char='c') AND (Appropriation.Tttl Like 'prevent%'))"/>
  </connection>
  <connection id="18" xr16:uid="{00000000-0015-0000-FFFF-FFFF11000000}" name="Query112"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OR (expend_months.fiscal_year&gt;'2009') AND (expend.est_act='est') AND (expend.agency In ('135','340','343','360','365','370','375','376','377','380','699')) AND (expend.transaction_type='FND')"/>
  </connection>
  <connection id="19" xr16:uid="{00000000-0015-0000-FFFF-FFFF12000000}" name="Query113"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OR (expend_months.fiscal_year In ('2012','2013')) AND (expend.est_act='est') AND (expend.agency In ('343','360','365','370','375','376','377','380','699')) AND (expend.transaction_type='fnd') AND (expend.approp_char='c') AND (Appropriation.Tttl Like 'prevent%'))"/>
  </connection>
  <connection id="20" xr16:uid="{00000000-0015-0000-FFFF-FFFF13000000}" name="Query114"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OR (expend_months.fiscal_year&gt;'2009') AND (expend.est_act='est') AND (expend.agency In ('135','340','343','360','365','370','375','376','377','380','699')) AND (expend.transaction_type='FND')"/>
  </connection>
  <connection id="21" xr16:uid="{00000000-0015-0000-FFFF-FFFF14000000}" name="Query115"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OR (expend_months.fiscal_year In ('2012','2013')) AND (expend.est_act='est') AND (expend.agency In ('343','360','365','370','375','376','377','380','699','340','135')) AND (expend.transaction_type='fnd') AND (expend.approp_char='c') AND (Appropriation.Tttl Like 'prevent%'))"/>
  </connection>
  <connection id="22" xr16:uid="{00000000-0015-0000-FFFF-FFFF15000000}" name="Query116"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In ('2009','2010','2011','2012')) AND (expend.est_act='act') AND (expend.agency In ('343','360','365','370','375','376','377','380','699','340','135')) AND (expend.transaction_type&lt;&gt;'ocb') AND (expend.approp_char='c') AND (Appropriation.Tttl Like 'prevent%') OR (expend_months.fiscal_year In ('2012','2013')) AND (expend.est_act='est') AND (expend.agency In ('343','360','365','370','375','376','377','380','699','340','135')) AND (expend.transaction_type='fnd') AND (expend.approp_char='c') AND (Appropriation.Tttl Like 'prevent%'))"/>
  </connection>
  <connection id="23" xr16:uid="{00000000-0015-0000-FFFF-FFFF16000000}" name="Query117"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OR (expend_months.fiscal_year&gt;'2009') AND (expend.est_act='est') AND (expend.agency In ('135','340','343','360','365','370','375','376','377','380','699')) AND (expend.transaction_type='FND')"/>
  </connection>
  <connection id="24" xr16:uid="{00000000-0015-0000-FFFF-FFFF17000000}" name="Query118" type="1" refreshedVersion="4" saveData="1">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connection>
  <connection id="25" xr16:uid="{00000000-0015-0000-FFFF-FFFF18000000}" name="Query119"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In ('2009','2010','2011','2012')) AND (expend.est_act='act') AND (expend.agency In ('343','360','365','370','375','376','377','380','699','340','135')) AND (expend.transaction_type&lt;&gt;'ocb') AND (expend.approp_char='c') AND (Appropriation.Tttl Like 'prevent%') OR (expend_months.fiscal_year In ('2013')) AND (expend.est_act='est') AND (expend.agency In ('343','360','365','370','375','376','377','380','699','340','135')) AND (expend.transaction_type='fnd') AND (expend.approp_char='c') AND (Appropriation.Tttl Like 'prevent%'))"/>
  </connection>
  <connection id="26" xr16:uid="{00000000-0015-0000-FFFF-FFFF19000000}" name="Query12" type="1" refreshedVersion="3">
    <dbPr connection="DSN=Clallam;Description=Clallam;UID=mann_mi;Trusted_Connection=Yes;APP=2007 Microsoft Office system;WSID=LEGMANN-MI;DATABASE=OFMMonitor" command="SELECT expend.biennium, expend.budget_type, expend.transaction_type, expend.agency, expend.approp_char, expend.fund, expend.approp_type, expend.fund+'-'+expend.approp_type AS 'FundCode', expend.fund_group, expend_years.fiscal_year, expend_years.ytd_amount_x000d__x000a_FROM OFMMonitor.dbo.expend expend, OFMMonitor.dbo.expend_years expend_years_x000d__x000a_WHERE expend_years.record_key = expend.record_key AND ((expend_years.fiscal_year&gt;'1999') AND (expend.est_act='act') AND (expend.agency In ('343','360','365','370','375','376','377','380','699')))"/>
  </connection>
  <connection id="27" xr16:uid="{00000000-0015-0000-FFFF-FFFF1A000000}" name="Query120" type="1" refreshedVersion="4" saveData="1">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connection>
  <connection id="28" xr16:uid="{00000000-0015-0000-FFFF-FFFF1B000000}" name="Query121"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In ('2009','2010','2011','2013')) AND (expend.est_act='act') AND (expend.agency In ('343','360','365','370','375','376','377','380','699','340','135')) AND (expend.transaction_type&lt;&gt;'ocb') AND (expend.approp_char='c') AND (Appropriation.Tttl Like 'prevent%') OR (expend_months.fiscal_year In ('2014','2015')) AND (expend.est_act='est') AND (expend.agency In ('343','360','365','370','375','376','377','380','699','340','135')) AND (expend.transaction_type='fnd') AND (expend.approp_char='c') AND (Appropriation.Tttl Like 'prevent%'))"/>
  </connection>
  <connection id="29" xr16:uid="{00000000-0015-0000-FFFF-FFFF1C000000}" name="Query122"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Between '2009' And '2013') AND (expend.est_act='act') AND (expend.agency In ('343','360','365','370','375','376','377','380','699','340','135')) AND (expend.transaction_type&lt;&gt;'ocb') AND (expend.approp_char='c') AND (Appropriation.Tttl Like 'prevent%') OR (expend_months.fiscal_year In ('2014','2015')) AND (expend.est_act='est') AND (expend.agency In ('343','360','365','370','375','376','377','380','699','340','135')) AND (expend.transaction_type='fnd') AND (expend.approp_char='c') AND (Appropriation.Tttl Like 'prevent%'))"/>
  </connection>
  <connection id="30" xr16:uid="{00000000-0015-0000-FFFF-FFFF1D000000}" name="Query123" type="1" refreshedVersion="4">
    <dbPr connection="DSN=Clallam;Description=Clallam;UID=mann_mi;Trusted_Connection=Yes;APP=Microsoft Office 2010;WSID=LEGMANN-MI;DATABASE=Hamms" command="SELECT FundHistory.Agy, FundHistory.BudChar, Fund+'-'+AppType AS 'FundCode', FundHistory.FY, Sum(FundHistory.Amount) AS 'Sum of Amount'_x000d__x000a_FROM Hamms.dbo.FundHistory FundHistory_x000d__x000a_GROUP BY FundHistory.Agy, FundHistory.BudChar, Fund+'-'+AppType, FundHistory.FY"/>
  </connection>
  <connection id="31" xr16:uid="{00000000-0015-0000-FFFF-FFFF1E000000}" name="Query124" type="1" refreshedVersion="5" saveData="1">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135','340','343','360','365','370','375','376','377','380','699')) AND (expend.transaction_type&lt;&gt;'ocb')"/>
  </connection>
  <connection id="32" xr16:uid="{00000000-0015-0000-FFFF-FFFF1F000000}" name="Query125" type="1" refreshedVersion="5">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 Between '2009' And '2014') AND (expend.est_act='act') AND (expend.agency In ('343','360','365','370','375','376','377','380','699','340','135')) AND (expend.transaction_type&lt;&gt;'ocb') AND (expend.approp_char='c') AND (Appropriation.Tttl Like 'prevent%') OR (expend_months.fiscal_year In ('2015')) AND (expend.est_act='est') AND (expend.agency In ('343','360','365','370','375','376','377','380','699','340','135')) AND (expend.transaction_type='fnd') AND (expend.approp_char='c') AND (Appropriation.Tttl Like 'prevent%'))"/>
  </connection>
  <connection id="33" xr16:uid="{00000000-0015-0000-FFFF-FFFF20000000}" name="Query126" type="1" refreshedVersion="5" saveData="1">
    <dbPr connection="DSN=Clallam;Description=Clallam;UID=mann_mi;Trusted_Connection=Yes;APP=2007 Microsoft Office system;WSID=LEGMANN-MI;DATABASE=OFMMonitor" command="SELECT expend.biennium, expend.est_act, expend.budget_type, expend.transaction_type, expend.approp_char, expend.fund, expend.approp_type, expend.fund+'-'+expend.approp_type AS 'FundCode', expend.fund_group, expend_months.fiscal_year,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pprop_char, expend.fund, expend.approp_type, expend.fund+'-'+expend.approp_type, expend.fund_group, expend_months.fiscal_year_x000d__x000a_HAVING (expend_months.fiscal_year&gt;'1999') AND (expend.est_act='act') AND (expend.fund In ('001','02V','09V','139','181','299','760','08A','489','17F','17C')) AND (expend.approp_type In ('1','4')) AND (expend.transaction_type&lt;&gt;'ocb')"/>
  </connection>
  <connection id="34" xr16:uid="{00000000-0015-0000-FFFF-FFFF21000000}" name="Query127"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2015') AND (Revenue.EstimateActual='act') AND (Revenue.Fund='149') AND (Revenue.TransactionType&lt;&gt;'rec') OR (Revenue.FY='2016') AND (Revenue.EstimateActual='act') AND (Revenue.Fund='149') AND (Revenue.TransactionType&lt;&gt;'rec') OR (Revenue.FY='2017') AND (Revenue.EstimateActual='act') AND (Revenue.Fund='149') AND (Revenue.TransactionType&lt;&gt;'rec') OR (Revenue.FY&gt;'2017') AND (Revenue.EstimateActual='est') AND (Revenue.Fund='149') AND (Revenue.TransactionType&lt;&gt;'rec')"/>
  </connection>
  <connection id="35" xr16:uid="{00000000-0015-0000-FFFF-FFFF22000000}" name="Query128"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connection>
  <connection id="36" xr16:uid="{00000000-0015-0000-FFFF-FFFF23000000}" name="Query129"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 In ('2014','2015','2016','2017')) AND (ExpenditureAgency.TransactionType&lt;&gt;'ocb')"/>
  </connection>
  <connection id="37" xr16:uid="{00000000-0015-0000-FFFF-FFFF24000000}" name="Query13" type="1" refreshedVersion="3">
    <dbPr connection="DSN=Clallam;Description=Clallam;UID=mann_mi;Trusted_Connection=Yes;APP=2007 Microsoft Office system;WSID=LEGMANN-MI;DATABASE=OFMMonitor" command="SELECT expend.biennium, expend.budget_type, expend.transaction_type, expend.agency, expend.approp_char, expend.fund, expend.approp_type, expend.fund+'-'+expend.approp_type AS 'FundCode', expend.fund_group, expend_years.fiscal_year, expend_years.ytd_amount_x000d__x000a_FROM OFMMonitor.dbo.expend expend, OFMMonitor.dbo.expend_years expend_years_x000d__x000a_WHERE expend_years.record_key = expend.record_key AND ((expend_years.fiscal_year&gt;'1999') AND (expend.est_act='act') AND (expend.agency In ('343','360','365','370','375','376','377','380','699')) AND (expend.transaction_type&lt;&gt;'ocb') OR (expend_years.fiscal_year&gt;'2009') AND (expend.est_act='est') AND (expend.agency In ('343','360','365','370','375','376','377','380','699')) AND (expend.transaction_type='fnd'))"/>
  </connection>
  <connection id="38" xr16:uid="{00000000-0015-0000-FFFF-FFFF25000000}" name="Query130"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 In ('2014','2015','2016','2017')) AND (ExpenditureAgency.TransactionType&lt;&gt;'ocb') AND (Appropriation.Title50 Like 'preventive%')"/>
  </connection>
  <connection id="39" xr16:uid="{00000000-0015-0000-FFFF-FFFF26000000}" name="Query131" type="1" refreshedVersion="6" saveData="1">
    <dbPr connection="DSN=Clallam;Description=Clallam;UID=mann_mi;Trusted_Connection=Yes;APP=Microsoft Office 2013;WSID=LEGMANN-MI;DATABASE=BudgetPublic" command="SELECT FundingCap.Biennium, FundingCap.VersionCode, FundingCap.Agency, FundingCap.ProjectId, ProjectTitleCap.ProjectTitle, FundingCap.ItemGroup, FundingCap.Fund+'-'+FundingCap.AppropType AS 'FundCode', FundingCap.AmountNewAppropFY1_x000d__x000a_FROM BudgetPublic.dbo.FundingCap FundingCap, BudgetPublic.dbo.ProjectTitleCap ProjectTitleCap_x000d__x000a_WHERE ProjectTitleCap.Agency = FundingCap.Agency AND ProjectTitleCap.Biennium = FundingCap.Biennium AND ProjectTitleCap.ProjectId = FundingCap.ProjectId AND ((FundingCap.VersionCode='C04') AND (ProjectTitleCap.ProjectTitle Like 'Preventive%'))"/>
  </connection>
  <connection id="40" xr16:uid="{00000000-0015-0000-FFFF-FFFF27000000}" name="Query132" type="1" refreshedVersion="6" saveData="1">
    <dbPr connection="DSN=Clallam;Description=Clallam;UID=mann_mi;Trusted_Connection=Yes;APP=Microsoft Office 2013;WSID=LEGMANN-MI;DATABASE=BudgetPublic" command="SELECT FundingCap.Biennium, FundingCap.VersionCode, FundingCap.Agency, FundingCap.ProjectId, ProjectTitleCap.ProjectTitle, FundingCap.ItemGroup, FundingCap.Fund+'-'+FundingCap.AppropType AS 'FundCode', FundingCap.AmountNewAppropFY1_x000d__x000a_FROM BudgetPublic.dbo.FundingCap FundingCap, BudgetPublic.dbo.ProjectTitleCap ProjectTitleCap_x000d__x000a_WHERE ProjectTitleCap.Agency = FundingCap.Agency AND ProjectTitleCap.Biennium = FundingCap.Biennium AND ProjectTitleCap.ProjectId = FundingCap.ProjectId AND ((FundingCap.VersionCode='C04') AND (ProjectTitleCap.ProjectTitle Like '%preventive%') OR (FundingCap.VersionCode='C04') AND (ProjectTitleCap.ProjectTitle Like '%preventative%'))"/>
  </connection>
  <connection id="41" xr16:uid="{00000000-0015-0000-FFFF-FFFF28000000}" name="Query133"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18') AND (Revenue.EstimateActual='act') AND (Revenue.Fund='149') AND (Revenue.TransactionType&lt;&gt;'rec') OR (Revenue.FY='2019') AND (Revenue.EstimateActual='est') AND (Revenue.Fund='149') AND (Revenue.TransactionType&lt;&gt;'rec')"/>
  </connection>
  <connection id="42" xr16:uid="{00000000-0015-0000-FFFF-FFFF28000000}" name="Query134"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19') AND (Revenue.EstimateActual='act') AND (Revenue.Fund='149') AND (Revenue.TransactionType&lt;&gt;'rec') OR (Revenue.FY='2020' Or Revenue.FY='2021') AND (Revenue.EstimateActual='est') AND (Revenue.Fund='149') AND (Revenue.TransactionType&lt;&gt;'rec')"/>
  </connection>
  <connection id="43" xr16:uid="{00000000-0015-0000-FFFF-FFFF03000000}" name="Query135"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AND (ExpenditureAgency.Agency In ('340','343','360','365','370','375','376','380','699'))"/>
  </connection>
  <connection id="44" xr16:uid="{00000000-0015-0000-FFFF-FFFF03000000}" name="Query136"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AND (ExpenditureAgency.Agency In ('340','343','360','365','370','375','376','380','699'))"/>
  </connection>
  <connection id="45" xr16:uid="{00000000-0015-0000-FFFF-FFFF08000000}" name="Query137" type="1" refreshedVersion="8"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 In ('2022','2023')) AND (FundHistory.Amount&lt;&gt;0)"/>
  </connection>
  <connection id="46" xr16:uid="{00000000-0015-0000-FFFF-FFFF27000000}" name="Query138" type="1" refreshedVersion="6" saveData="1">
    <dbPr connection="DSN=Clallam;Description=Clallam;UID=mann_mi;Trusted_Connection=Yes;APP=Microsoft Office 2013;WSID=LEGMANN-MI;DATABASE=BuildsumPublic" command="SELECT ProjectFunding.Biennium, ProjectFunding.VersionCode, ProjectFunding.Agency, ProjectFunding.ProjectId, ProjectTitleCap.ProjectTitle, ProjectFunding.ItemGroup, ProjectFunding.Fund+'-'+ProjectFunding.AppropType AS 'FundCode', ProjectFunding.AmountNewAppropFY1_x000d__x000a_FROM BuildsumPublic.dbo.ProjectFunding ProjectFunding, BuildsumPublic.dbo.ProjectTitle ProjectTitleCap_x000d__x000a_WHERE ProjectTitleCap.Agency = ProjectFunding.Agency AND ProjectTitleCap.Biennium = ProjectFunding.Biennium AND ProjectTitleCap.ProjectId = ProjectFunding.ProjectId AND ((ProjectFunding.VersionCode='c02') AND (ProjectTitleCap.ProjectTitle Like '%preventive%') AND (ProjectTitleCap.Biennium='2019-21') OR (ProjectFunding.VersionCode='c02') AND (ProjectTitleCap.ProjectTitle Like '%preventative%') AND (ProjectTitleCap.Biennium='2019-21'))"/>
  </connection>
  <connection id="47" xr16:uid="{00000000-0015-0000-FFFF-FFFF08000000}" name="Query139"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connection>
  <connection id="48" xr16:uid="{00000000-0015-0000-FFFF-FFFF29000000}" name="Query14" type="1" refreshedVersion="3">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years.fiscal_year, expend_years.ytd_amount_x000d__x000a_FROM OFMMonitor.dbo.expend expend, OFMMonitor.dbo.expend_years expend_years_x000d__x000a_WHERE expend_years.record_key = expend.record_key AND ((expend_years.fiscal_year&gt;'1999') AND (expend.est_act='act') AND (expend.agency In ('343','360','365','370','375','376','377','380','699')) AND (expend.transaction_type&lt;&gt;'ocb') OR (expend_years.fiscal_year&gt;'2009') AND (expend.est_act='est') AND (expend.agency In ('343','360','365','370','375','376','377','380','699')) AND (expend.transaction_type='FND'))"/>
  </connection>
  <connection id="49" xr16:uid="{00000000-0015-0000-FFFF-FFFF28000000}" name="Query140"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19') AND (Revenue.EstimateActual='act') AND (Revenue.Fund='149') AND (Revenue.TransactionType&lt;&gt;'rec') OR (Revenue.FY='2020') AND (Revenue.EstimateActual='est') AND (Revenue.Fund='149') AND (Revenue.TransactionType&lt;&gt;'rec') OR (Revenue.FY='2021') AND (Revenue.EstimateActual='est') AND (Revenue.Fund='149') AND (Revenue.TransactionType&lt;&gt;'rec')"/>
  </connection>
  <connection id="50" xr16:uid="{00000000-0015-0000-FFFF-FFFF08000000}" name="Query141"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24J','315','489','608','609')) AND (FundHistory.Agency In ('360','365','370','375','376','380','699'))"/>
  </connection>
  <connection id="51" xr16:uid="{00000000-0015-0000-FFFF-FFFF03000000}" name="Query142"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Agency In ('340','343','360','365','370','375','376','380','699')) AND (ExpenditureAgency.Fund Not In ('001','08A','17C','17F')) AND (ExpenditureAgency.AppropType='1' Or ExpenditureAgency.AppropType='8') OR (ExpenditureAgency.EstimateActual='act') AND (ExpenditureAgency.FY&gt;'1999') AND (ExpenditureAgency.TransactionType&lt;&gt;'ocb') AND (ExpenditureAgency.Agency In ('340','343','360','365','370','375','376','380','699')) AND (ExpenditureAgency.Fund='149') AND (ExpenditureAgency.AppropType='6')"/>
  </connection>
  <connection id="52" xr16:uid="{00000000-0015-0000-FFFF-FFFF03000000}" name="Query143" type="1" refreshedVersion="8"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Agency In ('340','343','360','365','370','375','376','380','699')) AND (ExpenditureAgency.Fund In ('001','08A','17C','17F')) AND (ExpenditureAgency.AppropType='1') OR (ExpenditureAgency.EstimateActual='act') AND (ExpenditureAgency.FY&gt;'1999') AND (ExpenditureAgency.TransactionType&lt;&gt;'ocb') AND (ExpenditureAgency.Agency In ('340','343','360','365','370','375','376','380','699')) AND (ExpenditureAgency.Fund='001') AND (ExpenditureAgency.AppropType='8') OR (ExpenditureAgency.EstimateActual='act') AND (ExpenditureAgency.FY&gt;'1999') AND (ExpenditureAgency.TransactionType&lt;&gt;'ocb') AND (ExpenditureAgency.Agency In ('340','343','360','365','370','375','376','380','699')) AND (ExpenditureAgency.Fund='149') AND (ExpenditureAgency.AppropType='6')"/>
  </connection>
  <connection id="53" xr16:uid="{00000000-0015-0000-FFFF-FFFF03000000}" name="Query144"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_x000d__x000a_HAVING (ExpenditureAgency.EstimateActual='act') AND (ExpenditureAgency.FY&gt;'1999') AND (ExpenditureAgency.TransactionType&lt;&gt;'ocb') AND (ExpenditureAgency.Agency In ('340','343','360','365','370','375','376','380','699'))"/>
  </connection>
  <connection id="54" xr16:uid="{00000000-0015-0000-FFFF-FFFF03000000}" name="Query145"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_x000d__x000a_HAVING (ExpenditureAgency.EstimateActual='act') AND (ExpenditureAgency.FY&gt;'1999') AND (ExpenditureAgency.TransactionType&lt;&gt;'ocb') AND (ExpenditureAgency.Agency In ('340','343','360','365','370','375','376','380','699')) AND (ExpenditureAgency.Fund In ('02R','09R','24J','15M','315','608','609','489'))"/>
  </connection>
  <connection id="55" xr16:uid="{00000000-0015-0000-FFFF-FFFF03000000}" name="Query146"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_x000d__x000a_HAVING (ExpenditureAgency.EstimateActual='act') AND (ExpenditureAgency.FY&gt;'1999') AND (ExpenditureAgency.TransactionType&lt;&gt;'ocb') AND (ExpenditureAgency.Agency In ('340','343','360','365','370','375','376','380','699')) AND (ExpenditureAgency.Fund In ('02R','09R','24J','15M','315','489','608','609','060','062','063','064','065','066'))"/>
  </connection>
  <connection id="56" xr16:uid="{00000000-0015-0000-FFFF-FFFF03000000}" name="Query147"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ppropriationCharacter, ExpenditureAgency.Agency, ExpenditureAgency.BudgetCharacter, Fund+'-'+AppropType, ExpenditureAgency.FY, ExpenditureAgency.EstimateActual, ExpenditureAgency.Fund_x000d__x000a_HAVING (ExpenditureAgency.EstimateActual='act') AND (ExpenditureAgency.FY&gt;'1999') AND (ExpenditureAgency.TransactionType&lt;&gt;'ocb') AND (ExpenditureAgency.Agency In ('340','343','360','365','370','375','376','380','699')) AND (ExpenditureAgency.Fund In ('02R','09R','24J','15M','315','489','608','609','060','062','063','064','065','066')) AND (ExpenditureAgency.AppropriationCharacter='O')"/>
  </connection>
  <connection id="57" xr16:uid="{00000000-0015-0000-FFFF-FFFF05000000}" name="Query148"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58" xr16:uid="{00000000-0015-0000-FFFF-FFFF22000000}" name="Query149"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Fund In ('001','02V','08A','09V','139','17C','17F','181','299','489','','760')) AND (ExpenditureAgency.AppropType='1') OR (ExpenditureAgency.EstimateActual='act') AND (ExpenditureAgency.FY&gt;'1999') AND (ExpenditureAgency.TransactionType&lt;&gt;'ocb') AND (ExpenditureAgency.Fund='001') AND (ExpenditureAgency.AppropType='4')"/>
  </connection>
  <connection id="59" xr16:uid="{00000000-0015-0000-FFFF-FFFF2A000000}" name="Query15"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_months.fiscal_year, expend_months.month, Sum(expend_months.monthly_amount) AS 'Sum of monthly_amount'_x000d__x000a_FROM OFMMonitor.dbo.expend expend, OFMMonitor.dbo.expend_months expend_months_x000d__x000a_WHERE expend_months.record_key = expend.record_key_x000d__x000a_GROUP BY expend.biennium, expend.est_act, expend.budget_type, expend.transaction_type, expend.agency, expend.approp_char, expend.fund, expend.approp_type, expend.fund+'-'+expend.approp_type, expend.fund_group, expend_months.fiscal_year, expend_months.month_x000d__x000a_HAVING (expend_months.fiscal_year&gt;'1999') AND (expend.est_act='act') AND (expend.agency In ('343','360','365','370','375','376','377','380','699')) AND (expend.transaction_type&lt;&gt;'ocb') OR (expend_months.fiscal_year&gt;'2009') AND (expend.est_act='est') AND (expend.agency In ('343','360','365','370','375','376','377','380','699')) AND (expend.transaction_type='FND')"/>
  </connection>
  <connection id="60" xr16:uid="{00000000-0015-0000-FFFF-FFFF05000000}" name="Query150"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61" xr16:uid="{00000000-0015-0000-FFFF-FFFF05000000}" name="Query151"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OR (ExpenditureAgency.EstimateActual='est') AND (ExpenditureAgency.FY&gt;'2019') AND (ExpenditureAgency.TransactionType='FND') AND (Appropriation.Title50 Like 'preventive%') OR (ExpenditureAgency.EstimateActual='est') AND (ExpenditureAgency.FY&gt;'2019') AND (ExpenditureAgency.TransactionType='FND') AND (Appropriation.Title50 Like 'preventive%')"/>
  </connection>
  <connection id="62" xr16:uid="{00000000-0015-0000-FFFF-FFFF05000000}" name="Query152" type="1" refreshedVersion="8"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63" xr16:uid="{00000000-0015-0000-FFFF-FFFF22000000}" name="Query153" type="1" refreshedVersion="6"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Fund In ('001','02V','08A','09V','139','17C','17F','181','299','489','','760','702')) AND (ExpenditureAgency.AppropType='1') OR (ExpenditureAgency.EstimateActual='act') AND (ExpenditureAgency.FY&gt;'1999') AND (ExpenditureAgency.TransactionType&lt;&gt;'ocb') AND (ExpenditureAgency.Fund='001') AND (ExpenditureAgency.AppropType='4')"/>
  </connection>
  <connection id="64" xr16:uid="{00000000-0015-0000-FFFF-FFFF08000000}" name="Query154"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24J','315','489','608','609')) AND (FundHistory.Agency In ('340','360','365','370','375','376','380','699'))"/>
  </connection>
  <connection id="65" xr16:uid="{00000000-0015-0000-FFFF-FFFF08000000}" name="Query155"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17R','24J','315','489','608','609')) AND (FundHistory.Agency In ('340','360','365','370','375','376','380','699'))"/>
  </connection>
  <connection id="66" xr16:uid="{00000000-0015-0000-FFFF-FFFF08000000}" name="Query156"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17R','24J','315','489','608','609')) AND (FundHistory.Agency In ('340','360','365','370','375','376','380','699')) AND (FundHistory.AppropriationCharacter='O') AND (FundHistory.BudgetType='O')"/>
  </connection>
  <connection id="67" xr16:uid="{00000000-0015-0000-FFFF-FFFF08000000}" name="Query157" type="1" refreshedVersion="6"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gt;'2019') AND (FundHistory.Amount&lt;&gt;0) AND (FundHistory.Fund In ('02R','060','062','063','064','065','066','09R','15M','17R','24J','315','489','608','609')) AND (FundHistory.Agency In ('360','365','370','375','376','380','699'))"/>
  </connection>
  <connection id="68" xr16:uid="{00000000-0015-0000-FFFF-FFFF08000000}" name="Query158"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 AND (Fund_PreHistory.Agency In ('360','365','370','375','376','380','699'))"/>
  </connection>
  <connection id="69" xr16:uid="{00000000-0015-0000-FFFF-FFFF08000000}" name="Query159"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 AND (Fund_PreHistory.Agency In ('340','360','365','370','375','376','380','699'))"/>
  </connection>
  <connection id="70" xr16:uid="{00000000-0015-0000-FFFF-FFFF2B000000}" name="Query16" type="1" refreshedVersion="3">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10') AND (expend.est_act='act') AND (expend.agency In ('343','360','365','370','375','376','377','380','699')) AND (expend.transaction_type&lt;&gt;'ocb') AND (expend.approp_char='c') AND (Appropriation.Tttl Like 'prevent%') OR (expend_months.fiscal_year='2011') AND (expend.est_act='est') AND (expend.agency In ('343','360','365','370','375','376','377','380','699')) AND (expend.transaction_type='FND') AND (expend.approp_char='c') AND (Appropriation.Tttl Like 'prevent%'))"/>
  </connection>
  <connection id="71" xr16:uid="{00000000-0015-0000-FFFF-FFFF08000000}" name="Query160"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 AND (Fund_PreHistory.Agency In ('340','360','365','370','375','376','380','699')) AND (Fund_PreHistory.BudChar='O') AND (Fund_PreHistory.OmniFlag='O')"/>
  </connection>
  <connection id="72" xr16:uid="{00000000-0015-0000-FFFF-FFFF08000000}" name="Query161"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 AND (Fund_PreHistory.Agency In ('340','360','365','370','375','376','380','699')) AND (Fund_PreHistory.BudChar='C')"/>
  </connection>
  <connection id="73" xr16:uid="{00000000-0015-0000-FFFF-FFFF08000000}" name="Query162"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747')) AND (Fund_PreHistory.Agency In ('340','360','365','370','375','376','380','699')) AND (Fund_PreHistory.BudChar='O') AND (Fund_PreHistory.OmniFlag='O')"/>
  </connection>
  <connection id="74" xr16:uid="{00000000-0015-0000-FFFF-FFFF08000000}" name="Query163"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747')) AND (Fund_PreHistory.Approp_Type='1') AND (Fund_PreHistory.Agency In ('340','360','365','370','375','376','380','699')) AND (Fund_PreHistory.BudChar='O') AND (Fund_PreHistory.OmniFlag='O')"/>
  </connection>
  <connection id="75" xr16:uid="{00000000-0015-0000-FFFF-FFFF08000000}" name="Query164"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747')) AND (Fund_PreHistory.Agency In ('340','360','365','370','375','376','380','699')) AND (Fund_PreHistory.BudChar='O') AND (Fund_PreHistory.OmniFlag='O')"/>
  </connection>
  <connection id="76" xr16:uid="{00000000-0015-0000-FFFF-FFFF08000000}" name="Query165"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5M','17R','24J','315','489','608','609','747')) AND (Fund_PreHistory.Agency In ('340','360','365','370','375','376','380','699')) AND (Fund_PreHistory.Approp_Type='1') AND (Fund_PreHistory.BudChar='O') AND (Fund_PreHistory.OmniFlag='O')"/>
  </connection>
  <connection id="77" xr16:uid="{00000000-0015-0000-FFFF-FFFF03000000}" name="Query166" type="1" refreshedVersion="6"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ppropriationCharacter,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Agency In ('340','343','360','365','370','375','376','380','699')) AND (ExpenditureAgency.Fund In ('02R','09R','12P','24J','15M','315','489','608','609','747','060','062','063','064','065','066')) AND (ExpenditureAgency.AppropType='1') AND (ExpenditureAgency.AppropriationCharacter='O')"/>
  </connection>
  <connection id="78" xr16:uid="{00000000-0015-0000-FFFF-FFFF03000000}" name="Query167" type="1" refreshedVersion="8"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ppropriationCharacter,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Agency In ('340','343','360','365','370','375','376','380','699')) AND (ExpenditureAgency.Fund In ('02R','09R','12P','24J','15M','17R','24J','315','489','608','609','747','060','062','063','064','065','066')) AND (ExpenditureAgency.AppropType='1') AND (ExpenditureAgency.AppropriationCharacter='O')"/>
  </connection>
  <connection id="79" xr16:uid="{00000000-0015-0000-FFFF-FFFF08000000}" name="Query168"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2P','15M','17R','24J','315','489','608','609','747')) AND (Fund_PreHistory.Approp_Type='1') AND (Fund_PreHistory.Agency In ('340','360','365','370','375','376','380','699')) AND (Fund_PreHistory.BudChar='O') AND (Fund_PreHistory.OmniFlag='O')"/>
  </connection>
  <connection id="80" xr16:uid="{00000000-0015-0000-FFFF-FFFF08000000}" name="Query169" type="1" refreshedVersion="6" saveData="1">
    <dbPr connection="DSN=Clallam;Description=Clallam;UID=mann_mi;Trusted_Connection=Yes;APP=Microsoft Office 2013;WSID=LEGMANN-MI;DATABASE=Oversight" command="SELECT Fund_PreHistory.Biennium, Fund_PreHistory.Agency, Fund_PreHistory.BudChar, Fund_PreHistory.OmniFlag, Fund+'-'+Approp_Type AS 'Fund', Fund_PreHistory.Fiscal_Year, Fund_PreHistory.Amount_x000d__x000a_FROM PreHistory.dbo.Fund_PreHistory Fund_PreHistory_x000d__x000a_WHERE (Fund_PreHistory.Fiscal_Year&gt;'2019') AND (Fund_PreHistory.Amount&lt;&gt;$0) AND (Fund_PreHistory.Fund In ('02R','060','062','063','064','065','066','09R','12P','15M','17R','24J','315','489','608','609','747')) AND (Fund_PreHistory.Agency In ('340','360','365','370','375','376','380','699')) AND (Fund_PreHistory.Approp_Type='1') AND (Fund_PreHistory.BudChar='O') AND (Fund_PreHistory.OmniFlag='O')"/>
  </connection>
  <connection id="81" xr16:uid="{00000000-0015-0000-FFFF-FFFF2C000000}" name="Query17" type="1" refreshedVersion="3">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Or expend_months.fiscal_year='2010') AND (expend.est_act='act') AND (expend.agency In ('343','360','365','370','375','376','377','380','699')) AND (expend.transaction_type&lt;&gt;'ocb') AND (expend.approp_char='c') AND (Appropriation.Tttl Like 'prevent%') OR (expend_months.fiscal_year='2011') AND (expend.est_act='est') AND (expend.agency In ('343','360','365','370','375','376','377','380','699')) AND (expend.transaction_type='FND') AND (expend.approp_char='c') AND (Appropriation.Tttl Like 'prevent%'))"/>
  </connection>
  <connection id="82" xr16:uid="{00000000-0015-0000-FFFF-FFFF28000000}" name="Query170" type="1" refreshedVersion="6"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19') AND (Revenue.EstimateActual='act') AND (Revenue.Fund='149') AND (Revenue.TransactionType&lt;&gt;'rec') OR (Revenue.FY='2020') AND (Revenue.EstimateActual='est') AND (Revenue.Fund='149') AND (Revenue.TransactionType&lt;&gt;'rec') OR (Revenue.FY='2021') AND (Revenue.EstimateActual='est') AND (Revenue.Fund='149') AND (Revenue.TransactionType&lt;&gt;'rec')"/>
  </connection>
  <connection id="83" xr16:uid="{00000000-0015-0000-FFFF-FFFF27000000}" name="Query171" type="1" refreshedVersion="8" saveData="1">
    <dbPr connection="DSN=Clallam;Description=Clallam;UID=mann_mi;Trusted_Connection=Yes;APP=Microsoft Office 2013;WSID=LEGMANN-MI;DATABASE=BuildsumPublic" command="SELECT ProjectFunding.Biennium, ProjectFunding.VersionCode, ProjectFunding.Agency, ProjectFunding.ProjectId, ProjectTitleCap.ProjectTitle, ProjectFunding.ItemGroup, ProjectFunding.Fund+'-'+ProjectFunding.AppropType AS 'FundCode', ProjectFunding.AmountNewAppropFY1_x000d__x000a_FROM BuildsumPublic.dbo.ProjectFunding ProjectFunding, BuildsumPublic.dbo.ProjectTitle ProjectTitleCap_x000d__x000a_WHERE ProjectTitleCap.Agency = ProjectFunding.Agency AND ProjectTitleCap.Biennium = ProjectFunding.Biennium AND ProjectTitleCap.ProjectId = ProjectFunding.ProjectId AND ((ProjectFunding.VersionCode='ENACTED') AND (ProjectTitleCap.ProjectTitle Like '%preventive%') AND (ProjectTitleCap.Biennium='2021-23') AND (ProjectFunding.SessionType='S1') OR (ProjectFunding.VersionCode='ENACTED') AND (ProjectTitleCap.ProjectTitle Like '%preventative%') AND (ProjectTitleCap.Biennium='2021-23') AND (ProjectFunding.SessionType='S1'))"/>
  </connection>
  <connection id="84" xr16:uid="{00000000-0015-0000-FFFF-FFFF08000000}" name="Query172" type="1" refreshedVersion="6"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19-21') AND (FundHistory.Fund In ('02R','060','062','063','064','065','066','09R','12P','15M','17R','24J','315','489','608','609','747')) AND (FundHistory.Agency In ('340','360','365','370','375','376','380','699')) AND (FundHistory.AppropriationCharacter='O') AND (FundHistory.BudgetType='O')"/>
  </connection>
  <connection id="85" xr16:uid="{00000000-0015-0000-FFFF-FFFF08000000}" name="Query173" type="1" refreshedVersion="7"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21-23') AND (FundHistory.Fund In ('02R','060','062','063','064','065','066','09R','12P','15M','17R','24J','315','489','608','609','747')) AND (FundHistory.Agency In ('340','360','365','370','375','376','380','699')) AND (FundHistory.AppropriationCharacter='O') AND (FundHistory.BudgetType='O') AND (FundHistory.AppropType='1')"/>
  </connection>
  <connection id="86" xr16:uid="{00000000-0015-0000-FFFF-FFFF08000000}" name="Query174" type="1" refreshedVersion="8"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21-23') AND (FundHistory.Fund In ('02R','060','062','063','064','065','066','09R','12P','15M','17R','24J','315','489','608','609','747')) AND (FundHistory.Agency In ('340','360','365','370','375','376','380','699')) AND (FundHistory.AppropriationCharacter='O') AND (FundHistory.BudgetType='O') AND (FundHistory.AppropType='1')"/>
  </connection>
  <connection id="87" xr16:uid="{00000000-0015-0000-FFFF-FFFF22000000}" name="Query175" type="1" refreshedVersion="8" background="1" saveData="1">
    <dbPr connection="DSN=Clallam;Description=Clallam;UID=mann_mi;Trusted_Connection=Yes;APP=Microsoft Office 2013;WSID=LEGMANN-MI;DATABASE=Oversight;" command="SELECT ExpenditureAgency.TransactionType, ExpenditureAgency.Agency, ExpenditureAgency.BudgetCharacter, Fund+'-'+AppropType AS 'FundCode', ExpenditureAgency.FY, Sum(ExpenditureAgency.Amount) AS 'Sum of Amount'_x000d__x000a_FROM Oversight.dbo.ExpenditureAgency ExpenditureAgency_x000d__x000a_GROUP BY ExpenditureAgency.TransactionType, ExpenditureAgency.Agency, ExpenditureAgency.BudgetCharacter, Fund+'-'+AppropType, ExpenditureAgency.FY, ExpenditureAgency.EstimateActual, ExpenditureAgency.Fund, ExpenditureAgency.AppropType_x000d__x000a_HAVING (ExpenditureAgency.EstimateActual='act') AND (ExpenditureAgency.FY&gt;'1999') AND (ExpenditureAgency.TransactionType&lt;&gt;'ocb') AND (ExpenditureAgency.Fund In ('001','02V','08A','09V','139','17C','17F','181','24J','299','489','','760','702')) AND (ExpenditureAgency.AppropType='1') OR (ExpenditureAgency.EstimateActual='act') AND (ExpenditureAgency.FY&gt;'1999') AND (ExpenditureAgency.TransactionType&lt;&gt;'ocb') AND (ExpenditureAgency.Fund='001') AND (ExpenditureAgency.AppropType='4')"/>
  </connection>
  <connection id="88" xr16:uid="{00000000-0015-0000-FFFF-FFFF28000000}" name="Query176" type="1" refreshedVersion="8"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22') AND (Revenue.EstimateActual='act') AND (Revenue.Fund='149') AND (Revenue.TransactionType&lt;&gt;'rec') OR (Revenue.FY&gt;'2022') AND (Revenue.EstimateActual='est') AND (Revenue.Fund='149') AND (Revenue.TransactionType&lt;&gt;'rec')"/>
  </connection>
  <connection id="89" xr16:uid="{00000000-0015-0000-FFFF-FFFF08000000}" name="Query177" type="1" refreshedVersion="8"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 In ('2022','2023')) AND (FundHistory.Amount&lt;&gt;0)"/>
  </connection>
  <connection id="90" xr16:uid="{00000000-0015-0000-FFFF-FFFF08000000}" name="Query178" type="1" refreshedVersion="8"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 In ('2022','2023'))"/>
  </connection>
  <connection id="91" xr16:uid="{00000000-0015-0000-FFFF-FFFF28000000}" name="Query179" type="1" refreshedVersion="8" saveData="1">
    <dbPr connection="DSN=Clallam;Description=Clallam;UID=mann_mi;Trusted_Connection=Yes;APP=Microsoft Office 2013;WSID=LEGMANN-MI;DATABASE=Oversight;" command="SELECT Revenue.EstimateActual, Revenue.TransactionType, Revenue.Agency, Revenue.BudgetCharacter, Revenue.Fund, Revenue.MajorSourceCode, Revenue.SourceCode, Revenue.ITType, Revenue.FY, Revenue.FiscalMonth, Revenue.Amount, Revenue.FundGroup_x000d__x000a_FROM Oversight.dbo.Revenue Revenue_x000d__x000a_WHERE (Revenue.FY Between '2015' And '2024') AND (Revenue.EstimateActual='act') AND (Revenue.Fund='149') AND (Revenue.TransactionType&lt;&gt;'rec') OR (Revenue.FY&gt;'2024') AND (Revenue.EstimateActual='est') AND (Revenue.Fund='149') AND (Revenue.TransactionType&lt;&gt;'rec')"/>
  </connection>
  <connection id="92" xr16:uid="{00000000-0015-0000-FFFF-FFFF2D000000}" name="Query18"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connection>
  <connection id="93" xr16:uid="{00000000-0015-0000-FFFF-FFFF08000000}" name="Query180" type="1" refreshedVersion="8" saveData="1">
    <dbPr connection="DSN=Clallam;Description=Clallam;UID=mann_mi;Trusted_Connection=Yes;APP=Microsoft Office 2013;WSID=LEGMANN-MI;DATABASE=Oversight;" command="SELECT FundHistory.Biennium, FundHistory.EntityCode, FundHistory.AppropriationCharacter, Fund+'-'+AppropType AS 'FundCode', FundHistory.AppropType, FundHistory.FY, FundHistory.Amount, FundHistory.Agency, FundHistory.BudgetType_x000d__x000a_FROM Oversight.dbo.FundHistory FundHistory_x000d__x000a_WHERE (FundHistory.FY In ('2024','2025'))"/>
  </connection>
  <connection id="94" xr16:uid="{00000000-0015-0000-FFFF-FFFF27000000}" name="Query181" type="1" refreshedVersion="8" saveData="1">
    <dbPr connection="DSN=Clallam;Description=Clallam;UID=mann_mi;Trusted_Connection=Yes;APP=Microsoft Office 2013;WSID=LEGMANN-MI;DATABASE=BuildsumPublic;" command="SELECT ProjectFunding.Biennium, ProjectFunding.VersionCode, ProjectFunding.Agency, ProjectFunding.ProjectId, ProjectTitleCap.ProjectTitle, ProjectFunding.ItemGroup, ProjectFunding.Fund+'-'+ProjectFunding.AppropType AS 'FundCode', ProjectFunding.AmountNewAppropFY1_x000d__x000a_FROM BuildsumPublic.dbo.ProjectFunding ProjectFunding, BuildsumPublic.dbo.ProjectTitle ProjectTitleCap_x000d__x000a_WHERE ProjectTitleCap.Agency = ProjectFunding.Agency AND ProjectTitleCap.Biennium = ProjectFunding.Biennium AND ProjectTitleCap.ProjectId = ProjectFunding.ProjectId AND ((ProjectFunding.VersionCode='ENACTED') AND (ProjectTitleCap.ProjectTitle Like '%preventive%') AND (ProjectTitleCap.Biennium='2023-25') AND (ProjectFunding.SessionType='R1') OR (ProjectFunding.VersionCode='ENACTED') AND (ProjectTitleCap.ProjectTitle Like '%preventative%') AND (ProjectTitleCap.Biennium='2023-25') AND (ProjectFunding.SessionType='R1'))"/>
  </connection>
  <connection id="95" xr16:uid="{00000000-0015-0000-FFFF-FFFF08000000}" name="Query182" type="1" refreshedVersion="8"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23-25') AND (FundHistory.Fund In ('02R','060','062','063','064','065','066','09R','12P','15M','17R','24J','315','489','608','609','747')) AND (FundHistory.Agency In ('340','360','365','370','375','376','380','699')) AND (FundHistory.AppropriationCharacter='O') AND (FundHistory.BudgetType='O') AND (FundHistory.AppropType='1')"/>
  </connection>
  <connection id="96" xr16:uid="{00000000-0015-0000-FFFF-FFFF08000000}" name="Query183" type="1" refreshedVersion="8" saveData="1">
    <dbPr connection="DSN=Clallam;Description=Clallam;UID=mann_mi;Trusted_Connection=Yes;APP=Microsoft Office 2013;WSID=LEGMANN-MI;DATABASE=Oversight;" command="SELECT FundHistory.Biennium, FundHistory.Agency, FundHistory.AppropriationCharacter, FundHistory.BudgetType, Fund+'-'+AppropType AS 'FundCode', FundHistory.FY, FundHistory.Amount_x000d__x000a_FROM Oversight.dbo.FundHistory FundHistory_x000d__x000a_WHERE (FundHistory.Biennium='2023-25') AND (FundHistory.Fund In ('02R','060','062','063','064','065','066','09R','12P','15M','17R','24J','315','489','608','609','747')) AND (FundHistory.Agency In ('340','360','365','370','375','376','380','699')) AND (FundHistory.AppropriationCharacter='O') AND (FundHistory.BudgetType='O') AND (FundHistory.AppropType='1')"/>
  </connection>
  <connection id="97" xr16:uid="{00000000-0015-0000-FFFF-FFFF05000000}" name="Query184" type="1" refreshedVersion="8" background="1" saveData="1">
    <dbPr connection="DSN=Clallam;Description=Clallam;UID=mann_mi;Trusted_Connection=Yes;APP=Microsoft Office 2013;WSID=LEGMANN-MI;DATABASE=Oversight;" command="SELECT ExpenditureAgency.TransactionType, ExpenditureAgency.AppropriationCharacter, ExpenditureAgency.Agency, ExpenditureAgency.BudgetCharacter, ExpenditureAgency.Fund+'-'+ExpenditureAgency.AppropType AS 'FundCode', Appropriation.Title50, ExpenditureAgency.FY, Sum(ExpenditureAgency.Amount) AS 'Sum of Amount'_x000d__x000a_FROM Titles.dbo.Appropriation Appropriation, Oversight.dbo.ExpenditureAgency ExpenditureAgency_x000d__x000a_WHERE Appropriation.Agency = ExpenditureAgency.Agency AND Appropriation.Appropriation = ExpenditureAgency.Appropriation AND Appropriation.Biennium = ExpenditureAgency.Biennium AND Appropriation.Fund = ExpenditureAgency.Fund_x000d__x000a_GROUP BY ExpenditureAgency.TransactionType, ExpenditureAgency.AppropriationCharacter, ExpenditureAgency.Agency, ExpenditureAgency.BudgetCharacter, ExpenditureAgency.Fund+'-'+ExpenditureAgency.AppropType, Appropriation.Title50, ExpenditureAgency.FY, ExpenditureAgency.EstimateActual_x000d__x000a_HAVING (ExpenditureAgency.EstimateActual='act') AND (ExpenditureAgency.FY&gt;'1999') AND (ExpenditureAgency.TransactionType&lt;&gt;'ocb') AND (Appropriation.Title50 Like '%preventive%') OR (ExpenditureAgency.EstimateActual='act') AND (ExpenditureAgency.FY&gt;'1999') AND (ExpenditureAgency.TransactionType&lt;&gt;'ocb') AND (Appropriation.Title50 Like '%preventative%')"/>
  </connection>
  <connection id="98" xr16:uid="{00000000-0015-0000-FFFF-FFFF2E000000}" name="Query19" type="1" refreshedVersion="4">
    <dbPr connection="DSN=Clallam;Description=Clallam;UID=mann_mi;Trusted_Connection=Yes;APP=2007 Microsoft Office system;WSID=LEGMANN-MI;DATABASE=OFMMonitor;" command="SELECT expend.biennium, expend.est_act, expend.budget_type, expend.transaction_type, expend.agency, expend.approp_char, expend.fund, expend.approp_type, expend.fund+'-'+expend.approp_type AS 'FundCode', expend.fund_group, expend.appropriation, Appropriation.Tttl, expend_months.fiscal_year, expend_months.month, expend_months.monthly_amount_x000d__x000a_FROM Hamms.dbo.Appropriation Appropriation, OFMMonitor.dbo.expend expend, OFMMonitor.dbo.expend_months expend_months_x000d__x000a_WHERE expend_months.record_key = expend.record_key AND Appropriation.Bien = expend.biennium AND Appropriation.Appn = expend.appropriation AND Appropriation.Agy = expend.agency AND ((expend_months.fiscal_year='2009') AND (expend.est_act='act') AND (expend.agency In ('343','360','365','370','375','376','377','380','699')) AND (expend.transaction_type&lt;&gt;'ocb') AND (expend.approp_char='c') AND (Appropriation.Tttl Like 'prevent%') OR (expend_months.fiscal_year='2010') AND (expend.est_act='act') AND (expend.agency In ('343','360','365','370','375','376','377','380','699')) AND (expend.transaction_type&lt;&gt;'ocb') AND (expend.approp_char='c') AND (Appropriation.Tttl Like 'prevent%') OR (expend_months.fiscal_year='2011') AND (expend.est_act='act') AND (expend.agency In ('343','360','365','370','375','376','377','380','699')) AND (expend.transaction_type&lt;&gt;'ocb') AND (expend.approp_char='c') AND (Appropriation.Tttl Like 'prevent%') OR (expend_months.fiscal_year In ('2012','2013')) AND (expend.est_act='est') AND (expend.agency In ('343','360','365','370','375','376','377','380','699')) AND (expend.transaction_type='fnd') AND (expend.approp_char='c') AND (Appropriation.Tttl Like 'preven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<sst xmlns="http://schemas.openxmlformats.org/spreadsheetml/2006/main" count="9214" uniqueCount="2030">
  <si>
    <t>HE Operating Fees-NonApp (149-6)</t>
  </si>
  <si>
    <t>(Dollars in Thousands)</t>
  </si>
  <si>
    <t>University of Washington</t>
  </si>
  <si>
    <t>Washington State University</t>
  </si>
  <si>
    <t>Eastern Washington University</t>
  </si>
  <si>
    <t>Central Washington University</t>
  </si>
  <si>
    <t>The Evergreen State College</t>
  </si>
  <si>
    <t>Western Washington University</t>
  </si>
  <si>
    <t>Community &amp; Technical Colleges</t>
  </si>
  <si>
    <t>Total Higher Education</t>
  </si>
  <si>
    <t>LEAP Office</t>
  </si>
  <si>
    <t>Higher Education Coordinating Board</t>
  </si>
  <si>
    <t xml:space="preserve">   [biennial]</t>
  </si>
  <si>
    <t xml:space="preserve">HE Operating Fees-NonApp (149-6) &amp; General Fund State </t>
  </si>
  <si>
    <r>
      <t>Statewide Total (</t>
    </r>
    <r>
      <rPr>
        <b/>
        <i/>
        <sz val="10"/>
        <rFont val="Times New Roman"/>
        <family val="1"/>
      </rPr>
      <t>$ millions</t>
    </r>
    <r>
      <rPr>
        <sz val="10"/>
        <rFont val="Times New Roman"/>
        <family val="1"/>
      </rPr>
      <t>)</t>
    </r>
  </si>
  <si>
    <t>I-601 Fiscal Growth Factor</t>
  </si>
  <si>
    <t>Economic Indicators</t>
  </si>
  <si>
    <t>Percentage Change from Prior Fiscal Year</t>
  </si>
  <si>
    <r>
      <t>Seattle CPI</t>
    </r>
    <r>
      <rPr>
        <vertAlign val="superscript"/>
        <sz val="10"/>
        <rFont val="Times New Roman"/>
        <family val="1"/>
      </rPr>
      <t>1</t>
    </r>
    <r>
      <rPr>
        <sz val="10"/>
        <rFont val="Times New Roman"/>
        <family val="1"/>
      </rPr>
      <t xml:space="preserve"> 1990 = 1.0</t>
    </r>
  </si>
  <si>
    <t>FY 1991</t>
  </si>
  <si>
    <t>FY 1992</t>
  </si>
  <si>
    <t>FY 1993</t>
  </si>
  <si>
    <t>FY 1994</t>
  </si>
  <si>
    <t>FY 1995</t>
  </si>
  <si>
    <t>FY 1996</t>
  </si>
  <si>
    <t>FY 1997</t>
  </si>
  <si>
    <t>FY 1998</t>
  </si>
  <si>
    <t>FY 1990</t>
  </si>
  <si>
    <t>FY 1999</t>
  </si>
  <si>
    <t>Tri-Cities Univ Ctr. *</t>
  </si>
  <si>
    <t>[3,718]</t>
  </si>
  <si>
    <t>[7,517]</t>
  </si>
  <si>
    <t>[8,168]</t>
  </si>
  <si>
    <t>[7,524]</t>
  </si>
  <si>
    <t>[7,117]</t>
  </si>
  <si>
    <t>Enrollment History</t>
  </si>
  <si>
    <t>FTE Students</t>
  </si>
  <si>
    <t>University of Washington *</t>
  </si>
  <si>
    <t>Washington State University *</t>
  </si>
  <si>
    <t>School Years</t>
  </si>
  <si>
    <t>1988-89</t>
  </si>
  <si>
    <t>1998-99</t>
  </si>
  <si>
    <t>FY 1981</t>
  </si>
  <si>
    <t>FY 1982</t>
  </si>
  <si>
    <t>FY 1983</t>
  </si>
  <si>
    <t>FY 1984</t>
  </si>
  <si>
    <t>FY 1985</t>
  </si>
  <si>
    <t>FY 1986</t>
  </si>
  <si>
    <t>FY 1987</t>
  </si>
  <si>
    <t>FY 1988</t>
  </si>
  <si>
    <t>FY 1989</t>
  </si>
  <si>
    <t>FY 1980</t>
  </si>
  <si>
    <t>FY 2000</t>
  </si>
  <si>
    <t>FY 2001</t>
  </si>
  <si>
    <t>1989-90</t>
  </si>
  <si>
    <t>1999-00</t>
  </si>
  <si>
    <t>1990-91</t>
  </si>
  <si>
    <t>1991-92</t>
  </si>
  <si>
    <t>1992-93</t>
  </si>
  <si>
    <t>1993-94</t>
  </si>
  <si>
    <t>1994-95</t>
  </si>
  <si>
    <t>1995-96</t>
  </si>
  <si>
    <t>1996-97</t>
  </si>
  <si>
    <t>1997-98</t>
  </si>
  <si>
    <t>2000-01</t>
  </si>
  <si>
    <t xml:space="preserve">   Biennial</t>
  </si>
  <si>
    <t>[7200]</t>
  </si>
  <si>
    <r>
      <t xml:space="preserve">Sources: </t>
    </r>
    <r>
      <rPr>
        <i/>
        <sz val="12"/>
        <rFont val="Times New Roman"/>
        <family val="1"/>
      </rPr>
      <t>1971-72 through 1983-84 from LEAP archive files</t>
    </r>
    <r>
      <rPr>
        <sz val="12"/>
        <rFont val="Times New Roman"/>
        <family val="1"/>
      </rPr>
      <t>;  1984-85 through 1988-89 from HECB.</t>
    </r>
  </si>
  <si>
    <t>FY 2002</t>
  </si>
  <si>
    <t>FY 2003</t>
  </si>
  <si>
    <t>Spokane Intercoll Rsch &amp; Tech Inst</t>
  </si>
  <si>
    <t>2001-02</t>
  </si>
  <si>
    <t>2002-03</t>
  </si>
  <si>
    <t>[8520]</t>
  </si>
  <si>
    <t>FY 1978</t>
  </si>
  <si>
    <t>FY 1979</t>
  </si>
  <si>
    <t>UW Seattle *1</t>
  </si>
  <si>
    <t>Actual</t>
  </si>
  <si>
    <t>Average  FTEs</t>
  </si>
  <si>
    <t>Budget</t>
  </si>
  <si>
    <t>Target</t>
  </si>
  <si>
    <t>*1 The Evening Degree Program, Bothell, and Tacoma enrollments are listed separately.</t>
  </si>
  <si>
    <t xml:space="preserve">*2 Beginning FY 2000, the EDP funding has been included in UW Seattle. </t>
  </si>
  <si>
    <t>UW Evening Degree Program *1</t>
  </si>
  <si>
    <t>Average FTEs</t>
  </si>
  <si>
    <t>* 1 Program began Fall 1991.  Program funding has been included with UW Seattle since FY2000.</t>
  </si>
  <si>
    <t>UW Bothell *1</t>
  </si>
  <si>
    <t>*1 Program began Fall 1991.</t>
  </si>
  <si>
    <t>UW Tacoma *1</t>
  </si>
  <si>
    <t>WSU Pullman *1</t>
  </si>
  <si>
    <t>*1 The WSU-Spokane, Tri‑Cities, and Vancouver enrollments are listed separately.  WSU‑Timber Worker Displacement program is listed separately.</t>
  </si>
  <si>
    <t>*1 Program began Fall 1990.</t>
  </si>
  <si>
    <t>*1 The Tri‑Cities University Center opened in 1958.  Beginning 1990, WSU is the program fiscal agent.</t>
  </si>
  <si>
    <t>CWU</t>
  </si>
  <si>
    <t>EWU</t>
  </si>
  <si>
    <t>*1 Bugfeted enrollment includes EWU's participation in the Intercollegiate for Nursing Education (about 130 FTEs).</t>
  </si>
  <si>
    <t>TESC</t>
  </si>
  <si>
    <t>*1 Final Revised Budgeted Enrollment Level.</t>
  </si>
  <si>
    <t>WWU</t>
  </si>
  <si>
    <t>WSU-Timber Worker Displacement Program *1</t>
  </si>
  <si>
    <t>*1 Program began FY 1992.  Program ended 2001.</t>
  </si>
  <si>
    <t>*2 Includes other non-state funded sources.</t>
  </si>
  <si>
    <t>WWU-Timber Worker Displacement Program *1</t>
  </si>
  <si>
    <t>*1 Program began FY 1993, ended 2001.</t>
  </si>
  <si>
    <t>Public Four-Year System *1</t>
  </si>
  <si>
    <t xml:space="preserve">*1 Does not include the TriCities University center, 1978-89.  </t>
  </si>
  <si>
    <t>*2 Since 1990, WSU TriCities has been included.</t>
  </si>
  <si>
    <t>"Actual" FTEs from OFM</t>
  </si>
  <si>
    <t>WSU Vancouver *1</t>
  </si>
  <si>
    <t>From Pat Tasanasanta @ OFM</t>
  </si>
  <si>
    <t>UW (including branch campuses)</t>
  </si>
  <si>
    <t>WSU (including branch campuses)</t>
  </si>
  <si>
    <t>"Budgeted" FTEs from OFM</t>
  </si>
  <si>
    <t>WWU (including Timber Worker Displacement Program</t>
  </si>
  <si>
    <t>WSU TriCities *1</t>
  </si>
  <si>
    <t>WSU Spokane *1</t>
  </si>
  <si>
    <t>Community and Technical College System</t>
  </si>
  <si>
    <t>*1 Final Revised Budgeted Enrollment Level</t>
  </si>
  <si>
    <t xml:space="preserve">*2 Included Timber Worker Displacement program during FY1994-2001.  </t>
  </si>
  <si>
    <t xml:space="preserve">    Include Dislocated Worker Program since FY 1994 to present.</t>
  </si>
  <si>
    <t xml:space="preserve">    Include Technical Colleges since FY 1994 to present.</t>
  </si>
  <si>
    <t>*3 Include Private Career Colleges since FY 1998 to present.</t>
  </si>
  <si>
    <r>
      <t>"Actual" FTE Students</t>
    </r>
    <r>
      <rPr>
        <vertAlign val="superscript"/>
        <sz val="10"/>
        <rFont val="Times New Roman"/>
        <family val="1"/>
      </rPr>
      <t>1</t>
    </r>
  </si>
  <si>
    <t>VTI FTE Enrollment from 1991-93 LBN (Budgeted?)</t>
  </si>
  <si>
    <t>University of Washington (including Branch Campuses)</t>
  </si>
  <si>
    <t>Western Washington University (including Timber Worker Displacement Program)</t>
  </si>
  <si>
    <t>General Fund-State</t>
  </si>
  <si>
    <t>Operating Budget Expenditure History</t>
  </si>
  <si>
    <t>[9,112]</t>
  </si>
  <si>
    <t>[6,433]</t>
  </si>
  <si>
    <t>[7,508]</t>
  </si>
  <si>
    <t>[7,263]</t>
  </si>
  <si>
    <t>Jr-Class Standing Transfers (OFM)</t>
  </si>
  <si>
    <t>High Demand Programs (HECB)</t>
  </si>
  <si>
    <t>[12,149]</t>
  </si>
  <si>
    <t>fiscal_year</t>
  </si>
  <si>
    <t>agency</t>
  </si>
  <si>
    <t>2003</t>
  </si>
  <si>
    <t>Grand Total</t>
  </si>
  <si>
    <t>360</t>
  </si>
  <si>
    <t>365</t>
  </si>
  <si>
    <t>370</t>
  </si>
  <si>
    <t>375</t>
  </si>
  <si>
    <t>376</t>
  </si>
  <si>
    <t>380</t>
  </si>
  <si>
    <t>699</t>
  </si>
  <si>
    <t xml:space="preserve">     Total Four-Year Institutions</t>
  </si>
  <si>
    <t>Note: Date prior to FY1992 have not been completely recast for historical comparability with current budget data.</t>
  </si>
  <si>
    <t>FY 2004</t>
  </si>
  <si>
    <t>[11,453]</t>
  </si>
  <si>
    <t>High Demand Enrollments 99-01</t>
  </si>
  <si>
    <t>Appropriation 111</t>
  </si>
  <si>
    <t>Vendor Name</t>
  </si>
  <si>
    <t xml:space="preserve">Amount  </t>
  </si>
  <si>
    <t>HECB Admin</t>
  </si>
  <si>
    <t>FY00 Total</t>
  </si>
  <si>
    <t>Appropriation 112</t>
  </si>
  <si>
    <t>BATES TECHNICAL COLLEGE</t>
  </si>
  <si>
    <t>BELLEVUE COMMUNTIY COLLEGE</t>
  </si>
  <si>
    <t>COLUMBIA BASIN COLLEGE</t>
  </si>
  <si>
    <t>EASTERN WASHINGTON UNIVERSITY</t>
  </si>
  <si>
    <t>EDMONDS COMMUNITY COLLEGE</t>
  </si>
  <si>
    <t>EVERETT COMMUNITY COLLEGE</t>
  </si>
  <si>
    <t>PIERCE COLLEGE</t>
  </si>
  <si>
    <t>RENTON TECHNICAL COLLEGE</t>
  </si>
  <si>
    <t>SEATTLE COMMUNITY COLLEGE</t>
  </si>
  <si>
    <t>SHORELINE COMMUNITY COLLEGE</t>
  </si>
  <si>
    <t>SKAGIT VALLEY COLLEGE</t>
  </si>
  <si>
    <t>WALLA WALLA COMMUNITY COLLEGE</t>
  </si>
  <si>
    <t>WASHINGTON STATE UNIVERSITY</t>
  </si>
  <si>
    <t>WESTERN WASHINGTON UNIV</t>
  </si>
  <si>
    <t>FY01 Total Before Adjustments</t>
  </si>
  <si>
    <t>Funds Returned for FY01 in FY02</t>
  </si>
  <si>
    <t>Seattle Community College</t>
  </si>
  <si>
    <t>FY 01 Total</t>
  </si>
  <si>
    <t>CTCS Subtotal</t>
  </si>
  <si>
    <t>2004</t>
  </si>
  <si>
    <t>Higher Education</t>
  </si>
  <si>
    <t>General Fund-State (+ Education Construction Account in 2003-05 biennium)</t>
  </si>
  <si>
    <t>Source: HECB July 31, 2003 (from 2003 session High Demand appropriation)</t>
  </si>
  <si>
    <t>1995-97</t>
  </si>
  <si>
    <t>1997-99</t>
  </si>
  <si>
    <t>1999-01</t>
  </si>
  <si>
    <t>2001-03</t>
  </si>
  <si>
    <t>FY 2005</t>
  </si>
  <si>
    <t>2003-05: FY04 Actual + FY05 Budgeted</t>
  </si>
  <si>
    <t>2001-03 to 2003-05        % change</t>
  </si>
  <si>
    <t>Building Maintenance to Capital - GF-S shift to ECA (2003 Session)</t>
  </si>
  <si>
    <t>Budgeted</t>
  </si>
  <si>
    <t>Recommended FTEs</t>
  </si>
  <si>
    <t>Recommended State Funding</t>
  </si>
  <si>
    <t>Univ.</t>
  </si>
  <si>
    <t>Program</t>
  </si>
  <si>
    <t>New</t>
  </si>
  <si>
    <t>Total</t>
  </si>
  <si>
    <t>2003-04</t>
  </si>
  <si>
    <t>2004-05</t>
  </si>
  <si>
    <t>2003-05</t>
  </si>
  <si>
    <t>GF-S</t>
  </si>
  <si>
    <t>FY04</t>
  </si>
  <si>
    <t>FY05</t>
  </si>
  <si>
    <t>UW</t>
  </si>
  <si>
    <t>WSU</t>
  </si>
  <si>
    <t>Middle Level Math/Science Endorsement</t>
  </si>
  <si>
    <t>Career Switcher/Secondary Mathematics Teaching</t>
  </si>
  <si>
    <t>Safety &amp; Health</t>
  </si>
  <si>
    <t>Management</t>
  </si>
  <si>
    <t>Special Education &amp; ESL</t>
  </si>
  <si>
    <t>CTCs</t>
  </si>
  <si>
    <t>HE Institutions Subtotal</t>
  </si>
  <si>
    <t>Doctorate of Physical Therapy</t>
  </si>
  <si>
    <t>Computing/Engineering Sciences</t>
  </si>
  <si>
    <t>BS Nursing</t>
  </si>
  <si>
    <t>Bioengineering</t>
  </si>
  <si>
    <t>Junior Level Transfer - Appropriation located in Special Approps section of budget (2003 session)</t>
  </si>
  <si>
    <t xml:space="preserve">Computer &amp; Software Systems </t>
  </si>
  <si>
    <t>BS Horticulture -- Viticulture/Enology</t>
  </si>
  <si>
    <t>Pharmacy</t>
  </si>
  <si>
    <t>Notes:</t>
  </si>
  <si>
    <t>Computer Science &amp; Mechanical  Engineering</t>
  </si>
  <si>
    <t xml:space="preserve">Please note: this funding was originally appropriated to the Governor in the Special Appropriations section of the </t>
  </si>
  <si>
    <t>Special Education</t>
  </si>
  <si>
    <t>operating budget.</t>
  </si>
  <si>
    <t>Computer Science</t>
  </si>
  <si>
    <t>Manufacturing &amp; Supply Chain Management</t>
  </si>
  <si>
    <t>Technical Writing</t>
  </si>
  <si>
    <t>Please note: this funding was originally appropriated to the Higher Education Coordinating Board for allocation to</t>
  </si>
  <si>
    <t xml:space="preserve">the 4-yr colleges and universities. </t>
  </si>
  <si>
    <t>Total Recommendation</t>
  </si>
  <si>
    <t>Source: HECB July 2004 (from 2004 session High Demand appropriation)</t>
  </si>
  <si>
    <t>BA in Law and Justice</t>
  </si>
  <si>
    <t>BS Construction Mgt</t>
  </si>
  <si>
    <t>MS in Resource Mgt</t>
  </si>
  <si>
    <t>BA in Special Education</t>
  </si>
  <si>
    <t>BS in Dental Hygiene</t>
  </si>
  <si>
    <t>MPA - Tribal Governance Concentration</t>
  </si>
  <si>
    <t>BS in Bioengineering</t>
  </si>
  <si>
    <t>BS in Electrical Engineering</t>
  </si>
  <si>
    <t>BS in Informatics</t>
  </si>
  <si>
    <t>Doctor of Pharmacy</t>
  </si>
  <si>
    <t>BA MIS</t>
  </si>
  <si>
    <t>BS Nursing (RN-BSN)</t>
  </si>
  <si>
    <t>Endorsement in ESL &amp; Special Ed</t>
  </si>
  <si>
    <t>Pre-Science/Pre-Health Science</t>
  </si>
  <si>
    <t>Source: LEAP Reporting System - Monthly Monitoring - Detail Fund Variance</t>
  </si>
  <si>
    <t>Agency 360</t>
  </si>
  <si>
    <t>2003-05 Biennium Expenditures - Operating</t>
  </si>
  <si>
    <t>Fiscal Year 2004</t>
  </si>
  <si>
    <t>Actuals Include Higher Education Non-Approps</t>
  </si>
  <si>
    <t>001-1   General Fund-State</t>
  </si>
  <si>
    <t>Grants and Contracts</t>
  </si>
  <si>
    <t>001-7   General Fund-Local</t>
  </si>
  <si>
    <t>Tuition</t>
  </si>
  <si>
    <t>02K-1   Death Investigations-State</t>
  </si>
  <si>
    <t>Dedicated Local</t>
  </si>
  <si>
    <t>145-6   HE Grants/Contract-NonApp</t>
  </si>
  <si>
    <t>UW Hospital</t>
  </si>
  <si>
    <t>148-6   HE Dedicated Local-NonApp</t>
  </si>
  <si>
    <t>Other</t>
  </si>
  <si>
    <t>149-6   HE Operating Fees-NonApp</t>
  </si>
  <si>
    <t>Ed Construction</t>
  </si>
  <si>
    <t>505-6   U of W Hospital-NonApp</t>
  </si>
  <si>
    <t>608-1   Accident Account-State</t>
  </si>
  <si>
    <t>609-1   Medical Aid Account-State</t>
  </si>
  <si>
    <t>Total Funds</t>
  </si>
  <si>
    <t>Agency 365</t>
  </si>
  <si>
    <t>062-1   WSU Building Account-State</t>
  </si>
  <si>
    <t>143-6   HE Federal Appr Acct-NonApp</t>
  </si>
  <si>
    <t>195-6   Energy Account-NonApp</t>
  </si>
  <si>
    <t>443-6   Data Proc - Hi Educ-NonApp</t>
  </si>
  <si>
    <t>Agency 370</t>
  </si>
  <si>
    <t>Agency 375</t>
  </si>
  <si>
    <t>Agency 376</t>
  </si>
  <si>
    <t>Agency 380</t>
  </si>
  <si>
    <t>290-6   Svgs Incentive Acct-NonApp</t>
  </si>
  <si>
    <t>Agency 699</t>
  </si>
  <si>
    <t>Community/Technical College System</t>
  </si>
  <si>
    <t>120-1   Admin Contingen Acct-State</t>
  </si>
  <si>
    <t>Agency 343</t>
  </si>
  <si>
    <t>001-2   General Fund-Fed</t>
  </si>
  <si>
    <t>001-3   General Fund-Fed Un</t>
  </si>
  <si>
    <t>747-6   Hlth Profsnl Loan/Sc-NonApp</t>
  </si>
  <si>
    <t>785-6   State Ed Trust Fund-NonApp</t>
  </si>
  <si>
    <t>788-6   Adv College Tuit Pay-NonApp</t>
  </si>
  <si>
    <t>835-6   4-Yr St Child Care-NonApp</t>
  </si>
  <si>
    <t>Agency 377</t>
  </si>
  <si>
    <r>
      <t xml:space="preserve">1  </t>
    </r>
    <r>
      <rPr>
        <sz val="10"/>
        <rFont val="Arial"/>
        <family val="2"/>
      </rPr>
      <t>In 2003-05 (2003 session), the operating budget shifted $52.7 million in building maintenance to the capital budget (ECA)</t>
    </r>
  </si>
  <si>
    <r>
      <t xml:space="preserve">2 </t>
    </r>
    <r>
      <rPr>
        <sz val="10"/>
        <rFont val="Arial"/>
        <family val="2"/>
      </rPr>
      <t xml:space="preserve"> </t>
    </r>
    <r>
      <rPr>
        <sz val="10"/>
        <rFont val="Arial"/>
        <family val="2"/>
      </rPr>
      <t>In 2003-05 (2003 session), $6.24 million for additional Junior Level Transfer students is allocated to the institutions.</t>
    </r>
  </si>
  <si>
    <r>
      <t xml:space="preserve">3 </t>
    </r>
    <r>
      <rPr>
        <sz val="10"/>
        <rFont val="Arial"/>
        <family val="2"/>
      </rPr>
      <t xml:space="preserve"> I</t>
    </r>
    <r>
      <rPr>
        <sz val="10"/>
        <rFont val="Arial"/>
        <family val="2"/>
      </rPr>
      <t>n 2003-05 (2003 session), $8.17 million for high demand enrollment is allocated to the 4-yr institutions.</t>
    </r>
  </si>
  <si>
    <r>
      <t xml:space="preserve">4  </t>
    </r>
    <r>
      <rPr>
        <sz val="10"/>
        <rFont val="Arial"/>
        <family val="2"/>
      </rPr>
      <t>In 2003-05 (2004 session), $3.56 million for high demand enrollment is allocated to the 4-yr institutions.</t>
    </r>
  </si>
  <si>
    <t>Total Four-Year Institutions</t>
  </si>
  <si>
    <t>Biennial</t>
  </si>
  <si>
    <t>2005</t>
  </si>
  <si>
    <t>Work Force Training FTEs at Comm/Tech Colleges (included in preceding total)</t>
  </si>
  <si>
    <t>[8,392]</t>
  </si>
  <si>
    <t>WSU Vet Program - policy increment only</t>
  </si>
  <si>
    <t xml:space="preserve">ACTUAL  </t>
  </si>
  <si>
    <t>Washington State Office of Financial Management</t>
  </si>
  <si>
    <t>FULL TIME EQUIVALENT (FTE)</t>
  </si>
  <si>
    <t>BUDGET DRIVER REPORT 2005-06</t>
  </si>
  <si>
    <t xml:space="preserve">Actual </t>
  </si>
  <si>
    <t>Public Four Year</t>
  </si>
  <si>
    <t>Sum 2005</t>
  </si>
  <si>
    <t>Fall 2005</t>
  </si>
  <si>
    <t>Win 2006</t>
  </si>
  <si>
    <t>Sp 2006</t>
  </si>
  <si>
    <t>Annual Avg.</t>
  </si>
  <si>
    <t xml:space="preserve">Budgeted </t>
  </si>
  <si>
    <t xml:space="preserve">Annual Avg. Variance </t>
  </si>
  <si>
    <t>Inst. Proj.</t>
  </si>
  <si>
    <t xml:space="preserve">  Institution</t>
  </si>
  <si>
    <t>Qtr</t>
  </si>
  <si>
    <t>Qtr/Sm</t>
  </si>
  <si>
    <t xml:space="preserve">Qtr/Sm </t>
  </si>
  <si>
    <t>2005-2006</t>
  </si>
  <si>
    <t>Number</t>
  </si>
  <si>
    <t>Percent</t>
  </si>
  <si>
    <t>2005-06</t>
  </si>
  <si>
    <t>UW   - Seattle</t>
  </si>
  <si>
    <t>n.a.</t>
  </si>
  <si>
    <t xml:space="preserve">                   - Main</t>
  </si>
  <si>
    <t xml:space="preserve">              n.a.</t>
  </si>
  <si>
    <t xml:space="preserve">                   - Even. Deg. Pro.</t>
  </si>
  <si>
    <t xml:space="preserve">         - Bothell</t>
  </si>
  <si>
    <t xml:space="preserve">         - Tacoma</t>
  </si>
  <si>
    <t xml:space="preserve">        n.a.</t>
  </si>
  <si>
    <t xml:space="preserve">                  - Pullman</t>
  </si>
  <si>
    <t xml:space="preserve">                  - Spokane </t>
  </si>
  <si>
    <t xml:space="preserve">         - TriCities </t>
  </si>
  <si>
    <t xml:space="preserve">         - Vancouver </t>
  </si>
  <si>
    <t xml:space="preserve">CWU </t>
  </si>
  <si>
    <t xml:space="preserve">EWU </t>
  </si>
  <si>
    <t xml:space="preserve">TESC </t>
  </si>
  <si>
    <t xml:space="preserve">WWU </t>
  </si>
  <si>
    <t>TOTAL 4-YR FTEs</t>
  </si>
  <si>
    <t xml:space="preserve">Community College (CC) and Technical College (TC) System </t>
  </si>
  <si>
    <t>Annual Average</t>
  </si>
  <si>
    <t>Public Two Year</t>
  </si>
  <si>
    <t>SBCTC Proj.</t>
  </si>
  <si>
    <t>Institution</t>
  </si>
  <si>
    <t xml:space="preserve">Qtr </t>
  </si>
  <si>
    <t>0.98</t>
  </si>
  <si>
    <t>-15.98</t>
  </si>
  <si>
    <t>TOTAL 2-YR FTEs</t>
  </si>
  <si>
    <t>TOTAL TWO+FOUR YEAR FTEs</t>
  </si>
  <si>
    <t xml:space="preserve">      Recommendations for reporting revision has been effective beginning Summer 2005.</t>
  </si>
  <si>
    <t>Ref:  c:\BudDri\2005-06Final0506.xls:7/17/2006</t>
  </si>
  <si>
    <r>
      <t xml:space="preserve">Colleges &amp; Universities </t>
    </r>
    <r>
      <rPr>
        <b/>
        <vertAlign val="superscript"/>
        <sz val="12"/>
        <color indexed="8"/>
        <rFont val="Arial"/>
        <family val="2"/>
      </rPr>
      <t>1</t>
    </r>
  </si>
  <si>
    <r>
      <t xml:space="preserve">Optional </t>
    </r>
    <r>
      <rPr>
        <vertAlign val="superscript"/>
        <sz val="10"/>
        <color indexed="8"/>
        <rFont val="Arial"/>
        <family val="2"/>
      </rPr>
      <t>2</t>
    </r>
  </si>
  <si>
    <r>
      <t>WSU</t>
    </r>
    <r>
      <rPr>
        <b/>
        <sz val="10"/>
        <color indexed="8"/>
        <rFont val="Arial"/>
        <family val="2"/>
      </rPr>
      <t xml:space="preserve"> </t>
    </r>
    <r>
      <rPr>
        <sz val="10"/>
        <color indexed="8"/>
        <rFont val="Arial"/>
        <family val="2"/>
      </rPr>
      <t>- Main</t>
    </r>
  </si>
  <si>
    <r>
      <t>Optional</t>
    </r>
    <r>
      <rPr>
        <vertAlign val="superscript"/>
        <sz val="10"/>
        <color indexed="8"/>
        <rFont val="Arial"/>
        <family val="2"/>
      </rPr>
      <t>2</t>
    </r>
  </si>
  <si>
    <r>
      <t>Variance</t>
    </r>
    <r>
      <rPr>
        <vertAlign val="superscript"/>
        <sz val="10"/>
        <color indexed="8"/>
        <rFont val="Arial"/>
        <family val="2"/>
      </rPr>
      <t xml:space="preserve"> </t>
    </r>
  </si>
  <si>
    <r>
      <t xml:space="preserve">CTC </t>
    </r>
    <r>
      <rPr>
        <vertAlign val="superscript"/>
        <sz val="10"/>
        <color indexed="8"/>
        <rFont val="Arial"/>
        <family val="2"/>
      </rPr>
      <t>3</t>
    </r>
  </si>
  <si>
    <r>
      <t xml:space="preserve">Dislocated Workers P.  (DWP) </t>
    </r>
    <r>
      <rPr>
        <vertAlign val="superscript"/>
        <sz val="10"/>
        <color indexed="8"/>
        <rFont val="Arial"/>
        <family val="2"/>
      </rPr>
      <t>4</t>
    </r>
  </si>
  <si>
    <r>
      <t>1</t>
    </r>
    <r>
      <rPr>
        <sz val="10"/>
        <color indexed="8"/>
        <rFont val="Arial"/>
        <family val="2"/>
      </rPr>
      <t xml:space="preserve"> Actual 4-year institution reported FTE is based on the definition defined by the Enrollment Reporting Task Force formed in Spring 2000. </t>
    </r>
  </si>
  <si>
    <r>
      <t>2</t>
    </r>
    <r>
      <rPr>
        <sz val="10"/>
        <color indexed="8"/>
        <rFont val="Arial"/>
        <family val="2"/>
      </rPr>
      <t xml:space="preserve"> Not applicable, all figures are actual enrollments.</t>
    </r>
  </si>
  <si>
    <r>
      <t xml:space="preserve">3  </t>
    </r>
    <r>
      <rPr>
        <sz val="10"/>
        <color indexed="8"/>
        <rFont val="Arial"/>
        <family val="2"/>
      </rPr>
      <t xml:space="preserve">CTC = Community and Technical Colleges. </t>
    </r>
    <r>
      <rPr>
        <vertAlign val="superscript"/>
        <sz val="10"/>
        <color indexed="8"/>
        <rFont val="Arial"/>
        <family val="2"/>
      </rPr>
      <t xml:space="preserve">  </t>
    </r>
    <r>
      <rPr>
        <sz val="10"/>
        <color indexed="8"/>
        <rFont val="Arial"/>
        <family val="2"/>
      </rPr>
      <t xml:space="preserve">Including New Transfer FTE funding. </t>
    </r>
  </si>
  <si>
    <r>
      <t xml:space="preserve">4  </t>
    </r>
    <r>
      <rPr>
        <sz val="10"/>
        <color indexed="8"/>
        <rFont val="Arial"/>
        <family val="2"/>
      </rPr>
      <t>Dislocated Workers Program is previously labeled WFT = Workforce Training Prog.   Including Private Career College (PCC) FTEs.</t>
    </r>
  </si>
  <si>
    <t>4-yr &amp; 2-Yr Parnership Program</t>
  </si>
  <si>
    <t>4-yr &amp; 2-Yr NSIS Program</t>
  </si>
  <si>
    <t>Education Legacy Trust Account-State (08A-1)</t>
  </si>
  <si>
    <t>Higher Ed Operating Fees-NonApp (149-6)</t>
  </si>
  <si>
    <t>Statewide Total</t>
  </si>
  <si>
    <t>Total Education</t>
  </si>
  <si>
    <t>FTE Student Enrollment History</t>
  </si>
  <si>
    <t>By Academic Year</t>
  </si>
  <si>
    <t>Actual Enrollment</t>
  </si>
  <si>
    <t>2006-07</t>
  </si>
  <si>
    <t>2007-08</t>
  </si>
  <si>
    <t>2008-09</t>
  </si>
  <si>
    <t>Four-Year Schools</t>
  </si>
  <si>
    <t xml:space="preserve">  Washington State University </t>
  </si>
  <si>
    <t xml:space="preserve">  Eastern Washington University</t>
  </si>
  <si>
    <t xml:space="preserve">  Central Washington University</t>
  </si>
  <si>
    <t xml:space="preserve">  The Evergreen State College</t>
  </si>
  <si>
    <t xml:space="preserve">  Western Washington University </t>
  </si>
  <si>
    <t>(1)</t>
  </si>
  <si>
    <t>(2)</t>
  </si>
  <si>
    <t>State Funds and Tuition</t>
  </si>
  <si>
    <t>[biennial]</t>
  </si>
  <si>
    <t>2006</t>
  </si>
  <si>
    <t>2007</t>
  </si>
  <si>
    <t>Dislocated Workers</t>
  </si>
  <si>
    <t>High Demand Program</t>
  </si>
  <si>
    <t>Two-plus-Two</t>
  </si>
  <si>
    <t>2-Year/4-Year Partnership Pgms</t>
  </si>
  <si>
    <t xml:space="preserve"> </t>
  </si>
  <si>
    <t>Technical Colleges</t>
  </si>
  <si>
    <r>
      <t>Enacted</t>
    </r>
    <r>
      <rPr>
        <vertAlign val="superscript"/>
        <sz val="10"/>
        <rFont val="Times New Roman"/>
        <family val="1"/>
      </rPr>
      <t>3</t>
    </r>
  </si>
  <si>
    <t>4-yr &amp; 2-yr partnership CWU-Pierce</t>
  </si>
  <si>
    <t>4-yr &amp; 2-yr partnership CWU-Edmonds</t>
  </si>
  <si>
    <t>4-yr &amp; 2-yr partnership EWU-Clark</t>
  </si>
  <si>
    <t>Fiscal Year 2007 Expenditures - Op &amp; Cap</t>
  </si>
  <si>
    <t>Estimate</t>
  </si>
  <si>
    <t>Difference</t>
  </si>
  <si>
    <t>Education Const - State</t>
  </si>
  <si>
    <t>F10   UW Tacoma Land Acquisition / Soils</t>
  </si>
  <si>
    <t>H08   Preventive Facility Maintenance and</t>
  </si>
  <si>
    <t>H15   Guggenheim Hall Renovation</t>
  </si>
  <si>
    <t>H05   Preventive Facility Maintenance and</t>
  </si>
  <si>
    <t>H06   Preventive Facility Maintenance and</t>
  </si>
  <si>
    <t>H04   Preventive Facility Maintenance and</t>
  </si>
  <si>
    <t>F21   Facility Repairs "A"</t>
  </si>
  <si>
    <t>H34   Preventive Facility Maintenance and</t>
  </si>
  <si>
    <t>UCNPS - CWU</t>
  </si>
  <si>
    <t>UCNPS - TESC</t>
  </si>
  <si>
    <t>UCNPS - WWU</t>
  </si>
  <si>
    <t>Fiscal Year 2008 Expenditures - Op &amp; Cap</t>
  </si>
  <si>
    <t>I19   Preventive Facility Maintenance and</t>
  </si>
  <si>
    <t>I16   Minor Works - Facility Preservation</t>
  </si>
  <si>
    <t>I04   Preventive Facility Maintenance and</t>
  </si>
  <si>
    <t>No Data</t>
  </si>
  <si>
    <t>I10   Daniel J. Evans Building</t>
  </si>
  <si>
    <t>I03   Preventive Facility Maintenance and</t>
  </si>
  <si>
    <t>I07   Preventive Facility Maintenance and</t>
  </si>
  <si>
    <t>I05   Preventive Facility Maintenance and</t>
  </si>
  <si>
    <t>I03   Minor Works - Health, Safety, and C</t>
  </si>
  <si>
    <t>I19   UW Tacoma - Land Acquisition</t>
  </si>
  <si>
    <t>I12   Clark Hall Renovation</t>
  </si>
  <si>
    <t>I06   Intermediate Student Service and Cl</t>
  </si>
  <si>
    <t>Estimates for the Entire Fiscal Year</t>
  </si>
  <si>
    <t>Sum of amount</t>
  </si>
  <si>
    <t>1994</t>
  </si>
  <si>
    <t>1995</t>
  </si>
  <si>
    <t>1996</t>
  </si>
  <si>
    <t>1997</t>
  </si>
  <si>
    <t>1998</t>
  </si>
  <si>
    <t>1999</t>
  </si>
  <si>
    <t>2000</t>
  </si>
  <si>
    <t>2001</t>
  </si>
  <si>
    <t>2002</t>
  </si>
  <si>
    <t>699   Community/Technical College System</t>
  </si>
  <si>
    <t>380   Western Washington University</t>
  </si>
  <si>
    <t>376   The Evergreen State College</t>
  </si>
  <si>
    <t>375   Central Washington University</t>
  </si>
  <si>
    <t>370   Eastern Washington University</t>
  </si>
  <si>
    <t>365   Washington State University</t>
  </si>
  <si>
    <t>360   University of Washington</t>
  </si>
  <si>
    <t>Fund 149 - HE Operating Fees - HiEd Non</t>
  </si>
  <si>
    <t>Fiscal Year 2008 Revenues</t>
  </si>
  <si>
    <t>FY 2011</t>
  </si>
  <si>
    <t>FY 2010</t>
  </si>
  <si>
    <t>Running Start</t>
  </si>
  <si>
    <t>General Enrollment/Adult Students</t>
  </si>
  <si>
    <t xml:space="preserve">Fall 2008 enrollment numbers for SBCTC and CWU and their partnership programs were updated. </t>
  </si>
  <si>
    <t>Budgeted FTE amounts for University of Washington-Seattle, Tacoma and Bothell differ from the 2008 Supplemental Budget amounts because budgeted FTEs were transferred from UW-Seattle (130) to UW-Tacoma (65) and UW-Bothell (65) per correspondence dated July 2008.</t>
  </si>
  <si>
    <r>
      <t xml:space="preserve">2 </t>
    </r>
    <r>
      <rPr>
        <sz val="10"/>
        <rFont val="Times New Roman"/>
        <family val="1"/>
      </rPr>
      <t>This figure includes enrollment of 455 FTEs for the WWAMI (partnership between the School of Medicine and the states of Wyoming, Alaska, Montana and Idaho) Program and 148 FTEs for the MCB (Molecular and Cellular Biology) Program.  Enrollments for these programs were reported as self-sustaining from 2003-04 to 2007-08.  Enrollment figures prior to 2003-04 include these programs.</t>
    </r>
  </si>
  <si>
    <r>
      <t xml:space="preserve">1 </t>
    </r>
    <r>
      <rPr>
        <sz val="10"/>
        <rFont val="Times New Roman"/>
        <family val="1"/>
      </rPr>
      <t>State-funded full-time-equivalent (FTE) student enrollments for each academic term are the sum of state-funded undergraduate-level (0-499) course credit hours attempted divided by 15 and state-funded graduate-level (500+) course credit hours attempted divided by 10.  Annual average state-funded FTE student enrollments are calculated by dividing the sum of state-funded term FTEs at quarter-system institutions by three and by dividing the sum of state-funded term FTEs at semester-system institutions by two.</t>
    </r>
  </si>
  <si>
    <t>TOTAL PUBLIC HIGHER EDUCATION FTE ENROLLMENT</t>
  </si>
  <si>
    <t>TOTAL CTC FTE ENROLLMENT</t>
  </si>
  <si>
    <t>Subtotal Contracted Programs</t>
  </si>
  <si>
    <t>-</t>
  </si>
  <si>
    <t>University Center of N. Puget Sound</t>
  </si>
  <si>
    <t>EWU-Clark College</t>
  </si>
  <si>
    <t>CWU-Pierce College</t>
  </si>
  <si>
    <t>CWU-Edmonds CC</t>
  </si>
  <si>
    <t>4-Yr/2-Yr Partnership Programs</t>
  </si>
  <si>
    <t>Programs included in the State Board for Community and Technical Colleges (SBCTC) budget and reported by Baccalaureate Institutions</t>
  </si>
  <si>
    <t>Subtotal CTC</t>
  </si>
  <si>
    <t>Private Career Colleges</t>
  </si>
  <si>
    <t xml:space="preserve">CTC </t>
  </si>
  <si>
    <t>CTC Worker Retraining Total</t>
  </si>
  <si>
    <t>CTC excluding programs listed below</t>
  </si>
  <si>
    <t>2008-2009</t>
  </si>
  <si>
    <t xml:space="preserve">Ann. Avg. Variance </t>
  </si>
  <si>
    <t>Ann. Avg.</t>
  </si>
  <si>
    <t>Spring 2009</t>
  </si>
  <si>
    <t>Winter 2009</t>
  </si>
  <si>
    <t>Fall 2008</t>
  </si>
  <si>
    <t>Summer 2008</t>
  </si>
  <si>
    <t>Public Two-Year</t>
  </si>
  <si>
    <t xml:space="preserve">Community  and Technical College (CTC) System </t>
  </si>
  <si>
    <t>TOTAL FOUR-YR FTE ENROLLMENT</t>
  </si>
  <si>
    <t xml:space="preserve">- Vancouver </t>
  </si>
  <si>
    <t xml:space="preserve">- TriCities </t>
  </si>
  <si>
    <t>- Spokane</t>
  </si>
  <si>
    <t>- Main</t>
  </si>
  <si>
    <t>Washington State University - Pullman</t>
  </si>
  <si>
    <t>- Tacoma</t>
  </si>
  <si>
    <t>- Bothell</t>
  </si>
  <si>
    <t>- Evening Degree Program</t>
  </si>
  <si>
    <r>
      <t>- Main</t>
    </r>
    <r>
      <rPr>
        <vertAlign val="superscript"/>
        <sz val="10"/>
        <color indexed="8"/>
        <rFont val="Times New Roman"/>
        <family val="1"/>
      </rPr>
      <t>2</t>
    </r>
  </si>
  <si>
    <t xml:space="preserve">University of Washington - Seattle </t>
  </si>
  <si>
    <t xml:space="preserve">Qtr/Sem </t>
  </si>
  <si>
    <t>Qtr/Sem</t>
  </si>
  <si>
    <t>Public Four-Year</t>
  </si>
  <si>
    <t>Baccalaureate Institutions</t>
  </si>
  <si>
    <r>
      <t xml:space="preserve">4 </t>
    </r>
    <r>
      <rPr>
        <sz val="10"/>
        <rFont val="Times New Roman"/>
        <family val="1"/>
      </rPr>
      <t>Includes enrollment from CWU-IDS Everett/Skagit previously identified as a 4-Yr/2Yr Partnership Program.</t>
    </r>
  </si>
  <si>
    <t>3 Baccalaureate programs (Bachelor of Applied Science, Bachelor of Science in Nursing) offered at Bellevue Community College, Penninsula College, Olympic College, and South  Seattle Community College.</t>
  </si>
  <si>
    <r>
      <t>UCNPS - CWU</t>
    </r>
    <r>
      <rPr>
        <vertAlign val="superscript"/>
        <sz val="10"/>
        <rFont val="Times New Roman"/>
        <family val="1"/>
      </rPr>
      <t>4</t>
    </r>
  </si>
  <si>
    <r>
      <t>BAS/BSN Programs</t>
    </r>
    <r>
      <rPr>
        <vertAlign val="superscript"/>
        <sz val="10"/>
        <rFont val="Times New Roman"/>
        <family val="1"/>
      </rPr>
      <t>3</t>
    </r>
  </si>
  <si>
    <r>
      <t>State-Funded Full-Time Equivalent (FTE) Student Enrollment</t>
    </r>
    <r>
      <rPr>
        <vertAlign val="superscript"/>
        <sz val="10"/>
        <color indexed="8"/>
        <rFont val="Times New Roman"/>
        <family val="1"/>
      </rPr>
      <t>1</t>
    </r>
  </si>
  <si>
    <t>FINAL 2008-09 BUDGET DRIVER REPORT</t>
  </si>
  <si>
    <t>for these programs were reported as self-sustaining from 2003-04 through 2007-08 and as state-supported both before and after that period.</t>
  </si>
  <si>
    <t xml:space="preserve">Alaska, Montana, and Idaho) medical school partnership; and b) 148 FTEs for the Molecular and Cellular Biology program.  Enrollments </t>
  </si>
  <si>
    <t xml:space="preserve">University of Washington enrollment for 2008-09 and subsequent years includes:  a) 445 FTEs for the WWAMI (Washington, Wyoming, </t>
  </si>
  <si>
    <t>(3)</t>
  </si>
  <si>
    <t>comparability with previous years, Running Start students are excluded from the " All Higher Education" total.</t>
  </si>
  <si>
    <t xml:space="preserve">Beginning with school year 2009-10, Community and Technical Colleges budgeted enrollment targets include Running Start students. For </t>
  </si>
  <si>
    <t>additional student FTEs with tuition and fees.</t>
  </si>
  <si>
    <t xml:space="preserve">Actual enrollments were greater than budgeted levels in these years.  Institutions are permitted to enroll over budgeted levels and to support the </t>
  </si>
  <si>
    <r>
      <t>Total Higher Education</t>
    </r>
    <r>
      <rPr>
        <sz val="10"/>
        <rFont val="Times New Roman"/>
        <family val="1"/>
      </rPr>
      <t xml:space="preserve"> </t>
    </r>
    <r>
      <rPr>
        <vertAlign val="superscript"/>
        <sz val="10"/>
        <rFont val="Times New Roman"/>
        <family val="1"/>
      </rPr>
      <t>(2)</t>
    </r>
  </si>
  <si>
    <r>
      <t xml:space="preserve">  University of Washington </t>
    </r>
    <r>
      <rPr>
        <vertAlign val="superscript"/>
        <sz val="10"/>
        <rFont val="Times New Roman"/>
        <family val="1"/>
      </rPr>
      <t>(3)</t>
    </r>
  </si>
  <si>
    <r>
      <t xml:space="preserve">  Running Start Students </t>
    </r>
    <r>
      <rPr>
        <vertAlign val="superscript"/>
        <sz val="10"/>
        <rFont val="Times New Roman"/>
        <family val="1"/>
      </rPr>
      <t>(2)</t>
    </r>
  </si>
  <si>
    <t xml:space="preserve">  Adult Students</t>
  </si>
  <si>
    <t>2010-11</t>
  </si>
  <si>
    <t>2009-10</t>
  </si>
  <si>
    <r>
      <t>2008-09</t>
    </r>
    <r>
      <rPr>
        <u/>
        <vertAlign val="superscript"/>
        <sz val="9"/>
        <rFont val="Times New Roman"/>
        <family val="1"/>
      </rPr>
      <t>(1)</t>
    </r>
  </si>
  <si>
    <r>
      <t>2007-08</t>
    </r>
    <r>
      <rPr>
        <u/>
        <vertAlign val="superscript"/>
        <sz val="9"/>
        <rFont val="Times New Roman"/>
        <family val="1"/>
      </rPr>
      <t>(1)</t>
    </r>
  </si>
  <si>
    <r>
      <t>2006-07</t>
    </r>
    <r>
      <rPr>
        <vertAlign val="superscript"/>
        <sz val="9"/>
        <rFont val="Times New Roman"/>
        <family val="1"/>
      </rPr>
      <t>(1)</t>
    </r>
  </si>
  <si>
    <r>
      <t>2005-06</t>
    </r>
    <r>
      <rPr>
        <vertAlign val="superscript"/>
        <sz val="9"/>
        <rFont val="Times New Roman"/>
        <family val="1"/>
      </rPr>
      <t>(1)</t>
    </r>
  </si>
  <si>
    <r>
      <t>2004-05</t>
    </r>
    <r>
      <rPr>
        <vertAlign val="superscript"/>
        <sz val="9"/>
        <rFont val="Times New Roman"/>
        <family val="1"/>
      </rPr>
      <t>(1)</t>
    </r>
  </si>
  <si>
    <r>
      <t>2003-04</t>
    </r>
    <r>
      <rPr>
        <vertAlign val="superscript"/>
        <sz val="9"/>
        <rFont val="Times New Roman"/>
        <family val="1"/>
      </rPr>
      <t>(1)</t>
    </r>
  </si>
  <si>
    <r>
      <t>2002-03</t>
    </r>
    <r>
      <rPr>
        <vertAlign val="superscript"/>
        <sz val="9"/>
        <rFont val="Times New Roman"/>
        <family val="1"/>
      </rPr>
      <t>(1)</t>
    </r>
  </si>
  <si>
    <t>Fiscal Year 2009 Expenditures - Op &amp; Cap (Phase II)</t>
  </si>
  <si>
    <r>
      <t xml:space="preserve">Community &amp; Technical Colleges (including Technical Colleges, Timber Worker Displacement and High Demand programs, and contracted programs; </t>
    </r>
    <r>
      <rPr>
        <b/>
        <i/>
        <sz val="10"/>
        <rFont val="Times New Roman"/>
        <family val="1"/>
      </rPr>
      <t>excludes Running Start</t>
    </r>
    <r>
      <rPr>
        <sz val="10"/>
        <rFont val="Times New Roman"/>
        <family val="1"/>
      </rPr>
      <t>)</t>
    </r>
  </si>
  <si>
    <t>at the start of an academic year.</t>
  </si>
  <si>
    <t xml:space="preserve">Note:  Subject to fulfilling OFM reporting requirements, the research universities may reassign budgeted FTEs among main and branch campuses </t>
  </si>
  <si>
    <t>Vancouver</t>
  </si>
  <si>
    <t>Tri-Cities</t>
  </si>
  <si>
    <t>Pullman/Spokane</t>
  </si>
  <si>
    <t>Tacoma</t>
  </si>
  <si>
    <t>Bothell</t>
  </si>
  <si>
    <t>Seattle</t>
  </si>
  <si>
    <t>2007-2008</t>
  </si>
  <si>
    <t>(Supp Bgt)</t>
  </si>
  <si>
    <t>for</t>
  </si>
  <si>
    <t>Level</t>
  </si>
  <si>
    <t>Increase</t>
  </si>
  <si>
    <t>FTE Student Enrollment</t>
  </si>
  <si>
    <t>Budgeted Enrollment Increases</t>
  </si>
  <si>
    <t>WSU Pullman/Spokane</t>
  </si>
  <si>
    <t>Site Repairs "A"</t>
  </si>
  <si>
    <t>Preventative Facility Maintenance and Building System Repairs</t>
  </si>
  <si>
    <t>Minor Works - Program</t>
  </si>
  <si>
    <t>Facility Repairs "A"</t>
  </si>
  <si>
    <t>Community &amp; Technical College System</t>
  </si>
  <si>
    <t>Network Infrastructure/Switches</t>
  </si>
  <si>
    <t>Minor Works Program</t>
  </si>
  <si>
    <t>Minor Works Preservation</t>
  </si>
  <si>
    <t>Minor Works - Infrastructure Preservation</t>
  </si>
  <si>
    <t>Minor Works - Health, Safety, and Code Requirements</t>
  </si>
  <si>
    <t>Riverpoint Center Acquisition</t>
  </si>
  <si>
    <t>Preventive Maintenance and Building System Repairs</t>
  </si>
  <si>
    <t>Minor Works - Preservation</t>
  </si>
  <si>
    <t>Safe Campus</t>
  </si>
  <si>
    <t>Minor Works - Program: 2009-11</t>
  </si>
  <si>
    <t>Minor Works - Facility Preservation</t>
  </si>
  <si>
    <t>New Appropriations</t>
  </si>
  <si>
    <t>Higher Ed Building Accounts</t>
  </si>
  <si>
    <t>Capital Budget Education Construction Account-State (253-1) and Higher Education Building Accounts (060 through 066) for Preventive Facility Maintenance and Repairs</t>
  </si>
  <si>
    <t>Fiscal Year 2009 Revenues (Phase III, October 2009)</t>
  </si>
  <si>
    <t>Fiscal Year 2010 Revenues</t>
  </si>
  <si>
    <t>Actual Data Through September 2009</t>
  </si>
  <si>
    <t>Fiscal Year 2011 Revenues</t>
  </si>
  <si>
    <t>[biennial annual average]</t>
  </si>
  <si>
    <t>Roof Repairs "A"</t>
  </si>
  <si>
    <t>Pierce College Fort Steilacoom: Cascade Core Phase II</t>
  </si>
  <si>
    <t>Green River Community College: Humanities and Classroom Building Debt Service</t>
  </si>
  <si>
    <t>Bellingham Technical College: Instructional Resource Center Debt Service</t>
  </si>
  <si>
    <t>Minor Works - Health, Safety, Code Compliance</t>
  </si>
  <si>
    <t>Laboratory and Art Annex Building Renovation</t>
  </si>
  <si>
    <t>UW Tacoma-Land Acquisition</t>
  </si>
  <si>
    <t>UW Tacoma Phase 3</t>
  </si>
  <si>
    <t>NEW PROJECTS</t>
  </si>
  <si>
    <t>Legislative Budget Notes</t>
  </si>
  <si>
    <t>2009-11 Capital Budget - 2010 Supplemental</t>
  </si>
  <si>
    <t>FY 11</t>
  </si>
  <si>
    <t>FY 10</t>
  </si>
  <si>
    <t>Revised Amount by FY</t>
  </si>
  <si>
    <t>2010 Supplemental Change</t>
  </si>
  <si>
    <r>
      <t>5</t>
    </r>
    <r>
      <rPr>
        <sz val="10"/>
        <rFont val="Times New Roman"/>
        <family val="1"/>
      </rPr>
      <t>Enrollment includes all non-Running Start students, which may include students under the age of 18.</t>
    </r>
  </si>
  <si>
    <r>
      <t xml:space="preserve">4 </t>
    </r>
    <r>
      <rPr>
        <sz val="10"/>
        <color indexed="8"/>
        <rFont val="Times New Roman"/>
        <family val="1"/>
      </rPr>
      <t>FTEs for these programs are included in the SBCTC's budget and reported by the four-year institution.  Includes 40 FTEs allocated to Peninsula and Olympic Colleges.</t>
    </r>
  </si>
  <si>
    <r>
      <t xml:space="preserve">2 </t>
    </r>
    <r>
      <rPr>
        <sz val="10"/>
        <rFont val="Times New Roman"/>
        <family val="1"/>
      </rPr>
      <t>This figure includes enrollment for the WWAMI (partnership between the School of Medicine and the states of Wyoming, Alaska, Montana and Idaho) Program and for the MCB (Molecular and Cellular Biology) Program.  Enrollments for these programs were reported as self-sustaining from 2003-04 to 2007-08.  State-funded enrollment figures prior to 2003-04 include these programs.</t>
    </r>
  </si>
  <si>
    <t>CTC Running Start Students</t>
  </si>
  <si>
    <r>
      <t>CTC Adult Students</t>
    </r>
    <r>
      <rPr>
        <b/>
        <vertAlign val="superscript"/>
        <sz val="10"/>
        <color indexed="8"/>
        <rFont val="Times New Roman"/>
        <family val="1"/>
      </rPr>
      <t>5</t>
    </r>
  </si>
  <si>
    <r>
      <t>University Center of N. Puget Sound</t>
    </r>
    <r>
      <rPr>
        <vertAlign val="superscript"/>
        <sz val="10"/>
        <color indexed="8"/>
        <rFont val="Times New Roman"/>
        <family val="1"/>
      </rPr>
      <t>4</t>
    </r>
  </si>
  <si>
    <t>Peninsula College</t>
  </si>
  <si>
    <t>Olympic College</t>
  </si>
  <si>
    <r>
      <t>4-Yr/2-Yr Partnership Programs</t>
    </r>
    <r>
      <rPr>
        <vertAlign val="superscript"/>
        <sz val="10"/>
        <color indexed="8"/>
        <rFont val="Times New Roman"/>
        <family val="1"/>
      </rPr>
      <t>4</t>
    </r>
  </si>
  <si>
    <t>Bachelor Degree Programs</t>
  </si>
  <si>
    <t>Worker Retraining Total</t>
  </si>
  <si>
    <t>CTC Adult students excluding programs listed below</t>
  </si>
  <si>
    <t>Spring 2010</t>
  </si>
  <si>
    <t>Winter 2010</t>
  </si>
  <si>
    <t>Fall 2009</t>
  </si>
  <si>
    <t>Summer 2009</t>
  </si>
  <si>
    <t>Projected</t>
  </si>
  <si>
    <t>Community and Technical College System Program</t>
  </si>
  <si>
    <t>- Pullman &amp; Spokane</t>
  </si>
  <si>
    <t xml:space="preserve">Washington State University </t>
  </si>
  <si>
    <r>
      <t>- Seattle</t>
    </r>
    <r>
      <rPr>
        <i/>
        <vertAlign val="superscript"/>
        <sz val="10"/>
        <color indexed="8"/>
        <rFont val="Times New Roman"/>
        <family val="1"/>
      </rPr>
      <t>2</t>
    </r>
  </si>
  <si>
    <r>
      <t>Actual</t>
    </r>
    <r>
      <rPr>
        <vertAlign val="superscript"/>
        <sz val="10"/>
        <color indexed="8"/>
        <rFont val="Times New Roman"/>
        <family val="1"/>
      </rPr>
      <t xml:space="preserve"> </t>
    </r>
  </si>
  <si>
    <r>
      <t>2009-10 State-Funded Full-Time Equivalent (FTE) Student Enrollment</t>
    </r>
    <r>
      <rPr>
        <vertAlign val="superscript"/>
        <sz val="10"/>
        <color indexed="8"/>
        <rFont val="Times New Roman"/>
        <family val="1"/>
      </rPr>
      <t>1</t>
    </r>
  </si>
  <si>
    <t>CTC Adult Students excluding other programs</t>
  </si>
  <si>
    <t>Worker Retraining - CTC</t>
  </si>
  <si>
    <t>Worker Retraining - Private Career Colleges</t>
  </si>
  <si>
    <t>Running Start (excluded from total)</t>
  </si>
  <si>
    <r>
      <t>3</t>
    </r>
    <r>
      <rPr>
        <sz val="10"/>
        <color indexed="8"/>
        <rFont val="Times New Roman"/>
        <family val="1"/>
      </rPr>
      <t xml:space="preserve">Baccalaureate programs offered at Bellevue College, Columbia Basin Community College, Lake Washington Technical College, Olympic College, Peninsula College, South Seattle Community College, and Seattle Central Community College. </t>
    </r>
  </si>
  <si>
    <r>
      <t>Bachelor Degree Programs</t>
    </r>
    <r>
      <rPr>
        <vertAlign val="superscript"/>
        <sz val="10"/>
        <color indexed="8"/>
        <rFont val="Times New Roman"/>
        <family val="1"/>
      </rPr>
      <t>3</t>
    </r>
  </si>
  <si>
    <t>FINAL 2009-10 BUDGET DRIVER REPORT</t>
  </si>
  <si>
    <t>budget_type</t>
  </si>
  <si>
    <t>transaction_type</t>
  </si>
  <si>
    <t>(All)</t>
  </si>
  <si>
    <t>month</t>
  </si>
  <si>
    <t>FundTitle</t>
  </si>
  <si>
    <t>fund</t>
  </si>
  <si>
    <t>Monthly Revenues</t>
  </si>
  <si>
    <t>est_act</t>
  </si>
  <si>
    <t>Actuals</t>
  </si>
  <si>
    <t>MajorSourceTitle</t>
  </si>
  <si>
    <t>SourceTitle</t>
  </si>
  <si>
    <t>2008</t>
  </si>
  <si>
    <t>2009</t>
  </si>
  <si>
    <t>2010</t>
  </si>
  <si>
    <t>2011</t>
  </si>
  <si>
    <t>Governor's Proposed</t>
  </si>
  <si>
    <t>FY 12</t>
  </si>
  <si>
    <t>FY 13</t>
  </si>
  <si>
    <t>FundCode</t>
  </si>
  <si>
    <t>343</t>
  </si>
  <si>
    <t>001-1</t>
  </si>
  <si>
    <t>001-2</t>
  </si>
  <si>
    <t>057-1</t>
  </si>
  <si>
    <t>08A-1</t>
  </si>
  <si>
    <t>17F-1</t>
  </si>
  <si>
    <t>489-1</t>
  </si>
  <si>
    <t>496-6</t>
  </si>
  <si>
    <t>747-6</t>
  </si>
  <si>
    <t>785-6</t>
  </si>
  <si>
    <t>788-6</t>
  </si>
  <si>
    <t>835-6</t>
  </si>
  <si>
    <t>001-7</t>
  </si>
  <si>
    <t>001-8</t>
  </si>
  <si>
    <t>02K-1</t>
  </si>
  <si>
    <t>064-1</t>
  </si>
  <si>
    <t>145-6</t>
  </si>
  <si>
    <t>148-6</t>
  </si>
  <si>
    <t>149-6</t>
  </si>
  <si>
    <t>15M-1</t>
  </si>
  <si>
    <t>443-6</t>
  </si>
  <si>
    <t>505-6</t>
  </si>
  <si>
    <t>608-1</t>
  </si>
  <si>
    <t>609-1</t>
  </si>
  <si>
    <t>001-4</t>
  </si>
  <si>
    <t>062-1</t>
  </si>
  <si>
    <t>143-6</t>
  </si>
  <si>
    <t>216-1</t>
  </si>
  <si>
    <t>355-1</t>
  </si>
  <si>
    <t>061-1</t>
  </si>
  <si>
    <t>063-1</t>
  </si>
  <si>
    <t>042-1</t>
  </si>
  <si>
    <t>066-1</t>
  </si>
  <si>
    <t>065-1</t>
  </si>
  <si>
    <t>060-1</t>
  </si>
  <si>
    <t>11A-6</t>
  </si>
  <si>
    <t>120-1</t>
  </si>
  <si>
    <t>17C-1</t>
  </si>
  <si>
    <t>ACT</t>
  </si>
  <si>
    <t>General Fund-Federal Stimulus Direct (001-8)</t>
  </si>
  <si>
    <t>FTE enrollment totals for Community/Technical College System and Total Higher Education exclude Running Start enrollment.</t>
  </si>
  <si>
    <t>Total Special Appropriations</t>
  </si>
  <si>
    <t>Contributions to Retirement Systems</t>
  </si>
  <si>
    <t>Sundry Claims</t>
  </si>
  <si>
    <t>Special Approps to the Governor</t>
  </si>
  <si>
    <t>Bond Retirement and Interest</t>
  </si>
  <si>
    <t>Special Appropriations</t>
  </si>
  <si>
    <t>Total Other Education</t>
  </si>
  <si>
    <t>East Wash State Historical Society</t>
  </si>
  <si>
    <t>Washington State Historical Society</t>
  </si>
  <si>
    <t>Washington State Arts Commission</t>
  </si>
  <si>
    <t>Department of Early Learning</t>
  </si>
  <si>
    <t>Workforce Trng &amp; Educ Coord Board</t>
  </si>
  <si>
    <t>Childhood Deafness &amp; Hearing Loss</t>
  </si>
  <si>
    <t>State School for the Blind</t>
  </si>
  <si>
    <t>Other Education</t>
  </si>
  <si>
    <t>Total Public Schools</t>
  </si>
  <si>
    <t>Compensation Adjustments</t>
  </si>
  <si>
    <t>Learning Assistance Program (LAP)</t>
  </si>
  <si>
    <t>Transitional Bilingual Instruction</t>
  </si>
  <si>
    <t>Education Reform</t>
  </si>
  <si>
    <t>Student Achievement Program</t>
  </si>
  <si>
    <t>Ed of Highly Capable Students</t>
  </si>
  <si>
    <t>Institutional Education</t>
  </si>
  <si>
    <t>Levy Equalization</t>
  </si>
  <si>
    <t>Educational Service Districts</t>
  </si>
  <si>
    <t>School Food Services</t>
  </si>
  <si>
    <t>Pupil Transportation</t>
  </si>
  <si>
    <t>General Apportionment</t>
  </si>
  <si>
    <t>OSPI &amp; Statewide Programs</t>
  </si>
  <si>
    <t>Public Schools</t>
  </si>
  <si>
    <t>Total Transportation</t>
  </si>
  <si>
    <t>Department of Licensing</t>
  </si>
  <si>
    <t>Washington State Patrol</t>
  </si>
  <si>
    <t>Transportation</t>
  </si>
  <si>
    <t>Total Natural Resources</t>
  </si>
  <si>
    <t>Department of Agriculture</t>
  </si>
  <si>
    <t>Department of Natural Resources</t>
  </si>
  <si>
    <t>Puget Sound Partnership</t>
  </si>
  <si>
    <t>Dept of Fish and Wildlife</t>
  </si>
  <si>
    <t>State Conservation Commission</t>
  </si>
  <si>
    <t>Environmental Hearings Office</t>
  </si>
  <si>
    <t>Rec and Conservation Funding Board</t>
  </si>
  <si>
    <t>State Parks and Recreation Comm</t>
  </si>
  <si>
    <t>Department of Ecology</t>
  </si>
  <si>
    <t>Columbia River Gorge Commission</t>
  </si>
  <si>
    <t>Natural Resources</t>
  </si>
  <si>
    <t>Total Human Services</t>
  </si>
  <si>
    <t>Total DSHS</t>
  </si>
  <si>
    <t>Payments to Other Agencies</t>
  </si>
  <si>
    <t>Special Commitment Center</t>
  </si>
  <si>
    <t>Administration/Support Svcs</t>
  </si>
  <si>
    <t>Vocational Rehabilitation</t>
  </si>
  <si>
    <t>Medical Assistance Payments</t>
  </si>
  <si>
    <t>Alcohol &amp; Substance Abuse</t>
  </si>
  <si>
    <t>Economic Services Administration</t>
  </si>
  <si>
    <t>Long-Term Care</t>
  </si>
  <si>
    <t>Developmental Disabilities</t>
  </si>
  <si>
    <t>Mental Health</t>
  </si>
  <si>
    <t>Juvenile Rehabilitation</t>
  </si>
  <si>
    <t>Children and Family Services</t>
  </si>
  <si>
    <t>DSHS</t>
  </si>
  <si>
    <t>Total Other Human Services</t>
  </si>
  <si>
    <t>Employment Security Department</t>
  </si>
  <si>
    <t>Sentencing Guidelines Commission</t>
  </si>
  <si>
    <t>Dept of Services for the Blind</t>
  </si>
  <si>
    <t>Department of Corrections</t>
  </si>
  <si>
    <t>Department of Veterans' Affairs</t>
  </si>
  <si>
    <t>Department of Health</t>
  </si>
  <si>
    <t>Home Care Quality Authority</t>
  </si>
  <si>
    <t>Indeterminate Sentence Review Board</t>
  </si>
  <si>
    <t>Department of Labor and Industries</t>
  </si>
  <si>
    <t>Criminal Justice Training Comm</t>
  </si>
  <si>
    <t>Human Rights Commission</t>
  </si>
  <si>
    <t>WA State Health Care Authority</t>
  </si>
  <si>
    <t>Other Human Services</t>
  </si>
  <si>
    <t>Total Governmental Operations</t>
  </si>
  <si>
    <t>Growth Management Hearings Board</t>
  </si>
  <si>
    <t>Archaeology &amp; Historic Preservation</t>
  </si>
  <si>
    <t>Public Employment Relations Comm</t>
  </si>
  <si>
    <t>Military Department</t>
  </si>
  <si>
    <t>Department of Information Services</t>
  </si>
  <si>
    <t>Dept of General Administration</t>
  </si>
  <si>
    <t>Board of Tax Appeals</t>
  </si>
  <si>
    <t>Department of Revenue</t>
  </si>
  <si>
    <t>African-American Affairs Comm</t>
  </si>
  <si>
    <t>WA State Comm on Hispanic Affairs</t>
  </si>
  <si>
    <t>Office of Financial Management</t>
  </si>
  <si>
    <t>Economic &amp; Revenue Forecast Council</t>
  </si>
  <si>
    <t>Department of Commerce</t>
  </si>
  <si>
    <t>Caseload Forecast Council</t>
  </si>
  <si>
    <t>Office of the Attorney General</t>
  </si>
  <si>
    <t>Comm Salaries for Elected Officials</t>
  </si>
  <si>
    <t>Office of the State Auditor</t>
  </si>
  <si>
    <t>Asian-Pacific-American Affrs</t>
  </si>
  <si>
    <t>Governor's Office of Indian Affairs</t>
  </si>
  <si>
    <t>Office of the Secretary of State</t>
  </si>
  <si>
    <t>Public Disclosure Commission</t>
  </si>
  <si>
    <t>Office of the Lieutenant Governor</t>
  </si>
  <si>
    <t>Office of the Governor</t>
  </si>
  <si>
    <t>Governmental Operations</t>
  </si>
  <si>
    <t>Total Legislative/Judicial</t>
  </si>
  <si>
    <t>Total Judicial</t>
  </si>
  <si>
    <t>Office of Civil Legal Aid</t>
  </si>
  <si>
    <t>Office of Public Defense</t>
  </si>
  <si>
    <t>Administrative Office of the Courts</t>
  </si>
  <si>
    <t>Commission on Judicial Conduct</t>
  </si>
  <si>
    <t>Court of Appeals</t>
  </si>
  <si>
    <t>State Law Library</t>
  </si>
  <si>
    <t>Supreme Court</t>
  </si>
  <si>
    <t>Judicial</t>
  </si>
  <si>
    <t>Total Legislative</t>
  </si>
  <si>
    <t>Redistricting Commission</t>
  </si>
  <si>
    <t>Statute Law Committee</t>
  </si>
  <si>
    <t>Joint Legislative Systems Comm</t>
  </si>
  <si>
    <t>Office of the State Actuary</t>
  </si>
  <si>
    <t>LEAP Committee</t>
  </si>
  <si>
    <t>Jt Leg Audit &amp; Review Committee</t>
  </si>
  <si>
    <t>Senate</t>
  </si>
  <si>
    <t>House of Representatives</t>
  </si>
  <si>
    <t>Legislative</t>
  </si>
  <si>
    <t>Appropriations in Other Legislation</t>
  </si>
  <si>
    <t>Total Budget Bill</t>
  </si>
  <si>
    <t>2009-11</t>
  </si>
  <si>
    <t>HE Operating Fees - Non-Appr</t>
  </si>
  <si>
    <t>General Fund - State</t>
  </si>
  <si>
    <t>ESHB 1086 Enacted (Feb 2011)</t>
  </si>
  <si>
    <t>2009-11 Revised Omnibus Operating Budget (2011 Supp)</t>
  </si>
  <si>
    <t>* School Years should be 2004-05 through 2012-13</t>
  </si>
  <si>
    <t>2012-13</t>
  </si>
  <si>
    <t>2011-12</t>
  </si>
  <si>
    <r>
      <t>2009-10</t>
    </r>
    <r>
      <rPr>
        <u/>
        <vertAlign val="superscript"/>
        <sz val="10"/>
        <rFont val="Times New Roman"/>
        <family val="1"/>
      </rPr>
      <t>(1)</t>
    </r>
  </si>
  <si>
    <r>
      <t>Enacted</t>
    </r>
    <r>
      <rPr>
        <vertAlign val="superscript"/>
        <sz val="10"/>
        <rFont val="Times New Roman"/>
        <family val="1"/>
      </rPr>
      <t>4</t>
    </r>
  </si>
  <si>
    <t>Office of Student Financial Assist</t>
  </si>
  <si>
    <t>Council for Higher Education</t>
  </si>
  <si>
    <t>Environ &amp; Land Use Hearings Office</t>
  </si>
  <si>
    <t>Department of Enterprise Services</t>
  </si>
  <si>
    <t>Consolidated Technology Services</t>
  </si>
  <si>
    <t>Innovate Washington</t>
  </si>
  <si>
    <t>2011-13</t>
  </si>
  <si>
    <t>FY 2013</t>
  </si>
  <si>
    <t>FY 2012</t>
  </si>
  <si>
    <t>Education Legacy T A - State</t>
  </si>
  <si>
    <t>House Working Version</t>
  </si>
  <si>
    <t>2011-13 Omnibus Operating Budget</t>
  </si>
  <si>
    <t>2012</t>
  </si>
  <si>
    <t>Governor Veto Total</t>
  </si>
  <si>
    <t>TOTALS</t>
  </si>
  <si>
    <t>Combined Utilities</t>
  </si>
  <si>
    <t>GOVERNOR VETO</t>
  </si>
  <si>
    <t>Museum System Repair and Upgrades/Preservation</t>
  </si>
  <si>
    <t>Eastern Washington State Historical Society</t>
  </si>
  <si>
    <t>Washington Heritage Project Capital Grants</t>
  </si>
  <si>
    <t>Washington Heritage Grants</t>
  </si>
  <si>
    <t>Vancouver National Historic Reserve West Barracks</t>
  </si>
  <si>
    <t>Statewide - Washington Heritage Project Grants</t>
  </si>
  <si>
    <t>Pacific-Lewis and Clark Station Camp Park Project</t>
  </si>
  <si>
    <t>Lewis and Clark Trail Interpretive Infrastructure Grant</t>
  </si>
  <si>
    <t>Building Preservation</t>
  </si>
  <si>
    <t>Well Replacement</t>
  </si>
  <si>
    <t>Minor Public Works</t>
  </si>
  <si>
    <t>Center for Childhood Deafness &amp; Hearing Loss</t>
  </si>
  <si>
    <t>General Campus Preservation</t>
  </si>
  <si>
    <t>Yakima Valley Technical Skills Center Phase II</t>
  </si>
  <si>
    <t>Vocational Skills Centers</t>
  </si>
  <si>
    <t>Urgent Repair Grant Program</t>
  </si>
  <si>
    <t>Skills Centers Minor Works-Facility Preservation</t>
  </si>
  <si>
    <t>SEA-Tech Branch Campus of Tri-Tech Skills Center SEA-Tech (Walla Walla) Branch Campus</t>
  </si>
  <si>
    <t>Pre-Disaster Mitigation Planning Grant</t>
  </si>
  <si>
    <t>Pierce County Skills Center</t>
  </si>
  <si>
    <t>Northeast King County Skills Center</t>
  </si>
  <si>
    <t>Energy Operational Savings Project Grants</t>
  </si>
  <si>
    <t>Energy Efficiency and Small Repair Grants</t>
  </si>
  <si>
    <t>Clark County Skills Center Addition</t>
  </si>
  <si>
    <t>Capital Program Administration Maintenance Level</t>
  </si>
  <si>
    <t>Aviation High School</t>
  </si>
  <si>
    <t>2011-13 School Construction Assistance Program</t>
  </si>
  <si>
    <t>2009-11 School Construction Asst. Grant Program</t>
  </si>
  <si>
    <t>2007-09 School Construction Asst. Grant Program</t>
  </si>
  <si>
    <t>Yakima Valley Community College: Palmer Martin Building</t>
  </si>
  <si>
    <t>Yakima Valley Community College: College/City Library</t>
  </si>
  <si>
    <t>Wenatchee Valley College: Music and Arts Center</t>
  </si>
  <si>
    <t>Tacoma Community College: Science Building Construction and Warranty Phase</t>
  </si>
  <si>
    <t>Tacoma Community College: Health Careers Center</t>
  </si>
  <si>
    <t>Spokane Falls Community College: Music Building 15 Renovation</t>
  </si>
  <si>
    <t>Spokane Falls Community College: Chemistry and Life Science Bldg</t>
  </si>
  <si>
    <t>Spokane Falls Community College: Campus Classrooms</t>
  </si>
  <si>
    <t>Spokane Falls Community College: Business and Social Science Bldg</t>
  </si>
  <si>
    <t>Spokane Falls CC: Stadium &amp; Athletic Fields</t>
  </si>
  <si>
    <t>Spokane Community College: Technical Education Building</t>
  </si>
  <si>
    <t>Spokane Community College: Building 7 Renovation</t>
  </si>
  <si>
    <t>South Puget Sound Community College: Learning Resource Center</t>
  </si>
  <si>
    <t>Skagit Valley College: Academic and Student Services Building</t>
  </si>
  <si>
    <t>Seattle Central Community College: Wood Construction Center</t>
  </si>
  <si>
    <t>Seattle Central Community College: Seattle Maritime Academy</t>
  </si>
  <si>
    <t>Preventive Facility Maintenance and Building System Repairs</t>
  </si>
  <si>
    <t>Pierce College Puyallup: Communication Arts/Health Building</t>
  </si>
  <si>
    <t>Pierce College Fort Steilacoom: Cascade Core Phase I</t>
  </si>
  <si>
    <t>Pierce College Fort Steilacoom:  Science and Technology</t>
  </si>
  <si>
    <t>Peninsula College: Fort Worden Building 202</t>
  </si>
  <si>
    <t>Peninsula College: Business and Humanities Center</t>
  </si>
  <si>
    <t>Olympic College: Humanities and Student Services</t>
  </si>
  <si>
    <t>North Seattle Community College: Technology Building Renewal</t>
  </si>
  <si>
    <t>Lower Columbia College: Myklebust Gymnasium</t>
  </si>
  <si>
    <t>Lower Columbia College: Health and Science Building</t>
  </si>
  <si>
    <t>Lake Washington Technical College: Allied Health Building</t>
  </si>
  <si>
    <t>Green River Community College: Water System Replacement</t>
  </si>
  <si>
    <t>Green River Community College: Trades and Industry Building</t>
  </si>
  <si>
    <t>Green River Community College: Science Math Technology Building</t>
  </si>
  <si>
    <t>Grays Harbor College: Science and Math Building</t>
  </si>
  <si>
    <t>Everett Community College: Index Hall Replacement</t>
  </si>
  <si>
    <t>Construction Contingency Pool</t>
  </si>
  <si>
    <t>Clover Park Technical College: Allied Health Care Facility</t>
  </si>
  <si>
    <t>Clark College:  Health and Advanced Technologies Building</t>
  </si>
  <si>
    <t>Bellingham Technical College: Fisheries Program</t>
  </si>
  <si>
    <t>Bellevue Community College: Health Science Building</t>
  </si>
  <si>
    <t>Bates Technical College: Mohler Communications Technology Center</t>
  </si>
  <si>
    <t>Minor Works - Infrastructure</t>
  </si>
  <si>
    <t>Minor Works - Facilities Preservation</t>
  </si>
  <si>
    <t>Miller Hall Renovation</t>
  </si>
  <si>
    <t>Fraser Hall Renovation</t>
  </si>
  <si>
    <t>Classroom and Lab Upgrades</t>
  </si>
  <si>
    <t>Carver Academic Renovation</t>
  </si>
  <si>
    <t>Academic Services &amp; Performing Arts Facility</t>
  </si>
  <si>
    <t>Science Center - Lab I, 2nd Floor Renovation</t>
  </si>
  <si>
    <t>Preservation</t>
  </si>
  <si>
    <t>Lecture Hall Remodel</t>
  </si>
  <si>
    <t>Communications Laboratory Building Preservation and Renovation</t>
  </si>
  <si>
    <t>Science Building Phase 2</t>
  </si>
  <si>
    <t>Samuelson Communication and Technology Center (SCTC)</t>
  </si>
  <si>
    <t>Nutrition Science Predesign</t>
  </si>
  <si>
    <t>Hogue Hall Renovation and Addition</t>
  </si>
  <si>
    <t>Patterson Hall Remodel</t>
  </si>
  <si>
    <t>Minor Works - Health, Safety and Code Compliance</t>
  </si>
  <si>
    <t>WSU Vancouver - Applied Technology and Classroom Building</t>
  </si>
  <si>
    <t>WSU Spokane - Riverpoint Biomedical and Health Sciences</t>
  </si>
  <si>
    <t>WSU Pullman - Agricultural Animal Health Research Facility</t>
  </si>
  <si>
    <t>Clean Technology Laboratory</t>
  </si>
  <si>
    <t>UW Tacoma-Soils Remediation</t>
  </si>
  <si>
    <t>UW Minor Capital Repairs</t>
  </si>
  <si>
    <t>UW Bothell Phase 3</t>
  </si>
  <si>
    <t>Odegaard Undergraduate Learning Center</t>
  </si>
  <si>
    <t>House of Knowledge Longhouse</t>
  </si>
  <si>
    <t>High Voltage Infrastructure Improvement Project</t>
  </si>
  <si>
    <t>Anderson Hall Renovation</t>
  </si>
  <si>
    <t>Health and Safety Projects at County Fairs</t>
  </si>
  <si>
    <t>Trust Land Transfer</t>
  </si>
  <si>
    <t>Sustainable Recreation</t>
  </si>
  <si>
    <t>Replacing State Forest Lands with Productive Forests</t>
  </si>
  <si>
    <t>Natural Areas Facilities Preservation and Access</t>
  </si>
  <si>
    <t>Minor Works-Preservation</t>
  </si>
  <si>
    <t>Marine Station</t>
  </si>
  <si>
    <t>Land Bank</t>
  </si>
  <si>
    <t>Land Acquisition Grants</t>
  </si>
  <si>
    <t>Hazardous Fuels Reduction, Forest Health, and Ecosystem Improv</t>
  </si>
  <si>
    <t>Forest Riparian Easement Program</t>
  </si>
  <si>
    <t>Forest Legacy</t>
  </si>
  <si>
    <t>Fire Hazard Reductions</t>
  </si>
  <si>
    <t>Elk River Estuarine Lands Acquisition</t>
  </si>
  <si>
    <t>Community Partnership Restoration Grants</t>
  </si>
  <si>
    <t>Wiley Slough Restoration</t>
  </si>
  <si>
    <t>Voights Creek Hatchery Phase 2</t>
  </si>
  <si>
    <t>Stemilt Basin Acquisition</t>
  </si>
  <si>
    <t>Skookumchuck Hatchery Renovation</t>
  </si>
  <si>
    <t>Skamania Hatchery Intake Replacement Design and Permit</t>
  </si>
  <si>
    <t>Puget Sound Initiative - Nearshore Salmon Restoration</t>
  </si>
  <si>
    <t>Puget Sound General Investigation for Nearshore Restoration</t>
  </si>
  <si>
    <t>Mitigation Projects and Dedicated Funding</t>
  </si>
  <si>
    <t>Mitchell Act Federal Grant</t>
  </si>
  <si>
    <t>Minor Works - Road Maintenance and Abandonment Plan</t>
  </si>
  <si>
    <t>Minor Works - Programmatic</t>
  </si>
  <si>
    <t>Minor Works - Health Safety and Code Requirements</t>
  </si>
  <si>
    <t>Minor Works - Fish Passage Barrier Corrections</t>
  </si>
  <si>
    <t>Minor Works - Dam and Dike</t>
  </si>
  <si>
    <t>Minor Works - Access Areas Preservation</t>
  </si>
  <si>
    <t>Migratory Waterfowl Habitat</t>
  </si>
  <si>
    <t>Leque Island Highway 532 Road Protection Predesign and Permitting</t>
  </si>
  <si>
    <t>Issaquah Hatchery Gravity Intake</t>
  </si>
  <si>
    <t>Cherry Valley Fish Passage and Stream Restoration</t>
  </si>
  <si>
    <t>Carpenter Creek Estuary Restoration</t>
  </si>
  <si>
    <t>Beebe Springs Phase 3</t>
  </si>
  <si>
    <t>Beebe Springs Development</t>
  </si>
  <si>
    <t>Department of Fish and Wildlife</t>
  </si>
  <si>
    <t>Livestock Nutrient Program</t>
  </si>
  <si>
    <t>Flood Assistance for Farm Communities</t>
  </si>
  <si>
    <t>CREP - Practice Incentive Payment Loan Program</t>
  </si>
  <si>
    <t>Conservation Reserve Enhancement Program</t>
  </si>
  <si>
    <t>Youth Athletic Fields</t>
  </si>
  <si>
    <t>Washington Wildlife Recreation Grants</t>
  </si>
  <si>
    <t>Washington Wildlife and Recreation Program</t>
  </si>
  <si>
    <t>Salmon Recovery Funding Board Programs</t>
  </si>
  <si>
    <t>Recreational Trails Program</t>
  </si>
  <si>
    <t>Puget Sound Restoration and Acquisition</t>
  </si>
  <si>
    <t>Puget Sound Restoration</t>
  </si>
  <si>
    <t>Puget Sound Estuary and Salmon Restoration Program</t>
  </si>
  <si>
    <t>Puget Sound Acquisition and Restoration</t>
  </si>
  <si>
    <t>Nonhighway and Off-Road Vehicle Activities Program</t>
  </si>
  <si>
    <t>National Recreational Trails Program</t>
  </si>
  <si>
    <t>Land and Water Conservation Fund</t>
  </si>
  <si>
    <t>Firearms and Archery Range Recreation</t>
  </si>
  <si>
    <t>Family Forest Fish Passage Program</t>
  </si>
  <si>
    <t>Family Forest and Fish Passage Program</t>
  </si>
  <si>
    <t>Boating Improvement Grants</t>
  </si>
  <si>
    <t>Boating Facilities Program</t>
  </si>
  <si>
    <t>Aquatic Lands Enhancement Account</t>
  </si>
  <si>
    <t>Recreation and Conservation Funding Board</t>
  </si>
  <si>
    <t>Twanoh State Park: Storm Water Improvements Design and Permit Phase, Phase 1</t>
  </si>
  <si>
    <t>Trail Development</t>
  </si>
  <si>
    <t>Rocky Reach - Chelan County Public Utility District</t>
  </si>
  <si>
    <t>Puget Sound Initiative</t>
  </si>
  <si>
    <t>Parkland Account Authority</t>
  </si>
  <si>
    <t>Minor Works - Health and Safety</t>
  </si>
  <si>
    <t>Minor Works - Facilities and Infrastructure Preservation</t>
  </si>
  <si>
    <t>Local Grant Authority</t>
  </si>
  <si>
    <t>Iron Horse Tunnel Hazard Repair</t>
  </si>
  <si>
    <t>Illahee State Park: Wastewater Treatment Upgrade Phase 2 Construction</t>
  </si>
  <si>
    <t>Ike Kinswa State Park Improvement</t>
  </si>
  <si>
    <t>Hood Canal Wastewater</t>
  </si>
  <si>
    <t>Fort Worden State Park: Housing Areas Exterior Improvements</t>
  </si>
  <si>
    <t>Fort Worden State Park: Building 202 Rehabilitation</t>
  </si>
  <si>
    <t>Fish Barrier Removal</t>
  </si>
  <si>
    <t>Federal Grant Authority</t>
  </si>
  <si>
    <t>Facility and Infrastructure Backlog Reduction</t>
  </si>
  <si>
    <t>Deception Pass State Park: Wastewater System Design and Permit</t>
  </si>
  <si>
    <t>Dash Point State Park: Sanitary Sewer Collection System Phase 2</t>
  </si>
  <si>
    <t>Clean Vessel Boating Pumpout Grants</t>
  </si>
  <si>
    <t>Bay View Park Wide Wastewater Treatment System</t>
  </si>
  <si>
    <t>State Parks and Recreation Commission</t>
  </si>
  <si>
    <t>Yakima River Basin Water Storage Feasibility Study</t>
  </si>
  <si>
    <t>Yakima Basin Integrated Water Management Plan Implementation</t>
  </si>
  <si>
    <t>Wood Stove Pollution Reduction</t>
  </si>
  <si>
    <t>Watershed Plan Implementation and Flow Achievement</t>
  </si>
  <si>
    <t>Water Supply Facilities</t>
  </si>
  <si>
    <t>Water Pollution Control Revolving Fund Program</t>
  </si>
  <si>
    <t>Water Pollution Control Revolving Account</t>
  </si>
  <si>
    <t>Water Pollution Control Loan Program</t>
  </si>
  <si>
    <t>Water Irrigation Efficiencies</t>
  </si>
  <si>
    <t>Water Conveyance Infrastructure Projects</t>
  </si>
  <si>
    <t>Wastewater Treatment and Water Reclamation</t>
  </si>
  <si>
    <t>Waste Tire Pile Prevention and Cleanup</t>
  </si>
  <si>
    <t>Upper Columbia River Black Sand Beach Cleanup</t>
  </si>
  <si>
    <t>Twin Lake Aquifer Recharge Project</t>
  </si>
  <si>
    <t>Transfer of Water Rights for Cabin Owners</t>
  </si>
  <si>
    <t>Swift Creek Natural Asbestos Cleanup</t>
  </si>
  <si>
    <t>Sunnyside Valley Irrigation District Water Conservation</t>
  </si>
  <si>
    <t>Stormwater Retrofit and Low-Impact Development Grant Program</t>
  </si>
  <si>
    <t>Stormwater Projects</t>
  </si>
  <si>
    <t>Statewide Stormwater Projects</t>
  </si>
  <si>
    <t>State Drought Preparedness</t>
  </si>
  <si>
    <t>Skykomish Cleanup and Restoration</t>
  </si>
  <si>
    <t>Settlement Funding To Clean Up Toxic Sites</t>
  </si>
  <si>
    <t>Safe Soils Remediation Program - Central Washington</t>
  </si>
  <si>
    <t>Safe Soils Remediation Program</t>
  </si>
  <si>
    <t>Remedial Action Grants</t>
  </si>
  <si>
    <t>Remedial Action Grant Program</t>
  </si>
  <si>
    <t>Reducing Wood Smoke Particle Emissions in Tacoma</t>
  </si>
  <si>
    <t>Reducing Diesel Particle Emissions in Tacoma</t>
  </si>
  <si>
    <t>Reclaimed Water</t>
  </si>
  <si>
    <t>Quad Cities Water Right Mitigation</t>
  </si>
  <si>
    <t>Puget Sound Stormwater Projects</t>
  </si>
  <si>
    <t>Puget Sound Aquatic Cleanup and Restoration</t>
  </si>
  <si>
    <t>Protect Communities from Flood and Drought</t>
  </si>
  <si>
    <t>Padilla Bay Federal Capital Projects</t>
  </si>
  <si>
    <t>Padilla Bay Boat Launch</t>
  </si>
  <si>
    <t>Mount Vernon Flood Protection</t>
  </si>
  <si>
    <t>Motor Vehicle Mercury Removal Program</t>
  </si>
  <si>
    <t>Mason County Consortium</t>
  </si>
  <si>
    <t>Low-Level Nuclear Waste Disposal Trench Closure</t>
  </si>
  <si>
    <t>Local Toxics Grants for Cleanup and Prevention</t>
  </si>
  <si>
    <t>Leaking Underground Tanks</t>
  </si>
  <si>
    <t>Kittitas Groundwater Study</t>
  </si>
  <si>
    <t>Hood Canal Regional Septic Repair Loan Program</t>
  </si>
  <si>
    <t>Habitat Mitigation</t>
  </si>
  <si>
    <t>Green River Flood Levee Improvements</t>
  </si>
  <si>
    <t>Eastern Washington Clean Sites Initiative</t>
  </si>
  <si>
    <t>Diesel Emissions Reduction</t>
  </si>
  <si>
    <t>Coordinated Prevention Grants</t>
  </si>
  <si>
    <t>Columbia River Basin Water Supply Development Program</t>
  </si>
  <si>
    <t>Coastal Wetlands Federal Funds Administration</t>
  </si>
  <si>
    <t>Cleanup and Prevention of Waste Tire Piles</t>
  </si>
  <si>
    <t>Clean Up Toxics Sites - Puget Sound</t>
  </si>
  <si>
    <t>Clean Up Toxic Sites - Puget Sound</t>
  </si>
  <si>
    <t>Centennial Clean Water Program</t>
  </si>
  <si>
    <t>Burlington Northern Santa Fe Skykomish Restoration</t>
  </si>
  <si>
    <t>ASARCO - Tacoma Smelter Plume and Mines</t>
  </si>
  <si>
    <t>Westside Corrections Complex: Siting and Predesign</t>
  </si>
  <si>
    <t>Washington State Penitentiary: Housing Units, Kitchen &amp; Site Work</t>
  </si>
  <si>
    <t>Washington Corrections Center: Replace Fire Detection/Suppression</t>
  </si>
  <si>
    <t>Washington Corrections Center: Regional Infrastructure</t>
  </si>
  <si>
    <t>SW: Minor Works - Infrastructure Preservation</t>
  </si>
  <si>
    <t>SW: Minor Works - Health, Safety &amp; Code</t>
  </si>
  <si>
    <t>SW: Minor Works - Facility Preservation</t>
  </si>
  <si>
    <t>Statewide Minor Works:  Programmatic Projects</t>
  </si>
  <si>
    <t>Statewide Minor Works:  Infrastructure Preservation</t>
  </si>
  <si>
    <t>Statewide Minor Works:  Health, Safety, Code</t>
  </si>
  <si>
    <t>Statewide Minor Works:  Facility Preservation</t>
  </si>
  <si>
    <t>New Prison Reception Center</t>
  </si>
  <si>
    <t>Monroe Corrections Complex: Close Sewer Lagoon</t>
  </si>
  <si>
    <t>Monroe Corrections Center: Water Line Replacements</t>
  </si>
  <si>
    <t>Monroe Corrections Center: SOU Core Building and Wings Roofing</t>
  </si>
  <si>
    <t>Clallam Bay Corrections Ctr: Install Close Custody Slider Doors</t>
  </si>
  <si>
    <t>Clallam Bay Corrections Center: Replace 5 Towers &amp; Housing Roofs</t>
  </si>
  <si>
    <t>Walla Walla Nursing Facility</t>
  </si>
  <si>
    <t>Minor Works Facilities Preservation</t>
  </si>
  <si>
    <t>Public Health Laboratory: HVAC Systems Upgrades</t>
  </si>
  <si>
    <t>Public Health Laboratory: Addition Construction</t>
  </si>
  <si>
    <t>Drinking Water Grants: Tulalip Water Supply &amp; Hanson Harbor</t>
  </si>
  <si>
    <t>Drinking Water Assistance Program</t>
  </si>
  <si>
    <t>Yakima Valley School Predesign</t>
  </si>
  <si>
    <t>Special Commitment Center: Utility Replacements</t>
  </si>
  <si>
    <t>Minor Works Preservation: Infrastructure Preservation</t>
  </si>
  <si>
    <t>Minor Works Preservation: Health, Safety &amp; Code Requirements</t>
  </si>
  <si>
    <t>Minor Works Preservation: Facilities Preservation</t>
  </si>
  <si>
    <t>Hazards Abatement and Demolition</t>
  </si>
  <si>
    <t>Francis Haddon Morgan Center Predesign</t>
  </si>
  <si>
    <t>Echo Glen Children's Center: Portable Classroom Replacement</t>
  </si>
  <si>
    <t>Eastern State Hospital: Westlake Building Renovation</t>
  </si>
  <si>
    <t>Capacity to Replace Maple Lane School Design and Project Management</t>
  </si>
  <si>
    <t>Department of Social and Health Services</t>
  </si>
  <si>
    <t>Labor and Industries Building Repairs and Renewal</t>
  </si>
  <si>
    <t>Fire Alarm Replacement New Upgrade</t>
  </si>
  <si>
    <t>WA State Criminal Justice Training Commission</t>
  </si>
  <si>
    <t>Historic Barn Preservation</t>
  </si>
  <si>
    <t>Heritage Barn Preservation Program</t>
  </si>
  <si>
    <t>Courthouse Preservation</t>
  </si>
  <si>
    <t>Department of Archaeology &amp; Historic Preservation</t>
  </si>
  <si>
    <t>Combined Support Maintenance Shop Design and Construction</t>
  </si>
  <si>
    <t>Camp Murray New Primary Gate Entrance West Gate Entrance</t>
  </si>
  <si>
    <t>Fire Training Academy Burn Building Repairs</t>
  </si>
  <si>
    <t>Fire Training Academy Burn Building Predesign</t>
  </si>
  <si>
    <t>Transportation Building Preservation</t>
  </si>
  <si>
    <t>Reuse GA Bldg for Heritage Cntr., State Library &amp; State Patrol</t>
  </si>
  <si>
    <t>Powerhouse: Improvements and Preservation</t>
  </si>
  <si>
    <t>O'Brien Building Improvements</t>
  </si>
  <si>
    <t>Nat Resource Bldg Roof Replacement/Ext Foam Insulation Repairs</t>
  </si>
  <si>
    <t>Legislative Building Improvements</t>
  </si>
  <si>
    <t>Legislative Building Critical Hydronic Loop Repairs</t>
  </si>
  <si>
    <t>Legislative Building Critical Exterior Repairs</t>
  </si>
  <si>
    <t>Facility Oversight Program: Staffing</t>
  </si>
  <si>
    <t>Engineering and Architectural Services: Staffing</t>
  </si>
  <si>
    <t>Emergency Repairs</t>
  </si>
  <si>
    <t>Capitol Lake Dredging</t>
  </si>
  <si>
    <t>Capitol Campus High Voltage System Improvements</t>
  </si>
  <si>
    <t>Department of General Administration</t>
  </si>
  <si>
    <t>Oversight of State Facilities</t>
  </si>
  <si>
    <t>Graving Dock Settlement</t>
  </si>
  <si>
    <t>Cowlitz River Dredging</t>
  </si>
  <si>
    <t>Catastrophic Flood Relief</t>
  </si>
  <si>
    <t>Bid Savings Contingency Pool</t>
  </si>
  <si>
    <t>Youth Recreational Facilities Grants</t>
  </si>
  <si>
    <t>Weatherization</t>
  </si>
  <si>
    <t>Water System Acquisition and Rehabilitation Program</t>
  </si>
  <si>
    <t>Temporary Public Works Grant Program</t>
  </si>
  <si>
    <t>Rural Washington Loan Fund</t>
  </si>
  <si>
    <t>Quincy Water Treatment System Phase 1</t>
  </si>
  <si>
    <t>Public Works Trust Fund</t>
  </si>
  <si>
    <t>Public Works Assistance Account Program</t>
  </si>
  <si>
    <t>Longview Regional Water Treatment Plant Dredging</t>
  </si>
  <si>
    <t>Local and Community Projects</t>
  </si>
  <si>
    <t>Jobs in Communities</t>
  </si>
  <si>
    <t>Jobs Act for K-12 Public Schools &amp; Higher Education Institutions</t>
  </si>
  <si>
    <t>Job Development Fund Grants</t>
  </si>
  <si>
    <t>Job and Economic Development Grants</t>
  </si>
  <si>
    <t>Innovation Partnership Zones</t>
  </si>
  <si>
    <t>Housing Assistance, Weatherization, and Affordable Housing</t>
  </si>
  <si>
    <t>Housing Assistance, Weatherization, Affordable Housing Trust Fund</t>
  </si>
  <si>
    <t>Energy Freedom Program</t>
  </si>
  <si>
    <t>Drinking Water State Revolving Fund Loan Program</t>
  </si>
  <si>
    <t>Drinking Water Assistance Account</t>
  </si>
  <si>
    <t>Community Schools Program</t>
  </si>
  <si>
    <t>Community Schools</t>
  </si>
  <si>
    <t>Community Economic Revitalization Board</t>
  </si>
  <si>
    <t>Community Development Fund</t>
  </si>
  <si>
    <t>Community Development Block Grants</t>
  </si>
  <si>
    <t>Clean Energy Partnership</t>
  </si>
  <si>
    <t>CERB - Export Assistance Grants &amp; Loans</t>
  </si>
  <si>
    <t>Building for the Arts Grants</t>
  </si>
  <si>
    <t>Building Communities Fund Grants</t>
  </si>
  <si>
    <t>Belfair Sewer Improvements</t>
  </si>
  <si>
    <t>2010 Local and Community Projects</t>
  </si>
  <si>
    <t>2008 Local and Community Projects</t>
  </si>
  <si>
    <t>Reapp</t>
  </si>
  <si>
    <t>New App</t>
  </si>
  <si>
    <t>Project List</t>
  </si>
  <si>
    <t>Total Budgeted Funds</t>
  </si>
  <si>
    <t>2011-13 Capital Budget</t>
  </si>
  <si>
    <r>
      <t>4</t>
    </r>
    <r>
      <rPr>
        <sz val="10"/>
        <rFont val="Times New Roman"/>
        <family val="1"/>
      </rPr>
      <t>Enrollment includes all non-Running Start students, which may include students under the age of 18.</t>
    </r>
  </si>
  <si>
    <r>
      <t xml:space="preserve">3 </t>
    </r>
    <r>
      <rPr>
        <sz val="10"/>
        <color indexed="8"/>
        <rFont val="Times New Roman"/>
        <family val="1"/>
      </rPr>
      <t>FTEs for these programs are included in the SBCTC's budget and reported by the four-year institution.  Includes 40 FTEs allocated to Peninsula and Olympic Colleges.</t>
    </r>
  </si>
  <si>
    <r>
      <t>2</t>
    </r>
    <r>
      <rPr>
        <sz val="10"/>
        <color indexed="8"/>
        <rFont val="Times New Roman"/>
        <family val="1"/>
      </rPr>
      <t xml:space="preserve">Baccalaureate programs offered at Bellevue College, Columbia Basin Community College, Lake Washington Technical College, Olympic College, Peninsula College, South Seattle Community College, and Seattle Central Community College. </t>
    </r>
  </si>
  <si>
    <r>
      <t>CTC Adult Students</t>
    </r>
    <r>
      <rPr>
        <b/>
        <vertAlign val="superscript"/>
        <sz val="10"/>
        <color indexed="8"/>
        <rFont val="Times New Roman"/>
        <family val="1"/>
      </rPr>
      <t>4</t>
    </r>
  </si>
  <si>
    <t>UW-Bothell</t>
  </si>
  <si>
    <r>
      <t>University Center of N. Puget Sound</t>
    </r>
    <r>
      <rPr>
        <vertAlign val="superscript"/>
        <sz val="10"/>
        <color indexed="8"/>
        <rFont val="Times New Roman"/>
        <family val="1"/>
      </rPr>
      <t>3</t>
    </r>
  </si>
  <si>
    <t>WSU-Olympic College</t>
  </si>
  <si>
    <r>
      <t>4-Yr/2-Yr Partnership Programs</t>
    </r>
    <r>
      <rPr>
        <vertAlign val="superscript"/>
        <sz val="10"/>
        <color indexed="8"/>
        <rFont val="Times New Roman"/>
        <family val="1"/>
      </rPr>
      <t>3</t>
    </r>
  </si>
  <si>
    <r>
      <t>Bachelor Degree Programs</t>
    </r>
    <r>
      <rPr>
        <vertAlign val="superscript"/>
        <sz val="10"/>
        <color indexed="8"/>
        <rFont val="Times New Roman"/>
        <family val="1"/>
      </rPr>
      <t>2</t>
    </r>
  </si>
  <si>
    <t>Spring 2011</t>
  </si>
  <si>
    <t>Winter 2011</t>
  </si>
  <si>
    <t>Fall 2010</t>
  </si>
  <si>
    <t>Summer 2010</t>
  </si>
  <si>
    <t>- Seattle</t>
  </si>
  <si>
    <r>
      <t>2010-11 State-Funded Full-Time Equivalent (FTE) Student Enrollment</t>
    </r>
    <r>
      <rPr>
        <vertAlign val="superscript"/>
        <sz val="10"/>
        <color indexed="8"/>
        <rFont val="Times New Roman"/>
        <family val="1"/>
      </rPr>
      <t>1</t>
    </r>
  </si>
  <si>
    <t>FINAL 2010-11 BUDGET DRIVER REPORT</t>
  </si>
  <si>
    <t>UCNPS - UW-Bothell</t>
  </si>
  <si>
    <t>2013</t>
  </si>
  <si>
    <t>340</t>
  </si>
  <si>
    <t>Student Achievement Council</t>
  </si>
  <si>
    <t>Office of Insurance Commissioner</t>
  </si>
  <si>
    <t>Office of Legislative Support Svcs</t>
  </si>
  <si>
    <t>As Passed Legislature</t>
  </si>
  <si>
    <t>2011-13 Revised Omnibus Operating Budget (2012 Supp)</t>
  </si>
  <si>
    <t>HEC Board, CHE, SFA, &amp; SAC (1)</t>
  </si>
  <si>
    <r>
      <t>STATE-FUNDED PUBLIC HIGHER EDUCATION ENROLLMENT</t>
    </r>
    <r>
      <rPr>
        <b/>
        <vertAlign val="superscript"/>
        <sz val="10"/>
        <color indexed="8"/>
        <rFont val="Times New Roman"/>
        <family val="1"/>
      </rPr>
      <t>1</t>
    </r>
    <r>
      <rPr>
        <b/>
        <sz val="10"/>
        <color indexed="8"/>
        <rFont val="Times New Roman"/>
        <family val="1"/>
      </rPr>
      <t xml:space="preserve"> REPORT </t>
    </r>
  </si>
  <si>
    <t>FINAL 2011-12</t>
  </si>
  <si>
    <t>Summer 2011</t>
  </si>
  <si>
    <t>Fall 2011</t>
  </si>
  <si>
    <t>Winter 2012</t>
  </si>
  <si>
    <t>Spring 2012</t>
  </si>
  <si>
    <t>US IPD1 FY1990 = 1.0</t>
  </si>
  <si>
    <t>2014</t>
  </si>
  <si>
    <t>2015</t>
  </si>
  <si>
    <t>09R-1</t>
  </si>
  <si>
    <t>561-6</t>
  </si>
  <si>
    <t>FY</t>
  </si>
  <si>
    <t>467</t>
  </si>
  <si>
    <t>267-1</t>
  </si>
  <si>
    <t>478</t>
  </si>
  <si>
    <t>012</t>
  </si>
  <si>
    <t>351</t>
  </si>
  <si>
    <t>100</t>
  </si>
  <si>
    <t>103</t>
  </si>
  <si>
    <t>101</t>
  </si>
  <si>
    <t>105</t>
  </si>
  <si>
    <t>228</t>
  </si>
  <si>
    <t>461</t>
  </si>
  <si>
    <t>490</t>
  </si>
  <si>
    <t>084-1</t>
  </si>
  <si>
    <t>407</t>
  </si>
  <si>
    <t>010</t>
  </si>
  <si>
    <t>405</t>
  </si>
  <si>
    <t>218-2</t>
  </si>
  <si>
    <t>303</t>
  </si>
  <si>
    <t>390</t>
  </si>
  <si>
    <t>184-6</t>
  </si>
  <si>
    <t>058-1</t>
  </si>
  <si>
    <t>350</t>
  </si>
  <si>
    <t>532-1</t>
  </si>
  <si>
    <t>160-1</t>
  </si>
  <si>
    <t>477</t>
  </si>
  <si>
    <t>071-1</t>
  </si>
  <si>
    <t>235</t>
  </si>
  <si>
    <t>353</t>
  </si>
  <si>
    <t>163-1</t>
  </si>
  <si>
    <t>395</t>
  </si>
  <si>
    <t>055</t>
  </si>
  <si>
    <t>16A-1</t>
  </si>
  <si>
    <t>300</t>
  </si>
  <si>
    <t>887-1</t>
  </si>
  <si>
    <t>107</t>
  </si>
  <si>
    <t>471</t>
  </si>
  <si>
    <t>095</t>
  </si>
  <si>
    <t>355</t>
  </si>
  <si>
    <t>146-1</t>
  </si>
  <si>
    <t>465</t>
  </si>
  <si>
    <t>01B-1</t>
  </si>
  <si>
    <t>116</t>
  </si>
  <si>
    <t>577-6</t>
  </si>
  <si>
    <t>02R-1</t>
  </si>
  <si>
    <t>179</t>
  </si>
  <si>
    <t>199-1</t>
  </si>
  <si>
    <t>110-7</t>
  </si>
  <si>
    <t>085</t>
  </si>
  <si>
    <t>06H-6</t>
  </si>
  <si>
    <t>305</t>
  </si>
  <si>
    <t>410</t>
  </si>
  <si>
    <t>268-1</t>
  </si>
  <si>
    <t>540</t>
  </si>
  <si>
    <t>240</t>
  </si>
  <si>
    <t>026-1</t>
  </si>
  <si>
    <t>495</t>
  </si>
  <si>
    <t>159-6</t>
  </si>
  <si>
    <t>225</t>
  </si>
  <si>
    <t>03L-1</t>
  </si>
  <si>
    <t>03C-1</t>
  </si>
  <si>
    <t>516-6</t>
  </si>
  <si>
    <t>167</t>
  </si>
  <si>
    <t>048-1</t>
  </si>
  <si>
    <t>030-6</t>
  </si>
  <si>
    <t>245</t>
  </si>
  <si>
    <t>05H-1</t>
  </si>
  <si>
    <t>17M-6</t>
  </si>
  <si>
    <t>144-1</t>
  </si>
  <si>
    <t>780-1</t>
  </si>
  <si>
    <t>108-1</t>
  </si>
  <si>
    <t>222-1</t>
  </si>
  <si>
    <t>120</t>
  </si>
  <si>
    <t>140</t>
  </si>
  <si>
    <t>304-1</t>
  </si>
  <si>
    <t>310</t>
  </si>
  <si>
    <t>040</t>
  </si>
  <si>
    <t>081-1</t>
  </si>
  <si>
    <t>124</t>
  </si>
  <si>
    <t>600-1</t>
  </si>
  <si>
    <t>20R-1</t>
  </si>
  <si>
    <t>235-1</t>
  </si>
  <si>
    <t>387</t>
  </si>
  <si>
    <t>082</t>
  </si>
  <si>
    <t>408-6</t>
  </si>
  <si>
    <t>095-1</t>
  </si>
  <si>
    <t>038</t>
  </si>
  <si>
    <t>020</t>
  </si>
  <si>
    <t>141-6</t>
  </si>
  <si>
    <t>104-1</t>
  </si>
  <si>
    <t>195</t>
  </si>
  <si>
    <t>201-1</t>
  </si>
  <si>
    <t>032-1</t>
  </si>
  <si>
    <t>110</t>
  </si>
  <si>
    <t>484-1</t>
  </si>
  <si>
    <t>354</t>
  </si>
  <si>
    <t>503-6</t>
  </si>
  <si>
    <t>076</t>
  </si>
  <si>
    <t>546-6</t>
  </si>
  <si>
    <t>102</t>
  </si>
  <si>
    <t>07A-6</t>
  </si>
  <si>
    <t>413-6</t>
  </si>
  <si>
    <t>407-6</t>
  </si>
  <si>
    <t>223-1</t>
  </si>
  <si>
    <t>468</t>
  </si>
  <si>
    <t>215</t>
  </si>
  <si>
    <t>02G-1</t>
  </si>
  <si>
    <t>080-1</t>
  </si>
  <si>
    <t>11V-7</t>
  </si>
  <si>
    <t>080</t>
  </si>
  <si>
    <t>044-1</t>
  </si>
  <si>
    <t>041-1</t>
  </si>
  <si>
    <t>014</t>
  </si>
  <si>
    <t>04M-1</t>
  </si>
  <si>
    <t>119</t>
  </si>
  <si>
    <t>04R-2</t>
  </si>
  <si>
    <t>218-1</t>
  </si>
  <si>
    <t>410-6</t>
  </si>
  <si>
    <t>056</t>
  </si>
  <si>
    <t>315</t>
  </si>
  <si>
    <t>02H-6</t>
  </si>
  <si>
    <t>110-2</t>
  </si>
  <si>
    <t>126-6</t>
  </si>
  <si>
    <t>106-1</t>
  </si>
  <si>
    <t>298-1</t>
  </si>
  <si>
    <t>406</t>
  </si>
  <si>
    <t>102-1</t>
  </si>
  <si>
    <t>197-6</t>
  </si>
  <si>
    <t>108-2</t>
  </si>
  <si>
    <t>297-2</t>
  </si>
  <si>
    <t>125-1</t>
  </si>
  <si>
    <t>381-1</t>
  </si>
  <si>
    <t>081-2</t>
  </si>
  <si>
    <t>234-1</t>
  </si>
  <si>
    <t>209-6</t>
  </si>
  <si>
    <t>02A-1</t>
  </si>
  <si>
    <t>02W-1</t>
  </si>
  <si>
    <t>483-1</t>
  </si>
  <si>
    <t>158-1</t>
  </si>
  <si>
    <t>202-1</t>
  </si>
  <si>
    <t>185</t>
  </si>
  <si>
    <t>497-6</t>
  </si>
  <si>
    <t>10A-1</t>
  </si>
  <si>
    <t>160</t>
  </si>
  <si>
    <t>072-1</t>
  </si>
  <si>
    <t>185-6</t>
  </si>
  <si>
    <t>075</t>
  </si>
  <si>
    <t>07E-6</t>
  </si>
  <si>
    <t>05R-1</t>
  </si>
  <si>
    <t>303-1</t>
  </si>
  <si>
    <t>433-6</t>
  </si>
  <si>
    <t>227</t>
  </si>
  <si>
    <t>186-1</t>
  </si>
  <si>
    <t>027-1</t>
  </si>
  <si>
    <t>16J-1</t>
  </si>
  <si>
    <t>057</t>
  </si>
  <si>
    <t>111-1</t>
  </si>
  <si>
    <t>823-6</t>
  </si>
  <si>
    <t>226-6</t>
  </si>
  <si>
    <t>14E-1</t>
  </si>
  <si>
    <t>507-1</t>
  </si>
  <si>
    <t>19H-6</t>
  </si>
  <si>
    <t>086-1</t>
  </si>
  <si>
    <t>275</t>
  </si>
  <si>
    <t>511-1</t>
  </si>
  <si>
    <t>07L-6</t>
  </si>
  <si>
    <t>205-6</t>
  </si>
  <si>
    <t>578-1</t>
  </si>
  <si>
    <t>180-6</t>
  </si>
  <si>
    <t>048</t>
  </si>
  <si>
    <t>050</t>
  </si>
  <si>
    <t>03M-1</t>
  </si>
  <si>
    <t>828-1</t>
  </si>
  <si>
    <t>090</t>
  </si>
  <si>
    <t>404-1</t>
  </si>
  <si>
    <t>501-1</t>
  </si>
  <si>
    <t>045-1</t>
  </si>
  <si>
    <t>298-6</t>
  </si>
  <si>
    <t>014-1</t>
  </si>
  <si>
    <t>888-6</t>
  </si>
  <si>
    <t>003-1</t>
  </si>
  <si>
    <t>01M-1</t>
  </si>
  <si>
    <t>03N-1</t>
  </si>
  <si>
    <t>269-7</t>
  </si>
  <si>
    <t>182-1</t>
  </si>
  <si>
    <t>109-1</t>
  </si>
  <si>
    <t>131-6</t>
  </si>
  <si>
    <t>553-1</t>
  </si>
  <si>
    <t>193-6</t>
  </si>
  <si>
    <t>119-2</t>
  </si>
  <si>
    <t>04H-1</t>
  </si>
  <si>
    <t>460</t>
  </si>
  <si>
    <t>207-1</t>
  </si>
  <si>
    <t>415-1</t>
  </si>
  <si>
    <t>04W-1</t>
  </si>
  <si>
    <t>190</t>
  </si>
  <si>
    <t>03F-1</t>
  </si>
  <si>
    <t>536-6</t>
  </si>
  <si>
    <t>09H-1</t>
  </si>
  <si>
    <t>142</t>
  </si>
  <si>
    <t>564-1</t>
  </si>
  <si>
    <t>439-6</t>
  </si>
  <si>
    <t>190-6</t>
  </si>
  <si>
    <t>892-1</t>
  </si>
  <si>
    <t>099</t>
  </si>
  <si>
    <t>08V-6</t>
  </si>
  <si>
    <t>220</t>
  </si>
  <si>
    <t>204-1</t>
  </si>
  <si>
    <t>05C-1</t>
  </si>
  <si>
    <t>118</t>
  </si>
  <si>
    <t>205</t>
  </si>
  <si>
    <t>470-6</t>
  </si>
  <si>
    <t>485-6</t>
  </si>
  <si>
    <t>07W-1</t>
  </si>
  <si>
    <t>013</t>
  </si>
  <si>
    <t>06R-1</t>
  </si>
  <si>
    <t>108-7</t>
  </si>
  <si>
    <t>081-7</t>
  </si>
  <si>
    <t>320-6</t>
  </si>
  <si>
    <t>087-6</t>
  </si>
  <si>
    <t>126</t>
  </si>
  <si>
    <t>087</t>
  </si>
  <si>
    <t>086</t>
  </si>
  <si>
    <t>045-6</t>
  </si>
  <si>
    <t>08G-6</t>
  </si>
  <si>
    <t>422-6</t>
  </si>
  <si>
    <t>16W-1</t>
  </si>
  <si>
    <t>462</t>
  </si>
  <si>
    <t>545-6</t>
  </si>
  <si>
    <t>455-1</t>
  </si>
  <si>
    <t>116-6</t>
  </si>
  <si>
    <t>438-6</t>
  </si>
  <si>
    <t>544-1</t>
  </si>
  <si>
    <t>196-6</t>
  </si>
  <si>
    <t>885-1</t>
  </si>
  <si>
    <t>037</t>
  </si>
  <si>
    <t>442-6</t>
  </si>
  <si>
    <t>117</t>
  </si>
  <si>
    <t>11K-1</t>
  </si>
  <si>
    <t>305-1</t>
  </si>
  <si>
    <t>082-1</t>
  </si>
  <si>
    <t>215-1</t>
  </si>
  <si>
    <t>06J-6</t>
  </si>
  <si>
    <t>128-6</t>
  </si>
  <si>
    <t>198-6</t>
  </si>
  <si>
    <t>777-1</t>
  </si>
  <si>
    <t>219-1</t>
  </si>
  <si>
    <t>17B-2</t>
  </si>
  <si>
    <t>04V-1</t>
  </si>
  <si>
    <t>513-1</t>
  </si>
  <si>
    <t>418-1</t>
  </si>
  <si>
    <t>147</t>
  </si>
  <si>
    <t>453-1</t>
  </si>
  <si>
    <t>562-1</t>
  </si>
  <si>
    <t>03P-1</t>
  </si>
  <si>
    <t>09B-6</t>
  </si>
  <si>
    <t>217-1</t>
  </si>
  <si>
    <t>553-6</t>
  </si>
  <si>
    <t>04F-1</t>
  </si>
  <si>
    <t>19B-6</t>
  </si>
  <si>
    <t>02P-1</t>
  </si>
  <si>
    <t>134-1</t>
  </si>
  <si>
    <t>172-6</t>
  </si>
  <si>
    <t>471-6</t>
  </si>
  <si>
    <t>06G-1</t>
  </si>
  <si>
    <t>098-1</t>
  </si>
  <si>
    <t>006-1</t>
  </si>
  <si>
    <t>14V-1</t>
  </si>
  <si>
    <t>218-7</t>
  </si>
  <si>
    <t>106-2</t>
  </si>
  <si>
    <t>104</t>
  </si>
  <si>
    <t>04E-1</t>
  </si>
  <si>
    <t>039-2</t>
  </si>
  <si>
    <t>17L-6</t>
  </si>
  <si>
    <t>214-6</t>
  </si>
  <si>
    <t>14A-1</t>
  </si>
  <si>
    <t>163</t>
  </si>
  <si>
    <t>08H-1</t>
  </si>
  <si>
    <t>05H-2</t>
  </si>
  <si>
    <t>263-1</t>
  </si>
  <si>
    <t>411</t>
  </si>
  <si>
    <t>12G-6</t>
  </si>
  <si>
    <t>031-1</t>
  </si>
  <si>
    <t>421-6</t>
  </si>
  <si>
    <t>154-1</t>
  </si>
  <si>
    <t>550-1</t>
  </si>
  <si>
    <t>03B-1</t>
  </si>
  <si>
    <t>543-1</t>
  </si>
  <si>
    <t>07V-6</t>
  </si>
  <si>
    <t>011</t>
  </si>
  <si>
    <t>436-6</t>
  </si>
  <si>
    <t>746-6</t>
  </si>
  <si>
    <t>759-6</t>
  </si>
  <si>
    <t>176-1</t>
  </si>
  <si>
    <t>110-1</t>
  </si>
  <si>
    <t>035</t>
  </si>
  <si>
    <t>12F-6</t>
  </si>
  <si>
    <t>150-1</t>
  </si>
  <si>
    <t>002-1</t>
  </si>
  <si>
    <t>133-6</t>
  </si>
  <si>
    <t>515-6</t>
  </si>
  <si>
    <t>740</t>
  </si>
  <si>
    <t>138-1</t>
  </si>
  <si>
    <t>608-2</t>
  </si>
  <si>
    <t>167-1</t>
  </si>
  <si>
    <t>341</t>
  </si>
  <si>
    <t>548-6</t>
  </si>
  <si>
    <t>874-6</t>
  </si>
  <si>
    <t>165</t>
  </si>
  <si>
    <t>02J-1</t>
  </si>
  <si>
    <t>106-7</t>
  </si>
  <si>
    <t>405-1</t>
  </si>
  <si>
    <t>200-2</t>
  </si>
  <si>
    <t>16G-6</t>
  </si>
  <si>
    <t>259-6</t>
  </si>
  <si>
    <t>16V-1</t>
  </si>
  <si>
    <t>609-2</t>
  </si>
  <si>
    <t>600-6</t>
  </si>
  <si>
    <t>269-1</t>
  </si>
  <si>
    <t>04R-1</t>
  </si>
  <si>
    <t>12M-1</t>
  </si>
  <si>
    <t>884-6</t>
  </si>
  <si>
    <t>10B-1</t>
  </si>
  <si>
    <t>045</t>
  </si>
  <si>
    <t>225-1</t>
  </si>
  <si>
    <t>11B-1</t>
  </si>
  <si>
    <t>11J-6</t>
  </si>
  <si>
    <t>039-1</t>
  </si>
  <si>
    <t>007-1</t>
  </si>
  <si>
    <t>08K-1</t>
  </si>
  <si>
    <t>09J-6</t>
  </si>
  <si>
    <t>300-6</t>
  </si>
  <si>
    <t>424-6</t>
  </si>
  <si>
    <t>830-1</t>
  </si>
  <si>
    <t>210-6</t>
  </si>
  <si>
    <t>12C-1</t>
  </si>
  <si>
    <t>024-1</t>
  </si>
  <si>
    <t>262-1</t>
  </si>
  <si>
    <t>213-6</t>
  </si>
  <si>
    <t>549-2</t>
  </si>
  <si>
    <t>16B-6</t>
  </si>
  <si>
    <t>06K-1</t>
  </si>
  <si>
    <t>05W-1</t>
  </si>
  <si>
    <t>08P-6</t>
  </si>
  <si>
    <t>01F-6</t>
  </si>
  <si>
    <t>03R-1</t>
  </si>
  <si>
    <t>12T-1</t>
  </si>
  <si>
    <t>06L-1</t>
  </si>
  <si>
    <t>19J-6</t>
  </si>
  <si>
    <t>18E-6</t>
  </si>
  <si>
    <t>441-1</t>
  </si>
  <si>
    <t>14W-6</t>
  </si>
  <si>
    <t>383-1</t>
  </si>
  <si>
    <t>14P-6</t>
  </si>
  <si>
    <t>10G-1</t>
  </si>
  <si>
    <t>389-2</t>
  </si>
  <si>
    <t>09L-6</t>
  </si>
  <si>
    <t>14M-1</t>
  </si>
  <si>
    <t>297-1</t>
  </si>
  <si>
    <t>19C-1</t>
  </si>
  <si>
    <t>11H-1</t>
  </si>
  <si>
    <t>319-7</t>
  </si>
  <si>
    <t>15V-6</t>
  </si>
  <si>
    <t>480-6</t>
  </si>
  <si>
    <t>19A-1</t>
  </si>
  <si>
    <t>162-1</t>
  </si>
  <si>
    <t>16T-6</t>
  </si>
  <si>
    <t>17P-1</t>
  </si>
  <si>
    <t>16L-6</t>
  </si>
  <si>
    <t>16R-6</t>
  </si>
  <si>
    <t>389-1</t>
  </si>
  <si>
    <t>16M-6</t>
  </si>
  <si>
    <t>17B-1</t>
  </si>
  <si>
    <t>153-1</t>
  </si>
  <si>
    <t>444-6</t>
  </si>
  <si>
    <t>17T-1</t>
  </si>
  <si>
    <t>109-7</t>
  </si>
  <si>
    <t>Sum of Sum of Amount</t>
  </si>
  <si>
    <t>FINAL 2012-13</t>
  </si>
  <si>
    <t>Summer 2012</t>
  </si>
  <si>
    <t>Fall 2012</t>
  </si>
  <si>
    <t>Winter 2013</t>
  </si>
  <si>
    <t>Spring 2013</t>
  </si>
  <si>
    <t>02M-1</t>
  </si>
  <si>
    <t>094-1</t>
  </si>
  <si>
    <t>096-1</t>
  </si>
  <si>
    <t>096-2</t>
  </si>
  <si>
    <t>099-1</t>
  </si>
  <si>
    <t>099-2</t>
  </si>
  <si>
    <t>099-7</t>
  </si>
  <si>
    <t>09E-1</t>
  </si>
  <si>
    <t>11E-1</t>
  </si>
  <si>
    <t>08M-1</t>
  </si>
  <si>
    <t>139-1</t>
  </si>
  <si>
    <r>
      <t>Enacted</t>
    </r>
    <r>
      <rPr>
        <vertAlign val="superscript"/>
        <sz val="10"/>
        <rFont val="Times New Roman"/>
        <family val="1"/>
      </rPr>
      <t>5</t>
    </r>
  </si>
  <si>
    <t>Updated October 18, 2013.</t>
  </si>
  <si>
    <t>315-1</t>
  </si>
  <si>
    <t>445-6</t>
  </si>
  <si>
    <t>595-1</t>
  </si>
  <si>
    <r>
      <t>2010-11</t>
    </r>
    <r>
      <rPr>
        <u/>
        <vertAlign val="superscript"/>
        <sz val="10"/>
        <rFont val="Times New Roman"/>
        <family val="1"/>
      </rPr>
      <t>(1)</t>
    </r>
  </si>
  <si>
    <r>
      <t>2011-12</t>
    </r>
    <r>
      <rPr>
        <u/>
        <vertAlign val="superscript"/>
        <sz val="10"/>
        <rFont val="Times New Roman"/>
        <family val="1"/>
      </rPr>
      <t>(1)</t>
    </r>
  </si>
  <si>
    <r>
      <t>2012-13</t>
    </r>
    <r>
      <rPr>
        <b/>
        <u/>
        <vertAlign val="superscript"/>
        <sz val="10"/>
        <rFont val="Times New Roman"/>
        <family val="1"/>
      </rPr>
      <t>(1)</t>
    </r>
  </si>
  <si>
    <t>2013-14</t>
  </si>
  <si>
    <t>2014-15</t>
  </si>
  <si>
    <t>FINAL 2013-14</t>
  </si>
  <si>
    <t>Summer 2013</t>
  </si>
  <si>
    <t>Fall 2013</t>
  </si>
  <si>
    <t>Winter 2014</t>
  </si>
  <si>
    <t>Spring 2014</t>
  </si>
  <si>
    <r>
      <t>Budgeted</t>
    </r>
    <r>
      <rPr>
        <vertAlign val="superscript"/>
        <sz val="10"/>
        <color indexed="8"/>
        <rFont val="Times New Roman"/>
        <family val="1"/>
      </rPr>
      <t>2</t>
    </r>
  </si>
  <si>
    <r>
      <t xml:space="preserve">1 </t>
    </r>
    <r>
      <rPr>
        <sz val="10"/>
        <rFont val="Times New Roman"/>
        <family val="1"/>
      </rPr>
      <t>State-funded full-time-equivalent (FTE) student enrollments for each academic term are the sum of state-funded undergraduate-level (0-499) course credit hours attempted divided by 15 and state-funded graduate-level (500+) course credit hours attempted divided by 10.  Annual average state-funded FTE student enrollments are calculated by dividing the sum of state-funded term FTEs at quarter-system institutions by three and by dividing the sum of state-funded term FTEs at semester-system institutions by two.  Budgeted enrollment is derived from the Legislature's authorized enrollment level, but does not include all enrollment activity.</t>
    </r>
  </si>
  <si>
    <r>
      <t>2</t>
    </r>
    <r>
      <rPr>
        <sz val="10"/>
        <color indexed="8"/>
        <rFont val="Times New Roman"/>
        <family val="1"/>
      </rPr>
      <t xml:space="preserve"> The figures in this column come from the 2013-15 Operating Budget Bill (3ESSB 5034).  Within the amounts appropriated in the bill, each institution of higher education is expected to enroll and educate at least these numbers of FTE students.</t>
    </r>
  </si>
  <si>
    <r>
      <t>3</t>
    </r>
    <r>
      <rPr>
        <sz val="10"/>
        <color indexed="8"/>
        <rFont val="Times New Roman"/>
        <family val="1"/>
      </rPr>
      <t xml:space="preserve"> Baccalaureate programs offered at Bellevue College, Columbia Basin Community College, Lake Washington Technical College, Olympic College, Peninsula College, South Seattle Community College, and Seattle Central Community College.</t>
    </r>
  </si>
  <si>
    <r>
      <t xml:space="preserve">4 </t>
    </r>
    <r>
      <rPr>
        <sz val="10"/>
        <color indexed="8"/>
        <rFont val="Times New Roman"/>
        <family val="1"/>
      </rPr>
      <t>FTEs for these programs are included in the SBCTC's budget and reported by the four-year institution.  Includes 10 FTEs allocated to Peninsula College.</t>
    </r>
  </si>
  <si>
    <t>02V-1</t>
  </si>
  <si>
    <t>09V-1</t>
  </si>
  <si>
    <t>181-1</t>
  </si>
  <si>
    <t>299-1</t>
  </si>
  <si>
    <t>760-1</t>
  </si>
  <si>
    <t>FINAL 2014-15</t>
  </si>
  <si>
    <t>Summer 2014</t>
  </si>
  <si>
    <t>Fall 2014</t>
  </si>
  <si>
    <t>Winter 2015</t>
  </si>
  <si>
    <t>Spring 2015</t>
  </si>
  <si>
    <r>
      <t>-University Center of N. Puget Sound</t>
    </r>
    <r>
      <rPr>
        <vertAlign val="superscript"/>
        <sz val="10"/>
        <color indexed="8"/>
        <rFont val="Times New Roman"/>
        <family val="1"/>
      </rPr>
      <t>3</t>
    </r>
  </si>
  <si>
    <r>
      <t>Bachelor Degree Programs</t>
    </r>
    <r>
      <rPr>
        <vertAlign val="superscript"/>
        <sz val="10"/>
        <color indexed="8"/>
        <rFont val="Times New Roman"/>
        <family val="1"/>
      </rPr>
      <t>4</t>
    </r>
  </si>
  <si>
    <r>
      <t>4-Yr/2-Yr Partnership Programs</t>
    </r>
    <r>
      <rPr>
        <vertAlign val="superscript"/>
        <sz val="10"/>
        <color indexed="8"/>
        <rFont val="Times New Roman"/>
        <family val="1"/>
      </rPr>
      <t>5</t>
    </r>
  </si>
  <si>
    <r>
      <t>CTC Adult Students</t>
    </r>
    <r>
      <rPr>
        <b/>
        <vertAlign val="superscript"/>
        <sz val="10"/>
        <color indexed="8"/>
        <rFont val="Times New Roman"/>
        <family val="1"/>
      </rPr>
      <t>6</t>
    </r>
  </si>
  <si>
    <r>
      <t>2</t>
    </r>
    <r>
      <rPr>
        <sz val="10"/>
        <color indexed="8"/>
        <rFont val="Times New Roman"/>
        <family val="1"/>
      </rPr>
      <t xml:space="preserve"> The figures in this column come from the 2013-15 Operating Budget Bill.  Within the amounts appropriated in the bill, each institution of higher education is expected to enroll and educate at least these numbers of FTE students.</t>
    </r>
  </si>
  <si>
    <r>
      <t xml:space="preserve">3 </t>
    </r>
    <r>
      <rPr>
        <sz val="10"/>
        <color indexed="8"/>
        <rFont val="Times New Roman"/>
        <family val="1"/>
      </rPr>
      <t xml:space="preserve">FTEs for these programs are included in the WSU's budget and reported by the four-year institution. </t>
    </r>
  </si>
  <si>
    <r>
      <t>4</t>
    </r>
    <r>
      <rPr>
        <sz val="10"/>
        <color indexed="8"/>
        <rFont val="Times New Roman"/>
        <family val="1"/>
      </rPr>
      <t xml:space="preserve"> Baccalaureate programs offered at Bellevue College, Columbia Basin Community College, Lake Washington Technical College, Olympic College, Peninsula College, South Seattle Community College, and Seattle Central Community College.</t>
    </r>
  </si>
  <si>
    <r>
      <t xml:space="preserve">5 </t>
    </r>
    <r>
      <rPr>
        <sz val="10"/>
        <color indexed="8"/>
        <rFont val="Times New Roman"/>
        <family val="1"/>
      </rPr>
      <t>FTEs for these programs are included in the SBCTC's budget and reported by the four-year institution.  Includes 10 FTEs allocated to Peninsula College.</t>
    </r>
  </si>
  <si>
    <r>
      <t>6</t>
    </r>
    <r>
      <rPr>
        <sz val="10"/>
        <rFont val="Times New Roman"/>
        <family val="1"/>
      </rPr>
      <t>Enrollment includes all non-Running Start students, which may include students under the age of 18.</t>
    </r>
  </si>
  <si>
    <t>4-yr &amp; 2-yr partnership WSU Olympic College</t>
  </si>
  <si>
    <t>2015-16</t>
  </si>
  <si>
    <t>2016-17</t>
  </si>
  <si>
    <t>Agency</t>
  </si>
  <si>
    <t>Row Labels</t>
  </si>
  <si>
    <t>Column Labels</t>
  </si>
  <si>
    <t>BudgetCharacter</t>
  </si>
  <si>
    <t>19W-6</t>
  </si>
  <si>
    <t>19L-1</t>
  </si>
  <si>
    <t>B</t>
  </si>
  <si>
    <t>Title50</t>
  </si>
  <si>
    <t>AppropriationCharacter</t>
  </si>
  <si>
    <t>Sum of Amount</t>
  </si>
  <si>
    <t>2016</t>
  </si>
  <si>
    <t>2017</t>
  </si>
  <si>
    <t>19P-1</t>
  </si>
  <si>
    <t>107-1</t>
  </si>
  <si>
    <t>466-1</t>
  </si>
  <si>
    <t>458-1</t>
  </si>
  <si>
    <t>458-6</t>
  </si>
  <si>
    <t>472-6</t>
  </si>
  <si>
    <t>18K-1</t>
  </si>
  <si>
    <t>747-1</t>
  </si>
  <si>
    <t>039-7</t>
  </si>
  <si>
    <t>097-1</t>
  </si>
  <si>
    <t>20H-1</t>
  </si>
  <si>
    <t>20J-1</t>
  </si>
  <si>
    <t>571-1</t>
  </si>
  <si>
    <t>BudgetType</t>
  </si>
  <si>
    <t>Sum of AmountNewAppropFY1</t>
  </si>
  <si>
    <t>Biennium</t>
  </si>
  <si>
    <t>ProjectTitle</t>
  </si>
  <si>
    <t>FY1994</t>
  </si>
  <si>
    <t>FY1990</t>
  </si>
  <si>
    <t>FY1991</t>
  </si>
  <si>
    <t>FY1992</t>
  </si>
  <si>
    <t>FY1993</t>
  </si>
  <si>
    <t>FY1995</t>
  </si>
  <si>
    <t>FY1996</t>
  </si>
  <si>
    <t>FY1997</t>
  </si>
  <si>
    <t>FY1998</t>
  </si>
  <si>
    <t>FY1999</t>
  </si>
  <si>
    <t>FY2000</t>
  </si>
  <si>
    <t>FY2001*</t>
  </si>
  <si>
    <t>FY2002</t>
  </si>
  <si>
    <t>FY2003</t>
  </si>
  <si>
    <t>FY2004*</t>
  </si>
  <si>
    <t>FY2005*</t>
  </si>
  <si>
    <t>FY2006</t>
  </si>
  <si>
    <t>FY2007</t>
  </si>
  <si>
    <t>FY2008</t>
  </si>
  <si>
    <t>FY2009</t>
  </si>
  <si>
    <t>FY2010</t>
  </si>
  <si>
    <t>FY2011</t>
  </si>
  <si>
    <t>FY2012</t>
  </si>
  <si>
    <t>FY2013</t>
  </si>
  <si>
    <t>State Funds (Including Stimulus in FY2010, Opportunity Express in FY2011, and Opportunity Pathways since FY2011)</t>
  </si>
  <si>
    <t>FY2001</t>
  </si>
  <si>
    <t>FY2004</t>
  </si>
  <si>
    <t>FY2005</t>
  </si>
  <si>
    <t>08J-6</t>
  </si>
  <si>
    <t>17R-1</t>
  </si>
  <si>
    <t>109-2</t>
  </si>
  <si>
    <t>566-1</t>
  </si>
  <si>
    <t>State Funds</t>
  </si>
  <si>
    <t>State &amp; Tuition</t>
  </si>
  <si>
    <r>
      <t xml:space="preserve">3 </t>
    </r>
    <r>
      <rPr>
        <sz val="10"/>
        <color indexed="8"/>
        <rFont val="Times New Roman"/>
        <family val="1"/>
      </rPr>
      <t xml:space="preserve">FTEs for these programs are included in WSU's budget and reported by the four-year institution. </t>
    </r>
  </si>
  <si>
    <r>
      <t>2</t>
    </r>
    <r>
      <rPr>
        <sz val="10"/>
        <color indexed="8"/>
        <rFont val="Times New Roman"/>
        <family val="1"/>
      </rPr>
      <t xml:space="preserve"> The figures in this column come from the 2015-17 Operating Budget Bill (ESSB 6052).  Within the amounts appropriated in the bill, each institution of higher education is expected to enroll and educate at least these numbers of FTE students.</t>
    </r>
  </si>
  <si>
    <t>Spring 2016</t>
  </si>
  <si>
    <t>Winter 2016</t>
  </si>
  <si>
    <t>Fall 2015</t>
  </si>
  <si>
    <t>Summer 2015</t>
  </si>
  <si>
    <t>FINAL 2015-16</t>
  </si>
  <si>
    <r>
      <t>Enacted</t>
    </r>
    <r>
      <rPr>
        <vertAlign val="superscript"/>
        <sz val="10"/>
        <rFont val="Times New Roman"/>
        <family val="1"/>
      </rPr>
      <t>6</t>
    </r>
  </si>
  <si>
    <t>2018</t>
  </si>
  <si>
    <t>2019</t>
  </si>
  <si>
    <t>169-6</t>
  </si>
  <si>
    <t>608-6</t>
  </si>
  <si>
    <t>609-6</t>
  </si>
  <si>
    <t>535-1</t>
  </si>
  <si>
    <t>20T-1</t>
  </si>
  <si>
    <t>14G-1</t>
  </si>
  <si>
    <t>Enacted</t>
  </si>
  <si>
    <t>Preventive Facility Maint &amp; Repairs</t>
  </si>
  <si>
    <t>300-1</t>
  </si>
  <si>
    <t>468-1</t>
  </si>
  <si>
    <t>06T-1</t>
  </si>
  <si>
    <t>401-6</t>
  </si>
  <si>
    <t>FINAL 2016-17</t>
  </si>
  <si>
    <t>Summer 2016</t>
  </si>
  <si>
    <t>Fall 2016</t>
  </si>
  <si>
    <t>Winter 2017</t>
  </si>
  <si>
    <t>Spring 2017</t>
  </si>
  <si>
    <t>21S-1</t>
  </si>
  <si>
    <t>21V-1</t>
  </si>
  <si>
    <t>21E-1</t>
  </si>
  <si>
    <t>22F-1</t>
  </si>
  <si>
    <t>307</t>
  </si>
  <si>
    <r>
      <t>Estimated</t>
    </r>
    <r>
      <rPr>
        <vertAlign val="superscript"/>
        <sz val="10"/>
        <rFont val="Times New Roman"/>
        <family val="1"/>
      </rPr>
      <t>7</t>
    </r>
  </si>
  <si>
    <r>
      <t>"Estimated" FTE Students</t>
    </r>
    <r>
      <rPr>
        <vertAlign val="superscript"/>
        <sz val="13"/>
        <rFont val="Times New Roman"/>
        <family val="1"/>
      </rPr>
      <t>2</t>
    </r>
  </si>
  <si>
    <t>(Dollars Per Actual State-Funded FTE Enrollment)</t>
  </si>
  <si>
    <t>(Dollars Per Budgeted State-Funded FTE Enrollment)</t>
  </si>
  <si>
    <t>State-Funded FTE Student Enrollment History</t>
  </si>
  <si>
    <r>
      <t xml:space="preserve">Estimated </t>
    </r>
    <r>
      <rPr>
        <b/>
        <vertAlign val="superscript"/>
        <sz val="10"/>
        <rFont val="Calibri"/>
        <family val="2"/>
        <scheme val="minor"/>
      </rPr>
      <t>(1)</t>
    </r>
    <r>
      <rPr>
        <b/>
        <sz val="10"/>
        <rFont val="Calibri"/>
        <family val="2"/>
        <scheme val="minor"/>
      </rPr>
      <t xml:space="preserve"> </t>
    </r>
  </si>
  <si>
    <t>2017-18</t>
  </si>
  <si>
    <t>2018-19</t>
  </si>
  <si>
    <r>
      <t xml:space="preserve">  Running Start Students </t>
    </r>
    <r>
      <rPr>
        <vertAlign val="superscript"/>
        <sz val="10"/>
        <rFont val="Calibri"/>
        <family val="2"/>
        <scheme val="minor"/>
      </rPr>
      <t>(2)</t>
    </r>
  </si>
  <si>
    <t xml:space="preserve">  University of Washington </t>
  </si>
  <si>
    <r>
      <t>Total Higher Education</t>
    </r>
    <r>
      <rPr>
        <sz val="10"/>
        <rFont val="Calibri"/>
        <family val="2"/>
        <scheme val="minor"/>
      </rPr>
      <t xml:space="preserve"> </t>
    </r>
    <r>
      <rPr>
        <vertAlign val="superscript"/>
        <sz val="10"/>
        <rFont val="Calibri"/>
        <family val="2"/>
        <scheme val="minor"/>
      </rPr>
      <t>(2)</t>
    </r>
  </si>
  <si>
    <t xml:space="preserve">For academic years 2017-18 and 2018-19, estimates are based on the previous three-year average FTE enrollment percent change.  These estimates are subject to change. </t>
  </si>
  <si>
    <t xml:space="preserve">Running Start students, which may include students under the age of 18, are excluded from the " All Higher Education" total.  </t>
  </si>
  <si>
    <t>Data Sources:</t>
  </si>
  <si>
    <t xml:space="preserve">Academic years 2010-11 through 2016-17 actuals are from Office of Financial Management State-Funded Higher Education Enrollment Reports. </t>
  </si>
  <si>
    <t xml:space="preserve">Academic years 2017-18 through 2018-19 estimates are by legislative fiscal committee staff. </t>
  </si>
  <si>
    <t xml:space="preserve">Note: </t>
  </si>
  <si>
    <t xml:space="preserve">In the 2017 Session, the Legislature removed budgeted FTE enrollment from the 2017-19 operating budget, Chapter 1, Laws of 2017, 3rd sp.s. (SSB 5883). </t>
  </si>
  <si>
    <t>190-1</t>
  </si>
  <si>
    <t>22S-6</t>
  </si>
  <si>
    <t>22T-1</t>
  </si>
  <si>
    <t>22D-1</t>
  </si>
  <si>
    <t>289-1</t>
  </si>
  <si>
    <t>492-1</t>
  </si>
  <si>
    <t>025-1</t>
  </si>
  <si>
    <t>16B-1</t>
  </si>
  <si>
    <t>22J-1</t>
  </si>
  <si>
    <t>14R-1</t>
  </si>
  <si>
    <t>113-1</t>
  </si>
  <si>
    <t>113-2</t>
  </si>
  <si>
    <t>12P-1</t>
  </si>
  <si>
    <t>08R-1</t>
  </si>
  <si>
    <t>296-1</t>
  </si>
  <si>
    <t>727-1</t>
  </si>
  <si>
    <t>727-2</t>
  </si>
  <si>
    <t>12L-6</t>
  </si>
  <si>
    <t>02N-1</t>
  </si>
  <si>
    <t>070-1</t>
  </si>
  <si>
    <t>09C-1</t>
  </si>
  <si>
    <t>244-1</t>
  </si>
  <si>
    <t>552-1</t>
  </si>
  <si>
    <t>04B-1</t>
  </si>
  <si>
    <t>246-1</t>
  </si>
  <si>
    <t>147-6</t>
  </si>
  <si>
    <t>FiscalYear</t>
  </si>
  <si>
    <t>Datasource</t>
  </si>
  <si>
    <t>Datatype</t>
  </si>
  <si>
    <t>Amount</t>
  </si>
  <si>
    <t>Agencycode</t>
  </si>
  <si>
    <t>BudgetDriverReports</t>
  </si>
  <si>
    <t>AFRS</t>
  </si>
  <si>
    <t>RecastHistory</t>
  </si>
  <si>
    <t>FTEEnrollmentActuals</t>
  </si>
  <si>
    <t>TuitionRevenueActuals</t>
  </si>
  <si>
    <t>TuitionRevenueAllotments</t>
  </si>
  <si>
    <t>TuitionExpenditureActuals</t>
  </si>
  <si>
    <t>TuitionExpenditureBudgets</t>
  </si>
  <si>
    <t>GeneralFund-StateExpenditureActuals</t>
  </si>
  <si>
    <t>GeneralFund-StateExpenditureBudgets</t>
  </si>
  <si>
    <t>EducationLegacyTrust-StateExpenditureActuals</t>
  </si>
  <si>
    <t>EducationLegacyTrust-StateExpenditureBudgets</t>
  </si>
  <si>
    <t>PreventiveFacilityMaintenanceExpenditureActuals</t>
  </si>
  <si>
    <t>PreventiveFacilityMaintenanceExpenditureBudgets</t>
  </si>
  <si>
    <t>OtherStateOperatingBudgetFundsExpenditureActuals</t>
  </si>
  <si>
    <t>OtherStateOperatingBudgetFundsExpenditureBudgets</t>
  </si>
  <si>
    <t>OpportunityExpressAccountExpenditureActuals</t>
  </si>
  <si>
    <t>GeneralFundFederalStimulusARRAExpenditureActuals</t>
  </si>
  <si>
    <t>Economic&amp;RevenueForecastCouncil</t>
  </si>
  <si>
    <t>U.S. Implicit Price Deflator FY1990 = 1.0</t>
  </si>
  <si>
    <t>Seattle CPI FY1990 = 1.0</t>
  </si>
  <si>
    <t>Washington State Per-Capita Personal Income</t>
  </si>
  <si>
    <t>OpportunityPathwaysAccountExpenditureActuals</t>
  </si>
  <si>
    <t>OpportunityPathwaysAccountExpenditureBudgets</t>
  </si>
  <si>
    <r>
      <t>US IPD</t>
    </r>
    <r>
      <rPr>
        <sz val="10"/>
        <rFont val="Times New Roman"/>
        <family val="1"/>
      </rPr>
      <t xml:space="preserve"> FY1990 = 1.0</t>
    </r>
  </si>
  <si>
    <r>
      <t>Seattle CPI</t>
    </r>
    <r>
      <rPr>
        <sz val="10"/>
        <rFont val="Times New Roman"/>
        <family val="1"/>
      </rPr>
      <t xml:space="preserve"> FY1990 = 1.0</t>
    </r>
  </si>
  <si>
    <r>
      <t>STATE-FUNDED PUBLIC HIGHER EDUCATION ENROLLMENT</t>
    </r>
    <r>
      <rPr>
        <b/>
        <vertAlign val="superscript"/>
        <sz val="10"/>
        <color indexed="8"/>
        <rFont val="Times New Roman"/>
        <family val="1"/>
      </rPr>
      <t>1</t>
    </r>
    <r>
      <rPr>
        <b/>
        <sz val="10"/>
        <color indexed="8"/>
        <rFont val="Times New Roman"/>
        <family val="1"/>
      </rPr>
      <t xml:space="preserve"> REPORT </t>
    </r>
    <r>
      <rPr>
        <b/>
        <i/>
        <sz val="10"/>
        <color indexed="8"/>
        <rFont val="Times New Roman"/>
        <family val="1"/>
      </rPr>
      <t>(Preliminary)</t>
    </r>
  </si>
  <si>
    <t>FINAL 2017-18</t>
  </si>
  <si>
    <r>
      <t>Budgeted</t>
    </r>
    <r>
      <rPr>
        <vertAlign val="superscript"/>
        <sz val="10"/>
        <color indexed="8"/>
        <rFont val="Times New Roman"/>
        <family val="1"/>
      </rPr>
      <t xml:space="preserve">2  </t>
    </r>
  </si>
  <si>
    <r>
      <t xml:space="preserve">Optional </t>
    </r>
    <r>
      <rPr>
        <vertAlign val="superscript"/>
        <sz val="10"/>
        <color indexed="8"/>
        <rFont val="Arial"/>
        <family val="2"/>
      </rPr>
      <t>3</t>
    </r>
  </si>
  <si>
    <t>Projection</t>
  </si>
  <si>
    <r>
      <t xml:space="preserve">1 </t>
    </r>
    <r>
      <rPr>
        <sz val="10"/>
        <rFont val="Times New Roman"/>
        <family val="1"/>
      </rPr>
      <t>State-funded full-time-equivalent (FTE) student enrollments for each academic term are the sum of state-funded undergraduate-level (0-499) course credit hours attempted divided by 15 and state-funded graduate-level (500+) course credit hours attempted divided by 10. Annual average state-funded FTE student enrollments are calculated by dividing the sum of state-funded term FTEs at quarter-system institutions by three and by dividing the sum of state-funded term FTEs at semester-system institutions by two. Budgeted enrollment is derived from the Legislature's authorized enrollment level, but does not include term FTEs at semester-system institutions by two. Budgeted enrollment is derived from the Legislature's authorized enrollment level, but does not include all enrollment activity.</t>
    </r>
  </si>
  <si>
    <r>
      <t>2</t>
    </r>
    <r>
      <rPr>
        <sz val="10"/>
        <color indexed="8"/>
        <rFont val="Times New Roman"/>
        <family val="1"/>
      </rPr>
      <t xml:space="preserve"> The figures in this column come from the 2015-17 Operating Budget Bill (ESSB 6052).  This is the last time on record that these numbers were adjusted. Within the amounts appropriated in the current biennium, each institution of higher education is expected to enroll and educate at least these numbers of FTE students.</t>
    </r>
  </si>
  <si>
    <r>
      <rPr>
        <vertAlign val="superscript"/>
        <sz val="10"/>
        <color indexed="8"/>
        <rFont val="Times New Roman"/>
        <family val="1"/>
      </rPr>
      <t>4</t>
    </r>
    <r>
      <rPr>
        <sz val="10"/>
        <color indexed="8"/>
        <rFont val="Times New Roman"/>
        <family val="1"/>
      </rPr>
      <t xml:space="preserve"> Baccalaureate programs offered at Bellevue College, Columbia Basin Community College, Lake Washington Technical College, Olympic College, Peninsula College, South Seattle Community College, and Seattle Central Community College.</t>
    </r>
  </si>
  <si>
    <r>
      <t xml:space="preserve">5 </t>
    </r>
    <r>
      <rPr>
        <sz val="10"/>
        <color indexed="8"/>
        <rFont val="Times New Roman"/>
        <family val="1"/>
      </rPr>
      <t xml:space="preserve">FTEs for these programs are included in the SBCTC's budget and reported by the four-year institution. </t>
    </r>
  </si>
  <si>
    <r>
      <t xml:space="preserve">6 </t>
    </r>
    <r>
      <rPr>
        <sz val="10"/>
        <rFont val="Times New Roman"/>
        <family val="1"/>
      </rPr>
      <t>Enrollment includes all non-Running Start students, which may include students under the age of 18.</t>
    </r>
  </si>
  <si>
    <t>2020</t>
  </si>
  <si>
    <t>Summer 2017</t>
  </si>
  <si>
    <t>Fall 2017</t>
  </si>
  <si>
    <t>Winter 2018</t>
  </si>
  <si>
    <t>Spring 2018</t>
  </si>
  <si>
    <t>2021</t>
  </si>
  <si>
    <t>366-1</t>
  </si>
  <si>
    <t>23P-1</t>
  </si>
  <si>
    <t>24B-1</t>
  </si>
  <si>
    <t>22W-1</t>
  </si>
  <si>
    <t>14E-6</t>
  </si>
  <si>
    <t>24J-1</t>
  </si>
  <si>
    <t>285-1</t>
  </si>
  <si>
    <t>23N-1</t>
  </si>
  <si>
    <t>23L-6</t>
  </si>
  <si>
    <t>474-6</t>
  </si>
  <si>
    <t>475-6</t>
  </si>
  <si>
    <t>494-6</t>
  </si>
  <si>
    <t>547-6</t>
  </si>
  <si>
    <t>20E-1</t>
  </si>
  <si>
    <t>17W-1</t>
  </si>
  <si>
    <t>19T-1</t>
  </si>
  <si>
    <t>24K-1</t>
  </si>
  <si>
    <t>567-1</t>
  </si>
  <si>
    <t>22V-6</t>
  </si>
  <si>
    <t>463-6</t>
  </si>
  <si>
    <t>18J-1</t>
  </si>
  <si>
    <t>17N-1</t>
  </si>
  <si>
    <t>22G-6</t>
  </si>
  <si>
    <t>23P-7</t>
  </si>
  <si>
    <t>23W-1</t>
  </si>
  <si>
    <t>23R-1</t>
  </si>
  <si>
    <t>22N-6</t>
  </si>
  <si>
    <t>24G-6</t>
  </si>
  <si>
    <t>166</t>
  </si>
  <si>
    <t>Total State NGF-T &amp; OEA Actual Operating Expenditures</t>
  </si>
  <si>
    <t>NGFT</t>
  </si>
  <si>
    <t xml:space="preserve"> (1) HEC Board, CHE, SFA, &amp; SAC represents the Higher Education Coordinating Board, the Council for Higher Education, the Office of Student Financial Assistance, and the Student Achievement Council.</t>
  </si>
  <si>
    <r>
      <t>STATE-FUNDED PUBLIC HIGHER EDUCATION ENROLLMENT</t>
    </r>
    <r>
      <rPr>
        <b/>
        <vertAlign val="superscript"/>
        <sz val="10"/>
        <color indexed="8"/>
        <rFont val="Times New Roman"/>
        <family val="1"/>
      </rPr>
      <t>1</t>
    </r>
    <r>
      <rPr>
        <b/>
        <sz val="10"/>
        <color indexed="8"/>
        <rFont val="Times New Roman"/>
        <family val="1"/>
      </rPr>
      <t xml:space="preserve"> REPORT</t>
    </r>
  </si>
  <si>
    <t>WSU College of Medicine</t>
  </si>
  <si>
    <r>
      <t>Estimated</t>
    </r>
    <r>
      <rPr>
        <vertAlign val="superscript"/>
        <sz val="10"/>
        <rFont val="Times New Roman"/>
        <family val="1"/>
      </rPr>
      <t>8</t>
    </r>
  </si>
  <si>
    <t>2019-20</t>
  </si>
  <si>
    <t>2020-21</t>
  </si>
  <si>
    <t xml:space="preserve">For academic years 2018-19 through 2020-21, estimates are based on the previous three-year average FTE enrollment percent change.  These estimates are subject to change. </t>
  </si>
  <si>
    <t xml:space="preserve">Academic year 2017-2018 is from Office of Financial Management State-Funded Higher Education Enrollment Preliminary Report. </t>
  </si>
  <si>
    <t>Academic years 2018-19 through 2020-21 estimates are by legislative fiscal committee staff.</t>
  </si>
  <si>
    <t>"Actual" FTE Students from OFM</t>
  </si>
  <si>
    <t xml:space="preserve"> Operating Budget</t>
  </si>
  <si>
    <t>702-1</t>
  </si>
  <si>
    <t>FINAL 2018-19</t>
  </si>
  <si>
    <t>Summer 2018</t>
  </si>
  <si>
    <t>Fall 2018</t>
  </si>
  <si>
    <t>Winter 2019</t>
  </si>
  <si>
    <t>Spring 2019</t>
  </si>
  <si>
    <t>WWU-Olympic College</t>
  </si>
  <si>
    <r>
      <rPr>
        <vertAlign val="superscript"/>
        <sz val="10"/>
        <color indexed="8"/>
        <rFont val="Times New Roman"/>
        <family val="1"/>
      </rPr>
      <t>4</t>
    </r>
    <r>
      <rPr>
        <sz val="10"/>
        <color indexed="8"/>
        <rFont val="Times New Roman"/>
        <family val="1"/>
      </rPr>
      <t xml:space="preserve"> Baccalaureate programs offered at all SBCTC institutions EXCEPT: Bates Technical College, Big Bend, Everett, Lower Columbia, Shoreline, and South Puget Sound colleges. </t>
    </r>
  </si>
  <si>
    <t>4-yr &amp; 2-yr partnership WWU Olympic College</t>
  </si>
  <si>
    <t>Tuition Revenues*</t>
  </si>
  <si>
    <r>
      <t xml:space="preserve">*Note: data displayed here are </t>
    </r>
    <r>
      <rPr>
        <b/>
        <i/>
        <sz val="10"/>
        <color indexed="10"/>
        <rFont val="Times New Roman"/>
        <family val="1"/>
      </rPr>
      <t>revenues</t>
    </r>
    <r>
      <rPr>
        <sz val="10"/>
        <rFont val="Times New Roman"/>
        <family val="1"/>
      </rPr>
      <t xml:space="preserve">--they do not match the </t>
    </r>
    <r>
      <rPr>
        <b/>
        <i/>
        <sz val="10"/>
        <color indexed="10"/>
        <rFont val="Times New Roman"/>
        <family val="1"/>
      </rPr>
      <t>expenditures</t>
    </r>
    <r>
      <rPr>
        <sz val="10"/>
        <rFont val="Times New Roman"/>
        <family val="1"/>
      </rPr>
      <t xml:space="preserve"> on other sheets in this file.</t>
    </r>
  </si>
  <si>
    <t>Use the dropdown box in cell B6 to change base year.</t>
  </si>
  <si>
    <t>Other Funds Agency Detail - Operating</t>
  </si>
  <si>
    <t>14H-1</t>
  </si>
  <si>
    <t>19V-1</t>
  </si>
  <si>
    <t>24P-1</t>
  </si>
  <si>
    <t>111-2</t>
  </si>
  <si>
    <t>24T-6</t>
  </si>
  <si>
    <t>16M-1</t>
  </si>
  <si>
    <t>851-1</t>
  </si>
  <si>
    <t>22U-1</t>
  </si>
  <si>
    <t>21N-1</t>
  </si>
  <si>
    <t xml:space="preserve">Dedicated Marijuana (315-1); Pension Funding Stablilization (489-1); Accident (608-1); Medical Aid (609-1); Health Professions (747-1), and capital funds appropriated in the </t>
  </si>
  <si>
    <t>Other Funds Detail (informational only)</t>
  </si>
  <si>
    <r>
      <rPr>
        <vertAlign val="superscript"/>
        <sz val="10"/>
        <color indexed="8"/>
        <rFont val="Times New Roman"/>
        <family val="1"/>
      </rPr>
      <t>4</t>
    </r>
    <r>
      <rPr>
        <sz val="10"/>
        <color indexed="8"/>
        <rFont val="Times New Roman"/>
        <family val="1"/>
      </rPr>
      <t xml:space="preserve"> Baccalaureate programs offered at all SBCTC institutions EXCEPT: Bates Technical College, Big Bend, Everett, Shoreline, and South Puget Sound colleges. </t>
    </r>
  </si>
  <si>
    <r>
      <t xml:space="preserve">1 </t>
    </r>
    <r>
      <rPr>
        <sz val="10"/>
        <rFont val="Times New Roman"/>
        <family val="1"/>
      </rPr>
      <t>State-funded full-time-equivalent (FTE) student enrollments for each academic term are the sum of state-funded undergraduate-level (0-499) course credit hours attempted divided by 15 and state-funded graduate-level (500+) course credit hours attempted divided by 10. Annual average state-funded FTE student enrollments are calculated by dividing the sum of state-funded term FTEs at quarter-system institutions by three and by dividing the sum of state-funded term FTEs at semester-system institutions by two. Budgeted enrollment is derived from the Legislature's authorized enrollment level, but does not include all enrollment activity.</t>
    </r>
  </si>
  <si>
    <t>FINAL 2019-20</t>
  </si>
  <si>
    <t>From Clallam server, Oversight database, FundHistory table</t>
  </si>
  <si>
    <t>From Clallam server, BuildsumPublic database, ProjectFunding table</t>
  </si>
  <si>
    <t>From Clallam server, Oversight database, ExpenditureAgency table</t>
  </si>
  <si>
    <t>Higher Education NGF-T&amp;T Actual Operating Expenditures</t>
  </si>
  <si>
    <t>2022</t>
  </si>
  <si>
    <t>2023</t>
  </si>
  <si>
    <t>EST</t>
  </si>
  <si>
    <t>036</t>
  </si>
  <si>
    <t>447-6</t>
  </si>
  <si>
    <t>706-2</t>
  </si>
  <si>
    <t>083</t>
  </si>
  <si>
    <t>26H-1</t>
  </si>
  <si>
    <t>26J-6</t>
  </si>
  <si>
    <t>25V-6</t>
  </si>
  <si>
    <t>26U-1</t>
  </si>
  <si>
    <t>27B-1</t>
  </si>
  <si>
    <t>26Q-1</t>
  </si>
  <si>
    <t>26V-1</t>
  </si>
  <si>
    <t>25N-1</t>
  </si>
  <si>
    <t>25M-1</t>
  </si>
  <si>
    <t>24L-1</t>
  </si>
  <si>
    <t>24V-1</t>
  </si>
  <si>
    <t>484-7</t>
  </si>
  <si>
    <t>24Q-1</t>
  </si>
  <si>
    <t>229</t>
  </si>
  <si>
    <t>27D-6</t>
  </si>
  <si>
    <t>15V-1</t>
  </si>
  <si>
    <t>704-6</t>
  </si>
  <si>
    <t>23A-6</t>
  </si>
  <si>
    <t>748-6</t>
  </si>
  <si>
    <t>24A-6</t>
  </si>
  <si>
    <t>25C-2</t>
  </si>
  <si>
    <t>26P-1</t>
  </si>
  <si>
    <t>26P-2</t>
  </si>
  <si>
    <t>26N-1</t>
  </si>
  <si>
    <t>26A-1</t>
  </si>
  <si>
    <t>26M-1</t>
  </si>
  <si>
    <t>21H-1</t>
  </si>
  <si>
    <t>23V-1</t>
  </si>
  <si>
    <t>25Q-1</t>
  </si>
  <si>
    <t>25R-6</t>
  </si>
  <si>
    <t>26B-1</t>
  </si>
  <si>
    <t>463</t>
  </si>
  <si>
    <t>26G-7</t>
  </si>
  <si>
    <t>06A-1</t>
  </si>
  <si>
    <t>818-1</t>
  </si>
  <si>
    <t>24N-1</t>
  </si>
  <si>
    <t>25F-1</t>
  </si>
  <si>
    <t>193-1</t>
  </si>
  <si>
    <t>198-1</t>
  </si>
  <si>
    <t>21Q-1</t>
  </si>
  <si>
    <t>21Q-6</t>
  </si>
  <si>
    <t>22P-1</t>
  </si>
  <si>
    <t>22P-6</t>
  </si>
  <si>
    <t>25P-1</t>
  </si>
  <si>
    <t>Allotments</t>
  </si>
  <si>
    <t>*FY2001, FY2004, and FY2005 adjusted for high demand allocations; FY2006 through FY2021 from Monitor (AFRS) data; Enacted data FY2022 and FY2023 reflect legislative action of the 2022 Legislative Session.</t>
  </si>
  <si>
    <t>Summer 2019</t>
  </si>
  <si>
    <t>Fall 2019</t>
  </si>
  <si>
    <t>Winter 2020</t>
  </si>
  <si>
    <t>Spring 2020</t>
  </si>
  <si>
    <r>
      <t>Estimated</t>
    </r>
    <r>
      <rPr>
        <vertAlign val="superscript"/>
        <sz val="10"/>
        <rFont val="Times New Roman"/>
        <family val="1"/>
      </rPr>
      <t>9</t>
    </r>
  </si>
  <si>
    <r>
      <t>1</t>
    </r>
    <r>
      <rPr>
        <sz val="10"/>
        <rFont val="Times New Roman"/>
        <family val="1"/>
      </rPr>
      <t xml:space="preserve"> "Actual" FTE Students from OFM Budget Driver reports are labeled as "State-Funded."</t>
    </r>
  </si>
  <si>
    <t>Washington State University  (including Branch Campuses, WSU Medicine, and Timber Worker Displacement Program)</t>
  </si>
  <si>
    <t>Beginning in 2017-18, enrollment for WSU includes the School of Medicine.</t>
  </si>
  <si>
    <t>FINAL 2020-21</t>
  </si>
  <si>
    <t>Summer 2020</t>
  </si>
  <si>
    <t>Fall 2020</t>
  </si>
  <si>
    <t>Winter 2021</t>
  </si>
  <si>
    <t>Spring 2021</t>
  </si>
  <si>
    <t>WWU-Peninsula College</t>
  </si>
  <si>
    <t>2021-22</t>
  </si>
  <si>
    <t>Spring 2022</t>
  </si>
  <si>
    <t>Winter 2022</t>
  </si>
  <si>
    <t>Fall 2021</t>
  </si>
  <si>
    <t>Summer 2021</t>
  </si>
  <si>
    <t xml:space="preserve">Optional </t>
  </si>
  <si>
    <t>FINAL 2021-22</t>
  </si>
  <si>
    <t>2025</t>
  </si>
  <si>
    <t>2024</t>
  </si>
  <si>
    <t>462-1</t>
  </si>
  <si>
    <t>26T-1</t>
  </si>
  <si>
    <t>24E-1</t>
  </si>
  <si>
    <t>26C-1</t>
  </si>
  <si>
    <t>22M-1</t>
  </si>
  <si>
    <t>26D-1</t>
  </si>
  <si>
    <t>27C-1</t>
  </si>
  <si>
    <t>28G-1</t>
  </si>
  <si>
    <t>27W-1</t>
  </si>
  <si>
    <t>036-1</t>
  </si>
  <si>
    <t>25W-1</t>
  </si>
  <si>
    <t>364-1</t>
  </si>
  <si>
    <t>27R-6</t>
  </si>
  <si>
    <t>23D-6</t>
  </si>
  <si>
    <t>359-1</t>
  </si>
  <si>
    <t>184-7</t>
  </si>
  <si>
    <t>26P-7</t>
  </si>
  <si>
    <t>25T-1</t>
  </si>
  <si>
    <t>28E-1</t>
  </si>
  <si>
    <t>26E-1</t>
  </si>
  <si>
    <t>2023-25</t>
  </si>
  <si>
    <t>Preventive Facility Maintenance and Bldg System Repairs (23-25)</t>
  </si>
  <si>
    <t>*Opportunity Express Account expenditures in FY2011 only.</t>
  </si>
  <si>
    <t>Statewide NGFT &amp; OEA</t>
  </si>
  <si>
    <t>Final</t>
  </si>
  <si>
    <t>FINAL 2022-23</t>
  </si>
  <si>
    <t>Eastern Washington Univeresity - Semesterly</t>
  </si>
  <si>
    <t>Community and Technical College System Programs</t>
  </si>
  <si>
    <r>
      <rPr>
        <vertAlign val="superscript"/>
        <sz val="10"/>
        <color indexed="8"/>
        <rFont val="Times New Roman"/>
        <family val="1"/>
      </rPr>
      <t>4</t>
    </r>
    <r>
      <rPr>
        <sz val="10"/>
        <color indexed="8"/>
        <rFont val="Times New Roman"/>
        <family val="1"/>
      </rPr>
      <t xml:space="preserve"> Baccalaureate programs offered at all SBCTC institutions EXCEPT: Bates Technical College, Everett, Shoreline, and South Puget Sound colleges. </t>
    </r>
  </si>
  <si>
    <t>Summer 2022</t>
  </si>
  <si>
    <t>Fall 2022</t>
  </si>
  <si>
    <t>Winter 2023</t>
  </si>
  <si>
    <t>Spring 2023</t>
  </si>
  <si>
    <t>2022-23</t>
  </si>
  <si>
    <t>Eastern Washington University (including Semester students)</t>
  </si>
  <si>
    <t>Note: numbers in shaded cells revised 12/5/2023</t>
  </si>
  <si>
    <t>10P-1</t>
  </si>
  <si>
    <t>001-H</t>
  </si>
  <si>
    <t>27A-1</t>
  </si>
  <si>
    <t>28D-6</t>
  </si>
  <si>
    <t>PDE-6</t>
  </si>
  <si>
    <t>SEC-1</t>
  </si>
  <si>
    <t>PCW-1</t>
  </si>
  <si>
    <t>28N-6</t>
  </si>
  <si>
    <t>001-Z</t>
  </si>
  <si>
    <t>20N-1</t>
  </si>
  <si>
    <t>15H-1</t>
  </si>
  <si>
    <t>14B-1</t>
  </si>
  <si>
    <t>27T-1</t>
  </si>
  <si>
    <t>28M-1</t>
  </si>
  <si>
    <t>APD-1</t>
  </si>
  <si>
    <t>20F-1</t>
  </si>
  <si>
    <t>707</t>
  </si>
  <si>
    <t xml:space="preserve">Other State Funds:  Aquatic Lands (02R-1); Economic Development Strategic Reserve (09R-1); Geoduck Aquaculture (12P-1); Biotoxin (15M-1); Aerospace Training (17R-1); Workforce Education Investment (24J-1); </t>
  </si>
  <si>
    <t>Data through FY2023 from Monitor (AFRS) data; Enacted data for FY2024 and FY2025 reflect legislative action from the 2024 Legislative Session.</t>
  </si>
  <si>
    <t>UW Seattle</t>
  </si>
  <si>
    <t>UW Evening Degree Program</t>
  </si>
  <si>
    <t>UW Bothell</t>
  </si>
  <si>
    <t>UW Tacoma</t>
  </si>
  <si>
    <t>WSU Pullman</t>
  </si>
  <si>
    <t>WSU Spokane</t>
  </si>
  <si>
    <t>WSU TriCities</t>
  </si>
  <si>
    <t>WSU Vancouver</t>
  </si>
  <si>
    <t>WSU-Timber Worker Displacement Program</t>
  </si>
  <si>
    <t>Eastern Washington University - Quarterly</t>
  </si>
  <si>
    <t>WWU-Timber Worker Displacement Program</t>
  </si>
  <si>
    <t>WSU Pullman &amp; Spokane</t>
  </si>
  <si>
    <t>FINAL 2023-24</t>
  </si>
  <si>
    <t>Summer 2023</t>
  </si>
  <si>
    <t>Fall 2023</t>
  </si>
  <si>
    <t>Winter 2024</t>
  </si>
  <si>
    <t>Spring 2024</t>
  </si>
  <si>
    <t>2023-24</t>
  </si>
  <si>
    <t/>
  </si>
  <si>
    <t>Eastern Washington University Semesterly</t>
  </si>
  <si>
    <t>Last updated: 18 December 2024</t>
  </si>
  <si>
    <t>FY2024 and prior are AFRS accounting actuals from Monitor database; FY2025 are allotments.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</si>
</sst>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0.00000"/>
    <numFmt numFmtId="168" formatCode="&quot;$&quot;#,##0"/>
    <numFmt numFmtId="169" formatCode="###,###,###,##0"/>
    <numFmt numFmtId="170" formatCode="0_)"/>
    <numFmt numFmtId="171" formatCode="0.00_)"/>
    <numFmt numFmtId="172" formatCode="mmm\-yy_)"/>
    <numFmt numFmtId="173" formatCode="0.00000"/>
    <numFmt numFmtId="174" formatCode="#,##0.0_);\(#,##0.0\)"/>
  </numFmts>
  <fonts count="13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Times New Roman"/>
      <family val="1"/>
    </font>
    <font>
      <i/>
      <sz val="10"/>
      <name val="Times New Roman"/>
      <family val="1"/>
    </font>
    <font>
      <sz val="12"/>
      <name val="Times New Roman"/>
      <family val="1"/>
    </font>
    <font>
      <sz val="8"/>
      <name val="Times New Roman"/>
      <family val="1"/>
    </font>
    <font>
      <b/>
      <sz val="14"/>
      <name val="Times New Roman"/>
      <family val="1"/>
    </font>
    <font>
      <sz val="8"/>
      <color indexed="81"/>
      <name val="Tahoma"/>
      <family val="2"/>
    </font>
    <font>
      <b/>
      <i/>
      <sz val="10"/>
      <name val="Times New Roman"/>
      <family val="1"/>
    </font>
    <font>
      <vertAlign val="superscript"/>
      <sz val="10"/>
      <name val="Times New Roman"/>
      <family val="1"/>
    </font>
    <font>
      <sz val="13"/>
      <name val="Times New Roman"/>
      <family val="1"/>
    </font>
    <font>
      <i/>
      <sz val="12"/>
      <name val="Times New Roman"/>
      <family val="1"/>
    </font>
    <font>
      <sz val="10"/>
      <name val="Verdana"/>
      <family val="2"/>
    </font>
    <font>
      <b/>
      <sz val="10"/>
      <name val="Verdana"/>
      <family val="2"/>
    </font>
    <font>
      <vertAlign val="superscript"/>
      <sz val="13"/>
      <name val="Times New Roman"/>
      <family val="1"/>
    </font>
    <font>
      <vertAlign val="superscript"/>
      <sz val="10"/>
      <name val="Arial"/>
      <family val="2"/>
    </font>
    <font>
      <sz val="11"/>
      <name val="Garamond"/>
      <family val="1"/>
    </font>
    <font>
      <sz val="8"/>
      <name val="Verdana"/>
      <family val="2"/>
    </font>
    <font>
      <b/>
      <sz val="8"/>
      <color indexed="81"/>
      <name val="Tahoma"/>
      <family val="2"/>
    </font>
    <font>
      <sz val="10"/>
      <color indexed="8"/>
      <name val="MS Sans Serif"/>
      <family val="2"/>
    </font>
    <font>
      <b/>
      <sz val="12"/>
      <color indexed="8"/>
      <name val="MS Sans Serif"/>
      <family val="2"/>
    </font>
    <font>
      <b/>
      <sz val="10"/>
      <color indexed="8"/>
      <name val="MS Sans Serif"/>
      <family val="2"/>
    </font>
    <font>
      <b/>
      <sz val="10.1"/>
      <color indexed="8"/>
      <name val="Times New Roman"/>
      <family val="1"/>
    </font>
    <font>
      <sz val="7.9"/>
      <color indexed="8"/>
      <name val="Times New Roman"/>
      <family val="1"/>
    </font>
    <font>
      <b/>
      <sz val="10"/>
      <color indexed="8"/>
      <name val="MS Sans Serif"/>
      <family val="2"/>
    </font>
    <font>
      <b/>
      <sz val="7.9"/>
      <color indexed="8"/>
      <name val="Times New Roman"/>
      <family val="1"/>
    </font>
    <font>
      <b/>
      <sz val="7.9"/>
      <color indexed="8"/>
      <name val="Times New Roman"/>
      <family val="1"/>
    </font>
    <font>
      <b/>
      <sz val="8"/>
      <color indexed="8"/>
      <name val="MS Sans Serif"/>
      <family val="2"/>
    </font>
    <font>
      <sz val="8"/>
      <name val="Arial"/>
      <family val="2"/>
    </font>
    <font>
      <b/>
      <sz val="14"/>
      <name val="Arial"/>
      <family val="2"/>
    </font>
    <font>
      <sz val="14"/>
      <name val="Arial"/>
      <family val="2"/>
    </font>
    <font>
      <b/>
      <sz val="10"/>
      <name val="Arial"/>
      <family val="2"/>
    </font>
    <font>
      <b/>
      <sz val="12"/>
      <name val="Arial"/>
      <family val="2"/>
    </font>
    <font>
      <sz val="10"/>
      <name val="Arial"/>
      <family val="2"/>
    </font>
    <font>
      <b/>
      <sz val="10"/>
      <name val="Times New Roman"/>
      <family val="1"/>
    </font>
    <font>
      <sz val="10"/>
      <name val="Futura Lt BT"/>
      <family val="2"/>
    </font>
    <font>
      <b/>
      <sz val="12"/>
      <color indexed="8"/>
      <name val="Arial"/>
      <family val="2"/>
    </font>
    <font>
      <b/>
      <vertAlign val="superscript"/>
      <sz val="12"/>
      <color indexed="8"/>
      <name val="Arial"/>
      <family val="2"/>
    </font>
    <font>
      <sz val="12"/>
      <color indexed="8"/>
      <name val="Arial"/>
      <family val="2"/>
    </font>
    <font>
      <b/>
      <sz val="12"/>
      <color indexed="8"/>
      <name val="Arial"/>
      <family val="2"/>
    </font>
    <font>
      <sz val="10"/>
      <color indexed="8"/>
      <name val="Arial"/>
      <family val="2"/>
    </font>
    <font>
      <vertAlign val="superscript"/>
      <sz val="10"/>
      <color indexed="8"/>
      <name val="Arial"/>
      <family val="2"/>
    </font>
    <font>
      <sz val="10"/>
      <color indexed="8"/>
      <name val="Arial"/>
      <family val="2"/>
    </font>
    <font>
      <sz val="8"/>
      <color indexed="8"/>
      <name val="Arial"/>
      <family val="2"/>
    </font>
    <font>
      <b/>
      <sz val="10"/>
      <color indexed="8"/>
      <name val="Arial"/>
      <family val="2"/>
    </font>
    <font>
      <sz val="12"/>
      <color indexed="8"/>
      <name val="Arial"/>
      <family val="2"/>
    </font>
    <font>
      <b/>
      <i/>
      <sz val="12"/>
      <color indexed="8"/>
      <name val="Arial"/>
      <family val="2"/>
    </font>
    <font>
      <sz val="8"/>
      <name val="Verdana"/>
      <family val="2"/>
    </font>
    <font>
      <b/>
      <sz val="13"/>
      <name val="Times New Roman"/>
      <family val="1"/>
    </font>
    <font>
      <sz val="9"/>
      <name val="Times New Roman"/>
      <family val="1"/>
    </font>
    <font>
      <b/>
      <sz val="9"/>
      <color indexed="10"/>
      <name val="Times New Roman"/>
      <family val="1"/>
    </font>
    <font>
      <b/>
      <sz val="9"/>
      <name val="Times New Roman"/>
      <family val="1"/>
    </font>
    <font>
      <b/>
      <u/>
      <sz val="10"/>
      <name val="Times New Roman"/>
      <family val="1"/>
    </font>
    <font>
      <u/>
      <sz val="10"/>
      <name val="Times New Roman"/>
      <family val="1"/>
    </font>
    <font>
      <i/>
      <sz val="9"/>
      <name val="Times New Roman"/>
      <family val="1"/>
    </font>
    <font>
      <i/>
      <u/>
      <sz val="9"/>
      <name val="Times New Roman"/>
      <family val="1"/>
    </font>
    <font>
      <b/>
      <sz val="12"/>
      <name val="Times New Roman"/>
      <family val="1"/>
    </font>
    <font>
      <sz val="10"/>
      <color indexed="8"/>
      <name val="Myriad Pro Cond"/>
      <family val="2"/>
    </font>
    <font>
      <b/>
      <i/>
      <sz val="10"/>
      <color indexed="10"/>
      <name val="Times New Roman"/>
      <family val="1"/>
    </font>
    <font>
      <sz val="10"/>
      <color indexed="8"/>
      <name val="Times New Roman"/>
      <family val="1"/>
    </font>
    <font>
      <vertAlign val="superscript"/>
      <sz val="10"/>
      <color indexed="8"/>
      <name val="Times New Roman"/>
      <family val="1"/>
    </font>
    <font>
      <b/>
      <sz val="10"/>
      <color indexed="8"/>
      <name val="Times New Roman"/>
      <family val="1"/>
    </font>
    <font>
      <b/>
      <i/>
      <sz val="10"/>
      <color indexed="8"/>
      <name val="Times New Roman"/>
      <family val="1"/>
    </font>
    <font>
      <i/>
      <sz val="10"/>
      <color indexed="8"/>
      <name val="Times New Roman"/>
      <family val="1"/>
    </font>
    <font>
      <u/>
      <vertAlign val="superscript"/>
      <sz val="9"/>
      <name val="Times New Roman"/>
      <family val="1"/>
    </font>
    <font>
      <vertAlign val="superscript"/>
      <sz val="9"/>
      <name val="Times New Roman"/>
      <family val="1"/>
    </font>
    <font>
      <sz val="10"/>
      <name val="Helvetica"/>
      <family val="2"/>
    </font>
    <font>
      <b/>
      <sz val="10"/>
      <color indexed="10"/>
      <name val="Times New Roman"/>
      <family val="1"/>
    </font>
    <font>
      <b/>
      <sz val="9"/>
      <color indexed="10"/>
      <name val="Tahoma"/>
      <family val="2"/>
    </font>
    <font>
      <sz val="9"/>
      <color indexed="10"/>
      <name val="Tahoma"/>
      <family val="2"/>
    </font>
    <font>
      <b/>
      <vertAlign val="superscript"/>
      <sz val="10"/>
      <color indexed="8"/>
      <name val="Times New Roman"/>
      <family val="1"/>
    </font>
    <font>
      <i/>
      <vertAlign val="superscript"/>
      <sz val="10"/>
      <color indexed="8"/>
      <name val="Times New Roman"/>
      <family val="1"/>
    </font>
    <font>
      <i/>
      <sz val="10"/>
      <color indexed="8"/>
      <name val="Myriad Pro Cond"/>
    </font>
    <font>
      <sz val="9"/>
      <color indexed="81"/>
      <name val="Tahoma"/>
      <family val="2"/>
    </font>
    <font>
      <sz val="7"/>
      <name val="Verdana"/>
      <family val="2"/>
    </font>
    <font>
      <b/>
      <sz val="7"/>
      <color indexed="10"/>
      <name val="Verdana"/>
      <family val="2"/>
    </font>
    <font>
      <b/>
      <sz val="7"/>
      <name val="Verdana"/>
      <family val="2"/>
    </font>
    <font>
      <sz val="10"/>
      <color theme="1"/>
      <name val="Verdana"/>
      <family val="2"/>
    </font>
    <font>
      <sz val="11"/>
      <color theme="1"/>
      <name val="Calibri"/>
      <family val="2"/>
      <scheme val="minor"/>
    </font>
    <font>
      <sz val="10"/>
      <color theme="1"/>
      <name val="Times New Roman"/>
      <family val="1"/>
    </font>
    <font>
      <sz val="10"/>
      <color theme="1"/>
      <name val="Arial"/>
      <family val="2"/>
    </font>
    <font>
      <b/>
      <sz val="10"/>
      <color theme="1"/>
      <name val="Verdana"/>
      <family val="2"/>
    </font>
    <font>
      <b/>
      <sz val="10"/>
      <color theme="1"/>
      <name val="Times New Roman"/>
      <family val="1"/>
    </font>
    <font>
      <b/>
      <sz val="12"/>
      <color theme="1"/>
      <name val="Verdana"/>
      <family val="2"/>
    </font>
    <font>
      <b/>
      <sz val="10"/>
      <color rgb="FFFF0000"/>
      <name val="Times New Roman"/>
      <family val="1"/>
    </font>
    <font>
      <b/>
      <sz val="14"/>
      <color theme="1"/>
      <name val="Verdana"/>
      <family val="2"/>
    </font>
    <font>
      <b/>
      <sz val="13"/>
      <color theme="1"/>
      <name val="Verdana"/>
      <family val="2"/>
    </font>
    <font>
      <b/>
      <sz val="11"/>
      <color theme="1"/>
      <name val="Verdana"/>
      <family val="2"/>
    </font>
    <font>
      <b/>
      <sz val="11"/>
      <color theme="1"/>
      <name val="Calibri"/>
      <family val="2"/>
      <scheme val="minor"/>
    </font>
    <font>
      <i/>
      <sz val="11"/>
      <name val="Garamond"/>
      <family val="1"/>
    </font>
    <font>
      <u/>
      <vertAlign val="superscript"/>
      <sz val="10"/>
      <name val="Times New Roman"/>
      <family val="1"/>
    </font>
    <font>
      <sz val="11"/>
      <color theme="1"/>
      <name val="Times New Roman"/>
      <family val="1"/>
    </font>
    <font>
      <b/>
      <sz val="11"/>
      <color theme="1"/>
      <name val="Times New Roman"/>
      <family val="1"/>
    </font>
    <font>
      <b/>
      <sz val="12"/>
      <color theme="1"/>
      <name val="Calibri"/>
      <family val="2"/>
      <scheme val="minor"/>
    </font>
    <font>
      <sz val="10"/>
      <color theme="1"/>
      <name val="Calibri"/>
      <family val="2"/>
      <scheme val="minor"/>
    </font>
    <font>
      <b/>
      <sz val="13"/>
      <color theme="1"/>
      <name val="Calibri"/>
      <family val="2"/>
      <scheme val="minor"/>
    </font>
    <font>
      <b/>
      <sz val="14"/>
      <color theme="1"/>
      <name val="Calibri"/>
      <family val="2"/>
      <scheme val="minor"/>
    </font>
    <font>
      <b/>
      <u/>
      <vertAlign val="superscript"/>
      <sz val="10"/>
      <name val="Times New Roman"/>
      <family val="1"/>
    </font>
    <font>
      <b/>
      <i/>
      <sz val="10"/>
      <color rgb="FFFF0000"/>
      <name val="Times New Roman"/>
      <family val="1"/>
    </font>
    <font>
      <b/>
      <sz val="14"/>
      <name val="Calibri"/>
      <family val="2"/>
      <scheme val="minor"/>
    </font>
    <font>
      <b/>
      <sz val="13"/>
      <name val="Calibri"/>
      <family val="2"/>
      <scheme val="minor"/>
    </font>
    <font>
      <sz val="11"/>
      <name val="Calibri"/>
      <family val="2"/>
      <scheme val="minor"/>
    </font>
    <font>
      <sz val="9"/>
      <name val="Calibri"/>
      <family val="2"/>
      <scheme val="minor"/>
    </font>
    <font>
      <b/>
      <sz val="10"/>
      <name val="Calibri"/>
      <family val="2"/>
      <scheme val="minor"/>
    </font>
    <font>
      <b/>
      <vertAlign val="superscript"/>
      <sz val="10"/>
      <name val="Calibri"/>
      <family val="2"/>
      <scheme val="minor"/>
    </font>
    <font>
      <b/>
      <sz val="9"/>
      <name val="Calibri"/>
      <family val="2"/>
      <scheme val="minor"/>
    </font>
    <font>
      <b/>
      <u/>
      <sz val="10"/>
      <name val="Calibri"/>
      <family val="2"/>
      <scheme val="minor"/>
    </font>
    <font>
      <sz val="10"/>
      <name val="Calibri"/>
      <family val="2"/>
      <scheme val="minor"/>
    </font>
    <font>
      <b/>
      <sz val="10"/>
      <name val="Calibri"/>
      <family val="2"/>
    </font>
    <font>
      <sz val="10"/>
      <name val="Calibri"/>
      <family val="2"/>
    </font>
    <font>
      <vertAlign val="superscript"/>
      <sz val="10"/>
      <name val="Calibri"/>
      <family val="2"/>
      <scheme val="minor"/>
    </font>
    <font>
      <i/>
      <sz val="9"/>
      <name val="Calibri"/>
      <family val="2"/>
      <scheme val="minor"/>
    </font>
    <font>
      <i/>
      <u/>
      <sz val="9"/>
      <name val="Calibri"/>
      <family val="2"/>
      <scheme val="minor"/>
    </font>
    <font>
      <sz val="9"/>
      <name val="Verdana"/>
      <family val="2"/>
    </font>
    <font>
      <sz val="10"/>
      <color rgb="FFFF0000"/>
      <name val="Verdana"/>
      <family val="2"/>
    </font>
    <font>
      <b/>
      <sz val="11"/>
      <name val="Times New Roman"/>
      <family val="1"/>
    </font>
    <font>
      <i/>
      <sz val="10"/>
      <color theme="1"/>
      <name val="Times New Roman"/>
      <family val="1"/>
    </font>
    <font>
      <sz val="9"/>
      <color indexed="81"/>
      <name val="Verdana"/>
      <family val="2"/>
    </font>
    <font>
      <sz val="6"/>
      <name val="Times New Roman"/>
      <family val="1"/>
    </font>
  </fonts>
  <fills count="12">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9"/>
        <bgColor indexed="64"/>
      </patternFill>
    </fill>
    <fill>
      <patternFill patternType="solid">
        <fgColor indexed="10"/>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rgb="FF00FFFF"/>
        <bgColor indexed="64"/>
      </patternFill>
    </fill>
    <fill>
      <patternFill patternType="solid">
        <fgColor theme="9" tint="0.79998168889431442"/>
        <bgColor indexed="64"/>
      </patternFill>
    </fill>
  </fills>
  <borders count="96">
    <border>
      <left/>
      <right/>
      <top/>
      <bottom/>
      <diagonal/>
    </border>
    <border>
      <left/>
      <right/>
      <top style="thin">
        <color indexed="64"/>
      </top>
      <bottom/>
      <diagonal/>
    </border>
    <border>
      <left/>
      <right/>
      <top style="double">
        <color indexed="64"/>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double">
        <color indexed="8"/>
      </top>
      <bottom/>
      <diagonal/>
    </border>
    <border>
      <left style="thin">
        <color indexed="8"/>
      </left>
      <right style="thin">
        <color indexed="8"/>
      </right>
      <top style="double">
        <color indexed="8"/>
      </top>
      <bottom/>
      <diagonal/>
    </border>
    <border>
      <left/>
      <right style="thin">
        <color indexed="8"/>
      </right>
      <top style="double">
        <color indexed="8"/>
      </top>
      <bottom/>
      <diagonal/>
    </border>
    <border>
      <left style="thin">
        <color indexed="64"/>
      </left>
      <right style="thin">
        <color indexed="64"/>
      </right>
      <top/>
      <bottom/>
      <diagonal/>
    </border>
    <border>
      <left style="thin">
        <color indexed="64"/>
      </left>
      <right style="thin">
        <color indexed="8"/>
      </right>
      <top/>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top style="double">
        <color indexed="8"/>
      </top>
      <bottom style="double">
        <color indexed="8"/>
      </bottom>
      <diagonal/>
    </border>
    <border>
      <left/>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right/>
      <top style="thin">
        <color indexed="64"/>
      </top>
      <bottom style="thin">
        <color indexed="64"/>
      </bottom>
      <diagonal/>
    </border>
    <border>
      <left style="thin">
        <color indexed="8"/>
      </left>
      <right style="thin">
        <color indexed="64"/>
      </right>
      <top style="double">
        <color indexed="64"/>
      </top>
      <bottom style="double">
        <color indexed="8"/>
      </bottom>
      <diagonal/>
    </border>
    <border>
      <left style="thin">
        <color indexed="8"/>
      </left>
      <right style="thin">
        <color indexed="8"/>
      </right>
      <top/>
      <bottom style="double">
        <color indexed="64"/>
      </bottom>
      <diagonal/>
    </border>
    <border>
      <left/>
      <right/>
      <top style="thin">
        <color indexed="8"/>
      </top>
      <bottom style="double">
        <color indexed="8"/>
      </bottom>
      <diagonal/>
    </border>
    <border>
      <left style="thin">
        <color indexed="8"/>
      </left>
      <right style="thin">
        <color indexed="8"/>
      </right>
      <top style="double">
        <color indexed="8"/>
      </top>
      <bottom style="thin">
        <color indexed="64"/>
      </bottom>
      <diagonal/>
    </border>
    <border>
      <left style="thin">
        <color indexed="8"/>
      </left>
      <right style="thin">
        <color indexed="8"/>
      </right>
      <top style="double">
        <color indexed="64"/>
      </top>
      <bottom style="thin">
        <color indexed="64"/>
      </bottom>
      <diagonal/>
    </border>
    <border>
      <left/>
      <right style="thin">
        <color indexed="64"/>
      </right>
      <top/>
      <bottom style="double">
        <color indexed="8"/>
      </bottom>
      <diagonal/>
    </border>
    <border>
      <left style="thin">
        <color indexed="8"/>
      </left>
      <right style="thin">
        <color indexed="64"/>
      </right>
      <top/>
      <bottom style="double">
        <color indexed="8"/>
      </bottom>
      <diagonal/>
    </border>
    <border>
      <left style="thin">
        <color indexed="8"/>
      </left>
      <right style="thin">
        <color indexed="64"/>
      </right>
      <top style="double">
        <color indexed="8"/>
      </top>
      <bottom style="thin">
        <color indexed="64"/>
      </bottom>
      <diagonal/>
    </border>
    <border>
      <left style="thin">
        <color indexed="64"/>
      </left>
      <right style="thin">
        <color indexed="64"/>
      </right>
      <top style="double">
        <color indexed="64"/>
      </top>
      <bottom/>
      <diagonal/>
    </border>
    <border>
      <left style="thin">
        <color indexed="64"/>
      </left>
      <right style="thin">
        <color indexed="8"/>
      </right>
      <top style="double">
        <color indexed="8"/>
      </top>
      <bottom/>
      <diagonal/>
    </border>
    <border>
      <left/>
      <right style="thin">
        <color indexed="64"/>
      </right>
      <top/>
      <bottom style="thin">
        <color indexed="8"/>
      </bottom>
      <diagonal/>
    </border>
    <border>
      <left style="thin">
        <color indexed="64"/>
      </left>
      <right style="thin">
        <color indexed="64"/>
      </right>
      <top style="double">
        <color indexed="8"/>
      </top>
      <bottom style="thin">
        <color indexed="64"/>
      </bottom>
      <diagonal/>
    </border>
    <border>
      <left/>
      <right/>
      <top style="double">
        <color indexed="8"/>
      </top>
      <bottom/>
      <diagonal/>
    </border>
    <border>
      <left style="thin">
        <color indexed="8"/>
      </left>
      <right style="thin">
        <color indexed="64"/>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double">
        <color indexed="8"/>
      </bottom>
      <diagonal/>
    </border>
    <border>
      <left style="thin">
        <color indexed="64"/>
      </left>
      <right style="thin">
        <color indexed="64"/>
      </right>
      <top/>
      <bottom style="double">
        <color indexed="64"/>
      </bottom>
      <diagonal/>
    </border>
    <border>
      <left style="thin">
        <color indexed="8"/>
      </left>
      <right/>
      <top/>
      <bottom style="double">
        <color indexed="64"/>
      </bottom>
      <diagonal/>
    </border>
    <border>
      <left style="thin">
        <color indexed="64"/>
      </left>
      <right style="thin">
        <color indexed="8"/>
      </right>
      <top/>
      <bottom style="double">
        <color indexed="64"/>
      </bottom>
      <diagonal/>
    </border>
    <border>
      <left style="thin">
        <color indexed="8"/>
      </left>
      <right style="thin">
        <color indexed="64"/>
      </right>
      <top/>
      <bottom/>
      <diagonal/>
    </border>
    <border>
      <left style="thin">
        <color indexed="8"/>
      </left>
      <right style="thin">
        <color indexed="64"/>
      </right>
      <top style="double">
        <color indexed="8"/>
      </top>
      <bottom/>
      <diagonal/>
    </border>
    <border>
      <left style="thin">
        <color indexed="8"/>
      </left>
      <right style="thin">
        <color indexed="64"/>
      </right>
      <top style="thin">
        <color indexed="8"/>
      </top>
      <bottom style="double">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double">
        <color indexed="64"/>
      </top>
      <bottom style="double">
        <color indexed="64"/>
      </bottom>
      <diagonal/>
    </border>
    <border>
      <left style="thin">
        <color indexed="8"/>
      </left>
      <right style="thin">
        <color indexed="8"/>
      </right>
      <top style="double">
        <color indexed="8"/>
      </top>
      <bottom style="double">
        <color indexed="64"/>
      </bottom>
      <diagonal/>
    </border>
    <border>
      <left style="thin">
        <color indexed="64"/>
      </left>
      <right style="thin">
        <color indexed="8"/>
      </right>
      <top/>
      <bottom style="double">
        <color indexed="8"/>
      </bottom>
      <diagonal/>
    </border>
    <border>
      <left style="thin">
        <color indexed="8"/>
      </left>
      <right style="thin">
        <color indexed="8"/>
      </right>
      <top style="double">
        <color indexed="64"/>
      </top>
      <bottom/>
      <diagonal/>
    </border>
    <border>
      <left style="thin">
        <color indexed="8"/>
      </left>
      <right style="thin">
        <color indexed="64"/>
      </right>
      <top style="thin">
        <color indexed="8"/>
      </top>
      <bottom style="double">
        <color indexed="64"/>
      </bottom>
      <diagonal/>
    </border>
    <border>
      <left/>
      <right style="thin">
        <color indexed="8"/>
      </right>
      <top style="thin">
        <color indexed="8"/>
      </top>
      <bottom style="double">
        <color indexed="64"/>
      </bottom>
      <diagonal/>
    </border>
    <border>
      <left/>
      <right/>
      <top/>
      <bottom style="double">
        <color indexed="64"/>
      </bottom>
      <diagonal/>
    </border>
    <border>
      <left/>
      <right style="thin">
        <color indexed="8"/>
      </right>
      <top style="thin">
        <color indexed="64"/>
      </top>
      <bottom/>
      <diagonal/>
    </border>
    <border>
      <left style="thin">
        <color indexed="65"/>
      </left>
      <right/>
      <top style="thin">
        <color indexed="65"/>
      </top>
      <bottom/>
      <diagonal/>
    </border>
    <border>
      <left style="thin">
        <color indexed="8"/>
      </left>
      <right/>
      <top style="thin">
        <color indexed="64"/>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8"/>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style="thin">
        <color indexed="8"/>
      </right>
      <top/>
      <bottom style="double">
        <color indexed="64"/>
      </bottom>
      <diagonal/>
    </border>
    <border>
      <left/>
      <right style="thin">
        <color rgb="FF999999"/>
      </right>
      <top style="thin">
        <color rgb="FF999999"/>
      </top>
      <bottom/>
      <diagonal/>
    </border>
    <border>
      <left/>
      <right style="thin">
        <color rgb="FF999999"/>
      </right>
      <top style="thin">
        <color rgb="FF999999"/>
      </top>
      <bottom style="thin">
        <color rgb="FF999999"/>
      </bottom>
      <diagonal/>
    </border>
    <border>
      <left style="thin">
        <color indexed="64"/>
      </left>
      <right style="thin">
        <color indexed="64"/>
      </right>
      <top style="double">
        <color indexed="8"/>
      </top>
      <bottom/>
      <diagonal/>
    </border>
    <border>
      <left/>
      <right style="thin">
        <color indexed="8"/>
      </right>
      <top style="double">
        <color indexed="64"/>
      </top>
      <bottom/>
      <diagonal/>
    </border>
    <border>
      <left style="thin">
        <color indexed="8"/>
      </left>
      <right style="thin">
        <color indexed="8"/>
      </right>
      <top/>
      <bottom style="double">
        <color indexed="8"/>
      </bottom>
      <diagonal/>
    </border>
  </borders>
  <cellStyleXfs count="68">
    <xf numFmtId="0" fontId="0" fillId="0" borderId="0"/>
    <xf numFmtId="43" fontId="17" fillId="0" borderId="0" applyFont="0" applyFill="0" applyBorder="0" applyAlignment="0" applyProtection="0"/>
    <xf numFmtId="43" fontId="32" fillId="0" borderId="0" applyFont="0" applyFill="0" applyBorder="0" applyAlignment="0" applyProtection="0"/>
    <xf numFmtId="43" fontId="94" fillId="0" borderId="0" applyFont="0" applyFill="0" applyBorder="0" applyAlignment="0" applyProtection="0"/>
    <xf numFmtId="43" fontId="16" fillId="0" borderId="0" applyFont="0" applyFill="0" applyBorder="0" applyAlignment="0" applyProtection="0"/>
    <xf numFmtId="44" fontId="17" fillId="0" borderId="0" applyFont="0" applyFill="0" applyBorder="0" applyAlignment="0" applyProtection="0"/>
    <xf numFmtId="0" fontId="82" fillId="0" borderId="1" applyNumberFormat="0" applyAlignment="0">
      <alignment horizontal="left"/>
    </xf>
    <xf numFmtId="164" fontId="95" fillId="0" borderId="0"/>
    <xf numFmtId="0" fontId="32" fillId="0" borderId="0"/>
    <xf numFmtId="0" fontId="94" fillId="0" borderId="0"/>
    <xf numFmtId="164" fontId="95" fillId="0" borderId="0"/>
    <xf numFmtId="0" fontId="32" fillId="0" borderId="0"/>
    <xf numFmtId="164" fontId="95" fillId="0" borderId="0"/>
    <xf numFmtId="0" fontId="96" fillId="0" borderId="0"/>
    <xf numFmtId="169" fontId="95" fillId="0" borderId="0"/>
    <xf numFmtId="0" fontId="94" fillId="0" borderId="0"/>
    <xf numFmtId="3" fontId="93" fillId="0" borderId="0"/>
    <xf numFmtId="0" fontId="16" fillId="0" borderId="0"/>
    <xf numFmtId="0" fontId="16" fillId="0" borderId="0"/>
    <xf numFmtId="169" fontId="18" fillId="0" borderId="0"/>
    <xf numFmtId="0" fontId="16" fillId="0" borderId="0"/>
    <xf numFmtId="0" fontId="28" fillId="0" borderId="0"/>
    <xf numFmtId="0" fontId="35" fillId="0" borderId="0"/>
    <xf numFmtId="0" fontId="20" fillId="0" borderId="0"/>
    <xf numFmtId="0" fontId="32" fillId="0" borderId="0"/>
    <xf numFmtId="9" fontId="17" fillId="0" borderId="0" applyFont="0" applyFill="0" applyBorder="0" applyAlignment="0" applyProtection="0"/>
    <xf numFmtId="9" fontId="96" fillId="0" borderId="0" applyFont="0" applyFill="0" applyBorder="0" applyAlignment="0" applyProtection="0"/>
    <xf numFmtId="9" fontId="32" fillId="0" borderId="0" applyFont="0" applyFill="0" applyBorder="0" applyAlignment="0" applyProtection="0"/>
    <xf numFmtId="9" fontId="94" fillId="0" borderId="0" applyFont="0" applyFill="0" applyBorder="0" applyAlignment="0" applyProtection="0"/>
    <xf numFmtId="9" fontId="32" fillId="0" borderId="0" applyFont="0" applyFill="0" applyBorder="0" applyAlignment="0" applyProtection="0"/>
    <xf numFmtId="9" fontId="16" fillId="0" borderId="0" applyFont="0" applyFill="0" applyBorder="0" applyAlignment="0" applyProtection="0"/>
    <xf numFmtId="169" fontId="107" fillId="0" borderId="0"/>
    <xf numFmtId="169" fontId="15"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6" fillId="0" borderId="0"/>
    <xf numFmtId="0" fontId="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2825">
    <xf numFmtId="0" fontId="0" fillId="0" borderId="0" xfId="0"/>
    <xf numFmtId="0" fontId="18" fillId="0" borderId="0" xfId="0" applyFont="1"/>
    <xf numFmtId="0" fontId="18" fillId="0" borderId="0" xfId="0" applyFont="1" applyAlignment="1">
      <alignment horizontal="right"/>
    </xf>
    <xf numFmtId="3" fontId="18" fillId="0" borderId="0" xfId="0" applyNumberFormat="1" applyFont="1"/>
    <xf numFmtId="0" fontId="19" fillId="0" borderId="0" xfId="0" applyFont="1"/>
    <xf numFmtId="0" fontId="18" fillId="0" borderId="0" xfId="0" applyFont="1" applyAlignment="1">
      <alignment horizontal="centerContinuous"/>
    </xf>
    <xf numFmtId="18" fontId="18" fillId="0" borderId="0" xfId="0" applyNumberFormat="1" applyFont="1" applyAlignment="1">
      <alignment horizontal="centerContinuous"/>
    </xf>
    <xf numFmtId="164" fontId="18" fillId="0" borderId="0" xfId="0" applyNumberFormat="1" applyFont="1"/>
    <xf numFmtId="15" fontId="21" fillId="0" borderId="0" xfId="0" applyNumberFormat="1" applyFont="1"/>
    <xf numFmtId="0" fontId="18" fillId="0" borderId="0" xfId="0" applyFont="1" applyAlignment="1">
      <alignment wrapText="1"/>
    </xf>
    <xf numFmtId="0" fontId="22" fillId="0" borderId="0" xfId="0" applyFont="1" applyAlignment="1">
      <alignment horizontal="centerContinuous"/>
    </xf>
    <xf numFmtId="167" fontId="18" fillId="0" borderId="0" xfId="0" applyNumberFormat="1" applyFont="1"/>
    <xf numFmtId="3" fontId="0" fillId="0" borderId="0" xfId="0" applyNumberFormat="1" applyProtection="1"/>
    <xf numFmtId="0" fontId="18" fillId="0" borderId="0" xfId="0" applyFont="1" applyBorder="1" applyAlignment="1">
      <alignment horizontal="centerContinuous"/>
    </xf>
    <xf numFmtId="0" fontId="18" fillId="0" borderId="0" xfId="0" applyFont="1" applyBorder="1" applyAlignment="1">
      <alignment horizontal="right"/>
    </xf>
    <xf numFmtId="10" fontId="18" fillId="0" borderId="0" xfId="25" applyNumberFormat="1" applyFont="1"/>
    <xf numFmtId="0" fontId="25" fillId="0" borderId="0" xfId="0" applyFont="1"/>
    <xf numFmtId="3" fontId="18" fillId="0" borderId="0" xfId="0" applyNumberFormat="1" applyFont="1" applyAlignment="1">
      <alignment horizontal="right"/>
    </xf>
    <xf numFmtId="0" fontId="20" fillId="0" borderId="0" xfId="0" quotePrefix="1" applyFont="1" applyAlignment="1">
      <alignment horizontal="left"/>
    </xf>
    <xf numFmtId="0" fontId="26" fillId="0" borderId="0" xfId="0" applyFont="1"/>
    <xf numFmtId="0" fontId="18" fillId="0" borderId="0" xfId="0" quotePrefix="1" applyFont="1" applyAlignment="1">
      <alignment horizontal="right"/>
    </xf>
    <xf numFmtId="0" fontId="19" fillId="0" borderId="0" xfId="0" applyFont="1" applyAlignment="1">
      <alignment horizontal="right"/>
    </xf>
    <xf numFmtId="3" fontId="19" fillId="0" borderId="0" xfId="0" applyNumberFormat="1" applyFont="1"/>
    <xf numFmtId="0" fontId="28" fillId="0" borderId="0" xfId="21"/>
    <xf numFmtId="0" fontId="28" fillId="0" borderId="0" xfId="21" applyAlignment="1">
      <alignment horizontal="right"/>
    </xf>
    <xf numFmtId="0" fontId="29" fillId="0" borderId="0" xfId="21" applyFont="1"/>
    <xf numFmtId="3" fontId="28" fillId="0" borderId="0" xfId="21" applyNumberFormat="1"/>
    <xf numFmtId="3" fontId="29" fillId="0" borderId="0" xfId="21" applyNumberFormat="1" applyFont="1"/>
    <xf numFmtId="0" fontId="29" fillId="0" borderId="0" xfId="0" applyFont="1"/>
    <xf numFmtId="0" fontId="28" fillId="0" borderId="0" xfId="21" applyFont="1"/>
    <xf numFmtId="0" fontId="26" fillId="0" borderId="0" xfId="0" applyFont="1" applyAlignment="1">
      <alignment horizontal="centerContinuous"/>
    </xf>
    <xf numFmtId="0" fontId="0" fillId="0" borderId="0" xfId="0" applyAlignment="1">
      <alignment horizontal="centerContinuous"/>
    </xf>
    <xf numFmtId="3" fontId="0" fillId="0" borderId="0" xfId="0" applyNumberFormat="1"/>
    <xf numFmtId="0" fontId="24" fillId="0" borderId="0" xfId="0" applyFont="1" applyAlignment="1">
      <alignment horizontal="centerContinuous"/>
    </xf>
    <xf numFmtId="3" fontId="18" fillId="0" borderId="0" xfId="24" applyNumberFormat="1" applyFont="1"/>
    <xf numFmtId="0" fontId="18" fillId="0" borderId="0" xfId="0" applyFont="1" applyAlignment="1">
      <alignment horizontal="left" wrapText="1"/>
    </xf>
    <xf numFmtId="0" fontId="18" fillId="0" borderId="0" xfId="0" applyFont="1" applyAlignment="1">
      <alignment horizontal="left"/>
    </xf>
    <xf numFmtId="3" fontId="18" fillId="0" borderId="0" xfId="24" applyNumberFormat="1" applyFont="1" applyFill="1"/>
    <xf numFmtId="0" fontId="0" fillId="0" borderId="2" xfId="0" applyBorder="1"/>
    <xf numFmtId="3" fontId="18" fillId="0" borderId="2" xfId="0" applyNumberFormat="1" applyFont="1" applyBorder="1"/>
    <xf numFmtId="3" fontId="0" fillId="0" borderId="2" xfId="0" applyNumberFormat="1" applyBorder="1"/>
    <xf numFmtId="3" fontId="18" fillId="0" borderId="0" xfId="0" applyNumberFormat="1" applyFont="1" applyBorder="1"/>
    <xf numFmtId="3" fontId="18" fillId="0" borderId="1" xfId="0" applyNumberFormat="1" applyFont="1" applyBorder="1"/>
    <xf numFmtId="3" fontId="19" fillId="0" borderId="1" xfId="0" applyNumberFormat="1" applyFont="1" applyBorder="1"/>
    <xf numFmtId="0" fontId="36" fillId="0" borderId="0" xfId="22" applyNumberFormat="1" applyFont="1" applyFill="1" applyBorder="1" applyAlignment="1" applyProtection="1"/>
    <xf numFmtId="0" fontId="35" fillId="0" borderId="0" xfId="22" applyNumberFormat="1" applyFill="1" applyBorder="1" applyAlignment="1" applyProtection="1"/>
    <xf numFmtId="0" fontId="37" fillId="0" borderId="0" xfId="22" applyNumberFormat="1" applyFont="1" applyFill="1" applyBorder="1" applyAlignment="1" applyProtection="1"/>
    <xf numFmtId="0" fontId="38" fillId="0" borderId="0" xfId="22" applyFont="1" applyAlignment="1">
      <alignment horizontal="left" vertical="center"/>
    </xf>
    <xf numFmtId="0" fontId="38" fillId="0" borderId="0" xfId="22" applyFont="1" applyAlignment="1">
      <alignment horizontal="right" vertical="center"/>
    </xf>
    <xf numFmtId="39" fontId="39" fillId="0" borderId="0" xfId="22" applyNumberFormat="1" applyFont="1" applyAlignment="1">
      <alignment horizontal="right" vertical="center"/>
    </xf>
    <xf numFmtId="0" fontId="40" fillId="0" borderId="0" xfId="22" applyNumberFormat="1" applyFont="1" applyFill="1" applyBorder="1" applyAlignment="1" applyProtection="1"/>
    <xf numFmtId="39" fontId="41" fillId="0" borderId="3" xfId="22" applyNumberFormat="1" applyFont="1" applyBorder="1" applyAlignment="1">
      <alignment horizontal="right" vertical="center"/>
    </xf>
    <xf numFmtId="0" fontId="39" fillId="0" borderId="0" xfId="22" applyFont="1" applyAlignment="1">
      <alignment vertical="center"/>
    </xf>
    <xf numFmtId="0" fontId="42" fillId="0" borderId="0" xfId="22" applyFont="1" applyAlignment="1">
      <alignment vertical="center"/>
    </xf>
    <xf numFmtId="39" fontId="42" fillId="0" borderId="0" xfId="22" applyNumberFormat="1" applyFont="1" applyAlignment="1">
      <alignment horizontal="right" vertical="center"/>
    </xf>
    <xf numFmtId="0" fontId="42" fillId="0" borderId="0" xfId="22" applyNumberFormat="1" applyFont="1" applyFill="1" applyBorder="1" applyAlignment="1" applyProtection="1">
      <alignment vertical="center"/>
    </xf>
    <xf numFmtId="39" fontId="42" fillId="0" borderId="3" xfId="22" applyNumberFormat="1" applyFont="1" applyBorder="1" applyAlignment="1">
      <alignment horizontal="right" vertical="center"/>
    </xf>
    <xf numFmtId="39" fontId="39" fillId="0" borderId="0" xfId="22" applyNumberFormat="1" applyFont="1" applyBorder="1" applyAlignment="1">
      <alignment horizontal="right" vertical="center"/>
    </xf>
    <xf numFmtId="0" fontId="43" fillId="0" borderId="0" xfId="22" applyNumberFormat="1" applyFont="1" applyFill="1" applyBorder="1" applyAlignment="1" applyProtection="1"/>
    <xf numFmtId="39" fontId="37" fillId="0" borderId="3" xfId="22" applyNumberFormat="1" applyFont="1" applyFill="1" applyBorder="1" applyAlignment="1" applyProtection="1"/>
    <xf numFmtId="0" fontId="46" fillId="0" borderId="0" xfId="20" applyFont="1"/>
    <xf numFmtId="165" fontId="46" fillId="0" borderId="0" xfId="25" applyNumberFormat="1" applyFont="1"/>
    <xf numFmtId="0" fontId="45" fillId="0" borderId="0" xfId="20" applyFont="1"/>
    <xf numFmtId="165" fontId="45" fillId="0" borderId="0" xfId="25" applyNumberFormat="1" applyFont="1"/>
    <xf numFmtId="0" fontId="47" fillId="0" borderId="0" xfId="20" applyFont="1" applyAlignment="1">
      <alignment horizontal="center"/>
    </xf>
    <xf numFmtId="0" fontId="47" fillId="0" borderId="0" xfId="20" applyFont="1"/>
    <xf numFmtId="165" fontId="47" fillId="0" borderId="0" xfId="25" applyNumberFormat="1" applyFont="1"/>
    <xf numFmtId="0" fontId="16" fillId="0" borderId="0" xfId="20"/>
    <xf numFmtId="166" fontId="16" fillId="0" borderId="0" xfId="1" applyNumberFormat="1" applyFont="1"/>
    <xf numFmtId="0" fontId="16" fillId="0" borderId="0" xfId="20" applyAlignment="1">
      <alignment horizontal="center"/>
    </xf>
    <xf numFmtId="9" fontId="16" fillId="0" borderId="4" xfId="25" applyFont="1" applyBorder="1"/>
    <xf numFmtId="0" fontId="16" fillId="0" borderId="5" xfId="20" applyBorder="1"/>
    <xf numFmtId="165" fontId="16" fillId="0" borderId="0" xfId="25" applyNumberFormat="1" applyFont="1"/>
    <xf numFmtId="0" fontId="48" fillId="2" borderId="0" xfId="20" applyFont="1" applyFill="1"/>
    <xf numFmtId="0" fontId="16" fillId="2" borderId="0" xfId="20" applyFill="1"/>
    <xf numFmtId="166" fontId="47" fillId="0" borderId="0" xfId="1" applyNumberFormat="1" applyFont="1" applyAlignment="1">
      <alignment horizontal="center"/>
    </xf>
    <xf numFmtId="166" fontId="16" fillId="0" borderId="0" xfId="1" applyNumberFormat="1" applyFont="1" applyAlignment="1">
      <alignment horizontal="center"/>
    </xf>
    <xf numFmtId="0" fontId="47" fillId="0" borderId="0" xfId="20" applyFont="1" applyAlignment="1">
      <alignment horizontal="right"/>
    </xf>
    <xf numFmtId="0" fontId="16" fillId="0" borderId="0" xfId="20" applyAlignment="1">
      <alignment horizontal="right"/>
    </xf>
    <xf numFmtId="0" fontId="47" fillId="0" borderId="0" xfId="20" applyFont="1" applyAlignment="1">
      <alignment horizontal="center" wrapText="1"/>
    </xf>
    <xf numFmtId="0" fontId="16" fillId="0" borderId="0" xfId="20" applyBorder="1"/>
    <xf numFmtId="0" fontId="47" fillId="3" borderId="0" xfId="20" applyFont="1" applyFill="1"/>
    <xf numFmtId="0" fontId="16" fillId="3" borderId="0" xfId="20" applyFill="1"/>
    <xf numFmtId="9" fontId="16" fillId="0" borderId="6" xfId="25" applyFont="1" applyBorder="1"/>
    <xf numFmtId="0" fontId="16" fillId="0" borderId="7" xfId="20" applyBorder="1"/>
    <xf numFmtId="0" fontId="47" fillId="2" borderId="0" xfId="20" applyFont="1" applyFill="1" applyAlignment="1">
      <alignment vertical="top" wrapText="1"/>
    </xf>
    <xf numFmtId="0" fontId="47" fillId="2" borderId="0" xfId="20" applyFont="1" applyFill="1" applyAlignment="1">
      <alignment vertical="top"/>
    </xf>
    <xf numFmtId="0" fontId="47" fillId="4" borderId="0" xfId="20" applyFont="1" applyFill="1" applyBorder="1" applyAlignment="1">
      <alignment horizontal="center" vertical="top"/>
    </xf>
    <xf numFmtId="0" fontId="47" fillId="2" borderId="0" xfId="20" applyFont="1" applyFill="1" applyAlignment="1">
      <alignment horizontal="center" vertical="top" wrapText="1"/>
    </xf>
    <xf numFmtId="0" fontId="47" fillId="2" borderId="8" xfId="20" applyFont="1" applyFill="1" applyBorder="1" applyAlignment="1">
      <alignment horizontal="center" vertical="top" wrapText="1"/>
    </xf>
    <xf numFmtId="0" fontId="47" fillId="2" borderId="0" xfId="20" applyFont="1" applyFill="1" applyBorder="1" applyAlignment="1">
      <alignment horizontal="center" vertical="top" wrapText="1"/>
    </xf>
    <xf numFmtId="0" fontId="47" fillId="3" borderId="0" xfId="20" applyFont="1" applyFill="1" applyAlignment="1">
      <alignment horizontal="center"/>
    </xf>
    <xf numFmtId="166" fontId="16" fillId="0" borderId="0" xfId="20" applyNumberFormat="1"/>
    <xf numFmtId="165" fontId="16" fillId="0" borderId="6" xfId="25" applyNumberFormat="1" applyFont="1" applyBorder="1"/>
    <xf numFmtId="16" fontId="47" fillId="2" borderId="0" xfId="20" applyNumberFormat="1" applyFont="1" applyFill="1" applyAlignment="1">
      <alignment horizontal="center" vertical="top" wrapText="1"/>
    </xf>
    <xf numFmtId="16" fontId="47" fillId="2" borderId="8" xfId="20" applyNumberFormat="1" applyFont="1" applyFill="1" applyBorder="1" applyAlignment="1">
      <alignment horizontal="center" vertical="top" wrapText="1"/>
    </xf>
    <xf numFmtId="166" fontId="16" fillId="3" borderId="0" xfId="1" applyNumberFormat="1" applyFont="1" applyFill="1"/>
    <xf numFmtId="166" fontId="16" fillId="3" borderId="0" xfId="20" applyNumberFormat="1" applyFill="1"/>
    <xf numFmtId="0" fontId="16" fillId="2" borderId="0" xfId="20" applyFill="1" applyAlignment="1">
      <alignment vertical="top" wrapText="1"/>
    </xf>
    <xf numFmtId="0" fontId="16" fillId="2" borderId="8" xfId="20" applyFill="1" applyBorder="1" applyAlignment="1">
      <alignment vertical="top" wrapText="1"/>
    </xf>
    <xf numFmtId="0" fontId="49" fillId="2" borderId="0" xfId="20" applyFont="1" applyFill="1" applyAlignment="1">
      <alignment vertical="top" wrapText="1"/>
    </xf>
    <xf numFmtId="0" fontId="49" fillId="2" borderId="0" xfId="20" applyFont="1" applyFill="1" applyAlignment="1">
      <alignment vertical="top"/>
    </xf>
    <xf numFmtId="0" fontId="49" fillId="2" borderId="0" xfId="20" applyFont="1" applyFill="1" applyAlignment="1">
      <alignment horizontal="right" vertical="top"/>
    </xf>
    <xf numFmtId="0" fontId="49" fillId="2" borderId="8" xfId="20" applyFont="1" applyFill="1" applyBorder="1" applyAlignment="1">
      <alignment horizontal="right" vertical="top"/>
    </xf>
    <xf numFmtId="6" fontId="49" fillId="2" borderId="0" xfId="20" applyNumberFormat="1" applyFont="1" applyFill="1" applyAlignment="1">
      <alignment horizontal="right" vertical="top"/>
    </xf>
    <xf numFmtId="6" fontId="49" fillId="2" borderId="0" xfId="20" applyNumberFormat="1" applyFont="1" applyFill="1" applyBorder="1" applyAlignment="1">
      <alignment horizontal="right" vertical="top"/>
    </xf>
    <xf numFmtId="6" fontId="49" fillId="0" borderId="0" xfId="20" applyNumberFormat="1" applyFont="1" applyBorder="1" applyAlignment="1">
      <alignment horizontal="right" vertical="top"/>
    </xf>
    <xf numFmtId="3" fontId="49" fillId="2" borderId="0" xfId="20" applyNumberFormat="1" applyFont="1" applyFill="1" applyAlignment="1">
      <alignment horizontal="right" vertical="top"/>
    </xf>
    <xf numFmtId="3" fontId="49" fillId="5" borderId="0" xfId="20" applyNumberFormat="1" applyFont="1" applyFill="1" applyAlignment="1">
      <alignment horizontal="right" vertical="top"/>
    </xf>
    <xf numFmtId="3" fontId="49" fillId="0" borderId="0" xfId="20" applyNumberFormat="1" applyFont="1" applyAlignment="1">
      <alignment horizontal="right" vertical="top"/>
    </xf>
    <xf numFmtId="0" fontId="49" fillId="0" borderId="0" xfId="20" applyFont="1" applyAlignment="1">
      <alignment horizontal="center" vertical="top"/>
    </xf>
    <xf numFmtId="166" fontId="16" fillId="3" borderId="9" xfId="1" applyNumberFormat="1" applyFont="1" applyFill="1" applyBorder="1"/>
    <xf numFmtId="166" fontId="16" fillId="3" borderId="9" xfId="20" applyNumberFormat="1" applyFill="1" applyBorder="1"/>
    <xf numFmtId="166" fontId="47" fillId="0" borderId="0" xfId="1" applyNumberFormat="1" applyFont="1"/>
    <xf numFmtId="165" fontId="47" fillId="0" borderId="6" xfId="25" applyNumberFormat="1" applyFont="1" applyBorder="1"/>
    <xf numFmtId="0" fontId="47" fillId="0" borderId="7" xfId="20" applyFont="1" applyBorder="1"/>
    <xf numFmtId="0" fontId="49" fillId="4" borderId="0" xfId="20" applyFont="1" applyFill="1" applyAlignment="1">
      <alignment horizontal="center" vertical="top"/>
    </xf>
    <xf numFmtId="166" fontId="47" fillId="3" borderId="0" xfId="1" applyNumberFormat="1" applyFont="1" applyFill="1"/>
    <xf numFmtId="166" fontId="47" fillId="3" borderId="0" xfId="20" applyNumberFormat="1" applyFont="1" applyFill="1"/>
    <xf numFmtId="166" fontId="47" fillId="6" borderId="0" xfId="20" applyNumberFormat="1" applyFont="1" applyFill="1"/>
    <xf numFmtId="3" fontId="49" fillId="4" borderId="0" xfId="20" applyNumberFormat="1" applyFont="1" applyFill="1" applyAlignment="1">
      <alignment horizontal="right" vertical="top"/>
    </xf>
    <xf numFmtId="0" fontId="47" fillId="7" borderId="0" xfId="20" applyFont="1" applyFill="1" applyAlignment="1">
      <alignment horizontal="center" vertical="top" wrapText="1"/>
    </xf>
    <xf numFmtId="0" fontId="47" fillId="8" borderId="0" xfId="20" applyFont="1" applyFill="1"/>
    <xf numFmtId="0" fontId="16" fillId="8" borderId="0" xfId="20" applyFill="1"/>
    <xf numFmtId="166" fontId="47" fillId="0" borderId="0" xfId="20" applyNumberFormat="1" applyFont="1"/>
    <xf numFmtId="0" fontId="49" fillId="4" borderId="0" xfId="20" applyFont="1" applyFill="1" applyAlignment="1">
      <alignment horizontal="right" vertical="top"/>
    </xf>
    <xf numFmtId="0" fontId="47" fillId="8" borderId="0" xfId="20" applyFont="1" applyFill="1" applyAlignment="1">
      <alignment horizontal="center"/>
    </xf>
    <xf numFmtId="9" fontId="16" fillId="0" borderId="10" xfId="25" applyFont="1" applyBorder="1"/>
    <xf numFmtId="0" fontId="16" fillId="0" borderId="11" xfId="20" applyBorder="1"/>
    <xf numFmtId="166" fontId="16" fillId="8" borderId="0" xfId="1" applyNumberFormat="1" applyFont="1" applyFill="1"/>
    <xf numFmtId="166" fontId="16" fillId="8" borderId="0" xfId="20" applyNumberFormat="1" applyFill="1"/>
    <xf numFmtId="9" fontId="16" fillId="0" borderId="0" xfId="25" applyFont="1"/>
    <xf numFmtId="3" fontId="49" fillId="2" borderId="8" xfId="20" applyNumberFormat="1" applyFont="1" applyFill="1" applyBorder="1" applyAlignment="1">
      <alignment horizontal="right" vertical="top"/>
    </xf>
    <xf numFmtId="0" fontId="31" fillId="0" borderId="0" xfId="20" applyFont="1"/>
    <xf numFmtId="166" fontId="16" fillId="8" borderId="0" xfId="1" applyNumberFormat="1" applyFont="1" applyFill="1" applyBorder="1"/>
    <xf numFmtId="166" fontId="16" fillId="8" borderId="0" xfId="20" applyNumberFormat="1" applyFill="1" applyBorder="1"/>
    <xf numFmtId="166" fontId="16" fillId="8" borderId="9" xfId="1" applyNumberFormat="1" applyFont="1" applyFill="1" applyBorder="1"/>
    <xf numFmtId="166" fontId="16" fillId="8" borderId="9" xfId="20" applyNumberFormat="1" applyFill="1" applyBorder="1"/>
    <xf numFmtId="166" fontId="47" fillId="8" borderId="0" xfId="1" applyNumberFormat="1" applyFont="1" applyFill="1"/>
    <xf numFmtId="166" fontId="47" fillId="8" borderId="0" xfId="20" applyNumberFormat="1" applyFont="1" applyFill="1"/>
    <xf numFmtId="0" fontId="47" fillId="2" borderId="0" xfId="20" applyFont="1" applyFill="1" applyAlignment="1">
      <alignment horizontal="right" vertical="top"/>
    </xf>
    <xf numFmtId="0" fontId="47" fillId="2" borderId="8" xfId="20" applyFont="1" applyFill="1" applyBorder="1" applyAlignment="1">
      <alignment horizontal="right" vertical="top"/>
    </xf>
    <xf numFmtId="0" fontId="47" fillId="4" borderId="0" xfId="20" applyFont="1" applyFill="1" applyAlignment="1">
      <alignment horizontal="right" vertical="top"/>
    </xf>
    <xf numFmtId="6" fontId="47" fillId="2" borderId="0" xfId="20" applyNumberFormat="1" applyFont="1" applyFill="1" applyAlignment="1">
      <alignment horizontal="right" vertical="top"/>
    </xf>
    <xf numFmtId="6" fontId="47" fillId="6" borderId="8" xfId="20" applyNumberFormat="1" applyFont="1" applyFill="1" applyBorder="1" applyAlignment="1">
      <alignment horizontal="right" vertical="top"/>
    </xf>
    <xf numFmtId="6" fontId="47" fillId="4" borderId="0" xfId="20" applyNumberFormat="1" applyFont="1" applyFill="1" applyAlignment="1">
      <alignment horizontal="right" vertical="top"/>
    </xf>
    <xf numFmtId="0" fontId="16" fillId="2" borderId="0" xfId="20" applyFill="1" applyAlignment="1">
      <alignment vertical="top"/>
    </xf>
    <xf numFmtId="0" fontId="16" fillId="2" borderId="8" xfId="20" applyFill="1" applyBorder="1" applyAlignment="1">
      <alignment vertical="top"/>
    </xf>
    <xf numFmtId="6" fontId="16" fillId="2" borderId="8" xfId="20" applyNumberFormat="1" applyFill="1" applyBorder="1" applyAlignment="1">
      <alignment vertical="top"/>
    </xf>
    <xf numFmtId="0" fontId="16" fillId="4" borderId="0" xfId="20" applyFill="1" applyAlignment="1">
      <alignment vertical="top"/>
    </xf>
    <xf numFmtId="0" fontId="47" fillId="0" borderId="0" xfId="20" applyFont="1" applyBorder="1" applyAlignment="1">
      <alignment horizontal="right" vertical="top"/>
    </xf>
    <xf numFmtId="3" fontId="47" fillId="0" borderId="0" xfId="20" applyNumberFormat="1" applyFont="1" applyBorder="1" applyAlignment="1">
      <alignment horizontal="right" vertical="top"/>
    </xf>
    <xf numFmtId="0" fontId="16" fillId="0" borderId="0" xfId="20" applyBorder="1" applyAlignment="1">
      <alignment vertical="top"/>
    </xf>
    <xf numFmtId="0" fontId="48" fillId="7" borderId="0" xfId="20" applyFont="1" applyFill="1"/>
    <xf numFmtId="0" fontId="16" fillId="7" borderId="0" xfId="20" applyFill="1"/>
    <xf numFmtId="0" fontId="47" fillId="7" borderId="0" xfId="20" applyFont="1" applyFill="1" applyAlignment="1">
      <alignment vertical="top" wrapText="1"/>
    </xf>
    <xf numFmtId="0" fontId="47" fillId="7" borderId="0" xfId="20" applyFont="1" applyFill="1" applyAlignment="1">
      <alignment vertical="top"/>
    </xf>
    <xf numFmtId="0" fontId="47" fillId="7" borderId="8" xfId="20" applyFont="1" applyFill="1" applyBorder="1" applyAlignment="1">
      <alignment horizontal="center" vertical="top" wrapText="1"/>
    </xf>
    <xf numFmtId="16" fontId="47" fillId="7" borderId="0" xfId="20" applyNumberFormat="1" applyFont="1" applyFill="1" applyAlignment="1">
      <alignment horizontal="center" vertical="top" wrapText="1"/>
    </xf>
    <xf numFmtId="16" fontId="47" fillId="7" borderId="8" xfId="20" applyNumberFormat="1" applyFont="1" applyFill="1" applyBorder="1" applyAlignment="1">
      <alignment horizontal="center" vertical="top" wrapText="1"/>
    </xf>
    <xf numFmtId="0" fontId="16" fillId="7" borderId="0" xfId="20" applyFill="1" applyAlignment="1">
      <alignment vertical="top" wrapText="1"/>
    </xf>
    <xf numFmtId="0" fontId="16" fillId="7" borderId="8" xfId="20" applyFill="1" applyBorder="1" applyAlignment="1">
      <alignment vertical="top" wrapText="1"/>
    </xf>
    <xf numFmtId="0" fontId="49" fillId="7" borderId="0" xfId="20" applyFont="1" applyFill="1" applyAlignment="1">
      <alignment vertical="top" wrapText="1"/>
    </xf>
    <xf numFmtId="0" fontId="49" fillId="7" borderId="0" xfId="20" applyFont="1" applyFill="1" applyAlignment="1">
      <alignment vertical="top"/>
    </xf>
    <xf numFmtId="0" fontId="49" fillId="7" borderId="0" xfId="20" applyFont="1" applyFill="1" applyAlignment="1">
      <alignment horizontal="right" vertical="top"/>
    </xf>
    <xf numFmtId="0" fontId="49" fillId="7" borderId="8" xfId="20" applyFont="1" applyFill="1" applyBorder="1" applyAlignment="1">
      <alignment horizontal="right" vertical="top"/>
    </xf>
    <xf numFmtId="6" fontId="49" fillId="7" borderId="0" xfId="20" applyNumberFormat="1" applyFont="1" applyFill="1" applyAlignment="1">
      <alignment horizontal="right" vertical="top"/>
    </xf>
    <xf numFmtId="168" fontId="49" fillId="7" borderId="0" xfId="5" applyNumberFormat="1" applyFont="1" applyFill="1" applyAlignment="1">
      <alignment horizontal="right" vertical="top"/>
    </xf>
    <xf numFmtId="6" fontId="49" fillId="7" borderId="8" xfId="20" applyNumberFormat="1" applyFont="1" applyFill="1" applyBorder="1" applyAlignment="1">
      <alignment horizontal="right" vertical="top"/>
    </xf>
    <xf numFmtId="3" fontId="49" fillId="7" borderId="0" xfId="20" applyNumberFormat="1" applyFont="1" applyFill="1" applyAlignment="1">
      <alignment horizontal="right" vertical="top"/>
    </xf>
    <xf numFmtId="3" fontId="49" fillId="7" borderId="0" xfId="5" applyNumberFormat="1" applyFont="1" applyFill="1" applyAlignment="1">
      <alignment horizontal="right" vertical="top"/>
    </xf>
    <xf numFmtId="3" fontId="49" fillId="7" borderId="8" xfId="20" applyNumberFormat="1" applyFont="1" applyFill="1" applyBorder="1" applyAlignment="1">
      <alignment horizontal="right" vertical="top"/>
    </xf>
    <xf numFmtId="3" fontId="49" fillId="7" borderId="12" xfId="20" applyNumberFormat="1" applyFont="1" applyFill="1" applyBorder="1" applyAlignment="1">
      <alignment horizontal="right" vertical="top"/>
    </xf>
    <xf numFmtId="3" fontId="49" fillId="5" borderId="0" xfId="5" applyNumberFormat="1" applyFont="1" applyFill="1" applyAlignment="1">
      <alignment horizontal="right" vertical="top"/>
    </xf>
    <xf numFmtId="0" fontId="47" fillId="7" borderId="0" xfId="20" applyFont="1" applyFill="1" applyAlignment="1">
      <alignment horizontal="right" vertical="top"/>
    </xf>
    <xf numFmtId="0" fontId="47" fillId="7" borderId="8" xfId="20" applyFont="1" applyFill="1" applyBorder="1" applyAlignment="1">
      <alignment horizontal="right" vertical="top"/>
    </xf>
    <xf numFmtId="168" fontId="47" fillId="7" borderId="0" xfId="5" applyNumberFormat="1" applyFont="1" applyFill="1" applyAlignment="1">
      <alignment horizontal="right" vertical="top"/>
    </xf>
    <xf numFmtId="6" fontId="47" fillId="7" borderId="0" xfId="20" applyNumberFormat="1" applyFont="1" applyFill="1" applyAlignment="1">
      <alignment horizontal="right" vertical="top"/>
    </xf>
    <xf numFmtId="168" fontId="47" fillId="6" borderId="0" xfId="5" applyNumberFormat="1" applyFont="1" applyFill="1" applyAlignment="1">
      <alignment horizontal="right" vertical="top"/>
    </xf>
    <xf numFmtId="6" fontId="47" fillId="7" borderId="8" xfId="20" applyNumberFormat="1" applyFont="1" applyFill="1" applyBorder="1" applyAlignment="1">
      <alignment horizontal="right" vertical="top"/>
    </xf>
    <xf numFmtId="0" fontId="16" fillId="7" borderId="0" xfId="20" applyFill="1" applyAlignment="1">
      <alignment vertical="top"/>
    </xf>
    <xf numFmtId="0" fontId="16" fillId="7" borderId="8" xfId="20" applyFill="1" applyBorder="1" applyAlignment="1">
      <alignment vertical="top"/>
    </xf>
    <xf numFmtId="6" fontId="16" fillId="0" borderId="0" xfId="20" applyNumberFormat="1"/>
    <xf numFmtId="49" fontId="16" fillId="0" borderId="0" xfId="20" applyNumberFormat="1"/>
    <xf numFmtId="0" fontId="50" fillId="0" borderId="0" xfId="20" applyFont="1" applyAlignment="1">
      <alignment horizontal="centerContinuous"/>
    </xf>
    <xf numFmtId="0" fontId="16" fillId="0" borderId="0" xfId="20" applyAlignment="1">
      <alignment horizontal="centerContinuous"/>
    </xf>
    <xf numFmtId="0" fontId="50" fillId="0" borderId="9" xfId="20" applyFont="1" applyBorder="1" applyAlignment="1">
      <alignment horizontal="right"/>
    </xf>
    <xf numFmtId="0" fontId="51" fillId="4" borderId="4" xfId="20" applyFont="1" applyFill="1" applyBorder="1"/>
    <xf numFmtId="166" fontId="51" fillId="4" borderId="5" xfId="1" applyNumberFormat="1" applyFont="1" applyFill="1" applyBorder="1"/>
    <xf numFmtId="3" fontId="16" fillId="0" borderId="0" xfId="20" applyNumberFormat="1"/>
    <xf numFmtId="0" fontId="51" fillId="4" borderId="6" xfId="20" applyFont="1" applyFill="1" applyBorder="1"/>
    <xf numFmtId="166" fontId="51" fillId="4" borderId="7" xfId="1" applyNumberFormat="1" applyFont="1" applyFill="1" applyBorder="1"/>
    <xf numFmtId="166" fontId="51" fillId="0" borderId="7" xfId="1" applyNumberFormat="1" applyFont="1" applyBorder="1"/>
    <xf numFmtId="0" fontId="51" fillId="4" borderId="13" xfId="20" applyFont="1" applyFill="1" applyBorder="1"/>
    <xf numFmtId="166" fontId="51" fillId="4" borderId="14" xfId="1" applyNumberFormat="1" applyFont="1" applyFill="1" applyBorder="1"/>
    <xf numFmtId="3" fontId="16" fillId="0" borderId="9" xfId="20" applyNumberFormat="1" applyBorder="1"/>
    <xf numFmtId="49" fontId="50" fillId="0" borderId="0" xfId="20" applyNumberFormat="1" applyFont="1"/>
    <xf numFmtId="3" fontId="50" fillId="0" borderId="0" xfId="20" applyNumberFormat="1" applyFont="1"/>
    <xf numFmtId="0" fontId="16" fillId="0" borderId="9" xfId="20" applyBorder="1"/>
    <xf numFmtId="0" fontId="18" fillId="0" borderId="0" xfId="0" applyFont="1" applyAlignment="1">
      <alignment horizontal="left" indent="1"/>
    </xf>
    <xf numFmtId="0" fontId="50" fillId="0" borderId="0" xfId="0" applyFont="1"/>
    <xf numFmtId="3" fontId="50" fillId="0" borderId="1" xfId="0" applyNumberFormat="1" applyFont="1" applyBorder="1"/>
    <xf numFmtId="3" fontId="50" fillId="0" borderId="2" xfId="0" applyNumberFormat="1" applyFont="1" applyBorder="1"/>
    <xf numFmtId="3" fontId="50" fillId="0" borderId="0" xfId="0" applyNumberFormat="1" applyFont="1"/>
    <xf numFmtId="0" fontId="0" fillId="0" borderId="0" xfId="0" applyAlignment="1">
      <alignment horizontal="left" indent="1"/>
    </xf>
    <xf numFmtId="0" fontId="50" fillId="0" borderId="0" xfId="0" applyFont="1" applyAlignment="1">
      <alignment wrapText="1"/>
    </xf>
    <xf numFmtId="0" fontId="18" fillId="0" borderId="0" xfId="0" applyFont="1" applyAlignment="1">
      <alignment horizontal="left" wrapText="1" indent="1"/>
    </xf>
    <xf numFmtId="168" fontId="18" fillId="0" borderId="0" xfId="0" applyNumberFormat="1" applyFont="1"/>
    <xf numFmtId="0" fontId="52" fillId="0" borderId="0" xfId="18" applyFont="1" applyAlignment="1" applyProtection="1">
      <alignment horizontal="center"/>
    </xf>
    <xf numFmtId="0" fontId="16" fillId="0" borderId="0" xfId="18"/>
    <xf numFmtId="0" fontId="52" fillId="0" borderId="0" xfId="18" applyFont="1" applyProtection="1"/>
    <xf numFmtId="0" fontId="54" fillId="0" borderId="0" xfId="18" applyFont="1" applyProtection="1"/>
    <xf numFmtId="0" fontId="55" fillId="0" borderId="0" xfId="18" applyFont="1" applyProtection="1"/>
    <xf numFmtId="0" fontId="56" fillId="0" borderId="15" xfId="18" applyFont="1" applyBorder="1" applyProtection="1"/>
    <xf numFmtId="0" fontId="56" fillId="0" borderId="16" xfId="18" applyFont="1" applyBorder="1" applyAlignment="1" applyProtection="1">
      <alignment horizontal="center"/>
    </xf>
    <xf numFmtId="0" fontId="56" fillId="0" borderId="17" xfId="18" applyFont="1" applyBorder="1" applyAlignment="1" applyProtection="1">
      <alignment horizontal="center"/>
    </xf>
    <xf numFmtId="37" fontId="56" fillId="0" borderId="16" xfId="18" applyNumberFormat="1" applyFont="1" applyBorder="1" applyAlignment="1" applyProtection="1">
      <alignment horizontal="center"/>
    </xf>
    <xf numFmtId="0" fontId="56" fillId="0" borderId="18" xfId="18" applyFont="1" applyBorder="1" applyProtection="1"/>
    <xf numFmtId="0" fontId="56" fillId="0" borderId="18" xfId="18" applyFont="1" applyBorder="1" applyAlignment="1" applyProtection="1">
      <alignment horizontal="center"/>
    </xf>
    <xf numFmtId="0" fontId="56" fillId="0" borderId="19" xfId="18" applyFont="1" applyBorder="1" applyAlignment="1" applyProtection="1">
      <alignment horizontal="centerContinuous"/>
    </xf>
    <xf numFmtId="37" fontId="56" fillId="0" borderId="20" xfId="18" applyNumberFormat="1" applyFont="1" applyBorder="1" applyAlignment="1" applyProtection="1">
      <alignment horizontal="center"/>
    </xf>
    <xf numFmtId="0" fontId="56" fillId="0" borderId="0" xfId="18" applyFont="1" applyAlignment="1" applyProtection="1">
      <alignment horizontal="center"/>
    </xf>
    <xf numFmtId="0" fontId="56" fillId="0" borderId="20" xfId="18" applyFont="1" applyBorder="1" applyAlignment="1" applyProtection="1">
      <alignment horizontal="center"/>
    </xf>
    <xf numFmtId="0" fontId="56" fillId="0" borderId="21" xfId="18" applyFont="1" applyBorder="1" applyAlignment="1" applyProtection="1">
      <alignment horizontal="center"/>
    </xf>
    <xf numFmtId="170" fontId="56" fillId="0" borderId="0" xfId="18" applyNumberFormat="1" applyFont="1" applyAlignment="1" applyProtection="1">
      <alignment horizontal="centerContinuous"/>
    </xf>
    <xf numFmtId="0" fontId="56" fillId="0" borderId="21" xfId="18" applyFont="1" applyBorder="1" applyAlignment="1" applyProtection="1">
      <alignment horizontal="centerContinuous"/>
    </xf>
    <xf numFmtId="0" fontId="56" fillId="0" borderId="22" xfId="18" applyFont="1" applyBorder="1" applyAlignment="1" applyProtection="1">
      <alignment horizontal="centerContinuous"/>
    </xf>
    <xf numFmtId="0" fontId="56" fillId="0" borderId="23" xfId="18" applyFont="1" applyBorder="1" applyAlignment="1" applyProtection="1">
      <alignment horizontal="center"/>
    </xf>
    <xf numFmtId="0" fontId="56" fillId="0" borderId="24" xfId="18" applyFont="1" applyBorder="1" applyAlignment="1" applyProtection="1">
      <alignment horizontal="center"/>
    </xf>
    <xf numFmtId="0" fontId="56" fillId="0" borderId="25" xfId="18" applyFont="1" applyBorder="1" applyAlignment="1" applyProtection="1">
      <alignment horizontal="center"/>
    </xf>
    <xf numFmtId="0" fontId="56" fillId="0" borderId="26" xfId="18" applyFont="1" applyBorder="1" applyAlignment="1" applyProtection="1">
      <alignment horizontal="centerContinuous"/>
    </xf>
    <xf numFmtId="0" fontId="56" fillId="0" borderId="26" xfId="18" applyFont="1" applyBorder="1" applyAlignment="1" applyProtection="1">
      <alignment horizontal="center"/>
    </xf>
    <xf numFmtId="0" fontId="56" fillId="0" borderId="27" xfId="18" applyFont="1" applyBorder="1" applyProtection="1"/>
    <xf numFmtId="37" fontId="58" fillId="0" borderId="28" xfId="18" applyNumberFormat="1" applyFont="1" applyBorder="1" applyAlignment="1" applyProtection="1">
      <alignment horizontal="center"/>
      <protection locked="0"/>
    </xf>
    <xf numFmtId="37" fontId="58" fillId="0" borderId="28" xfId="18" applyNumberFormat="1" applyFont="1" applyBorder="1" applyProtection="1">
      <protection locked="0"/>
    </xf>
    <xf numFmtId="37" fontId="58" fillId="0" borderId="29" xfId="18" applyNumberFormat="1" applyFont="1" applyBorder="1" applyProtection="1"/>
    <xf numFmtId="3" fontId="58" fillId="0" borderId="29" xfId="18" applyNumberFormat="1" applyFont="1" applyBorder="1" applyProtection="1">
      <protection locked="0"/>
    </xf>
    <xf numFmtId="171" fontId="58" fillId="0" borderId="29" xfId="18" applyNumberFormat="1" applyFont="1" applyBorder="1" applyProtection="1">
      <protection locked="0"/>
    </xf>
    <xf numFmtId="37" fontId="58" fillId="0" borderId="29" xfId="18" applyNumberFormat="1" applyFont="1" applyBorder="1" applyAlignment="1" applyProtection="1">
      <alignment horizontal="center"/>
    </xf>
    <xf numFmtId="0" fontId="59" fillId="0" borderId="19" xfId="18" applyFont="1" applyBorder="1" applyProtection="1"/>
    <xf numFmtId="37" fontId="59" fillId="0" borderId="20" xfId="18" applyNumberFormat="1" applyFont="1" applyBorder="1" applyAlignment="1" applyProtection="1">
      <alignment horizontal="left"/>
      <protection locked="0"/>
    </xf>
    <xf numFmtId="37" fontId="59" fillId="0" borderId="20" xfId="18" applyNumberFormat="1" applyFont="1" applyBorder="1" applyAlignment="1" applyProtection="1">
      <alignment horizontal="right"/>
    </xf>
    <xf numFmtId="37" fontId="59" fillId="0" borderId="0" xfId="18" applyNumberFormat="1" applyFont="1" applyBorder="1" applyAlignment="1" applyProtection="1">
      <alignment horizontal="right"/>
    </xf>
    <xf numFmtId="37" fontId="59" fillId="0" borderId="20" xfId="18" applyNumberFormat="1" applyFont="1" applyBorder="1" applyAlignment="1" applyProtection="1">
      <alignment horizontal="right"/>
      <protection locked="0"/>
    </xf>
    <xf numFmtId="37" fontId="59" fillId="0" borderId="20" xfId="18" applyNumberFormat="1" applyFont="1" applyBorder="1" applyProtection="1">
      <protection locked="0"/>
    </xf>
    <xf numFmtId="0" fontId="56" fillId="0" borderId="19" xfId="18" applyFont="1" applyBorder="1" applyProtection="1"/>
    <xf numFmtId="37" fontId="58" fillId="0" borderId="20" xfId="18" applyNumberFormat="1" applyFont="1" applyBorder="1" applyAlignment="1" applyProtection="1">
      <alignment horizontal="center"/>
      <protection locked="0"/>
    </xf>
    <xf numFmtId="37" fontId="58" fillId="0" borderId="0" xfId="18" applyNumberFormat="1" applyFont="1" applyProtection="1"/>
    <xf numFmtId="37" fontId="58" fillId="0" borderId="20" xfId="18" applyNumberFormat="1" applyFont="1" applyBorder="1" applyAlignment="1" applyProtection="1">
      <alignment horizontal="right"/>
    </xf>
    <xf numFmtId="37" fontId="58" fillId="0" borderId="0" xfId="18" applyNumberFormat="1" applyFont="1" applyBorder="1" applyAlignment="1" applyProtection="1">
      <alignment horizontal="right"/>
    </xf>
    <xf numFmtId="37" fontId="58" fillId="0" borderId="21" xfId="18" applyNumberFormat="1" applyFont="1" applyBorder="1" applyProtection="1"/>
    <xf numFmtId="3" fontId="58" fillId="0" borderId="0" xfId="18" applyNumberFormat="1" applyFont="1" applyProtection="1"/>
    <xf numFmtId="171" fontId="58" fillId="0" borderId="20" xfId="18" applyNumberFormat="1" applyFont="1" applyBorder="1" applyProtection="1">
      <protection locked="0"/>
    </xf>
    <xf numFmtId="37" fontId="58" fillId="0" borderId="21" xfId="18" applyNumberFormat="1" applyFont="1" applyBorder="1" applyAlignment="1" applyProtection="1">
      <alignment horizontal="center"/>
    </xf>
    <xf numFmtId="37" fontId="58" fillId="0" borderId="20" xfId="18" applyNumberFormat="1" applyFont="1" applyBorder="1" applyAlignment="1" applyProtection="1">
      <alignment horizontal="center"/>
    </xf>
    <xf numFmtId="37" fontId="58" fillId="0" borderId="20" xfId="18" applyNumberFormat="1" applyFont="1" applyBorder="1" applyProtection="1"/>
    <xf numFmtId="3" fontId="58" fillId="0" borderId="21" xfId="18" applyNumberFormat="1" applyFont="1" applyBorder="1" applyProtection="1">
      <protection locked="0"/>
    </xf>
    <xf numFmtId="37" fontId="58" fillId="0" borderId="20" xfId="18" applyNumberFormat="1" applyFont="1" applyBorder="1" applyProtection="1">
      <protection locked="0"/>
    </xf>
    <xf numFmtId="37" fontId="59" fillId="0" borderId="0" xfId="18" applyNumberFormat="1" applyFont="1" applyProtection="1"/>
    <xf numFmtId="37" fontId="59" fillId="0" borderId="20" xfId="18" applyNumberFormat="1" applyFont="1" applyBorder="1" applyProtection="1"/>
    <xf numFmtId="37" fontId="59" fillId="0" borderId="21" xfId="18" applyNumberFormat="1" applyFont="1" applyBorder="1" applyAlignment="1" applyProtection="1">
      <alignment horizontal="right"/>
    </xf>
    <xf numFmtId="172" fontId="59" fillId="0" borderId="19" xfId="18" applyNumberFormat="1" applyFont="1" applyBorder="1" applyProtection="1"/>
    <xf numFmtId="170" fontId="59" fillId="0" borderId="21" xfId="18" applyNumberFormat="1" applyFont="1" applyBorder="1" applyAlignment="1" applyProtection="1">
      <alignment horizontal="right"/>
    </xf>
    <xf numFmtId="170" fontId="58" fillId="0" borderId="21" xfId="18" applyNumberFormat="1" applyFont="1" applyBorder="1" applyProtection="1"/>
    <xf numFmtId="170" fontId="58" fillId="0" borderId="21" xfId="18" applyNumberFormat="1" applyFont="1" applyBorder="1" applyAlignment="1" applyProtection="1">
      <alignment horizontal="center"/>
    </xf>
    <xf numFmtId="172" fontId="56" fillId="0" borderId="19" xfId="18" applyNumberFormat="1" applyFont="1" applyBorder="1" applyProtection="1"/>
    <xf numFmtId="37" fontId="55" fillId="0" borderId="30" xfId="18" applyNumberFormat="1" applyFont="1" applyBorder="1" applyProtection="1"/>
    <xf numFmtId="37" fontId="58" fillId="0" borderId="31" xfId="18" applyNumberFormat="1" applyFont="1" applyBorder="1" applyProtection="1"/>
    <xf numFmtId="0" fontId="52" fillId="0" borderId="32" xfId="18" applyFont="1" applyBorder="1" applyAlignment="1" applyProtection="1">
      <alignment horizontal="center"/>
    </xf>
    <xf numFmtId="37" fontId="61" fillId="0" borderId="33" xfId="18" applyNumberFormat="1" applyFont="1" applyBorder="1" applyProtection="1"/>
    <xf numFmtId="37" fontId="55" fillId="0" borderId="34" xfId="18" applyNumberFormat="1" applyFont="1" applyBorder="1" applyProtection="1"/>
    <xf numFmtId="3" fontId="55" fillId="0" borderId="35" xfId="18" applyNumberFormat="1" applyFont="1" applyBorder="1" applyProtection="1">
      <protection locked="0"/>
    </xf>
    <xf numFmtId="171" fontId="55" fillId="0" borderId="34" xfId="18" applyNumberFormat="1" applyFont="1" applyBorder="1" applyProtection="1">
      <protection locked="0"/>
    </xf>
    <xf numFmtId="37" fontId="55" fillId="0" borderId="34" xfId="18" applyNumberFormat="1" applyFont="1" applyBorder="1" applyAlignment="1" applyProtection="1">
      <alignment horizontal="center"/>
    </xf>
    <xf numFmtId="0" fontId="52" fillId="0" borderId="0" xfId="18" applyFont="1" applyBorder="1" applyAlignment="1" applyProtection="1">
      <alignment horizontal="center"/>
    </xf>
    <xf numFmtId="37" fontId="61" fillId="0" borderId="0" xfId="18" applyNumberFormat="1" applyFont="1" applyBorder="1" applyProtection="1"/>
    <xf numFmtId="37" fontId="55" fillId="0" borderId="0" xfId="18" applyNumberFormat="1" applyFont="1" applyBorder="1" applyProtection="1"/>
    <xf numFmtId="3" fontId="55" fillId="0" borderId="0" xfId="18" applyNumberFormat="1" applyFont="1" applyBorder="1" applyProtection="1">
      <protection locked="0"/>
    </xf>
    <xf numFmtId="171" fontId="55" fillId="0" borderId="0" xfId="18" applyNumberFormat="1" applyFont="1" applyBorder="1" applyProtection="1">
      <protection locked="0"/>
    </xf>
    <xf numFmtId="37" fontId="55" fillId="0" borderId="0" xfId="18" applyNumberFormat="1" applyFont="1" applyBorder="1" applyAlignment="1" applyProtection="1">
      <alignment horizontal="center"/>
    </xf>
    <xf numFmtId="170" fontId="60" fillId="0" borderId="0" xfId="18" applyNumberFormat="1" applyFont="1" applyBorder="1" applyProtection="1">
      <protection locked="0"/>
    </xf>
    <xf numFmtId="171" fontId="60" fillId="0" borderId="0" xfId="18" applyNumberFormat="1" applyFont="1" applyBorder="1" applyProtection="1">
      <protection locked="0"/>
    </xf>
    <xf numFmtId="0" fontId="58" fillId="0" borderId="0" xfId="18" applyFont="1"/>
    <xf numFmtId="37" fontId="61" fillId="0" borderId="0" xfId="18" applyNumberFormat="1" applyFont="1" applyProtection="1"/>
    <xf numFmtId="171" fontId="58" fillId="0" borderId="0" xfId="18" applyNumberFormat="1" applyFont="1" applyProtection="1"/>
    <xf numFmtId="0" fontId="62" fillId="0" borderId="0" xfId="18" applyFont="1" applyProtection="1"/>
    <xf numFmtId="37" fontId="58" fillId="0" borderId="16" xfId="18" applyNumberFormat="1" applyFont="1" applyBorder="1" applyAlignment="1" applyProtection="1">
      <alignment horizontal="center"/>
    </xf>
    <xf numFmtId="0" fontId="58" fillId="0" borderId="18" xfId="18" applyFont="1" applyBorder="1" applyProtection="1"/>
    <xf numFmtId="0" fontId="58" fillId="0" borderId="18" xfId="18" applyFont="1" applyBorder="1" applyAlignment="1" applyProtection="1">
      <alignment horizontal="center"/>
    </xf>
    <xf numFmtId="0" fontId="56" fillId="0" borderId="19" xfId="18" applyFont="1" applyBorder="1" applyAlignment="1" applyProtection="1">
      <alignment horizontal="center"/>
    </xf>
    <xf numFmtId="37" fontId="58" fillId="0" borderId="0" xfId="18" applyNumberFormat="1" applyFont="1" applyAlignment="1" applyProtection="1">
      <alignment horizontal="center"/>
    </xf>
    <xf numFmtId="0" fontId="58" fillId="0" borderId="20" xfId="18" applyFont="1" applyBorder="1" applyAlignment="1" applyProtection="1">
      <alignment horizontal="center"/>
    </xf>
    <xf numFmtId="0" fontId="58" fillId="0" borderId="21" xfId="18" applyFont="1" applyBorder="1" applyAlignment="1" applyProtection="1">
      <alignment horizontal="center"/>
    </xf>
    <xf numFmtId="170" fontId="58" fillId="0" borderId="0" xfId="18" applyNumberFormat="1" applyFont="1" applyAlignment="1" applyProtection="1">
      <alignment horizontal="centerContinuous"/>
    </xf>
    <xf numFmtId="0" fontId="58" fillId="0" borderId="21" xfId="18" applyFont="1" applyBorder="1" applyAlignment="1" applyProtection="1">
      <alignment horizontal="centerContinuous"/>
    </xf>
    <xf numFmtId="0" fontId="58" fillId="0" borderId="24" xfId="18" applyFont="1" applyBorder="1" applyAlignment="1" applyProtection="1">
      <alignment horizontal="center"/>
    </xf>
    <xf numFmtId="0" fontId="58" fillId="0" borderId="25" xfId="18" applyFont="1" applyBorder="1" applyAlignment="1" applyProtection="1">
      <alignment horizontal="center"/>
    </xf>
    <xf numFmtId="0" fontId="58" fillId="0" borderId="26" xfId="18" applyFont="1" applyBorder="1" applyAlignment="1" applyProtection="1">
      <alignment horizontal="centerContinuous"/>
    </xf>
    <xf numFmtId="0" fontId="58" fillId="0" borderId="26" xfId="18" applyFont="1" applyBorder="1" applyAlignment="1" applyProtection="1">
      <alignment horizontal="center"/>
    </xf>
    <xf numFmtId="37" fontId="58" fillId="0" borderId="28" xfId="18" applyNumberFormat="1" applyFont="1" applyBorder="1" applyAlignment="1" applyProtection="1">
      <alignment horizontal="right"/>
    </xf>
    <xf numFmtId="37" fontId="58" fillId="0" borderId="29" xfId="18" applyNumberFormat="1" applyFont="1" applyBorder="1" applyAlignment="1" applyProtection="1">
      <alignment horizontal="right"/>
      <protection locked="0"/>
    </xf>
    <xf numFmtId="37" fontId="58" fillId="0" borderId="29" xfId="18" quotePrefix="1" applyNumberFormat="1" applyFont="1" applyBorder="1" applyAlignment="1" applyProtection="1">
      <alignment horizontal="right"/>
      <protection locked="0"/>
    </xf>
    <xf numFmtId="37" fontId="58" fillId="0" borderId="29" xfId="18" applyNumberFormat="1" applyFont="1" applyBorder="1" applyAlignment="1" applyProtection="1">
      <alignment horizontal="center"/>
      <protection locked="0"/>
    </xf>
    <xf numFmtId="0" fontId="58" fillId="0" borderId="19" xfId="18" applyFont="1" applyBorder="1" applyProtection="1"/>
    <xf numFmtId="37" fontId="58" fillId="0" borderId="20" xfId="18" applyNumberFormat="1" applyFont="1" applyBorder="1" applyAlignment="1" applyProtection="1">
      <alignment horizontal="right"/>
      <protection locked="0"/>
    </xf>
    <xf numFmtId="37" fontId="58" fillId="0" borderId="21" xfId="18" applyNumberFormat="1" applyFont="1" applyBorder="1" applyAlignment="1" applyProtection="1">
      <alignment horizontal="right"/>
      <protection locked="0"/>
    </xf>
    <xf numFmtId="3" fontId="58" fillId="0" borderId="20" xfId="18" applyNumberFormat="1" applyFont="1" applyBorder="1" applyAlignment="1" applyProtection="1">
      <alignment horizontal="right"/>
      <protection locked="0"/>
    </xf>
    <xf numFmtId="37" fontId="58" fillId="0" borderId="20" xfId="18" quotePrefix="1" applyNumberFormat="1" applyFont="1" applyBorder="1" applyAlignment="1" applyProtection="1">
      <alignment horizontal="right"/>
      <protection locked="0"/>
    </xf>
    <xf numFmtId="172" fontId="52" fillId="0" borderId="32" xfId="18" applyNumberFormat="1" applyFont="1" applyBorder="1" applyAlignment="1" applyProtection="1">
      <alignment horizontal="center"/>
    </xf>
    <xf numFmtId="37" fontId="55" fillId="0" borderId="34" xfId="18" applyNumberFormat="1" applyFont="1" applyBorder="1" applyAlignment="1" applyProtection="1">
      <alignment horizontal="right"/>
    </xf>
    <xf numFmtId="37" fontId="55" fillId="0" borderId="34" xfId="18" applyNumberFormat="1" applyFont="1" applyBorder="1" applyAlignment="1" applyProtection="1"/>
    <xf numFmtId="172" fontId="52" fillId="0" borderId="0" xfId="18" applyNumberFormat="1" applyFont="1" applyBorder="1" applyAlignment="1" applyProtection="1">
      <alignment horizontal="center"/>
    </xf>
    <xf numFmtId="37" fontId="55" fillId="0" borderId="0" xfId="18" applyNumberFormat="1" applyFont="1" applyBorder="1" applyAlignment="1" applyProtection="1">
      <alignment horizontal="right"/>
    </xf>
    <xf numFmtId="39" fontId="55" fillId="0" borderId="0" xfId="18" applyNumberFormat="1" applyFont="1" applyBorder="1" applyAlignment="1" applyProtection="1">
      <alignment horizontal="right"/>
    </xf>
    <xf numFmtId="37" fontId="61" fillId="0" borderId="0" xfId="18" applyNumberFormat="1" applyFont="1" applyAlignment="1" applyProtection="1">
      <alignment horizontal="right"/>
    </xf>
    <xf numFmtId="37" fontId="61" fillId="0" borderId="0" xfId="18" applyNumberFormat="1" applyFont="1" applyBorder="1" applyAlignment="1" applyProtection="1">
      <alignment horizontal="right"/>
    </xf>
    <xf numFmtId="171" fontId="60" fillId="0" borderId="0" xfId="18" applyNumberFormat="1" applyFont="1" applyBorder="1" applyAlignment="1" applyProtection="1">
      <alignment horizontal="right"/>
      <protection locked="0"/>
    </xf>
    <xf numFmtId="0" fontId="52" fillId="0" borderId="36" xfId="18" applyFont="1" applyBorder="1" applyProtection="1"/>
    <xf numFmtId="37" fontId="61" fillId="0" borderId="37" xfId="18" applyNumberFormat="1" applyFont="1" applyBorder="1" applyProtection="1"/>
    <xf numFmtId="37" fontId="61" fillId="0" borderId="37" xfId="18" applyNumberFormat="1" applyFont="1" applyBorder="1" applyAlignment="1" applyProtection="1">
      <alignment horizontal="right"/>
    </xf>
    <xf numFmtId="37" fontId="55" fillId="0" borderId="38" xfId="18" applyNumberFormat="1" applyFont="1" applyBorder="1" applyAlignment="1" applyProtection="1">
      <alignment horizontal="center"/>
    </xf>
    <xf numFmtId="37" fontId="55" fillId="0" borderId="38" xfId="18" applyNumberFormat="1" applyFont="1" applyBorder="1" applyAlignment="1" applyProtection="1"/>
    <xf numFmtId="37" fontId="55" fillId="0" borderId="37" xfId="18" applyNumberFormat="1" applyFont="1" applyBorder="1" applyAlignment="1" applyProtection="1">
      <alignment horizontal="right"/>
    </xf>
    <xf numFmtId="39" fontId="55" fillId="0" borderId="38" xfId="18" applyNumberFormat="1" applyFont="1" applyBorder="1" applyAlignment="1" applyProtection="1">
      <alignment horizontal="right"/>
    </xf>
    <xf numFmtId="0" fontId="52" fillId="0" borderId="0" xfId="18" applyFont="1" applyBorder="1" applyProtection="1"/>
    <xf numFmtId="0" fontId="57" fillId="0" borderId="0" xfId="18" applyFont="1" applyBorder="1" applyProtection="1"/>
    <xf numFmtId="0" fontId="58" fillId="0" borderId="0" xfId="18" applyFont="1" applyBorder="1" applyProtection="1"/>
    <xf numFmtId="0" fontId="57" fillId="0" borderId="0" xfId="18" applyFont="1" applyProtection="1"/>
    <xf numFmtId="0" fontId="61" fillId="0" borderId="0" xfId="18" applyFont="1" applyProtection="1"/>
    <xf numFmtId="170" fontId="61" fillId="0" borderId="0" xfId="18" applyNumberFormat="1" applyFont="1" applyProtection="1"/>
    <xf numFmtId="171" fontId="61" fillId="0" borderId="0" xfId="18" applyNumberFormat="1" applyFont="1" applyProtection="1"/>
    <xf numFmtId="0" fontId="31" fillId="0" borderId="0" xfId="18" applyFont="1"/>
    <xf numFmtId="0" fontId="58" fillId="0" borderId="0" xfId="18" applyFont="1" applyProtection="1"/>
    <xf numFmtId="170" fontId="58" fillId="0" borderId="0" xfId="18" applyNumberFormat="1" applyFont="1" applyProtection="1"/>
    <xf numFmtId="0" fontId="49" fillId="0" borderId="0" xfId="18" applyFont="1"/>
    <xf numFmtId="0" fontId="59" fillId="0" borderId="0" xfId="18" applyFont="1" applyProtection="1"/>
    <xf numFmtId="169" fontId="50" fillId="0" borderId="0" xfId="19" applyFont="1" applyAlignment="1">
      <alignment horizontal="centerContinuous"/>
    </xf>
    <xf numFmtId="169" fontId="18" fillId="0" borderId="0" xfId="19"/>
    <xf numFmtId="169" fontId="18" fillId="0" borderId="0" xfId="19" applyAlignment="1">
      <alignment horizontal="centerContinuous"/>
    </xf>
    <xf numFmtId="169" fontId="18" fillId="0" borderId="9" xfId="19" applyBorder="1"/>
    <xf numFmtId="49" fontId="18" fillId="0" borderId="0" xfId="19" applyNumberFormat="1"/>
    <xf numFmtId="49" fontId="50" fillId="0" borderId="0" xfId="19" applyNumberFormat="1" applyFont="1"/>
    <xf numFmtId="0" fontId="22" fillId="0" borderId="0" xfId="24" applyFont="1" applyAlignment="1">
      <alignment horizontal="centerContinuous"/>
    </xf>
    <xf numFmtId="0" fontId="32" fillId="0" borderId="0" xfId="24" applyFont="1" applyFill="1" applyAlignment="1">
      <alignment horizontal="centerContinuous"/>
    </xf>
    <xf numFmtId="0" fontId="32" fillId="0" borderId="0" xfId="24"/>
    <xf numFmtId="0" fontId="65" fillId="0" borderId="0" xfId="24" applyFont="1"/>
    <xf numFmtId="0" fontId="65" fillId="0" borderId="0" xfId="24" applyFont="1" applyFill="1"/>
    <xf numFmtId="3" fontId="66" fillId="0" borderId="0" xfId="24" applyNumberFormat="1" applyFont="1"/>
    <xf numFmtId="0" fontId="65" fillId="0" borderId="0" xfId="24" applyFont="1" applyAlignment="1">
      <alignment vertical="center"/>
    </xf>
    <xf numFmtId="0" fontId="67" fillId="0" borderId="0" xfId="24" applyFont="1" applyBorder="1" applyAlignment="1">
      <alignment horizontal="centerContinuous" vertical="center"/>
    </xf>
    <xf numFmtId="0" fontId="67" fillId="0" borderId="14" xfId="24" applyFont="1" applyBorder="1" applyAlignment="1">
      <alignment horizontal="centerContinuous" vertical="center"/>
    </xf>
    <xf numFmtId="0" fontId="67" fillId="0" borderId="0" xfId="24" applyFont="1" applyFill="1" applyBorder="1" applyAlignment="1" applyProtection="1">
      <alignment horizontal="centerContinuous" vertical="center"/>
      <protection locked="0"/>
    </xf>
    <xf numFmtId="0" fontId="65" fillId="0" borderId="0" xfId="24" applyFont="1" applyBorder="1" applyAlignment="1">
      <alignment horizontal="centerContinuous"/>
    </xf>
    <xf numFmtId="0" fontId="67" fillId="0" borderId="0" xfId="24" applyFont="1" applyBorder="1"/>
    <xf numFmtId="0" fontId="67" fillId="0" borderId="0" xfId="24" applyFont="1" applyFill="1" applyBorder="1" applyAlignment="1">
      <alignment horizontal="centerContinuous" vertical="center"/>
    </xf>
    <xf numFmtId="0" fontId="18" fillId="0" borderId="0" xfId="24" applyFont="1"/>
    <xf numFmtId="0" fontId="50" fillId="0" borderId="0" xfId="24" quotePrefix="1" applyFont="1" applyAlignment="1">
      <alignment horizontal="left"/>
    </xf>
    <xf numFmtId="0" fontId="50" fillId="0" borderId="0" xfId="24" applyFont="1"/>
    <xf numFmtId="3" fontId="50" fillId="0" borderId="0" xfId="24" applyNumberFormat="1" applyFont="1"/>
    <xf numFmtId="3" fontId="50" fillId="0" borderId="0" xfId="24" applyNumberFormat="1" applyFont="1" applyFill="1"/>
    <xf numFmtId="0" fontId="18" fillId="0" borderId="0" xfId="24" quotePrefix="1" applyFont="1" applyAlignment="1">
      <alignment horizontal="left"/>
    </xf>
    <xf numFmtId="37" fontId="18" fillId="0" borderId="0" xfId="24" applyNumberFormat="1" applyFont="1"/>
    <xf numFmtId="0" fontId="18" fillId="0" borderId="0" xfId="24" applyFont="1" applyAlignment="1">
      <alignment horizontal="left"/>
    </xf>
    <xf numFmtId="0" fontId="67" fillId="0" borderId="9" xfId="24" applyFont="1" applyBorder="1"/>
    <xf numFmtId="0" fontId="65" fillId="0" borderId="9" xfId="24" applyFont="1" applyBorder="1"/>
    <xf numFmtId="3" fontId="67" fillId="0" borderId="9" xfId="24" applyNumberFormat="1" applyFont="1" applyBorder="1"/>
    <xf numFmtId="3" fontId="67" fillId="0" borderId="9" xfId="24" applyNumberFormat="1" applyFont="1" applyFill="1" applyBorder="1"/>
    <xf numFmtId="0" fontId="32" fillId="0" borderId="9" xfId="24" applyBorder="1"/>
    <xf numFmtId="3" fontId="32" fillId="0" borderId="0" xfId="24" applyNumberFormat="1"/>
    <xf numFmtId="0" fontId="70" fillId="0" borderId="0" xfId="24" applyFont="1" applyFill="1"/>
    <xf numFmtId="0" fontId="70" fillId="0" borderId="0" xfId="24" quotePrefix="1" applyFont="1" applyFill="1"/>
    <xf numFmtId="0" fontId="70" fillId="0" borderId="0" xfId="24" applyFont="1" applyFill="1" applyBorder="1"/>
    <xf numFmtId="0" fontId="18" fillId="0" borderId="0" xfId="24" applyFont="1" applyFill="1"/>
    <xf numFmtId="0" fontId="71" fillId="0" borderId="0" xfId="24" applyFont="1"/>
    <xf numFmtId="0" fontId="70" fillId="0" borderId="0" xfId="24" applyFont="1"/>
    <xf numFmtId="0" fontId="28" fillId="0" borderId="0" xfId="0" applyFont="1" applyAlignment="1">
      <alignment horizontal="centerContinuous"/>
    </xf>
    <xf numFmtId="0" fontId="72" fillId="0" borderId="0" xfId="0" applyFont="1" applyAlignment="1">
      <alignment horizontal="centerContinuous"/>
    </xf>
    <xf numFmtId="0" fontId="19" fillId="0" borderId="0" xfId="0" applyFont="1" applyAlignment="1">
      <alignment horizontal="centerContinuous"/>
    </xf>
    <xf numFmtId="169" fontId="50" fillId="0" borderId="0" xfId="19" applyFont="1"/>
    <xf numFmtId="0" fontId="0" fillId="0" borderId="0" xfId="0" applyAlignment="1">
      <alignment horizontal="left"/>
    </xf>
    <xf numFmtId="3" fontId="18" fillId="0" borderId="0" xfId="19" applyNumberFormat="1"/>
    <xf numFmtId="3" fontId="50" fillId="0" borderId="0" xfId="19" applyNumberFormat="1" applyFont="1"/>
    <xf numFmtId="3" fontId="18" fillId="0" borderId="9" xfId="19" applyNumberFormat="1" applyBorder="1"/>
    <xf numFmtId="169" fontId="50" fillId="0" borderId="9" xfId="19" applyFont="1" applyBorder="1" applyAlignment="1">
      <alignment horizontal="right" wrapText="1"/>
    </xf>
    <xf numFmtId="49" fontId="0" fillId="0" borderId="0" xfId="0" applyNumberFormat="1"/>
    <xf numFmtId="169" fontId="95" fillId="0" borderId="0" xfId="10" applyNumberFormat="1"/>
    <xf numFmtId="3" fontId="98" fillId="0" borderId="0" xfId="10" applyNumberFormat="1" applyFont="1"/>
    <xf numFmtId="49" fontId="98" fillId="0" borderId="0" xfId="10" applyNumberFormat="1" applyFont="1"/>
    <xf numFmtId="169" fontId="95" fillId="0" borderId="9" xfId="10" applyNumberFormat="1" applyBorder="1"/>
    <xf numFmtId="3" fontId="95" fillId="0" borderId="9" xfId="10" applyNumberFormat="1" applyBorder="1"/>
    <xf numFmtId="49" fontId="95" fillId="0" borderId="0" xfId="10" applyNumberFormat="1"/>
    <xf numFmtId="3" fontId="95" fillId="0" borderId="0" xfId="10" applyNumberFormat="1"/>
    <xf numFmtId="169" fontId="98" fillId="0" borderId="9" xfId="10" applyNumberFormat="1" applyFont="1" applyBorder="1" applyAlignment="1">
      <alignment horizontal="right" wrapText="1"/>
    </xf>
    <xf numFmtId="169" fontId="98" fillId="0" borderId="0" xfId="10" applyNumberFormat="1" applyFont="1" applyAlignment="1">
      <alignment horizontal="centerContinuous"/>
    </xf>
    <xf numFmtId="169" fontId="95" fillId="0" borderId="0" xfId="10" applyNumberFormat="1" applyAlignment="1">
      <alignment horizontal="centerContinuous"/>
    </xf>
    <xf numFmtId="169" fontId="98" fillId="0" borderId="0" xfId="10" applyNumberFormat="1" applyFont="1"/>
    <xf numFmtId="168" fontId="18" fillId="0" borderId="0" xfId="0" applyNumberFormat="1" applyFont="1" applyProtection="1"/>
    <xf numFmtId="173" fontId="18" fillId="0" borderId="0" xfId="0" applyNumberFormat="1" applyFont="1"/>
    <xf numFmtId="169" fontId="0" fillId="0" borderId="0" xfId="0" applyNumberFormat="1"/>
    <xf numFmtId="169" fontId="0" fillId="0" borderId="0" xfId="0" applyNumberFormat="1" applyAlignment="1">
      <alignment horizontal="left" indent="1"/>
    </xf>
    <xf numFmtId="169" fontId="98" fillId="0" borderId="0" xfId="0" applyNumberFormat="1" applyFont="1"/>
    <xf numFmtId="49" fontId="98" fillId="0" borderId="0" xfId="0" applyNumberFormat="1" applyFont="1" applyAlignment="1">
      <alignment horizontal="left" indent="1"/>
    </xf>
    <xf numFmtId="169" fontId="0" fillId="0" borderId="9" xfId="0" applyNumberFormat="1" applyBorder="1"/>
    <xf numFmtId="49" fontId="0" fillId="0" borderId="0" xfId="0" applyNumberFormat="1" applyAlignment="1">
      <alignment horizontal="left" indent="1"/>
    </xf>
    <xf numFmtId="49" fontId="98" fillId="0" borderId="0" xfId="0" applyNumberFormat="1" applyFont="1" applyAlignment="1">
      <alignment horizontal="left"/>
    </xf>
    <xf numFmtId="49" fontId="98" fillId="0" borderId="0" xfId="0" applyNumberFormat="1" applyFont="1"/>
    <xf numFmtId="169" fontId="0" fillId="0" borderId="39" xfId="0" applyNumberFormat="1" applyBorder="1"/>
    <xf numFmtId="169" fontId="98" fillId="0" borderId="9" xfId="0" applyNumberFormat="1" applyFont="1" applyBorder="1" applyAlignment="1">
      <alignment horizontal="center" wrapText="1"/>
    </xf>
    <xf numFmtId="169" fontId="0" fillId="0" borderId="0" xfId="0" applyNumberFormat="1" applyAlignment="1">
      <alignment horizontal="centerContinuous"/>
    </xf>
    <xf numFmtId="169" fontId="98" fillId="0" borderId="0" xfId="0" applyNumberFormat="1" applyFont="1" applyAlignment="1">
      <alignment horizontal="centerContinuous"/>
    </xf>
    <xf numFmtId="0" fontId="18" fillId="0" borderId="0" xfId="0" applyFont="1" applyAlignment="1">
      <alignment horizontal="center"/>
    </xf>
    <xf numFmtId="0" fontId="18" fillId="9" borderId="0" xfId="0" applyFont="1" applyFill="1"/>
    <xf numFmtId="169" fontId="95" fillId="0" borderId="0" xfId="14"/>
    <xf numFmtId="3" fontId="98" fillId="0" borderId="0" xfId="14" applyNumberFormat="1" applyFont="1"/>
    <xf numFmtId="3" fontId="95" fillId="0" borderId="9" xfId="14" applyNumberFormat="1" applyBorder="1"/>
    <xf numFmtId="3" fontId="95" fillId="0" borderId="0" xfId="14" applyNumberFormat="1"/>
    <xf numFmtId="169" fontId="95" fillId="0" borderId="9" xfId="14" applyBorder="1"/>
    <xf numFmtId="49" fontId="98" fillId="0" borderId="0" xfId="14" applyNumberFormat="1" applyFont="1"/>
    <xf numFmtId="49" fontId="95" fillId="0" borderId="0" xfId="14" applyNumberFormat="1"/>
    <xf numFmtId="169" fontId="98" fillId="0" borderId="0" xfId="14" applyFont="1" applyAlignment="1">
      <alignment horizontal="centerContinuous"/>
    </xf>
    <xf numFmtId="169" fontId="95" fillId="0" borderId="0" xfId="14" applyAlignment="1">
      <alignment horizontal="centerContinuous"/>
    </xf>
    <xf numFmtId="169" fontId="98" fillId="0" borderId="0" xfId="14" applyFont="1"/>
    <xf numFmtId="169" fontId="98" fillId="0" borderId="9" xfId="14" applyFont="1" applyBorder="1" applyAlignment="1">
      <alignment horizontal="right" wrapText="1"/>
    </xf>
    <xf numFmtId="0" fontId="18" fillId="0" borderId="0" xfId="0" applyFont="1" applyBorder="1" applyAlignment="1">
      <alignment horizontal="centerContinuous" wrapText="1"/>
    </xf>
    <xf numFmtId="0" fontId="18" fillId="0" borderId="0" xfId="0" applyFont="1" applyBorder="1" applyAlignment="1">
      <alignment horizontal="center"/>
    </xf>
    <xf numFmtId="0" fontId="18" fillId="4" borderId="0" xfId="15" applyFont="1" applyFill="1"/>
    <xf numFmtId="0" fontId="18" fillId="4" borderId="0" xfId="15" applyFont="1" applyFill="1" applyAlignment="1">
      <alignment horizontal="left" indent="1"/>
    </xf>
    <xf numFmtId="0" fontId="50" fillId="4" borderId="0" xfId="15" applyFont="1" applyFill="1" applyAlignment="1">
      <alignment vertical="center"/>
    </xf>
    <xf numFmtId="10" fontId="77" fillId="4" borderId="0" xfId="28" applyNumberFormat="1" applyFont="1" applyFill="1" applyBorder="1" applyAlignment="1" applyProtection="1">
      <alignment vertical="center"/>
      <protection locked="0"/>
    </xf>
    <xf numFmtId="3" fontId="77" fillId="4" borderId="0" xfId="15" applyNumberFormat="1" applyFont="1" applyFill="1" applyBorder="1" applyAlignment="1" applyProtection="1">
      <alignment vertical="center"/>
      <protection locked="0"/>
    </xf>
    <xf numFmtId="37" fontId="77" fillId="4" borderId="0" xfId="15" applyNumberFormat="1" applyFont="1" applyFill="1" applyBorder="1" applyAlignment="1" applyProtection="1">
      <alignment horizontal="right" vertical="center"/>
    </xf>
    <xf numFmtId="37" fontId="77" fillId="4" borderId="0" xfId="15" applyNumberFormat="1" applyFont="1" applyFill="1" applyBorder="1" applyAlignment="1" applyProtection="1">
      <alignment vertical="center"/>
    </xf>
    <xf numFmtId="49" fontId="75" fillId="4" borderId="0" xfId="15" applyNumberFormat="1" applyFont="1" applyFill="1" applyBorder="1" applyAlignment="1" applyProtection="1">
      <alignment horizontal="left" vertical="center"/>
    </xf>
    <xf numFmtId="10" fontId="77" fillId="4" borderId="40" xfId="28" applyNumberFormat="1" applyFont="1" applyFill="1" applyBorder="1" applyAlignment="1" applyProtection="1">
      <alignment vertical="center"/>
      <protection locked="0"/>
    </xf>
    <xf numFmtId="3" fontId="77" fillId="4" borderId="41" xfId="15" applyNumberFormat="1" applyFont="1" applyFill="1" applyBorder="1" applyAlignment="1" applyProtection="1">
      <alignment vertical="center"/>
      <protection locked="0"/>
    </xf>
    <xf numFmtId="37" fontId="77" fillId="4" borderId="38" xfId="15" applyNumberFormat="1" applyFont="1" applyFill="1" applyBorder="1" applyAlignment="1" applyProtection="1">
      <alignment horizontal="right" vertical="center"/>
    </xf>
    <xf numFmtId="37" fontId="77" fillId="4" borderId="37" xfId="15" applyNumberFormat="1" applyFont="1" applyFill="1" applyBorder="1" applyAlignment="1" applyProtection="1">
      <alignment horizontal="right" vertical="center"/>
    </xf>
    <xf numFmtId="37" fontId="77" fillId="4" borderId="37" xfId="15" applyNumberFormat="1" applyFont="1" applyFill="1" applyBorder="1" applyAlignment="1" applyProtection="1">
      <alignment vertical="center"/>
    </xf>
    <xf numFmtId="0" fontId="78" fillId="4" borderId="36" xfId="15" applyFont="1" applyFill="1" applyBorder="1" applyAlignment="1" applyProtection="1">
      <alignment vertical="center"/>
    </xf>
    <xf numFmtId="0" fontId="18" fillId="4" borderId="0" xfId="15" applyFont="1" applyFill="1" applyAlignment="1">
      <alignment vertical="center"/>
    </xf>
    <xf numFmtId="39" fontId="75" fillId="4" borderId="3" xfId="15" applyNumberFormat="1" applyFont="1" applyFill="1" applyBorder="1" applyAlignment="1" applyProtection="1">
      <alignment horizontal="right" vertical="center"/>
    </xf>
    <xf numFmtId="37" fontId="75" fillId="4" borderId="3" xfId="15" applyNumberFormat="1" applyFont="1" applyFill="1" applyBorder="1" applyAlignment="1" applyProtection="1">
      <alignment horizontal="right" vertical="center"/>
    </xf>
    <xf numFmtId="37" fontId="75" fillId="4" borderId="0" xfId="15" applyNumberFormat="1" applyFont="1" applyFill="1" applyBorder="1" applyAlignment="1" applyProtection="1">
      <alignment vertical="center"/>
    </xf>
    <xf numFmtId="37" fontId="75" fillId="4" borderId="0" xfId="15" applyNumberFormat="1" applyFont="1" applyFill="1" applyBorder="1" applyAlignment="1" applyProtection="1">
      <alignment horizontal="center" vertical="center"/>
    </xf>
    <xf numFmtId="172" fontId="75" fillId="4" borderId="42" xfId="15" applyNumberFormat="1" applyFont="1" applyFill="1" applyBorder="1" applyAlignment="1" applyProtection="1">
      <alignment horizontal="center" vertical="center"/>
    </xf>
    <xf numFmtId="3" fontId="75" fillId="4" borderId="43" xfId="15" applyNumberFormat="1" applyFont="1" applyFill="1" applyBorder="1" applyAlignment="1" applyProtection="1">
      <alignment vertical="center"/>
      <protection locked="0"/>
    </xf>
    <xf numFmtId="37" fontId="75" fillId="4" borderId="34" xfId="15" applyNumberFormat="1" applyFont="1" applyFill="1" applyBorder="1" applyAlignment="1" applyProtection="1">
      <alignment horizontal="right" vertical="center"/>
    </xf>
    <xf numFmtId="37" fontId="75" fillId="4" borderId="44" xfId="15" applyNumberFormat="1" applyFont="1" applyFill="1" applyBorder="1" applyAlignment="1" applyProtection="1">
      <alignment horizontal="right" vertical="center"/>
      <protection locked="0"/>
    </xf>
    <xf numFmtId="37" fontId="75" fillId="4" borderId="34" xfId="15" applyNumberFormat="1" applyFont="1" applyFill="1" applyBorder="1" applyAlignment="1" applyProtection="1">
      <alignment vertical="center"/>
    </xf>
    <xf numFmtId="172" fontId="75" fillId="4" borderId="32" xfId="15" applyNumberFormat="1" applyFont="1" applyFill="1" applyBorder="1" applyAlignment="1" applyProtection="1">
      <alignment horizontal="left" vertical="center"/>
    </xf>
    <xf numFmtId="37" fontId="19" fillId="4" borderId="45" xfId="15" applyNumberFormat="1" applyFont="1" applyFill="1" applyBorder="1"/>
    <xf numFmtId="37" fontId="79" fillId="4" borderId="30" xfId="15" applyNumberFormat="1" applyFont="1" applyFill="1" applyBorder="1" applyAlignment="1" applyProtection="1">
      <alignment horizontal="right" vertical="center"/>
      <protection locked="0"/>
    </xf>
    <xf numFmtId="37" fontId="19" fillId="4" borderId="46" xfId="15" applyNumberFormat="1" applyFont="1" applyFill="1" applyBorder="1"/>
    <xf numFmtId="37" fontId="79" fillId="4" borderId="20" xfId="15" quotePrefix="1" applyNumberFormat="1" applyFont="1" applyFill="1" applyBorder="1" applyAlignment="1" applyProtection="1">
      <alignment horizontal="right" vertical="center"/>
      <protection locked="0"/>
    </xf>
    <xf numFmtId="0" fontId="19" fillId="4" borderId="6" xfId="15" applyFont="1" applyFill="1" applyBorder="1" applyAlignment="1">
      <alignment horizontal="center" vertical="center"/>
    </xf>
    <xf numFmtId="37" fontId="75" fillId="4" borderId="19" xfId="15" quotePrefix="1" applyNumberFormat="1" applyFont="1" applyFill="1" applyBorder="1" applyAlignment="1" applyProtection="1">
      <alignment horizontal="center" vertical="center"/>
      <protection locked="0"/>
    </xf>
    <xf numFmtId="37" fontId="75" fillId="4" borderId="20" xfId="15" quotePrefix="1" applyNumberFormat="1" applyFont="1" applyFill="1" applyBorder="1" applyAlignment="1" applyProtection="1">
      <alignment horizontal="center" vertical="center"/>
      <protection locked="0"/>
    </xf>
    <xf numFmtId="37" fontId="75" fillId="4" borderId="20" xfId="15" applyNumberFormat="1" applyFont="1" applyFill="1" applyBorder="1" applyAlignment="1" applyProtection="1">
      <alignment horizontal="right" vertical="center"/>
    </xf>
    <xf numFmtId="37" fontId="75" fillId="4" borderId="20" xfId="15" quotePrefix="1" applyNumberFormat="1" applyFont="1" applyFill="1" applyBorder="1" applyAlignment="1" applyProtection="1">
      <alignment horizontal="right" vertical="center"/>
      <protection locked="0"/>
    </xf>
    <xf numFmtId="0" fontId="18" fillId="4" borderId="31" xfId="15" applyFont="1" applyFill="1" applyBorder="1" applyAlignment="1">
      <alignment horizontal="left" vertical="center" indent="2"/>
    </xf>
    <xf numFmtId="37" fontId="75" fillId="4" borderId="0" xfId="15" applyNumberFormat="1" applyFont="1" applyFill="1" applyBorder="1" applyAlignment="1" applyProtection="1">
      <alignment vertical="center"/>
      <protection locked="0"/>
    </xf>
    <xf numFmtId="37" fontId="75" fillId="0" borderId="30" xfId="15" applyNumberFormat="1" applyFont="1" applyFill="1" applyBorder="1" applyAlignment="1" applyProtection="1">
      <alignment vertical="center"/>
    </xf>
    <xf numFmtId="37" fontId="75" fillId="4" borderId="6" xfId="15" applyNumberFormat="1" applyFont="1" applyFill="1" applyBorder="1" applyAlignment="1" applyProtection="1">
      <alignment horizontal="right" vertical="center"/>
      <protection locked="0"/>
    </xf>
    <xf numFmtId="0" fontId="75" fillId="4" borderId="30" xfId="15" applyFont="1" applyFill="1" applyBorder="1" applyAlignment="1" applyProtection="1">
      <alignment horizontal="left" vertical="center"/>
    </xf>
    <xf numFmtId="37" fontId="75" fillId="4" borderId="0" xfId="15" applyNumberFormat="1" applyFont="1" applyFill="1" applyBorder="1" applyAlignment="1" applyProtection="1">
      <alignment horizontal="center" vertical="center"/>
      <protection locked="0"/>
    </xf>
    <xf numFmtId="0" fontId="75" fillId="4" borderId="30" xfId="15" applyFont="1" applyFill="1" applyBorder="1" applyAlignment="1" applyProtection="1">
      <alignment vertical="center"/>
    </xf>
    <xf numFmtId="0" fontId="75" fillId="4" borderId="0" xfId="15" applyFont="1" applyFill="1" applyBorder="1" applyAlignment="1">
      <alignment vertical="center"/>
    </xf>
    <xf numFmtId="37" fontId="75" fillId="4" borderId="0" xfId="15" applyNumberFormat="1" applyFont="1" applyFill="1" applyBorder="1" applyAlignment="1" applyProtection="1">
      <alignment horizontal="right" vertical="center"/>
      <protection locked="0"/>
    </xf>
    <xf numFmtId="37" fontId="75" fillId="4" borderId="6" xfId="15" applyNumberFormat="1" applyFont="1" applyFill="1" applyBorder="1" applyAlignment="1" applyProtection="1">
      <alignment horizontal="center" vertical="center"/>
      <protection locked="0"/>
    </xf>
    <xf numFmtId="37" fontId="75" fillId="4" borderId="20" xfId="15" applyNumberFormat="1" applyFont="1" applyFill="1" applyBorder="1" applyAlignment="1" applyProtection="1">
      <alignment horizontal="right" vertical="center"/>
      <protection locked="0"/>
    </xf>
    <xf numFmtId="0" fontId="69" fillId="4" borderId="6" xfId="15" applyFont="1" applyFill="1" applyBorder="1" applyAlignment="1">
      <alignment horizontal="left" vertical="center"/>
    </xf>
    <xf numFmtId="10" fontId="79" fillId="4" borderId="0" xfId="15" applyNumberFormat="1" applyFont="1" applyFill="1" applyBorder="1" applyAlignment="1" applyProtection="1">
      <alignment horizontal="center" vertical="center"/>
      <protection locked="0"/>
    </xf>
    <xf numFmtId="37" fontId="79" fillId="4" borderId="0" xfId="15" applyNumberFormat="1" applyFont="1" applyFill="1" applyBorder="1" applyAlignment="1" applyProtection="1">
      <alignment horizontal="center" vertical="center"/>
    </xf>
    <xf numFmtId="37" fontId="79" fillId="4" borderId="0" xfId="15" applyNumberFormat="1" applyFont="1" applyFill="1" applyBorder="1" applyAlignment="1" applyProtection="1">
      <alignment horizontal="right" vertical="center"/>
      <protection locked="0"/>
    </xf>
    <xf numFmtId="37" fontId="79" fillId="4" borderId="0" xfId="15" applyNumberFormat="1" applyFont="1" applyFill="1" applyBorder="1" applyAlignment="1" applyProtection="1">
      <alignment horizontal="right" vertical="center"/>
    </xf>
    <xf numFmtId="37" fontId="79" fillId="4" borderId="20" xfId="15" applyNumberFormat="1" applyFont="1" applyFill="1" applyBorder="1" applyAlignment="1" applyProtection="1">
      <alignment horizontal="right" vertical="center"/>
      <protection locked="0"/>
    </xf>
    <xf numFmtId="10" fontId="79" fillId="4" borderId="47" xfId="28" applyNumberFormat="1" applyFont="1" applyFill="1" applyBorder="1" applyAlignment="1" applyProtection="1">
      <alignment horizontal="center" vertical="center"/>
      <protection locked="0"/>
    </xf>
    <xf numFmtId="3" fontId="79" fillId="4" borderId="43" xfId="15" applyNumberFormat="1" applyFont="1" applyFill="1" applyBorder="1" applyAlignment="1" applyProtection="1">
      <alignment horizontal="center" vertical="center"/>
      <protection locked="0"/>
    </xf>
    <xf numFmtId="37" fontId="79" fillId="4" borderId="34" xfId="15" applyNumberFormat="1" applyFont="1" applyFill="1" applyBorder="1" applyAlignment="1" applyProtection="1">
      <alignment horizontal="right" vertical="center"/>
    </xf>
    <xf numFmtId="37" fontId="79" fillId="4" borderId="44" xfId="15" applyNumberFormat="1" applyFont="1" applyFill="1" applyBorder="1" applyAlignment="1" applyProtection="1">
      <alignment horizontal="right" vertical="center"/>
      <protection locked="0"/>
    </xf>
    <xf numFmtId="37" fontId="79" fillId="0" borderId="34" xfId="15" applyNumberFormat="1" applyFont="1" applyFill="1" applyBorder="1" applyAlignment="1" applyProtection="1">
      <alignment vertical="center"/>
    </xf>
    <xf numFmtId="37" fontId="79" fillId="4" borderId="34" xfId="15" applyNumberFormat="1" applyFont="1" applyFill="1" applyBorder="1" applyAlignment="1" applyProtection="1">
      <alignment vertical="center"/>
    </xf>
    <xf numFmtId="172" fontId="79" fillId="4" borderId="32" xfId="15" applyNumberFormat="1" applyFont="1" applyFill="1" applyBorder="1" applyAlignment="1" applyProtection="1">
      <alignment horizontal="center" vertical="center"/>
    </xf>
    <xf numFmtId="37" fontId="75" fillId="4" borderId="20" xfId="15" applyNumberFormat="1" applyFont="1" applyFill="1" applyBorder="1" applyAlignment="1" applyProtection="1">
      <alignment horizontal="center" vertical="center"/>
    </xf>
    <xf numFmtId="37" fontId="75" fillId="4" borderId="21" xfId="15" applyNumberFormat="1" applyFont="1" applyFill="1" applyBorder="1" applyAlignment="1" applyProtection="1">
      <alignment horizontal="right" vertical="center"/>
      <protection locked="0"/>
    </xf>
    <xf numFmtId="37" fontId="75" fillId="4" borderId="46" xfId="15" applyNumberFormat="1" applyFont="1" applyFill="1" applyBorder="1" applyAlignment="1" applyProtection="1">
      <alignment horizontal="right" vertical="center"/>
      <protection locked="0"/>
    </xf>
    <xf numFmtId="37" fontId="75" fillId="4" borderId="30" xfId="15" applyNumberFormat="1" applyFont="1" applyFill="1" applyBorder="1" applyAlignment="1" applyProtection="1">
      <alignment horizontal="center" vertical="center"/>
      <protection locked="0"/>
    </xf>
    <xf numFmtId="37" fontId="75" fillId="4" borderId="21" xfId="15" applyNumberFormat="1" applyFont="1" applyFill="1" applyBorder="1" applyAlignment="1" applyProtection="1">
      <alignment horizontal="center" vertical="center"/>
      <protection locked="0"/>
    </xf>
    <xf numFmtId="37" fontId="75" fillId="0" borderId="21" xfId="15" applyNumberFormat="1" applyFont="1" applyFill="1" applyBorder="1" applyAlignment="1" applyProtection="1">
      <alignment horizontal="right" vertical="center"/>
      <protection locked="0"/>
    </xf>
    <xf numFmtId="0" fontId="18" fillId="4" borderId="31" xfId="15" applyFont="1" applyFill="1" applyBorder="1" applyAlignment="1">
      <alignment horizontal="left" vertical="center"/>
    </xf>
    <xf numFmtId="37" fontId="75" fillId="4" borderId="48" xfId="15" applyNumberFormat="1" applyFont="1" applyFill="1" applyBorder="1" applyAlignment="1" applyProtection="1">
      <alignment horizontal="right" vertical="center"/>
      <protection locked="0"/>
    </xf>
    <xf numFmtId="37" fontId="75" fillId="4" borderId="28" xfId="15" applyNumberFormat="1" applyFont="1" applyFill="1" applyBorder="1" applyAlignment="1" applyProtection="1">
      <alignment horizontal="center" vertical="center"/>
      <protection locked="0"/>
    </xf>
    <xf numFmtId="37" fontId="75" fillId="4" borderId="48" xfId="15" applyNumberFormat="1" applyFont="1" applyFill="1" applyBorder="1" applyAlignment="1" applyProtection="1">
      <alignment horizontal="center" vertical="center"/>
      <protection locked="0"/>
    </xf>
    <xf numFmtId="37" fontId="75" fillId="4" borderId="29" xfId="15" applyNumberFormat="1" applyFont="1" applyFill="1" applyBorder="1" applyAlignment="1" applyProtection="1">
      <alignment horizontal="right" vertical="center"/>
      <protection locked="0"/>
    </xf>
    <xf numFmtId="0" fontId="75" fillId="4" borderId="49" xfId="15" applyFont="1" applyFill="1" applyBorder="1" applyAlignment="1" applyProtection="1">
      <alignment vertical="center"/>
    </xf>
    <xf numFmtId="0" fontId="75" fillId="4" borderId="20" xfId="15" applyFont="1" applyFill="1" applyBorder="1" applyAlignment="1" applyProtection="1">
      <alignment horizontal="center" vertical="center"/>
    </xf>
    <xf numFmtId="0" fontId="75" fillId="4" borderId="18" xfId="15" applyFont="1" applyFill="1" applyBorder="1" applyAlignment="1" applyProtection="1">
      <alignment horizontal="centerContinuous" vertical="center"/>
    </xf>
    <xf numFmtId="37" fontId="75" fillId="4" borderId="0" xfId="15" applyNumberFormat="1" applyFont="1" applyFill="1" applyAlignment="1" applyProtection="1">
      <alignment horizontal="center" vertical="center"/>
    </xf>
    <xf numFmtId="0" fontId="75" fillId="4" borderId="19" xfId="15" applyFont="1" applyFill="1" applyBorder="1" applyAlignment="1" applyProtection="1">
      <alignment horizontal="center" vertical="center"/>
    </xf>
    <xf numFmtId="0" fontId="75" fillId="4" borderId="21" xfId="15" applyFont="1" applyFill="1" applyBorder="1" applyAlignment="1" applyProtection="1">
      <alignment horizontal="center" vertical="center"/>
    </xf>
    <xf numFmtId="0" fontId="75" fillId="4" borderId="50" xfId="15" applyFont="1" applyFill="1" applyBorder="1" applyAlignment="1" applyProtection="1">
      <alignment horizontal="centerContinuous" vertical="center"/>
    </xf>
    <xf numFmtId="170" fontId="75" fillId="4" borderId="22" xfId="15" applyNumberFormat="1" applyFont="1" applyFill="1" applyBorder="1" applyAlignment="1" applyProtection="1">
      <alignment horizontal="centerContinuous" vertical="center"/>
    </xf>
    <xf numFmtId="0" fontId="75" fillId="4" borderId="21" xfId="15" applyFont="1" applyFill="1" applyBorder="1" applyAlignment="1" applyProtection="1">
      <alignment vertical="center"/>
    </xf>
    <xf numFmtId="0" fontId="75" fillId="4" borderId="19" xfId="15" applyFont="1" applyFill="1" applyBorder="1" applyAlignment="1" applyProtection="1">
      <alignment vertical="center"/>
    </xf>
    <xf numFmtId="0" fontId="78" fillId="4" borderId="9" xfId="15" applyFont="1" applyFill="1" applyBorder="1" applyAlignment="1" applyProtection="1">
      <alignment vertical="center"/>
    </xf>
    <xf numFmtId="171" fontId="77" fillId="4" borderId="9" xfId="15" applyNumberFormat="1" applyFont="1" applyFill="1" applyBorder="1" applyAlignment="1" applyProtection="1">
      <alignment vertical="center"/>
    </xf>
    <xf numFmtId="37" fontId="77" fillId="4" borderId="9" xfId="15" applyNumberFormat="1" applyFont="1" applyFill="1" applyBorder="1" applyAlignment="1" applyProtection="1">
      <alignment vertical="center"/>
    </xf>
    <xf numFmtId="0" fontId="77" fillId="4" borderId="9" xfId="15" applyFont="1" applyFill="1" applyBorder="1" applyAlignment="1" applyProtection="1">
      <alignment vertical="center"/>
    </xf>
    <xf numFmtId="37" fontId="75" fillId="4" borderId="1" xfId="15" applyNumberFormat="1" applyFont="1" applyFill="1" applyBorder="1" applyAlignment="1" applyProtection="1">
      <alignment vertical="center"/>
    </xf>
    <xf numFmtId="171" fontId="75" fillId="4" borderId="1" xfId="15" applyNumberFormat="1" applyFont="1" applyFill="1" applyBorder="1" applyAlignment="1" applyProtection="1">
      <alignment vertical="center"/>
      <protection locked="0"/>
    </xf>
    <xf numFmtId="0" fontId="75" fillId="4" borderId="1" xfId="15" applyFont="1" applyFill="1" applyBorder="1" applyAlignment="1" applyProtection="1">
      <alignment horizontal="center" vertical="center"/>
    </xf>
    <xf numFmtId="10" fontId="75" fillId="4" borderId="51" xfId="15" applyNumberFormat="1" applyFont="1" applyFill="1" applyBorder="1" applyAlignment="1" applyProtection="1">
      <alignment vertical="center"/>
    </xf>
    <xf numFmtId="37" fontId="75" fillId="4" borderId="28" xfId="15" applyNumberFormat="1" applyFont="1" applyFill="1" applyBorder="1" applyAlignment="1" applyProtection="1">
      <alignment vertical="center"/>
    </xf>
    <xf numFmtId="0" fontId="75" fillId="4" borderId="27" xfId="15" applyFont="1" applyFill="1" applyBorder="1" applyAlignment="1" applyProtection="1">
      <alignment horizontal="left" vertical="center"/>
    </xf>
    <xf numFmtId="37" fontId="75" fillId="4" borderId="21" xfId="15" applyNumberFormat="1" applyFont="1" applyFill="1" applyBorder="1" applyAlignment="1" applyProtection="1">
      <alignment vertical="center"/>
    </xf>
    <xf numFmtId="37" fontId="75" fillId="4" borderId="20" xfId="15" applyNumberFormat="1" applyFont="1" applyFill="1" applyBorder="1" applyAlignment="1" applyProtection="1">
      <alignment vertical="center"/>
    </xf>
    <xf numFmtId="37" fontId="75" fillId="0" borderId="0" xfId="15" applyNumberFormat="1" applyFont="1" applyFill="1" applyAlignment="1" applyProtection="1">
      <alignment vertical="center"/>
    </xf>
    <xf numFmtId="37" fontId="75" fillId="4" borderId="0" xfId="15" applyNumberFormat="1" applyFont="1" applyFill="1" applyAlignment="1" applyProtection="1">
      <alignment vertical="center"/>
    </xf>
    <xf numFmtId="172" fontId="75" fillId="4" borderId="19" xfId="15" applyNumberFormat="1" applyFont="1" applyFill="1" applyBorder="1" applyAlignment="1" applyProtection="1">
      <alignment vertical="center"/>
    </xf>
    <xf numFmtId="37" fontId="75" fillId="0" borderId="20" xfId="15" applyNumberFormat="1" applyFont="1" applyFill="1" applyBorder="1" applyAlignment="1" applyProtection="1">
      <alignment vertical="center"/>
    </xf>
    <xf numFmtId="172" fontId="75" fillId="4" borderId="19" xfId="15" quotePrefix="1" applyNumberFormat="1" applyFont="1" applyFill="1" applyBorder="1" applyAlignment="1" applyProtection="1">
      <alignment horizontal="left" vertical="center" indent="1"/>
    </xf>
    <xf numFmtId="0" fontId="75" fillId="4" borderId="19" xfId="15" quotePrefix="1" applyFont="1" applyFill="1" applyBorder="1" applyAlignment="1" applyProtection="1">
      <alignment horizontal="left" vertical="center" indent="1"/>
    </xf>
    <xf numFmtId="172" fontId="75" fillId="4" borderId="19" xfId="15" quotePrefix="1" applyNumberFormat="1" applyFont="1" applyFill="1" applyBorder="1" applyAlignment="1" applyProtection="1">
      <alignment horizontal="left" vertical="center" indent="2"/>
    </xf>
    <xf numFmtId="0" fontId="75" fillId="4" borderId="19" xfId="15" quotePrefix="1" applyFont="1" applyFill="1" applyBorder="1" applyAlignment="1" applyProtection="1">
      <alignment horizontal="left" vertical="center" indent="2"/>
    </xf>
    <xf numFmtId="37" fontId="75" fillId="4" borderId="52" xfId="15" applyNumberFormat="1" applyFont="1" applyFill="1" applyBorder="1" applyAlignment="1" applyProtection="1">
      <alignment vertical="center"/>
      <protection locked="0"/>
    </xf>
    <xf numFmtId="37" fontId="75" fillId="4" borderId="29" xfId="15" applyNumberFormat="1" applyFont="1" applyFill="1" applyBorder="1" applyAlignment="1" applyProtection="1">
      <alignment vertical="center"/>
    </xf>
    <xf numFmtId="37" fontId="75" fillId="0" borderId="28" xfId="15" applyNumberFormat="1" applyFont="1" applyFill="1" applyBorder="1" applyAlignment="1" applyProtection="1">
      <alignment vertical="center"/>
      <protection locked="0"/>
    </xf>
    <xf numFmtId="37" fontId="75" fillId="4" borderId="28" xfId="15" applyNumberFormat="1" applyFont="1" applyFill="1" applyBorder="1" applyAlignment="1" applyProtection="1">
      <alignment vertical="center"/>
      <protection locked="0"/>
    </xf>
    <xf numFmtId="37" fontId="75" fillId="4" borderId="28" xfId="15" quotePrefix="1" applyNumberFormat="1" applyFont="1" applyFill="1" applyBorder="1" applyAlignment="1" applyProtection="1">
      <alignment horizontal="center" vertical="center"/>
      <protection locked="0"/>
    </xf>
    <xf numFmtId="0" fontId="75" fillId="4" borderId="27" xfId="15" applyFont="1" applyFill="1" applyBorder="1" applyAlignment="1" applyProtection="1">
      <alignment vertical="center"/>
    </xf>
    <xf numFmtId="0" fontId="75" fillId="4" borderId="25" xfId="15" applyFont="1" applyFill="1" applyBorder="1" applyAlignment="1" applyProtection="1">
      <alignment horizontal="center" vertical="center"/>
    </xf>
    <xf numFmtId="0" fontId="75" fillId="4" borderId="53" xfId="15" applyFont="1" applyFill="1" applyBorder="1" applyAlignment="1" applyProtection="1">
      <alignment horizontal="center" vertical="center"/>
    </xf>
    <xf numFmtId="0" fontId="75" fillId="4" borderId="54" xfId="15" applyFont="1" applyFill="1" applyBorder="1" applyAlignment="1" applyProtection="1">
      <alignment horizontal="centerContinuous" vertical="center"/>
    </xf>
    <xf numFmtId="0" fontId="75" fillId="4" borderId="24" xfId="15" applyFont="1" applyFill="1" applyBorder="1" applyAlignment="1" applyProtection="1">
      <alignment horizontal="center" vertical="center"/>
    </xf>
    <xf numFmtId="0" fontId="75" fillId="4" borderId="23" xfId="15" applyFont="1" applyFill="1" applyBorder="1" applyAlignment="1" applyProtection="1">
      <alignment horizontal="center" vertical="center"/>
    </xf>
    <xf numFmtId="0" fontId="75" fillId="4" borderId="22" xfId="15" applyFont="1" applyFill="1" applyBorder="1" applyAlignment="1" applyProtection="1">
      <alignment horizontal="centerContinuous" vertical="center"/>
    </xf>
    <xf numFmtId="0" fontId="75" fillId="4" borderId="7" xfId="15" applyFont="1" applyFill="1" applyBorder="1" applyAlignment="1" applyProtection="1">
      <alignment horizontal="centerContinuous" vertical="center"/>
    </xf>
    <xf numFmtId="170" fontId="75" fillId="4" borderId="19" xfId="15" applyNumberFormat="1" applyFont="1" applyFill="1" applyBorder="1" applyAlignment="1" applyProtection="1">
      <alignment horizontal="centerContinuous" vertical="center"/>
    </xf>
    <xf numFmtId="0" fontId="75" fillId="4" borderId="19" xfId="15" applyFont="1" applyFill="1" applyBorder="1" applyAlignment="1" applyProtection="1">
      <alignment horizontal="centerContinuous" vertical="center"/>
    </xf>
    <xf numFmtId="0" fontId="75" fillId="4" borderId="18" xfId="15" applyFont="1" applyFill="1" applyBorder="1" applyAlignment="1" applyProtection="1">
      <alignment vertical="center"/>
    </xf>
    <xf numFmtId="0" fontId="75" fillId="4" borderId="15" xfId="15" applyFont="1" applyFill="1" applyBorder="1" applyAlignment="1" applyProtection="1">
      <alignment vertical="center"/>
    </xf>
    <xf numFmtId="0" fontId="77" fillId="4" borderId="0" xfId="15" applyFont="1" applyFill="1" applyAlignment="1" applyProtection="1">
      <alignment vertical="center"/>
    </xf>
    <xf numFmtId="10" fontId="75" fillId="4" borderId="47" xfId="28" applyNumberFormat="1" applyFont="1" applyFill="1" applyBorder="1" applyAlignment="1" applyProtection="1">
      <alignment vertical="center"/>
      <protection locked="0"/>
    </xf>
    <xf numFmtId="10" fontId="19" fillId="4" borderId="55" xfId="15" applyNumberFormat="1" applyFont="1" applyFill="1" applyBorder="1"/>
    <xf numFmtId="39" fontId="75" fillId="4" borderId="56" xfId="15" quotePrefix="1" applyNumberFormat="1" applyFont="1" applyFill="1" applyBorder="1" applyAlignment="1" applyProtection="1">
      <alignment horizontal="center" vertical="center"/>
      <protection locked="0"/>
    </xf>
    <xf numFmtId="37" fontId="75" fillId="4" borderId="57" xfId="15" quotePrefix="1" applyNumberFormat="1" applyFont="1" applyFill="1" applyBorder="1" applyAlignment="1" applyProtection="1">
      <alignment horizontal="center" vertical="center"/>
      <protection locked="0"/>
    </xf>
    <xf numFmtId="37" fontId="75" fillId="4" borderId="41" xfId="15" quotePrefix="1" applyNumberFormat="1" applyFont="1" applyFill="1" applyBorder="1" applyAlignment="1" applyProtection="1">
      <alignment horizontal="center" vertical="center"/>
      <protection locked="0"/>
    </xf>
    <xf numFmtId="37" fontId="75" fillId="4" borderId="41" xfId="15" applyNumberFormat="1" applyFont="1" applyFill="1" applyBorder="1" applyAlignment="1" applyProtection="1">
      <alignment horizontal="right" vertical="center"/>
    </xf>
    <xf numFmtId="37" fontId="75" fillId="4" borderId="41" xfId="15" quotePrefix="1" applyNumberFormat="1" applyFont="1" applyFill="1" applyBorder="1" applyAlignment="1" applyProtection="1">
      <alignment horizontal="right" vertical="center"/>
      <protection locked="0"/>
    </xf>
    <xf numFmtId="0" fontId="18" fillId="4" borderId="58" xfId="15" applyFont="1" applyFill="1" applyBorder="1" applyAlignment="1">
      <alignment horizontal="left" vertical="center" indent="2"/>
    </xf>
    <xf numFmtId="39" fontId="75" fillId="4" borderId="30" xfId="15" quotePrefix="1" applyNumberFormat="1" applyFont="1" applyFill="1" applyBorder="1" applyAlignment="1" applyProtection="1">
      <alignment horizontal="center" vertical="center"/>
      <protection locked="0"/>
    </xf>
    <xf numFmtId="10" fontId="75" fillId="4" borderId="30" xfId="15" applyNumberFormat="1" applyFont="1" applyFill="1" applyBorder="1" applyAlignment="1" applyProtection="1">
      <alignment vertical="center"/>
      <protection locked="0"/>
    </xf>
    <xf numFmtId="10" fontId="75" fillId="4" borderId="30" xfId="15" quotePrefix="1" applyNumberFormat="1" applyFont="1" applyFill="1" applyBorder="1" applyAlignment="1" applyProtection="1">
      <alignment horizontal="center" vertical="center"/>
      <protection locked="0"/>
    </xf>
    <xf numFmtId="10" fontId="75" fillId="4" borderId="46" xfId="15" applyNumberFormat="1" applyFont="1" applyFill="1" applyBorder="1" applyAlignment="1" applyProtection="1">
      <alignment horizontal="center" vertical="center"/>
      <protection locked="0"/>
    </xf>
    <xf numFmtId="37" fontId="75" fillId="4" borderId="59" xfId="15" quotePrefix="1" applyNumberFormat="1" applyFont="1" applyFill="1" applyBorder="1" applyAlignment="1" applyProtection="1">
      <alignment horizontal="center" vertical="center"/>
      <protection locked="0"/>
    </xf>
    <xf numFmtId="10" fontId="75" fillId="4" borderId="59" xfId="15" applyNumberFormat="1" applyFont="1" applyFill="1" applyBorder="1" applyAlignment="1" applyProtection="1">
      <alignment horizontal="center" vertical="center"/>
      <protection locked="0"/>
    </xf>
    <xf numFmtId="10" fontId="75" fillId="4" borderId="60" xfId="15" applyNumberFormat="1" applyFont="1" applyFill="1" applyBorder="1" applyAlignment="1" applyProtection="1">
      <alignment horizontal="center" vertical="center"/>
      <protection locked="0"/>
    </xf>
    <xf numFmtId="0" fontId="75" fillId="4" borderId="61" xfId="15" applyFont="1" applyFill="1" applyBorder="1" applyAlignment="1" applyProtection="1">
      <alignment horizontal="center" vertical="center"/>
    </xf>
    <xf numFmtId="10" fontId="75" fillId="4" borderId="48" xfId="15" applyNumberFormat="1" applyFont="1" applyFill="1" applyBorder="1" applyAlignment="1" applyProtection="1">
      <alignment vertical="center"/>
      <protection locked="0"/>
    </xf>
    <xf numFmtId="174" fontId="75" fillId="4" borderId="6" xfId="15" applyNumberFormat="1" applyFont="1" applyFill="1" applyBorder="1" applyAlignment="1" applyProtection="1">
      <alignment horizontal="right" vertical="center"/>
      <protection locked="0"/>
    </xf>
    <xf numFmtId="174" fontId="75" fillId="4" borderId="30" xfId="15" applyNumberFormat="1" applyFont="1" applyFill="1" applyBorder="1" applyAlignment="1" applyProtection="1">
      <alignment horizontal="right" vertical="center"/>
      <protection locked="0"/>
    </xf>
    <xf numFmtId="174" fontId="75" fillId="4" borderId="56" xfId="15" applyNumberFormat="1" applyFont="1" applyFill="1" applyBorder="1" applyAlignment="1" applyProtection="1">
      <alignment horizontal="right" vertical="center"/>
      <protection locked="0"/>
    </xf>
    <xf numFmtId="0" fontId="32" fillId="0" borderId="0" xfId="24" applyFont="1"/>
    <xf numFmtId="0" fontId="32" fillId="0" borderId="0" xfId="24" applyFont="1" applyFill="1"/>
    <xf numFmtId="38" fontId="70" fillId="0" borderId="0" xfId="23" applyNumberFormat="1" applyFont="1" applyFill="1" applyBorder="1" applyAlignment="1">
      <alignment horizontal="left"/>
    </xf>
    <xf numFmtId="38" fontId="70" fillId="0" borderId="0" xfId="23" quotePrefix="1" applyNumberFormat="1" applyFont="1" applyFill="1" applyBorder="1" applyAlignment="1">
      <alignment horizontal="left"/>
    </xf>
    <xf numFmtId="0" fontId="32" fillId="0" borderId="0" xfId="24" applyFont="1" applyAlignment="1">
      <alignment vertical="center"/>
    </xf>
    <xf numFmtId="0" fontId="25" fillId="0" borderId="0" xfId="24" quotePrefix="1" applyFont="1" applyFill="1" applyAlignment="1">
      <alignment horizontal="center" vertical="top"/>
    </xf>
    <xf numFmtId="0" fontId="70" fillId="0" borderId="0" xfId="24" applyFont="1" applyFill="1" applyAlignment="1">
      <alignment horizontal="left" wrapText="1"/>
    </xf>
    <xf numFmtId="0" fontId="70" fillId="0" borderId="0" xfId="24" applyFont="1" applyFill="1" applyAlignment="1">
      <alignment horizontal="left"/>
    </xf>
    <xf numFmtId="0" fontId="70" fillId="0" borderId="0" xfId="24" applyFont="1" applyFill="1" applyAlignment="1">
      <alignment wrapText="1"/>
    </xf>
    <xf numFmtId="0" fontId="70" fillId="0" borderId="0" xfId="24" applyFont="1" applyFill="1" applyAlignment="1"/>
    <xf numFmtId="3" fontId="32" fillId="0" borderId="0" xfId="24" applyNumberFormat="1" applyFont="1"/>
    <xf numFmtId="0" fontId="32" fillId="0" borderId="9" xfId="24" applyFont="1" applyBorder="1"/>
    <xf numFmtId="3" fontId="65" fillId="0" borderId="0" xfId="24" applyNumberFormat="1" applyFont="1"/>
    <xf numFmtId="0" fontId="68" fillId="0" borderId="0" xfId="24" applyFont="1" applyFill="1" applyAlignment="1">
      <alignment horizontal="center"/>
    </xf>
    <xf numFmtId="0" fontId="68" fillId="0" borderId="0" xfId="24" quotePrefix="1" applyFont="1" applyFill="1" applyAlignment="1">
      <alignment horizontal="center"/>
    </xf>
    <xf numFmtId="0" fontId="50" fillId="0" borderId="13" xfId="24" applyFont="1" applyBorder="1" applyAlignment="1">
      <alignment horizontal="centerContinuous" vertical="center"/>
    </xf>
    <xf numFmtId="0" fontId="67" fillId="0" borderId="30" xfId="24" applyFont="1" applyBorder="1" applyAlignment="1">
      <alignment horizontal="centerContinuous" vertical="center"/>
    </xf>
    <xf numFmtId="0" fontId="32" fillId="0" borderId="0" xfId="24" applyFont="1" applyAlignment="1">
      <alignment horizontal="centerContinuous"/>
    </xf>
    <xf numFmtId="0" fontId="18" fillId="0" borderId="0" xfId="24" applyFont="1" applyAlignment="1">
      <alignment horizontal="centerContinuous"/>
    </xf>
    <xf numFmtId="0" fontId="64" fillId="0" borderId="0" xfId="24" applyFont="1" applyAlignment="1">
      <alignment horizontal="centerContinuous"/>
    </xf>
    <xf numFmtId="169" fontId="98" fillId="0" borderId="9" xfId="0" applyNumberFormat="1" applyFont="1" applyBorder="1" applyAlignment="1">
      <alignment horizontal="right" wrapText="1"/>
    </xf>
    <xf numFmtId="3" fontId="98" fillId="0" borderId="0" xfId="0" applyNumberFormat="1" applyFont="1"/>
    <xf numFmtId="49" fontId="18" fillId="0" borderId="0" xfId="0" applyNumberFormat="1" applyFont="1"/>
    <xf numFmtId="169" fontId="18" fillId="0" borderId="0" xfId="0" applyNumberFormat="1" applyFont="1"/>
    <xf numFmtId="169" fontId="95" fillId="0" borderId="0" xfId="14" applyFont="1"/>
    <xf numFmtId="169" fontId="18" fillId="0" borderId="0" xfId="0" applyNumberFormat="1" applyFont="1" applyAlignment="1">
      <alignment horizontal="centerContinuous"/>
    </xf>
    <xf numFmtId="169" fontId="18" fillId="0" borderId="9" xfId="0" applyNumberFormat="1" applyFont="1" applyBorder="1"/>
    <xf numFmtId="3" fontId="18" fillId="0" borderId="9" xfId="0" applyNumberFormat="1" applyFont="1" applyBorder="1"/>
    <xf numFmtId="0" fontId="18" fillId="0" borderId="0" xfId="24" applyFont="1" applyAlignment="1">
      <alignment vertical="center"/>
    </xf>
    <xf numFmtId="37" fontId="18" fillId="0" borderId="0" xfId="24" applyNumberFormat="1" applyFont="1" applyAlignment="1">
      <alignment vertical="center"/>
    </xf>
    <xf numFmtId="0" fontId="70" fillId="0" borderId="0" xfId="24" applyFont="1" applyAlignment="1">
      <alignment vertical="center"/>
    </xf>
    <xf numFmtId="37" fontId="70" fillId="0" borderId="0" xfId="24" applyNumberFormat="1" applyFont="1"/>
    <xf numFmtId="38" fontId="18" fillId="0" borderId="0" xfId="23" applyNumberFormat="1" applyFont="1"/>
    <xf numFmtId="38" fontId="18" fillId="0" borderId="0" xfId="23" applyNumberFormat="1" applyFont="1" applyBorder="1"/>
    <xf numFmtId="38" fontId="50" fillId="0" borderId="0" xfId="29" applyNumberFormat="1" applyFont="1" applyBorder="1"/>
    <xf numFmtId="165" fontId="18" fillId="0" borderId="0" xfId="29" applyNumberFormat="1" applyFont="1" applyBorder="1"/>
    <xf numFmtId="38" fontId="18" fillId="0" borderId="0" xfId="2" applyNumberFormat="1" applyFont="1" applyBorder="1"/>
    <xf numFmtId="38" fontId="50" fillId="0" borderId="0" xfId="23" applyNumberFormat="1" applyFont="1" applyBorder="1" applyAlignment="1">
      <alignment horizontal="left"/>
    </xf>
    <xf numFmtId="38" fontId="18" fillId="0" borderId="0" xfId="29" applyNumberFormat="1" applyFont="1" applyBorder="1"/>
    <xf numFmtId="38" fontId="18" fillId="0" borderId="0" xfId="23" applyNumberFormat="1" applyFont="1" applyBorder="1" applyAlignment="1">
      <alignment horizontal="left"/>
    </xf>
    <xf numFmtId="38" fontId="50" fillId="0" borderId="0" xfId="23" applyNumberFormat="1" applyFont="1" applyBorder="1"/>
    <xf numFmtId="165" fontId="50" fillId="0" borderId="0" xfId="29" applyNumberFormat="1" applyFont="1" applyBorder="1"/>
    <xf numFmtId="38" fontId="50" fillId="0" borderId="0" xfId="2" applyNumberFormat="1" applyFont="1" applyBorder="1"/>
    <xf numFmtId="0" fontId="50" fillId="0" borderId="0" xfId="8" applyFont="1" applyBorder="1"/>
    <xf numFmtId="38" fontId="50" fillId="0" borderId="0" xfId="23" applyNumberFormat="1" applyFont="1" applyBorder="1" applyAlignment="1">
      <alignment horizontal="center"/>
    </xf>
    <xf numFmtId="38" fontId="18" fillId="0" borderId="0" xfId="23" applyNumberFormat="1" applyFont="1" applyBorder="1" applyAlignment="1"/>
    <xf numFmtId="38" fontId="18" fillId="0" borderId="0" xfId="23" applyNumberFormat="1" applyFont="1" applyFill="1" applyBorder="1"/>
    <xf numFmtId="38" fontId="50" fillId="0" borderId="0" xfId="23" applyNumberFormat="1" applyFont="1" applyBorder="1" applyAlignment="1"/>
    <xf numFmtId="38" fontId="18" fillId="0" borderId="0" xfId="29" applyNumberFormat="1" applyFont="1" applyBorder="1" applyAlignment="1"/>
    <xf numFmtId="38" fontId="20" fillId="0" borderId="0" xfId="23" applyNumberFormat="1" applyFont="1"/>
    <xf numFmtId="38" fontId="20" fillId="0" borderId="0" xfId="23" applyNumberFormat="1" applyFont="1" applyBorder="1"/>
    <xf numFmtId="37" fontId="72" fillId="0" borderId="0" xfId="8" applyNumberFormat="1" applyFont="1" applyBorder="1" applyAlignment="1" applyProtection="1">
      <alignment horizontal="center"/>
    </xf>
    <xf numFmtId="37" fontId="50" fillId="0" borderId="0" xfId="8" applyNumberFormat="1" applyFont="1" applyBorder="1" applyAlignment="1" applyProtection="1">
      <alignment horizontal="center"/>
    </xf>
    <xf numFmtId="38" fontId="18" fillId="0" borderId="0" xfId="23" applyNumberFormat="1" applyFont="1" applyBorder="1" applyAlignment="1">
      <alignment horizontal="center"/>
    </xf>
    <xf numFmtId="37" fontId="72" fillId="0" borderId="9" xfId="8" applyNumberFormat="1" applyFont="1" applyBorder="1" applyAlignment="1" applyProtection="1">
      <alignment horizontal="center"/>
    </xf>
    <xf numFmtId="37" fontId="50" fillId="0" borderId="9" xfId="8" applyNumberFormat="1" applyFont="1" applyBorder="1" applyAlignment="1" applyProtection="1">
      <alignment horizontal="center"/>
    </xf>
    <xf numFmtId="38" fontId="18" fillId="0" borderId="0" xfId="23" applyNumberFormat="1" applyFont="1" applyAlignment="1">
      <alignment horizontal="center"/>
    </xf>
    <xf numFmtId="38" fontId="72" fillId="0" borderId="0" xfId="29" applyNumberFormat="1" applyFont="1" applyBorder="1"/>
    <xf numFmtId="38" fontId="50" fillId="0" borderId="0" xfId="29" applyNumberFormat="1" applyFont="1" applyBorder="1" applyAlignment="1">
      <alignment horizontal="center"/>
    </xf>
    <xf numFmtId="165" fontId="50" fillId="0" borderId="0" xfId="29" applyNumberFormat="1" applyFont="1" applyBorder="1" applyAlignment="1">
      <alignment horizontal="center"/>
    </xf>
    <xf numFmtId="37" fontId="18" fillId="0" borderId="0" xfId="23" applyNumberFormat="1" applyFont="1" applyBorder="1" applyAlignment="1">
      <alignment horizontal="center"/>
    </xf>
    <xf numFmtId="38" fontId="83" fillId="0" borderId="0" xfId="23" applyNumberFormat="1" applyFont="1" applyBorder="1" applyAlignment="1">
      <alignment horizontal="left"/>
    </xf>
    <xf numFmtId="0" fontId="24" fillId="0" borderId="0" xfId="0" applyFont="1"/>
    <xf numFmtId="0" fontId="19" fillId="0" borderId="0" xfId="0" applyFont="1" applyAlignment="1">
      <alignment horizontal="left"/>
    </xf>
    <xf numFmtId="3" fontId="19" fillId="0" borderId="0" xfId="0" applyNumberFormat="1" applyFont="1" applyAlignment="1">
      <alignment horizontal="right"/>
    </xf>
    <xf numFmtId="0" fontId="21" fillId="0" borderId="0" xfId="0" applyFont="1"/>
    <xf numFmtId="0" fontId="33" fillId="0" borderId="15" xfId="0" pivotButton="1" applyFont="1" applyBorder="1"/>
    <xf numFmtId="0" fontId="33" fillId="0" borderId="62" xfId="0" applyFont="1" applyBorder="1"/>
    <xf numFmtId="0" fontId="33" fillId="0" borderId="63" xfId="0" applyFont="1" applyBorder="1"/>
    <xf numFmtId="0" fontId="33" fillId="0" borderId="15" xfId="0" applyFont="1" applyBorder="1"/>
    <xf numFmtId="0" fontId="33" fillId="0" borderId="64" xfId="0" applyFont="1" applyBorder="1"/>
    <xf numFmtId="0" fontId="33" fillId="0" borderId="18" xfId="0" applyFont="1" applyBorder="1"/>
    <xf numFmtId="3" fontId="33" fillId="0" borderId="15" xfId="0" applyNumberFormat="1" applyFont="1" applyBorder="1"/>
    <xf numFmtId="3" fontId="33" fillId="0" borderId="64" xfId="0" applyNumberFormat="1" applyFont="1" applyBorder="1"/>
    <xf numFmtId="3" fontId="33" fillId="0" borderId="18" xfId="0" applyNumberFormat="1" applyFont="1" applyBorder="1"/>
    <xf numFmtId="0" fontId="33" fillId="0" borderId="19" xfId="0" applyFont="1" applyBorder="1"/>
    <xf numFmtId="3" fontId="33" fillId="0" borderId="19" xfId="0" applyNumberFormat="1" applyFont="1" applyBorder="1"/>
    <xf numFmtId="3" fontId="33" fillId="0" borderId="0" xfId="0" applyNumberFormat="1" applyFont="1"/>
    <xf numFmtId="3" fontId="33" fillId="0" borderId="21" xfId="0" applyNumberFormat="1" applyFont="1" applyBorder="1"/>
    <xf numFmtId="0" fontId="33" fillId="0" borderId="65" xfId="0" applyFont="1" applyBorder="1"/>
    <xf numFmtId="3" fontId="33" fillId="0" borderId="65" xfId="0" applyNumberFormat="1" applyFont="1" applyBorder="1"/>
    <xf numFmtId="3" fontId="33" fillId="0" borderId="66" xfId="0" applyNumberFormat="1" applyFont="1" applyBorder="1"/>
    <xf numFmtId="3" fontId="33" fillId="0" borderId="26" xfId="0" applyNumberFormat="1" applyFont="1" applyBorder="1"/>
    <xf numFmtId="3" fontId="93" fillId="0" borderId="0" xfId="16"/>
    <xf numFmtId="3" fontId="93" fillId="0" borderId="0" xfId="16" applyAlignment="1">
      <alignment vertical="top"/>
    </xf>
    <xf numFmtId="3" fontId="97" fillId="0" borderId="0" xfId="16" applyFont="1" applyAlignment="1">
      <alignment vertical="top"/>
    </xf>
    <xf numFmtId="3" fontId="93" fillId="9" borderId="0" xfId="16" applyFill="1" applyAlignment="1">
      <alignment vertical="top"/>
    </xf>
    <xf numFmtId="3" fontId="99" fillId="0" borderId="0" xfId="16" applyFont="1" applyAlignment="1">
      <alignment vertical="top"/>
    </xf>
    <xf numFmtId="3" fontId="93" fillId="0" borderId="9" xfId="16" applyBorder="1" applyAlignment="1">
      <alignment horizontal="right" vertical="top"/>
    </xf>
    <xf numFmtId="3" fontId="93" fillId="0" borderId="9" xfId="16" applyBorder="1" applyAlignment="1">
      <alignment vertical="top"/>
    </xf>
    <xf numFmtId="3" fontId="97" fillId="0" borderId="0" xfId="16" applyFont="1" applyAlignment="1">
      <alignment horizontal="center"/>
    </xf>
    <xf numFmtId="38" fontId="18" fillId="0" borderId="0" xfId="0" applyNumberFormat="1" applyFont="1"/>
    <xf numFmtId="38" fontId="18" fillId="0" borderId="0" xfId="0" applyNumberFormat="1" applyFont="1" applyAlignment="1">
      <alignment horizontal="right"/>
    </xf>
    <xf numFmtId="38" fontId="0" fillId="0" borderId="0" xfId="0" applyNumberFormat="1"/>
    <xf numFmtId="38" fontId="18" fillId="0" borderId="0" xfId="0" applyNumberFormat="1" applyFont="1" applyAlignment="1">
      <alignment horizontal="centerContinuous"/>
    </xf>
    <xf numFmtId="37" fontId="18" fillId="4" borderId="0" xfId="15" applyNumberFormat="1" applyFont="1" applyFill="1" applyAlignment="1">
      <alignment vertical="center"/>
    </xf>
    <xf numFmtId="0" fontId="73" fillId="0" borderId="0" xfId="0" applyFont="1" applyBorder="1" applyAlignment="1" applyProtection="1">
      <alignment vertical="center"/>
    </xf>
    <xf numFmtId="37" fontId="75" fillId="4" borderId="0" xfId="15" applyNumberFormat="1" applyFont="1" applyFill="1" applyBorder="1" applyAlignment="1">
      <alignment vertical="center"/>
    </xf>
    <xf numFmtId="0" fontId="88" fillId="0" borderId="0" xfId="0" applyFont="1" applyBorder="1" applyAlignment="1" applyProtection="1">
      <alignment vertical="center"/>
    </xf>
    <xf numFmtId="0" fontId="18" fillId="4" borderId="0" xfId="17" applyFont="1" applyFill="1"/>
    <xf numFmtId="0" fontId="18" fillId="4" borderId="0" xfId="17" applyFont="1" applyFill="1" applyAlignment="1">
      <alignment horizontal="left" indent="1"/>
    </xf>
    <xf numFmtId="0" fontId="50" fillId="4" borderId="0" xfId="17" applyFont="1" applyFill="1" applyAlignment="1">
      <alignment vertical="center"/>
    </xf>
    <xf numFmtId="10" fontId="77" fillId="4" borderId="0" xfId="30" applyNumberFormat="1" applyFont="1" applyFill="1" applyBorder="1" applyAlignment="1" applyProtection="1">
      <alignment vertical="center"/>
      <protection locked="0"/>
    </xf>
    <xf numFmtId="3" fontId="77" fillId="4" borderId="0" xfId="17" applyNumberFormat="1" applyFont="1" applyFill="1" applyBorder="1" applyAlignment="1" applyProtection="1">
      <alignment vertical="center"/>
      <protection locked="0"/>
    </xf>
    <xf numFmtId="37" fontId="77" fillId="4" borderId="0" xfId="17" applyNumberFormat="1" applyFont="1" applyFill="1" applyBorder="1" applyAlignment="1" applyProtection="1">
      <alignment horizontal="right" vertical="center"/>
    </xf>
    <xf numFmtId="37" fontId="77" fillId="4" borderId="0" xfId="17" applyNumberFormat="1" applyFont="1" applyFill="1" applyBorder="1" applyAlignment="1" applyProtection="1">
      <alignment vertical="center"/>
    </xf>
    <xf numFmtId="49" fontId="75" fillId="4" borderId="0" xfId="17" applyNumberFormat="1" applyFont="1" applyFill="1" applyBorder="1" applyAlignment="1" applyProtection="1">
      <alignment horizontal="left" vertical="center"/>
    </xf>
    <xf numFmtId="0" fontId="18" fillId="4" borderId="0" xfId="17" applyFont="1" applyFill="1" applyBorder="1"/>
    <xf numFmtId="10" fontId="77" fillId="4" borderId="67" xfId="30" applyNumberFormat="1" applyFont="1" applyFill="1" applyBorder="1" applyAlignment="1" applyProtection="1">
      <alignment horizontal="right" vertical="center"/>
      <protection locked="0"/>
    </xf>
    <xf numFmtId="3" fontId="77" fillId="4" borderId="67" xfId="17" applyNumberFormat="1" applyFont="1" applyFill="1" applyBorder="1" applyAlignment="1" applyProtection="1">
      <alignment horizontal="right" vertical="center"/>
      <protection locked="0"/>
    </xf>
    <xf numFmtId="37" fontId="77" fillId="4" borderId="67" xfId="17" applyNumberFormat="1" applyFont="1" applyFill="1" applyBorder="1" applyAlignment="1" applyProtection="1">
      <alignment horizontal="right" vertical="center"/>
      <protection locked="0"/>
    </xf>
    <xf numFmtId="166" fontId="50" fillId="4" borderId="67" xfId="4" applyNumberFormat="1" applyFont="1" applyFill="1" applyBorder="1"/>
    <xf numFmtId="0" fontId="50" fillId="0" borderId="67" xfId="17" applyFont="1" applyFill="1" applyBorder="1"/>
    <xf numFmtId="0" fontId="50" fillId="4" borderId="67" xfId="17" applyFont="1" applyFill="1" applyBorder="1" applyAlignment="1">
      <alignment horizontal="center"/>
    </xf>
    <xf numFmtId="0" fontId="78" fillId="4" borderId="19" xfId="17" applyFont="1" applyFill="1" applyBorder="1" applyAlignment="1" applyProtection="1">
      <alignment vertical="center"/>
    </xf>
    <xf numFmtId="10" fontId="77" fillId="4" borderId="68" xfId="30" applyNumberFormat="1" applyFont="1" applyFill="1" applyBorder="1" applyAlignment="1" applyProtection="1">
      <alignment vertical="center"/>
      <protection locked="0"/>
    </xf>
    <xf numFmtId="37" fontId="77" fillId="4" borderId="69" xfId="17" applyNumberFormat="1" applyFont="1" applyFill="1" applyBorder="1" applyAlignment="1" applyProtection="1">
      <alignment horizontal="right" vertical="center"/>
    </xf>
    <xf numFmtId="37" fontId="77" fillId="4" borderId="37" xfId="17" applyNumberFormat="1" applyFont="1" applyFill="1" applyBorder="1" applyAlignment="1" applyProtection="1">
      <alignment horizontal="right" vertical="center"/>
    </xf>
    <xf numFmtId="37" fontId="77" fillId="4" borderId="37" xfId="17" applyNumberFormat="1" applyFont="1" applyFill="1" applyBorder="1" applyAlignment="1" applyProtection="1">
      <alignment vertical="center"/>
    </xf>
    <xf numFmtId="0" fontId="78" fillId="4" borderId="36" xfId="17" applyFont="1" applyFill="1" applyBorder="1" applyAlignment="1" applyProtection="1">
      <alignment vertical="center"/>
    </xf>
    <xf numFmtId="0" fontId="18" fillId="4" borderId="0" xfId="17" applyFont="1" applyFill="1" applyAlignment="1">
      <alignment vertical="center"/>
    </xf>
    <xf numFmtId="39" fontId="75" fillId="4" borderId="3" xfId="17" applyNumberFormat="1" applyFont="1" applyFill="1" applyBorder="1" applyAlignment="1" applyProtection="1">
      <alignment horizontal="right" vertical="center"/>
    </xf>
    <xf numFmtId="37" fontId="75" fillId="4" borderId="3" xfId="17" applyNumberFormat="1" applyFont="1" applyFill="1" applyBorder="1" applyAlignment="1" applyProtection="1">
      <alignment horizontal="right" vertical="center"/>
    </xf>
    <xf numFmtId="37" fontId="75" fillId="4" borderId="0" xfId="17" applyNumberFormat="1" applyFont="1" applyFill="1" applyBorder="1" applyAlignment="1" applyProtection="1">
      <alignment vertical="center"/>
    </xf>
    <xf numFmtId="37" fontId="75" fillId="4" borderId="0" xfId="17" applyNumberFormat="1" applyFont="1" applyFill="1" applyBorder="1" applyAlignment="1" applyProtection="1">
      <alignment horizontal="center" vertical="center"/>
    </xf>
    <xf numFmtId="172" fontId="75" fillId="4" borderId="42" xfId="17" applyNumberFormat="1" applyFont="1" applyFill="1" applyBorder="1" applyAlignment="1" applyProtection="1">
      <alignment horizontal="center" vertical="center"/>
    </xf>
    <xf numFmtId="0" fontId="77" fillId="4" borderId="0" xfId="17" applyFont="1" applyFill="1" applyBorder="1" applyAlignment="1">
      <alignment vertical="center"/>
    </xf>
    <xf numFmtId="10" fontId="77" fillId="4" borderId="47" xfId="30" applyNumberFormat="1" applyFont="1" applyFill="1" applyBorder="1" applyAlignment="1" applyProtection="1">
      <alignment horizontal="right" vertical="center"/>
      <protection locked="0"/>
    </xf>
    <xf numFmtId="3" fontId="77" fillId="4" borderId="43" xfId="17" applyNumberFormat="1" applyFont="1" applyFill="1" applyBorder="1" applyAlignment="1" applyProtection="1">
      <alignment horizontal="right" vertical="center"/>
      <protection locked="0"/>
    </xf>
    <xf numFmtId="37" fontId="77" fillId="4" borderId="34" xfId="17" applyNumberFormat="1" applyFont="1" applyFill="1" applyBorder="1" applyAlignment="1" applyProtection="1">
      <alignment horizontal="right" vertical="center"/>
    </xf>
    <xf numFmtId="37" fontId="77" fillId="0" borderId="34" xfId="17" applyNumberFormat="1" applyFont="1" applyFill="1" applyBorder="1" applyAlignment="1" applyProtection="1">
      <alignment vertical="center"/>
    </xf>
    <xf numFmtId="172" fontId="77" fillId="4" borderId="32" xfId="17" applyNumberFormat="1" applyFont="1" applyFill="1" applyBorder="1" applyAlignment="1" applyProtection="1">
      <alignment horizontal="center" vertical="center"/>
    </xf>
    <xf numFmtId="0" fontId="19" fillId="4" borderId="0" xfId="17" applyFont="1" applyFill="1" applyAlignment="1">
      <alignment vertical="center"/>
    </xf>
    <xf numFmtId="10" fontId="79" fillId="4" borderId="45" xfId="17" applyNumberFormat="1" applyFont="1" applyFill="1" applyBorder="1" applyAlignment="1" applyProtection="1">
      <alignment vertical="center"/>
      <protection locked="0"/>
    </xf>
    <xf numFmtId="37" fontId="79" fillId="4" borderId="46" xfId="17" applyNumberFormat="1" applyFont="1" applyFill="1" applyBorder="1" applyAlignment="1" applyProtection="1">
      <alignment vertical="center"/>
      <protection locked="0"/>
    </xf>
    <xf numFmtId="37" fontId="79" fillId="4" borderId="20" xfId="17" applyNumberFormat="1" applyFont="1" applyFill="1" applyBorder="1" applyAlignment="1" applyProtection="1">
      <alignment horizontal="right" vertical="center"/>
    </xf>
    <xf numFmtId="37" fontId="79" fillId="4" borderId="6" xfId="17" applyNumberFormat="1" applyFont="1" applyFill="1" applyBorder="1" applyAlignment="1" applyProtection="1">
      <alignment horizontal="left" vertical="center"/>
      <protection locked="0"/>
    </xf>
    <xf numFmtId="37" fontId="79" fillId="4" borderId="20" xfId="17" applyNumberFormat="1" applyFont="1" applyFill="1" applyBorder="1" applyAlignment="1" applyProtection="1">
      <alignment horizontal="left" vertical="center"/>
    </xf>
    <xf numFmtId="37" fontId="79" fillId="4" borderId="0" xfId="17" applyNumberFormat="1" applyFont="1" applyFill="1" applyBorder="1" applyAlignment="1" applyProtection="1">
      <alignment horizontal="left" vertical="center"/>
      <protection locked="0"/>
    </xf>
    <xf numFmtId="37" fontId="79" fillId="4" borderId="20" xfId="17" quotePrefix="1" applyNumberFormat="1" applyFont="1" applyFill="1" applyBorder="1" applyAlignment="1" applyProtection="1">
      <alignment horizontal="left" vertical="center"/>
      <protection locked="0"/>
    </xf>
    <xf numFmtId="0" fontId="79" fillId="4" borderId="70" xfId="17" applyFont="1" applyFill="1" applyBorder="1" applyAlignment="1" applyProtection="1">
      <alignment horizontal="left" vertical="center" indent="2"/>
    </xf>
    <xf numFmtId="10" fontId="79" fillId="4" borderId="7" xfId="17" applyNumberFormat="1" applyFont="1" applyFill="1" applyBorder="1" applyAlignment="1" applyProtection="1">
      <alignment vertical="center"/>
      <protection locked="0"/>
    </xf>
    <xf numFmtId="37" fontId="79" fillId="4" borderId="59" xfId="17" applyNumberFormat="1" applyFont="1" applyFill="1" applyBorder="1" applyAlignment="1" applyProtection="1">
      <alignment vertical="center"/>
      <protection locked="0"/>
    </xf>
    <xf numFmtId="0" fontId="79" fillId="4" borderId="31" xfId="17" applyFont="1" applyFill="1" applyBorder="1" applyAlignment="1" applyProtection="1">
      <alignment horizontal="left" vertical="center" indent="2"/>
    </xf>
    <xf numFmtId="37" fontId="79" fillId="0" borderId="20" xfId="17" applyNumberFormat="1" applyFont="1" applyFill="1" applyBorder="1" applyAlignment="1" applyProtection="1">
      <alignment horizontal="left" vertical="center"/>
    </xf>
    <xf numFmtId="10" fontId="75" fillId="4" borderId="30" xfId="17" applyNumberFormat="1" applyFont="1" applyFill="1" applyBorder="1" applyAlignment="1" applyProtection="1">
      <alignment vertical="center"/>
      <protection locked="0"/>
    </xf>
    <xf numFmtId="37" fontId="75" fillId="4" borderId="0" xfId="17" applyNumberFormat="1" applyFont="1" applyFill="1" applyBorder="1" applyAlignment="1" applyProtection="1">
      <alignment vertical="center"/>
      <protection locked="0"/>
    </xf>
    <xf numFmtId="37" fontId="75" fillId="0" borderId="30" xfId="17" applyNumberFormat="1" applyFont="1" applyFill="1" applyBorder="1" applyAlignment="1" applyProtection="1">
      <alignment vertical="center"/>
    </xf>
    <xf numFmtId="37" fontId="75" fillId="4" borderId="20" xfId="17" quotePrefix="1" applyNumberFormat="1" applyFont="1" applyFill="1" applyBorder="1" applyAlignment="1" applyProtection="1">
      <alignment horizontal="right" vertical="center"/>
      <protection locked="0"/>
    </xf>
    <xf numFmtId="0" fontId="75" fillId="4" borderId="30" xfId="17" applyFont="1" applyFill="1" applyBorder="1" applyAlignment="1" applyProtection="1">
      <alignment horizontal="left" vertical="center"/>
    </xf>
    <xf numFmtId="10" fontId="79" fillId="4" borderId="30" xfId="17" applyNumberFormat="1" applyFont="1" applyFill="1" applyBorder="1" applyAlignment="1" applyProtection="1">
      <alignment vertical="center"/>
      <protection locked="0"/>
    </xf>
    <xf numFmtId="37" fontId="79" fillId="4" borderId="0" xfId="17" applyNumberFormat="1" applyFont="1" applyFill="1" applyBorder="1" applyAlignment="1" applyProtection="1">
      <alignment vertical="center"/>
      <protection locked="0"/>
    </xf>
    <xf numFmtId="37" fontId="79" fillId="4" borderId="30" xfId="17" applyNumberFormat="1" applyFont="1" applyFill="1" applyBorder="1" applyAlignment="1" applyProtection="1">
      <alignment horizontal="left" vertical="center"/>
      <protection locked="0"/>
    </xf>
    <xf numFmtId="37" fontId="79" fillId="4" borderId="6" xfId="17" applyNumberFormat="1" applyFont="1" applyFill="1" applyBorder="1" applyAlignment="1" applyProtection="1">
      <alignment horizontal="right" vertical="center"/>
      <protection locked="0"/>
    </xf>
    <xf numFmtId="0" fontId="79" fillId="4" borderId="30" xfId="17" applyFont="1" applyFill="1" applyBorder="1" applyAlignment="1" applyProtection="1">
      <alignment horizontal="left" vertical="center" indent="2"/>
    </xf>
    <xf numFmtId="37" fontId="79" fillId="4" borderId="30" xfId="17" applyNumberFormat="1" applyFont="1" applyFill="1" applyBorder="1" applyAlignment="1" applyProtection="1">
      <alignment horizontal="right" vertical="center"/>
      <protection locked="0"/>
    </xf>
    <xf numFmtId="37" fontId="75" fillId="4" borderId="30" xfId="17" applyNumberFormat="1" applyFont="1" applyFill="1" applyBorder="1" applyAlignment="1" applyProtection="1">
      <alignment horizontal="right" vertical="center"/>
      <protection locked="0"/>
    </xf>
    <xf numFmtId="0" fontId="75" fillId="4" borderId="30" xfId="17" applyFont="1" applyFill="1" applyBorder="1" applyAlignment="1" applyProtection="1">
      <alignment vertical="center"/>
    </xf>
    <xf numFmtId="37" fontId="75" fillId="4" borderId="20" xfId="17" applyNumberFormat="1" applyFont="1" applyFill="1" applyBorder="1" applyAlignment="1" applyProtection="1">
      <alignment horizontal="right" vertical="center"/>
    </xf>
    <xf numFmtId="37" fontId="75" fillId="4" borderId="19" xfId="17" applyNumberFormat="1" applyFont="1" applyFill="1" applyBorder="1" applyAlignment="1" applyProtection="1">
      <alignment horizontal="right" vertical="center"/>
      <protection locked="0"/>
    </xf>
    <xf numFmtId="37" fontId="75" fillId="4" borderId="20" xfId="17" applyNumberFormat="1" applyFont="1" applyFill="1" applyBorder="1" applyAlignment="1" applyProtection="1">
      <alignment horizontal="right" vertical="center"/>
      <protection locked="0"/>
    </xf>
    <xf numFmtId="0" fontId="79" fillId="4" borderId="0" xfId="17" applyFont="1" applyFill="1" applyBorder="1" applyAlignment="1">
      <alignment vertical="center"/>
    </xf>
    <xf numFmtId="37" fontId="79" fillId="4" borderId="20" xfId="17" applyNumberFormat="1" applyFont="1" applyFill="1" applyBorder="1" applyAlignment="1" applyProtection="1">
      <alignment horizontal="center" vertical="center"/>
      <protection locked="0"/>
    </xf>
    <xf numFmtId="37" fontId="79" fillId="0" borderId="21" xfId="17" applyNumberFormat="1" applyFont="1" applyFill="1" applyBorder="1" applyAlignment="1" applyProtection="1">
      <alignment horizontal="right" vertical="center"/>
      <protection locked="0"/>
    </xf>
    <xf numFmtId="37" fontId="79" fillId="4" borderId="19" xfId="17" applyNumberFormat="1" applyFont="1" applyFill="1" applyBorder="1" applyAlignment="1" applyProtection="1">
      <alignment horizontal="left" vertical="center"/>
      <protection locked="0"/>
    </xf>
    <xf numFmtId="37" fontId="79" fillId="4" borderId="20" xfId="17" applyNumberFormat="1" applyFont="1" applyFill="1" applyBorder="1" applyAlignment="1" applyProtection="1">
      <alignment horizontal="left" vertical="center"/>
      <protection locked="0"/>
    </xf>
    <xf numFmtId="0" fontId="19" fillId="4" borderId="31" xfId="17" applyFont="1" applyFill="1" applyBorder="1" applyAlignment="1">
      <alignment horizontal="left" vertical="center" indent="2"/>
    </xf>
    <xf numFmtId="37" fontId="79" fillId="4" borderId="21" xfId="17" applyNumberFormat="1" applyFont="1" applyFill="1" applyBorder="1" applyAlignment="1" applyProtection="1">
      <alignment horizontal="right" vertical="center"/>
      <protection locked="0"/>
    </xf>
    <xf numFmtId="0" fontId="75" fillId="4" borderId="0" xfId="17" applyFont="1" applyFill="1" applyBorder="1" applyAlignment="1">
      <alignment vertical="center"/>
    </xf>
    <xf numFmtId="37" fontId="75" fillId="4" borderId="21" xfId="17" applyNumberFormat="1" applyFont="1" applyFill="1" applyBorder="1" applyAlignment="1" applyProtection="1">
      <alignment horizontal="right" vertical="center"/>
      <protection locked="0"/>
    </xf>
    <xf numFmtId="37" fontId="75" fillId="0" borderId="21" xfId="17" applyNumberFormat="1" applyFont="1" applyFill="1" applyBorder="1" applyAlignment="1" applyProtection="1">
      <alignment horizontal="right" vertical="center"/>
      <protection locked="0"/>
    </xf>
    <xf numFmtId="37" fontId="75" fillId="4" borderId="6" xfId="17" applyNumberFormat="1" applyFont="1" applyFill="1" applyBorder="1" applyAlignment="1" applyProtection="1">
      <alignment horizontal="right" vertical="center"/>
      <protection locked="0"/>
    </xf>
    <xf numFmtId="0" fontId="18" fillId="4" borderId="31" xfId="17" applyFont="1" applyFill="1" applyBorder="1" applyAlignment="1">
      <alignment horizontal="left" vertical="center"/>
    </xf>
    <xf numFmtId="166" fontId="75" fillId="4" borderId="71" xfId="17" applyNumberFormat="1" applyFont="1" applyFill="1" applyBorder="1" applyAlignment="1" applyProtection="1">
      <alignment horizontal="centerContinuous" vertical="center"/>
    </xf>
    <xf numFmtId="37" fontId="75" fillId="4" borderId="71" xfId="17" applyNumberFormat="1" applyFont="1" applyFill="1" applyBorder="1" applyAlignment="1" applyProtection="1">
      <alignment horizontal="right" vertical="center"/>
    </xf>
    <xf numFmtId="166" fontId="75" fillId="4" borderId="71" xfId="4" applyNumberFormat="1" applyFont="1" applyFill="1" applyBorder="1" applyAlignment="1" applyProtection="1">
      <alignment horizontal="right" vertical="center"/>
    </xf>
    <xf numFmtId="37" fontId="75" fillId="4" borderId="0" xfId="17" applyNumberFormat="1" applyFont="1" applyFill="1" applyBorder="1" applyAlignment="1" applyProtection="1">
      <alignment horizontal="right" vertical="center"/>
    </xf>
    <xf numFmtId="37" fontId="75" fillId="0" borderId="20" xfId="17" applyNumberFormat="1" applyFont="1" applyFill="1" applyBorder="1" applyAlignment="1" applyProtection="1">
      <alignment horizontal="right" vertical="center"/>
    </xf>
    <xf numFmtId="0" fontId="18" fillId="4" borderId="31" xfId="17" applyFont="1" applyFill="1" applyBorder="1" applyAlignment="1">
      <alignment horizontal="left" vertical="center" wrapText="1"/>
    </xf>
    <xf numFmtId="0" fontId="75" fillId="4" borderId="72" xfId="17" applyFont="1" applyFill="1" applyBorder="1" applyAlignment="1" applyProtection="1">
      <alignment horizontal="center" vertical="center"/>
    </xf>
    <xf numFmtId="0" fontId="75" fillId="4" borderId="73" xfId="17" applyFont="1" applyFill="1" applyBorder="1" applyAlignment="1" applyProtection="1">
      <alignment horizontal="centerContinuous" vertical="center"/>
    </xf>
    <xf numFmtId="0" fontId="75" fillId="4" borderId="41" xfId="17" applyFont="1" applyFill="1" applyBorder="1" applyAlignment="1" applyProtection="1">
      <alignment horizontal="center" vertical="center"/>
    </xf>
    <xf numFmtId="37" fontId="75" fillId="4" borderId="74" xfId="17" applyNumberFormat="1" applyFont="1" applyFill="1" applyBorder="1" applyAlignment="1" applyProtection="1">
      <alignment horizontal="center" vertical="center"/>
    </xf>
    <xf numFmtId="37" fontId="75" fillId="4" borderId="41" xfId="17" applyNumberFormat="1" applyFont="1" applyFill="1" applyBorder="1" applyAlignment="1" applyProtection="1">
      <alignment horizontal="center" vertical="center"/>
    </xf>
    <xf numFmtId="0" fontId="75" fillId="4" borderId="50" xfId="17" applyFont="1" applyFill="1" applyBorder="1" applyAlignment="1" applyProtection="1">
      <alignment horizontal="centerContinuous" vertical="center"/>
    </xf>
    <xf numFmtId="170" fontId="75" fillId="4" borderId="22" xfId="17" applyNumberFormat="1" applyFont="1" applyFill="1" applyBorder="1" applyAlignment="1" applyProtection="1">
      <alignment horizontal="centerContinuous" vertical="center"/>
    </xf>
    <xf numFmtId="0" fontId="75" fillId="4" borderId="21" xfId="17" applyFont="1" applyFill="1" applyBorder="1" applyAlignment="1" applyProtection="1">
      <alignment horizontal="center" vertical="center"/>
    </xf>
    <xf numFmtId="0" fontId="75" fillId="4" borderId="20" xfId="17" applyFont="1" applyFill="1" applyBorder="1" applyAlignment="1" applyProtection="1">
      <alignment horizontal="center" vertical="center"/>
    </xf>
    <xf numFmtId="37" fontId="75" fillId="4" borderId="20" xfId="17" applyNumberFormat="1" applyFont="1" applyFill="1" applyBorder="1" applyAlignment="1" applyProtection="1">
      <alignment horizontal="center" vertical="center"/>
    </xf>
    <xf numFmtId="0" fontId="75" fillId="4" borderId="75" xfId="17" applyFont="1" applyFill="1" applyBorder="1" applyAlignment="1" applyProtection="1">
      <alignment vertical="center"/>
    </xf>
    <xf numFmtId="171" fontId="75" fillId="4" borderId="1" xfId="17" applyNumberFormat="1" applyFont="1" applyFill="1" applyBorder="1" applyAlignment="1" applyProtection="1">
      <alignment vertical="center"/>
      <protection locked="0"/>
    </xf>
    <xf numFmtId="37" fontId="75" fillId="4" borderId="1" xfId="17" applyNumberFormat="1" applyFont="1" applyFill="1" applyBorder="1" applyAlignment="1" applyProtection="1">
      <alignment vertical="center"/>
    </xf>
    <xf numFmtId="0" fontId="75" fillId="4" borderId="1" xfId="17" applyFont="1" applyFill="1" applyBorder="1" applyAlignment="1" applyProtection="1">
      <alignment horizontal="center" vertical="center"/>
    </xf>
    <xf numFmtId="10" fontId="77" fillId="4" borderId="51" xfId="17" applyNumberFormat="1" applyFont="1" applyFill="1" applyBorder="1" applyAlignment="1" applyProtection="1">
      <alignment vertical="center"/>
    </xf>
    <xf numFmtId="37" fontId="77" fillId="4" borderId="28" xfId="17" applyNumberFormat="1" applyFont="1" applyFill="1" applyBorder="1" applyAlignment="1" applyProtection="1">
      <alignment vertical="center"/>
    </xf>
    <xf numFmtId="0" fontId="77" fillId="4" borderId="27" xfId="17" applyFont="1" applyFill="1" applyBorder="1" applyAlignment="1" applyProtection="1">
      <alignment horizontal="left" vertical="center"/>
    </xf>
    <xf numFmtId="10" fontId="75" fillId="4" borderId="55" xfId="17" applyNumberFormat="1" applyFont="1" applyFill="1" applyBorder="1" applyAlignment="1" applyProtection="1">
      <alignment vertical="center"/>
      <protection locked="0"/>
    </xf>
    <xf numFmtId="37" fontId="75" fillId="4" borderId="21" xfId="17" applyNumberFormat="1" applyFont="1" applyFill="1" applyBorder="1" applyAlignment="1" applyProtection="1">
      <alignment vertical="center"/>
    </xf>
    <xf numFmtId="37" fontId="75" fillId="4" borderId="20" xfId="17" applyNumberFormat="1" applyFont="1" applyFill="1" applyBorder="1" applyAlignment="1" applyProtection="1">
      <alignment vertical="center"/>
    </xf>
    <xf numFmtId="37" fontId="75" fillId="4" borderId="20" xfId="17" quotePrefix="1" applyNumberFormat="1" applyFont="1" applyFill="1" applyBorder="1" applyAlignment="1" applyProtection="1">
      <alignment horizontal="center" vertical="center"/>
      <protection locked="0"/>
    </xf>
    <xf numFmtId="0" fontId="75" fillId="4" borderId="19" xfId="17" applyFont="1" applyFill="1" applyBorder="1" applyAlignment="1" applyProtection="1">
      <alignment vertical="center"/>
    </xf>
    <xf numFmtId="172" fontId="75" fillId="4" borderId="19" xfId="17" applyNumberFormat="1" applyFont="1" applyFill="1" applyBorder="1" applyAlignment="1" applyProtection="1">
      <alignment vertical="center"/>
    </xf>
    <xf numFmtId="37" fontId="75" fillId="4" borderId="30" xfId="17" applyNumberFormat="1" applyFont="1" applyFill="1" applyBorder="1" applyAlignment="1" applyProtection="1">
      <alignment vertical="center"/>
    </xf>
    <xf numFmtId="37" fontId="75" fillId="0" borderId="20" xfId="17" applyNumberFormat="1" applyFont="1" applyFill="1" applyBorder="1" applyAlignment="1" applyProtection="1">
      <alignment vertical="center"/>
    </xf>
    <xf numFmtId="10" fontId="79" fillId="4" borderId="30" xfId="17" applyNumberFormat="1" applyFont="1" applyFill="1" applyBorder="1" applyAlignment="1" applyProtection="1">
      <alignment horizontal="left" vertical="center"/>
      <protection locked="0"/>
    </xf>
    <xf numFmtId="37" fontId="79" fillId="4" borderId="21" xfId="17" applyNumberFormat="1" applyFont="1" applyFill="1" applyBorder="1" applyAlignment="1" applyProtection="1">
      <alignment horizontal="left" vertical="center"/>
    </xf>
    <xf numFmtId="37" fontId="79" fillId="4" borderId="30" xfId="17" applyNumberFormat="1" applyFont="1" applyFill="1" applyBorder="1" applyAlignment="1" applyProtection="1">
      <alignment horizontal="left" vertical="center"/>
    </xf>
    <xf numFmtId="37" fontId="79" fillId="4" borderId="20" xfId="17" quotePrefix="1" applyNumberFormat="1" applyFont="1" applyFill="1" applyBorder="1" applyAlignment="1" applyProtection="1">
      <alignment horizontal="center" vertical="center"/>
      <protection locked="0"/>
    </xf>
    <xf numFmtId="172" fontId="79" fillId="4" borderId="19" xfId="17" quotePrefix="1" applyNumberFormat="1" applyFont="1" applyFill="1" applyBorder="1" applyAlignment="1" applyProtection="1">
      <alignment horizontal="left" vertical="center" indent="1"/>
    </xf>
    <xf numFmtId="37" fontId="79" fillId="4" borderId="21" xfId="17" applyNumberFormat="1" applyFont="1" applyFill="1" applyBorder="1" applyAlignment="1" applyProtection="1">
      <alignment horizontal="left" vertical="center"/>
      <protection locked="0"/>
    </xf>
    <xf numFmtId="0" fontId="79" fillId="4" borderId="19" xfId="17" quotePrefix="1" applyFont="1" applyFill="1" applyBorder="1" applyAlignment="1" applyProtection="1">
      <alignment horizontal="left" vertical="center" indent="1"/>
    </xf>
    <xf numFmtId="37" fontId="75" fillId="4" borderId="30" xfId="17" applyNumberFormat="1" applyFont="1" applyFill="1" applyBorder="1" applyAlignment="1" applyProtection="1">
      <alignment vertical="center"/>
      <protection locked="0"/>
    </xf>
    <xf numFmtId="37" fontId="75" fillId="4" borderId="19" xfId="17" quotePrefix="1" applyNumberFormat="1" applyFont="1" applyFill="1" applyBorder="1" applyAlignment="1" applyProtection="1">
      <alignment horizontal="right" vertical="center"/>
      <protection locked="0"/>
    </xf>
    <xf numFmtId="37" fontId="75" fillId="4" borderId="0" xfId="17" applyNumberFormat="1" applyFont="1" applyFill="1" applyAlignment="1" applyProtection="1">
      <alignment horizontal="right" vertical="center"/>
    </xf>
    <xf numFmtId="37" fontId="75" fillId="4" borderId="59" xfId="17" applyNumberFormat="1" applyFont="1" applyFill="1" applyBorder="1" applyAlignment="1" applyProtection="1">
      <alignment horizontal="right" vertical="center"/>
    </xf>
    <xf numFmtId="37" fontId="79" fillId="4" borderId="19" xfId="17" quotePrefix="1" applyNumberFormat="1" applyFont="1" applyFill="1" applyBorder="1" applyAlignment="1" applyProtection="1">
      <alignment horizontal="left" vertical="center"/>
      <protection locked="0"/>
    </xf>
    <xf numFmtId="10" fontId="75" fillId="4" borderId="48" xfId="17" applyNumberFormat="1" applyFont="1" applyFill="1" applyBorder="1" applyAlignment="1" applyProtection="1">
      <alignment vertical="center"/>
      <protection locked="0"/>
    </xf>
    <xf numFmtId="37" fontId="75" fillId="4" borderId="52" xfId="17" applyNumberFormat="1" applyFont="1" applyFill="1" applyBorder="1" applyAlignment="1" applyProtection="1">
      <alignment vertical="center"/>
      <protection locked="0"/>
    </xf>
    <xf numFmtId="37" fontId="75" fillId="4" borderId="29" xfId="17" applyNumberFormat="1" applyFont="1" applyFill="1" applyBorder="1" applyAlignment="1" applyProtection="1">
      <alignment vertical="center"/>
    </xf>
    <xf numFmtId="37" fontId="75" fillId="4" borderId="28" xfId="17" applyNumberFormat="1" applyFont="1" applyFill="1" applyBorder="1" applyAlignment="1" applyProtection="1">
      <alignment horizontal="right" vertical="center"/>
      <protection locked="0"/>
    </xf>
    <xf numFmtId="37" fontId="75" fillId="4" borderId="28" xfId="17" quotePrefix="1" applyNumberFormat="1" applyFont="1" applyFill="1" applyBorder="1" applyAlignment="1" applyProtection="1">
      <alignment horizontal="center" vertical="center"/>
      <protection locked="0"/>
    </xf>
    <xf numFmtId="0" fontId="75" fillId="4" borderId="27" xfId="17" applyFont="1" applyFill="1" applyBorder="1" applyAlignment="1" applyProtection="1">
      <alignment vertical="center"/>
    </xf>
    <xf numFmtId="0" fontId="75" fillId="4" borderId="53" xfId="17" applyFont="1" applyFill="1" applyBorder="1" applyAlignment="1" applyProtection="1">
      <alignment horizontal="center" vertical="center"/>
    </xf>
    <xf numFmtId="0" fontId="75" fillId="4" borderId="54" xfId="17" applyFont="1" applyFill="1" applyBorder="1" applyAlignment="1" applyProtection="1">
      <alignment horizontal="centerContinuous" vertical="center"/>
    </xf>
    <xf numFmtId="0" fontId="75" fillId="4" borderId="25" xfId="17" applyFont="1" applyFill="1" applyBorder="1" applyAlignment="1" applyProtection="1">
      <alignment horizontal="center" vertical="center"/>
    </xf>
    <xf numFmtId="0" fontId="75" fillId="4" borderId="24" xfId="17" applyFont="1" applyFill="1" applyBorder="1" applyAlignment="1" applyProtection="1">
      <alignment horizontal="center" vertical="center"/>
    </xf>
    <xf numFmtId="0" fontId="75" fillId="4" borderId="23" xfId="17" applyFont="1" applyFill="1" applyBorder="1" applyAlignment="1" applyProtection="1">
      <alignment horizontal="center" vertical="center"/>
    </xf>
    <xf numFmtId="0" fontId="75" fillId="4" borderId="22" xfId="17" applyFont="1" applyFill="1" applyBorder="1" applyAlignment="1" applyProtection="1">
      <alignment horizontal="centerContinuous" vertical="center"/>
    </xf>
    <xf numFmtId="0" fontId="75" fillId="4" borderId="7" xfId="17" applyFont="1" applyFill="1" applyBorder="1" applyAlignment="1" applyProtection="1">
      <alignment horizontal="centerContinuous" vertical="center"/>
    </xf>
    <xf numFmtId="170" fontId="75" fillId="4" borderId="19" xfId="17" applyNumberFormat="1" applyFont="1" applyFill="1" applyBorder="1" applyAlignment="1" applyProtection="1">
      <alignment horizontal="centerContinuous" vertical="center"/>
    </xf>
    <xf numFmtId="37" fontId="75" fillId="4" borderId="0" xfId="17" applyNumberFormat="1" applyFont="1" applyFill="1" applyAlignment="1" applyProtection="1">
      <alignment horizontal="center" vertical="center"/>
    </xf>
    <xf numFmtId="0" fontId="75" fillId="4" borderId="19" xfId="17" applyFont="1" applyFill="1" applyBorder="1" applyAlignment="1" applyProtection="1">
      <alignment horizontal="centerContinuous" vertical="center"/>
    </xf>
    <xf numFmtId="0" fontId="75" fillId="4" borderId="18" xfId="17" applyFont="1" applyFill="1" applyBorder="1" applyAlignment="1" applyProtection="1">
      <alignment vertical="center"/>
    </xf>
    <xf numFmtId="0" fontId="75" fillId="4" borderId="15" xfId="17" applyFont="1" applyFill="1" applyBorder="1" applyAlignment="1" applyProtection="1">
      <alignment vertical="center"/>
    </xf>
    <xf numFmtId="0" fontId="77" fillId="4" borderId="0" xfId="17" applyFont="1" applyFill="1" applyAlignment="1" applyProtection="1">
      <alignment vertical="center"/>
    </xf>
    <xf numFmtId="3" fontId="97" fillId="0" borderId="0" xfId="16" applyFont="1" applyAlignment="1">
      <alignment horizontal="center"/>
    </xf>
    <xf numFmtId="0" fontId="100" fillId="0" borderId="0" xfId="0" applyFont="1" applyAlignment="1">
      <alignment horizontal="center"/>
    </xf>
    <xf numFmtId="0" fontId="90" fillId="0" borderId="0" xfId="7" applyNumberFormat="1" applyFont="1"/>
    <xf numFmtId="0" fontId="90" fillId="0" borderId="0" xfId="7" applyNumberFormat="1" applyFont="1" applyFill="1"/>
    <xf numFmtId="0" fontId="90" fillId="0" borderId="0" xfId="7" applyNumberFormat="1" applyFont="1" applyAlignment="1">
      <alignment horizontal="center"/>
    </xf>
    <xf numFmtId="0" fontId="91" fillId="0" borderId="0" xfId="7" applyNumberFormat="1" applyFont="1" applyFill="1" applyAlignment="1">
      <alignment horizontal="center"/>
    </xf>
    <xf numFmtId="17" fontId="91" fillId="0" borderId="0" xfId="7" quotePrefix="1" applyNumberFormat="1" applyFont="1" applyFill="1" applyAlignment="1">
      <alignment horizontal="center"/>
    </xf>
    <xf numFmtId="17" fontId="92" fillId="0" borderId="0" xfId="7" quotePrefix="1" applyNumberFormat="1" applyFont="1" applyFill="1" applyAlignment="1">
      <alignment horizontal="center"/>
    </xf>
    <xf numFmtId="3" fontId="90" fillId="0" borderId="0" xfId="7" applyNumberFormat="1" applyFont="1"/>
    <xf numFmtId="0" fontId="90" fillId="0" borderId="76" xfId="0" applyFont="1" applyBorder="1"/>
    <xf numFmtId="169" fontId="95" fillId="0" borderId="0" xfId="14" applyAlignment="1">
      <alignment horizontal="left" indent="1"/>
    </xf>
    <xf numFmtId="169" fontId="98" fillId="0" borderId="0" xfId="14" applyNumberFormat="1" applyFont="1"/>
    <xf numFmtId="49" fontId="98" fillId="0" borderId="0" xfId="14" applyNumberFormat="1" applyFont="1" applyAlignment="1">
      <alignment horizontal="left" indent="1"/>
    </xf>
    <xf numFmtId="169" fontId="95" fillId="0" borderId="9" xfId="14" applyNumberFormat="1" applyBorder="1"/>
    <xf numFmtId="49" fontId="95" fillId="0" borderId="0" xfId="14" applyNumberFormat="1" applyAlignment="1">
      <alignment horizontal="left" indent="1"/>
    </xf>
    <xf numFmtId="169" fontId="95" fillId="0" borderId="0" xfId="14" applyNumberFormat="1"/>
    <xf numFmtId="49" fontId="98" fillId="0" borderId="0" xfId="14" applyNumberFormat="1" applyFont="1" applyAlignment="1">
      <alignment horizontal="left"/>
    </xf>
    <xf numFmtId="169" fontId="98" fillId="0" borderId="9" xfId="14" applyFont="1" applyBorder="1" applyAlignment="1">
      <alignment horizontal="center" wrapText="1"/>
    </xf>
    <xf numFmtId="9" fontId="18" fillId="0" borderId="0" xfId="25" applyFont="1"/>
    <xf numFmtId="0" fontId="32" fillId="0" borderId="0" xfId="24" applyFont="1" applyAlignment="1"/>
    <xf numFmtId="0" fontId="32" fillId="0" borderId="0" xfId="24" applyFont="1" applyFill="1" applyAlignment="1"/>
    <xf numFmtId="0" fontId="65" fillId="0" borderId="0" xfId="24" applyFont="1" applyFill="1" applyAlignment="1"/>
    <xf numFmtId="0" fontId="18" fillId="0" borderId="0" xfId="24" applyFont="1" applyFill="1" applyAlignment="1"/>
    <xf numFmtId="0" fontId="70" fillId="0" borderId="0" xfId="24" applyFont="1" applyFill="1" applyBorder="1" applyAlignment="1"/>
    <xf numFmtId="0" fontId="18" fillId="0" borderId="0" xfId="24" applyFont="1" applyAlignment="1"/>
    <xf numFmtId="0" fontId="105" fillId="9" borderId="0" xfId="24" applyFont="1" applyFill="1"/>
    <xf numFmtId="0" fontId="32" fillId="9" borderId="0" xfId="24" applyFont="1" applyFill="1"/>
    <xf numFmtId="0" fontId="50" fillId="0" borderId="0" xfId="24" applyFont="1" applyBorder="1" applyAlignment="1">
      <alignment vertical="center"/>
    </xf>
    <xf numFmtId="0" fontId="50" fillId="0" borderId="67" xfId="24" applyFont="1" applyBorder="1" applyAlignment="1">
      <alignment vertical="center"/>
    </xf>
    <xf numFmtId="169" fontId="107" fillId="0" borderId="0" xfId="31"/>
    <xf numFmtId="169" fontId="107" fillId="0" borderId="0" xfId="31" applyAlignment="1">
      <alignment horizontal="left" indent="1"/>
    </xf>
    <xf numFmtId="169" fontId="108" fillId="0" borderId="0" xfId="31" applyNumberFormat="1" applyFont="1"/>
    <xf numFmtId="49" fontId="108" fillId="0" borderId="0" xfId="31" applyNumberFormat="1" applyFont="1" applyAlignment="1">
      <alignment horizontal="left" indent="1"/>
    </xf>
    <xf numFmtId="169" fontId="107" fillId="0" borderId="9" xfId="31" applyNumberFormat="1" applyBorder="1"/>
    <xf numFmtId="49" fontId="107" fillId="0" borderId="0" xfId="31" applyNumberFormat="1" applyAlignment="1">
      <alignment horizontal="left" indent="1"/>
    </xf>
    <xf numFmtId="169" fontId="107" fillId="0" borderId="0" xfId="31" applyNumberFormat="1"/>
    <xf numFmtId="49" fontId="108" fillId="0" borderId="0" xfId="31" applyNumberFormat="1" applyFont="1" applyAlignment="1">
      <alignment horizontal="left"/>
    </xf>
    <xf numFmtId="49" fontId="108" fillId="0" borderId="0" xfId="31" applyNumberFormat="1" applyFont="1"/>
    <xf numFmtId="49" fontId="107" fillId="0" borderId="0" xfId="31" applyNumberFormat="1"/>
    <xf numFmtId="169" fontId="108" fillId="0" borderId="9" xfId="31" applyFont="1" applyBorder="1" applyAlignment="1">
      <alignment horizontal="center" wrapText="1"/>
    </xf>
    <xf numFmtId="169" fontId="107" fillId="0" borderId="9" xfId="31" applyBorder="1"/>
    <xf numFmtId="169" fontId="108" fillId="0" borderId="0" xfId="31" applyFont="1" applyAlignment="1">
      <alignment horizontal="centerContinuous"/>
    </xf>
    <xf numFmtId="169" fontId="107" fillId="0" borderId="0" xfId="31" applyAlignment="1">
      <alignment horizontal="centerContinuous"/>
    </xf>
    <xf numFmtId="169" fontId="15" fillId="0" borderId="0" xfId="32"/>
    <xf numFmtId="169" fontId="15" fillId="0" borderId="0" xfId="32" applyAlignment="1">
      <alignment vertical="top"/>
    </xf>
    <xf numFmtId="169" fontId="15" fillId="0" borderId="74" xfId="32" applyBorder="1" applyAlignment="1">
      <alignment vertical="top"/>
    </xf>
    <xf numFmtId="169" fontId="104" fillId="0" borderId="0" xfId="32" applyFont="1" applyAlignment="1">
      <alignment vertical="top"/>
    </xf>
    <xf numFmtId="169" fontId="109" fillId="0" borderId="0" xfId="32" applyFont="1" applyAlignment="1">
      <alignment vertical="top"/>
    </xf>
    <xf numFmtId="169" fontId="104" fillId="0" borderId="0" xfId="32" applyFont="1"/>
    <xf numFmtId="169" fontId="104" fillId="0" borderId="9" xfId="32" applyFont="1" applyBorder="1" applyAlignment="1">
      <alignment horizontal="right" vertical="top"/>
    </xf>
    <xf numFmtId="169" fontId="104" fillId="0" borderId="9" xfId="32" applyFont="1" applyBorder="1" applyAlignment="1">
      <alignment vertical="top"/>
    </xf>
    <xf numFmtId="0" fontId="18" fillId="4" borderId="0" xfId="33" applyFont="1" applyFill="1"/>
    <xf numFmtId="0" fontId="18" fillId="4" borderId="0" xfId="33" applyFont="1" applyFill="1" applyAlignment="1">
      <alignment horizontal="left" indent="1"/>
    </xf>
    <xf numFmtId="0" fontId="50" fillId="4" borderId="0" xfId="33" applyFont="1" applyFill="1" applyAlignment="1">
      <alignment vertical="center"/>
    </xf>
    <xf numFmtId="10" fontId="77" fillId="4" borderId="0" xfId="34" applyNumberFormat="1" applyFont="1" applyFill="1" applyBorder="1" applyAlignment="1" applyProtection="1">
      <alignment vertical="center"/>
      <protection locked="0"/>
    </xf>
    <xf numFmtId="3" fontId="77" fillId="4" borderId="0" xfId="33" applyNumberFormat="1" applyFont="1" applyFill="1" applyBorder="1" applyAlignment="1" applyProtection="1">
      <alignment vertical="center"/>
      <protection locked="0"/>
    </xf>
    <xf numFmtId="37" fontId="77" fillId="4" borderId="0" xfId="33" applyNumberFormat="1" applyFont="1" applyFill="1" applyBorder="1" applyAlignment="1" applyProtection="1">
      <alignment horizontal="right" vertical="center"/>
    </xf>
    <xf numFmtId="37" fontId="77" fillId="4" borderId="0" xfId="33" applyNumberFormat="1" applyFont="1" applyFill="1" applyBorder="1" applyAlignment="1" applyProtection="1">
      <alignment vertical="center"/>
    </xf>
    <xf numFmtId="49" fontId="75" fillId="4" borderId="0" xfId="33" applyNumberFormat="1" applyFont="1" applyFill="1" applyBorder="1" applyAlignment="1" applyProtection="1">
      <alignment horizontal="left" vertical="center"/>
    </xf>
    <xf numFmtId="0" fontId="18" fillId="4" borderId="0" xfId="33" applyFont="1" applyFill="1" applyBorder="1"/>
    <xf numFmtId="10" fontId="77" fillId="4" borderId="67" xfId="34" applyNumberFormat="1" applyFont="1" applyFill="1" applyBorder="1" applyAlignment="1" applyProtection="1">
      <alignment horizontal="right" vertical="center"/>
      <protection locked="0"/>
    </xf>
    <xf numFmtId="3" fontId="77" fillId="4" borderId="67" xfId="33" applyNumberFormat="1" applyFont="1" applyFill="1" applyBorder="1" applyAlignment="1" applyProtection="1">
      <alignment horizontal="right" vertical="center"/>
      <protection locked="0"/>
    </xf>
    <xf numFmtId="37" fontId="77" fillId="4" borderId="67" xfId="33" applyNumberFormat="1" applyFont="1" applyFill="1" applyBorder="1" applyAlignment="1" applyProtection="1">
      <alignment horizontal="right" vertical="center"/>
      <protection locked="0"/>
    </xf>
    <xf numFmtId="166" fontId="50" fillId="4" borderId="67" xfId="35" applyNumberFormat="1" applyFont="1" applyFill="1" applyBorder="1"/>
    <xf numFmtId="0" fontId="50" fillId="0" borderId="67" xfId="33" applyFont="1" applyFill="1" applyBorder="1"/>
    <xf numFmtId="0" fontId="50" fillId="4" borderId="67" xfId="33" applyFont="1" applyFill="1" applyBorder="1" applyAlignment="1">
      <alignment horizontal="center"/>
    </xf>
    <xf numFmtId="0" fontId="78" fillId="4" borderId="19" xfId="33" applyFont="1" applyFill="1" applyBorder="1" applyAlignment="1" applyProtection="1">
      <alignment vertical="center"/>
    </xf>
    <xf numFmtId="10" fontId="77" fillId="4" borderId="68" xfId="34" applyNumberFormat="1" applyFont="1" applyFill="1" applyBorder="1" applyAlignment="1" applyProtection="1">
      <alignment vertical="center"/>
      <protection locked="0"/>
    </xf>
    <xf numFmtId="37" fontId="77" fillId="4" borderId="69" xfId="33" applyNumberFormat="1" applyFont="1" applyFill="1" applyBorder="1" applyAlignment="1" applyProtection="1">
      <alignment horizontal="right" vertical="center"/>
    </xf>
    <xf numFmtId="37" fontId="77" fillId="4" borderId="37" xfId="33" applyNumberFormat="1" applyFont="1" applyFill="1" applyBorder="1" applyAlignment="1" applyProtection="1">
      <alignment horizontal="right" vertical="center"/>
    </xf>
    <xf numFmtId="37" fontId="77" fillId="4" borderId="37" xfId="33" applyNumberFormat="1" applyFont="1" applyFill="1" applyBorder="1" applyAlignment="1" applyProtection="1">
      <alignment vertical="center"/>
    </xf>
    <xf numFmtId="0" fontId="78" fillId="4" borderId="36" xfId="33" applyFont="1" applyFill="1" applyBorder="1" applyAlignment="1" applyProtection="1">
      <alignment vertical="center"/>
    </xf>
    <xf numFmtId="0" fontId="18" fillId="4" borderId="0" xfId="33" applyFont="1" applyFill="1" applyAlignment="1">
      <alignment vertical="center"/>
    </xf>
    <xf numFmtId="39" fontId="75" fillId="4" borderId="3" xfId="33" applyNumberFormat="1" applyFont="1" applyFill="1" applyBorder="1" applyAlignment="1" applyProtection="1">
      <alignment horizontal="right" vertical="center"/>
    </xf>
    <xf numFmtId="37" fontId="75" fillId="4" borderId="3" xfId="33" applyNumberFormat="1" applyFont="1" applyFill="1" applyBorder="1" applyAlignment="1" applyProtection="1">
      <alignment horizontal="right" vertical="center"/>
    </xf>
    <xf numFmtId="37" fontId="75" fillId="4" borderId="0" xfId="33" applyNumberFormat="1" applyFont="1" applyFill="1" applyBorder="1" applyAlignment="1" applyProtection="1">
      <alignment vertical="center"/>
    </xf>
    <xf numFmtId="37" fontId="75" fillId="4" borderId="0" xfId="33" applyNumberFormat="1" applyFont="1" applyFill="1" applyBorder="1" applyAlignment="1" applyProtection="1">
      <alignment horizontal="center" vertical="center"/>
    </xf>
    <xf numFmtId="172" fontId="75" fillId="4" borderId="42" xfId="33" applyNumberFormat="1" applyFont="1" applyFill="1" applyBorder="1" applyAlignment="1" applyProtection="1">
      <alignment horizontal="center" vertical="center"/>
    </xf>
    <xf numFmtId="0" fontId="77" fillId="4" borderId="0" xfId="33" applyFont="1" applyFill="1" applyBorder="1" applyAlignment="1">
      <alignment vertical="center"/>
    </xf>
    <xf numFmtId="37" fontId="77" fillId="4" borderId="0" xfId="33" applyNumberFormat="1" applyFont="1" applyFill="1" applyBorder="1" applyAlignment="1" applyProtection="1">
      <alignment horizontal="right" vertical="center"/>
      <protection locked="0"/>
    </xf>
    <xf numFmtId="10" fontId="77" fillId="4" borderId="47" xfId="34" applyNumberFormat="1" applyFont="1" applyFill="1" applyBorder="1" applyAlignment="1" applyProtection="1">
      <alignment horizontal="right" vertical="center"/>
      <protection locked="0"/>
    </xf>
    <xf numFmtId="3" fontId="77" fillId="4" borderId="43" xfId="33" applyNumberFormat="1" applyFont="1" applyFill="1" applyBorder="1" applyAlignment="1" applyProtection="1">
      <alignment horizontal="right" vertical="center"/>
      <protection locked="0"/>
    </xf>
    <xf numFmtId="37" fontId="77" fillId="4" borderId="34" xfId="33" applyNumberFormat="1" applyFont="1" applyFill="1" applyBorder="1" applyAlignment="1" applyProtection="1">
      <alignment horizontal="right" vertical="center"/>
    </xf>
    <xf numFmtId="37" fontId="77" fillId="0" borderId="34" xfId="33" applyNumberFormat="1" applyFont="1" applyFill="1" applyBorder="1" applyAlignment="1" applyProtection="1">
      <alignment vertical="center"/>
    </xf>
    <xf numFmtId="172" fontId="77" fillId="4" borderId="32" xfId="33" applyNumberFormat="1" applyFont="1" applyFill="1" applyBorder="1" applyAlignment="1" applyProtection="1">
      <alignment horizontal="center" vertical="center"/>
    </xf>
    <xf numFmtId="0" fontId="19" fillId="4" borderId="0" xfId="33" applyFont="1" applyFill="1" applyAlignment="1">
      <alignment vertical="center"/>
    </xf>
    <xf numFmtId="10" fontId="79" fillId="4" borderId="45" xfId="33" applyNumberFormat="1" applyFont="1" applyFill="1" applyBorder="1" applyAlignment="1" applyProtection="1">
      <alignment vertical="center"/>
      <protection locked="0"/>
    </xf>
    <xf numFmtId="37" fontId="79" fillId="4" borderId="46" xfId="33" applyNumberFormat="1" applyFont="1" applyFill="1" applyBorder="1" applyAlignment="1" applyProtection="1">
      <alignment vertical="center"/>
      <protection locked="0"/>
    </xf>
    <xf numFmtId="37" fontId="79" fillId="4" borderId="20" xfId="33" applyNumberFormat="1" applyFont="1" applyFill="1" applyBorder="1" applyAlignment="1" applyProtection="1">
      <alignment horizontal="right" vertical="center"/>
    </xf>
    <xf numFmtId="37" fontId="79" fillId="4" borderId="6" xfId="33" applyNumberFormat="1" applyFont="1" applyFill="1" applyBorder="1" applyAlignment="1" applyProtection="1">
      <alignment horizontal="left" vertical="center"/>
      <protection locked="0"/>
    </xf>
    <xf numFmtId="37" fontId="79" fillId="4" borderId="20" xfId="33" applyNumberFormat="1" applyFont="1" applyFill="1" applyBorder="1" applyAlignment="1" applyProtection="1">
      <alignment horizontal="left" vertical="center"/>
    </xf>
    <xf numFmtId="37" fontId="79" fillId="4" borderId="0" xfId="33" applyNumberFormat="1" applyFont="1" applyFill="1" applyBorder="1" applyAlignment="1" applyProtection="1">
      <alignment horizontal="left" vertical="center"/>
      <protection locked="0"/>
    </xf>
    <xf numFmtId="37" fontId="79" fillId="4" borderId="20" xfId="33" quotePrefix="1" applyNumberFormat="1" applyFont="1" applyFill="1" applyBorder="1" applyAlignment="1" applyProtection="1">
      <alignment horizontal="left" vertical="center"/>
      <protection locked="0"/>
    </xf>
    <xf numFmtId="0" fontId="79" fillId="0" borderId="70" xfId="33" applyFont="1" applyFill="1" applyBorder="1" applyAlignment="1" applyProtection="1">
      <alignment horizontal="left" vertical="center" indent="2"/>
    </xf>
    <xf numFmtId="10" fontId="79" fillId="4" borderId="7" xfId="33" applyNumberFormat="1" applyFont="1" applyFill="1" applyBorder="1" applyAlignment="1" applyProtection="1">
      <alignment vertical="center"/>
      <protection locked="0"/>
    </xf>
    <xf numFmtId="37" fontId="79" fillId="4" borderId="59" xfId="33" applyNumberFormat="1" applyFont="1" applyFill="1" applyBorder="1" applyAlignment="1" applyProtection="1">
      <alignment vertical="center"/>
      <protection locked="0"/>
    </xf>
    <xf numFmtId="0" fontId="79" fillId="0" borderId="31" xfId="33" applyFont="1" applyFill="1" applyBorder="1" applyAlignment="1" applyProtection="1">
      <alignment horizontal="left" vertical="center" indent="2"/>
    </xf>
    <xf numFmtId="37" fontId="79" fillId="0" borderId="20" xfId="33" applyNumberFormat="1" applyFont="1" applyFill="1" applyBorder="1" applyAlignment="1" applyProtection="1">
      <alignment horizontal="left" vertical="center"/>
    </xf>
    <xf numFmtId="10" fontId="75" fillId="4" borderId="30" xfId="33" applyNumberFormat="1" applyFont="1" applyFill="1" applyBorder="1" applyAlignment="1" applyProtection="1">
      <alignment vertical="center"/>
      <protection locked="0"/>
    </xf>
    <xf numFmtId="37" fontId="75" fillId="4" borderId="0" xfId="33" applyNumberFormat="1" applyFont="1" applyFill="1" applyBorder="1" applyAlignment="1" applyProtection="1">
      <alignment vertical="center"/>
      <protection locked="0"/>
    </xf>
    <xf numFmtId="37" fontId="75" fillId="0" borderId="30" xfId="33" applyNumberFormat="1" applyFont="1" applyFill="1" applyBorder="1" applyAlignment="1" applyProtection="1">
      <alignment vertical="center"/>
    </xf>
    <xf numFmtId="37" fontId="75" fillId="4" borderId="20" xfId="33" quotePrefix="1" applyNumberFormat="1" applyFont="1" applyFill="1" applyBorder="1" applyAlignment="1" applyProtection="1">
      <alignment horizontal="right" vertical="center"/>
      <protection locked="0"/>
    </xf>
    <xf numFmtId="0" fontId="75" fillId="0" borderId="30" xfId="33" applyFont="1" applyFill="1" applyBorder="1" applyAlignment="1" applyProtection="1">
      <alignment horizontal="left" vertical="center"/>
    </xf>
    <xf numFmtId="10" fontId="79" fillId="4" borderId="30" xfId="33" applyNumberFormat="1" applyFont="1" applyFill="1" applyBorder="1" applyAlignment="1" applyProtection="1">
      <alignment vertical="center"/>
      <protection locked="0"/>
    </xf>
    <xf numFmtId="37" fontId="79" fillId="4" borderId="0" xfId="33" applyNumberFormat="1" applyFont="1" applyFill="1" applyBorder="1" applyAlignment="1" applyProtection="1">
      <alignment vertical="center"/>
      <protection locked="0"/>
    </xf>
    <xf numFmtId="37" fontId="79" fillId="4" borderId="30" xfId="33" applyNumberFormat="1" applyFont="1" applyFill="1" applyBorder="1" applyAlignment="1" applyProtection="1">
      <alignment horizontal="left" vertical="center"/>
      <protection locked="0"/>
    </xf>
    <xf numFmtId="37" fontId="79" fillId="4" borderId="6" xfId="33" applyNumberFormat="1" applyFont="1" applyFill="1" applyBorder="1" applyAlignment="1" applyProtection="1">
      <alignment horizontal="right" vertical="center"/>
      <protection locked="0"/>
    </xf>
    <xf numFmtId="0" fontId="79" fillId="0" borderId="30" xfId="33" applyFont="1" applyFill="1" applyBorder="1" applyAlignment="1" applyProtection="1">
      <alignment horizontal="left" vertical="center" indent="2"/>
    </xf>
    <xf numFmtId="37" fontId="79" fillId="4" borderId="30" xfId="33" applyNumberFormat="1" applyFont="1" applyFill="1" applyBorder="1" applyAlignment="1" applyProtection="1">
      <alignment horizontal="left" vertical="center"/>
    </xf>
    <xf numFmtId="37" fontId="79" fillId="4" borderId="30" xfId="33" applyNumberFormat="1" applyFont="1" applyFill="1" applyBorder="1" applyAlignment="1" applyProtection="1">
      <alignment horizontal="right" vertical="center"/>
      <protection locked="0"/>
    </xf>
    <xf numFmtId="37" fontId="75" fillId="4" borderId="30" xfId="33" applyNumberFormat="1" applyFont="1" applyFill="1" applyBorder="1" applyAlignment="1" applyProtection="1">
      <alignment horizontal="right" vertical="center"/>
      <protection locked="0"/>
    </xf>
    <xf numFmtId="0" fontId="75" fillId="4" borderId="30" xfId="33" applyFont="1" applyFill="1" applyBorder="1" applyAlignment="1" applyProtection="1">
      <alignment vertical="center"/>
    </xf>
    <xf numFmtId="37" fontId="75" fillId="4" borderId="20" xfId="33" applyNumberFormat="1" applyFont="1" applyFill="1" applyBorder="1" applyAlignment="1" applyProtection="1">
      <alignment horizontal="right" vertical="center"/>
    </xf>
    <xf numFmtId="37" fontId="75" fillId="4" borderId="19" xfId="33" applyNumberFormat="1" applyFont="1" applyFill="1" applyBorder="1" applyAlignment="1" applyProtection="1">
      <alignment horizontal="right" vertical="center"/>
      <protection locked="0"/>
    </xf>
    <xf numFmtId="37" fontId="75" fillId="4" borderId="20" xfId="33" applyNumberFormat="1" applyFont="1" applyFill="1" applyBorder="1" applyAlignment="1" applyProtection="1">
      <alignment horizontal="right" vertical="center"/>
      <protection locked="0"/>
    </xf>
    <xf numFmtId="0" fontId="75" fillId="4" borderId="30" xfId="33" applyFont="1" applyFill="1" applyBorder="1" applyAlignment="1" applyProtection="1">
      <alignment horizontal="left" vertical="center"/>
    </xf>
    <xf numFmtId="0" fontId="79" fillId="4" borderId="0" xfId="33" applyFont="1" applyFill="1" applyBorder="1" applyAlignment="1">
      <alignment vertical="center"/>
    </xf>
    <xf numFmtId="37" fontId="79" fillId="4" borderId="0" xfId="33" applyNumberFormat="1" applyFont="1" applyFill="1" applyBorder="1" applyAlignment="1" applyProtection="1">
      <alignment horizontal="right" vertical="center"/>
      <protection locked="0"/>
    </xf>
    <xf numFmtId="37" fontId="79" fillId="4" borderId="20" xfId="33" applyNumberFormat="1" applyFont="1" applyFill="1" applyBorder="1" applyAlignment="1" applyProtection="1">
      <alignment horizontal="center" vertical="center"/>
      <protection locked="0"/>
    </xf>
    <xf numFmtId="37" fontId="79" fillId="0" borderId="21" xfId="33" applyNumberFormat="1" applyFont="1" applyFill="1" applyBorder="1" applyAlignment="1" applyProtection="1">
      <alignment horizontal="right" vertical="center"/>
      <protection locked="0"/>
    </xf>
    <xf numFmtId="37" fontId="79" fillId="4" borderId="19" xfId="33" applyNumberFormat="1" applyFont="1" applyFill="1" applyBorder="1" applyAlignment="1" applyProtection="1">
      <alignment horizontal="left" vertical="center"/>
      <protection locked="0"/>
    </xf>
    <xf numFmtId="37" fontId="79" fillId="4" borderId="20" xfId="33" applyNumberFormat="1" applyFont="1" applyFill="1" applyBorder="1" applyAlignment="1" applyProtection="1">
      <alignment horizontal="left" vertical="center"/>
      <protection locked="0"/>
    </xf>
    <xf numFmtId="0" fontId="19" fillId="4" borderId="31" xfId="33" applyFont="1" applyFill="1" applyBorder="1" applyAlignment="1">
      <alignment horizontal="left" vertical="center" indent="2"/>
    </xf>
    <xf numFmtId="37" fontId="79" fillId="4" borderId="21" xfId="33" applyNumberFormat="1" applyFont="1" applyFill="1" applyBorder="1" applyAlignment="1" applyProtection="1">
      <alignment horizontal="right" vertical="center"/>
      <protection locked="0"/>
    </xf>
    <xf numFmtId="0" fontId="75" fillId="4" borderId="0" xfId="33" applyFont="1" applyFill="1" applyBorder="1" applyAlignment="1">
      <alignment vertical="center"/>
    </xf>
    <xf numFmtId="37" fontId="75" fillId="4" borderId="0" xfId="33" applyNumberFormat="1" applyFont="1" applyFill="1" applyBorder="1" applyAlignment="1" applyProtection="1">
      <alignment horizontal="right" vertical="center"/>
      <protection locked="0"/>
    </xf>
    <xf numFmtId="37" fontId="75" fillId="4" borderId="21" xfId="33" applyNumberFormat="1" applyFont="1" applyFill="1" applyBorder="1" applyAlignment="1" applyProtection="1">
      <alignment horizontal="right" vertical="center"/>
      <protection locked="0"/>
    </xf>
    <xf numFmtId="37" fontId="75" fillId="0" borderId="21" xfId="33" applyNumberFormat="1" applyFont="1" applyFill="1" applyBorder="1" applyAlignment="1" applyProtection="1">
      <alignment horizontal="right" vertical="center"/>
      <protection locked="0"/>
    </xf>
    <xf numFmtId="37" fontId="75" fillId="4" borderId="6" xfId="33" applyNumberFormat="1" applyFont="1" applyFill="1" applyBorder="1" applyAlignment="1" applyProtection="1">
      <alignment horizontal="right" vertical="center"/>
      <protection locked="0"/>
    </xf>
    <xf numFmtId="0" fontId="18" fillId="4" borderId="31" xfId="33" applyFont="1" applyFill="1" applyBorder="1" applyAlignment="1">
      <alignment horizontal="left" vertical="center"/>
    </xf>
    <xf numFmtId="166" fontId="75" fillId="4" borderId="71" xfId="33" applyNumberFormat="1" applyFont="1" applyFill="1" applyBorder="1" applyAlignment="1" applyProtection="1">
      <alignment horizontal="centerContinuous" vertical="center"/>
    </xf>
    <xf numFmtId="37" fontId="75" fillId="4" borderId="71" xfId="33" applyNumberFormat="1" applyFont="1" applyFill="1" applyBorder="1" applyAlignment="1" applyProtection="1">
      <alignment horizontal="right" vertical="center"/>
    </xf>
    <xf numFmtId="166" fontId="75" fillId="4" borderId="71" xfId="35" applyNumberFormat="1" applyFont="1" applyFill="1" applyBorder="1" applyAlignment="1" applyProtection="1">
      <alignment horizontal="right" vertical="center"/>
    </xf>
    <xf numFmtId="37" fontId="75" fillId="4" borderId="0" xfId="33" applyNumberFormat="1" applyFont="1" applyFill="1" applyBorder="1" applyAlignment="1" applyProtection="1">
      <alignment horizontal="right" vertical="center"/>
    </xf>
    <xf numFmtId="37" fontId="75" fillId="0" borderId="20" xfId="33" applyNumberFormat="1" applyFont="1" applyFill="1" applyBorder="1" applyAlignment="1" applyProtection="1">
      <alignment horizontal="right" vertical="center"/>
    </xf>
    <xf numFmtId="0" fontId="18" fillId="4" borderId="31" xfId="33" applyFont="1" applyFill="1" applyBorder="1" applyAlignment="1">
      <alignment horizontal="left" vertical="center" wrapText="1"/>
    </xf>
    <xf numFmtId="0" fontId="75" fillId="4" borderId="72" xfId="33" applyFont="1" applyFill="1" applyBorder="1" applyAlignment="1" applyProtection="1">
      <alignment horizontal="center" vertical="center"/>
    </xf>
    <xf numFmtId="0" fontId="75" fillId="4" borderId="73" xfId="33" applyFont="1" applyFill="1" applyBorder="1" applyAlignment="1" applyProtection="1">
      <alignment horizontal="centerContinuous" vertical="center"/>
    </xf>
    <xf numFmtId="0" fontId="75" fillId="4" borderId="41" xfId="33" applyFont="1" applyFill="1" applyBorder="1" applyAlignment="1" applyProtection="1">
      <alignment horizontal="center" vertical="center"/>
    </xf>
    <xf numFmtId="37" fontId="75" fillId="4" borderId="74" xfId="33" applyNumberFormat="1" applyFont="1" applyFill="1" applyBorder="1" applyAlignment="1" applyProtection="1">
      <alignment horizontal="center" vertical="center"/>
    </xf>
    <xf numFmtId="37" fontId="75" fillId="4" borderId="41" xfId="33" applyNumberFormat="1" applyFont="1" applyFill="1" applyBorder="1" applyAlignment="1" applyProtection="1">
      <alignment horizontal="center" vertical="center"/>
    </xf>
    <xf numFmtId="0" fontId="75" fillId="4" borderId="50" xfId="33" applyFont="1" applyFill="1" applyBorder="1" applyAlignment="1" applyProtection="1">
      <alignment horizontal="centerContinuous" vertical="center"/>
    </xf>
    <xf numFmtId="170" fontId="75" fillId="4" borderId="22" xfId="33" applyNumberFormat="1" applyFont="1" applyFill="1" applyBorder="1" applyAlignment="1" applyProtection="1">
      <alignment horizontal="centerContinuous" vertical="center"/>
    </xf>
    <xf numFmtId="0" fontId="75" fillId="4" borderId="21" xfId="33" applyFont="1" applyFill="1" applyBorder="1" applyAlignment="1" applyProtection="1">
      <alignment horizontal="center" vertical="center"/>
    </xf>
    <xf numFmtId="0" fontId="75" fillId="4" borderId="20" xfId="33" applyFont="1" applyFill="1" applyBorder="1" applyAlignment="1" applyProtection="1">
      <alignment horizontal="center" vertical="center"/>
    </xf>
    <xf numFmtId="37" fontId="75" fillId="4" borderId="0" xfId="33" applyNumberFormat="1" applyFont="1" applyFill="1" applyAlignment="1" applyProtection="1">
      <alignment horizontal="center" vertical="center"/>
    </xf>
    <xf numFmtId="37" fontId="75" fillId="4" borderId="20" xfId="33" applyNumberFormat="1" applyFont="1" applyFill="1" applyBorder="1" applyAlignment="1" applyProtection="1">
      <alignment horizontal="center" vertical="center"/>
    </xf>
    <xf numFmtId="0" fontId="75" fillId="4" borderId="75" xfId="33" applyFont="1" applyFill="1" applyBorder="1" applyAlignment="1" applyProtection="1">
      <alignment vertical="center"/>
    </xf>
    <xf numFmtId="171" fontId="75" fillId="4" borderId="1" xfId="33" applyNumberFormat="1" applyFont="1" applyFill="1" applyBorder="1" applyAlignment="1" applyProtection="1">
      <alignment vertical="center"/>
      <protection locked="0"/>
    </xf>
    <xf numFmtId="37" fontId="75" fillId="4" borderId="1" xfId="33" applyNumberFormat="1" applyFont="1" applyFill="1" applyBorder="1" applyAlignment="1" applyProtection="1">
      <alignment vertical="center"/>
    </xf>
    <xf numFmtId="0" fontId="75" fillId="4" borderId="1" xfId="33" applyFont="1" applyFill="1" applyBorder="1" applyAlignment="1" applyProtection="1">
      <alignment horizontal="center" vertical="center"/>
    </xf>
    <xf numFmtId="10" fontId="77" fillId="4" borderId="51" xfId="33" applyNumberFormat="1" applyFont="1" applyFill="1" applyBorder="1" applyAlignment="1" applyProtection="1">
      <alignment vertical="center"/>
    </xf>
    <xf numFmtId="37" fontId="77" fillId="4" borderId="28" xfId="33" applyNumberFormat="1" applyFont="1" applyFill="1" applyBorder="1" applyAlignment="1" applyProtection="1">
      <alignment vertical="center"/>
    </xf>
    <xf numFmtId="0" fontId="77" fillId="4" borderId="27" xfId="33" applyFont="1" applyFill="1" applyBorder="1" applyAlignment="1" applyProtection="1">
      <alignment horizontal="left" vertical="center"/>
    </xf>
    <xf numFmtId="10" fontId="75" fillId="4" borderId="55" xfId="33" applyNumberFormat="1" applyFont="1" applyFill="1" applyBorder="1" applyAlignment="1" applyProtection="1">
      <alignment vertical="center"/>
      <protection locked="0"/>
    </xf>
    <xf numFmtId="37" fontId="75" fillId="4" borderId="21" xfId="33" applyNumberFormat="1" applyFont="1" applyFill="1" applyBorder="1" applyAlignment="1" applyProtection="1">
      <alignment vertical="center"/>
    </xf>
    <xf numFmtId="37" fontId="75" fillId="4" borderId="20" xfId="33" applyNumberFormat="1" applyFont="1" applyFill="1" applyBorder="1" applyAlignment="1" applyProtection="1">
      <alignment vertical="center"/>
    </xf>
    <xf numFmtId="37" fontId="75" fillId="4" borderId="20" xfId="33" quotePrefix="1" applyNumberFormat="1" applyFont="1" applyFill="1" applyBorder="1" applyAlignment="1" applyProtection="1">
      <alignment horizontal="center" vertical="center"/>
      <protection locked="0"/>
    </xf>
    <xf numFmtId="0" fontId="75" fillId="0" borderId="19" xfId="33" applyFont="1" applyFill="1" applyBorder="1" applyAlignment="1" applyProtection="1">
      <alignment vertical="center"/>
    </xf>
    <xf numFmtId="37" fontId="75" fillId="4" borderId="30" xfId="33" applyNumberFormat="1" applyFont="1" applyFill="1" applyBorder="1" applyAlignment="1" applyProtection="1">
      <alignment vertical="center"/>
    </xf>
    <xf numFmtId="172" fontId="75" fillId="0" borderId="19" xfId="33" applyNumberFormat="1" applyFont="1" applyFill="1" applyBorder="1" applyAlignment="1" applyProtection="1">
      <alignment vertical="center"/>
    </xf>
    <xf numFmtId="37" fontId="75" fillId="0" borderId="20" xfId="33" applyNumberFormat="1" applyFont="1" applyFill="1" applyBorder="1" applyAlignment="1" applyProtection="1">
      <alignment vertical="center"/>
    </xf>
    <xf numFmtId="10" fontId="79" fillId="4" borderId="30" xfId="33" applyNumberFormat="1" applyFont="1" applyFill="1" applyBorder="1" applyAlignment="1" applyProtection="1">
      <alignment horizontal="left" vertical="center"/>
      <protection locked="0"/>
    </xf>
    <xf numFmtId="37" fontId="79" fillId="4" borderId="21" xfId="33" applyNumberFormat="1" applyFont="1" applyFill="1" applyBorder="1" applyAlignment="1" applyProtection="1">
      <alignment horizontal="left" vertical="center"/>
    </xf>
    <xf numFmtId="37" fontId="79" fillId="4" borderId="20" xfId="33" quotePrefix="1" applyNumberFormat="1" applyFont="1" applyFill="1" applyBorder="1" applyAlignment="1" applyProtection="1">
      <alignment horizontal="center" vertical="center"/>
      <protection locked="0"/>
    </xf>
    <xf numFmtId="172" fontId="79" fillId="0" borderId="19" xfId="33" quotePrefix="1" applyNumberFormat="1" applyFont="1" applyFill="1" applyBorder="1" applyAlignment="1" applyProtection="1">
      <alignment horizontal="left" vertical="center" indent="1"/>
    </xf>
    <xf numFmtId="37" fontId="79" fillId="4" borderId="21" xfId="33" applyNumberFormat="1" applyFont="1" applyFill="1" applyBorder="1" applyAlignment="1" applyProtection="1">
      <alignment horizontal="left" vertical="center"/>
      <protection locked="0"/>
    </xf>
    <xf numFmtId="0" fontId="79" fillId="0" borderId="19" xfId="33" quotePrefix="1" applyFont="1" applyFill="1" applyBorder="1" applyAlignment="1" applyProtection="1">
      <alignment horizontal="left" vertical="center" indent="1"/>
    </xf>
    <xf numFmtId="37" fontId="75" fillId="4" borderId="30" xfId="33" applyNumberFormat="1" applyFont="1" applyFill="1" applyBorder="1" applyAlignment="1" applyProtection="1">
      <alignment vertical="center"/>
      <protection locked="0"/>
    </xf>
    <xf numFmtId="37" fontId="75" fillId="4" borderId="19" xfId="33" quotePrefix="1" applyNumberFormat="1" applyFont="1" applyFill="1" applyBorder="1" applyAlignment="1" applyProtection="1">
      <alignment horizontal="right" vertical="center"/>
      <protection locked="0"/>
    </xf>
    <xf numFmtId="37" fontId="75" fillId="4" borderId="0" xfId="33" applyNumberFormat="1" applyFont="1" applyFill="1" applyAlignment="1" applyProtection="1">
      <alignment horizontal="right" vertical="center"/>
    </xf>
    <xf numFmtId="37" fontId="75" fillId="4" borderId="59" xfId="33" applyNumberFormat="1" applyFont="1" applyFill="1" applyBorder="1" applyAlignment="1" applyProtection="1">
      <alignment horizontal="right" vertical="center"/>
    </xf>
    <xf numFmtId="37" fontId="79" fillId="4" borderId="19" xfId="33" quotePrefix="1" applyNumberFormat="1" applyFont="1" applyFill="1" applyBorder="1" applyAlignment="1" applyProtection="1">
      <alignment horizontal="left" vertical="center"/>
      <protection locked="0"/>
    </xf>
    <xf numFmtId="0" fontId="79" fillId="4" borderId="19" xfId="33" quotePrefix="1" applyFont="1" applyFill="1" applyBorder="1" applyAlignment="1" applyProtection="1">
      <alignment horizontal="left" vertical="center" indent="1"/>
    </xf>
    <xf numFmtId="10" fontId="75" fillId="4" borderId="48" xfId="33" applyNumberFormat="1" applyFont="1" applyFill="1" applyBorder="1" applyAlignment="1" applyProtection="1">
      <alignment vertical="center"/>
      <protection locked="0"/>
    </xf>
    <xf numFmtId="37" fontId="75" fillId="4" borderId="52" xfId="33" applyNumberFormat="1" applyFont="1" applyFill="1" applyBorder="1" applyAlignment="1" applyProtection="1">
      <alignment vertical="center"/>
      <protection locked="0"/>
    </xf>
    <xf numFmtId="37" fontId="75" fillId="4" borderId="29" xfId="33" applyNumberFormat="1" applyFont="1" applyFill="1" applyBorder="1" applyAlignment="1" applyProtection="1">
      <alignment vertical="center"/>
    </xf>
    <xf numFmtId="37" fontId="75" fillId="4" borderId="28" xfId="33" applyNumberFormat="1" applyFont="1" applyFill="1" applyBorder="1" applyAlignment="1" applyProtection="1">
      <alignment horizontal="right" vertical="center"/>
      <protection locked="0"/>
    </xf>
    <xf numFmtId="37" fontId="75" fillId="4" borderId="28" xfId="33" quotePrefix="1" applyNumberFormat="1" applyFont="1" applyFill="1" applyBorder="1" applyAlignment="1" applyProtection="1">
      <alignment horizontal="center" vertical="center"/>
      <protection locked="0"/>
    </xf>
    <xf numFmtId="0" fontId="75" fillId="4" borderId="27" xfId="33" applyFont="1" applyFill="1" applyBorder="1" applyAlignment="1" applyProtection="1">
      <alignment vertical="center"/>
    </xf>
    <xf numFmtId="0" fontId="75" fillId="4" borderId="53" xfId="33" applyFont="1" applyFill="1" applyBorder="1" applyAlignment="1" applyProtection="1">
      <alignment horizontal="center" vertical="center"/>
    </xf>
    <xf numFmtId="0" fontId="75" fillId="4" borderId="54" xfId="33" applyFont="1" applyFill="1" applyBorder="1" applyAlignment="1" applyProtection="1">
      <alignment horizontal="centerContinuous" vertical="center"/>
    </xf>
    <xf numFmtId="0" fontId="75" fillId="4" borderId="25" xfId="33" applyFont="1" applyFill="1" applyBorder="1" applyAlignment="1" applyProtection="1">
      <alignment horizontal="center" vertical="center"/>
    </xf>
    <xf numFmtId="0" fontId="75" fillId="4" borderId="24" xfId="33" applyFont="1" applyFill="1" applyBorder="1" applyAlignment="1" applyProtection="1">
      <alignment horizontal="center" vertical="center"/>
    </xf>
    <xf numFmtId="0" fontId="75" fillId="4" borderId="23" xfId="33" applyFont="1" applyFill="1" applyBorder="1" applyAlignment="1" applyProtection="1">
      <alignment horizontal="center" vertical="center"/>
    </xf>
    <xf numFmtId="0" fontId="75" fillId="4" borderId="22" xfId="33" applyFont="1" applyFill="1" applyBorder="1" applyAlignment="1" applyProtection="1">
      <alignment horizontal="centerContinuous" vertical="center"/>
    </xf>
    <xf numFmtId="0" fontId="75" fillId="4" borderId="7" xfId="33" applyFont="1" applyFill="1" applyBorder="1" applyAlignment="1" applyProtection="1">
      <alignment horizontal="centerContinuous" vertical="center"/>
    </xf>
    <xf numFmtId="170" fontId="75" fillId="4" borderId="19" xfId="33" applyNumberFormat="1" applyFont="1" applyFill="1" applyBorder="1" applyAlignment="1" applyProtection="1">
      <alignment horizontal="centerContinuous" vertical="center"/>
    </xf>
    <xf numFmtId="0" fontId="75" fillId="4" borderId="19" xfId="33" applyFont="1" applyFill="1" applyBorder="1" applyAlignment="1" applyProtection="1">
      <alignment horizontal="centerContinuous" vertical="center"/>
    </xf>
    <xf numFmtId="0" fontId="75" fillId="4" borderId="18" xfId="33" applyFont="1" applyFill="1" applyBorder="1" applyAlignment="1" applyProtection="1">
      <alignment vertical="center"/>
    </xf>
    <xf numFmtId="0" fontId="75" fillId="4" borderId="15" xfId="33" applyFont="1" applyFill="1" applyBorder="1" applyAlignment="1" applyProtection="1">
      <alignment vertical="center"/>
    </xf>
    <xf numFmtId="0" fontId="77" fillId="4" borderId="0" xfId="33" applyFont="1" applyFill="1" applyAlignment="1" applyProtection="1">
      <alignment vertical="center"/>
    </xf>
    <xf numFmtId="169" fontId="107" fillId="0" borderId="0" xfId="31" applyNumberFormat="1" applyBorder="1"/>
    <xf numFmtId="165" fontId="18" fillId="0" borderId="0" xfId="25" applyNumberFormat="1" applyFont="1"/>
    <xf numFmtId="0" fontId="18" fillId="4" borderId="0" xfId="36" applyFont="1" applyFill="1"/>
    <xf numFmtId="0" fontId="18" fillId="4" borderId="0" xfId="36" applyFont="1" applyFill="1" applyAlignment="1">
      <alignment vertical="center"/>
    </xf>
    <xf numFmtId="0" fontId="77" fillId="4" borderId="0" xfId="36" applyFont="1" applyFill="1" applyAlignment="1" applyProtection="1">
      <alignment horizontal="center" vertical="center"/>
    </xf>
    <xf numFmtId="0" fontId="50" fillId="4" borderId="0" xfId="36" applyFont="1" applyFill="1" applyAlignment="1">
      <alignment vertical="center"/>
    </xf>
    <xf numFmtId="0" fontId="77" fillId="4" borderId="0" xfId="36" applyFont="1" applyFill="1" applyAlignment="1" applyProtection="1">
      <alignment vertical="center"/>
    </xf>
    <xf numFmtId="0" fontId="75" fillId="4" borderId="15" xfId="36" applyFont="1" applyFill="1" applyBorder="1" applyAlignment="1" applyProtection="1">
      <alignment vertical="center"/>
    </xf>
    <xf numFmtId="0" fontId="75" fillId="4" borderId="18" xfId="36" applyFont="1" applyFill="1" applyBorder="1" applyAlignment="1" applyProtection="1">
      <alignment vertical="center"/>
    </xf>
    <xf numFmtId="0" fontId="75" fillId="4" borderId="19" xfId="36" applyFont="1" applyFill="1" applyBorder="1" applyAlignment="1" applyProtection="1">
      <alignment horizontal="centerContinuous" vertical="center"/>
    </xf>
    <xf numFmtId="37" fontId="75" fillId="4" borderId="20" xfId="36" applyNumberFormat="1" applyFont="1" applyFill="1" applyBorder="1" applyAlignment="1" applyProtection="1">
      <alignment horizontal="center" vertical="center"/>
    </xf>
    <xf numFmtId="37" fontId="75" fillId="4" borderId="0" xfId="36" applyNumberFormat="1" applyFont="1" applyFill="1" applyAlignment="1" applyProtection="1">
      <alignment horizontal="center" vertical="center"/>
    </xf>
    <xf numFmtId="0" fontId="75" fillId="4" borderId="20" xfId="36" applyFont="1" applyFill="1" applyBorder="1" applyAlignment="1" applyProtection="1">
      <alignment horizontal="center" vertical="center"/>
    </xf>
    <xf numFmtId="0" fontId="75" fillId="4" borderId="21" xfId="36" applyFont="1" applyFill="1" applyBorder="1" applyAlignment="1" applyProtection="1">
      <alignment horizontal="center" vertical="center"/>
    </xf>
    <xf numFmtId="170" fontId="75" fillId="4" borderId="19" xfId="36" applyNumberFormat="1" applyFont="1" applyFill="1" applyBorder="1" applyAlignment="1" applyProtection="1">
      <alignment horizontal="centerContinuous" vertical="center"/>
    </xf>
    <xf numFmtId="0" fontId="75" fillId="4" borderId="7" xfId="36" applyFont="1" applyFill="1" applyBorder="1" applyAlignment="1" applyProtection="1">
      <alignment horizontal="centerContinuous" vertical="center"/>
    </xf>
    <xf numFmtId="0" fontId="75" fillId="4" borderId="22" xfId="36" applyFont="1" applyFill="1" applyBorder="1" applyAlignment="1" applyProtection="1">
      <alignment horizontal="centerContinuous" vertical="center"/>
    </xf>
    <xf numFmtId="0" fontId="75" fillId="4" borderId="23" xfId="36" applyFont="1" applyFill="1" applyBorder="1" applyAlignment="1" applyProtection="1">
      <alignment horizontal="center" vertical="center"/>
    </xf>
    <xf numFmtId="0" fontId="75" fillId="4" borderId="24" xfId="36" applyFont="1" applyFill="1" applyBorder="1" applyAlignment="1" applyProtection="1">
      <alignment horizontal="center" vertical="center"/>
    </xf>
    <xf numFmtId="0" fontId="75" fillId="4" borderId="54" xfId="36" applyFont="1" applyFill="1" applyBorder="1" applyAlignment="1" applyProtection="1">
      <alignment horizontal="centerContinuous" vertical="center"/>
    </xf>
    <xf numFmtId="0" fontId="75" fillId="4" borderId="53" xfId="36" applyFont="1" applyFill="1" applyBorder="1" applyAlignment="1" applyProtection="1">
      <alignment horizontal="center" vertical="center"/>
    </xf>
    <xf numFmtId="0" fontId="75" fillId="4" borderId="27" xfId="36" applyFont="1" applyFill="1" applyBorder="1" applyAlignment="1" applyProtection="1">
      <alignment vertical="center"/>
    </xf>
    <xf numFmtId="37" fontId="75" fillId="4" borderId="28" xfId="36" quotePrefix="1" applyNumberFormat="1" applyFont="1" applyFill="1" applyBorder="1" applyAlignment="1" applyProtection="1">
      <alignment horizontal="center" vertical="center"/>
      <protection locked="0"/>
    </xf>
    <xf numFmtId="37" fontId="75" fillId="4" borderId="28" xfId="36" applyNumberFormat="1" applyFont="1" applyFill="1" applyBorder="1" applyAlignment="1" applyProtection="1">
      <alignment horizontal="right" vertical="center"/>
      <protection locked="0"/>
    </xf>
    <xf numFmtId="37" fontId="75" fillId="4" borderId="29" xfId="36" applyNumberFormat="1" applyFont="1" applyFill="1" applyBorder="1" applyAlignment="1" applyProtection="1">
      <alignment vertical="center"/>
    </xf>
    <xf numFmtId="37" fontId="75" fillId="4" borderId="52" xfId="36" applyNumberFormat="1" applyFont="1" applyFill="1" applyBorder="1" applyAlignment="1" applyProtection="1">
      <alignment vertical="center"/>
      <protection locked="0"/>
    </xf>
    <xf numFmtId="10" fontId="75" fillId="4" borderId="48" xfId="36" applyNumberFormat="1" applyFont="1" applyFill="1" applyBorder="1" applyAlignment="1" applyProtection="1">
      <alignment vertical="center"/>
      <protection locked="0"/>
    </xf>
    <xf numFmtId="0" fontId="79" fillId="4" borderId="19" xfId="36" quotePrefix="1" applyFont="1" applyFill="1" applyBorder="1" applyAlignment="1" applyProtection="1">
      <alignment horizontal="left" vertical="center" indent="1"/>
    </xf>
    <xf numFmtId="37" fontId="79" fillId="4" borderId="20" xfId="36" quotePrefix="1" applyNumberFormat="1" applyFont="1" applyFill="1" applyBorder="1" applyAlignment="1" applyProtection="1">
      <alignment horizontal="center" vertical="center"/>
      <protection locked="0"/>
    </xf>
    <xf numFmtId="37" fontId="79" fillId="4" borderId="20" xfId="36" applyNumberFormat="1" applyFont="1" applyFill="1" applyBorder="1" applyAlignment="1" applyProtection="1">
      <alignment horizontal="left" vertical="center"/>
    </xf>
    <xf numFmtId="37" fontId="79" fillId="0" borderId="20" xfId="36" applyNumberFormat="1" applyFont="1" applyFill="1" applyBorder="1" applyAlignment="1" applyProtection="1">
      <alignment horizontal="left" vertical="center"/>
    </xf>
    <xf numFmtId="37" fontId="79" fillId="4" borderId="19" xfId="36" quotePrefix="1" applyNumberFormat="1" applyFont="1" applyFill="1" applyBorder="1" applyAlignment="1" applyProtection="1">
      <alignment horizontal="left" vertical="center"/>
      <protection locked="0"/>
    </xf>
    <xf numFmtId="37" fontId="79" fillId="4" borderId="30" xfId="36" applyNumberFormat="1" applyFont="1" applyFill="1" applyBorder="1" applyAlignment="1" applyProtection="1">
      <alignment horizontal="left" vertical="center"/>
      <protection locked="0"/>
    </xf>
    <xf numFmtId="10" fontId="79" fillId="4" borderId="30" xfId="36" applyNumberFormat="1" applyFont="1" applyFill="1" applyBorder="1" applyAlignment="1" applyProtection="1">
      <alignment horizontal="left" vertical="center"/>
      <protection locked="0"/>
    </xf>
    <xf numFmtId="0" fontId="19" fillId="4" borderId="0" xfId="36" applyFont="1" applyFill="1" applyAlignment="1">
      <alignment vertical="center"/>
    </xf>
    <xf numFmtId="0" fontId="75" fillId="0" borderId="19" xfId="36" applyFont="1" applyFill="1" applyBorder="1" applyAlignment="1" applyProtection="1">
      <alignment vertical="center"/>
    </xf>
    <xf numFmtId="37" fontId="75" fillId="4" borderId="20" xfId="36" quotePrefix="1" applyNumberFormat="1" applyFont="1" applyFill="1" applyBorder="1" applyAlignment="1" applyProtection="1">
      <alignment horizontal="center" vertical="center"/>
      <protection locked="0"/>
    </xf>
    <xf numFmtId="37" fontId="75" fillId="0" borderId="0" xfId="36" applyNumberFormat="1" applyFont="1" applyFill="1" applyAlignment="1" applyProtection="1">
      <alignment horizontal="right" vertical="center"/>
    </xf>
    <xf numFmtId="37" fontId="75" fillId="4" borderId="59" xfId="36" applyNumberFormat="1" applyFont="1" applyFill="1" applyBorder="1" applyAlignment="1" applyProtection="1">
      <alignment horizontal="right" vertical="center"/>
    </xf>
    <xf numFmtId="37" fontId="75" fillId="4" borderId="0" xfId="36" applyNumberFormat="1" applyFont="1" applyFill="1" applyAlignment="1" applyProtection="1">
      <alignment horizontal="right" vertical="center"/>
    </xf>
    <xf numFmtId="37" fontId="75" fillId="4" borderId="19" xfId="36" quotePrefix="1" applyNumberFormat="1" applyFont="1" applyFill="1" applyBorder="1" applyAlignment="1" applyProtection="1">
      <alignment horizontal="right" vertical="center"/>
      <protection locked="0"/>
    </xf>
    <xf numFmtId="37" fontId="75" fillId="4" borderId="30" xfId="36" applyNumberFormat="1" applyFont="1" applyFill="1" applyBorder="1" applyAlignment="1" applyProtection="1">
      <alignment vertical="center"/>
      <protection locked="0"/>
    </xf>
    <xf numFmtId="10" fontId="75" fillId="4" borderId="30" xfId="36" applyNumberFormat="1" applyFont="1" applyFill="1" applyBorder="1" applyAlignment="1" applyProtection="1">
      <alignment vertical="center"/>
      <protection locked="0"/>
    </xf>
    <xf numFmtId="172" fontId="79" fillId="0" borderId="19" xfId="36" quotePrefix="1" applyNumberFormat="1" applyFont="1" applyFill="1" applyBorder="1" applyAlignment="1" applyProtection="1">
      <alignment horizontal="left" vertical="center" indent="1"/>
    </xf>
    <xf numFmtId="37" fontId="79" fillId="4" borderId="30" xfId="36" applyNumberFormat="1" applyFont="1" applyFill="1" applyBorder="1" applyAlignment="1" applyProtection="1">
      <alignment horizontal="left" vertical="center"/>
    </xf>
    <xf numFmtId="37" fontId="79" fillId="4" borderId="21" xfId="36" applyNumberFormat="1" applyFont="1" applyFill="1" applyBorder="1" applyAlignment="1" applyProtection="1">
      <alignment horizontal="left" vertical="center"/>
      <protection locked="0"/>
    </xf>
    <xf numFmtId="37" fontId="79" fillId="4" borderId="0" xfId="36" applyNumberFormat="1" applyFont="1" applyFill="1" applyBorder="1" applyAlignment="1" applyProtection="1">
      <alignment horizontal="left" vertical="center"/>
      <protection locked="0"/>
    </xf>
    <xf numFmtId="0" fontId="79" fillId="0" borderId="19" xfId="36" quotePrefix="1" applyFont="1" applyFill="1" applyBorder="1" applyAlignment="1" applyProtection="1">
      <alignment horizontal="left" vertical="center" indent="1"/>
    </xf>
    <xf numFmtId="37" fontId="79" fillId="4" borderId="21" xfId="36" applyNumberFormat="1" applyFont="1" applyFill="1" applyBorder="1" applyAlignment="1" applyProtection="1">
      <alignment horizontal="left" vertical="center"/>
    </xf>
    <xf numFmtId="172" fontId="75" fillId="0" borderId="19" xfId="36" applyNumberFormat="1" applyFont="1" applyFill="1" applyBorder="1" applyAlignment="1" applyProtection="1">
      <alignment vertical="center"/>
    </xf>
    <xf numFmtId="37" fontId="75" fillId="0" borderId="20" xfId="36" applyNumberFormat="1" applyFont="1" applyFill="1" applyBorder="1" applyAlignment="1" applyProtection="1">
      <alignment horizontal="right" vertical="center"/>
    </xf>
    <xf numFmtId="37" fontId="75" fillId="0" borderId="20" xfId="36" applyNumberFormat="1" applyFont="1" applyFill="1" applyBorder="1" applyAlignment="1" applyProtection="1">
      <alignment vertical="center"/>
    </xf>
    <xf numFmtId="37" fontId="75" fillId="4" borderId="30" xfId="36" applyNumberFormat="1" applyFont="1" applyFill="1" applyBorder="1" applyAlignment="1" applyProtection="1">
      <alignment vertical="center"/>
    </xf>
    <xf numFmtId="37" fontId="75" fillId="4" borderId="21" xfId="36" applyNumberFormat="1" applyFont="1" applyFill="1" applyBorder="1" applyAlignment="1" applyProtection="1">
      <alignment vertical="center"/>
    </xf>
    <xf numFmtId="37" fontId="75" fillId="4" borderId="0" xfId="36" applyNumberFormat="1" applyFont="1" applyFill="1" applyBorder="1" applyAlignment="1" applyProtection="1">
      <alignment vertical="center"/>
      <protection locked="0"/>
    </xf>
    <xf numFmtId="37" fontId="75" fillId="4" borderId="20" xfId="36" applyNumberFormat="1" applyFont="1" applyFill="1" applyBorder="1" applyAlignment="1" applyProtection="1">
      <alignment vertical="center"/>
    </xf>
    <xf numFmtId="37" fontId="75" fillId="0" borderId="20" xfId="36" quotePrefix="1" applyNumberFormat="1" applyFont="1" applyFill="1" applyBorder="1" applyAlignment="1" applyProtection="1">
      <alignment horizontal="right" vertical="center"/>
      <protection locked="0"/>
    </xf>
    <xf numFmtId="10" fontId="75" fillId="4" borderId="55" xfId="36" applyNumberFormat="1" applyFont="1" applyFill="1" applyBorder="1" applyAlignment="1" applyProtection="1">
      <alignment vertical="center"/>
      <protection locked="0"/>
    </xf>
    <xf numFmtId="0" fontId="77" fillId="4" borderId="27" xfId="36" applyFont="1" applyFill="1" applyBorder="1" applyAlignment="1" applyProtection="1">
      <alignment horizontal="left" vertical="center"/>
    </xf>
    <xf numFmtId="37" fontId="77" fillId="4" borderId="28" xfId="36" applyNumberFormat="1" applyFont="1" applyFill="1" applyBorder="1" applyAlignment="1" applyProtection="1">
      <alignment vertical="center"/>
    </xf>
    <xf numFmtId="10" fontId="77" fillId="4" borderId="51" xfId="36" applyNumberFormat="1" applyFont="1" applyFill="1" applyBorder="1" applyAlignment="1" applyProtection="1">
      <alignment vertical="center"/>
    </xf>
    <xf numFmtId="0" fontId="75" fillId="4" borderId="1" xfId="36" applyFont="1" applyFill="1" applyBorder="1" applyAlignment="1" applyProtection="1">
      <alignment horizontal="center" vertical="center"/>
    </xf>
    <xf numFmtId="37" fontId="75" fillId="4" borderId="1" xfId="36" applyNumberFormat="1" applyFont="1" applyFill="1" applyBorder="1" applyAlignment="1" applyProtection="1">
      <alignment vertical="center"/>
    </xf>
    <xf numFmtId="171" fontId="75" fillId="4" borderId="1" xfId="36" applyNumberFormat="1" applyFont="1" applyFill="1" applyBorder="1" applyAlignment="1" applyProtection="1">
      <alignment vertical="center"/>
      <protection locked="0"/>
    </xf>
    <xf numFmtId="0" fontId="75" fillId="4" borderId="75" xfId="36" applyFont="1" applyFill="1" applyBorder="1" applyAlignment="1" applyProtection="1">
      <alignment vertical="center"/>
    </xf>
    <xf numFmtId="37" fontId="75" fillId="4" borderId="79" xfId="36" applyNumberFormat="1" applyFont="1" applyFill="1" applyBorder="1" applyAlignment="1" applyProtection="1">
      <alignment horizontal="center" vertical="center"/>
    </xf>
    <xf numFmtId="170" fontId="75" fillId="4" borderId="22" xfId="36" applyNumberFormat="1" applyFont="1" applyFill="1" applyBorder="1" applyAlignment="1" applyProtection="1">
      <alignment horizontal="centerContinuous" vertical="center"/>
    </xf>
    <xf numFmtId="0" fontId="75" fillId="4" borderId="50" xfId="36" applyFont="1" applyFill="1" applyBorder="1" applyAlignment="1" applyProtection="1">
      <alignment horizontal="centerContinuous" vertical="center"/>
    </xf>
    <xf numFmtId="0" fontId="75" fillId="4" borderId="56" xfId="36" applyFont="1" applyFill="1" applyBorder="1" applyAlignment="1" applyProtection="1">
      <alignment horizontal="center" vertical="center"/>
    </xf>
    <xf numFmtId="0" fontId="75" fillId="4" borderId="74" xfId="36" applyFont="1" applyFill="1" applyBorder="1" applyAlignment="1" applyProtection="1">
      <alignment horizontal="center" vertical="center"/>
    </xf>
    <xf numFmtId="0" fontId="75" fillId="4" borderId="73" xfId="36" applyFont="1" applyFill="1" applyBorder="1" applyAlignment="1" applyProtection="1">
      <alignment horizontal="centerContinuous" vertical="center"/>
    </xf>
    <xf numFmtId="0" fontId="75" fillId="4" borderId="72" xfId="36" applyFont="1" applyFill="1" applyBorder="1" applyAlignment="1" applyProtection="1">
      <alignment horizontal="center" vertical="center"/>
    </xf>
    <xf numFmtId="0" fontId="18" fillId="4" borderId="31" xfId="36" applyFont="1" applyFill="1" applyBorder="1" applyAlignment="1">
      <alignment horizontal="left" vertical="center" wrapText="1"/>
    </xf>
    <xf numFmtId="37" fontId="75" fillId="4" borderId="0" xfId="36" applyNumberFormat="1" applyFont="1" applyFill="1" applyBorder="1" applyAlignment="1" applyProtection="1">
      <alignment horizontal="right" vertical="center"/>
    </xf>
    <xf numFmtId="37" fontId="75" fillId="4" borderId="20" xfId="36" applyNumberFormat="1" applyFont="1" applyFill="1" applyBorder="1" applyAlignment="1" applyProtection="1">
      <alignment horizontal="right" vertical="center"/>
    </xf>
    <xf numFmtId="37" fontId="75" fillId="0" borderId="71" xfId="36" applyNumberFormat="1" applyFont="1" applyFill="1" applyBorder="1" applyAlignment="1" applyProtection="1">
      <alignment horizontal="right" vertical="center"/>
    </xf>
    <xf numFmtId="166" fontId="75" fillId="4" borderId="71" xfId="37" applyNumberFormat="1" applyFont="1" applyFill="1" applyBorder="1" applyAlignment="1" applyProtection="1">
      <alignment horizontal="right" vertical="center"/>
    </xf>
    <xf numFmtId="37" fontId="75" fillId="4" borderId="71" xfId="36" applyNumberFormat="1" applyFont="1" applyFill="1" applyBorder="1" applyAlignment="1" applyProtection="1">
      <alignment horizontal="right" vertical="center"/>
    </xf>
    <xf numFmtId="166" fontId="75" fillId="4" borderId="71" xfId="36" applyNumberFormat="1" applyFont="1" applyFill="1" applyBorder="1" applyAlignment="1" applyProtection="1">
      <alignment horizontal="centerContinuous" vertical="center"/>
    </xf>
    <xf numFmtId="0" fontId="18" fillId="4" borderId="31" xfId="36" applyFont="1" applyFill="1" applyBorder="1" applyAlignment="1">
      <alignment horizontal="left" vertical="center"/>
    </xf>
    <xf numFmtId="37" fontId="75" fillId="4" borderId="20" xfId="36" applyNumberFormat="1" applyFont="1" applyFill="1" applyBorder="1" applyAlignment="1" applyProtection="1">
      <alignment horizontal="right" vertical="center"/>
      <protection locked="0"/>
    </xf>
    <xf numFmtId="37" fontId="75" fillId="4" borderId="6" xfId="36" applyNumberFormat="1" applyFont="1" applyFill="1" applyBorder="1" applyAlignment="1" applyProtection="1">
      <alignment horizontal="right" vertical="center"/>
      <protection locked="0"/>
    </xf>
    <xf numFmtId="37" fontId="75" fillId="0" borderId="6" xfId="36" applyNumberFormat="1" applyFont="1" applyFill="1" applyBorder="1" applyAlignment="1" applyProtection="1">
      <alignment horizontal="right" vertical="center"/>
      <protection locked="0"/>
    </xf>
    <xf numFmtId="37" fontId="75" fillId="4" borderId="30" xfId="36" applyNumberFormat="1" applyFont="1" applyFill="1" applyBorder="1" applyAlignment="1" applyProtection="1">
      <alignment horizontal="right" vertical="center"/>
      <protection locked="0"/>
    </xf>
    <xf numFmtId="37" fontId="75" fillId="0" borderId="21" xfId="36" applyNumberFormat="1" applyFont="1" applyFill="1" applyBorder="1" applyAlignment="1" applyProtection="1">
      <alignment horizontal="right" vertical="center"/>
      <protection locked="0"/>
    </xf>
    <xf numFmtId="37" fontId="75" fillId="4" borderId="21" xfId="36" applyNumberFormat="1" applyFont="1" applyFill="1" applyBorder="1" applyAlignment="1" applyProtection="1">
      <alignment horizontal="right" vertical="center"/>
      <protection locked="0"/>
    </xf>
    <xf numFmtId="37" fontId="75" fillId="4" borderId="0" xfId="36" applyNumberFormat="1" applyFont="1" applyFill="1" applyBorder="1" applyAlignment="1" applyProtection="1">
      <alignment horizontal="right" vertical="center"/>
      <protection locked="0"/>
    </xf>
    <xf numFmtId="0" fontId="75" fillId="4" borderId="0" xfId="36" applyFont="1" applyFill="1" applyBorder="1" applyAlignment="1">
      <alignment vertical="center"/>
    </xf>
    <xf numFmtId="0" fontId="19" fillId="4" borderId="31" xfId="36" applyFont="1" applyFill="1" applyBorder="1" applyAlignment="1">
      <alignment horizontal="left" vertical="center" indent="2"/>
    </xf>
    <xf numFmtId="37" fontId="79" fillId="4" borderId="20" xfId="36" applyNumberFormat="1" applyFont="1" applyFill="1" applyBorder="1" applyAlignment="1" applyProtection="1">
      <alignment horizontal="left" vertical="center"/>
      <protection locked="0"/>
    </xf>
    <xf numFmtId="37" fontId="79" fillId="4" borderId="6" xfId="36" applyNumberFormat="1" applyFont="1" applyFill="1" applyBorder="1" applyAlignment="1" applyProtection="1">
      <alignment horizontal="left" vertical="center"/>
      <protection locked="0"/>
    </xf>
    <xf numFmtId="37" fontId="79" fillId="0" borderId="19" xfId="36" applyNumberFormat="1" applyFont="1" applyFill="1" applyBorder="1" applyAlignment="1" applyProtection="1">
      <alignment horizontal="left" vertical="center"/>
      <protection locked="0"/>
    </xf>
    <xf numFmtId="37" fontId="79" fillId="4" borderId="21" xfId="36" applyNumberFormat="1" applyFont="1" applyFill="1" applyBorder="1" applyAlignment="1" applyProtection="1">
      <alignment horizontal="right" vertical="center"/>
      <protection locked="0"/>
    </xf>
    <xf numFmtId="37" fontId="79" fillId="4" borderId="20" xfId="36" applyNumberFormat="1" applyFont="1" applyFill="1" applyBorder="1" applyAlignment="1" applyProtection="1">
      <alignment horizontal="center" vertical="center"/>
      <protection locked="0"/>
    </xf>
    <xf numFmtId="37" fontId="79" fillId="4" borderId="0" xfId="36" applyNumberFormat="1" applyFont="1" applyFill="1" applyBorder="1" applyAlignment="1" applyProtection="1">
      <alignment horizontal="right" vertical="center"/>
      <protection locked="0"/>
    </xf>
    <xf numFmtId="0" fontId="79" fillId="4" borderId="0" xfId="36" applyFont="1" applyFill="1" applyBorder="1" applyAlignment="1">
      <alignment vertical="center"/>
    </xf>
    <xf numFmtId="37" fontId="79" fillId="0" borderId="21" xfId="36" applyNumberFormat="1" applyFont="1" applyFill="1" applyBorder="1" applyAlignment="1" applyProtection="1">
      <alignment horizontal="right" vertical="center"/>
      <protection locked="0"/>
    </xf>
    <xf numFmtId="0" fontId="75" fillId="4" borderId="30" xfId="36" applyFont="1" applyFill="1" applyBorder="1" applyAlignment="1" applyProtection="1">
      <alignment horizontal="left" vertical="center"/>
    </xf>
    <xf numFmtId="37" fontId="75" fillId="4" borderId="19" xfId="36" applyNumberFormat="1" applyFont="1" applyFill="1" applyBorder="1" applyAlignment="1" applyProtection="1">
      <alignment horizontal="right" vertical="center"/>
      <protection locked="0"/>
    </xf>
    <xf numFmtId="37" fontId="75" fillId="0" borderId="19" xfId="36" applyNumberFormat="1" applyFont="1" applyFill="1" applyBorder="1" applyAlignment="1" applyProtection="1">
      <alignment horizontal="right" vertical="center"/>
      <protection locked="0"/>
    </xf>
    <xf numFmtId="0" fontId="75" fillId="4" borderId="30" xfId="36" applyFont="1" applyFill="1" applyBorder="1" applyAlignment="1" applyProtection="1">
      <alignment vertical="center"/>
    </xf>
    <xf numFmtId="37" fontId="75" fillId="4" borderId="20" xfId="36" quotePrefix="1" applyNumberFormat="1" applyFont="1" applyFill="1" applyBorder="1" applyAlignment="1" applyProtection="1">
      <alignment horizontal="right" vertical="center"/>
      <protection locked="0"/>
    </xf>
    <xf numFmtId="0" fontId="79" fillId="0" borderId="30" xfId="36" applyFont="1" applyFill="1" applyBorder="1" applyAlignment="1" applyProtection="1">
      <alignment horizontal="left" vertical="center" indent="2"/>
    </xf>
    <xf numFmtId="37" fontId="79" fillId="4" borderId="20" xfId="36" quotePrefix="1" applyNumberFormat="1" applyFont="1" applyFill="1" applyBorder="1" applyAlignment="1" applyProtection="1">
      <alignment horizontal="left" vertical="center"/>
      <protection locked="0"/>
    </xf>
    <xf numFmtId="37" fontId="79" fillId="4" borderId="30" xfId="36" applyNumberFormat="1" applyFont="1" applyFill="1" applyBorder="1" applyAlignment="1" applyProtection="1">
      <alignment horizontal="right" vertical="center"/>
      <protection locked="0"/>
    </xf>
    <xf numFmtId="37" fontId="79" fillId="4" borderId="0" xfId="36" applyNumberFormat="1" applyFont="1" applyFill="1" applyBorder="1" applyAlignment="1" applyProtection="1">
      <alignment vertical="center"/>
      <protection locked="0"/>
    </xf>
    <xf numFmtId="10" fontId="79" fillId="4" borderId="30" xfId="36" applyNumberFormat="1" applyFont="1" applyFill="1" applyBorder="1" applyAlignment="1" applyProtection="1">
      <alignment vertical="center"/>
      <protection locked="0"/>
    </xf>
    <xf numFmtId="37" fontId="79" fillId="4" borderId="20" xfId="36" applyNumberFormat="1" applyFont="1" applyFill="1" applyBorder="1" applyAlignment="1" applyProtection="1">
      <alignment horizontal="right" vertical="center"/>
    </xf>
    <xf numFmtId="37" fontId="79" fillId="4" borderId="6" xfId="36" applyNumberFormat="1" applyFont="1" applyFill="1" applyBorder="1" applyAlignment="1" applyProtection="1">
      <alignment horizontal="right" vertical="center"/>
      <protection locked="0"/>
    </xf>
    <xf numFmtId="0" fontId="75" fillId="0" borderId="30" xfId="36" applyFont="1" applyFill="1" applyBorder="1" applyAlignment="1" applyProtection="1">
      <alignment horizontal="left" vertical="center"/>
    </xf>
    <xf numFmtId="37" fontId="75" fillId="0" borderId="30" xfId="36" applyNumberFormat="1" applyFont="1" applyFill="1" applyBorder="1" applyAlignment="1" applyProtection="1">
      <alignment vertical="center"/>
    </xf>
    <xf numFmtId="0" fontId="79" fillId="0" borderId="31" xfId="36" applyFont="1" applyFill="1" applyBorder="1" applyAlignment="1" applyProtection="1">
      <alignment horizontal="left" vertical="center" indent="2"/>
    </xf>
    <xf numFmtId="37" fontId="79" fillId="4" borderId="59" xfId="36" applyNumberFormat="1" applyFont="1" applyFill="1" applyBorder="1" applyAlignment="1" applyProtection="1">
      <alignment vertical="center"/>
      <protection locked="0"/>
    </xf>
    <xf numFmtId="10" fontId="79" fillId="4" borderId="7" xfId="36" applyNumberFormat="1" applyFont="1" applyFill="1" applyBorder="1" applyAlignment="1" applyProtection="1">
      <alignment vertical="center"/>
      <protection locked="0"/>
    </xf>
    <xf numFmtId="37" fontId="79" fillId="4" borderId="59" xfId="36" quotePrefix="1" applyNumberFormat="1" applyFont="1" applyFill="1" applyBorder="1" applyAlignment="1" applyProtection="1">
      <alignment horizontal="left" vertical="center"/>
      <protection locked="0"/>
    </xf>
    <xf numFmtId="37" fontId="79" fillId="0" borderId="59" xfId="36" quotePrefix="1" applyNumberFormat="1" applyFont="1" applyFill="1" applyBorder="1" applyAlignment="1" applyProtection="1">
      <alignment horizontal="left" vertical="center"/>
      <protection locked="0"/>
    </xf>
    <xf numFmtId="0" fontId="79" fillId="0" borderId="70" xfId="36" applyFont="1" applyFill="1" applyBorder="1" applyAlignment="1" applyProtection="1">
      <alignment horizontal="left" vertical="center" indent="2"/>
    </xf>
    <xf numFmtId="37" fontId="79" fillId="0" borderId="20" xfId="36" quotePrefix="1" applyNumberFormat="1" applyFont="1" applyFill="1" applyBorder="1" applyAlignment="1" applyProtection="1">
      <alignment horizontal="left" vertical="center"/>
      <protection locked="0"/>
    </xf>
    <xf numFmtId="37" fontId="79" fillId="4" borderId="46" xfId="36" applyNumberFormat="1" applyFont="1" applyFill="1" applyBorder="1" applyAlignment="1" applyProtection="1">
      <alignment vertical="center"/>
      <protection locked="0"/>
    </xf>
    <xf numFmtId="10" fontId="79" fillId="4" borderId="45" xfId="36" applyNumberFormat="1" applyFont="1" applyFill="1" applyBorder="1" applyAlignment="1" applyProtection="1">
      <alignment vertical="center"/>
      <protection locked="0"/>
    </xf>
    <xf numFmtId="172" fontId="77" fillId="4" borderId="32" xfId="36" applyNumberFormat="1" applyFont="1" applyFill="1" applyBorder="1" applyAlignment="1" applyProtection="1">
      <alignment horizontal="center" vertical="center"/>
    </xf>
    <xf numFmtId="37" fontId="77" fillId="0" borderId="34" xfId="36" applyNumberFormat="1" applyFont="1" applyFill="1" applyBorder="1" applyAlignment="1" applyProtection="1">
      <alignment vertical="center"/>
    </xf>
    <xf numFmtId="37" fontId="77" fillId="4" borderId="34" xfId="36" applyNumberFormat="1" applyFont="1" applyFill="1" applyBorder="1" applyAlignment="1" applyProtection="1">
      <alignment horizontal="right" vertical="center"/>
    </xf>
    <xf numFmtId="3" fontId="77" fillId="4" borderId="43" xfId="36" applyNumberFormat="1" applyFont="1" applyFill="1" applyBorder="1" applyAlignment="1" applyProtection="1">
      <alignment horizontal="right" vertical="center"/>
      <protection locked="0"/>
    </xf>
    <xf numFmtId="10" fontId="77" fillId="4" borderId="47" xfId="38" applyNumberFormat="1" applyFont="1" applyFill="1" applyBorder="1" applyAlignment="1" applyProtection="1">
      <alignment horizontal="right" vertical="center"/>
      <protection locked="0"/>
    </xf>
    <xf numFmtId="37" fontId="77" fillId="4" borderId="0" xfId="36" applyNumberFormat="1" applyFont="1" applyFill="1" applyBorder="1" applyAlignment="1" applyProtection="1">
      <alignment horizontal="right" vertical="center"/>
      <protection locked="0"/>
    </xf>
    <xf numFmtId="0" fontId="77" fillId="4" borderId="0" xfId="36" applyFont="1" applyFill="1" applyBorder="1" applyAlignment="1">
      <alignment vertical="center"/>
    </xf>
    <xf numFmtId="172" fontId="75" fillId="4" borderId="42" xfId="36" applyNumberFormat="1" applyFont="1" applyFill="1" applyBorder="1" applyAlignment="1" applyProtection="1">
      <alignment horizontal="center" vertical="center"/>
    </xf>
    <xf numFmtId="37" fontId="75" fillId="4" borderId="0" xfId="36" applyNumberFormat="1" applyFont="1" applyFill="1" applyBorder="1" applyAlignment="1" applyProtection="1">
      <alignment vertical="center"/>
    </xf>
    <xf numFmtId="37" fontId="75" fillId="4" borderId="0" xfId="36" applyNumberFormat="1" applyFont="1" applyFill="1" applyBorder="1" applyAlignment="1" applyProtection="1">
      <alignment horizontal="center" vertical="center"/>
    </xf>
    <xf numFmtId="37" fontId="75" fillId="4" borderId="3" xfId="36" applyNumberFormat="1" applyFont="1" applyFill="1" applyBorder="1" applyAlignment="1" applyProtection="1">
      <alignment horizontal="right" vertical="center"/>
    </xf>
    <xf numFmtId="39" fontId="75" fillId="4" borderId="3" xfId="36" applyNumberFormat="1" applyFont="1" applyFill="1" applyBorder="1" applyAlignment="1" applyProtection="1">
      <alignment horizontal="right" vertical="center"/>
    </xf>
    <xf numFmtId="0" fontId="78" fillId="4" borderId="36" xfId="36" applyFont="1" applyFill="1" applyBorder="1" applyAlignment="1" applyProtection="1">
      <alignment vertical="center"/>
    </xf>
    <xf numFmtId="37" fontId="77" fillId="4" borderId="37" xfId="36" applyNumberFormat="1" applyFont="1" applyFill="1" applyBorder="1" applyAlignment="1" applyProtection="1">
      <alignment vertical="center"/>
    </xf>
    <xf numFmtId="37" fontId="77" fillId="4" borderId="37" xfId="36" applyNumberFormat="1" applyFont="1" applyFill="1" applyBorder="1" applyAlignment="1" applyProtection="1">
      <alignment horizontal="right" vertical="center"/>
    </xf>
    <xf numFmtId="37" fontId="77" fillId="4" borderId="69" xfId="36" applyNumberFormat="1" applyFont="1" applyFill="1" applyBorder="1" applyAlignment="1" applyProtection="1">
      <alignment horizontal="right" vertical="center"/>
    </xf>
    <xf numFmtId="10" fontId="77" fillId="4" borderId="68" xfId="38" applyNumberFormat="1" applyFont="1" applyFill="1" applyBorder="1" applyAlignment="1" applyProtection="1">
      <alignment vertical="center"/>
      <protection locked="0"/>
    </xf>
    <xf numFmtId="0" fontId="78" fillId="4" borderId="19" xfId="36" applyFont="1" applyFill="1" applyBorder="1" applyAlignment="1" applyProtection="1">
      <alignment vertical="center"/>
    </xf>
    <xf numFmtId="37" fontId="77" fillId="4" borderId="0" xfId="36" applyNumberFormat="1" applyFont="1" applyFill="1" applyBorder="1" applyAlignment="1" applyProtection="1">
      <alignment vertical="center"/>
    </xf>
    <xf numFmtId="37" fontId="77" fillId="4" borderId="0" xfId="36" applyNumberFormat="1" applyFont="1" applyFill="1" applyBorder="1" applyAlignment="1" applyProtection="1">
      <alignment horizontal="right" vertical="center"/>
    </xf>
    <xf numFmtId="10" fontId="77" fillId="4" borderId="0" xfId="38" applyNumberFormat="1" applyFont="1" applyFill="1" applyBorder="1" applyAlignment="1" applyProtection="1">
      <alignment vertical="center"/>
      <protection locked="0"/>
    </xf>
    <xf numFmtId="0" fontId="50" fillId="4" borderId="67" xfId="36" applyFont="1" applyFill="1" applyBorder="1" applyAlignment="1">
      <alignment horizontal="center"/>
    </xf>
    <xf numFmtId="0" fontId="50" fillId="0" borderId="67" xfId="36" applyFont="1" applyFill="1" applyBorder="1"/>
    <xf numFmtId="166" fontId="50" fillId="4" borderId="67" xfId="37" applyNumberFormat="1" applyFont="1" applyFill="1" applyBorder="1"/>
    <xf numFmtId="166" fontId="50" fillId="0" borderId="67" xfId="37" applyNumberFormat="1" applyFont="1" applyFill="1" applyBorder="1"/>
    <xf numFmtId="37" fontId="77" fillId="4" borderId="67" xfId="36" applyNumberFormat="1" applyFont="1" applyFill="1" applyBorder="1" applyAlignment="1" applyProtection="1">
      <alignment horizontal="right" vertical="center"/>
      <protection locked="0"/>
    </xf>
    <xf numFmtId="3" fontId="77" fillId="4" borderId="67" xfId="36" applyNumberFormat="1" applyFont="1" applyFill="1" applyBorder="1" applyAlignment="1" applyProtection="1">
      <alignment horizontal="right" vertical="center"/>
      <protection locked="0"/>
    </xf>
    <xf numFmtId="10" fontId="77" fillId="4" borderId="67" xfId="38" applyNumberFormat="1" applyFont="1" applyFill="1" applyBorder="1" applyAlignment="1" applyProtection="1">
      <alignment horizontal="right" vertical="center"/>
      <protection locked="0"/>
    </xf>
    <xf numFmtId="0" fontId="18" fillId="4" borderId="0" xfId="36" applyFont="1" applyFill="1" applyBorder="1"/>
    <xf numFmtId="49" fontId="75" fillId="4" borderId="0" xfId="36" applyNumberFormat="1" applyFont="1" applyFill="1" applyBorder="1" applyAlignment="1" applyProtection="1">
      <alignment horizontal="left" vertical="center"/>
    </xf>
    <xf numFmtId="3" fontId="77" fillId="4" borderId="0" xfId="36" applyNumberFormat="1" applyFont="1" applyFill="1" applyBorder="1" applyAlignment="1" applyProtection="1">
      <alignment vertical="center"/>
      <protection locked="0"/>
    </xf>
    <xf numFmtId="0" fontId="18" fillId="4" borderId="0" xfId="36" applyFont="1" applyFill="1" applyAlignment="1">
      <alignment horizontal="left" indent="1"/>
    </xf>
    <xf numFmtId="0" fontId="18" fillId="4" borderId="0" xfId="39" applyFont="1" applyFill="1"/>
    <xf numFmtId="0" fontId="18" fillId="4" borderId="0" xfId="39" applyFont="1" applyFill="1" applyAlignment="1">
      <alignment horizontal="left" indent="1"/>
    </xf>
    <xf numFmtId="0" fontId="50" fillId="4" borderId="0" xfId="39" applyFont="1" applyFill="1" applyAlignment="1">
      <alignment vertical="center"/>
    </xf>
    <xf numFmtId="10" fontId="77" fillId="4" borderId="0" xfId="40" applyNumberFormat="1" applyFont="1" applyFill="1" applyBorder="1" applyAlignment="1" applyProtection="1">
      <alignment vertical="center"/>
      <protection locked="0"/>
    </xf>
    <xf numFmtId="3" fontId="77" fillId="4" borderId="0" xfId="39" applyNumberFormat="1" applyFont="1" applyFill="1" applyBorder="1" applyAlignment="1" applyProtection="1">
      <alignment vertical="center"/>
      <protection locked="0"/>
    </xf>
    <xf numFmtId="37" fontId="77" fillId="4" borderId="0" xfId="39" applyNumberFormat="1" applyFont="1" applyFill="1" applyBorder="1" applyAlignment="1" applyProtection="1">
      <alignment horizontal="right" vertical="center"/>
    </xf>
    <xf numFmtId="37" fontId="77" fillId="4" borderId="0" xfId="39" applyNumberFormat="1" applyFont="1" applyFill="1" applyBorder="1" applyAlignment="1" applyProtection="1">
      <alignment vertical="center"/>
    </xf>
    <xf numFmtId="49" fontId="75" fillId="4" borderId="0" xfId="39" applyNumberFormat="1" applyFont="1" applyFill="1" applyBorder="1" applyAlignment="1" applyProtection="1">
      <alignment horizontal="left" vertical="center"/>
    </xf>
    <xf numFmtId="0" fontId="18" fillId="4" borderId="0" xfId="39" applyFont="1" applyFill="1" applyBorder="1"/>
    <xf numFmtId="10" fontId="77" fillId="4" borderId="67" xfId="40" applyNumberFormat="1" applyFont="1" applyFill="1" applyBorder="1" applyAlignment="1" applyProtection="1">
      <alignment horizontal="right" vertical="center"/>
      <protection locked="0"/>
    </xf>
    <xf numFmtId="3" fontId="77" fillId="4" borderId="67" xfId="39" applyNumberFormat="1" applyFont="1" applyFill="1" applyBorder="1" applyAlignment="1" applyProtection="1">
      <alignment horizontal="right" vertical="center"/>
      <protection locked="0"/>
    </xf>
    <xf numFmtId="37" fontId="77" fillId="4" borderId="67" xfId="39" applyNumberFormat="1" applyFont="1" applyFill="1" applyBorder="1" applyAlignment="1" applyProtection="1">
      <alignment horizontal="right" vertical="center"/>
      <protection locked="0"/>
    </xf>
    <xf numFmtId="166" fontId="50" fillId="4" borderId="67" xfId="41" applyNumberFormat="1" applyFont="1" applyFill="1" applyBorder="1"/>
    <xf numFmtId="166" fontId="50" fillId="0" borderId="67" xfId="41" applyNumberFormat="1" applyFont="1" applyFill="1" applyBorder="1"/>
    <xf numFmtId="0" fontId="50" fillId="0" borderId="67" xfId="39" applyFont="1" applyFill="1" applyBorder="1"/>
    <xf numFmtId="0" fontId="50" fillId="4" borderId="67" xfId="39" applyFont="1" applyFill="1" applyBorder="1" applyAlignment="1">
      <alignment horizontal="center"/>
    </xf>
    <xf numFmtId="0" fontId="78" fillId="4" borderId="19" xfId="39" applyFont="1" applyFill="1" applyBorder="1" applyAlignment="1" applyProtection="1">
      <alignment vertical="center"/>
    </xf>
    <xf numFmtId="10" fontId="77" fillId="4" borderId="68" xfId="40" applyNumberFormat="1" applyFont="1" applyFill="1" applyBorder="1" applyAlignment="1" applyProtection="1">
      <alignment vertical="center"/>
      <protection locked="0"/>
    </xf>
    <xf numFmtId="37" fontId="77" fillId="4" borderId="69" xfId="39" applyNumberFormat="1" applyFont="1" applyFill="1" applyBorder="1" applyAlignment="1" applyProtection="1">
      <alignment horizontal="right" vertical="center"/>
    </xf>
    <xf numFmtId="37" fontId="77" fillId="4" borderId="37" xfId="39" applyNumberFormat="1" applyFont="1" applyFill="1" applyBorder="1" applyAlignment="1" applyProtection="1">
      <alignment horizontal="right" vertical="center"/>
    </xf>
    <xf numFmtId="37" fontId="77" fillId="4" borderId="37" xfId="39" applyNumberFormat="1" applyFont="1" applyFill="1" applyBorder="1" applyAlignment="1" applyProtection="1">
      <alignment vertical="center"/>
    </xf>
    <xf numFmtId="0" fontId="78" fillId="4" borderId="36" xfId="39" applyFont="1" applyFill="1" applyBorder="1" applyAlignment="1" applyProtection="1">
      <alignment vertical="center"/>
    </xf>
    <xf numFmtId="0" fontId="18" fillId="4" borderId="0" xfId="39" applyFont="1" applyFill="1" applyAlignment="1">
      <alignment vertical="center"/>
    </xf>
    <xf numFmtId="39" fontId="75" fillId="4" borderId="3" xfId="39" applyNumberFormat="1" applyFont="1" applyFill="1" applyBorder="1" applyAlignment="1" applyProtection="1">
      <alignment horizontal="right" vertical="center"/>
    </xf>
    <xf numFmtId="37" fontId="75" fillId="4" borderId="3" xfId="39" applyNumberFormat="1" applyFont="1" applyFill="1" applyBorder="1" applyAlignment="1" applyProtection="1">
      <alignment horizontal="right" vertical="center"/>
    </xf>
    <xf numFmtId="37" fontId="75" fillId="4" borderId="0" xfId="39" applyNumberFormat="1" applyFont="1" applyFill="1" applyBorder="1" applyAlignment="1" applyProtection="1">
      <alignment vertical="center"/>
    </xf>
    <xf numFmtId="37" fontId="75" fillId="4" borderId="0" xfId="39" applyNumberFormat="1" applyFont="1" applyFill="1" applyBorder="1" applyAlignment="1" applyProtection="1">
      <alignment horizontal="center" vertical="center"/>
    </xf>
    <xf numFmtId="172" fontId="75" fillId="4" borderId="42" xfId="39" applyNumberFormat="1" applyFont="1" applyFill="1" applyBorder="1" applyAlignment="1" applyProtection="1">
      <alignment horizontal="center" vertical="center"/>
    </xf>
    <xf numFmtId="0" fontId="77" fillId="4" borderId="0" xfId="39" applyFont="1" applyFill="1" applyBorder="1" applyAlignment="1">
      <alignment vertical="center"/>
    </xf>
    <xf numFmtId="37" fontId="77" fillId="4" borderId="0" xfId="39" applyNumberFormat="1" applyFont="1" applyFill="1" applyBorder="1" applyAlignment="1" applyProtection="1">
      <alignment horizontal="right" vertical="center"/>
      <protection locked="0"/>
    </xf>
    <xf numFmtId="10" fontId="77" fillId="4" borderId="47" xfId="40" applyNumberFormat="1" applyFont="1" applyFill="1" applyBorder="1" applyAlignment="1" applyProtection="1">
      <alignment horizontal="right" vertical="center"/>
      <protection locked="0"/>
    </xf>
    <xf numFmtId="3" fontId="77" fillId="4" borderId="43" xfId="39" applyNumberFormat="1" applyFont="1" applyFill="1" applyBorder="1" applyAlignment="1" applyProtection="1">
      <alignment horizontal="right" vertical="center"/>
      <protection locked="0"/>
    </xf>
    <xf numFmtId="37" fontId="77" fillId="4" borderId="34" xfId="39" applyNumberFormat="1" applyFont="1" applyFill="1" applyBorder="1" applyAlignment="1" applyProtection="1">
      <alignment horizontal="right" vertical="center"/>
    </xf>
    <xf numFmtId="37" fontId="77" fillId="0" borderId="34" xfId="39" applyNumberFormat="1" applyFont="1" applyFill="1" applyBorder="1" applyAlignment="1" applyProtection="1">
      <alignment vertical="center"/>
    </xf>
    <xf numFmtId="172" fontId="77" fillId="4" borderId="32" xfId="39" applyNumberFormat="1" applyFont="1" applyFill="1" applyBorder="1" applyAlignment="1" applyProtection="1">
      <alignment horizontal="center" vertical="center"/>
    </xf>
    <xf numFmtId="0" fontId="19" fillId="4" borderId="0" xfId="39" applyFont="1" applyFill="1" applyAlignment="1">
      <alignment vertical="center"/>
    </xf>
    <xf numFmtId="10" fontId="79" fillId="4" borderId="45" xfId="39" applyNumberFormat="1" applyFont="1" applyFill="1" applyBorder="1" applyAlignment="1" applyProtection="1">
      <alignment vertical="center"/>
      <protection locked="0"/>
    </xf>
    <xf numFmtId="37" fontId="79" fillId="4" borderId="46" xfId="39" applyNumberFormat="1" applyFont="1" applyFill="1" applyBorder="1" applyAlignment="1" applyProtection="1">
      <alignment vertical="center"/>
      <protection locked="0"/>
    </xf>
    <xf numFmtId="37" fontId="79" fillId="4" borderId="20" xfId="39" applyNumberFormat="1" applyFont="1" applyFill="1" applyBorder="1" applyAlignment="1" applyProtection="1">
      <alignment horizontal="right" vertical="center"/>
    </xf>
    <xf numFmtId="37" fontId="79" fillId="4" borderId="6" xfId="39" applyNumberFormat="1" applyFont="1" applyFill="1" applyBorder="1" applyAlignment="1" applyProtection="1">
      <alignment horizontal="left" vertical="center"/>
      <protection locked="0"/>
    </xf>
    <xf numFmtId="37" fontId="79" fillId="0" borderId="20" xfId="39" applyNumberFormat="1" applyFont="1" applyFill="1" applyBorder="1" applyAlignment="1" applyProtection="1">
      <alignment horizontal="left" vertical="center"/>
    </xf>
    <xf numFmtId="37" fontId="79" fillId="4" borderId="0" xfId="39" applyNumberFormat="1" applyFont="1" applyFill="1" applyBorder="1" applyAlignment="1" applyProtection="1">
      <alignment horizontal="left" vertical="center"/>
      <protection locked="0"/>
    </xf>
    <xf numFmtId="37" fontId="79" fillId="0" borderId="20" xfId="39" quotePrefix="1" applyNumberFormat="1" applyFont="1" applyFill="1" applyBorder="1" applyAlignment="1" applyProtection="1">
      <alignment horizontal="left" vertical="center"/>
      <protection locked="0"/>
    </xf>
    <xf numFmtId="0" fontId="79" fillId="0" borderId="70" xfId="39" applyFont="1" applyFill="1" applyBorder="1" applyAlignment="1" applyProtection="1">
      <alignment horizontal="left" vertical="center" indent="2"/>
    </xf>
    <xf numFmtId="10" fontId="79" fillId="4" borderId="7" xfId="39" applyNumberFormat="1" applyFont="1" applyFill="1" applyBorder="1" applyAlignment="1" applyProtection="1">
      <alignment vertical="center"/>
      <protection locked="0"/>
    </xf>
    <xf numFmtId="37" fontId="79" fillId="4" borderId="59" xfId="39" applyNumberFormat="1" applyFont="1" applyFill="1" applyBorder="1" applyAlignment="1" applyProtection="1">
      <alignment vertical="center"/>
      <protection locked="0"/>
    </xf>
    <xf numFmtId="37" fontId="79" fillId="4" borderId="20" xfId="39" applyNumberFormat="1" applyFont="1" applyFill="1" applyBorder="1" applyAlignment="1" applyProtection="1">
      <alignment horizontal="left" vertical="center"/>
    </xf>
    <xf numFmtId="37" fontId="79" fillId="0" borderId="59" xfId="39" quotePrefix="1" applyNumberFormat="1" applyFont="1" applyFill="1" applyBorder="1" applyAlignment="1" applyProtection="1">
      <alignment horizontal="left" vertical="center"/>
      <protection locked="0"/>
    </xf>
    <xf numFmtId="0" fontId="79" fillId="0" borderId="31" xfId="39" applyFont="1" applyFill="1" applyBorder="1" applyAlignment="1" applyProtection="1">
      <alignment horizontal="left" vertical="center" indent="2"/>
    </xf>
    <xf numFmtId="37" fontId="79" fillId="4" borderId="59" xfId="39" quotePrefix="1" applyNumberFormat="1" applyFont="1" applyFill="1" applyBorder="1" applyAlignment="1" applyProtection="1">
      <alignment horizontal="left" vertical="center"/>
      <protection locked="0"/>
    </xf>
    <xf numFmtId="37" fontId="79" fillId="4" borderId="20" xfId="39" quotePrefix="1" applyNumberFormat="1" applyFont="1" applyFill="1" applyBorder="1" applyAlignment="1" applyProtection="1">
      <alignment horizontal="left" vertical="center"/>
      <protection locked="0"/>
    </xf>
    <xf numFmtId="10" fontId="75" fillId="4" borderId="30" xfId="39" applyNumberFormat="1" applyFont="1" applyFill="1" applyBorder="1" applyAlignment="1" applyProtection="1">
      <alignment vertical="center"/>
      <protection locked="0"/>
    </xf>
    <xf numFmtId="37" fontId="75" fillId="4" borderId="0" xfId="39" applyNumberFormat="1" applyFont="1" applyFill="1" applyBorder="1" applyAlignment="1" applyProtection="1">
      <alignment vertical="center"/>
      <protection locked="0"/>
    </xf>
    <xf numFmtId="37" fontId="75" fillId="0" borderId="30" xfId="39" applyNumberFormat="1" applyFont="1" applyFill="1" applyBorder="1" applyAlignment="1" applyProtection="1">
      <alignment vertical="center"/>
    </xf>
    <xf numFmtId="37" fontId="75" fillId="4" borderId="20" xfId="39" quotePrefix="1" applyNumberFormat="1" applyFont="1" applyFill="1" applyBorder="1" applyAlignment="1" applyProtection="1">
      <alignment horizontal="right" vertical="center"/>
      <protection locked="0"/>
    </xf>
    <xf numFmtId="0" fontId="75" fillId="0" borderId="30" xfId="39" applyFont="1" applyFill="1" applyBorder="1" applyAlignment="1" applyProtection="1">
      <alignment horizontal="left" vertical="center"/>
    </xf>
    <xf numFmtId="10" fontId="79" fillId="4" borderId="30" xfId="39" applyNumberFormat="1" applyFont="1" applyFill="1" applyBorder="1" applyAlignment="1" applyProtection="1">
      <alignment vertical="center"/>
      <protection locked="0"/>
    </xf>
    <xf numFmtId="37" fontId="79" fillId="4" borderId="0" xfId="39" applyNumberFormat="1" applyFont="1" applyFill="1" applyBorder="1" applyAlignment="1" applyProtection="1">
      <alignment vertical="center"/>
      <protection locked="0"/>
    </xf>
    <xf numFmtId="37" fontId="79" fillId="4" borderId="30" xfId="39" applyNumberFormat="1" applyFont="1" applyFill="1" applyBorder="1" applyAlignment="1" applyProtection="1">
      <alignment horizontal="left" vertical="center"/>
      <protection locked="0"/>
    </xf>
    <xf numFmtId="37" fontId="79" fillId="4" borderId="6" xfId="39" applyNumberFormat="1" applyFont="1" applyFill="1" applyBorder="1" applyAlignment="1" applyProtection="1">
      <alignment horizontal="right" vertical="center"/>
      <protection locked="0"/>
    </xf>
    <xf numFmtId="0" fontId="79" fillId="0" borderId="30" xfId="39" applyFont="1" applyFill="1" applyBorder="1" applyAlignment="1" applyProtection="1">
      <alignment horizontal="left" vertical="center" indent="2"/>
    </xf>
    <xf numFmtId="37" fontId="79" fillId="4" borderId="30" xfId="39" applyNumberFormat="1" applyFont="1" applyFill="1" applyBorder="1" applyAlignment="1" applyProtection="1">
      <alignment horizontal="left" vertical="center"/>
    </xf>
    <xf numFmtId="37" fontId="79" fillId="4" borderId="30" xfId="39" applyNumberFormat="1" applyFont="1" applyFill="1" applyBorder="1" applyAlignment="1" applyProtection="1">
      <alignment horizontal="right" vertical="center"/>
      <protection locked="0"/>
    </xf>
    <xf numFmtId="37" fontId="75" fillId="4" borderId="30" xfId="39" applyNumberFormat="1" applyFont="1" applyFill="1" applyBorder="1" applyAlignment="1" applyProtection="1">
      <alignment horizontal="right" vertical="center"/>
      <protection locked="0"/>
    </xf>
    <xf numFmtId="0" fontId="75" fillId="4" borderId="30" xfId="39" applyFont="1" applyFill="1" applyBorder="1" applyAlignment="1" applyProtection="1">
      <alignment vertical="center"/>
    </xf>
    <xf numFmtId="37" fontId="75" fillId="4" borderId="20" xfId="39" applyNumberFormat="1" applyFont="1" applyFill="1" applyBorder="1" applyAlignment="1" applyProtection="1">
      <alignment horizontal="right" vertical="center"/>
    </xf>
    <xf numFmtId="37" fontId="75" fillId="0" borderId="19" xfId="39" applyNumberFormat="1" applyFont="1" applyFill="1" applyBorder="1" applyAlignment="1" applyProtection="1">
      <alignment horizontal="right" vertical="center"/>
      <protection locked="0"/>
    </xf>
    <xf numFmtId="37" fontId="75" fillId="4" borderId="20" xfId="39" applyNumberFormat="1" applyFont="1" applyFill="1" applyBorder="1" applyAlignment="1" applyProtection="1">
      <alignment horizontal="right" vertical="center"/>
      <protection locked="0"/>
    </xf>
    <xf numFmtId="37" fontId="75" fillId="4" borderId="19" xfId="39" applyNumberFormat="1" applyFont="1" applyFill="1" applyBorder="1" applyAlignment="1" applyProtection="1">
      <alignment horizontal="right" vertical="center"/>
      <protection locked="0"/>
    </xf>
    <xf numFmtId="0" fontId="75" fillId="4" borderId="30" xfId="39" applyFont="1" applyFill="1" applyBorder="1" applyAlignment="1" applyProtection="1">
      <alignment horizontal="left" vertical="center"/>
    </xf>
    <xf numFmtId="0" fontId="79" fillId="4" borderId="0" xfId="39" applyFont="1" applyFill="1" applyBorder="1" applyAlignment="1">
      <alignment vertical="center"/>
    </xf>
    <xf numFmtId="37" fontId="79" fillId="4" borderId="0" xfId="39" applyNumberFormat="1" applyFont="1" applyFill="1" applyBorder="1" applyAlignment="1" applyProtection="1">
      <alignment horizontal="right" vertical="center"/>
      <protection locked="0"/>
    </xf>
    <xf numFmtId="37" fontId="79" fillId="4" borderId="20" xfId="39" applyNumberFormat="1" applyFont="1" applyFill="1" applyBorder="1" applyAlignment="1" applyProtection="1">
      <alignment horizontal="center" vertical="center"/>
      <protection locked="0"/>
    </xf>
    <xf numFmtId="37" fontId="79" fillId="0" borderId="21" xfId="39" applyNumberFormat="1" applyFont="1" applyFill="1" applyBorder="1" applyAlignment="1" applyProtection="1">
      <alignment horizontal="right" vertical="center"/>
      <protection locked="0"/>
    </xf>
    <xf numFmtId="37" fontId="79" fillId="0" borderId="19" xfId="39" applyNumberFormat="1" applyFont="1" applyFill="1" applyBorder="1" applyAlignment="1" applyProtection="1">
      <alignment horizontal="left" vertical="center"/>
      <protection locked="0"/>
    </xf>
    <xf numFmtId="37" fontId="79" fillId="4" borderId="20" xfId="39" applyNumberFormat="1" applyFont="1" applyFill="1" applyBorder="1" applyAlignment="1" applyProtection="1">
      <alignment horizontal="left" vertical="center"/>
      <protection locked="0"/>
    </xf>
    <xf numFmtId="0" fontId="19" fillId="4" borderId="31" xfId="39" applyFont="1" applyFill="1" applyBorder="1" applyAlignment="1">
      <alignment horizontal="left" vertical="center" indent="2"/>
    </xf>
    <xf numFmtId="37" fontId="79" fillId="4" borderId="21" xfId="39" applyNumberFormat="1" applyFont="1" applyFill="1" applyBorder="1" applyAlignment="1" applyProtection="1">
      <alignment horizontal="right" vertical="center"/>
      <protection locked="0"/>
    </xf>
    <xf numFmtId="0" fontId="75" fillId="4" borderId="0" xfId="39" applyFont="1" applyFill="1" applyBorder="1" applyAlignment="1">
      <alignment vertical="center"/>
    </xf>
    <xf numFmtId="37" fontId="75" fillId="4" borderId="0" xfId="39" applyNumberFormat="1" applyFont="1" applyFill="1" applyBorder="1" applyAlignment="1" applyProtection="1">
      <alignment horizontal="right" vertical="center"/>
      <protection locked="0"/>
    </xf>
    <xf numFmtId="37" fontId="75" fillId="4" borderId="21" xfId="39" applyNumberFormat="1" applyFont="1" applyFill="1" applyBorder="1" applyAlignment="1" applyProtection="1">
      <alignment horizontal="right" vertical="center"/>
      <protection locked="0"/>
    </xf>
    <xf numFmtId="37" fontId="75" fillId="0" borderId="21" xfId="39" applyNumberFormat="1" applyFont="1" applyFill="1" applyBorder="1" applyAlignment="1" applyProtection="1">
      <alignment horizontal="right" vertical="center"/>
      <protection locked="0"/>
    </xf>
    <xf numFmtId="37" fontId="75" fillId="0" borderId="6" xfId="39" applyNumberFormat="1" applyFont="1" applyFill="1" applyBorder="1" applyAlignment="1" applyProtection="1">
      <alignment horizontal="right" vertical="center"/>
      <protection locked="0"/>
    </xf>
    <xf numFmtId="37" fontId="75" fillId="4" borderId="6" xfId="39" applyNumberFormat="1" applyFont="1" applyFill="1" applyBorder="1" applyAlignment="1" applyProtection="1">
      <alignment horizontal="right" vertical="center"/>
      <protection locked="0"/>
    </xf>
    <xf numFmtId="0" fontId="18" fillId="4" borderId="31" xfId="39" applyFont="1" applyFill="1" applyBorder="1" applyAlignment="1">
      <alignment horizontal="left" vertical="center"/>
    </xf>
    <xf numFmtId="166" fontId="75" fillId="4" borderId="71" xfId="39" applyNumberFormat="1" applyFont="1" applyFill="1" applyBorder="1" applyAlignment="1" applyProtection="1">
      <alignment horizontal="centerContinuous" vertical="center"/>
    </xf>
    <xf numFmtId="37" fontId="75" fillId="4" borderId="71" xfId="39" applyNumberFormat="1" applyFont="1" applyFill="1" applyBorder="1" applyAlignment="1" applyProtection="1">
      <alignment horizontal="right" vertical="center"/>
    </xf>
    <xf numFmtId="166" fontId="75" fillId="4" borderId="71" xfId="41" applyNumberFormat="1" applyFont="1" applyFill="1" applyBorder="1" applyAlignment="1" applyProtection="1">
      <alignment horizontal="right" vertical="center"/>
    </xf>
    <xf numFmtId="37" fontId="75" fillId="0" borderId="71" xfId="39" applyNumberFormat="1" applyFont="1" applyFill="1" applyBorder="1" applyAlignment="1" applyProtection="1">
      <alignment horizontal="right" vertical="center"/>
    </xf>
    <xf numFmtId="37" fontId="75" fillId="4" borderId="0" xfId="39" applyNumberFormat="1" applyFont="1" applyFill="1" applyBorder="1" applyAlignment="1" applyProtection="1">
      <alignment horizontal="right" vertical="center"/>
    </xf>
    <xf numFmtId="37" fontId="75" fillId="0" borderId="20" xfId="39" applyNumberFormat="1" applyFont="1" applyFill="1" applyBorder="1" applyAlignment="1" applyProtection="1">
      <alignment horizontal="right" vertical="center"/>
    </xf>
    <xf numFmtId="0" fontId="18" fillId="4" borderId="31" xfId="39" applyFont="1" applyFill="1" applyBorder="1" applyAlignment="1">
      <alignment horizontal="left" vertical="center" wrapText="1"/>
    </xf>
    <xf numFmtId="0" fontId="75" fillId="4" borderId="72" xfId="39" applyFont="1" applyFill="1" applyBorder="1" applyAlignment="1" applyProtection="1">
      <alignment horizontal="center" vertical="center"/>
    </xf>
    <xf numFmtId="0" fontId="75" fillId="4" borderId="73" xfId="39" applyFont="1" applyFill="1" applyBorder="1" applyAlignment="1" applyProtection="1">
      <alignment horizontal="centerContinuous" vertical="center"/>
    </xf>
    <xf numFmtId="0" fontId="75" fillId="4" borderId="24" xfId="39" applyFont="1" applyFill="1" applyBorder="1" applyAlignment="1" applyProtection="1">
      <alignment horizontal="center" vertical="center"/>
    </xf>
    <xf numFmtId="0" fontId="75" fillId="4" borderId="23" xfId="39" applyFont="1" applyFill="1" applyBorder="1" applyAlignment="1" applyProtection="1">
      <alignment horizontal="center" vertical="center"/>
    </xf>
    <xf numFmtId="0" fontId="75" fillId="4" borderId="56" xfId="39" applyFont="1" applyFill="1" applyBorder="1" applyAlignment="1" applyProtection="1">
      <alignment horizontal="center" vertical="center"/>
    </xf>
    <xf numFmtId="0" fontId="75" fillId="4" borderId="74" xfId="39" applyFont="1" applyFill="1" applyBorder="1" applyAlignment="1" applyProtection="1">
      <alignment horizontal="center" vertical="center"/>
    </xf>
    <xf numFmtId="0" fontId="75" fillId="4" borderId="50" xfId="39" applyFont="1" applyFill="1" applyBorder="1" applyAlignment="1" applyProtection="1">
      <alignment horizontal="centerContinuous" vertical="center"/>
    </xf>
    <xf numFmtId="170" fontId="75" fillId="4" borderId="22" xfId="39" applyNumberFormat="1" applyFont="1" applyFill="1" applyBorder="1" applyAlignment="1" applyProtection="1">
      <alignment horizontal="centerContinuous" vertical="center"/>
    </xf>
    <xf numFmtId="0" fontId="75" fillId="4" borderId="21" xfId="39" applyFont="1" applyFill="1" applyBorder="1" applyAlignment="1" applyProtection="1">
      <alignment horizontal="center" vertical="center"/>
    </xf>
    <xf numFmtId="0" fontId="75" fillId="4" borderId="20" xfId="39" applyFont="1" applyFill="1" applyBorder="1" applyAlignment="1" applyProtection="1">
      <alignment horizontal="center" vertical="center"/>
    </xf>
    <xf numFmtId="37" fontId="75" fillId="4" borderId="0" xfId="39" applyNumberFormat="1" applyFont="1" applyFill="1" applyAlignment="1" applyProtection="1">
      <alignment horizontal="center" vertical="center"/>
    </xf>
    <xf numFmtId="37" fontId="75" fillId="4" borderId="79" xfId="39" applyNumberFormat="1" applyFont="1" applyFill="1" applyBorder="1" applyAlignment="1" applyProtection="1">
      <alignment horizontal="center" vertical="center"/>
    </xf>
    <xf numFmtId="0" fontId="75" fillId="4" borderId="75" xfId="39" applyFont="1" applyFill="1" applyBorder="1" applyAlignment="1" applyProtection="1">
      <alignment vertical="center"/>
    </xf>
    <xf numFmtId="171" fontId="75" fillId="4" borderId="1" xfId="39" applyNumberFormat="1" applyFont="1" applyFill="1" applyBorder="1" applyAlignment="1" applyProtection="1">
      <alignment vertical="center"/>
      <protection locked="0"/>
    </xf>
    <xf numFmtId="37" fontId="75" fillId="4" borderId="1" xfId="39" applyNumberFormat="1" applyFont="1" applyFill="1" applyBorder="1" applyAlignment="1" applyProtection="1">
      <alignment vertical="center"/>
    </xf>
    <xf numFmtId="0" fontId="75" fillId="4" borderId="1" xfId="39" applyFont="1" applyFill="1" applyBorder="1" applyAlignment="1" applyProtection="1">
      <alignment horizontal="center" vertical="center"/>
    </xf>
    <xf numFmtId="10" fontId="77" fillId="4" borderId="51" xfId="39" applyNumberFormat="1" applyFont="1" applyFill="1" applyBorder="1" applyAlignment="1" applyProtection="1">
      <alignment vertical="center"/>
    </xf>
    <xf numFmtId="37" fontId="77" fillId="4" borderId="28" xfId="39" applyNumberFormat="1" applyFont="1" applyFill="1" applyBorder="1" applyAlignment="1" applyProtection="1">
      <alignment vertical="center"/>
    </xf>
    <xf numFmtId="0" fontId="77" fillId="4" borderId="27" xfId="39" applyFont="1" applyFill="1" applyBorder="1" applyAlignment="1" applyProtection="1">
      <alignment horizontal="left" vertical="center"/>
    </xf>
    <xf numFmtId="10" fontId="75" fillId="4" borderId="55" xfId="39" applyNumberFormat="1" applyFont="1" applyFill="1" applyBorder="1" applyAlignment="1" applyProtection="1">
      <alignment vertical="center"/>
      <protection locked="0"/>
    </xf>
    <xf numFmtId="37" fontId="75" fillId="4" borderId="21" xfId="39" applyNumberFormat="1" applyFont="1" applyFill="1" applyBorder="1" applyAlignment="1" applyProtection="1">
      <alignment vertical="center"/>
    </xf>
    <xf numFmtId="37" fontId="75" fillId="4" borderId="20" xfId="39" applyNumberFormat="1" applyFont="1" applyFill="1" applyBorder="1" applyAlignment="1" applyProtection="1">
      <alignment vertical="center"/>
    </xf>
    <xf numFmtId="37" fontId="75" fillId="4" borderId="20" xfId="39" quotePrefix="1" applyNumberFormat="1" applyFont="1" applyFill="1" applyBorder="1" applyAlignment="1" applyProtection="1">
      <alignment horizontal="center" vertical="center"/>
      <protection locked="0"/>
    </xf>
    <xf numFmtId="0" fontId="75" fillId="0" borderId="19" xfId="39" applyFont="1" applyFill="1" applyBorder="1" applyAlignment="1" applyProtection="1">
      <alignment vertical="center"/>
    </xf>
    <xf numFmtId="37" fontId="75" fillId="0" borderId="20" xfId="39" quotePrefix="1" applyNumberFormat="1" applyFont="1" applyFill="1" applyBorder="1" applyAlignment="1" applyProtection="1">
      <alignment horizontal="right" vertical="center"/>
      <protection locked="0"/>
    </xf>
    <xf numFmtId="172" fontId="75" fillId="0" borderId="19" xfId="39" applyNumberFormat="1" applyFont="1" applyFill="1" applyBorder="1" applyAlignment="1" applyProtection="1">
      <alignment vertical="center"/>
    </xf>
    <xf numFmtId="37" fontId="75" fillId="4" borderId="30" xfId="39" applyNumberFormat="1" applyFont="1" applyFill="1" applyBorder="1" applyAlignment="1" applyProtection="1">
      <alignment vertical="center"/>
    </xf>
    <xf numFmtId="37" fontId="75" fillId="0" borderId="20" xfId="39" applyNumberFormat="1" applyFont="1" applyFill="1" applyBorder="1" applyAlignment="1" applyProtection="1">
      <alignment vertical="center"/>
    </xf>
    <xf numFmtId="10" fontId="79" fillId="4" borderId="30" xfId="39" applyNumberFormat="1" applyFont="1" applyFill="1" applyBorder="1" applyAlignment="1" applyProtection="1">
      <alignment horizontal="left" vertical="center"/>
      <protection locked="0"/>
    </xf>
    <xf numFmtId="37" fontId="79" fillId="4" borderId="21" xfId="39" applyNumberFormat="1" applyFont="1" applyFill="1" applyBorder="1" applyAlignment="1" applyProtection="1">
      <alignment horizontal="left" vertical="center"/>
    </xf>
    <xf numFmtId="37" fontId="79" fillId="4" borderId="20" xfId="39" quotePrefix="1" applyNumberFormat="1" applyFont="1" applyFill="1" applyBorder="1" applyAlignment="1" applyProtection="1">
      <alignment horizontal="center" vertical="center"/>
      <protection locked="0"/>
    </xf>
    <xf numFmtId="172" fontId="79" fillId="0" borderId="19" xfId="39" quotePrefix="1" applyNumberFormat="1" applyFont="1" applyFill="1" applyBorder="1" applyAlignment="1" applyProtection="1">
      <alignment horizontal="left" vertical="center" indent="1"/>
    </xf>
    <xf numFmtId="37" fontId="79" fillId="4" borderId="21" xfId="39" applyNumberFormat="1" applyFont="1" applyFill="1" applyBorder="1" applyAlignment="1" applyProtection="1">
      <alignment horizontal="left" vertical="center"/>
      <protection locked="0"/>
    </xf>
    <xf numFmtId="0" fontId="79" fillId="0" borderId="19" xfId="39" quotePrefix="1" applyFont="1" applyFill="1" applyBorder="1" applyAlignment="1" applyProtection="1">
      <alignment horizontal="left" vertical="center" indent="1"/>
    </xf>
    <xf numFmtId="37" fontId="75" fillId="4" borderId="30" xfId="39" applyNumberFormat="1" applyFont="1" applyFill="1" applyBorder="1" applyAlignment="1" applyProtection="1">
      <alignment vertical="center"/>
      <protection locked="0"/>
    </xf>
    <xf numFmtId="37" fontId="75" fillId="4" borderId="19" xfId="39" quotePrefix="1" applyNumberFormat="1" applyFont="1" applyFill="1" applyBorder="1" applyAlignment="1" applyProtection="1">
      <alignment horizontal="right" vertical="center"/>
      <protection locked="0"/>
    </xf>
    <xf numFmtId="37" fontId="75" fillId="4" borderId="0" xfId="39" applyNumberFormat="1" applyFont="1" applyFill="1" applyAlignment="1" applyProtection="1">
      <alignment horizontal="right" vertical="center"/>
    </xf>
    <xf numFmtId="37" fontId="75" fillId="4" borderId="59" xfId="39" applyNumberFormat="1" applyFont="1" applyFill="1" applyBorder="1" applyAlignment="1" applyProtection="1">
      <alignment horizontal="right" vertical="center"/>
    </xf>
    <xf numFmtId="37" fontId="75" fillId="0" borderId="0" xfId="39" applyNumberFormat="1" applyFont="1" applyFill="1" applyAlignment="1" applyProtection="1">
      <alignment horizontal="right" vertical="center"/>
    </xf>
    <xf numFmtId="37" fontId="79" fillId="4" borderId="19" xfId="39" quotePrefix="1" applyNumberFormat="1" applyFont="1" applyFill="1" applyBorder="1" applyAlignment="1" applyProtection="1">
      <alignment horizontal="left" vertical="center"/>
      <protection locked="0"/>
    </xf>
    <xf numFmtId="0" fontId="79" fillId="4" borderId="19" xfId="39" quotePrefix="1" applyFont="1" applyFill="1" applyBorder="1" applyAlignment="1" applyProtection="1">
      <alignment horizontal="left" vertical="center" indent="1"/>
    </xf>
    <xf numFmtId="10" fontId="75" fillId="4" borderId="48" xfId="39" applyNumberFormat="1" applyFont="1" applyFill="1" applyBorder="1" applyAlignment="1" applyProtection="1">
      <alignment vertical="center"/>
      <protection locked="0"/>
    </xf>
    <xf numFmtId="37" fontId="75" fillId="4" borderId="52" xfId="39" applyNumberFormat="1" applyFont="1" applyFill="1" applyBorder="1" applyAlignment="1" applyProtection="1">
      <alignment vertical="center"/>
      <protection locked="0"/>
    </xf>
    <xf numFmtId="37" fontId="75" fillId="4" borderId="29" xfId="39" applyNumberFormat="1" applyFont="1" applyFill="1" applyBorder="1" applyAlignment="1" applyProtection="1">
      <alignment vertical="center"/>
    </xf>
    <xf numFmtId="37" fontId="75" fillId="4" borderId="28" xfId="39" applyNumberFormat="1" applyFont="1" applyFill="1" applyBorder="1" applyAlignment="1" applyProtection="1">
      <alignment horizontal="right" vertical="center"/>
      <protection locked="0"/>
    </xf>
    <xf numFmtId="37" fontId="75" fillId="4" borderId="28" xfId="39" quotePrefix="1" applyNumberFormat="1" applyFont="1" applyFill="1" applyBorder="1" applyAlignment="1" applyProtection="1">
      <alignment horizontal="center" vertical="center"/>
      <protection locked="0"/>
    </xf>
    <xf numFmtId="0" fontId="75" fillId="4" borderId="27" xfId="39" applyFont="1" applyFill="1" applyBorder="1" applyAlignment="1" applyProtection="1">
      <alignment vertical="center"/>
    </xf>
    <xf numFmtId="0" fontId="75" fillId="4" borderId="53" xfId="39" applyFont="1" applyFill="1" applyBorder="1" applyAlignment="1" applyProtection="1">
      <alignment horizontal="center" vertical="center"/>
    </xf>
    <xf numFmtId="0" fontId="75" fillId="4" borderId="54" xfId="39" applyFont="1" applyFill="1" applyBorder="1" applyAlignment="1" applyProtection="1">
      <alignment horizontal="centerContinuous" vertical="center"/>
    </xf>
    <xf numFmtId="37" fontId="75" fillId="4" borderId="20" xfId="39" applyNumberFormat="1" applyFont="1" applyFill="1" applyBorder="1" applyAlignment="1" applyProtection="1">
      <alignment horizontal="center" vertical="center"/>
    </xf>
    <xf numFmtId="0" fontId="75" fillId="4" borderId="22" xfId="39" applyFont="1" applyFill="1" applyBorder="1" applyAlignment="1" applyProtection="1">
      <alignment horizontal="centerContinuous" vertical="center"/>
    </xf>
    <xf numFmtId="0" fontId="75" fillId="4" borderId="7" xfId="39" applyFont="1" applyFill="1" applyBorder="1" applyAlignment="1" applyProtection="1">
      <alignment horizontal="centerContinuous" vertical="center"/>
    </xf>
    <xf numFmtId="170" fontId="75" fillId="4" borderId="19" xfId="39" applyNumberFormat="1" applyFont="1" applyFill="1" applyBorder="1" applyAlignment="1" applyProtection="1">
      <alignment horizontal="centerContinuous" vertical="center"/>
    </xf>
    <xf numFmtId="0" fontId="75" fillId="4" borderId="19" xfId="39" applyFont="1" applyFill="1" applyBorder="1" applyAlignment="1" applyProtection="1">
      <alignment horizontal="centerContinuous" vertical="center"/>
    </xf>
    <xf numFmtId="0" fontId="75" fillId="4" borderId="18" xfId="39" applyFont="1" applyFill="1" applyBorder="1" applyAlignment="1" applyProtection="1">
      <alignment vertical="center"/>
    </xf>
    <xf numFmtId="0" fontId="75" fillId="4" borderId="15" xfId="39" applyFont="1" applyFill="1" applyBorder="1" applyAlignment="1" applyProtection="1">
      <alignment vertical="center"/>
    </xf>
    <xf numFmtId="0" fontId="77" fillId="4" borderId="0" xfId="39" applyFont="1" applyFill="1" applyAlignment="1" applyProtection="1">
      <alignment vertical="center"/>
    </xf>
    <xf numFmtId="0" fontId="77" fillId="4" borderId="0" xfId="39" applyFont="1" applyFill="1" applyAlignment="1" applyProtection="1">
      <alignment horizontal="center" vertical="center"/>
    </xf>
    <xf numFmtId="0" fontId="0" fillId="0" borderId="0" xfId="0" pivotButton="1"/>
    <xf numFmtId="0" fontId="18" fillId="4" borderId="0" xfId="42" applyFont="1" applyFill="1"/>
    <xf numFmtId="0" fontId="18" fillId="4" borderId="0" xfId="42" applyFont="1" applyFill="1" applyAlignment="1">
      <alignment vertical="center"/>
    </xf>
    <xf numFmtId="0" fontId="77" fillId="4" borderId="0" xfId="42" applyFont="1" applyFill="1" applyAlignment="1" applyProtection="1">
      <alignment horizontal="center" vertical="center"/>
    </xf>
    <xf numFmtId="0" fontId="50" fillId="4" borderId="0" xfId="42" applyFont="1" applyFill="1" applyAlignment="1">
      <alignment vertical="center"/>
    </xf>
    <xf numFmtId="0" fontId="77" fillId="4" borderId="0" xfId="42" applyFont="1" applyFill="1" applyAlignment="1" applyProtection="1">
      <alignment vertical="center"/>
    </xf>
    <xf numFmtId="0" fontId="75" fillId="4" borderId="15" xfId="42" applyFont="1" applyFill="1" applyBorder="1" applyAlignment="1" applyProtection="1">
      <alignment vertical="center"/>
    </xf>
    <xf numFmtId="0" fontId="75" fillId="4" borderId="18" xfId="42" applyFont="1" applyFill="1" applyBorder="1" applyAlignment="1" applyProtection="1">
      <alignment vertical="center"/>
    </xf>
    <xf numFmtId="0" fontId="75" fillId="4" borderId="19" xfId="42" applyFont="1" applyFill="1" applyBorder="1" applyAlignment="1" applyProtection="1">
      <alignment horizontal="centerContinuous" vertical="center"/>
    </xf>
    <xf numFmtId="37" fontId="75" fillId="4" borderId="79" xfId="42" applyNumberFormat="1" applyFont="1" applyFill="1" applyBorder="1" applyAlignment="1" applyProtection="1">
      <alignment horizontal="center" vertical="center"/>
    </xf>
    <xf numFmtId="37" fontId="75" fillId="4" borderId="0" xfId="42" applyNumberFormat="1" applyFont="1" applyFill="1" applyAlignment="1" applyProtection="1">
      <alignment horizontal="center" vertical="center"/>
    </xf>
    <xf numFmtId="37" fontId="75" fillId="4" borderId="20" xfId="42" applyNumberFormat="1" applyFont="1" applyFill="1" applyBorder="1" applyAlignment="1" applyProtection="1">
      <alignment horizontal="center" vertical="center"/>
    </xf>
    <xf numFmtId="0" fontId="75" fillId="4" borderId="20" xfId="42" applyFont="1" applyFill="1" applyBorder="1" applyAlignment="1" applyProtection="1">
      <alignment horizontal="center" vertical="center"/>
    </xf>
    <xf numFmtId="0" fontId="75" fillId="4" borderId="21" xfId="42" applyFont="1" applyFill="1" applyBorder="1" applyAlignment="1" applyProtection="1">
      <alignment horizontal="center" vertical="center"/>
    </xf>
    <xf numFmtId="170" fontId="75" fillId="4" borderId="19" xfId="42" applyNumberFormat="1" applyFont="1" applyFill="1" applyBorder="1" applyAlignment="1" applyProtection="1">
      <alignment horizontal="centerContinuous" vertical="center"/>
    </xf>
    <xf numFmtId="0" fontId="75" fillId="4" borderId="7" xfId="42" applyFont="1" applyFill="1" applyBorder="1" applyAlignment="1" applyProtection="1">
      <alignment horizontal="centerContinuous" vertical="center"/>
    </xf>
    <xf numFmtId="0" fontId="75" fillId="4" borderId="22" xfId="42" applyFont="1" applyFill="1" applyBorder="1" applyAlignment="1" applyProtection="1">
      <alignment horizontal="centerContinuous" vertical="center"/>
    </xf>
    <xf numFmtId="0" fontId="75" fillId="4" borderId="80" xfId="42" applyFont="1" applyFill="1" applyBorder="1" applyAlignment="1" applyProtection="1">
      <alignment horizontal="center" vertical="center"/>
    </xf>
    <xf numFmtId="0" fontId="75" fillId="4" borderId="23" xfId="42" applyFont="1" applyFill="1" applyBorder="1" applyAlignment="1" applyProtection="1">
      <alignment horizontal="center" vertical="center"/>
    </xf>
    <xf numFmtId="0" fontId="75" fillId="4" borderId="24" xfId="42" applyFont="1" applyFill="1" applyBorder="1" applyAlignment="1" applyProtection="1">
      <alignment horizontal="center" vertical="center"/>
    </xf>
    <xf numFmtId="0" fontId="75" fillId="4" borderId="54" xfId="42" applyFont="1" applyFill="1" applyBorder="1" applyAlignment="1" applyProtection="1">
      <alignment horizontal="centerContinuous" vertical="center"/>
    </xf>
    <xf numFmtId="0" fontId="75" fillId="4" borderId="53" xfId="42" applyFont="1" applyFill="1" applyBorder="1" applyAlignment="1" applyProtection="1">
      <alignment horizontal="center" vertical="center"/>
    </xf>
    <xf numFmtId="0" fontId="75" fillId="4" borderId="27" xfId="42" applyFont="1" applyFill="1" applyBorder="1" applyAlignment="1" applyProtection="1">
      <alignment vertical="center"/>
    </xf>
    <xf numFmtId="37" fontId="79" fillId="4" borderId="20" xfId="42" quotePrefix="1" applyNumberFormat="1" applyFont="1" applyFill="1" applyBorder="1" applyAlignment="1" applyProtection="1">
      <alignment horizontal="center" vertical="center"/>
      <protection locked="0"/>
    </xf>
    <xf numFmtId="37" fontId="75" fillId="4" borderId="28" xfId="42" applyNumberFormat="1" applyFont="1" applyFill="1" applyBorder="1" applyAlignment="1" applyProtection="1">
      <alignment horizontal="right" vertical="center"/>
      <protection locked="0"/>
    </xf>
    <xf numFmtId="37" fontId="75" fillId="4" borderId="29" xfId="42" applyNumberFormat="1" applyFont="1" applyFill="1" applyBorder="1" applyAlignment="1" applyProtection="1">
      <alignment vertical="center"/>
    </xf>
    <xf numFmtId="37" fontId="75" fillId="4" borderId="52" xfId="42" applyNumberFormat="1" applyFont="1" applyFill="1" applyBorder="1" applyAlignment="1" applyProtection="1">
      <alignment vertical="center"/>
      <protection locked="0"/>
    </xf>
    <xf numFmtId="10" fontId="75" fillId="4" borderId="48" xfId="42" applyNumberFormat="1" applyFont="1" applyFill="1" applyBorder="1" applyAlignment="1" applyProtection="1">
      <alignment vertical="center"/>
      <protection locked="0"/>
    </xf>
    <xf numFmtId="0" fontId="79" fillId="4" borderId="19" xfId="42" quotePrefix="1" applyFont="1" applyFill="1" applyBorder="1" applyAlignment="1" applyProtection="1">
      <alignment horizontal="left" vertical="center" indent="1"/>
    </xf>
    <xf numFmtId="37" fontId="79" fillId="4" borderId="20" xfId="42" applyNumberFormat="1" applyFont="1" applyFill="1" applyBorder="1" applyAlignment="1" applyProtection="1">
      <alignment horizontal="left" vertical="center"/>
    </xf>
    <xf numFmtId="37" fontId="79" fillId="4" borderId="19" xfId="42" quotePrefix="1" applyNumberFormat="1" applyFont="1" applyFill="1" applyBorder="1" applyAlignment="1" applyProtection="1">
      <alignment horizontal="left" vertical="center"/>
      <protection locked="0"/>
    </xf>
    <xf numFmtId="37" fontId="79" fillId="4" borderId="30" xfId="42" applyNumberFormat="1" applyFont="1" applyFill="1" applyBorder="1" applyAlignment="1" applyProtection="1">
      <alignment horizontal="left" vertical="center"/>
      <protection locked="0"/>
    </xf>
    <xf numFmtId="10" fontId="79" fillId="4" borderId="30" xfId="42" applyNumberFormat="1" applyFont="1" applyFill="1" applyBorder="1" applyAlignment="1" applyProtection="1">
      <alignment horizontal="left" vertical="center"/>
      <protection locked="0"/>
    </xf>
    <xf numFmtId="0" fontId="19" fillId="4" borderId="0" xfId="42" applyFont="1" applyFill="1" applyAlignment="1">
      <alignment vertical="center"/>
    </xf>
    <xf numFmtId="0" fontId="75" fillId="0" borderId="19" xfId="42" applyFont="1" applyFill="1" applyBorder="1" applyAlignment="1" applyProtection="1">
      <alignment vertical="center"/>
    </xf>
    <xf numFmtId="37" fontId="75" fillId="0" borderId="0" xfId="42" applyNumberFormat="1" applyFont="1" applyFill="1" applyAlignment="1" applyProtection="1">
      <alignment horizontal="right" vertical="center"/>
    </xf>
    <xf numFmtId="37" fontId="75" fillId="4" borderId="20" xfId="42" quotePrefix="1" applyNumberFormat="1" applyFont="1" applyFill="1" applyBorder="1" applyAlignment="1" applyProtection="1">
      <alignment horizontal="center" vertical="center"/>
      <protection locked="0"/>
    </xf>
    <xf numFmtId="37" fontId="75" fillId="4" borderId="59" xfId="42" applyNumberFormat="1" applyFont="1" applyFill="1" applyBorder="1" applyAlignment="1" applyProtection="1">
      <alignment horizontal="right" vertical="center"/>
    </xf>
    <xf numFmtId="37" fontId="75" fillId="4" borderId="0" xfId="42" applyNumberFormat="1" applyFont="1" applyFill="1" applyAlignment="1" applyProtection="1">
      <alignment horizontal="right" vertical="center"/>
    </xf>
    <xf numFmtId="37" fontId="75" fillId="4" borderId="19" xfId="42" quotePrefix="1" applyNumberFormat="1" applyFont="1" applyFill="1" applyBorder="1" applyAlignment="1" applyProtection="1">
      <alignment horizontal="right" vertical="center"/>
      <protection locked="0"/>
    </xf>
    <xf numFmtId="37" fontId="75" fillId="4" borderId="30" xfId="42" applyNumberFormat="1" applyFont="1" applyFill="1" applyBorder="1" applyAlignment="1" applyProtection="1">
      <alignment vertical="center"/>
      <protection locked="0"/>
    </xf>
    <xf numFmtId="10" fontId="75" fillId="4" borderId="30" xfId="42" applyNumberFormat="1" applyFont="1" applyFill="1" applyBorder="1" applyAlignment="1" applyProtection="1">
      <alignment vertical="center"/>
      <protection locked="0"/>
    </xf>
    <xf numFmtId="172" fontId="79" fillId="0" borderId="19" xfId="42" quotePrefix="1" applyNumberFormat="1" applyFont="1" applyFill="1" applyBorder="1" applyAlignment="1" applyProtection="1">
      <alignment horizontal="left" vertical="center" indent="1"/>
    </xf>
    <xf numFmtId="37" fontId="79" fillId="0" borderId="20" xfId="42" applyNumberFormat="1" applyFont="1" applyFill="1" applyBorder="1" applyAlignment="1" applyProtection="1">
      <alignment horizontal="left" vertical="center"/>
    </xf>
    <xf numFmtId="37" fontId="79" fillId="4" borderId="30" xfId="42" applyNumberFormat="1" applyFont="1" applyFill="1" applyBorder="1" applyAlignment="1" applyProtection="1">
      <alignment horizontal="left" vertical="center"/>
    </xf>
    <xf numFmtId="37" fontId="79" fillId="4" borderId="21" xfId="42" applyNumberFormat="1" applyFont="1" applyFill="1" applyBorder="1" applyAlignment="1" applyProtection="1">
      <alignment horizontal="left" vertical="center"/>
      <protection locked="0"/>
    </xf>
    <xf numFmtId="37" fontId="79" fillId="4" borderId="0" xfId="42" applyNumberFormat="1" applyFont="1" applyFill="1" applyBorder="1" applyAlignment="1" applyProtection="1">
      <alignment horizontal="left" vertical="center"/>
      <protection locked="0"/>
    </xf>
    <xf numFmtId="0" fontId="79" fillId="0" borderId="19" xfId="42" quotePrefix="1" applyFont="1" applyFill="1" applyBorder="1" applyAlignment="1" applyProtection="1">
      <alignment horizontal="left" vertical="center" indent="1"/>
    </xf>
    <xf numFmtId="37" fontId="79" fillId="4" borderId="21" xfId="42" applyNumberFormat="1" applyFont="1" applyFill="1" applyBorder="1" applyAlignment="1" applyProtection="1">
      <alignment horizontal="left" vertical="center"/>
    </xf>
    <xf numFmtId="172" fontId="75" fillId="0" borderId="19" xfId="42" applyNumberFormat="1" applyFont="1" applyFill="1" applyBorder="1" applyAlignment="1" applyProtection="1">
      <alignment vertical="center"/>
    </xf>
    <xf numFmtId="37" fontId="75" fillId="0" borderId="20" xfId="42" applyNumberFormat="1" applyFont="1" applyFill="1" applyBorder="1" applyAlignment="1" applyProtection="1">
      <alignment horizontal="right" vertical="center"/>
    </xf>
    <xf numFmtId="37" fontId="75" fillId="4" borderId="30" xfId="42" applyNumberFormat="1" applyFont="1" applyFill="1" applyBorder="1" applyAlignment="1" applyProtection="1">
      <alignment vertical="center"/>
    </xf>
    <xf numFmtId="37" fontId="75" fillId="4" borderId="21" xfId="42" applyNumberFormat="1" applyFont="1" applyFill="1" applyBorder="1" applyAlignment="1" applyProtection="1">
      <alignment vertical="center"/>
    </xf>
    <xf numFmtId="37" fontId="75" fillId="4" borderId="0" xfId="42" applyNumberFormat="1" applyFont="1" applyFill="1" applyBorder="1" applyAlignment="1" applyProtection="1">
      <alignment vertical="center"/>
      <protection locked="0"/>
    </xf>
    <xf numFmtId="37" fontId="75" fillId="4" borderId="20" xfId="42" quotePrefix="1" applyNumberFormat="1" applyFont="1" applyFill="1" applyBorder="1" applyAlignment="1" applyProtection="1">
      <alignment horizontal="right" vertical="center"/>
      <protection locked="0"/>
    </xf>
    <xf numFmtId="37" fontId="75" fillId="4" borderId="20" xfId="42" applyNumberFormat="1" applyFont="1" applyFill="1" applyBorder="1" applyAlignment="1" applyProtection="1">
      <alignment vertical="center"/>
    </xf>
    <xf numFmtId="10" fontId="75" fillId="4" borderId="55" xfId="42" applyNumberFormat="1" applyFont="1" applyFill="1" applyBorder="1" applyAlignment="1" applyProtection="1">
      <alignment vertical="center"/>
      <protection locked="0"/>
    </xf>
    <xf numFmtId="0" fontId="77" fillId="4" borderId="27" xfId="42" applyFont="1" applyFill="1" applyBorder="1" applyAlignment="1" applyProtection="1">
      <alignment horizontal="left" vertical="center"/>
    </xf>
    <xf numFmtId="37" fontId="77" fillId="4" borderId="28" xfId="42" applyNumberFormat="1" applyFont="1" applyFill="1" applyBorder="1" applyAlignment="1" applyProtection="1">
      <alignment vertical="center"/>
    </xf>
    <xf numFmtId="10" fontId="77" fillId="4" borderId="51" xfId="42" applyNumberFormat="1" applyFont="1" applyFill="1" applyBorder="1" applyAlignment="1" applyProtection="1">
      <alignment vertical="center"/>
    </xf>
    <xf numFmtId="0" fontId="75" fillId="4" borderId="1" xfId="42" applyFont="1" applyFill="1" applyBorder="1" applyAlignment="1" applyProtection="1">
      <alignment horizontal="center" vertical="center"/>
    </xf>
    <xf numFmtId="37" fontId="75" fillId="4" borderId="1" xfId="42" applyNumberFormat="1" applyFont="1" applyFill="1" applyBorder="1" applyAlignment="1" applyProtection="1">
      <alignment vertical="center"/>
    </xf>
    <xf numFmtId="171" fontId="75" fillId="4" borderId="1" xfId="42" applyNumberFormat="1" applyFont="1" applyFill="1" applyBorder="1" applyAlignment="1" applyProtection="1">
      <alignment vertical="center"/>
      <protection locked="0"/>
    </xf>
    <xf numFmtId="0" fontId="75" fillId="4" borderId="75" xfId="42" applyFont="1" applyFill="1" applyBorder="1" applyAlignment="1" applyProtection="1">
      <alignment vertical="center"/>
    </xf>
    <xf numFmtId="37" fontId="75" fillId="4" borderId="41" xfId="42" applyNumberFormat="1" applyFont="1" applyFill="1" applyBorder="1" applyAlignment="1" applyProtection="1">
      <alignment horizontal="center" vertical="center"/>
    </xf>
    <xf numFmtId="0" fontId="75" fillId="4" borderId="74" xfId="42" applyFont="1" applyFill="1" applyBorder="1" applyAlignment="1" applyProtection="1">
      <alignment horizontal="center" vertical="center"/>
    </xf>
    <xf numFmtId="0" fontId="75" fillId="4" borderId="41" xfId="42" applyFont="1" applyFill="1" applyBorder="1" applyAlignment="1" applyProtection="1">
      <alignment horizontal="center" vertical="center"/>
    </xf>
    <xf numFmtId="0" fontId="18" fillId="4" borderId="31" xfId="42" applyFont="1" applyFill="1" applyBorder="1" applyAlignment="1">
      <alignment horizontal="left" vertical="center" wrapText="1"/>
    </xf>
    <xf numFmtId="37" fontId="75" fillId="0" borderId="71" xfId="42" applyNumberFormat="1" applyFont="1" applyFill="1" applyBorder="1" applyAlignment="1" applyProtection="1">
      <alignment horizontal="right" vertical="center"/>
    </xf>
    <xf numFmtId="166" fontId="75" fillId="4" borderId="71" xfId="43" applyNumberFormat="1" applyFont="1" applyFill="1" applyBorder="1" applyAlignment="1" applyProtection="1">
      <alignment horizontal="right" vertical="center"/>
    </xf>
    <xf numFmtId="37" fontId="75" fillId="4" borderId="71" xfId="42" applyNumberFormat="1" applyFont="1" applyFill="1" applyBorder="1" applyAlignment="1" applyProtection="1">
      <alignment horizontal="right" vertical="center"/>
    </xf>
    <xf numFmtId="166" fontId="75" fillId="4" borderId="71" xfId="42" applyNumberFormat="1" applyFont="1" applyFill="1" applyBorder="1" applyAlignment="1" applyProtection="1">
      <alignment horizontal="centerContinuous" vertical="center"/>
    </xf>
    <xf numFmtId="0" fontId="18" fillId="4" borderId="31" xfId="42" applyFont="1" applyFill="1" applyBorder="1" applyAlignment="1">
      <alignment horizontal="left" vertical="center"/>
    </xf>
    <xf numFmtId="37" fontId="75" fillId="4" borderId="20" xfId="42" applyNumberFormat="1" applyFont="1" applyFill="1" applyBorder="1" applyAlignment="1" applyProtection="1">
      <alignment horizontal="right" vertical="center"/>
      <protection locked="0"/>
    </xf>
    <xf numFmtId="37" fontId="75" fillId="4" borderId="6" xfId="42" applyNumberFormat="1" applyFont="1" applyFill="1" applyBorder="1" applyAlignment="1" applyProtection="1">
      <alignment horizontal="right" vertical="center"/>
      <protection locked="0"/>
    </xf>
    <xf numFmtId="37" fontId="75" fillId="0" borderId="6" xfId="42" applyNumberFormat="1" applyFont="1" applyFill="1" applyBorder="1" applyAlignment="1" applyProtection="1">
      <alignment horizontal="right" vertical="center"/>
      <protection locked="0"/>
    </xf>
    <xf numFmtId="37" fontId="75" fillId="4" borderId="30" xfId="42" applyNumberFormat="1" applyFont="1" applyFill="1" applyBorder="1" applyAlignment="1" applyProtection="1">
      <alignment horizontal="right" vertical="center"/>
      <protection locked="0"/>
    </xf>
    <xf numFmtId="37" fontId="75" fillId="0" borderId="21" xfId="42" applyNumberFormat="1" applyFont="1" applyFill="1" applyBorder="1" applyAlignment="1" applyProtection="1">
      <alignment horizontal="right" vertical="center"/>
      <protection locked="0"/>
    </xf>
    <xf numFmtId="37" fontId="75" fillId="4" borderId="21" xfId="42" applyNumberFormat="1" applyFont="1" applyFill="1" applyBorder="1" applyAlignment="1" applyProtection="1">
      <alignment horizontal="right" vertical="center"/>
      <protection locked="0"/>
    </xf>
    <xf numFmtId="0" fontId="75" fillId="4" borderId="0" xfId="42" applyFont="1" applyFill="1" applyBorder="1" applyAlignment="1">
      <alignment vertical="center"/>
    </xf>
    <xf numFmtId="0" fontId="19" fillId="4" borderId="31" xfId="42" applyFont="1" applyFill="1" applyBorder="1" applyAlignment="1">
      <alignment horizontal="left" vertical="center" indent="2"/>
    </xf>
    <xf numFmtId="37" fontId="79" fillId="4" borderId="20" xfId="42" applyNumberFormat="1" applyFont="1" applyFill="1" applyBorder="1" applyAlignment="1" applyProtection="1">
      <alignment horizontal="left" vertical="center"/>
      <protection locked="0"/>
    </xf>
    <xf numFmtId="37" fontId="79" fillId="0" borderId="19" xfId="42" applyNumberFormat="1" applyFont="1" applyFill="1" applyBorder="1" applyAlignment="1" applyProtection="1">
      <alignment horizontal="left" vertical="center"/>
      <protection locked="0"/>
    </xf>
    <xf numFmtId="37" fontId="79" fillId="4" borderId="21" xfId="42" applyNumberFormat="1" applyFont="1" applyFill="1" applyBorder="1" applyAlignment="1" applyProtection="1">
      <alignment horizontal="right" vertical="center"/>
      <protection locked="0"/>
    </xf>
    <xf numFmtId="37" fontId="79" fillId="4" borderId="20" xfId="42" applyNumberFormat="1" applyFont="1" applyFill="1" applyBorder="1" applyAlignment="1" applyProtection="1">
      <alignment horizontal="center" vertical="center"/>
      <protection locked="0"/>
    </xf>
    <xf numFmtId="0" fontId="79" fillId="4" borderId="0" xfId="42" applyFont="1" applyFill="1" applyBorder="1" applyAlignment="1">
      <alignment vertical="center"/>
    </xf>
    <xf numFmtId="37" fontId="79" fillId="0" borderId="21" xfId="42" applyNumberFormat="1" applyFont="1" applyFill="1" applyBorder="1" applyAlignment="1" applyProtection="1">
      <alignment horizontal="right" vertical="center"/>
      <protection locked="0"/>
    </xf>
    <xf numFmtId="0" fontId="75" fillId="4" borderId="30" xfId="42" applyFont="1" applyFill="1" applyBorder="1" applyAlignment="1" applyProtection="1">
      <alignment horizontal="left" vertical="center"/>
    </xf>
    <xf numFmtId="37" fontId="75" fillId="4" borderId="19" xfId="42" applyNumberFormat="1" applyFont="1" applyFill="1" applyBorder="1" applyAlignment="1" applyProtection="1">
      <alignment horizontal="right" vertical="center"/>
      <protection locked="0"/>
    </xf>
    <xf numFmtId="37" fontId="75" fillId="0" borderId="19" xfId="42" applyNumberFormat="1" applyFont="1" applyFill="1" applyBorder="1" applyAlignment="1" applyProtection="1">
      <alignment horizontal="right" vertical="center"/>
      <protection locked="0"/>
    </xf>
    <xf numFmtId="37" fontId="75" fillId="4" borderId="20" xfId="42" applyNumberFormat="1" applyFont="1" applyFill="1" applyBorder="1" applyAlignment="1" applyProtection="1">
      <alignment horizontal="right" vertical="center"/>
    </xf>
    <xf numFmtId="0" fontId="75" fillId="4" borderId="30" xfId="42" applyFont="1" applyFill="1" applyBorder="1" applyAlignment="1" applyProtection="1">
      <alignment vertical="center"/>
    </xf>
    <xf numFmtId="37" fontId="75" fillId="0" borderId="20" xfId="42" quotePrefix="1" applyNumberFormat="1" applyFont="1" applyFill="1" applyBorder="1" applyAlignment="1" applyProtection="1">
      <alignment horizontal="right" vertical="center"/>
      <protection locked="0"/>
    </xf>
    <xf numFmtId="0" fontId="79" fillId="0" borderId="30" xfId="42" applyFont="1" applyFill="1" applyBorder="1" applyAlignment="1" applyProtection="1">
      <alignment horizontal="left" vertical="center" indent="2"/>
    </xf>
    <xf numFmtId="37" fontId="79" fillId="4" borderId="20" xfId="42" quotePrefix="1" applyNumberFormat="1" applyFont="1" applyFill="1" applyBorder="1" applyAlignment="1" applyProtection="1">
      <alignment horizontal="left" vertical="center"/>
      <protection locked="0"/>
    </xf>
    <xf numFmtId="37" fontId="79" fillId="4" borderId="6" xfId="42" applyNumberFormat="1" applyFont="1" applyFill="1" applyBorder="1" applyAlignment="1" applyProtection="1">
      <alignment horizontal="left" vertical="center"/>
      <protection locked="0"/>
    </xf>
    <xf numFmtId="37" fontId="79" fillId="4" borderId="30" xfId="42" applyNumberFormat="1" applyFont="1" applyFill="1" applyBorder="1" applyAlignment="1" applyProtection="1">
      <alignment horizontal="right" vertical="center"/>
      <protection locked="0"/>
    </xf>
    <xf numFmtId="37" fontId="79" fillId="4" borderId="0" xfId="42" applyNumberFormat="1" applyFont="1" applyFill="1" applyBorder="1" applyAlignment="1" applyProtection="1">
      <alignment vertical="center"/>
      <protection locked="0"/>
    </xf>
    <xf numFmtId="10" fontId="79" fillId="4" borderId="30" xfId="42" applyNumberFormat="1" applyFont="1" applyFill="1" applyBorder="1" applyAlignment="1" applyProtection="1">
      <alignment vertical="center"/>
      <protection locked="0"/>
    </xf>
    <xf numFmtId="37" fontId="79" fillId="4" borderId="6" xfId="42" applyNumberFormat="1" applyFont="1" applyFill="1" applyBorder="1" applyAlignment="1" applyProtection="1">
      <alignment horizontal="right" vertical="center"/>
      <protection locked="0"/>
    </xf>
    <xf numFmtId="0" fontId="75" fillId="0" borderId="30" xfId="42" applyFont="1" applyFill="1" applyBorder="1" applyAlignment="1" applyProtection="1">
      <alignment horizontal="left" vertical="center"/>
    </xf>
    <xf numFmtId="37" fontId="75" fillId="0" borderId="30" xfId="42" applyNumberFormat="1" applyFont="1" applyFill="1" applyBorder="1" applyAlignment="1" applyProtection="1">
      <alignment vertical="center"/>
    </xf>
    <xf numFmtId="0" fontId="79" fillId="0" borderId="31" xfId="42" applyFont="1" applyFill="1" applyBorder="1" applyAlignment="1" applyProtection="1">
      <alignment horizontal="left" vertical="center" indent="2"/>
    </xf>
    <xf numFmtId="37" fontId="79" fillId="4" borderId="20" xfId="42" applyNumberFormat="1" applyFont="1" applyFill="1" applyBorder="1" applyAlignment="1" applyProtection="1">
      <alignment horizontal="right" vertical="center"/>
    </xf>
    <xf numFmtId="37" fontId="79" fillId="4" borderId="59" xfId="42" applyNumberFormat="1" applyFont="1" applyFill="1" applyBorder="1" applyAlignment="1" applyProtection="1">
      <alignment vertical="center"/>
      <protection locked="0"/>
    </xf>
    <xf numFmtId="10" fontId="79" fillId="4" borderId="7" xfId="42" applyNumberFormat="1" applyFont="1" applyFill="1" applyBorder="1" applyAlignment="1" applyProtection="1">
      <alignment vertical="center"/>
      <protection locked="0"/>
    </xf>
    <xf numFmtId="0" fontId="79" fillId="0" borderId="70" xfId="42" applyFont="1" applyFill="1" applyBorder="1" applyAlignment="1" applyProtection="1">
      <alignment horizontal="left" vertical="center" indent="2"/>
    </xf>
    <xf numFmtId="37" fontId="79" fillId="4" borderId="46" xfId="42" applyNumberFormat="1" applyFont="1" applyFill="1" applyBorder="1" applyAlignment="1" applyProtection="1">
      <alignment vertical="center"/>
      <protection locked="0"/>
    </xf>
    <xf numFmtId="10" fontId="79" fillId="4" borderId="45" xfId="42" applyNumberFormat="1" applyFont="1" applyFill="1" applyBorder="1" applyAlignment="1" applyProtection="1">
      <alignment vertical="center"/>
      <protection locked="0"/>
    </xf>
    <xf numFmtId="172" fontId="77" fillId="4" borderId="32" xfId="42" applyNumberFormat="1" applyFont="1" applyFill="1" applyBorder="1" applyAlignment="1" applyProtection="1">
      <alignment horizontal="center" vertical="center"/>
    </xf>
    <xf numFmtId="37" fontId="77" fillId="0" borderId="34" xfId="42" applyNumberFormat="1" applyFont="1" applyFill="1" applyBorder="1" applyAlignment="1" applyProtection="1">
      <alignment vertical="center"/>
    </xf>
    <xf numFmtId="37" fontId="77" fillId="4" borderId="34" xfId="42" applyNumberFormat="1" applyFont="1" applyFill="1" applyBorder="1" applyAlignment="1" applyProtection="1">
      <alignment horizontal="right" vertical="center"/>
    </xf>
    <xf numFmtId="3" fontId="77" fillId="4" borderId="43" xfId="42" applyNumberFormat="1" applyFont="1" applyFill="1" applyBorder="1" applyAlignment="1" applyProtection="1">
      <alignment horizontal="right" vertical="center"/>
      <protection locked="0"/>
    </xf>
    <xf numFmtId="10" fontId="77" fillId="4" borderId="47" xfId="44" applyNumberFormat="1" applyFont="1" applyFill="1" applyBorder="1" applyAlignment="1" applyProtection="1">
      <alignment horizontal="right" vertical="center"/>
      <protection locked="0"/>
    </xf>
    <xf numFmtId="0" fontId="77" fillId="4" borderId="0" xfId="42" applyFont="1" applyFill="1" applyBorder="1" applyAlignment="1">
      <alignment vertical="center"/>
    </xf>
    <xf numFmtId="172" fontId="75" fillId="4" borderId="42" xfId="42" applyNumberFormat="1" applyFont="1" applyFill="1" applyBorder="1" applyAlignment="1" applyProtection="1">
      <alignment horizontal="center" vertical="center"/>
    </xf>
    <xf numFmtId="37" fontId="75" fillId="4" borderId="0" xfId="42" applyNumberFormat="1" applyFont="1" applyFill="1" applyBorder="1" applyAlignment="1" applyProtection="1">
      <alignment vertical="center"/>
    </xf>
    <xf numFmtId="37" fontId="75" fillId="4" borderId="0" xfId="42" applyNumberFormat="1" applyFont="1" applyFill="1" applyBorder="1" applyAlignment="1" applyProtection="1">
      <alignment horizontal="center" vertical="center"/>
    </xf>
    <xf numFmtId="37" fontId="75" fillId="4" borderId="3" xfId="42" applyNumberFormat="1" applyFont="1" applyFill="1" applyBorder="1" applyAlignment="1" applyProtection="1">
      <alignment horizontal="right" vertical="center"/>
    </xf>
    <xf numFmtId="39" fontId="75" fillId="4" borderId="3" xfId="42" applyNumberFormat="1" applyFont="1" applyFill="1" applyBorder="1" applyAlignment="1" applyProtection="1">
      <alignment horizontal="right" vertical="center"/>
    </xf>
    <xf numFmtId="0" fontId="78" fillId="4" borderId="36" xfId="42" applyFont="1" applyFill="1" applyBorder="1" applyAlignment="1" applyProtection="1">
      <alignment vertical="center"/>
    </xf>
    <xf numFmtId="37" fontId="77" fillId="4" borderId="37" xfId="42" applyNumberFormat="1" applyFont="1" applyFill="1" applyBorder="1" applyAlignment="1" applyProtection="1">
      <alignment vertical="center"/>
    </xf>
    <xf numFmtId="37" fontId="77" fillId="4" borderId="37" xfId="42" applyNumberFormat="1" applyFont="1" applyFill="1" applyBorder="1" applyAlignment="1" applyProtection="1">
      <alignment horizontal="right" vertical="center"/>
    </xf>
    <xf numFmtId="37" fontId="77" fillId="4" borderId="69" xfId="42" applyNumberFormat="1" applyFont="1" applyFill="1" applyBorder="1" applyAlignment="1" applyProtection="1">
      <alignment horizontal="right" vertical="center"/>
    </xf>
    <xf numFmtId="0" fontId="78" fillId="4" borderId="19" xfId="42" applyFont="1" applyFill="1" applyBorder="1" applyAlignment="1" applyProtection="1">
      <alignment vertical="center"/>
    </xf>
    <xf numFmtId="37" fontId="77" fillId="4" borderId="0" xfId="42" applyNumberFormat="1" applyFont="1" applyFill="1" applyBorder="1" applyAlignment="1" applyProtection="1">
      <alignment vertical="center"/>
    </xf>
    <xf numFmtId="37" fontId="77" fillId="4" borderId="0" xfId="42" applyNumberFormat="1" applyFont="1" applyFill="1" applyBorder="1" applyAlignment="1" applyProtection="1">
      <alignment horizontal="right" vertical="center"/>
    </xf>
    <xf numFmtId="10" fontId="77" fillId="4" borderId="0" xfId="44" applyNumberFormat="1" applyFont="1" applyFill="1" applyBorder="1" applyAlignment="1" applyProtection="1">
      <alignment vertical="center"/>
      <protection locked="0"/>
    </xf>
    <xf numFmtId="0" fontId="50" fillId="4" borderId="67" xfId="42" applyFont="1" applyFill="1" applyBorder="1" applyAlignment="1">
      <alignment horizontal="center"/>
    </xf>
    <xf numFmtId="0" fontId="50" fillId="0" borderId="67" xfId="42" applyFont="1" applyFill="1" applyBorder="1"/>
    <xf numFmtId="166" fontId="50" fillId="0" borderId="67" xfId="43" applyNumberFormat="1" applyFont="1" applyFill="1" applyBorder="1"/>
    <xf numFmtId="166" fontId="50" fillId="4" borderId="67" xfId="43" applyNumberFormat="1" applyFont="1" applyFill="1" applyBorder="1"/>
    <xf numFmtId="37" fontId="77" fillId="4" borderId="67" xfId="42" applyNumberFormat="1" applyFont="1" applyFill="1" applyBorder="1" applyAlignment="1" applyProtection="1">
      <alignment horizontal="right" vertical="center"/>
      <protection locked="0"/>
    </xf>
    <xf numFmtId="3" fontId="77" fillId="4" borderId="67" xfId="42" applyNumberFormat="1" applyFont="1" applyFill="1" applyBorder="1" applyAlignment="1" applyProtection="1">
      <alignment horizontal="right" vertical="center"/>
      <protection locked="0"/>
    </xf>
    <xf numFmtId="10" fontId="77" fillId="4" borderId="67" xfId="44" applyNumberFormat="1" applyFont="1" applyFill="1" applyBorder="1" applyAlignment="1" applyProtection="1">
      <alignment horizontal="right" vertical="center"/>
      <protection locked="0"/>
    </xf>
    <xf numFmtId="0" fontId="18" fillId="4" borderId="0" xfId="42" applyFont="1" applyFill="1" applyBorder="1"/>
    <xf numFmtId="49" fontId="75" fillId="4" borderId="0" xfId="42" applyNumberFormat="1" applyFont="1" applyFill="1" applyBorder="1" applyAlignment="1" applyProtection="1">
      <alignment horizontal="left" vertical="center"/>
    </xf>
    <xf numFmtId="3" fontId="77" fillId="4" borderId="0" xfId="42" applyNumberFormat="1" applyFont="1" applyFill="1" applyBorder="1" applyAlignment="1" applyProtection="1">
      <alignment vertical="center"/>
      <protection locked="0"/>
    </xf>
    <xf numFmtId="37" fontId="75" fillId="4" borderId="0" xfId="0" applyNumberFormat="1" applyFont="1" applyFill="1" applyBorder="1" applyAlignment="1" applyProtection="1">
      <alignment vertical="center"/>
      <protection locked="0"/>
    </xf>
    <xf numFmtId="10" fontId="75" fillId="4" borderId="30" xfId="0" applyNumberFormat="1" applyFont="1" applyFill="1" applyBorder="1" applyAlignment="1" applyProtection="1">
      <alignment vertical="center"/>
      <protection locked="0"/>
    </xf>
    <xf numFmtId="37" fontId="77" fillId="4" borderId="69" xfId="0" applyNumberFormat="1" applyFont="1" applyFill="1" applyBorder="1" applyAlignment="1" applyProtection="1">
      <alignment horizontal="right" vertical="center"/>
    </xf>
    <xf numFmtId="10" fontId="77" fillId="4" borderId="68" xfId="25" applyNumberFormat="1" applyFont="1" applyFill="1" applyBorder="1" applyAlignment="1" applyProtection="1">
      <alignment vertical="center"/>
      <protection locked="0"/>
    </xf>
    <xf numFmtId="0" fontId="22" fillId="0" borderId="0" xfId="24" applyFont="1" applyAlignment="1">
      <alignment horizontal="center"/>
    </xf>
    <xf numFmtId="0" fontId="64" fillId="0" borderId="0" xfId="24" applyFont="1" applyAlignment="1"/>
    <xf numFmtId="0" fontId="105" fillId="0" borderId="0" xfId="24" applyFont="1" applyFill="1"/>
    <xf numFmtId="0" fontId="18" fillId="4" borderId="0" xfId="45" applyFont="1" applyFill="1" applyBorder="1"/>
    <xf numFmtId="0" fontId="18" fillId="4" borderId="0" xfId="45" applyFont="1" applyFill="1"/>
    <xf numFmtId="0" fontId="18" fillId="4" borderId="0" xfId="45" applyFont="1" applyFill="1" applyAlignment="1">
      <alignment vertical="center"/>
    </xf>
    <xf numFmtId="0" fontId="77" fillId="4" borderId="0" xfId="45" applyFont="1" applyFill="1" applyAlignment="1" applyProtection="1">
      <alignment horizontal="center" vertical="center"/>
    </xf>
    <xf numFmtId="0" fontId="50" fillId="4" borderId="0" xfId="45" applyFont="1" applyFill="1" applyAlignment="1">
      <alignment vertical="center"/>
    </xf>
    <xf numFmtId="0" fontId="77" fillId="4" borderId="0" xfId="45" applyFont="1" applyFill="1" applyAlignment="1" applyProtection="1">
      <alignment vertical="center"/>
    </xf>
    <xf numFmtId="0" fontId="75" fillId="4" borderId="15" xfId="45" applyFont="1" applyFill="1" applyBorder="1" applyAlignment="1" applyProtection="1">
      <alignment vertical="center"/>
    </xf>
    <xf numFmtId="0" fontId="75" fillId="4" borderId="13" xfId="45" applyFont="1" applyFill="1" applyBorder="1" applyAlignment="1" applyProtection="1">
      <alignment horizontal="centerContinuous" vertical="center"/>
    </xf>
    <xf numFmtId="0" fontId="75" fillId="4" borderId="39" xfId="45" applyFont="1" applyFill="1" applyBorder="1" applyAlignment="1" applyProtection="1">
      <alignment horizontal="centerContinuous" vertical="center"/>
    </xf>
    <xf numFmtId="0" fontId="75" fillId="4" borderId="14" xfId="45" applyFont="1" applyFill="1" applyBorder="1" applyAlignment="1" applyProtection="1">
      <alignment horizontal="centerContinuous" vertical="center"/>
    </xf>
    <xf numFmtId="0" fontId="75" fillId="4" borderId="18" xfId="45" applyFont="1" applyFill="1" applyBorder="1" applyAlignment="1" applyProtection="1">
      <alignment vertical="center"/>
    </xf>
    <xf numFmtId="0" fontId="75" fillId="4" borderId="19" xfId="45" applyFont="1" applyFill="1" applyBorder="1" applyAlignment="1" applyProtection="1">
      <alignment horizontal="centerContinuous" vertical="center"/>
    </xf>
    <xf numFmtId="37" fontId="75" fillId="4" borderId="20" xfId="45" applyNumberFormat="1" applyFont="1" applyFill="1" applyBorder="1" applyAlignment="1" applyProtection="1">
      <alignment horizontal="center" vertical="center"/>
    </xf>
    <xf numFmtId="37" fontId="75" fillId="4" borderId="0" xfId="45" applyNumberFormat="1" applyFont="1" applyFill="1" applyAlignment="1" applyProtection="1">
      <alignment horizontal="center" vertical="center"/>
    </xf>
    <xf numFmtId="0" fontId="75" fillId="4" borderId="20" xfId="45" applyFont="1" applyFill="1" applyBorder="1" applyAlignment="1" applyProtection="1">
      <alignment horizontal="center" vertical="center"/>
    </xf>
    <xf numFmtId="0" fontId="75" fillId="4" borderId="21" xfId="45" applyFont="1" applyFill="1" applyBorder="1" applyAlignment="1" applyProtection="1">
      <alignment horizontal="center" vertical="center"/>
    </xf>
    <xf numFmtId="170" fontId="75" fillId="4" borderId="19" xfId="45" applyNumberFormat="1" applyFont="1" applyFill="1" applyBorder="1" applyAlignment="1" applyProtection="1">
      <alignment horizontal="centerContinuous" vertical="center"/>
    </xf>
    <xf numFmtId="0" fontId="75" fillId="4" borderId="7" xfId="45" applyFont="1" applyFill="1" applyBorder="1" applyAlignment="1" applyProtection="1">
      <alignment horizontal="centerContinuous" vertical="center"/>
    </xf>
    <xf numFmtId="0" fontId="75" fillId="4" borderId="0" xfId="45" applyFont="1" applyFill="1" applyBorder="1" applyAlignment="1" applyProtection="1">
      <alignment horizontal="center" vertical="center"/>
    </xf>
    <xf numFmtId="0" fontId="75" fillId="4" borderId="22" xfId="45" applyFont="1" applyFill="1" applyBorder="1" applyAlignment="1" applyProtection="1">
      <alignment horizontal="centerContinuous" vertical="center"/>
    </xf>
    <xf numFmtId="37" fontId="75" fillId="4" borderId="41" xfId="45" applyNumberFormat="1" applyFont="1" applyFill="1" applyBorder="1" applyAlignment="1" applyProtection="1">
      <alignment horizontal="center" vertical="center"/>
    </xf>
    <xf numFmtId="0" fontId="75" fillId="4" borderId="23" xfId="45" applyFont="1" applyFill="1" applyBorder="1" applyAlignment="1" applyProtection="1">
      <alignment horizontal="center" vertical="center"/>
    </xf>
    <xf numFmtId="0" fontId="75" fillId="4" borderId="24" xfId="45" applyFont="1" applyFill="1" applyBorder="1" applyAlignment="1" applyProtection="1">
      <alignment horizontal="center" vertical="center"/>
    </xf>
    <xf numFmtId="0" fontId="75" fillId="4" borderId="54" xfId="45" applyFont="1" applyFill="1" applyBorder="1" applyAlignment="1" applyProtection="1">
      <alignment horizontal="centerContinuous" vertical="center"/>
    </xf>
    <xf numFmtId="0" fontId="75" fillId="4" borderId="53" xfId="45" applyFont="1" applyFill="1" applyBorder="1" applyAlignment="1" applyProtection="1">
      <alignment horizontal="center" vertical="center"/>
    </xf>
    <xf numFmtId="0" fontId="75" fillId="4" borderId="27" xfId="45" applyFont="1" applyFill="1" applyBorder="1" applyAlignment="1" applyProtection="1">
      <alignment vertical="center"/>
    </xf>
    <xf numFmtId="37" fontId="79" fillId="4" borderId="20" xfId="45" quotePrefix="1" applyNumberFormat="1" applyFont="1" applyFill="1" applyBorder="1" applyAlignment="1" applyProtection="1">
      <alignment horizontal="center" vertical="center"/>
      <protection locked="0"/>
    </xf>
    <xf numFmtId="37" fontId="75" fillId="4" borderId="28" xfId="45" applyNumberFormat="1" applyFont="1" applyFill="1" applyBorder="1" applyAlignment="1" applyProtection="1">
      <alignment horizontal="right" vertical="center"/>
      <protection locked="0"/>
    </xf>
    <xf numFmtId="37" fontId="75" fillId="4" borderId="29" xfId="45" applyNumberFormat="1" applyFont="1" applyFill="1" applyBorder="1" applyAlignment="1" applyProtection="1">
      <alignment vertical="center"/>
    </xf>
    <xf numFmtId="37" fontId="75" fillId="4" borderId="52" xfId="45" applyNumberFormat="1" applyFont="1" applyFill="1" applyBorder="1" applyAlignment="1" applyProtection="1">
      <alignment vertical="center"/>
      <protection locked="0"/>
    </xf>
    <xf numFmtId="10" fontId="75" fillId="4" borderId="48" xfId="45" applyNumberFormat="1" applyFont="1" applyFill="1" applyBorder="1" applyAlignment="1" applyProtection="1">
      <alignment vertical="center"/>
      <protection locked="0"/>
    </xf>
    <xf numFmtId="0" fontId="79" fillId="4" borderId="19" xfId="45" quotePrefix="1" applyFont="1" applyFill="1" applyBorder="1" applyAlignment="1" applyProtection="1">
      <alignment horizontal="left" vertical="center" indent="1"/>
    </xf>
    <xf numFmtId="37" fontId="79" fillId="4" borderId="20" xfId="45" applyNumberFormat="1" applyFont="1" applyFill="1" applyBorder="1" applyAlignment="1" applyProtection="1">
      <alignment horizontal="left" vertical="center"/>
    </xf>
    <xf numFmtId="37" fontId="79" fillId="4" borderId="19" xfId="45" quotePrefix="1" applyNumberFormat="1" applyFont="1" applyFill="1" applyBorder="1" applyAlignment="1" applyProtection="1">
      <alignment horizontal="left" vertical="center"/>
      <protection locked="0"/>
    </xf>
    <xf numFmtId="37" fontId="79" fillId="4" borderId="30" xfId="45" applyNumberFormat="1" applyFont="1" applyFill="1" applyBorder="1" applyAlignment="1" applyProtection="1">
      <alignment horizontal="left" vertical="center"/>
      <protection locked="0"/>
    </xf>
    <xf numFmtId="10" fontId="79" fillId="4" borderId="30" xfId="45" applyNumberFormat="1" applyFont="1" applyFill="1" applyBorder="1" applyAlignment="1" applyProtection="1">
      <alignment horizontal="left" vertical="center"/>
      <protection locked="0"/>
    </xf>
    <xf numFmtId="0" fontId="19" fillId="4" borderId="0" xfId="45" applyFont="1" applyFill="1" applyAlignment="1">
      <alignment vertical="center"/>
    </xf>
    <xf numFmtId="0" fontId="75" fillId="0" borderId="19" xfId="45" applyFont="1" applyFill="1" applyBorder="1" applyAlignment="1" applyProtection="1">
      <alignment vertical="center"/>
    </xf>
    <xf numFmtId="37" fontId="75" fillId="0" borderId="0" xfId="45" applyNumberFormat="1" applyFont="1" applyFill="1" applyAlignment="1" applyProtection="1">
      <alignment horizontal="right" vertical="center"/>
    </xf>
    <xf numFmtId="37" fontId="75" fillId="4" borderId="20" xfId="45" quotePrefix="1" applyNumberFormat="1" applyFont="1" applyFill="1" applyBorder="1" applyAlignment="1" applyProtection="1">
      <alignment horizontal="center" vertical="center"/>
      <protection locked="0"/>
    </xf>
    <xf numFmtId="37" fontId="75" fillId="4" borderId="59" xfId="45" applyNumberFormat="1" applyFont="1" applyFill="1" applyBorder="1" applyAlignment="1" applyProtection="1">
      <alignment horizontal="right" vertical="center"/>
    </xf>
    <xf numFmtId="37" fontId="75" fillId="4" borderId="0" xfId="45" applyNumberFormat="1" applyFont="1" applyFill="1" applyAlignment="1" applyProtection="1">
      <alignment horizontal="right" vertical="center"/>
    </xf>
    <xf numFmtId="37" fontId="75" fillId="4" borderId="19" xfId="45" quotePrefix="1" applyNumberFormat="1" applyFont="1" applyFill="1" applyBorder="1" applyAlignment="1" applyProtection="1">
      <alignment horizontal="right" vertical="center"/>
      <protection locked="0"/>
    </xf>
    <xf numFmtId="37" fontId="75" fillId="4" borderId="30" xfId="45" applyNumberFormat="1" applyFont="1" applyFill="1" applyBorder="1" applyAlignment="1" applyProtection="1">
      <alignment vertical="center"/>
      <protection locked="0"/>
    </xf>
    <xf numFmtId="10" fontId="75" fillId="4" borderId="30" xfId="45" applyNumberFormat="1" applyFont="1" applyFill="1" applyBorder="1" applyAlignment="1" applyProtection="1">
      <alignment vertical="center"/>
      <protection locked="0"/>
    </xf>
    <xf numFmtId="172" fontId="79" fillId="0" borderId="19" xfId="45" quotePrefix="1" applyNumberFormat="1" applyFont="1" applyFill="1" applyBorder="1" applyAlignment="1" applyProtection="1">
      <alignment horizontal="left" vertical="center" indent="1"/>
    </xf>
    <xf numFmtId="37" fontId="79" fillId="0" borderId="20" xfId="45" applyNumberFormat="1" applyFont="1" applyFill="1" applyBorder="1" applyAlignment="1" applyProtection="1">
      <alignment horizontal="left" vertical="center"/>
    </xf>
    <xf numFmtId="37" fontId="79" fillId="4" borderId="30" xfId="45" applyNumberFormat="1" applyFont="1" applyFill="1" applyBorder="1" applyAlignment="1" applyProtection="1">
      <alignment horizontal="left" vertical="center"/>
    </xf>
    <xf numFmtId="37" fontId="79" fillId="4" borderId="21" xfId="45" applyNumberFormat="1" applyFont="1" applyFill="1" applyBorder="1" applyAlignment="1" applyProtection="1">
      <alignment horizontal="left" vertical="center"/>
      <protection locked="0"/>
    </xf>
    <xf numFmtId="37" fontId="79" fillId="4" borderId="0" xfId="45" applyNumberFormat="1" applyFont="1" applyFill="1" applyBorder="1" applyAlignment="1" applyProtection="1">
      <alignment horizontal="left" vertical="center"/>
      <protection locked="0"/>
    </xf>
    <xf numFmtId="0" fontId="79" fillId="0" borderId="19" xfId="45" quotePrefix="1" applyFont="1" applyFill="1" applyBorder="1" applyAlignment="1" applyProtection="1">
      <alignment horizontal="left" vertical="center" indent="1"/>
    </xf>
    <xf numFmtId="37" fontId="79" fillId="4" borderId="21" xfId="45" applyNumberFormat="1" applyFont="1" applyFill="1" applyBorder="1" applyAlignment="1" applyProtection="1">
      <alignment horizontal="left" vertical="center"/>
    </xf>
    <xf numFmtId="172" fontId="75" fillId="0" borderId="19" xfId="45" applyNumberFormat="1" applyFont="1" applyFill="1" applyBorder="1" applyAlignment="1" applyProtection="1">
      <alignment vertical="center"/>
    </xf>
    <xf numFmtId="37" fontId="75" fillId="0" borderId="20" xfId="45" applyNumberFormat="1" applyFont="1" applyFill="1" applyBorder="1" applyAlignment="1" applyProtection="1">
      <alignment horizontal="right" vertical="center"/>
    </xf>
    <xf numFmtId="37" fontId="75" fillId="4" borderId="30" xfId="45" applyNumberFormat="1" applyFont="1" applyFill="1" applyBorder="1" applyAlignment="1" applyProtection="1">
      <alignment vertical="center"/>
    </xf>
    <xf numFmtId="37" fontId="75" fillId="4" borderId="21" xfId="45" applyNumberFormat="1" applyFont="1" applyFill="1" applyBorder="1" applyAlignment="1" applyProtection="1">
      <alignment vertical="center"/>
    </xf>
    <xf numFmtId="37" fontId="75" fillId="4" borderId="0" xfId="45" applyNumberFormat="1" applyFont="1" applyFill="1" applyBorder="1" applyAlignment="1" applyProtection="1">
      <alignment vertical="center"/>
      <protection locked="0"/>
    </xf>
    <xf numFmtId="37" fontId="75" fillId="4" borderId="20" xfId="45" quotePrefix="1" applyNumberFormat="1" applyFont="1" applyFill="1" applyBorder="1" applyAlignment="1" applyProtection="1">
      <alignment horizontal="right" vertical="center"/>
      <protection locked="0"/>
    </xf>
    <xf numFmtId="37" fontId="75" fillId="4" borderId="20" xfId="45" applyNumberFormat="1" applyFont="1" applyFill="1" applyBorder="1" applyAlignment="1" applyProtection="1">
      <alignment vertical="center"/>
    </xf>
    <xf numFmtId="10" fontId="75" fillId="4" borderId="55" xfId="45" applyNumberFormat="1" applyFont="1" applyFill="1" applyBorder="1" applyAlignment="1" applyProtection="1">
      <alignment vertical="center"/>
      <protection locked="0"/>
    </xf>
    <xf numFmtId="0" fontId="77" fillId="4" borderId="27" xfId="45" applyFont="1" applyFill="1" applyBorder="1" applyAlignment="1" applyProtection="1">
      <alignment horizontal="left" vertical="center"/>
    </xf>
    <xf numFmtId="37" fontId="77" fillId="4" borderId="28" xfId="45" applyNumberFormat="1" applyFont="1" applyFill="1" applyBorder="1" applyAlignment="1" applyProtection="1">
      <alignment vertical="center"/>
    </xf>
    <xf numFmtId="10" fontId="77" fillId="4" borderId="51" xfId="45" applyNumberFormat="1" applyFont="1" applyFill="1" applyBorder="1" applyAlignment="1" applyProtection="1">
      <alignment vertical="center"/>
    </xf>
    <xf numFmtId="0" fontId="75" fillId="4" borderId="1" xfId="45" applyFont="1" applyFill="1" applyBorder="1" applyAlignment="1" applyProtection="1">
      <alignment horizontal="center" vertical="center"/>
    </xf>
    <xf numFmtId="37" fontId="75" fillId="4" borderId="1" xfId="45" applyNumberFormat="1" applyFont="1" applyFill="1" applyBorder="1" applyAlignment="1" applyProtection="1">
      <alignment vertical="center"/>
    </xf>
    <xf numFmtId="171" fontId="75" fillId="4" borderId="1" xfId="45" applyNumberFormat="1" applyFont="1" applyFill="1" applyBorder="1" applyAlignment="1" applyProtection="1">
      <alignment vertical="center"/>
      <protection locked="0"/>
    </xf>
    <xf numFmtId="0" fontId="75" fillId="4" borderId="75" xfId="45" applyFont="1" applyFill="1" applyBorder="1" applyAlignment="1" applyProtection="1">
      <alignment vertical="center"/>
    </xf>
    <xf numFmtId="0" fontId="75" fillId="4" borderId="74" xfId="45" applyFont="1" applyFill="1" applyBorder="1" applyAlignment="1" applyProtection="1">
      <alignment horizontal="center" vertical="center"/>
    </xf>
    <xf numFmtId="0" fontId="75" fillId="4" borderId="41" xfId="45" applyFont="1" applyFill="1" applyBorder="1" applyAlignment="1" applyProtection="1">
      <alignment horizontal="center" vertical="center"/>
    </xf>
    <xf numFmtId="0" fontId="18" fillId="4" borderId="31" xfId="45" applyFont="1" applyFill="1" applyBorder="1" applyAlignment="1">
      <alignment horizontal="left" vertical="center" wrapText="1"/>
    </xf>
    <xf numFmtId="37" fontId="75" fillId="0" borderId="71" xfId="45" applyNumberFormat="1" applyFont="1" applyFill="1" applyBorder="1" applyAlignment="1" applyProtection="1">
      <alignment horizontal="right" vertical="center"/>
    </xf>
    <xf numFmtId="166" fontId="75" fillId="4" borderId="71" xfId="46" applyNumberFormat="1" applyFont="1" applyFill="1" applyBorder="1" applyAlignment="1" applyProtection="1">
      <alignment horizontal="right" vertical="center"/>
    </xf>
    <xf numFmtId="37" fontId="75" fillId="4" borderId="71" xfId="45" applyNumberFormat="1" applyFont="1" applyFill="1" applyBorder="1" applyAlignment="1" applyProtection="1">
      <alignment horizontal="right" vertical="center"/>
    </xf>
    <xf numFmtId="166" fontId="75" fillId="4" borderId="71" xfId="45" applyNumberFormat="1" applyFont="1" applyFill="1" applyBorder="1" applyAlignment="1" applyProtection="1">
      <alignment horizontal="centerContinuous" vertical="center"/>
    </xf>
    <xf numFmtId="0" fontId="18" fillId="4" borderId="31" xfId="45" applyFont="1" applyFill="1" applyBorder="1" applyAlignment="1">
      <alignment horizontal="left" vertical="center"/>
    </xf>
    <xf numFmtId="37" fontId="75" fillId="4" borderId="20" xfId="45" applyNumberFormat="1" applyFont="1" applyFill="1" applyBorder="1" applyAlignment="1" applyProtection="1">
      <alignment horizontal="right" vertical="center"/>
      <protection locked="0"/>
    </xf>
    <xf numFmtId="37" fontId="75" fillId="4" borderId="6" xfId="45" applyNumberFormat="1" applyFont="1" applyFill="1" applyBorder="1" applyAlignment="1" applyProtection="1">
      <alignment horizontal="right" vertical="center"/>
      <protection locked="0"/>
    </xf>
    <xf numFmtId="37" fontId="75" fillId="0" borderId="6" xfId="45" applyNumberFormat="1" applyFont="1" applyFill="1" applyBorder="1" applyAlignment="1" applyProtection="1">
      <alignment horizontal="right" vertical="center"/>
      <protection locked="0"/>
    </xf>
    <xf numFmtId="37" fontId="75" fillId="4" borderId="30" xfId="45" applyNumberFormat="1" applyFont="1" applyFill="1" applyBorder="1" applyAlignment="1" applyProtection="1">
      <alignment horizontal="right" vertical="center"/>
      <protection locked="0"/>
    </xf>
    <xf numFmtId="37" fontId="75" fillId="0" borderId="21" xfId="45" applyNumberFormat="1" applyFont="1" applyFill="1" applyBorder="1" applyAlignment="1" applyProtection="1">
      <alignment horizontal="right" vertical="center"/>
      <protection locked="0"/>
    </xf>
    <xf numFmtId="37" fontId="75" fillId="4" borderId="21" xfId="45" applyNumberFormat="1" applyFont="1" applyFill="1" applyBorder="1" applyAlignment="1" applyProtection="1">
      <alignment horizontal="right" vertical="center"/>
      <protection locked="0"/>
    </xf>
    <xf numFmtId="37" fontId="75" fillId="4" borderId="0" xfId="45" applyNumberFormat="1" applyFont="1" applyFill="1" applyBorder="1" applyAlignment="1" applyProtection="1">
      <alignment horizontal="right" vertical="center"/>
      <protection locked="0"/>
    </xf>
    <xf numFmtId="0" fontId="75" fillId="4" borderId="0" xfId="45" applyFont="1" applyFill="1" applyBorder="1" applyAlignment="1">
      <alignment vertical="center"/>
    </xf>
    <xf numFmtId="0" fontId="19" fillId="4" borderId="31" xfId="45" applyFont="1" applyFill="1" applyBorder="1" applyAlignment="1">
      <alignment horizontal="left" vertical="center" indent="2"/>
    </xf>
    <xf numFmtId="37" fontId="79" fillId="4" borderId="20" xfId="45" applyNumberFormat="1" applyFont="1" applyFill="1" applyBorder="1" applyAlignment="1" applyProtection="1">
      <alignment horizontal="left" vertical="center"/>
      <protection locked="0"/>
    </xf>
    <xf numFmtId="37" fontId="79" fillId="0" borderId="19" xfId="45" applyNumberFormat="1" applyFont="1" applyFill="1" applyBorder="1" applyAlignment="1" applyProtection="1">
      <alignment horizontal="left" vertical="center"/>
      <protection locked="0"/>
    </xf>
    <xf numFmtId="37" fontId="79" fillId="4" borderId="21" xfId="45" applyNumberFormat="1" applyFont="1" applyFill="1" applyBorder="1" applyAlignment="1" applyProtection="1">
      <alignment horizontal="right" vertical="center"/>
      <protection locked="0"/>
    </xf>
    <xf numFmtId="37" fontId="79" fillId="4" borderId="20" xfId="45" applyNumberFormat="1" applyFont="1" applyFill="1" applyBorder="1" applyAlignment="1" applyProtection="1">
      <alignment horizontal="center" vertical="center"/>
      <protection locked="0"/>
    </xf>
    <xf numFmtId="37" fontId="79" fillId="4" borderId="0" xfId="45" applyNumberFormat="1" applyFont="1" applyFill="1" applyBorder="1" applyAlignment="1" applyProtection="1">
      <alignment horizontal="right" vertical="center"/>
      <protection locked="0"/>
    </xf>
    <xf numFmtId="0" fontId="79" fillId="4" borderId="0" xfId="45" applyFont="1" applyFill="1" applyBorder="1" applyAlignment="1">
      <alignment vertical="center"/>
    </xf>
    <xf numFmtId="37" fontId="79" fillId="0" borderId="21" xfId="45" applyNumberFormat="1" applyFont="1" applyFill="1" applyBorder="1" applyAlignment="1" applyProtection="1">
      <alignment horizontal="right" vertical="center"/>
      <protection locked="0"/>
    </xf>
    <xf numFmtId="0" fontId="75" fillId="4" borderId="30" xfId="45" applyFont="1" applyFill="1" applyBorder="1" applyAlignment="1" applyProtection="1">
      <alignment horizontal="left" vertical="center"/>
    </xf>
    <xf numFmtId="37" fontId="75" fillId="4" borderId="19" xfId="45" applyNumberFormat="1" applyFont="1" applyFill="1" applyBorder="1" applyAlignment="1" applyProtection="1">
      <alignment horizontal="right" vertical="center"/>
      <protection locked="0"/>
    </xf>
    <xf numFmtId="37" fontId="75" fillId="0" borderId="19" xfId="45" applyNumberFormat="1" applyFont="1" applyFill="1" applyBorder="1" applyAlignment="1" applyProtection="1">
      <alignment horizontal="right" vertical="center"/>
      <protection locked="0"/>
    </xf>
    <xf numFmtId="37" fontId="75" fillId="4" borderId="20" xfId="45" applyNumberFormat="1" applyFont="1" applyFill="1" applyBorder="1" applyAlignment="1" applyProtection="1">
      <alignment horizontal="right" vertical="center"/>
    </xf>
    <xf numFmtId="0" fontId="75" fillId="4" borderId="30" xfId="45" applyFont="1" applyFill="1" applyBorder="1" applyAlignment="1" applyProtection="1">
      <alignment vertical="center"/>
    </xf>
    <xf numFmtId="37" fontId="75" fillId="0" borderId="20" xfId="45" quotePrefix="1" applyNumberFormat="1" applyFont="1" applyFill="1" applyBorder="1" applyAlignment="1" applyProtection="1">
      <alignment horizontal="right" vertical="center"/>
      <protection locked="0"/>
    </xf>
    <xf numFmtId="0" fontId="79" fillId="4" borderId="30" xfId="45" applyFont="1" applyFill="1" applyBorder="1" applyAlignment="1" applyProtection="1">
      <alignment horizontal="left" vertical="center" indent="2"/>
    </xf>
    <xf numFmtId="37" fontId="79" fillId="4" borderId="20" xfId="45" quotePrefix="1" applyNumberFormat="1" applyFont="1" applyFill="1" applyBorder="1" applyAlignment="1" applyProtection="1">
      <alignment horizontal="left" vertical="center"/>
      <protection locked="0"/>
    </xf>
    <xf numFmtId="37" fontId="79" fillId="4" borderId="6" xfId="45" applyNumberFormat="1" applyFont="1" applyFill="1" applyBorder="1" applyAlignment="1" applyProtection="1">
      <alignment horizontal="left" vertical="center"/>
      <protection locked="0"/>
    </xf>
    <xf numFmtId="37" fontId="79" fillId="4" borderId="30" xfId="45" applyNumberFormat="1" applyFont="1" applyFill="1" applyBorder="1" applyAlignment="1" applyProtection="1">
      <alignment horizontal="right" vertical="center"/>
      <protection locked="0"/>
    </xf>
    <xf numFmtId="37" fontId="79" fillId="4" borderId="0" xfId="45" applyNumberFormat="1" applyFont="1" applyFill="1" applyBorder="1" applyAlignment="1" applyProtection="1">
      <alignment vertical="center"/>
      <protection locked="0"/>
    </xf>
    <xf numFmtId="10" fontId="79" fillId="4" borderId="30" xfId="45" applyNumberFormat="1" applyFont="1" applyFill="1" applyBorder="1" applyAlignment="1" applyProtection="1">
      <alignment vertical="center"/>
      <protection locked="0"/>
    </xf>
    <xf numFmtId="37" fontId="79" fillId="4" borderId="6" xfId="45" applyNumberFormat="1" applyFont="1" applyFill="1" applyBorder="1" applyAlignment="1" applyProtection="1">
      <alignment horizontal="right" vertical="center"/>
      <protection locked="0"/>
    </xf>
    <xf numFmtId="37" fontId="75" fillId="0" borderId="30" xfId="45" applyNumberFormat="1" applyFont="1" applyFill="1" applyBorder="1" applyAlignment="1" applyProtection="1">
      <alignment vertical="center"/>
    </xf>
    <xf numFmtId="0" fontId="79" fillId="4" borderId="31" xfId="45" applyFont="1" applyFill="1" applyBorder="1" applyAlignment="1" applyProtection="1">
      <alignment horizontal="left" vertical="center" indent="2"/>
    </xf>
    <xf numFmtId="37" fontId="79" fillId="4" borderId="20" xfId="45" applyNumberFormat="1" applyFont="1" applyFill="1" applyBorder="1" applyAlignment="1" applyProtection="1">
      <alignment horizontal="right" vertical="center"/>
    </xf>
    <xf numFmtId="37" fontId="79" fillId="4" borderId="59" xfId="45" applyNumberFormat="1" applyFont="1" applyFill="1" applyBorder="1" applyAlignment="1" applyProtection="1">
      <alignment vertical="center"/>
      <protection locked="0"/>
    </xf>
    <xf numFmtId="10" fontId="79" fillId="4" borderId="7" xfId="45" applyNumberFormat="1" applyFont="1" applyFill="1" applyBorder="1" applyAlignment="1" applyProtection="1">
      <alignment vertical="center"/>
      <protection locked="0"/>
    </xf>
    <xf numFmtId="0" fontId="79" fillId="4" borderId="70" xfId="45" applyFont="1" applyFill="1" applyBorder="1" applyAlignment="1" applyProtection="1">
      <alignment horizontal="left" vertical="center" indent="2"/>
    </xf>
    <xf numFmtId="37" fontId="79" fillId="4" borderId="46" xfId="45" applyNumberFormat="1" applyFont="1" applyFill="1" applyBorder="1" applyAlignment="1" applyProtection="1">
      <alignment vertical="center"/>
      <protection locked="0"/>
    </xf>
    <xf numFmtId="10" fontId="79" fillId="4" borderId="45" xfId="45" applyNumberFormat="1" applyFont="1" applyFill="1" applyBorder="1" applyAlignment="1" applyProtection="1">
      <alignment vertical="center"/>
      <protection locked="0"/>
    </xf>
    <xf numFmtId="172" fontId="77" fillId="4" borderId="32" xfId="45" applyNumberFormat="1" applyFont="1" applyFill="1" applyBorder="1" applyAlignment="1" applyProtection="1">
      <alignment horizontal="center" vertical="center"/>
    </xf>
    <xf numFmtId="37" fontId="77" fillId="0" borderId="34" xfId="45" applyNumberFormat="1" applyFont="1" applyFill="1" applyBorder="1" applyAlignment="1" applyProtection="1">
      <alignment vertical="center"/>
    </xf>
    <xf numFmtId="37" fontId="77" fillId="4" borderId="34" xfId="45" applyNumberFormat="1" applyFont="1" applyFill="1" applyBorder="1" applyAlignment="1" applyProtection="1">
      <alignment horizontal="right" vertical="center"/>
    </xf>
    <xf numFmtId="3" fontId="77" fillId="4" borderId="43" xfId="45" applyNumberFormat="1" applyFont="1" applyFill="1" applyBorder="1" applyAlignment="1" applyProtection="1">
      <alignment horizontal="right" vertical="center"/>
      <protection locked="0"/>
    </xf>
    <xf numFmtId="10" fontId="77" fillId="4" borderId="47" xfId="47" applyNumberFormat="1" applyFont="1" applyFill="1" applyBorder="1" applyAlignment="1" applyProtection="1">
      <alignment horizontal="right" vertical="center"/>
      <protection locked="0"/>
    </xf>
    <xf numFmtId="37" fontId="77" fillId="4" borderId="0" xfId="45" applyNumberFormat="1" applyFont="1" applyFill="1" applyBorder="1" applyAlignment="1" applyProtection="1">
      <alignment horizontal="right" vertical="center"/>
      <protection locked="0"/>
    </xf>
    <xf numFmtId="0" fontId="77" fillId="4" borderId="0" xfId="45" applyFont="1" applyFill="1" applyBorder="1" applyAlignment="1">
      <alignment vertical="center"/>
    </xf>
    <xf numFmtId="172" fontId="75" fillId="4" borderId="42" xfId="45" applyNumberFormat="1" applyFont="1" applyFill="1" applyBorder="1" applyAlignment="1" applyProtection="1">
      <alignment horizontal="center" vertical="center"/>
    </xf>
    <xf numFmtId="37" fontId="75" fillId="4" borderId="0" xfId="45" applyNumberFormat="1" applyFont="1" applyFill="1" applyBorder="1" applyAlignment="1" applyProtection="1">
      <alignment vertical="center"/>
    </xf>
    <xf numFmtId="37" fontId="75" fillId="4" borderId="0" xfId="45" applyNumberFormat="1" applyFont="1" applyFill="1" applyBorder="1" applyAlignment="1" applyProtection="1">
      <alignment horizontal="center" vertical="center"/>
    </xf>
    <xf numFmtId="37" fontId="75" fillId="4" borderId="3" xfId="45" applyNumberFormat="1" applyFont="1" applyFill="1" applyBorder="1" applyAlignment="1" applyProtection="1">
      <alignment horizontal="right" vertical="center"/>
    </xf>
    <xf numFmtId="39" fontId="75" fillId="4" borderId="3" xfId="45" applyNumberFormat="1" applyFont="1" applyFill="1" applyBorder="1" applyAlignment="1" applyProtection="1">
      <alignment horizontal="right" vertical="center"/>
    </xf>
    <xf numFmtId="0" fontId="78" fillId="4" borderId="36" xfId="45" applyFont="1" applyFill="1" applyBorder="1" applyAlignment="1" applyProtection="1">
      <alignment vertical="center"/>
    </xf>
    <xf numFmtId="37" fontId="77" fillId="4" borderId="37" xfId="45" applyNumberFormat="1" applyFont="1" applyFill="1" applyBorder="1" applyAlignment="1" applyProtection="1">
      <alignment vertical="center"/>
    </xf>
    <xf numFmtId="37" fontId="77" fillId="4" borderId="37" xfId="45" applyNumberFormat="1" applyFont="1" applyFill="1" applyBorder="1" applyAlignment="1" applyProtection="1">
      <alignment horizontal="right" vertical="center"/>
    </xf>
    <xf numFmtId="37" fontId="77" fillId="4" borderId="69" xfId="45" applyNumberFormat="1" applyFont="1" applyFill="1" applyBorder="1" applyAlignment="1" applyProtection="1">
      <alignment horizontal="right" vertical="center"/>
    </xf>
    <xf numFmtId="10" fontId="77" fillId="4" borderId="68" xfId="47" applyNumberFormat="1" applyFont="1" applyFill="1" applyBorder="1" applyAlignment="1" applyProtection="1">
      <alignment vertical="center"/>
      <protection locked="0"/>
    </xf>
    <xf numFmtId="0" fontId="78" fillId="4" borderId="19" xfId="45" applyFont="1" applyFill="1" applyBorder="1" applyAlignment="1" applyProtection="1">
      <alignment vertical="center"/>
    </xf>
    <xf numFmtId="37" fontId="77" fillId="4" borderId="0" xfId="45" applyNumberFormat="1" applyFont="1" applyFill="1" applyBorder="1" applyAlignment="1" applyProtection="1">
      <alignment vertical="center"/>
    </xf>
    <xf numFmtId="37" fontId="77" fillId="4" borderId="0" xfId="45" applyNumberFormat="1" applyFont="1" applyFill="1" applyBorder="1" applyAlignment="1" applyProtection="1">
      <alignment horizontal="right" vertical="center"/>
    </xf>
    <xf numFmtId="10" fontId="77" fillId="4" borderId="0" xfId="47" applyNumberFormat="1" applyFont="1" applyFill="1" applyBorder="1" applyAlignment="1" applyProtection="1">
      <alignment vertical="center"/>
      <protection locked="0"/>
    </xf>
    <xf numFmtId="0" fontId="50" fillId="4" borderId="67" xfId="45" applyFont="1" applyFill="1" applyBorder="1" applyAlignment="1">
      <alignment horizontal="center"/>
    </xf>
    <xf numFmtId="0" fontId="50" fillId="0" borderId="67" xfId="45" applyFont="1" applyFill="1" applyBorder="1"/>
    <xf numFmtId="166" fontId="50" fillId="0" borderId="67" xfId="46" applyNumberFormat="1" applyFont="1" applyFill="1" applyBorder="1"/>
    <xf numFmtId="166" fontId="50" fillId="4" borderId="67" xfId="46" applyNumberFormat="1" applyFont="1" applyFill="1" applyBorder="1"/>
    <xf numFmtId="37" fontId="77" fillId="4" borderId="67" xfId="45" applyNumberFormat="1" applyFont="1" applyFill="1" applyBorder="1" applyAlignment="1" applyProtection="1">
      <alignment horizontal="right" vertical="center"/>
      <protection locked="0"/>
    </xf>
    <xf numFmtId="3" fontId="77" fillId="4" borderId="67" xfId="45" applyNumberFormat="1" applyFont="1" applyFill="1" applyBorder="1" applyAlignment="1" applyProtection="1">
      <alignment horizontal="right" vertical="center"/>
      <protection locked="0"/>
    </xf>
    <xf numFmtId="10" fontId="77" fillId="4" borderId="67" xfId="47" applyNumberFormat="1" applyFont="1" applyFill="1" applyBorder="1" applyAlignment="1" applyProtection="1">
      <alignment horizontal="right" vertical="center"/>
      <protection locked="0"/>
    </xf>
    <xf numFmtId="49" fontId="75" fillId="4" borderId="0" xfId="45" applyNumberFormat="1" applyFont="1" applyFill="1" applyBorder="1" applyAlignment="1" applyProtection="1">
      <alignment horizontal="left" vertical="center"/>
    </xf>
    <xf numFmtId="3" fontId="77" fillId="4" borderId="0" xfId="45" applyNumberFormat="1" applyFont="1" applyFill="1" applyBorder="1" applyAlignment="1" applyProtection="1">
      <alignment vertical="center"/>
      <protection locked="0"/>
    </xf>
    <xf numFmtId="0" fontId="18" fillId="4" borderId="0" xfId="45" applyFont="1" applyFill="1" applyAlignment="1">
      <alignment horizontal="left" indent="1"/>
    </xf>
    <xf numFmtId="0" fontId="90" fillId="0" borderId="89" xfId="0" pivotButton="1" applyFont="1" applyBorder="1"/>
    <xf numFmtId="0" fontId="90" fillId="0" borderId="89" xfId="0" applyFont="1" applyBorder="1"/>
    <xf numFmtId="0" fontId="90" fillId="0" borderId="81" xfId="0" pivotButton="1" applyFont="1" applyBorder="1"/>
    <xf numFmtId="0" fontId="90" fillId="0" borderId="82" xfId="0" applyFont="1" applyBorder="1"/>
    <xf numFmtId="0" fontId="90" fillId="0" borderId="81" xfId="0" pivotButton="1" applyFont="1" applyBorder="1" applyAlignment="1">
      <alignment horizontal="center"/>
    </xf>
    <xf numFmtId="0" fontId="90" fillId="0" borderId="82" xfId="0" pivotButton="1" applyFont="1" applyBorder="1" applyAlignment="1">
      <alignment horizontal="center"/>
    </xf>
    <xf numFmtId="0" fontId="90" fillId="0" borderId="82" xfId="0" applyFont="1" applyFill="1" applyBorder="1" applyAlignment="1">
      <alignment horizontal="center"/>
    </xf>
    <xf numFmtId="0" fontId="90" fillId="0" borderId="82" xfId="0" applyFont="1" applyBorder="1" applyAlignment="1">
      <alignment horizontal="center"/>
    </xf>
    <xf numFmtId="0" fontId="90" fillId="0" borderId="83" xfId="0" applyFont="1" applyBorder="1" applyAlignment="1">
      <alignment horizontal="center"/>
    </xf>
    <xf numFmtId="0" fontId="90" fillId="0" borderId="84" xfId="0" applyFont="1" applyBorder="1"/>
    <xf numFmtId="0" fontId="90" fillId="0" borderId="81" xfId="0" applyFont="1" applyBorder="1" applyAlignment="1">
      <alignment horizontal="centerContinuous"/>
    </xf>
    <xf numFmtId="0" fontId="90" fillId="0" borderId="82" xfId="0" applyFont="1" applyBorder="1" applyAlignment="1">
      <alignment horizontal="centerContinuous"/>
    </xf>
    <xf numFmtId="0" fontId="90" fillId="0" borderId="81" xfId="0" applyFont="1" applyFill="1" applyBorder="1"/>
    <xf numFmtId="0" fontId="90" fillId="0" borderId="81" xfId="0" applyFont="1" applyBorder="1" applyAlignment="1">
      <alignment horizontal="center"/>
    </xf>
    <xf numFmtId="0" fontId="90" fillId="0" borderId="85" xfId="0" applyFont="1" applyBorder="1" applyAlignment="1">
      <alignment horizontal="center"/>
    </xf>
    <xf numFmtId="0" fontId="90" fillId="0" borderId="85" xfId="0" applyFont="1" applyFill="1" applyBorder="1" applyAlignment="1">
      <alignment horizontal="center"/>
    </xf>
    <xf numFmtId="0" fontId="90" fillId="0" borderId="81" xfId="0" applyFont="1" applyBorder="1"/>
    <xf numFmtId="3" fontId="90" fillId="0" borderId="81" xfId="0" applyNumberFormat="1" applyFont="1" applyBorder="1" applyAlignment="1">
      <alignment horizontal="center"/>
    </xf>
    <xf numFmtId="3" fontId="90" fillId="0" borderId="85" xfId="0" applyNumberFormat="1" applyFont="1" applyBorder="1" applyAlignment="1">
      <alignment horizontal="center"/>
    </xf>
    <xf numFmtId="3" fontId="90" fillId="0" borderId="85" xfId="0" applyNumberFormat="1" applyFont="1" applyFill="1" applyBorder="1" applyAlignment="1">
      <alignment horizontal="center"/>
    </xf>
    <xf numFmtId="0" fontId="90" fillId="0" borderId="86" xfId="0" applyFont="1" applyBorder="1"/>
    <xf numFmtId="0" fontId="90" fillId="0" borderId="87" xfId="0" applyFont="1" applyBorder="1"/>
    <xf numFmtId="0" fontId="90" fillId="0" borderId="87" xfId="0" applyFont="1" applyFill="1" applyBorder="1"/>
    <xf numFmtId="3" fontId="90" fillId="0" borderId="86" xfId="0" applyNumberFormat="1" applyFont="1" applyBorder="1" applyAlignment="1">
      <alignment horizontal="center"/>
    </xf>
    <xf numFmtId="3" fontId="90" fillId="0" borderId="88" xfId="0" applyNumberFormat="1" applyFont="1" applyBorder="1" applyAlignment="1">
      <alignment horizontal="center"/>
    </xf>
    <xf numFmtId="3" fontId="90" fillId="0" borderId="88" xfId="0" applyNumberFormat="1" applyFont="1" applyFill="1" applyBorder="1" applyAlignment="1">
      <alignment horizontal="center"/>
    </xf>
    <xf numFmtId="0" fontId="22" fillId="0" borderId="0" xfId="24" applyFont="1" applyAlignment="1">
      <alignment horizontal="center"/>
    </xf>
    <xf numFmtId="0" fontId="18" fillId="4" borderId="0" xfId="48" applyFont="1" applyFill="1" applyBorder="1"/>
    <xf numFmtId="0" fontId="18" fillId="4" borderId="0" xfId="48" applyFont="1" applyFill="1"/>
    <xf numFmtId="0" fontId="18" fillId="4" borderId="0" xfId="48" applyFont="1" applyFill="1" applyAlignment="1">
      <alignment vertical="center"/>
    </xf>
    <xf numFmtId="0" fontId="77" fillId="4" borderId="0" xfId="48" applyFont="1" applyFill="1" applyAlignment="1" applyProtection="1">
      <alignment horizontal="center" vertical="center"/>
    </xf>
    <xf numFmtId="0" fontId="50" fillId="4" borderId="0" xfId="48" applyFont="1" applyFill="1" applyAlignment="1">
      <alignment vertical="center"/>
    </xf>
    <xf numFmtId="0" fontId="77" fillId="4" borderId="0" xfId="48" applyFont="1" applyFill="1" applyAlignment="1" applyProtection="1">
      <alignment vertical="center"/>
    </xf>
    <xf numFmtId="0" fontId="75" fillId="4" borderId="15" xfId="48" applyFont="1" applyFill="1" applyBorder="1" applyAlignment="1" applyProtection="1">
      <alignment vertical="center"/>
    </xf>
    <xf numFmtId="0" fontId="75" fillId="4" borderId="18" xfId="48" applyFont="1" applyFill="1" applyBorder="1" applyAlignment="1" applyProtection="1">
      <alignment vertical="center"/>
    </xf>
    <xf numFmtId="0" fontId="75" fillId="4" borderId="19" xfId="48" applyFont="1" applyFill="1" applyBorder="1" applyAlignment="1" applyProtection="1">
      <alignment horizontal="centerContinuous" vertical="center"/>
    </xf>
    <xf numFmtId="37" fontId="75" fillId="4" borderId="20" xfId="48" applyNumberFormat="1" applyFont="1" applyFill="1" applyBorder="1" applyAlignment="1" applyProtection="1">
      <alignment horizontal="center" vertical="center"/>
    </xf>
    <xf numFmtId="37" fontId="75" fillId="4" borderId="0" xfId="48" applyNumberFormat="1" applyFont="1" applyFill="1" applyAlignment="1" applyProtection="1">
      <alignment horizontal="center" vertical="center"/>
    </xf>
    <xf numFmtId="0" fontId="75" fillId="4" borderId="20" xfId="48" applyFont="1" applyFill="1" applyBorder="1" applyAlignment="1" applyProtection="1">
      <alignment horizontal="center" vertical="center"/>
    </xf>
    <xf numFmtId="0" fontId="75" fillId="4" borderId="21" xfId="48" applyFont="1" applyFill="1" applyBorder="1" applyAlignment="1" applyProtection="1">
      <alignment horizontal="center" vertical="center"/>
    </xf>
    <xf numFmtId="170" fontId="75" fillId="4" borderId="19" xfId="48" applyNumberFormat="1" applyFont="1" applyFill="1" applyBorder="1" applyAlignment="1" applyProtection="1">
      <alignment horizontal="centerContinuous" vertical="center"/>
    </xf>
    <xf numFmtId="0" fontId="75" fillId="4" borderId="7" xfId="48" applyFont="1" applyFill="1" applyBorder="1" applyAlignment="1" applyProtection="1">
      <alignment horizontal="centerContinuous" vertical="center"/>
    </xf>
    <xf numFmtId="0" fontId="75" fillId="4" borderId="0" xfId="48" applyFont="1" applyFill="1" applyBorder="1" applyAlignment="1" applyProtection="1">
      <alignment horizontal="center" vertical="center"/>
    </xf>
    <xf numFmtId="0" fontId="75" fillId="4" borderId="22" xfId="48" applyFont="1" applyFill="1" applyBorder="1" applyAlignment="1" applyProtection="1">
      <alignment horizontal="centerContinuous" vertical="center"/>
    </xf>
    <xf numFmtId="37" fontId="75" fillId="4" borderId="41" xfId="48" applyNumberFormat="1" applyFont="1" applyFill="1" applyBorder="1" applyAlignment="1" applyProtection="1">
      <alignment horizontal="center" vertical="center"/>
    </xf>
    <xf numFmtId="0" fontId="75" fillId="4" borderId="90" xfId="48" applyFont="1" applyFill="1" applyBorder="1" applyAlignment="1" applyProtection="1">
      <alignment horizontal="center" vertical="center"/>
    </xf>
    <xf numFmtId="0" fontId="75" fillId="4" borderId="24" xfId="48" applyFont="1" applyFill="1" applyBorder="1" applyAlignment="1" applyProtection="1">
      <alignment horizontal="center" vertical="center"/>
    </xf>
    <xf numFmtId="0" fontId="75" fillId="4" borderId="23" xfId="48" applyFont="1" applyFill="1" applyBorder="1" applyAlignment="1" applyProtection="1">
      <alignment horizontal="center" vertical="center"/>
    </xf>
    <xf numFmtId="0" fontId="75" fillId="4" borderId="54" xfId="48" applyFont="1" applyFill="1" applyBorder="1" applyAlignment="1" applyProtection="1">
      <alignment horizontal="centerContinuous" vertical="center"/>
    </xf>
    <xf numFmtId="0" fontId="75" fillId="4" borderId="53" xfId="48" applyFont="1" applyFill="1" applyBorder="1" applyAlignment="1" applyProtection="1">
      <alignment horizontal="center" vertical="center"/>
    </xf>
    <xf numFmtId="0" fontId="75" fillId="4" borderId="27" xfId="48" applyFont="1" applyFill="1" applyBorder="1" applyAlignment="1" applyProtection="1">
      <alignment vertical="center"/>
    </xf>
    <xf numFmtId="37" fontId="79" fillId="4" borderId="20" xfId="48" quotePrefix="1" applyNumberFormat="1" applyFont="1" applyFill="1" applyBorder="1" applyAlignment="1" applyProtection="1">
      <alignment horizontal="right" vertical="center"/>
      <protection locked="0"/>
    </xf>
    <xf numFmtId="37" fontId="75" fillId="4" borderId="20" xfId="48" applyNumberFormat="1" applyFont="1" applyFill="1" applyBorder="1" applyAlignment="1" applyProtection="1">
      <alignment vertical="center"/>
      <protection locked="0"/>
    </xf>
    <xf numFmtId="37" fontId="75" fillId="4" borderId="28" xfId="48" applyNumberFormat="1" applyFont="1" applyFill="1" applyBorder="1" applyAlignment="1" applyProtection="1">
      <alignment vertical="center"/>
      <protection locked="0"/>
    </xf>
    <xf numFmtId="37" fontId="75" fillId="4" borderId="29" xfId="48" applyNumberFormat="1" applyFont="1" applyFill="1" applyBorder="1" applyAlignment="1" applyProtection="1">
      <alignment vertical="center"/>
    </xf>
    <xf numFmtId="37" fontId="75" fillId="4" borderId="52" xfId="48" applyNumberFormat="1" applyFont="1" applyFill="1" applyBorder="1" applyAlignment="1" applyProtection="1">
      <alignment vertical="center"/>
      <protection locked="0"/>
    </xf>
    <xf numFmtId="10" fontId="75" fillId="4" borderId="48" xfId="48" applyNumberFormat="1" applyFont="1" applyFill="1" applyBorder="1" applyAlignment="1" applyProtection="1">
      <alignment vertical="center"/>
      <protection locked="0"/>
    </xf>
    <xf numFmtId="0" fontId="79" fillId="4" borderId="19" xfId="48" quotePrefix="1" applyFont="1" applyFill="1" applyBorder="1" applyAlignment="1" applyProtection="1">
      <alignment horizontal="left" vertical="center" indent="1"/>
    </xf>
    <xf numFmtId="37" fontId="79" fillId="4" borderId="20" xfId="48" applyNumberFormat="1" applyFont="1" applyFill="1" applyBorder="1" applyAlignment="1" applyProtection="1">
      <alignment vertical="center"/>
    </xf>
    <xf numFmtId="37" fontId="79" fillId="4" borderId="19" xfId="48" quotePrefix="1" applyNumberFormat="1" applyFont="1" applyFill="1" applyBorder="1" applyAlignment="1" applyProtection="1">
      <alignment vertical="center"/>
      <protection locked="0"/>
    </xf>
    <xf numFmtId="37" fontId="79" fillId="4" borderId="30" xfId="48" applyNumberFormat="1" applyFont="1" applyFill="1" applyBorder="1" applyAlignment="1" applyProtection="1">
      <alignment vertical="center"/>
      <protection locked="0"/>
    </xf>
    <xf numFmtId="10" fontId="79" fillId="4" borderId="30" xfId="48" applyNumberFormat="1" applyFont="1" applyFill="1" applyBorder="1" applyAlignment="1" applyProtection="1">
      <alignment vertical="center"/>
      <protection locked="0"/>
    </xf>
    <xf numFmtId="0" fontId="19" fillId="4" borderId="0" xfId="48" applyFont="1" applyFill="1" applyAlignment="1">
      <alignment vertical="center"/>
    </xf>
    <xf numFmtId="0" fontId="75" fillId="0" borderId="19" xfId="48" applyFont="1" applyFill="1" applyBorder="1" applyAlignment="1" applyProtection="1">
      <alignment vertical="center"/>
    </xf>
    <xf numFmtId="37" fontId="75" fillId="0" borderId="59" xfId="48" applyNumberFormat="1" applyFont="1" applyFill="1" applyBorder="1" applyAlignment="1" applyProtection="1">
      <alignment vertical="center"/>
    </xf>
    <xf numFmtId="37" fontId="75" fillId="0" borderId="30" xfId="48" applyNumberFormat="1" applyFont="1" applyFill="1" applyBorder="1" applyAlignment="1" applyProtection="1">
      <alignment vertical="center"/>
    </xf>
    <xf numFmtId="37" fontId="75" fillId="0" borderId="0" xfId="48" applyNumberFormat="1" applyFont="1" applyFill="1" applyAlignment="1" applyProtection="1">
      <alignment vertical="center"/>
    </xf>
    <xf numFmtId="37" fontId="75" fillId="4" borderId="19" xfId="48" quotePrefix="1" applyNumberFormat="1" applyFont="1" applyFill="1" applyBorder="1" applyAlignment="1" applyProtection="1">
      <alignment vertical="center"/>
      <protection locked="0"/>
    </xf>
    <xf numFmtId="37" fontId="75" fillId="4" borderId="30" xfId="48" applyNumberFormat="1" applyFont="1" applyFill="1" applyBorder="1" applyAlignment="1" applyProtection="1">
      <alignment vertical="center"/>
      <protection locked="0"/>
    </xf>
    <xf numFmtId="10" fontId="75" fillId="4" borderId="30" xfId="48" applyNumberFormat="1" applyFont="1" applyFill="1" applyBorder="1" applyAlignment="1" applyProtection="1">
      <alignment vertical="center"/>
      <protection locked="0"/>
    </xf>
    <xf numFmtId="172" fontId="79" fillId="0" borderId="19" xfId="48" quotePrefix="1" applyNumberFormat="1" applyFont="1" applyFill="1" applyBorder="1" applyAlignment="1" applyProtection="1">
      <alignment horizontal="left" vertical="center" indent="1"/>
    </xf>
    <xf numFmtId="37" fontId="79" fillId="0" borderId="20" xfId="48" applyNumberFormat="1" applyFont="1" applyFill="1" applyBorder="1" applyAlignment="1" applyProtection="1">
      <alignment vertical="center"/>
    </xf>
    <xf numFmtId="37" fontId="79" fillId="4" borderId="20" xfId="48" quotePrefix="1" applyNumberFormat="1" applyFont="1" applyFill="1" applyBorder="1" applyAlignment="1" applyProtection="1">
      <alignment vertical="center"/>
      <protection locked="0"/>
    </xf>
    <xf numFmtId="37" fontId="79" fillId="4" borderId="30" xfId="48" applyNumberFormat="1" applyFont="1" applyFill="1" applyBorder="1" applyAlignment="1" applyProtection="1">
      <alignment vertical="center"/>
    </xf>
    <xf numFmtId="37" fontId="79" fillId="4" borderId="21" xfId="48" applyNumberFormat="1" applyFont="1" applyFill="1" applyBorder="1" applyAlignment="1" applyProtection="1">
      <alignment vertical="center"/>
      <protection locked="0"/>
    </xf>
    <xf numFmtId="37" fontId="79" fillId="4" borderId="0" xfId="48" applyNumberFormat="1" applyFont="1" applyFill="1" applyBorder="1" applyAlignment="1" applyProtection="1">
      <alignment vertical="center"/>
      <protection locked="0"/>
    </xf>
    <xf numFmtId="0" fontId="79" fillId="0" borderId="19" xfId="48" quotePrefix="1" applyFont="1" applyFill="1" applyBorder="1" applyAlignment="1" applyProtection="1">
      <alignment horizontal="left" vertical="center" indent="1"/>
    </xf>
    <xf numFmtId="172" fontId="79" fillId="4" borderId="19" xfId="48" quotePrefix="1" applyNumberFormat="1" applyFont="1" applyFill="1" applyBorder="1" applyAlignment="1" applyProtection="1">
      <alignment horizontal="left" vertical="center" indent="1"/>
    </xf>
    <xf numFmtId="37" fontId="75" fillId="4" borderId="20" xfId="48" quotePrefix="1" applyNumberFormat="1" applyFont="1" applyFill="1" applyBorder="1" applyAlignment="1" applyProtection="1">
      <alignment horizontal="right" vertical="center"/>
      <protection locked="0"/>
    </xf>
    <xf numFmtId="37" fontId="75" fillId="4" borderId="20" xfId="48" quotePrefix="1" applyNumberFormat="1" applyFont="1" applyFill="1" applyBorder="1" applyAlignment="1" applyProtection="1">
      <alignment vertical="center"/>
      <protection locked="0"/>
    </xf>
    <xf numFmtId="37" fontId="75" fillId="4" borderId="0" xfId="48" applyNumberFormat="1" applyFont="1" applyFill="1" applyBorder="1" applyAlignment="1" applyProtection="1">
      <alignment vertical="center"/>
      <protection locked="0"/>
    </xf>
    <xf numFmtId="0" fontId="79" fillId="4" borderId="31" xfId="48" applyFont="1" applyFill="1" applyBorder="1" applyAlignment="1" applyProtection="1">
      <alignment horizontal="left" vertical="center" indent="2"/>
    </xf>
    <xf numFmtId="37" fontId="79" fillId="4" borderId="6" xfId="48" applyNumberFormat="1" applyFont="1" applyFill="1" applyBorder="1" applyAlignment="1" applyProtection="1">
      <alignment vertical="center"/>
      <protection locked="0"/>
    </xf>
    <xf numFmtId="37" fontId="79" fillId="4" borderId="59" xfId="48" applyNumberFormat="1" applyFont="1" applyFill="1" applyBorder="1" applyAlignment="1" applyProtection="1">
      <alignment vertical="center"/>
      <protection locked="0"/>
    </xf>
    <xf numFmtId="10" fontId="79" fillId="4" borderId="7" xfId="48" applyNumberFormat="1" applyFont="1" applyFill="1" applyBorder="1" applyAlignment="1" applyProtection="1">
      <alignment vertical="center"/>
      <protection locked="0"/>
    </xf>
    <xf numFmtId="0" fontId="79" fillId="4" borderId="30" xfId="48" applyFont="1" applyFill="1" applyBorder="1" applyAlignment="1" applyProtection="1">
      <alignment horizontal="left" vertical="center" indent="2"/>
    </xf>
    <xf numFmtId="37" fontId="79" fillId="4" borderId="21" xfId="48" quotePrefix="1" applyNumberFormat="1" applyFont="1" applyFill="1" applyBorder="1" applyAlignment="1" applyProtection="1">
      <alignment horizontal="right" vertical="center"/>
      <protection locked="0"/>
    </xf>
    <xf numFmtId="37" fontId="79" fillId="4" borderId="59" xfId="48" applyNumberFormat="1" applyFont="1" applyFill="1" applyBorder="1" applyAlignment="1" applyProtection="1">
      <alignment vertical="center"/>
    </xf>
    <xf numFmtId="172" fontId="75" fillId="0" borderId="19" xfId="48" applyNumberFormat="1" applyFont="1" applyFill="1" applyBorder="1" applyAlignment="1" applyProtection="1">
      <alignment vertical="center"/>
    </xf>
    <xf numFmtId="37" fontId="75" fillId="0" borderId="20" xfId="48" applyNumberFormat="1" applyFont="1" applyFill="1" applyBorder="1" applyAlignment="1" applyProtection="1">
      <alignment vertical="center"/>
    </xf>
    <xf numFmtId="37" fontId="75" fillId="4" borderId="30" xfId="48" applyNumberFormat="1" applyFont="1" applyFill="1" applyBorder="1" applyAlignment="1" applyProtection="1">
      <alignment vertical="center"/>
    </xf>
    <xf numFmtId="37" fontId="75" fillId="4" borderId="21" xfId="48" applyNumberFormat="1" applyFont="1" applyFill="1" applyBorder="1" applyAlignment="1" applyProtection="1">
      <alignment vertical="center"/>
    </xf>
    <xf numFmtId="37" fontId="75" fillId="4" borderId="20" xfId="48" applyNumberFormat="1" applyFont="1" applyFill="1" applyBorder="1" applyAlignment="1" applyProtection="1">
      <alignment vertical="center"/>
    </xf>
    <xf numFmtId="37" fontId="75" fillId="4" borderId="41" xfId="48" applyNumberFormat="1" applyFont="1" applyFill="1" applyBorder="1" applyAlignment="1" applyProtection="1">
      <alignment vertical="center"/>
    </xf>
    <xf numFmtId="10" fontId="75" fillId="4" borderId="55" xfId="48" applyNumberFormat="1" applyFont="1" applyFill="1" applyBorder="1" applyAlignment="1" applyProtection="1">
      <alignment vertical="center"/>
      <protection locked="0"/>
    </xf>
    <xf numFmtId="0" fontId="77" fillId="4" borderId="27" xfId="48" applyFont="1" applyFill="1" applyBorder="1" applyAlignment="1" applyProtection="1">
      <alignment horizontal="left" vertical="center"/>
    </xf>
    <xf numFmtId="37" fontId="77" fillId="4" borderId="28" xfId="48" applyNumberFormat="1" applyFont="1" applyFill="1" applyBorder="1" applyAlignment="1" applyProtection="1">
      <alignment horizontal="right" vertical="center"/>
    </xf>
    <xf numFmtId="37" fontId="77" fillId="4" borderId="28" xfId="48" applyNumberFormat="1" applyFont="1" applyFill="1" applyBorder="1" applyAlignment="1" applyProtection="1">
      <alignment vertical="center"/>
    </xf>
    <xf numFmtId="37" fontId="77" fillId="4" borderId="20" xfId="48" applyNumberFormat="1" applyFont="1" applyFill="1" applyBorder="1" applyAlignment="1" applyProtection="1">
      <alignment vertical="center"/>
    </xf>
    <xf numFmtId="10" fontId="77" fillId="4" borderId="51" xfId="48" applyNumberFormat="1" applyFont="1" applyFill="1" applyBorder="1" applyAlignment="1" applyProtection="1">
      <alignment vertical="center"/>
    </xf>
    <xf numFmtId="0" fontId="75" fillId="4" borderId="1" xfId="48" applyFont="1" applyFill="1" applyBorder="1" applyAlignment="1" applyProtection="1">
      <alignment horizontal="center" vertical="center"/>
    </xf>
    <xf numFmtId="37" fontId="75" fillId="4" borderId="1" xfId="48" applyNumberFormat="1" applyFont="1" applyFill="1" applyBorder="1" applyAlignment="1" applyProtection="1">
      <alignment vertical="center"/>
    </xf>
    <xf numFmtId="171" fontId="75" fillId="4" borderId="1" xfId="48" applyNumberFormat="1" applyFont="1" applyFill="1" applyBorder="1" applyAlignment="1" applyProtection="1">
      <alignment vertical="center"/>
      <protection locked="0"/>
    </xf>
    <xf numFmtId="0" fontId="75" fillId="4" borderId="75" xfId="48" applyFont="1" applyFill="1" applyBorder="1" applyAlignment="1" applyProtection="1">
      <alignment vertical="center"/>
    </xf>
    <xf numFmtId="0" fontId="75" fillId="4" borderId="41" xfId="48" applyFont="1" applyFill="1" applyBorder="1" applyAlignment="1" applyProtection="1">
      <alignment horizontal="center" vertical="center"/>
    </xf>
    <xf numFmtId="0" fontId="18" fillId="4" borderId="31" xfId="48" applyFont="1" applyFill="1" applyBorder="1" applyAlignment="1">
      <alignment horizontal="left" vertical="center" wrapText="1"/>
    </xf>
    <xf numFmtId="37" fontId="75" fillId="0" borderId="71" xfId="48" applyNumberFormat="1" applyFont="1" applyFill="1" applyBorder="1" applyAlignment="1" applyProtection="1">
      <alignment vertical="center"/>
    </xf>
    <xf numFmtId="166" fontId="75" fillId="4" borderId="71" xfId="49" applyNumberFormat="1" applyFont="1" applyFill="1" applyBorder="1" applyAlignment="1" applyProtection="1">
      <alignment vertical="center"/>
    </xf>
    <xf numFmtId="37" fontId="75" fillId="4" borderId="71" xfId="48" applyNumberFormat="1" applyFont="1" applyFill="1" applyBorder="1" applyAlignment="1" applyProtection="1">
      <alignment vertical="center"/>
    </xf>
    <xf numFmtId="166" fontId="75" fillId="4" borderId="71" xfId="48" applyNumberFormat="1" applyFont="1" applyFill="1" applyBorder="1" applyAlignment="1" applyProtection="1">
      <alignment vertical="center"/>
    </xf>
    <xf numFmtId="0" fontId="18" fillId="4" borderId="31" xfId="48" applyFont="1" applyFill="1" applyBorder="1" applyAlignment="1">
      <alignment horizontal="left" vertical="center"/>
    </xf>
    <xf numFmtId="37" fontId="75" fillId="4" borderId="6" xfId="48" applyNumberFormat="1" applyFont="1" applyFill="1" applyBorder="1" applyAlignment="1" applyProtection="1">
      <alignment vertical="center"/>
      <protection locked="0"/>
    </xf>
    <xf numFmtId="37" fontId="75" fillId="0" borderId="6" xfId="48" applyNumberFormat="1" applyFont="1" applyFill="1" applyBorder="1" applyAlignment="1" applyProtection="1">
      <alignment vertical="center"/>
      <protection locked="0"/>
    </xf>
    <xf numFmtId="37" fontId="75" fillId="0" borderId="21" xfId="48" applyNumberFormat="1" applyFont="1" applyFill="1" applyBorder="1" applyAlignment="1" applyProtection="1">
      <alignment vertical="center"/>
      <protection locked="0"/>
    </xf>
    <xf numFmtId="37" fontId="75" fillId="4" borderId="21" xfId="48" applyNumberFormat="1" applyFont="1" applyFill="1" applyBorder="1" applyAlignment="1" applyProtection="1">
      <alignment vertical="center"/>
      <protection locked="0"/>
    </xf>
    <xf numFmtId="37" fontId="75" fillId="4" borderId="0" xfId="48" applyNumberFormat="1" applyFont="1" applyFill="1" applyBorder="1" applyAlignment="1" applyProtection="1">
      <alignment horizontal="right" vertical="center"/>
      <protection locked="0"/>
    </xf>
    <xf numFmtId="0" fontId="75" fillId="4" borderId="0" xfId="48" applyFont="1" applyFill="1" applyBorder="1" applyAlignment="1">
      <alignment vertical="center"/>
    </xf>
    <xf numFmtId="0" fontId="19" fillId="4" borderId="31" xfId="48" applyFont="1" applyFill="1" applyBorder="1" applyAlignment="1">
      <alignment horizontal="left" vertical="center" indent="2"/>
    </xf>
    <xf numFmtId="37" fontId="79" fillId="4" borderId="20" xfId="48" applyNumberFormat="1" applyFont="1" applyFill="1" applyBorder="1" applyAlignment="1" applyProtection="1">
      <alignment vertical="center"/>
      <protection locked="0"/>
    </xf>
    <xf numFmtId="37" fontId="79" fillId="0" borderId="19" xfId="48" applyNumberFormat="1" applyFont="1" applyFill="1" applyBorder="1" applyAlignment="1" applyProtection="1">
      <alignment vertical="center"/>
      <protection locked="0"/>
    </xf>
    <xf numFmtId="37" fontId="79" fillId="4" borderId="0" xfId="48" applyNumberFormat="1" applyFont="1" applyFill="1" applyBorder="1" applyAlignment="1" applyProtection="1">
      <alignment horizontal="right" vertical="center"/>
      <protection locked="0"/>
    </xf>
    <xf numFmtId="0" fontId="79" fillId="4" borderId="0" xfId="48" applyFont="1" applyFill="1" applyBorder="1" applyAlignment="1">
      <alignment vertical="center"/>
    </xf>
    <xf numFmtId="37" fontId="79" fillId="0" borderId="21" xfId="48" applyNumberFormat="1" applyFont="1" applyFill="1" applyBorder="1" applyAlignment="1" applyProtection="1">
      <alignment vertical="center"/>
      <protection locked="0"/>
    </xf>
    <xf numFmtId="0" fontId="75" fillId="4" borderId="30" xfId="48" applyFont="1" applyFill="1" applyBorder="1" applyAlignment="1" applyProtection="1">
      <alignment horizontal="left" vertical="center"/>
    </xf>
    <xf numFmtId="37" fontId="75" fillId="4" borderId="19" xfId="48" applyNumberFormat="1" applyFont="1" applyFill="1" applyBorder="1" applyAlignment="1" applyProtection="1">
      <alignment vertical="center"/>
      <protection locked="0"/>
    </xf>
    <xf numFmtId="37" fontId="75" fillId="0" borderId="19" xfId="48" applyNumberFormat="1" applyFont="1" applyFill="1" applyBorder="1" applyAlignment="1" applyProtection="1">
      <alignment vertical="center"/>
      <protection locked="0"/>
    </xf>
    <xf numFmtId="0" fontId="75" fillId="4" borderId="30" xfId="48" applyFont="1" applyFill="1" applyBorder="1" applyAlignment="1" applyProtection="1">
      <alignment vertical="center"/>
    </xf>
    <xf numFmtId="172" fontId="77" fillId="4" borderId="32" xfId="48" applyNumberFormat="1" applyFont="1" applyFill="1" applyBorder="1" applyAlignment="1" applyProtection="1">
      <alignment horizontal="center" vertical="center"/>
    </xf>
    <xf numFmtId="37" fontId="77" fillId="0" borderId="34" xfId="48" applyNumberFormat="1" applyFont="1" applyFill="1" applyBorder="1" applyAlignment="1" applyProtection="1">
      <alignment vertical="center"/>
    </xf>
    <xf numFmtId="37" fontId="77" fillId="4" borderId="34" xfId="48" applyNumberFormat="1" applyFont="1" applyFill="1" applyBorder="1" applyAlignment="1" applyProtection="1">
      <alignment horizontal="right" vertical="center"/>
    </xf>
    <xf numFmtId="3" fontId="77" fillId="4" borderId="43" xfId="48" applyNumberFormat="1" applyFont="1" applyFill="1" applyBorder="1" applyAlignment="1" applyProtection="1">
      <alignment horizontal="right" vertical="center"/>
      <protection locked="0"/>
    </xf>
    <xf numFmtId="10" fontId="77" fillId="4" borderId="47" xfId="50" applyNumberFormat="1" applyFont="1" applyFill="1" applyBorder="1" applyAlignment="1" applyProtection="1">
      <alignment horizontal="right" vertical="center"/>
      <protection locked="0"/>
    </xf>
    <xf numFmtId="37" fontId="77" fillId="4" borderId="0" xfId="48" applyNumberFormat="1" applyFont="1" applyFill="1" applyBorder="1" applyAlignment="1" applyProtection="1">
      <alignment horizontal="right" vertical="center"/>
      <protection locked="0"/>
    </xf>
    <xf numFmtId="0" fontId="77" fillId="4" borderId="0" xfId="48" applyFont="1" applyFill="1" applyBorder="1" applyAlignment="1">
      <alignment vertical="center"/>
    </xf>
    <xf numFmtId="172" fontId="75" fillId="4" borderId="42" xfId="48" applyNumberFormat="1" applyFont="1" applyFill="1" applyBorder="1" applyAlignment="1" applyProtection="1">
      <alignment horizontal="center" vertical="center"/>
    </xf>
    <xf numFmtId="37" fontId="75" fillId="4" borderId="0" xfId="48" applyNumberFormat="1" applyFont="1" applyFill="1" applyBorder="1" applyAlignment="1" applyProtection="1">
      <alignment vertical="center"/>
    </xf>
    <xf numFmtId="37" fontId="75" fillId="4" borderId="0" xfId="48" applyNumberFormat="1" applyFont="1" applyFill="1" applyBorder="1" applyAlignment="1" applyProtection="1">
      <alignment horizontal="center" vertical="center"/>
    </xf>
    <xf numFmtId="37" fontId="75" fillId="4" borderId="3" xfId="48" applyNumberFormat="1" applyFont="1" applyFill="1" applyBorder="1" applyAlignment="1" applyProtection="1">
      <alignment horizontal="right" vertical="center"/>
    </xf>
    <xf numFmtId="39" fontId="75" fillId="4" borderId="3" xfId="48" applyNumberFormat="1" applyFont="1" applyFill="1" applyBorder="1" applyAlignment="1" applyProtection="1">
      <alignment horizontal="right" vertical="center"/>
    </xf>
    <xf numFmtId="0" fontId="78" fillId="4" borderId="36" xfId="48" applyFont="1" applyFill="1" applyBorder="1" applyAlignment="1" applyProtection="1">
      <alignment vertical="center"/>
    </xf>
    <xf numFmtId="37" fontId="77" fillId="4" borderId="37" xfId="48" applyNumberFormat="1" applyFont="1" applyFill="1" applyBorder="1" applyAlignment="1" applyProtection="1">
      <alignment vertical="center"/>
    </xf>
    <xf numFmtId="37" fontId="77" fillId="4" borderId="37" xfId="48" applyNumberFormat="1" applyFont="1" applyFill="1" applyBorder="1" applyAlignment="1" applyProtection="1">
      <alignment horizontal="right" vertical="center"/>
    </xf>
    <xf numFmtId="37" fontId="77" fillId="4" borderId="69" xfId="48" applyNumberFormat="1" applyFont="1" applyFill="1" applyBorder="1" applyAlignment="1" applyProtection="1">
      <alignment horizontal="right" vertical="center"/>
    </xf>
    <xf numFmtId="10" fontId="77" fillId="4" borderId="68" xfId="50" applyNumberFormat="1" applyFont="1" applyFill="1" applyBorder="1" applyAlignment="1" applyProtection="1">
      <alignment vertical="center"/>
      <protection locked="0"/>
    </xf>
    <xf numFmtId="0" fontId="78" fillId="4" borderId="19" xfId="48" applyFont="1" applyFill="1" applyBorder="1" applyAlignment="1" applyProtection="1">
      <alignment vertical="center"/>
    </xf>
    <xf numFmtId="37" fontId="77" fillId="4" borderId="0" xfId="48" applyNumberFormat="1" applyFont="1" applyFill="1" applyBorder="1" applyAlignment="1" applyProtection="1">
      <alignment vertical="center"/>
    </xf>
    <xf numFmtId="37" fontId="77" fillId="4" borderId="0" xfId="48" applyNumberFormat="1" applyFont="1" applyFill="1" applyBorder="1" applyAlignment="1" applyProtection="1">
      <alignment horizontal="right" vertical="center"/>
    </xf>
    <xf numFmtId="10" fontId="77" fillId="4" borderId="0" xfId="50" applyNumberFormat="1" applyFont="1" applyFill="1" applyBorder="1" applyAlignment="1" applyProtection="1">
      <alignment vertical="center"/>
      <protection locked="0"/>
    </xf>
    <xf numFmtId="0" fontId="50" fillId="4" borderId="67" xfId="48" applyFont="1" applyFill="1" applyBorder="1" applyAlignment="1">
      <alignment horizontal="center"/>
    </xf>
    <xf numFmtId="0" fontId="50" fillId="0" borderId="67" xfId="48" applyFont="1" applyFill="1" applyBorder="1"/>
    <xf numFmtId="166" fontId="50" fillId="0" borderId="67" xfId="49" applyNumberFormat="1" applyFont="1" applyFill="1" applyBorder="1"/>
    <xf numFmtId="166" fontId="50" fillId="4" borderId="67" xfId="49" applyNumberFormat="1" applyFont="1" applyFill="1" applyBorder="1"/>
    <xf numFmtId="37" fontId="77" fillId="4" borderId="67" xfId="48" applyNumberFormat="1" applyFont="1" applyFill="1" applyBorder="1" applyAlignment="1" applyProtection="1">
      <alignment horizontal="right" vertical="center"/>
      <protection locked="0"/>
    </xf>
    <xf numFmtId="3" fontId="77" fillId="4" borderId="67" xfId="48" applyNumberFormat="1" applyFont="1" applyFill="1" applyBorder="1" applyAlignment="1" applyProtection="1">
      <alignment horizontal="right" vertical="center"/>
      <protection locked="0"/>
    </xf>
    <xf numFmtId="10" fontId="77" fillId="4" borderId="67" xfId="50" applyNumberFormat="1" applyFont="1" applyFill="1" applyBorder="1" applyAlignment="1" applyProtection="1">
      <alignment horizontal="right" vertical="center"/>
      <protection locked="0"/>
    </xf>
    <xf numFmtId="49" fontId="75" fillId="4" borderId="0" xfId="48" applyNumberFormat="1" applyFont="1" applyFill="1" applyBorder="1" applyAlignment="1" applyProtection="1">
      <alignment horizontal="left" vertical="center"/>
    </xf>
    <xf numFmtId="3" fontId="77" fillId="4" borderId="0" xfId="48" applyNumberFormat="1" applyFont="1" applyFill="1" applyBorder="1" applyAlignment="1" applyProtection="1">
      <alignment vertical="center"/>
      <protection locked="0"/>
    </xf>
    <xf numFmtId="0" fontId="90" fillId="0" borderId="83" xfId="0" applyFont="1" applyFill="1" applyBorder="1" applyAlignment="1">
      <alignment horizontal="centerContinuous"/>
    </xf>
    <xf numFmtId="0" fontId="90" fillId="0" borderId="91" xfId="0" applyFont="1" applyBorder="1" applyAlignment="1">
      <alignment horizontal="center"/>
    </xf>
    <xf numFmtId="3" fontId="90" fillId="0" borderId="91" xfId="0" applyNumberFormat="1" applyFont="1" applyBorder="1" applyAlignment="1">
      <alignment horizontal="center"/>
    </xf>
    <xf numFmtId="3" fontId="90" fillId="0" borderId="92" xfId="0" applyNumberFormat="1" applyFont="1" applyBorder="1" applyAlignment="1">
      <alignment horizontal="center"/>
    </xf>
    <xf numFmtId="0" fontId="90" fillId="0" borderId="0" xfId="0" applyFont="1" applyBorder="1"/>
    <xf numFmtId="0" fontId="90" fillId="0" borderId="0" xfId="0" applyFont="1" applyFill="1" applyBorder="1"/>
    <xf numFmtId="3" fontId="90" fillId="0" borderId="0" xfId="0" applyNumberFormat="1" applyFont="1" applyBorder="1" applyAlignment="1">
      <alignment horizontal="center"/>
    </xf>
    <xf numFmtId="3" fontId="90" fillId="0" borderId="0" xfId="0" applyNumberFormat="1" applyFont="1" applyFill="1" applyBorder="1" applyAlignment="1">
      <alignment horizontal="center"/>
    </xf>
    <xf numFmtId="0" fontId="0" fillId="0" borderId="0" xfId="0" applyAlignment="1">
      <alignment horizontal="right"/>
    </xf>
    <xf numFmtId="0" fontId="18" fillId="0" borderId="0" xfId="0" applyFont="1" applyAlignment="1"/>
    <xf numFmtId="0" fontId="18" fillId="4" borderId="0" xfId="51" applyFont="1" applyFill="1"/>
    <xf numFmtId="0" fontId="50" fillId="4" borderId="0" xfId="51" applyFont="1" applyFill="1" applyAlignment="1">
      <alignment vertical="center"/>
    </xf>
    <xf numFmtId="10" fontId="77" fillId="4" borderId="0" xfId="52" applyNumberFormat="1" applyFont="1" applyFill="1" applyBorder="1" applyAlignment="1" applyProtection="1">
      <alignment vertical="center"/>
      <protection locked="0"/>
    </xf>
    <xf numFmtId="3" fontId="77" fillId="4" borderId="0" xfId="51" applyNumberFormat="1" applyFont="1" applyFill="1" applyBorder="1" applyAlignment="1" applyProtection="1">
      <alignment vertical="center"/>
      <protection locked="0"/>
    </xf>
    <xf numFmtId="37" fontId="77" fillId="4" borderId="0" xfId="51" applyNumberFormat="1" applyFont="1" applyFill="1" applyBorder="1" applyAlignment="1" applyProtection="1">
      <alignment horizontal="right" vertical="center"/>
    </xf>
    <xf numFmtId="37" fontId="77" fillId="4" borderId="0" xfId="51" applyNumberFormat="1" applyFont="1" applyFill="1" applyBorder="1" applyAlignment="1" applyProtection="1">
      <alignment vertical="center"/>
    </xf>
    <xf numFmtId="49" fontId="75" fillId="4" borderId="0" xfId="51" applyNumberFormat="1" applyFont="1" applyFill="1" applyBorder="1" applyAlignment="1" applyProtection="1">
      <alignment horizontal="left" vertical="center"/>
    </xf>
    <xf numFmtId="0" fontId="18" fillId="4" borderId="0" xfId="51" applyFont="1" applyFill="1" applyBorder="1"/>
    <xf numFmtId="10" fontId="77" fillId="4" borderId="67" xfId="52" applyNumberFormat="1" applyFont="1" applyFill="1" applyBorder="1" applyAlignment="1" applyProtection="1">
      <alignment horizontal="right" vertical="center"/>
      <protection locked="0"/>
    </xf>
    <xf numFmtId="3" fontId="77" fillId="4" borderId="67" xfId="51" applyNumberFormat="1" applyFont="1" applyFill="1" applyBorder="1" applyAlignment="1" applyProtection="1">
      <alignment horizontal="right" vertical="center"/>
      <protection locked="0"/>
    </xf>
    <xf numFmtId="37" fontId="77" fillId="4" borderId="67" xfId="51" applyNumberFormat="1" applyFont="1" applyFill="1" applyBorder="1" applyAlignment="1" applyProtection="1">
      <alignment horizontal="right" vertical="center"/>
      <protection locked="0"/>
    </xf>
    <xf numFmtId="166" fontId="50" fillId="4" borderId="67" xfId="53" applyNumberFormat="1" applyFont="1" applyFill="1" applyBorder="1"/>
    <xf numFmtId="166" fontId="50" fillId="0" borderId="67" xfId="53" applyNumberFormat="1" applyFont="1" applyFill="1" applyBorder="1"/>
    <xf numFmtId="0" fontId="50" fillId="0" borderId="67" xfId="51" applyFont="1" applyFill="1" applyBorder="1"/>
    <xf numFmtId="0" fontId="50" fillId="4" borderId="67" xfId="51" applyFont="1" applyFill="1" applyBorder="1" applyAlignment="1">
      <alignment horizontal="center"/>
    </xf>
    <xf numFmtId="0" fontId="78" fillId="4" borderId="19" xfId="51" applyFont="1" applyFill="1" applyBorder="1" applyAlignment="1" applyProtection="1">
      <alignment vertical="center"/>
    </xf>
    <xf numFmtId="10" fontId="77" fillId="4" borderId="68" xfId="52" applyNumberFormat="1" applyFont="1" applyFill="1" applyBorder="1" applyAlignment="1" applyProtection="1">
      <alignment vertical="center"/>
      <protection locked="0"/>
    </xf>
    <xf numFmtId="37" fontId="77" fillId="4" borderId="69" xfId="51" applyNumberFormat="1" applyFont="1" applyFill="1" applyBorder="1" applyAlignment="1" applyProtection="1">
      <alignment horizontal="right" vertical="center"/>
    </xf>
    <xf numFmtId="37" fontId="77" fillId="4" borderId="37" xfId="51" applyNumberFormat="1" applyFont="1" applyFill="1" applyBorder="1" applyAlignment="1" applyProtection="1">
      <alignment horizontal="right" vertical="center"/>
    </xf>
    <xf numFmtId="37" fontId="77" fillId="4" borderId="37" xfId="51" applyNumberFormat="1" applyFont="1" applyFill="1" applyBorder="1" applyAlignment="1" applyProtection="1">
      <alignment vertical="center"/>
    </xf>
    <xf numFmtId="0" fontId="78" fillId="4" borderId="36" xfId="51" applyFont="1" applyFill="1" applyBorder="1" applyAlignment="1" applyProtection="1">
      <alignment vertical="center"/>
    </xf>
    <xf numFmtId="0" fontId="18" fillId="4" borderId="0" xfId="51" applyFont="1" applyFill="1" applyAlignment="1">
      <alignment vertical="center"/>
    </xf>
    <xf numFmtId="39" fontId="75" fillId="4" borderId="3" xfId="51" applyNumberFormat="1" applyFont="1" applyFill="1" applyBorder="1" applyAlignment="1" applyProtection="1">
      <alignment horizontal="right" vertical="center"/>
    </xf>
    <xf numFmtId="37" fontId="75" fillId="4" borderId="3" xfId="51" applyNumberFormat="1" applyFont="1" applyFill="1" applyBorder="1" applyAlignment="1" applyProtection="1">
      <alignment horizontal="right" vertical="center"/>
    </xf>
    <xf numFmtId="37" fontId="75" fillId="4" borderId="0" xfId="51" applyNumberFormat="1" applyFont="1" applyFill="1" applyBorder="1" applyAlignment="1" applyProtection="1">
      <alignment vertical="center"/>
    </xf>
    <xf numFmtId="37" fontId="75" fillId="4" borderId="0" xfId="51" applyNumberFormat="1" applyFont="1" applyFill="1" applyBorder="1" applyAlignment="1" applyProtection="1">
      <alignment horizontal="center" vertical="center"/>
    </xf>
    <xf numFmtId="172" fontId="75" fillId="4" borderId="42" xfId="51" applyNumberFormat="1" applyFont="1" applyFill="1" applyBorder="1" applyAlignment="1" applyProtection="1">
      <alignment horizontal="center" vertical="center"/>
    </xf>
    <xf numFmtId="0" fontId="77" fillId="4" borderId="0" xfId="51" applyFont="1" applyFill="1" applyBorder="1" applyAlignment="1">
      <alignment vertical="center"/>
    </xf>
    <xf numFmtId="10" fontId="77" fillId="4" borderId="47" xfId="52" applyNumberFormat="1" applyFont="1" applyFill="1" applyBorder="1" applyAlignment="1" applyProtection="1">
      <alignment horizontal="right" vertical="center"/>
      <protection locked="0"/>
    </xf>
    <xf numFmtId="3" fontId="77" fillId="4" borderId="43" xfId="51" applyNumberFormat="1" applyFont="1" applyFill="1" applyBorder="1" applyAlignment="1" applyProtection="1">
      <alignment horizontal="right" vertical="center"/>
      <protection locked="0"/>
    </xf>
    <xf numFmtId="37" fontId="77" fillId="4" borderId="34" xfId="51" applyNumberFormat="1" applyFont="1" applyFill="1" applyBorder="1" applyAlignment="1" applyProtection="1">
      <alignment horizontal="right" vertical="center"/>
    </xf>
    <xf numFmtId="37" fontId="77" fillId="0" borderId="34" xfId="51" applyNumberFormat="1" applyFont="1" applyFill="1" applyBorder="1" applyAlignment="1" applyProtection="1">
      <alignment vertical="center"/>
    </xf>
    <xf numFmtId="172" fontId="77" fillId="4" borderId="32" xfId="51" applyNumberFormat="1" applyFont="1" applyFill="1" applyBorder="1" applyAlignment="1" applyProtection="1">
      <alignment horizontal="center" vertical="center"/>
    </xf>
    <xf numFmtId="0" fontId="19" fillId="4" borderId="0" xfId="51" applyFont="1" applyFill="1" applyAlignment="1">
      <alignment vertical="center"/>
    </xf>
    <xf numFmtId="10" fontId="79" fillId="4" borderId="30" xfId="51" applyNumberFormat="1" applyFont="1" applyFill="1" applyBorder="1" applyAlignment="1" applyProtection="1">
      <alignment vertical="center"/>
      <protection locked="0"/>
    </xf>
    <xf numFmtId="37" fontId="79" fillId="4" borderId="0" xfId="51" applyNumberFormat="1" applyFont="1" applyFill="1" applyBorder="1" applyAlignment="1" applyProtection="1">
      <alignment vertical="center"/>
      <protection locked="0"/>
    </xf>
    <xf numFmtId="37" fontId="79" fillId="4" borderId="30" xfId="51" applyNumberFormat="1" applyFont="1" applyFill="1" applyBorder="1" applyAlignment="1" applyProtection="1">
      <alignment horizontal="left" vertical="center"/>
      <protection locked="0"/>
    </xf>
    <xf numFmtId="37" fontId="79" fillId="4" borderId="30" xfId="51" applyNumberFormat="1" applyFont="1" applyFill="1" applyBorder="1" applyAlignment="1" applyProtection="1">
      <alignment horizontal="left" vertical="center"/>
    </xf>
    <xf numFmtId="37" fontId="79" fillId="4" borderId="20" xfId="51" quotePrefix="1" applyNumberFormat="1" applyFont="1" applyFill="1" applyBorder="1" applyAlignment="1" applyProtection="1">
      <alignment horizontal="left" vertical="center"/>
      <protection locked="0"/>
    </xf>
    <xf numFmtId="0" fontId="79" fillId="4" borderId="30" xfId="51" applyFont="1" applyFill="1" applyBorder="1" applyAlignment="1" applyProtection="1">
      <alignment horizontal="left" vertical="center" indent="2"/>
    </xf>
    <xf numFmtId="37" fontId="79" fillId="4" borderId="30" xfId="51" applyNumberFormat="1" applyFont="1" applyFill="1" applyBorder="1" applyAlignment="1" applyProtection="1">
      <alignment horizontal="right" vertical="center"/>
      <protection locked="0"/>
    </xf>
    <xf numFmtId="37" fontId="79" fillId="4" borderId="6" xfId="51" applyNumberFormat="1" applyFont="1" applyFill="1" applyBorder="1" applyAlignment="1" applyProtection="1">
      <alignment horizontal="left" vertical="center"/>
      <protection locked="0"/>
    </xf>
    <xf numFmtId="10" fontId="75" fillId="4" borderId="30" xfId="51" applyNumberFormat="1" applyFont="1" applyFill="1" applyBorder="1" applyAlignment="1" applyProtection="1">
      <alignment vertical="center"/>
      <protection locked="0"/>
    </xf>
    <xf numFmtId="37" fontId="75" fillId="4" borderId="0" xfId="51" applyNumberFormat="1" applyFont="1" applyFill="1" applyBorder="1" applyAlignment="1" applyProtection="1">
      <alignment vertical="center"/>
      <protection locked="0"/>
    </xf>
    <xf numFmtId="37" fontId="75" fillId="4" borderId="20" xfId="51" applyNumberFormat="1" applyFont="1" applyFill="1" applyBorder="1" applyAlignment="1" applyProtection="1">
      <alignment horizontal="right" vertical="center"/>
    </xf>
    <xf numFmtId="37" fontId="75" fillId="4" borderId="20" xfId="51" quotePrefix="1" applyNumberFormat="1" applyFont="1" applyFill="1" applyBorder="1" applyAlignment="1" applyProtection="1">
      <alignment horizontal="right" vertical="center"/>
      <protection locked="0"/>
    </xf>
    <xf numFmtId="37" fontId="75" fillId="0" borderId="20" xfId="51" quotePrefix="1" applyNumberFormat="1" applyFont="1" applyFill="1" applyBorder="1" applyAlignment="1" applyProtection="1">
      <alignment horizontal="right" vertical="center"/>
      <protection locked="0"/>
    </xf>
    <xf numFmtId="0" fontId="75" fillId="4" borderId="30" xfId="51" applyFont="1" applyFill="1" applyBorder="1" applyAlignment="1" applyProtection="1">
      <alignment vertical="center"/>
    </xf>
    <xf numFmtId="37" fontId="75" fillId="4" borderId="30" xfId="51" applyNumberFormat="1" applyFont="1" applyFill="1" applyBorder="1" applyAlignment="1" applyProtection="1">
      <alignment horizontal="right" vertical="center"/>
      <protection locked="0"/>
    </xf>
    <xf numFmtId="37" fontId="75" fillId="0" borderId="19" xfId="51" applyNumberFormat="1" applyFont="1" applyFill="1" applyBorder="1" applyAlignment="1" applyProtection="1">
      <alignment horizontal="right" vertical="center"/>
      <protection locked="0"/>
    </xf>
    <xf numFmtId="37" fontId="75" fillId="4" borderId="19" xfId="51" applyNumberFormat="1" applyFont="1" applyFill="1" applyBorder="1" applyAlignment="1" applyProtection="1">
      <alignment horizontal="right" vertical="center"/>
      <protection locked="0"/>
    </xf>
    <xf numFmtId="0" fontId="75" fillId="4" borderId="30" xfId="51" applyFont="1" applyFill="1" applyBorder="1" applyAlignment="1" applyProtection="1">
      <alignment horizontal="left" vertical="center"/>
    </xf>
    <xf numFmtId="0" fontId="79" fillId="4" borderId="0" xfId="51" applyFont="1" applyFill="1" applyBorder="1" applyAlignment="1">
      <alignment vertical="center"/>
    </xf>
    <xf numFmtId="37" fontId="79" fillId="4" borderId="20" xfId="51" applyNumberFormat="1" applyFont="1" applyFill="1" applyBorder="1" applyAlignment="1" applyProtection="1">
      <alignment horizontal="center" vertical="center"/>
      <protection locked="0"/>
    </xf>
    <xf numFmtId="37" fontId="79" fillId="0" borderId="21" xfId="51" applyNumberFormat="1" applyFont="1" applyFill="1" applyBorder="1" applyAlignment="1" applyProtection="1">
      <alignment horizontal="right" vertical="center"/>
      <protection locked="0"/>
    </xf>
    <xf numFmtId="37" fontId="79" fillId="0" borderId="19" xfId="51" applyNumberFormat="1" applyFont="1" applyFill="1" applyBorder="1" applyAlignment="1" applyProtection="1">
      <alignment horizontal="left" vertical="center"/>
      <protection locked="0"/>
    </xf>
    <xf numFmtId="37" fontId="79" fillId="4" borderId="20" xfId="51" applyNumberFormat="1" applyFont="1" applyFill="1" applyBorder="1" applyAlignment="1" applyProtection="1">
      <alignment horizontal="left" vertical="center"/>
      <protection locked="0"/>
    </xf>
    <xf numFmtId="0" fontId="19" fillId="4" borderId="31" xfId="51" applyFont="1" applyFill="1" applyBorder="1" applyAlignment="1">
      <alignment horizontal="left" vertical="center" indent="2"/>
    </xf>
    <xf numFmtId="37" fontId="79" fillId="4" borderId="21" xfId="51" applyNumberFormat="1" applyFont="1" applyFill="1" applyBorder="1" applyAlignment="1" applyProtection="1">
      <alignment horizontal="right" vertical="center"/>
      <protection locked="0"/>
    </xf>
    <xf numFmtId="0" fontId="75" fillId="4" borderId="0" xfId="51" applyFont="1" applyFill="1" applyBorder="1" applyAlignment="1">
      <alignment vertical="center"/>
    </xf>
    <xf numFmtId="37" fontId="75" fillId="4" borderId="21" xfId="51" applyNumberFormat="1" applyFont="1" applyFill="1" applyBorder="1" applyAlignment="1" applyProtection="1">
      <alignment horizontal="right" vertical="center"/>
      <protection locked="0"/>
    </xf>
    <xf numFmtId="37" fontId="75" fillId="0" borderId="21" xfId="51" applyNumberFormat="1" applyFont="1" applyFill="1" applyBorder="1" applyAlignment="1" applyProtection="1">
      <alignment horizontal="right" vertical="center"/>
      <protection locked="0"/>
    </xf>
    <xf numFmtId="37" fontId="75" fillId="0" borderId="6" xfId="51" applyNumberFormat="1" applyFont="1" applyFill="1" applyBorder="1" applyAlignment="1" applyProtection="1">
      <alignment horizontal="right" vertical="center"/>
      <protection locked="0"/>
    </xf>
    <xf numFmtId="37" fontId="75" fillId="4" borderId="6" xfId="51" applyNumberFormat="1" applyFont="1" applyFill="1" applyBorder="1" applyAlignment="1" applyProtection="1">
      <alignment horizontal="right" vertical="center"/>
      <protection locked="0"/>
    </xf>
    <xf numFmtId="37" fontId="75" fillId="4" borderId="20" xfId="51" applyNumberFormat="1" applyFont="1" applyFill="1" applyBorder="1" applyAlignment="1" applyProtection="1">
      <alignment horizontal="right" vertical="center"/>
      <protection locked="0"/>
    </xf>
    <xf numFmtId="0" fontId="18" fillId="4" borderId="31" xfId="51" applyFont="1" applyFill="1" applyBorder="1" applyAlignment="1">
      <alignment horizontal="left" vertical="center"/>
    </xf>
    <xf numFmtId="166" fontId="75" fillId="4" borderId="71" xfId="51" applyNumberFormat="1" applyFont="1" applyFill="1" applyBorder="1" applyAlignment="1" applyProtection="1">
      <alignment horizontal="centerContinuous" vertical="center"/>
    </xf>
    <xf numFmtId="37" fontId="75" fillId="4" borderId="71" xfId="51" applyNumberFormat="1" applyFont="1" applyFill="1" applyBorder="1" applyAlignment="1" applyProtection="1">
      <alignment horizontal="right" vertical="center"/>
    </xf>
    <xf numFmtId="166" fontId="75" fillId="4" borderId="71" xfId="53" applyNumberFormat="1" applyFont="1" applyFill="1" applyBorder="1" applyAlignment="1" applyProtection="1">
      <alignment horizontal="right" vertical="center"/>
    </xf>
    <xf numFmtId="37" fontId="75" fillId="0" borderId="71" xfId="51" applyNumberFormat="1" applyFont="1" applyFill="1" applyBorder="1" applyAlignment="1" applyProtection="1">
      <alignment horizontal="right" vertical="center"/>
    </xf>
    <xf numFmtId="37" fontId="75" fillId="0" borderId="20" xfId="51" applyNumberFormat="1" applyFont="1" applyFill="1" applyBorder="1" applyAlignment="1" applyProtection="1">
      <alignment horizontal="right" vertical="center"/>
    </xf>
    <xf numFmtId="0" fontId="18" fillId="4" borderId="31" xfId="51" applyFont="1" applyFill="1" applyBorder="1" applyAlignment="1">
      <alignment horizontal="left" vertical="center" wrapText="1"/>
    </xf>
    <xf numFmtId="0" fontId="75" fillId="4" borderId="53" xfId="51" applyFont="1" applyFill="1" applyBorder="1" applyAlignment="1" applyProtection="1">
      <alignment horizontal="center" vertical="center"/>
    </xf>
    <xf numFmtId="0" fontId="75" fillId="4" borderId="54" xfId="51" applyFont="1" applyFill="1" applyBorder="1" applyAlignment="1" applyProtection="1">
      <alignment horizontal="centerContinuous" vertical="center"/>
    </xf>
    <xf numFmtId="0" fontId="75" fillId="4" borderId="24" xfId="51" applyFont="1" applyFill="1" applyBorder="1" applyAlignment="1" applyProtection="1">
      <alignment horizontal="center" vertical="center"/>
    </xf>
    <xf numFmtId="0" fontId="75" fillId="4" borderId="23" xfId="51" applyFont="1" applyFill="1" applyBorder="1" applyAlignment="1" applyProtection="1">
      <alignment horizontal="center" vertical="center"/>
    </xf>
    <xf numFmtId="0" fontId="75" fillId="4" borderId="41" xfId="51" applyFont="1" applyFill="1" applyBorder="1" applyAlignment="1" applyProtection="1">
      <alignment horizontal="center" vertical="center"/>
    </xf>
    <xf numFmtId="0" fontId="75" fillId="4" borderId="90" xfId="51" applyFont="1" applyFill="1" applyBorder="1" applyAlignment="1" applyProtection="1">
      <alignment horizontal="center" vertical="center"/>
    </xf>
    <xf numFmtId="37" fontId="75" fillId="4" borderId="41" xfId="51" applyNumberFormat="1" applyFont="1" applyFill="1" applyBorder="1" applyAlignment="1" applyProtection="1">
      <alignment horizontal="center" vertical="center"/>
    </xf>
    <xf numFmtId="0" fontId="75" fillId="4" borderId="7" xfId="51" applyFont="1" applyFill="1" applyBorder="1" applyAlignment="1" applyProtection="1">
      <alignment horizontal="centerContinuous" vertical="center"/>
    </xf>
    <xf numFmtId="170" fontId="75" fillId="4" borderId="19" xfId="51" applyNumberFormat="1" applyFont="1" applyFill="1" applyBorder="1" applyAlignment="1" applyProtection="1">
      <alignment horizontal="centerContinuous" vertical="center"/>
    </xf>
    <xf numFmtId="0" fontId="75" fillId="4" borderId="21" xfId="51" applyFont="1" applyFill="1" applyBorder="1" applyAlignment="1" applyProtection="1">
      <alignment horizontal="center" vertical="center"/>
    </xf>
    <xf numFmtId="0" fontId="75" fillId="4" borderId="20" xfId="51" applyFont="1" applyFill="1" applyBorder="1" applyAlignment="1" applyProtection="1">
      <alignment horizontal="center" vertical="center"/>
    </xf>
    <xf numFmtId="37" fontId="75" fillId="4" borderId="20" xfId="51" applyNumberFormat="1" applyFont="1" applyFill="1" applyBorder="1" applyAlignment="1" applyProtection="1">
      <alignment horizontal="center" vertical="center"/>
    </xf>
    <xf numFmtId="0" fontId="75" fillId="4" borderId="75" xfId="51" applyFont="1" applyFill="1" applyBorder="1" applyAlignment="1" applyProtection="1">
      <alignment vertical="center"/>
    </xf>
    <xf numFmtId="171" fontId="75" fillId="4" borderId="1" xfId="51" applyNumberFormat="1" applyFont="1" applyFill="1" applyBorder="1" applyAlignment="1" applyProtection="1">
      <alignment vertical="center"/>
      <protection locked="0"/>
    </xf>
    <xf numFmtId="37" fontId="75" fillId="4" borderId="1" xfId="51" applyNumberFormat="1" applyFont="1" applyFill="1" applyBorder="1" applyAlignment="1" applyProtection="1">
      <alignment vertical="center"/>
    </xf>
    <xf numFmtId="0" fontId="75" fillId="4" borderId="1" xfId="51" applyFont="1" applyFill="1" applyBorder="1" applyAlignment="1" applyProtection="1">
      <alignment horizontal="center" vertical="center"/>
    </xf>
    <xf numFmtId="10" fontId="77" fillId="4" borderId="51" xfId="51" applyNumberFormat="1" applyFont="1" applyFill="1" applyBorder="1" applyAlignment="1" applyProtection="1">
      <alignment vertical="center"/>
    </xf>
    <xf numFmtId="37" fontId="77" fillId="4" borderId="28" xfId="51" applyNumberFormat="1" applyFont="1" applyFill="1" applyBorder="1" applyAlignment="1" applyProtection="1">
      <alignment vertical="center"/>
    </xf>
    <xf numFmtId="37" fontId="77" fillId="4" borderId="20" xfId="51" applyNumberFormat="1" applyFont="1" applyFill="1" applyBorder="1" applyAlignment="1" applyProtection="1">
      <alignment vertical="center"/>
    </xf>
    <xf numFmtId="0" fontId="77" fillId="4" borderId="27" xfId="51" applyFont="1" applyFill="1" applyBorder="1" applyAlignment="1" applyProtection="1">
      <alignment horizontal="left" vertical="center"/>
    </xf>
    <xf numFmtId="10" fontId="75" fillId="4" borderId="55" xfId="51" applyNumberFormat="1" applyFont="1" applyFill="1" applyBorder="1" applyAlignment="1" applyProtection="1">
      <alignment vertical="center"/>
      <protection locked="0"/>
    </xf>
    <xf numFmtId="37" fontId="75" fillId="4" borderId="41" xfId="51" applyNumberFormat="1" applyFont="1" applyFill="1" applyBorder="1" applyAlignment="1" applyProtection="1">
      <alignment vertical="center"/>
    </xf>
    <xf numFmtId="37" fontId="75" fillId="4" borderId="20" xfId="51" applyNumberFormat="1" applyFont="1" applyFill="1" applyBorder="1" applyAlignment="1" applyProtection="1">
      <alignment vertical="center"/>
    </xf>
    <xf numFmtId="37" fontId="79" fillId="4" borderId="20" xfId="51" quotePrefix="1" applyNumberFormat="1" applyFont="1" applyFill="1" applyBorder="1" applyAlignment="1" applyProtection="1">
      <alignment horizontal="center" vertical="center"/>
      <protection locked="0"/>
    </xf>
    <xf numFmtId="0" fontId="75" fillId="0" borderId="19" xfId="51" applyFont="1" applyFill="1" applyBorder="1" applyAlignment="1" applyProtection="1">
      <alignment vertical="center"/>
    </xf>
    <xf numFmtId="37" fontId="75" fillId="4" borderId="21" xfId="51" applyNumberFormat="1" applyFont="1" applyFill="1" applyBorder="1" applyAlignment="1" applyProtection="1">
      <alignment vertical="center"/>
    </xf>
    <xf numFmtId="172" fontId="75" fillId="0" borderId="19" xfId="51" applyNumberFormat="1" applyFont="1" applyFill="1" applyBorder="1" applyAlignment="1" applyProtection="1">
      <alignment vertical="center"/>
    </xf>
    <xf numFmtId="37" fontId="75" fillId="4" borderId="30" xfId="51" applyNumberFormat="1" applyFont="1" applyFill="1" applyBorder="1" applyAlignment="1" applyProtection="1">
      <alignment vertical="center"/>
    </xf>
    <xf numFmtId="37" fontId="79" fillId="4" borderId="30" xfId="51" applyNumberFormat="1" applyFont="1" applyFill="1" applyBorder="1" applyAlignment="1" applyProtection="1">
      <alignment vertical="center"/>
      <protection locked="0"/>
    </xf>
    <xf numFmtId="37" fontId="79" fillId="4" borderId="59" xfId="51" applyNumberFormat="1" applyFont="1" applyFill="1" applyBorder="1" applyAlignment="1" applyProtection="1">
      <alignment horizontal="left" vertical="center"/>
    </xf>
    <xf numFmtId="37" fontId="79" fillId="4" borderId="21" xfId="51" quotePrefix="1" applyNumberFormat="1" applyFont="1" applyFill="1" applyBorder="1" applyAlignment="1" applyProtection="1">
      <alignment horizontal="left" vertical="center"/>
      <protection locked="0"/>
    </xf>
    <xf numFmtId="10" fontId="79" fillId="4" borderId="7" xfId="51" applyNumberFormat="1" applyFont="1" applyFill="1" applyBorder="1" applyAlignment="1" applyProtection="1">
      <alignment vertical="center"/>
      <protection locked="0"/>
    </xf>
    <xf numFmtId="37" fontId="79" fillId="4" borderId="59" xfId="51" applyNumberFormat="1" applyFont="1" applyFill="1" applyBorder="1" applyAlignment="1" applyProtection="1">
      <alignment vertical="center"/>
      <protection locked="0"/>
    </xf>
    <xf numFmtId="37" fontId="79" fillId="4" borderId="20" xfId="51" applyNumberFormat="1" applyFont="1" applyFill="1" applyBorder="1" applyAlignment="1" applyProtection="1">
      <alignment horizontal="right" vertical="center"/>
    </xf>
    <xf numFmtId="0" fontId="79" fillId="4" borderId="31" xfId="51" applyFont="1" applyFill="1" applyBorder="1" applyAlignment="1" applyProtection="1">
      <alignment horizontal="left" vertical="center" indent="2"/>
    </xf>
    <xf numFmtId="37" fontId="75" fillId="0" borderId="30" xfId="51" applyNumberFormat="1" applyFont="1" applyFill="1" applyBorder="1" applyAlignment="1" applyProtection="1">
      <alignment vertical="center"/>
    </xf>
    <xf numFmtId="172" fontId="79" fillId="4" borderId="19" xfId="51" quotePrefix="1" applyNumberFormat="1" applyFont="1" applyFill="1" applyBorder="1" applyAlignment="1" applyProtection="1">
      <alignment horizontal="left" vertical="center" indent="1"/>
    </xf>
    <xf numFmtId="10" fontId="79" fillId="4" borderId="30" xfId="51" applyNumberFormat="1" applyFont="1" applyFill="1" applyBorder="1" applyAlignment="1" applyProtection="1">
      <alignment horizontal="left" vertical="center"/>
      <protection locked="0"/>
    </xf>
    <xf numFmtId="37" fontId="79" fillId="4" borderId="0" xfId="51" applyNumberFormat="1" applyFont="1" applyFill="1" applyBorder="1" applyAlignment="1" applyProtection="1">
      <alignment horizontal="left" vertical="center"/>
      <protection locked="0"/>
    </xf>
    <xf numFmtId="37" fontId="79" fillId="4" borderId="21" xfId="51" applyNumberFormat="1" applyFont="1" applyFill="1" applyBorder="1" applyAlignment="1" applyProtection="1">
      <alignment horizontal="left" vertical="center"/>
      <protection locked="0"/>
    </xf>
    <xf numFmtId="37" fontId="79" fillId="0" borderId="20" xfId="51" applyNumberFormat="1" applyFont="1" applyFill="1" applyBorder="1" applyAlignment="1" applyProtection="1">
      <alignment horizontal="left" vertical="center"/>
    </xf>
    <xf numFmtId="172" fontId="79" fillId="0" borderId="19" xfId="51" quotePrefix="1" applyNumberFormat="1" applyFont="1" applyFill="1" applyBorder="1" applyAlignment="1" applyProtection="1">
      <alignment horizontal="left" vertical="center" indent="1"/>
    </xf>
    <xf numFmtId="0" fontId="79" fillId="0" borderId="19" xfId="51" quotePrefix="1" applyFont="1" applyFill="1" applyBorder="1" applyAlignment="1" applyProtection="1">
      <alignment horizontal="left" vertical="center" indent="1"/>
    </xf>
    <xf numFmtId="37" fontId="75" fillId="4" borderId="30" xfId="51" applyNumberFormat="1" applyFont="1" applyFill="1" applyBorder="1" applyAlignment="1" applyProtection="1">
      <alignment vertical="center"/>
      <protection locked="0"/>
    </xf>
    <xf numFmtId="37" fontId="75" fillId="4" borderId="19" xfId="51" quotePrefix="1" applyNumberFormat="1" applyFont="1" applyFill="1" applyBorder="1" applyAlignment="1" applyProtection="1">
      <alignment horizontal="right" vertical="center"/>
      <protection locked="0"/>
    </xf>
    <xf numFmtId="37" fontId="75" fillId="0" borderId="0" xfId="51" applyNumberFormat="1" applyFont="1" applyFill="1" applyAlignment="1" applyProtection="1">
      <alignment horizontal="right" vertical="center"/>
    </xf>
    <xf numFmtId="37" fontId="75" fillId="0" borderId="30" xfId="51" applyNumberFormat="1" applyFont="1" applyFill="1" applyBorder="1" applyAlignment="1" applyProtection="1">
      <alignment horizontal="right" vertical="center"/>
    </xf>
    <xf numFmtId="37" fontId="75" fillId="0" borderId="59" xfId="51" applyNumberFormat="1" applyFont="1" applyFill="1" applyBorder="1" applyAlignment="1" applyProtection="1">
      <alignment horizontal="right" vertical="center"/>
    </xf>
    <xf numFmtId="37" fontId="79" fillId="4" borderId="19" xfId="51" quotePrefix="1" applyNumberFormat="1" applyFont="1" applyFill="1" applyBorder="1" applyAlignment="1" applyProtection="1">
      <alignment horizontal="left" vertical="center"/>
      <protection locked="0"/>
    </xf>
    <xf numFmtId="37" fontId="79" fillId="4" borderId="20" xfId="51" applyNumberFormat="1" applyFont="1" applyFill="1" applyBorder="1" applyAlignment="1" applyProtection="1">
      <alignment horizontal="left" vertical="center"/>
    </xf>
    <xf numFmtId="0" fontId="79" fillId="4" borderId="19" xfId="51" quotePrefix="1" applyFont="1" applyFill="1" applyBorder="1" applyAlignment="1" applyProtection="1">
      <alignment horizontal="left" vertical="center" indent="1"/>
    </xf>
    <xf numFmtId="10" fontId="75" fillId="4" borderId="48" xfId="51" applyNumberFormat="1" applyFont="1" applyFill="1" applyBorder="1" applyAlignment="1" applyProtection="1">
      <alignment vertical="center"/>
      <protection locked="0"/>
    </xf>
    <xf numFmtId="37" fontId="75" fillId="4" borderId="52" xfId="51" applyNumberFormat="1" applyFont="1" applyFill="1" applyBorder="1" applyAlignment="1" applyProtection="1">
      <alignment vertical="center"/>
      <protection locked="0"/>
    </xf>
    <xf numFmtId="37" fontId="75" fillId="4" borderId="29" xfId="51" applyNumberFormat="1" applyFont="1" applyFill="1" applyBorder="1" applyAlignment="1" applyProtection="1">
      <alignment vertical="center"/>
    </xf>
    <xf numFmtId="37" fontId="75" fillId="4" borderId="28" xfId="51" applyNumberFormat="1" applyFont="1" applyFill="1" applyBorder="1" applyAlignment="1" applyProtection="1">
      <alignment horizontal="right" vertical="center"/>
      <protection locked="0"/>
    </xf>
    <xf numFmtId="0" fontId="75" fillId="4" borderId="27" xfId="51" applyFont="1" applyFill="1" applyBorder="1" applyAlignment="1" applyProtection="1">
      <alignment vertical="center"/>
    </xf>
    <xf numFmtId="0" fontId="75" fillId="4" borderId="22" xfId="51" applyFont="1" applyFill="1" applyBorder="1" applyAlignment="1" applyProtection="1">
      <alignment horizontal="centerContinuous" vertical="center"/>
    </xf>
    <xf numFmtId="0" fontId="75" fillId="4" borderId="19" xfId="51" applyFont="1" applyFill="1" applyBorder="1" applyAlignment="1" applyProtection="1">
      <alignment horizontal="centerContinuous" vertical="center"/>
    </xf>
    <xf numFmtId="0" fontId="75" fillId="4" borderId="18" xfId="51" applyFont="1" applyFill="1" applyBorder="1" applyAlignment="1" applyProtection="1">
      <alignment vertical="center"/>
    </xf>
    <xf numFmtId="0" fontId="75" fillId="4" borderId="15" xfId="51" applyFont="1" applyFill="1" applyBorder="1" applyAlignment="1" applyProtection="1">
      <alignment vertical="center"/>
    </xf>
    <xf numFmtId="0" fontId="77" fillId="4" borderId="0" xfId="51" applyFont="1" applyFill="1" applyAlignment="1" applyProtection="1">
      <alignment vertical="center"/>
    </xf>
    <xf numFmtId="3" fontId="29" fillId="0" borderId="0" xfId="0" applyNumberFormat="1" applyFont="1" applyAlignment="1">
      <alignment horizontal="right"/>
    </xf>
    <xf numFmtId="3" fontId="114" fillId="0" borderId="0" xfId="0" applyNumberFormat="1" applyFont="1" applyAlignment="1">
      <alignment horizontal="center"/>
    </xf>
    <xf numFmtId="0" fontId="18" fillId="4" borderId="0" xfId="54" applyFont="1" applyFill="1"/>
    <xf numFmtId="0" fontId="18" fillId="4" borderId="0" xfId="54" applyFont="1" applyFill="1" applyAlignment="1">
      <alignment vertical="center"/>
    </xf>
    <xf numFmtId="0" fontId="77" fillId="4" borderId="0" xfId="54" applyFont="1" applyFill="1" applyAlignment="1" applyProtection="1">
      <alignment horizontal="center" vertical="center"/>
    </xf>
    <xf numFmtId="0" fontId="50" fillId="4" borderId="0" xfId="54" applyFont="1" applyFill="1" applyAlignment="1">
      <alignment vertical="center"/>
    </xf>
    <xf numFmtId="0" fontId="77" fillId="4" borderId="0" xfId="54" applyFont="1" applyFill="1" applyAlignment="1" applyProtection="1">
      <alignment vertical="center"/>
    </xf>
    <xf numFmtId="0" fontId="75" fillId="4" borderId="15" xfId="54" applyFont="1" applyFill="1" applyBorder="1" applyAlignment="1" applyProtection="1">
      <alignment vertical="center"/>
    </xf>
    <xf numFmtId="0" fontId="75" fillId="4" borderId="18" xfId="54" applyFont="1" applyFill="1" applyBorder="1" applyAlignment="1" applyProtection="1">
      <alignment vertical="center"/>
    </xf>
    <xf numFmtId="0" fontId="75" fillId="4" borderId="19" xfId="54" applyFont="1" applyFill="1" applyBorder="1" applyAlignment="1" applyProtection="1">
      <alignment horizontal="centerContinuous" vertical="center"/>
    </xf>
    <xf numFmtId="37" fontId="75" fillId="4" borderId="20" xfId="54" applyNumberFormat="1" applyFont="1" applyFill="1" applyBorder="1" applyAlignment="1" applyProtection="1">
      <alignment horizontal="center" vertical="center"/>
    </xf>
    <xf numFmtId="0" fontId="75" fillId="4" borderId="20" xfId="54" applyFont="1" applyFill="1" applyBorder="1" applyAlignment="1" applyProtection="1">
      <alignment horizontal="center" vertical="center"/>
    </xf>
    <xf numFmtId="0" fontId="75" fillId="4" borderId="21" xfId="54" applyFont="1" applyFill="1" applyBorder="1" applyAlignment="1" applyProtection="1">
      <alignment horizontal="center" vertical="center"/>
    </xf>
    <xf numFmtId="170" fontId="75" fillId="4" borderId="19" xfId="54" applyNumberFormat="1" applyFont="1" applyFill="1" applyBorder="1" applyAlignment="1" applyProtection="1">
      <alignment horizontal="centerContinuous" vertical="center"/>
    </xf>
    <xf numFmtId="0" fontId="75" fillId="4" borderId="7" xfId="54" applyFont="1" applyFill="1" applyBorder="1" applyAlignment="1" applyProtection="1">
      <alignment horizontal="centerContinuous" vertical="center"/>
    </xf>
    <xf numFmtId="0" fontId="75" fillId="4" borderId="0" xfId="54" applyFont="1" applyFill="1" applyBorder="1" applyAlignment="1" applyProtection="1">
      <alignment horizontal="center" vertical="center"/>
    </xf>
    <xf numFmtId="0" fontId="75" fillId="4" borderId="22" xfId="54" applyFont="1" applyFill="1" applyBorder="1" applyAlignment="1" applyProtection="1">
      <alignment horizontal="centerContinuous" vertical="center"/>
    </xf>
    <xf numFmtId="37" fontId="75" fillId="4" borderId="41" xfId="54" applyNumberFormat="1" applyFont="1" applyFill="1" applyBorder="1" applyAlignment="1" applyProtection="1">
      <alignment horizontal="center" vertical="center"/>
    </xf>
    <xf numFmtId="0" fontId="75" fillId="4" borderId="90" xfId="54" applyFont="1" applyFill="1" applyBorder="1" applyAlignment="1" applyProtection="1">
      <alignment horizontal="center" vertical="center"/>
    </xf>
    <xf numFmtId="0" fontId="75" fillId="4" borderId="24" xfId="54" applyFont="1" applyFill="1" applyBorder="1" applyAlignment="1" applyProtection="1">
      <alignment horizontal="center" vertical="center"/>
    </xf>
    <xf numFmtId="0" fontId="75" fillId="4" borderId="23" xfId="54" applyFont="1" applyFill="1" applyBorder="1" applyAlignment="1" applyProtection="1">
      <alignment horizontal="center" vertical="center"/>
    </xf>
    <xf numFmtId="0" fontId="75" fillId="4" borderId="54" xfId="54" applyFont="1" applyFill="1" applyBorder="1" applyAlignment="1" applyProtection="1">
      <alignment horizontal="centerContinuous" vertical="center"/>
    </xf>
    <xf numFmtId="0" fontId="75" fillId="4" borderId="53" xfId="54" applyFont="1" applyFill="1" applyBorder="1" applyAlignment="1" applyProtection="1">
      <alignment horizontal="center" vertical="center"/>
    </xf>
    <xf numFmtId="0" fontId="75" fillId="4" borderId="27" xfId="54" applyFont="1" applyFill="1" applyBorder="1" applyAlignment="1" applyProtection="1">
      <alignment vertical="center"/>
    </xf>
    <xf numFmtId="37" fontId="79" fillId="4" borderId="20" xfId="54" quotePrefix="1" applyNumberFormat="1" applyFont="1" applyFill="1" applyBorder="1" applyAlignment="1" applyProtection="1">
      <alignment horizontal="center" vertical="center"/>
      <protection locked="0"/>
    </xf>
    <xf numFmtId="37" fontId="75" fillId="4" borderId="20" xfId="54" applyNumberFormat="1" applyFont="1" applyFill="1" applyBorder="1" applyAlignment="1" applyProtection="1">
      <alignment horizontal="right" vertical="center"/>
      <protection locked="0"/>
    </xf>
    <xf numFmtId="37" fontId="75" fillId="4" borderId="28" xfId="54" applyNumberFormat="1" applyFont="1" applyFill="1" applyBorder="1" applyAlignment="1" applyProtection="1">
      <alignment horizontal="right" vertical="center"/>
      <protection locked="0"/>
    </xf>
    <xf numFmtId="37" fontId="75" fillId="4" borderId="29" xfId="54" applyNumberFormat="1" applyFont="1" applyFill="1" applyBorder="1" applyAlignment="1" applyProtection="1">
      <alignment vertical="center"/>
    </xf>
    <xf numFmtId="37" fontId="75" fillId="4" borderId="52" xfId="54" applyNumberFormat="1" applyFont="1" applyFill="1" applyBorder="1" applyAlignment="1" applyProtection="1">
      <alignment vertical="center"/>
      <protection locked="0"/>
    </xf>
    <xf numFmtId="10" fontId="75" fillId="4" borderId="48" xfId="54" applyNumberFormat="1" applyFont="1" applyFill="1" applyBorder="1" applyAlignment="1" applyProtection="1">
      <alignment vertical="center"/>
      <protection locked="0"/>
    </xf>
    <xf numFmtId="0" fontId="79" fillId="4" borderId="19" xfId="54" quotePrefix="1" applyFont="1" applyFill="1" applyBorder="1" applyAlignment="1" applyProtection="1">
      <alignment horizontal="left" vertical="center" indent="1"/>
    </xf>
    <xf numFmtId="37" fontId="79" fillId="4" borderId="20" xfId="54" applyNumberFormat="1" applyFont="1" applyFill="1" applyBorder="1" applyAlignment="1" applyProtection="1">
      <alignment horizontal="left" vertical="center"/>
    </xf>
    <xf numFmtId="37" fontId="79" fillId="4" borderId="19" xfId="54" quotePrefix="1" applyNumberFormat="1" applyFont="1" applyFill="1" applyBorder="1" applyAlignment="1" applyProtection="1">
      <alignment horizontal="left" vertical="center"/>
      <protection locked="0"/>
    </xf>
    <xf numFmtId="37" fontId="79" fillId="4" borderId="30" xfId="54" applyNumberFormat="1" applyFont="1" applyFill="1" applyBorder="1" applyAlignment="1" applyProtection="1">
      <alignment horizontal="left" vertical="center"/>
      <protection locked="0"/>
    </xf>
    <xf numFmtId="10" fontId="79" fillId="4" borderId="30" xfId="54" applyNumberFormat="1" applyFont="1" applyFill="1" applyBorder="1" applyAlignment="1" applyProtection="1">
      <alignment horizontal="left" vertical="center"/>
      <protection locked="0"/>
    </xf>
    <xf numFmtId="0" fontId="19" fillId="4" borderId="0" xfId="54" applyFont="1" applyFill="1" applyAlignment="1">
      <alignment vertical="center"/>
    </xf>
    <xf numFmtId="0" fontId="75" fillId="0" borderId="19" xfId="54" applyFont="1" applyFill="1" applyBorder="1" applyAlignment="1" applyProtection="1">
      <alignment vertical="center"/>
    </xf>
    <xf numFmtId="37" fontId="75" fillId="0" borderId="59" xfId="54" applyNumberFormat="1" applyFont="1" applyFill="1" applyBorder="1" applyAlignment="1" applyProtection="1">
      <alignment horizontal="right" vertical="center"/>
    </xf>
    <xf numFmtId="37" fontId="75" fillId="0" borderId="30" xfId="54" applyNumberFormat="1" applyFont="1" applyFill="1" applyBorder="1" applyAlignment="1" applyProtection="1">
      <alignment horizontal="right" vertical="center"/>
    </xf>
    <xf numFmtId="37" fontId="75" fillId="0" borderId="0" xfId="54" applyNumberFormat="1" applyFont="1" applyFill="1" applyAlignment="1" applyProtection="1">
      <alignment horizontal="right" vertical="center"/>
    </xf>
    <xf numFmtId="37" fontId="75" fillId="4" borderId="19" xfId="54" quotePrefix="1" applyNumberFormat="1" applyFont="1" applyFill="1" applyBorder="1" applyAlignment="1" applyProtection="1">
      <alignment horizontal="right" vertical="center"/>
      <protection locked="0"/>
    </xf>
    <xf numFmtId="37" fontId="75" fillId="4" borderId="30" xfId="54" applyNumberFormat="1" applyFont="1" applyFill="1" applyBorder="1" applyAlignment="1" applyProtection="1">
      <alignment vertical="center"/>
      <protection locked="0"/>
    </xf>
    <xf numFmtId="10" fontId="75" fillId="4" borderId="30" xfId="54" applyNumberFormat="1" applyFont="1" applyFill="1" applyBorder="1" applyAlignment="1" applyProtection="1">
      <alignment vertical="center"/>
      <protection locked="0"/>
    </xf>
    <xf numFmtId="172" fontId="79" fillId="0" borderId="19" xfId="54" quotePrefix="1" applyNumberFormat="1" applyFont="1" applyFill="1" applyBorder="1" applyAlignment="1" applyProtection="1">
      <alignment horizontal="left" vertical="center" indent="1"/>
    </xf>
    <xf numFmtId="37" fontId="79" fillId="0" borderId="20" xfId="54" applyNumberFormat="1" applyFont="1" applyFill="1" applyBorder="1" applyAlignment="1" applyProtection="1">
      <alignment horizontal="left" vertical="center"/>
    </xf>
    <xf numFmtId="37" fontId="79" fillId="4" borderId="30" xfId="54" applyNumberFormat="1" applyFont="1" applyFill="1" applyBorder="1" applyAlignment="1" applyProtection="1">
      <alignment horizontal="left" vertical="center"/>
    </xf>
    <xf numFmtId="37" fontId="79" fillId="4" borderId="21" xfId="54" applyNumberFormat="1" applyFont="1" applyFill="1" applyBorder="1" applyAlignment="1" applyProtection="1">
      <alignment horizontal="left" vertical="center"/>
      <protection locked="0"/>
    </xf>
    <xf numFmtId="37" fontId="79" fillId="4" borderId="0" xfId="54" applyNumberFormat="1" applyFont="1" applyFill="1" applyBorder="1" applyAlignment="1" applyProtection="1">
      <alignment horizontal="left" vertical="center"/>
      <protection locked="0"/>
    </xf>
    <xf numFmtId="0" fontId="79" fillId="0" borderId="19" xfId="54" quotePrefix="1" applyFont="1" applyFill="1" applyBorder="1" applyAlignment="1" applyProtection="1">
      <alignment horizontal="left" vertical="center" indent="1"/>
    </xf>
    <xf numFmtId="172" fontId="79" fillId="4" borderId="19" xfId="54" quotePrefix="1" applyNumberFormat="1" applyFont="1" applyFill="1" applyBorder="1" applyAlignment="1" applyProtection="1">
      <alignment horizontal="left" vertical="center" indent="1"/>
    </xf>
    <xf numFmtId="37" fontId="75" fillId="4" borderId="20" xfId="54" quotePrefix="1" applyNumberFormat="1" applyFont="1" applyFill="1" applyBorder="1" applyAlignment="1" applyProtection="1">
      <alignment horizontal="right" vertical="center"/>
      <protection locked="0"/>
    </xf>
    <xf numFmtId="37" fontId="75" fillId="0" borderId="30" xfId="54" applyNumberFormat="1" applyFont="1" applyFill="1" applyBorder="1" applyAlignment="1" applyProtection="1">
      <alignment vertical="center"/>
    </xf>
    <xf numFmtId="37" fontId="75" fillId="4" borderId="0" xfId="54" applyNumberFormat="1" applyFont="1" applyFill="1" applyBorder="1" applyAlignment="1" applyProtection="1">
      <alignment vertical="center"/>
      <protection locked="0"/>
    </xf>
    <xf numFmtId="0" fontId="79" fillId="4" borderId="31" xfId="54" applyFont="1" applyFill="1" applyBorder="1" applyAlignment="1" applyProtection="1">
      <alignment horizontal="left" vertical="center" indent="2"/>
    </xf>
    <xf numFmtId="37" fontId="79" fillId="4" borderId="20" xfId="54" quotePrefix="1" applyNumberFormat="1" applyFont="1" applyFill="1" applyBorder="1" applyAlignment="1" applyProtection="1">
      <alignment horizontal="left" vertical="center"/>
      <protection locked="0"/>
    </xf>
    <xf numFmtId="37" fontId="79" fillId="4" borderId="6" xfId="54" applyNumberFormat="1" applyFont="1" applyFill="1" applyBorder="1" applyAlignment="1" applyProtection="1">
      <alignment horizontal="left" vertical="center"/>
      <protection locked="0"/>
    </xf>
    <xf numFmtId="37" fontId="79" fillId="4" borderId="20" xfId="54" applyNumberFormat="1" applyFont="1" applyFill="1" applyBorder="1" applyAlignment="1" applyProtection="1">
      <alignment horizontal="right" vertical="center"/>
    </xf>
    <xf numFmtId="37" fontId="79" fillId="4" borderId="59" xfId="54" applyNumberFormat="1" applyFont="1" applyFill="1" applyBorder="1" applyAlignment="1" applyProtection="1">
      <alignment vertical="center"/>
      <protection locked="0"/>
    </xf>
    <xf numFmtId="10" fontId="79" fillId="4" borderId="7" xfId="54" applyNumberFormat="1" applyFont="1" applyFill="1" applyBorder="1" applyAlignment="1" applyProtection="1">
      <alignment vertical="center"/>
      <protection locked="0"/>
    </xf>
    <xf numFmtId="0" fontId="79" fillId="4" borderId="30" xfId="54" applyFont="1" applyFill="1" applyBorder="1" applyAlignment="1" applyProtection="1">
      <alignment horizontal="left" vertical="center" indent="2"/>
    </xf>
    <xf numFmtId="37" fontId="79" fillId="4" borderId="21" xfId="54" quotePrefix="1" applyNumberFormat="1" applyFont="1" applyFill="1" applyBorder="1" applyAlignment="1" applyProtection="1">
      <alignment horizontal="left" vertical="center"/>
      <protection locked="0"/>
    </xf>
    <xf numFmtId="37" fontId="79" fillId="4" borderId="59" xfId="54" applyNumberFormat="1" applyFont="1" applyFill="1" applyBorder="1" applyAlignment="1" applyProtection="1">
      <alignment horizontal="left" vertical="center"/>
    </xf>
    <xf numFmtId="37" fontId="79" fillId="4" borderId="30" xfId="54" applyNumberFormat="1" applyFont="1" applyFill="1" applyBorder="1" applyAlignment="1" applyProtection="1">
      <alignment vertical="center"/>
      <protection locked="0"/>
    </xf>
    <xf numFmtId="10" fontId="79" fillId="4" borderId="30" xfId="54" applyNumberFormat="1" applyFont="1" applyFill="1" applyBorder="1" applyAlignment="1" applyProtection="1">
      <alignment vertical="center"/>
      <protection locked="0"/>
    </xf>
    <xf numFmtId="172" fontId="75" fillId="0" borderId="19" xfId="54" applyNumberFormat="1" applyFont="1" applyFill="1" applyBorder="1" applyAlignment="1" applyProtection="1">
      <alignment vertical="center"/>
    </xf>
    <xf numFmtId="37" fontId="75" fillId="0" borderId="20" xfId="54" applyNumberFormat="1" applyFont="1" applyFill="1" applyBorder="1" applyAlignment="1" applyProtection="1">
      <alignment horizontal="right" vertical="center"/>
    </xf>
    <xf numFmtId="37" fontId="75" fillId="4" borderId="30" xfId="54" applyNumberFormat="1" applyFont="1" applyFill="1" applyBorder="1" applyAlignment="1" applyProtection="1">
      <alignment vertical="center"/>
    </xf>
    <xf numFmtId="37" fontId="75" fillId="4" borderId="21" xfId="54" applyNumberFormat="1" applyFont="1" applyFill="1" applyBorder="1" applyAlignment="1" applyProtection="1">
      <alignment vertical="center"/>
    </xf>
    <xf numFmtId="37" fontId="75" fillId="4" borderId="20" xfId="54" applyNumberFormat="1" applyFont="1" applyFill="1" applyBorder="1" applyAlignment="1" applyProtection="1">
      <alignment vertical="center"/>
    </xf>
    <xf numFmtId="37" fontId="75" fillId="4" borderId="41" xfId="54" applyNumberFormat="1" applyFont="1" applyFill="1" applyBorder="1" applyAlignment="1" applyProtection="1">
      <alignment vertical="center"/>
    </xf>
    <xf numFmtId="10" fontId="75" fillId="4" borderId="55" xfId="54" applyNumberFormat="1" applyFont="1" applyFill="1" applyBorder="1" applyAlignment="1" applyProtection="1">
      <alignment vertical="center"/>
      <protection locked="0"/>
    </xf>
    <xf numFmtId="0" fontId="77" fillId="4" borderId="27" xfId="54" applyFont="1" applyFill="1" applyBorder="1" applyAlignment="1" applyProtection="1">
      <alignment horizontal="left" vertical="center"/>
    </xf>
    <xf numFmtId="37" fontId="77" fillId="4" borderId="28" xfId="54" applyNumberFormat="1" applyFont="1" applyFill="1" applyBorder="1" applyAlignment="1" applyProtection="1">
      <alignment vertical="center"/>
    </xf>
    <xf numFmtId="37" fontId="77" fillId="4" borderId="20" xfId="54" applyNumberFormat="1" applyFont="1" applyFill="1" applyBorder="1" applyAlignment="1" applyProtection="1">
      <alignment vertical="center"/>
    </xf>
    <xf numFmtId="10" fontId="77" fillId="4" borderId="51" xfId="54" applyNumberFormat="1" applyFont="1" applyFill="1" applyBorder="1" applyAlignment="1" applyProtection="1">
      <alignment vertical="center"/>
    </xf>
    <xf numFmtId="0" fontId="75" fillId="4" borderId="1" xfId="54" applyFont="1" applyFill="1" applyBorder="1" applyAlignment="1" applyProtection="1">
      <alignment horizontal="center" vertical="center"/>
    </xf>
    <xf numFmtId="37" fontId="75" fillId="4" borderId="1" xfId="54" applyNumberFormat="1" applyFont="1" applyFill="1" applyBorder="1" applyAlignment="1" applyProtection="1">
      <alignment vertical="center"/>
    </xf>
    <xf numFmtId="171" fontId="75" fillId="4" borderId="1" xfId="54" applyNumberFormat="1" applyFont="1" applyFill="1" applyBorder="1" applyAlignment="1" applyProtection="1">
      <alignment vertical="center"/>
      <protection locked="0"/>
    </xf>
    <xf numFmtId="0" fontId="75" fillId="4" borderId="75" xfId="54" applyFont="1" applyFill="1" applyBorder="1" applyAlignment="1" applyProtection="1">
      <alignment vertical="center"/>
    </xf>
    <xf numFmtId="0" fontId="75" fillId="4" borderId="41" xfId="54" applyFont="1" applyFill="1" applyBorder="1" applyAlignment="1" applyProtection="1">
      <alignment horizontal="center" vertical="center"/>
    </xf>
    <xf numFmtId="0" fontId="18" fillId="4" borderId="31" xfId="54" applyFont="1" applyFill="1" applyBorder="1" applyAlignment="1">
      <alignment horizontal="left" vertical="center" wrapText="1"/>
    </xf>
    <xf numFmtId="37" fontId="75" fillId="0" borderId="71" xfId="54" applyNumberFormat="1" applyFont="1" applyFill="1" applyBorder="1" applyAlignment="1" applyProtection="1">
      <alignment horizontal="right" vertical="center"/>
    </xf>
    <xf numFmtId="166" fontId="75" fillId="4" borderId="71" xfId="55" applyNumberFormat="1" applyFont="1" applyFill="1" applyBorder="1" applyAlignment="1" applyProtection="1">
      <alignment horizontal="right" vertical="center"/>
    </xf>
    <xf numFmtId="37" fontId="75" fillId="4" borderId="71" xfId="54" applyNumberFormat="1" applyFont="1" applyFill="1" applyBorder="1" applyAlignment="1" applyProtection="1">
      <alignment horizontal="right" vertical="center"/>
    </xf>
    <xf numFmtId="166" fontId="75" fillId="4" borderId="71" xfId="54" applyNumberFormat="1" applyFont="1" applyFill="1" applyBorder="1" applyAlignment="1" applyProtection="1">
      <alignment horizontal="centerContinuous" vertical="center"/>
    </xf>
    <xf numFmtId="0" fontId="18" fillId="0" borderId="0" xfId="54" applyFont="1" applyFill="1" applyAlignment="1">
      <alignment vertical="center"/>
    </xf>
    <xf numFmtId="0" fontId="18" fillId="4" borderId="31" xfId="54" applyFont="1" applyFill="1" applyBorder="1" applyAlignment="1">
      <alignment horizontal="left" vertical="center"/>
    </xf>
    <xf numFmtId="37" fontId="75" fillId="4" borderId="6" xfId="54" applyNumberFormat="1" applyFont="1" applyFill="1" applyBorder="1" applyAlignment="1" applyProtection="1">
      <alignment horizontal="right" vertical="center"/>
      <protection locked="0"/>
    </xf>
    <xf numFmtId="37" fontId="75" fillId="0" borderId="6" xfId="54" applyNumberFormat="1" applyFont="1" applyFill="1" applyBorder="1" applyAlignment="1" applyProtection="1">
      <alignment horizontal="right" vertical="center"/>
      <protection locked="0"/>
    </xf>
    <xf numFmtId="37" fontId="75" fillId="4" borderId="30" xfId="54" applyNumberFormat="1" applyFont="1" applyFill="1" applyBorder="1" applyAlignment="1" applyProtection="1">
      <alignment horizontal="right" vertical="center"/>
      <protection locked="0"/>
    </xf>
    <xf numFmtId="37" fontId="75" fillId="0" borderId="21" xfId="54" applyNumberFormat="1" applyFont="1" applyFill="1" applyBorder="1" applyAlignment="1" applyProtection="1">
      <alignment horizontal="right" vertical="center"/>
      <protection locked="0"/>
    </xf>
    <xf numFmtId="37" fontId="75" fillId="4" borderId="21" xfId="54" applyNumberFormat="1" applyFont="1" applyFill="1" applyBorder="1" applyAlignment="1" applyProtection="1">
      <alignment horizontal="right" vertical="center"/>
      <protection locked="0"/>
    </xf>
    <xf numFmtId="37" fontId="75" fillId="4" borderId="0" xfId="54" applyNumberFormat="1" applyFont="1" applyFill="1" applyBorder="1" applyAlignment="1" applyProtection="1">
      <alignment horizontal="right" vertical="center"/>
      <protection locked="0"/>
    </xf>
    <xf numFmtId="0" fontId="75" fillId="4" borderId="0" xfId="54" applyFont="1" applyFill="1" applyBorder="1" applyAlignment="1">
      <alignment vertical="center"/>
    </xf>
    <xf numFmtId="0" fontId="19" fillId="4" borderId="31" xfId="54" applyFont="1" applyFill="1" applyBorder="1" applyAlignment="1">
      <alignment horizontal="left" vertical="center" indent="2"/>
    </xf>
    <xf numFmtId="37" fontId="79" fillId="4" borderId="20" xfId="54" applyNumberFormat="1" applyFont="1" applyFill="1" applyBorder="1" applyAlignment="1" applyProtection="1">
      <alignment horizontal="left" vertical="center"/>
      <protection locked="0"/>
    </xf>
    <xf numFmtId="37" fontId="79" fillId="0" borderId="19" xfId="54" applyNumberFormat="1" applyFont="1" applyFill="1" applyBorder="1" applyAlignment="1" applyProtection="1">
      <alignment horizontal="left" vertical="center"/>
      <protection locked="0"/>
    </xf>
    <xf numFmtId="37" fontId="79" fillId="4" borderId="21" xfId="54" applyNumberFormat="1" applyFont="1" applyFill="1" applyBorder="1" applyAlignment="1" applyProtection="1">
      <alignment horizontal="right" vertical="center"/>
      <protection locked="0"/>
    </xf>
    <xf numFmtId="37" fontId="79" fillId="4" borderId="20" xfId="54" applyNumberFormat="1" applyFont="1" applyFill="1" applyBorder="1" applyAlignment="1" applyProtection="1">
      <alignment horizontal="center" vertical="center"/>
      <protection locked="0"/>
    </xf>
    <xf numFmtId="37" fontId="79" fillId="4" borderId="0" xfId="54" applyNumberFormat="1" applyFont="1" applyFill="1" applyBorder="1" applyAlignment="1" applyProtection="1">
      <alignment horizontal="right" vertical="center"/>
      <protection locked="0"/>
    </xf>
    <xf numFmtId="0" fontId="79" fillId="4" borderId="0" xfId="54" applyFont="1" applyFill="1" applyBorder="1" applyAlignment="1">
      <alignment vertical="center"/>
    </xf>
    <xf numFmtId="37" fontId="79" fillId="0" borderId="21" xfId="54" applyNumberFormat="1" applyFont="1" applyFill="1" applyBorder="1" applyAlignment="1" applyProtection="1">
      <alignment horizontal="right" vertical="center"/>
      <protection locked="0"/>
    </xf>
    <xf numFmtId="0" fontId="75" fillId="4" borderId="30" xfId="54" applyFont="1" applyFill="1" applyBorder="1" applyAlignment="1" applyProtection="1">
      <alignment horizontal="left" vertical="center"/>
    </xf>
    <xf numFmtId="37" fontId="75" fillId="4" borderId="19" xfId="54" applyNumberFormat="1" applyFont="1" applyFill="1" applyBorder="1" applyAlignment="1" applyProtection="1">
      <alignment horizontal="right" vertical="center"/>
      <protection locked="0"/>
    </xf>
    <xf numFmtId="37" fontId="75" fillId="0" borderId="19" xfId="54" applyNumberFormat="1" applyFont="1" applyFill="1" applyBorder="1" applyAlignment="1" applyProtection="1">
      <alignment horizontal="right" vertical="center"/>
      <protection locked="0"/>
    </xf>
    <xf numFmtId="37" fontId="75" fillId="4" borderId="20" xfId="54" applyNumberFormat="1" applyFont="1" applyFill="1" applyBorder="1" applyAlignment="1" applyProtection="1">
      <alignment horizontal="right" vertical="center"/>
    </xf>
    <xf numFmtId="0" fontId="75" fillId="4" borderId="30" xfId="54" applyFont="1" applyFill="1" applyBorder="1" applyAlignment="1" applyProtection="1">
      <alignment vertical="center"/>
    </xf>
    <xf numFmtId="37" fontId="75" fillId="0" borderId="20" xfId="54" quotePrefix="1" applyNumberFormat="1" applyFont="1" applyFill="1" applyBorder="1" applyAlignment="1" applyProtection="1">
      <alignment horizontal="right" vertical="center"/>
      <protection locked="0"/>
    </xf>
    <xf numFmtId="37" fontId="79" fillId="4" borderId="30" xfId="54" applyNumberFormat="1" applyFont="1" applyFill="1" applyBorder="1" applyAlignment="1" applyProtection="1">
      <alignment horizontal="right" vertical="center"/>
      <protection locked="0"/>
    </xf>
    <xf numFmtId="37" fontId="79" fillId="4" borderId="0" xfId="54" applyNumberFormat="1" applyFont="1" applyFill="1" applyBorder="1" applyAlignment="1" applyProtection="1">
      <alignment vertical="center"/>
      <protection locked="0"/>
    </xf>
    <xf numFmtId="172" fontId="77" fillId="4" borderId="32" xfId="54" applyNumberFormat="1" applyFont="1" applyFill="1" applyBorder="1" applyAlignment="1" applyProtection="1">
      <alignment horizontal="center" vertical="center"/>
    </xf>
    <xf numFmtId="37" fontId="77" fillId="0" borderId="34" xfId="54" applyNumberFormat="1" applyFont="1" applyFill="1" applyBorder="1" applyAlignment="1" applyProtection="1">
      <alignment vertical="center"/>
    </xf>
    <xf numFmtId="37" fontId="77" fillId="4" borderId="34" xfId="54" applyNumberFormat="1" applyFont="1" applyFill="1" applyBorder="1" applyAlignment="1" applyProtection="1">
      <alignment horizontal="right" vertical="center"/>
    </xf>
    <xf numFmtId="3" fontId="77" fillId="4" borderId="43" xfId="54" applyNumberFormat="1" applyFont="1" applyFill="1" applyBorder="1" applyAlignment="1" applyProtection="1">
      <alignment horizontal="right" vertical="center"/>
      <protection locked="0"/>
    </xf>
    <xf numFmtId="10" fontId="77" fillId="4" borderId="47" xfId="56" applyNumberFormat="1" applyFont="1" applyFill="1" applyBorder="1" applyAlignment="1" applyProtection="1">
      <alignment horizontal="right" vertical="center"/>
      <protection locked="0"/>
    </xf>
    <xf numFmtId="37" fontId="77" fillId="4" borderId="0" xfId="54" applyNumberFormat="1" applyFont="1" applyFill="1" applyBorder="1" applyAlignment="1" applyProtection="1">
      <alignment horizontal="right" vertical="center"/>
      <protection locked="0"/>
    </xf>
    <xf numFmtId="0" fontId="77" fillId="4" borderId="0" xfId="54" applyFont="1" applyFill="1" applyBorder="1" applyAlignment="1">
      <alignment vertical="center"/>
    </xf>
    <xf numFmtId="172" fontId="75" fillId="4" borderId="42" xfId="54" applyNumberFormat="1" applyFont="1" applyFill="1" applyBorder="1" applyAlignment="1" applyProtection="1">
      <alignment horizontal="center" vertical="center"/>
    </xf>
    <xf numFmtId="37" fontId="75" fillId="4" borderId="0" xfId="54" applyNumberFormat="1" applyFont="1" applyFill="1" applyBorder="1" applyAlignment="1" applyProtection="1">
      <alignment vertical="center"/>
    </xf>
    <xf numFmtId="37" fontId="75" fillId="4" borderId="0" xfId="54" applyNumberFormat="1" applyFont="1" applyFill="1" applyBorder="1" applyAlignment="1" applyProtection="1">
      <alignment horizontal="center" vertical="center"/>
    </xf>
    <xf numFmtId="37" fontId="75" fillId="4" borderId="3" xfId="54" applyNumberFormat="1" applyFont="1" applyFill="1" applyBorder="1" applyAlignment="1" applyProtection="1">
      <alignment horizontal="right" vertical="center"/>
    </xf>
    <xf numFmtId="39" fontId="75" fillId="4" borderId="3" xfId="54" applyNumberFormat="1" applyFont="1" applyFill="1" applyBorder="1" applyAlignment="1" applyProtection="1">
      <alignment horizontal="right" vertical="center"/>
    </xf>
    <xf numFmtId="0" fontId="78" fillId="4" borderId="36" xfId="54" applyFont="1" applyFill="1" applyBorder="1" applyAlignment="1" applyProtection="1">
      <alignment vertical="center"/>
    </xf>
    <xf numFmtId="37" fontId="77" fillId="4" borderId="37" xfId="54" applyNumberFormat="1" applyFont="1" applyFill="1" applyBorder="1" applyAlignment="1" applyProtection="1">
      <alignment vertical="center"/>
    </xf>
    <xf numFmtId="37" fontId="77" fillId="4" borderId="37" xfId="54" applyNumberFormat="1" applyFont="1" applyFill="1" applyBorder="1" applyAlignment="1" applyProtection="1">
      <alignment horizontal="right" vertical="center"/>
    </xf>
    <xf numFmtId="37" fontId="77" fillId="4" borderId="69" xfId="54" applyNumberFormat="1" applyFont="1" applyFill="1" applyBorder="1" applyAlignment="1" applyProtection="1">
      <alignment horizontal="right" vertical="center"/>
    </xf>
    <xf numFmtId="10" fontId="77" fillId="4" borderId="68" xfId="56" applyNumberFormat="1" applyFont="1" applyFill="1" applyBorder="1" applyAlignment="1" applyProtection="1">
      <alignment vertical="center"/>
      <protection locked="0"/>
    </xf>
    <xf numFmtId="0" fontId="78" fillId="4" borderId="19" xfId="54" applyFont="1" applyFill="1" applyBorder="1" applyAlignment="1" applyProtection="1">
      <alignment vertical="center"/>
    </xf>
    <xf numFmtId="37" fontId="77" fillId="4" borderId="0" xfId="54" applyNumberFormat="1" applyFont="1" applyFill="1" applyBorder="1" applyAlignment="1" applyProtection="1">
      <alignment vertical="center"/>
    </xf>
    <xf numFmtId="37" fontId="77" fillId="4" borderId="0" xfId="54" applyNumberFormat="1" applyFont="1" applyFill="1" applyBorder="1" applyAlignment="1" applyProtection="1">
      <alignment horizontal="right" vertical="center"/>
    </xf>
    <xf numFmtId="10" fontId="77" fillId="4" borderId="0" xfId="56" applyNumberFormat="1" applyFont="1" applyFill="1" applyBorder="1" applyAlignment="1" applyProtection="1">
      <alignment vertical="center"/>
      <protection locked="0"/>
    </xf>
    <xf numFmtId="0" fontId="50" fillId="4" borderId="67" xfId="54" applyFont="1" applyFill="1" applyBorder="1" applyAlignment="1">
      <alignment horizontal="center"/>
    </xf>
    <xf numFmtId="0" fontId="50" fillId="0" borderId="67" xfId="54" applyFont="1" applyFill="1" applyBorder="1"/>
    <xf numFmtId="166" fontId="50" fillId="0" borderId="67" xfId="55" applyNumberFormat="1" applyFont="1" applyFill="1" applyBorder="1"/>
    <xf numFmtId="166" fontId="50" fillId="4" borderId="67" xfId="55" applyNumberFormat="1" applyFont="1" applyFill="1" applyBorder="1"/>
    <xf numFmtId="37" fontId="77" fillId="4" borderId="67" xfId="54" applyNumberFormat="1" applyFont="1" applyFill="1" applyBorder="1" applyAlignment="1" applyProtection="1">
      <alignment horizontal="right" vertical="center"/>
      <protection locked="0"/>
    </xf>
    <xf numFmtId="3" fontId="77" fillId="4" borderId="67" xfId="54" applyNumberFormat="1" applyFont="1" applyFill="1" applyBorder="1" applyAlignment="1" applyProtection="1">
      <alignment horizontal="right" vertical="center"/>
      <protection locked="0"/>
    </xf>
    <xf numFmtId="10" fontId="77" fillId="4" borderId="67" xfId="56" applyNumberFormat="1" applyFont="1" applyFill="1" applyBorder="1" applyAlignment="1" applyProtection="1">
      <alignment horizontal="right" vertical="center"/>
      <protection locked="0"/>
    </xf>
    <xf numFmtId="0" fontId="18" fillId="4" borderId="0" xfId="54" applyFont="1" applyFill="1" applyBorder="1"/>
    <xf numFmtId="49" fontId="75" fillId="4" borderId="0" xfId="54" applyNumberFormat="1" applyFont="1" applyFill="1" applyBorder="1" applyAlignment="1" applyProtection="1">
      <alignment horizontal="left" vertical="center"/>
    </xf>
    <xf numFmtId="3" fontId="77" fillId="4" borderId="0" xfId="54" applyNumberFormat="1" applyFont="1" applyFill="1" applyBorder="1" applyAlignment="1" applyProtection="1">
      <alignment vertical="center"/>
      <protection locked="0"/>
    </xf>
    <xf numFmtId="3" fontId="21" fillId="0" borderId="0" xfId="0" applyNumberFormat="1" applyFont="1"/>
    <xf numFmtId="0" fontId="115" fillId="0" borderId="0" xfId="24" applyFont="1" applyAlignment="1">
      <alignment horizontal="center"/>
    </xf>
    <xf numFmtId="0" fontId="116" fillId="0" borderId="0" xfId="24" applyFont="1" applyAlignment="1"/>
    <xf numFmtId="0" fontId="117" fillId="0" borderId="0" xfId="24" applyFont="1"/>
    <xf numFmtId="0" fontId="118" fillId="0" borderId="0" xfId="24" applyFont="1" applyAlignment="1">
      <alignment horizontal="center"/>
    </xf>
    <xf numFmtId="0" fontId="117" fillId="0" borderId="0" xfId="24" applyFont="1" applyAlignment="1">
      <alignment vertical="center"/>
    </xf>
    <xf numFmtId="0" fontId="119" fillId="0" borderId="0" xfId="24" applyFont="1" applyBorder="1" applyAlignment="1">
      <alignment vertical="center"/>
    </xf>
    <xf numFmtId="0" fontId="118" fillId="0" borderId="0" xfId="24" applyFont="1" applyAlignment="1">
      <alignment vertical="center"/>
    </xf>
    <xf numFmtId="0" fontId="121" fillId="0" borderId="0" xfId="24" applyFont="1" applyBorder="1"/>
    <xf numFmtId="0" fontId="121" fillId="0" borderId="0" xfId="24" applyFont="1" applyFill="1" applyBorder="1" applyAlignment="1">
      <alignment horizontal="centerContinuous" vertical="center"/>
    </xf>
    <xf numFmtId="0" fontId="121" fillId="0" borderId="0" xfId="24" applyFont="1" applyBorder="1" applyAlignment="1">
      <alignment horizontal="centerContinuous" vertical="center"/>
    </xf>
    <xf numFmtId="0" fontId="118" fillId="0" borderId="0" xfId="24" applyFont="1"/>
    <xf numFmtId="0" fontId="122" fillId="0" borderId="0" xfId="24" applyFont="1" applyFill="1" applyAlignment="1">
      <alignment horizontal="center"/>
    </xf>
    <xf numFmtId="0" fontId="122" fillId="0" borderId="0" xfId="24" quotePrefix="1" applyFont="1" applyFill="1" applyAlignment="1">
      <alignment horizontal="center"/>
    </xf>
    <xf numFmtId="0" fontId="123" fillId="0" borderId="0" xfId="24" applyFont="1"/>
    <xf numFmtId="0" fontId="119" fillId="0" borderId="0" xfId="24" quotePrefix="1" applyFont="1" applyAlignment="1">
      <alignment horizontal="left"/>
    </xf>
    <xf numFmtId="0" fontId="119" fillId="0" borderId="0" xfId="24" applyFont="1"/>
    <xf numFmtId="3" fontId="119" fillId="0" borderId="0" xfId="24" applyNumberFormat="1" applyFont="1"/>
    <xf numFmtId="3" fontId="124" fillId="0" borderId="0" xfId="24" applyNumberFormat="1" applyFont="1"/>
    <xf numFmtId="0" fontId="123" fillId="0" borderId="0" xfId="24" quotePrefix="1" applyFont="1" applyAlignment="1">
      <alignment horizontal="left"/>
    </xf>
    <xf numFmtId="3" fontId="123" fillId="0" borderId="0" xfId="24" applyNumberFormat="1" applyFont="1"/>
    <xf numFmtId="3" fontId="125" fillId="0" borderId="0" xfId="24" applyNumberFormat="1" applyFont="1"/>
    <xf numFmtId="0" fontId="123" fillId="0" borderId="0" xfId="24" applyFont="1" applyAlignment="1">
      <alignment horizontal="left"/>
    </xf>
    <xf numFmtId="0" fontId="121" fillId="0" borderId="9" xfId="24" applyFont="1" applyBorder="1"/>
    <xf numFmtId="0" fontId="118" fillId="0" borderId="9" xfId="24" applyFont="1" applyBorder="1"/>
    <xf numFmtId="3" fontId="121" fillId="0" borderId="9" xfId="24" applyNumberFormat="1" applyFont="1" applyBorder="1"/>
    <xf numFmtId="3" fontId="121" fillId="0" borderId="9" xfId="24" applyNumberFormat="1" applyFont="1" applyFill="1" applyBorder="1"/>
    <xf numFmtId="0" fontId="117" fillId="0" borderId="9" xfId="24" applyFont="1" applyBorder="1"/>
    <xf numFmtId="0" fontId="125" fillId="0" borderId="9" xfId="24" applyFont="1" applyBorder="1"/>
    <xf numFmtId="0" fontId="118" fillId="0" borderId="0" xfId="24" applyFont="1" applyFill="1"/>
    <xf numFmtId="3" fontId="117" fillId="0" borderId="0" xfId="24" applyNumberFormat="1" applyFont="1"/>
    <xf numFmtId="0" fontId="126" fillId="0" borderId="0" xfId="24" quotePrefix="1" applyFont="1" applyFill="1" applyAlignment="1">
      <alignment horizontal="center" vertical="top"/>
    </xf>
    <xf numFmtId="0" fontId="127" fillId="0" borderId="0" xfId="24" applyFont="1" applyFill="1" applyAlignment="1">
      <alignment horizontal="left"/>
    </xf>
    <xf numFmtId="0" fontId="127" fillId="0" borderId="0" xfId="24" quotePrefix="1" applyFont="1" applyFill="1"/>
    <xf numFmtId="0" fontId="127" fillId="0" borderId="0" xfId="24" applyFont="1" applyFill="1"/>
    <xf numFmtId="0" fontId="123" fillId="0" borderId="0" xfId="24" applyFont="1" applyFill="1"/>
    <xf numFmtId="0" fontId="117" fillId="0" borderId="0" xfId="24" applyFont="1" applyFill="1"/>
    <xf numFmtId="0" fontId="128" fillId="0" borderId="0" xfId="24" applyFont="1"/>
    <xf numFmtId="0" fontId="128" fillId="0" borderId="0" xfId="24" applyFont="1" applyFill="1"/>
    <xf numFmtId="38" fontId="127" fillId="0" borderId="0" xfId="23" quotePrefix="1" applyNumberFormat="1" applyFont="1" applyFill="1" applyBorder="1" applyAlignment="1">
      <alignment horizontal="left"/>
    </xf>
    <xf numFmtId="0" fontId="127" fillId="0" borderId="0" xfId="24" applyFont="1"/>
    <xf numFmtId="38" fontId="128" fillId="0" borderId="0" xfId="23" quotePrefix="1" applyNumberFormat="1" applyFont="1" applyFill="1" applyBorder="1" applyAlignment="1">
      <alignment horizontal="left"/>
    </xf>
    <xf numFmtId="38" fontId="127" fillId="0" borderId="0" xfId="23" applyNumberFormat="1" applyFont="1" applyFill="1" applyBorder="1" applyAlignment="1">
      <alignment horizontal="left"/>
    </xf>
    <xf numFmtId="37" fontId="123" fillId="0" borderId="0" xfId="24" applyNumberFormat="1" applyFont="1"/>
    <xf numFmtId="0" fontId="127" fillId="0" borderId="0" xfId="24" applyFont="1" applyFill="1" applyAlignment="1"/>
    <xf numFmtId="173" fontId="0" fillId="0" borderId="0" xfId="0" applyNumberFormat="1"/>
    <xf numFmtId="0" fontId="72" fillId="10" borderId="0" xfId="0" applyFont="1" applyFill="1" applyAlignment="1">
      <alignment horizontal="left"/>
    </xf>
    <xf numFmtId="0" fontId="21" fillId="0" borderId="0" xfId="0" applyFont="1" applyBorder="1"/>
    <xf numFmtId="0" fontId="21" fillId="0" borderId="0" xfId="0" applyFont="1" applyFill="1" applyBorder="1"/>
    <xf numFmtId="3" fontId="21" fillId="0" borderId="0" xfId="0" applyNumberFormat="1" applyFont="1" applyBorder="1" applyAlignment="1">
      <alignment horizontal="center"/>
    </xf>
    <xf numFmtId="0" fontId="18" fillId="4" borderId="0" xfId="57" applyFont="1" applyFill="1" applyBorder="1"/>
    <xf numFmtId="0" fontId="18" fillId="4" borderId="0" xfId="57" applyFont="1" applyFill="1"/>
    <xf numFmtId="0" fontId="6" fillId="0" borderId="0" xfId="58"/>
    <xf numFmtId="0" fontId="77" fillId="4" borderId="0" xfId="57" applyFont="1" applyFill="1" applyAlignment="1" applyProtection="1">
      <alignment horizontal="center" vertical="center"/>
    </xf>
    <xf numFmtId="0" fontId="77" fillId="4" borderId="0" xfId="57" applyFont="1" applyFill="1" applyAlignment="1" applyProtection="1">
      <alignment vertical="center"/>
    </xf>
    <xf numFmtId="0" fontId="50" fillId="4" borderId="0" xfId="57" applyFont="1" applyFill="1" applyAlignment="1">
      <alignment vertical="center"/>
    </xf>
    <xf numFmtId="0" fontId="75" fillId="4" borderId="15" xfId="57" applyFont="1" applyFill="1" applyBorder="1" applyAlignment="1" applyProtection="1">
      <alignment vertical="center"/>
    </xf>
    <xf numFmtId="0" fontId="75" fillId="4" borderId="18" xfId="57" applyFont="1" applyFill="1" applyBorder="1" applyAlignment="1" applyProtection="1">
      <alignment horizontal="center" vertical="center"/>
    </xf>
    <xf numFmtId="0" fontId="75" fillId="4" borderId="19" xfId="57" applyFont="1" applyFill="1" applyBorder="1" applyAlignment="1" applyProtection="1">
      <alignment horizontal="centerContinuous" vertical="center"/>
    </xf>
    <xf numFmtId="37" fontId="75" fillId="4" borderId="20" xfId="57" applyNumberFormat="1" applyFont="1" applyFill="1" applyBorder="1" applyAlignment="1" applyProtection="1">
      <alignment horizontal="center" vertical="center"/>
    </xf>
    <xf numFmtId="0" fontId="75" fillId="4" borderId="20" xfId="57" applyFont="1" applyFill="1" applyBorder="1" applyAlignment="1" applyProtection="1">
      <alignment horizontal="center" vertical="center"/>
    </xf>
    <xf numFmtId="0" fontId="75" fillId="4" borderId="21" xfId="57" applyFont="1" applyFill="1" applyBorder="1" applyAlignment="1" applyProtection="1">
      <alignment horizontal="center" vertical="center"/>
    </xf>
    <xf numFmtId="0" fontId="75" fillId="4" borderId="22" xfId="57" applyFont="1" applyFill="1" applyBorder="1" applyAlignment="1" applyProtection="1">
      <alignment horizontal="centerContinuous" vertical="center"/>
    </xf>
    <xf numFmtId="0" fontId="75" fillId="4" borderId="23" xfId="57" applyFont="1" applyFill="1" applyBorder="1" applyAlignment="1" applyProtection="1">
      <alignment horizontal="center" vertical="center"/>
    </xf>
    <xf numFmtId="0" fontId="75" fillId="4" borderId="24" xfId="57" applyFont="1" applyFill="1" applyBorder="1" applyAlignment="1" applyProtection="1">
      <alignment horizontal="center" vertical="center"/>
    </xf>
    <xf numFmtId="0" fontId="75" fillId="4" borderId="20" xfId="57" applyFont="1" applyFill="1" applyBorder="1" applyAlignment="1" applyProtection="1">
      <alignment horizontal="center" vertical="top"/>
    </xf>
    <xf numFmtId="0" fontId="75" fillId="4" borderId="54" xfId="57" applyFont="1" applyFill="1" applyBorder="1" applyAlignment="1" applyProtection="1">
      <alignment horizontal="centerContinuous" vertical="center"/>
    </xf>
    <xf numFmtId="0" fontId="75" fillId="4" borderId="53" xfId="57" applyFont="1" applyFill="1" applyBorder="1" applyAlignment="1" applyProtection="1">
      <alignment horizontal="center" vertical="center"/>
    </xf>
    <xf numFmtId="0" fontId="75" fillId="4" borderId="25" xfId="57" applyFont="1" applyFill="1" applyBorder="1" applyAlignment="1" applyProtection="1">
      <alignment horizontal="center" vertical="center"/>
    </xf>
    <xf numFmtId="0" fontId="75" fillId="4" borderId="27" xfId="57" applyFont="1" applyFill="1" applyBorder="1" applyAlignment="1" applyProtection="1">
      <alignment vertical="center"/>
    </xf>
    <xf numFmtId="37" fontId="75" fillId="4" borderId="28" xfId="57" quotePrefix="1" applyNumberFormat="1" applyFont="1" applyFill="1" applyBorder="1" applyAlignment="1" applyProtection="1">
      <alignment horizontal="center" vertical="center"/>
      <protection locked="0"/>
    </xf>
    <xf numFmtId="37" fontId="75" fillId="0" borderId="28" xfId="57" applyNumberFormat="1" applyFont="1" applyFill="1" applyBorder="1" applyAlignment="1" applyProtection="1">
      <alignment horizontal="right" vertical="center"/>
      <protection locked="0"/>
    </xf>
    <xf numFmtId="37" fontId="75" fillId="0" borderId="28" xfId="59" applyNumberFormat="1" applyFont="1" applyFill="1" applyBorder="1" applyAlignment="1" applyProtection="1">
      <alignment horizontal="right" vertical="center"/>
      <protection locked="0"/>
    </xf>
    <xf numFmtId="37" fontId="75" fillId="4" borderId="28" xfId="57" applyNumberFormat="1" applyFont="1" applyFill="1" applyBorder="1" applyAlignment="1" applyProtection="1">
      <alignment horizontal="right" vertical="center"/>
      <protection locked="0"/>
    </xf>
    <xf numFmtId="37" fontId="75" fillId="4" borderId="29" xfId="57" applyNumberFormat="1" applyFont="1" applyFill="1" applyBorder="1" applyAlignment="1" applyProtection="1">
      <alignment vertical="center"/>
    </xf>
    <xf numFmtId="37" fontId="75" fillId="4" borderId="52" xfId="57" applyNumberFormat="1" applyFont="1" applyFill="1" applyBorder="1" applyAlignment="1" applyProtection="1">
      <alignment vertical="center"/>
      <protection locked="0"/>
    </xf>
    <xf numFmtId="10" fontId="75" fillId="4" borderId="48" xfId="57" applyNumberFormat="1" applyFont="1" applyFill="1" applyBorder="1" applyAlignment="1" applyProtection="1">
      <alignment vertical="center"/>
      <protection locked="0"/>
    </xf>
    <xf numFmtId="37" fontId="75" fillId="4" borderId="93" xfId="57" applyNumberFormat="1" applyFont="1" applyFill="1" applyBorder="1" applyAlignment="1" applyProtection="1">
      <alignment vertical="center"/>
    </xf>
    <xf numFmtId="0" fontId="79" fillId="4" borderId="19" xfId="57" quotePrefix="1" applyFont="1" applyFill="1" applyBorder="1" applyAlignment="1" applyProtection="1">
      <alignment horizontal="left" vertical="center" indent="1"/>
    </xf>
    <xf numFmtId="37" fontId="79" fillId="4" borderId="20" xfId="57" quotePrefix="1" applyNumberFormat="1" applyFont="1" applyFill="1" applyBorder="1" applyAlignment="1" applyProtection="1">
      <alignment horizontal="center" vertical="center"/>
      <protection locked="0"/>
    </xf>
    <xf numFmtId="37" fontId="79" fillId="0" borderId="20" xfId="57" applyNumberFormat="1" applyFont="1" applyFill="1" applyBorder="1" applyAlignment="1" applyProtection="1">
      <alignment horizontal="left" vertical="center"/>
    </xf>
    <xf numFmtId="37" fontId="79" fillId="0" borderId="20" xfId="59" applyNumberFormat="1" applyFont="1" applyFill="1" applyBorder="1" applyAlignment="1" applyProtection="1">
      <alignment horizontal="left" vertical="center"/>
    </xf>
    <xf numFmtId="37" fontId="79" fillId="4" borderId="20" xfId="57" applyNumberFormat="1" applyFont="1" applyFill="1" applyBorder="1" applyAlignment="1" applyProtection="1">
      <alignment horizontal="left" vertical="center"/>
    </xf>
    <xf numFmtId="37" fontId="79" fillId="4" borderId="19" xfId="57" quotePrefix="1" applyNumberFormat="1" applyFont="1" applyFill="1" applyBorder="1" applyAlignment="1" applyProtection="1">
      <alignment horizontal="left" vertical="center"/>
      <protection locked="0"/>
    </xf>
    <xf numFmtId="37" fontId="79" fillId="4" borderId="30" xfId="57" applyNumberFormat="1" applyFont="1" applyFill="1" applyBorder="1" applyAlignment="1" applyProtection="1">
      <alignment horizontal="left" vertical="center"/>
      <protection locked="0"/>
    </xf>
    <xf numFmtId="10" fontId="79" fillId="4" borderId="7" xfId="57" applyNumberFormat="1" applyFont="1" applyFill="1" applyBorder="1" applyAlignment="1" applyProtection="1">
      <alignment horizontal="left" vertical="center"/>
      <protection locked="0"/>
    </xf>
    <xf numFmtId="37" fontId="79" fillId="4" borderId="7" xfId="57" applyNumberFormat="1" applyFont="1" applyFill="1" applyBorder="1" applyAlignment="1" applyProtection="1">
      <alignment horizontal="right" vertical="center"/>
    </xf>
    <xf numFmtId="0" fontId="75" fillId="4" borderId="19" xfId="57" applyFont="1" applyFill="1" applyBorder="1" applyAlignment="1" applyProtection="1">
      <alignment vertical="center"/>
    </xf>
    <xf numFmtId="37" fontId="75" fillId="4" borderId="20" xfId="57" quotePrefix="1" applyNumberFormat="1" applyFont="1" applyFill="1" applyBorder="1" applyAlignment="1" applyProtection="1">
      <alignment horizontal="center" vertical="center"/>
      <protection locked="0"/>
    </xf>
    <xf numFmtId="37" fontId="75" fillId="0" borderId="0" xfId="57" applyNumberFormat="1" applyFont="1" applyFill="1" applyAlignment="1" applyProtection="1">
      <alignment horizontal="right" vertical="center"/>
    </xf>
    <xf numFmtId="37" fontId="75" fillId="4" borderId="20" xfId="59" quotePrefix="1" applyNumberFormat="1" applyFont="1" applyFill="1" applyBorder="1" applyAlignment="1" applyProtection="1">
      <alignment horizontal="right" vertical="center"/>
      <protection locked="0"/>
    </xf>
    <xf numFmtId="37" fontId="75" fillId="0" borderId="30" xfId="59" applyNumberFormat="1" applyFont="1" applyFill="1" applyBorder="1" applyAlignment="1" applyProtection="1">
      <alignment horizontal="right" vertical="center"/>
    </xf>
    <xf numFmtId="37" fontId="75" fillId="4" borderId="59" xfId="57" applyNumberFormat="1" applyFont="1" applyFill="1" applyBorder="1" applyAlignment="1" applyProtection="1">
      <alignment horizontal="right" vertical="center"/>
    </xf>
    <xf numFmtId="37" fontId="75" fillId="4" borderId="19" xfId="57" quotePrefix="1" applyNumberFormat="1" applyFont="1" applyFill="1" applyBorder="1" applyAlignment="1" applyProtection="1">
      <alignment horizontal="right" vertical="center"/>
      <protection locked="0"/>
    </xf>
    <xf numFmtId="37" fontId="75" fillId="4" borderId="30" xfId="57" applyNumberFormat="1" applyFont="1" applyFill="1" applyBorder="1" applyAlignment="1" applyProtection="1">
      <alignment vertical="center"/>
      <protection locked="0"/>
    </xf>
    <xf numFmtId="10" fontId="75" fillId="4" borderId="7" xfId="57" applyNumberFormat="1" applyFont="1" applyFill="1" applyBorder="1" applyAlignment="1" applyProtection="1">
      <alignment vertical="center"/>
      <protection locked="0"/>
    </xf>
    <xf numFmtId="37" fontId="75" fillId="4" borderId="7" xfId="57" applyNumberFormat="1" applyFont="1" applyFill="1" applyBorder="1" applyAlignment="1" applyProtection="1">
      <alignment vertical="center"/>
    </xf>
    <xf numFmtId="172" fontId="79" fillId="4" borderId="19" xfId="57" quotePrefix="1" applyNumberFormat="1" applyFont="1" applyFill="1" applyBorder="1" applyAlignment="1" applyProtection="1">
      <alignment horizontal="left" vertical="center" indent="1"/>
    </xf>
    <xf numFmtId="37" fontId="79" fillId="4" borderId="20" xfId="59" quotePrefix="1" applyNumberFormat="1" applyFont="1" applyFill="1" applyBorder="1" applyAlignment="1" applyProtection="1">
      <alignment horizontal="center" vertical="center"/>
      <protection locked="0"/>
    </xf>
    <xf numFmtId="37" fontId="79" fillId="4" borderId="30" xfId="57" applyNumberFormat="1" applyFont="1" applyFill="1" applyBorder="1" applyAlignment="1" applyProtection="1">
      <alignment horizontal="left" vertical="center"/>
    </xf>
    <xf numFmtId="37" fontId="79" fillId="4" borderId="21" xfId="57" applyNumberFormat="1" applyFont="1" applyFill="1" applyBorder="1" applyAlignment="1" applyProtection="1">
      <alignment horizontal="left" vertical="center"/>
      <protection locked="0"/>
    </xf>
    <xf numFmtId="37" fontId="79" fillId="4" borderId="0" xfId="57" applyNumberFormat="1" applyFont="1" applyFill="1" applyBorder="1" applyAlignment="1" applyProtection="1">
      <alignment horizontal="left" vertical="center"/>
      <protection locked="0"/>
    </xf>
    <xf numFmtId="10" fontId="79" fillId="4" borderId="30" xfId="57" applyNumberFormat="1" applyFont="1" applyFill="1" applyBorder="1" applyAlignment="1" applyProtection="1">
      <alignment horizontal="left" vertical="center"/>
      <protection locked="0"/>
    </xf>
    <xf numFmtId="37" fontId="79" fillId="4" borderId="30" xfId="57" applyNumberFormat="1" applyFont="1" applyFill="1" applyBorder="1" applyAlignment="1" applyProtection="1">
      <alignment vertical="center"/>
    </xf>
    <xf numFmtId="37" fontId="79" fillId="4" borderId="20" xfId="57" quotePrefix="1" applyNumberFormat="1" applyFont="1" applyFill="1" applyBorder="1" applyAlignment="1" applyProtection="1">
      <alignment horizontal="left" vertical="center"/>
      <protection locked="0"/>
    </xf>
    <xf numFmtId="37" fontId="79" fillId="0" borderId="20" xfId="57" quotePrefix="1" applyNumberFormat="1" applyFont="1" applyFill="1" applyBorder="1" applyAlignment="1" applyProtection="1">
      <alignment horizontal="left" vertical="center"/>
      <protection locked="0"/>
    </xf>
    <xf numFmtId="37" fontId="75" fillId="0" borderId="20" xfId="59" quotePrefix="1" applyNumberFormat="1" applyFont="1" applyFill="1" applyBorder="1" applyAlignment="1" applyProtection="1">
      <alignment horizontal="right" vertical="center"/>
      <protection locked="0"/>
    </xf>
    <xf numFmtId="37" fontId="79" fillId="0" borderId="30" xfId="57" applyNumberFormat="1" applyFont="1" applyFill="1" applyBorder="1" applyAlignment="1" applyProtection="1">
      <alignment horizontal="left" vertical="center"/>
    </xf>
    <xf numFmtId="37" fontId="75" fillId="4" borderId="0" xfId="57" applyNumberFormat="1" applyFont="1" applyFill="1" applyBorder="1" applyAlignment="1" applyProtection="1">
      <alignment vertical="center"/>
      <protection locked="0"/>
    </xf>
    <xf numFmtId="10" fontId="75" fillId="4" borderId="30" xfId="57" applyNumberFormat="1" applyFont="1" applyFill="1" applyBorder="1" applyAlignment="1" applyProtection="1">
      <alignment vertical="center"/>
      <protection locked="0"/>
    </xf>
    <xf numFmtId="37" fontId="75" fillId="4" borderId="7" xfId="57" applyNumberFormat="1" applyFont="1" applyFill="1" applyBorder="1" applyAlignment="1" applyProtection="1">
      <alignment horizontal="right" vertical="center"/>
      <protection locked="0"/>
    </xf>
    <xf numFmtId="0" fontId="79" fillId="4" borderId="31" xfId="57" applyFont="1" applyFill="1" applyBorder="1" applyAlignment="1" applyProtection="1">
      <alignment horizontal="left" vertical="center" indent="2"/>
    </xf>
    <xf numFmtId="37" fontId="79" fillId="0" borderId="20" xfId="57" quotePrefix="1" applyNumberFormat="1" applyFont="1" applyFill="1" applyBorder="1" applyAlignment="1" applyProtection="1">
      <alignment horizontal="center" vertical="center"/>
      <protection locked="0"/>
    </xf>
    <xf numFmtId="37" fontId="79" fillId="0" borderId="0" xfId="57" applyNumberFormat="1" applyFont="1" applyFill="1" applyBorder="1" applyAlignment="1" applyProtection="1">
      <alignment horizontal="center" vertical="center"/>
      <protection locked="0"/>
    </xf>
    <xf numFmtId="37" fontId="79" fillId="0" borderId="20" xfId="59" quotePrefix="1" applyNumberFormat="1" applyFont="1" applyFill="1" applyBorder="1" applyAlignment="1" applyProtection="1">
      <alignment horizontal="left" vertical="center"/>
      <protection locked="0"/>
    </xf>
    <xf numFmtId="37" fontId="79" fillId="4" borderId="6" xfId="57" applyNumberFormat="1" applyFont="1" applyFill="1" applyBorder="1" applyAlignment="1" applyProtection="1">
      <alignment horizontal="center" vertical="center"/>
      <protection locked="0"/>
    </xf>
    <xf numFmtId="37" fontId="79" fillId="4" borderId="20" xfId="57" applyNumberFormat="1" applyFont="1" applyFill="1" applyBorder="1" applyAlignment="1" applyProtection="1">
      <alignment horizontal="center" vertical="center"/>
    </xf>
    <xf numFmtId="37" fontId="79" fillId="4" borderId="59" xfId="57" applyNumberFormat="1" applyFont="1" applyFill="1" applyBorder="1" applyAlignment="1" applyProtection="1">
      <alignment vertical="center"/>
      <protection locked="0"/>
    </xf>
    <xf numFmtId="10" fontId="79" fillId="4" borderId="7" xfId="57" applyNumberFormat="1" applyFont="1" applyFill="1" applyBorder="1" applyAlignment="1" applyProtection="1">
      <alignment vertical="center"/>
      <protection locked="0"/>
    </xf>
    <xf numFmtId="37" fontId="79" fillId="4" borderId="7" xfId="57" applyNumberFormat="1" applyFont="1" applyFill="1" applyBorder="1" applyAlignment="1" applyProtection="1">
      <alignment horizontal="right" vertical="center"/>
      <protection locked="0"/>
    </xf>
    <xf numFmtId="37" fontId="79" fillId="0" borderId="19" xfId="57" quotePrefix="1" applyNumberFormat="1" applyFont="1" applyFill="1" applyBorder="1" applyAlignment="1" applyProtection="1">
      <alignment horizontal="center" vertical="center"/>
      <protection locked="0"/>
    </xf>
    <xf numFmtId="37" fontId="79" fillId="0" borderId="30" xfId="57" applyNumberFormat="1" applyFont="1" applyFill="1" applyBorder="1" applyAlignment="1" applyProtection="1">
      <alignment horizontal="center" vertical="center"/>
      <protection locked="0"/>
    </xf>
    <xf numFmtId="0" fontId="79" fillId="4" borderId="0" xfId="57" applyFont="1" applyFill="1" applyBorder="1" applyAlignment="1" applyProtection="1">
      <alignment horizontal="left" vertical="center" indent="2"/>
    </xf>
    <xf numFmtId="37" fontId="79" fillId="0" borderId="30" xfId="57" quotePrefix="1" applyNumberFormat="1" applyFont="1" applyFill="1" applyBorder="1" applyAlignment="1" applyProtection="1">
      <alignment horizontal="center" vertical="center"/>
      <protection locked="0"/>
    </xf>
    <xf numFmtId="37" fontId="79" fillId="4" borderId="30" xfId="57" applyNumberFormat="1" applyFont="1" applyFill="1" applyBorder="1" applyAlignment="1" applyProtection="1">
      <alignment horizontal="center" vertical="center"/>
      <protection locked="0"/>
    </xf>
    <xf numFmtId="37" fontId="79" fillId="4" borderId="30" xfId="57" applyNumberFormat="1" applyFont="1" applyFill="1" applyBorder="1" applyAlignment="1" applyProtection="1">
      <alignment horizontal="center" vertical="center"/>
    </xf>
    <xf numFmtId="37" fontId="79" fillId="4" borderId="30" xfId="57" applyNumberFormat="1" applyFont="1" applyFill="1" applyBorder="1" applyAlignment="1" applyProtection="1">
      <alignment vertical="center"/>
      <protection locked="0"/>
    </xf>
    <xf numFmtId="10" fontId="79" fillId="4" borderId="30" xfId="57" applyNumberFormat="1" applyFont="1" applyFill="1" applyBorder="1" applyAlignment="1" applyProtection="1">
      <alignment vertical="center"/>
      <protection locked="0"/>
    </xf>
    <xf numFmtId="172" fontId="75" fillId="4" borderId="19" xfId="57" applyNumberFormat="1" applyFont="1" applyFill="1" applyBorder="1" applyAlignment="1" applyProtection="1">
      <alignment vertical="center"/>
    </xf>
    <xf numFmtId="37" fontId="75" fillId="0" borderId="20" xfId="57" applyNumberFormat="1" applyFont="1" applyFill="1" applyBorder="1" applyAlignment="1" applyProtection="1">
      <alignment horizontal="right" vertical="center"/>
    </xf>
    <xf numFmtId="37" fontId="75" fillId="0" borderId="20" xfId="59" applyNumberFormat="1" applyFont="1" applyFill="1" applyBorder="1" applyAlignment="1" applyProtection="1">
      <alignment vertical="center"/>
    </xf>
    <xf numFmtId="37" fontId="75" fillId="4" borderId="30" xfId="57" applyNumberFormat="1" applyFont="1" applyFill="1" applyBorder="1" applyAlignment="1" applyProtection="1">
      <alignment vertical="center"/>
    </xf>
    <xf numFmtId="37" fontId="75" fillId="4" borderId="21" xfId="57" applyNumberFormat="1" applyFont="1" applyFill="1" applyBorder="1" applyAlignment="1" applyProtection="1">
      <alignment vertical="center"/>
    </xf>
    <xf numFmtId="37" fontId="75" fillId="4" borderId="30" xfId="57" applyNumberFormat="1" applyFont="1" applyFill="1" applyBorder="1" applyAlignment="1" applyProtection="1">
      <alignment horizontal="right" vertical="center"/>
    </xf>
    <xf numFmtId="37" fontId="75" fillId="4" borderId="20" xfId="57" quotePrefix="1" applyNumberFormat="1" applyFont="1" applyFill="1" applyBorder="1" applyAlignment="1" applyProtection="1">
      <alignment horizontal="right" vertical="center"/>
      <protection locked="0"/>
    </xf>
    <xf numFmtId="37" fontId="75" fillId="0" borderId="20" xfId="57" quotePrefix="1" applyNumberFormat="1" applyFont="1" applyFill="1" applyBorder="1" applyAlignment="1" applyProtection="1">
      <alignment horizontal="right" vertical="center"/>
      <protection locked="0"/>
    </xf>
    <xf numFmtId="37" fontId="75" fillId="4" borderId="20" xfId="57" applyNumberFormat="1" applyFont="1" applyFill="1" applyBorder="1" applyAlignment="1" applyProtection="1">
      <alignment vertical="center"/>
    </xf>
    <xf numFmtId="37" fontId="75" fillId="4" borderId="41" xfId="57" applyNumberFormat="1" applyFont="1" applyFill="1" applyBorder="1" applyAlignment="1" applyProtection="1">
      <alignment vertical="center"/>
    </xf>
    <xf numFmtId="37" fontId="75" fillId="0" borderId="30" xfId="57" applyNumberFormat="1" applyFont="1" applyFill="1" applyBorder="1" applyAlignment="1" applyProtection="1">
      <alignment vertical="center"/>
    </xf>
    <xf numFmtId="0" fontId="77" fillId="4" borderId="27" xfId="57" applyFont="1" applyFill="1" applyBorder="1" applyAlignment="1" applyProtection="1">
      <alignment horizontal="left" vertical="center"/>
    </xf>
    <xf numFmtId="37" fontId="77" fillId="4" borderId="28" xfId="57" applyNumberFormat="1" applyFont="1" applyFill="1" applyBorder="1" applyAlignment="1" applyProtection="1">
      <alignment vertical="center"/>
    </xf>
    <xf numFmtId="37" fontId="77" fillId="4" borderId="20" xfId="57" applyNumberFormat="1" applyFont="1" applyFill="1" applyBorder="1" applyAlignment="1" applyProtection="1">
      <alignment vertical="center"/>
    </xf>
    <xf numFmtId="10" fontId="77" fillId="4" borderId="51" xfId="57" applyNumberFormat="1" applyFont="1" applyFill="1" applyBorder="1" applyAlignment="1" applyProtection="1">
      <alignment vertical="center"/>
    </xf>
    <xf numFmtId="37" fontId="75" fillId="4" borderId="51" xfId="57" applyNumberFormat="1" applyFont="1" applyFill="1" applyBorder="1" applyAlignment="1" applyProtection="1">
      <alignment vertical="center"/>
    </xf>
    <xf numFmtId="0" fontId="75" fillId="4" borderId="1" xfId="57" applyFont="1" applyFill="1" applyBorder="1" applyAlignment="1" applyProtection="1">
      <alignment horizontal="center" vertical="center"/>
    </xf>
    <xf numFmtId="37" fontId="75" fillId="4" borderId="1" xfId="57" applyNumberFormat="1" applyFont="1" applyFill="1" applyBorder="1" applyAlignment="1" applyProtection="1">
      <alignment vertical="center"/>
    </xf>
    <xf numFmtId="171" fontId="75" fillId="4" borderId="1" xfId="57" applyNumberFormat="1" applyFont="1" applyFill="1" applyBorder="1" applyAlignment="1" applyProtection="1">
      <alignment vertical="center"/>
      <protection locked="0"/>
    </xf>
    <xf numFmtId="0" fontId="75" fillId="4" borderId="1" xfId="57" applyFont="1" applyFill="1" applyBorder="1" applyAlignment="1" applyProtection="1">
      <alignment vertical="center"/>
    </xf>
    <xf numFmtId="0" fontId="75" fillId="4" borderId="75" xfId="57" applyFont="1" applyFill="1" applyBorder="1" applyAlignment="1" applyProtection="1">
      <alignment horizontal="center" vertical="center"/>
    </xf>
    <xf numFmtId="37" fontId="75" fillId="4" borderId="41" xfId="57" applyNumberFormat="1" applyFont="1" applyFill="1" applyBorder="1" applyAlignment="1" applyProtection="1">
      <alignment horizontal="center" vertical="center"/>
    </xf>
    <xf numFmtId="0" fontId="75" fillId="4" borderId="74" xfId="57" applyFont="1" applyFill="1" applyBorder="1" applyAlignment="1" applyProtection="1">
      <alignment horizontal="center" vertical="center"/>
    </xf>
    <xf numFmtId="0" fontId="75" fillId="4" borderId="41" xfId="57" applyFont="1" applyFill="1" applyBorder="1" applyAlignment="1" applyProtection="1">
      <alignment horizontal="center" vertical="center"/>
    </xf>
    <xf numFmtId="0" fontId="75" fillId="4" borderId="73" xfId="57" applyFont="1" applyFill="1" applyBorder="1" applyAlignment="1" applyProtection="1">
      <alignment horizontal="centerContinuous" vertical="center"/>
    </xf>
    <xf numFmtId="0" fontId="75" fillId="4" borderId="72" xfId="57" applyFont="1" applyFill="1" applyBorder="1" applyAlignment="1" applyProtection="1">
      <alignment horizontal="center" vertical="center"/>
    </xf>
    <xf numFmtId="0" fontId="18" fillId="4" borderId="31" xfId="57" applyFont="1" applyFill="1" applyBorder="1" applyAlignment="1">
      <alignment horizontal="left" vertical="center" wrapText="1"/>
    </xf>
    <xf numFmtId="37" fontId="75" fillId="0" borderId="0" xfId="57" applyNumberFormat="1" applyFont="1" applyFill="1" applyBorder="1" applyAlignment="1" applyProtection="1">
      <alignment horizontal="right" vertical="center"/>
    </xf>
    <xf numFmtId="37" fontId="75" fillId="0" borderId="20" xfId="59" applyNumberFormat="1" applyFont="1" applyFill="1" applyBorder="1" applyAlignment="1" applyProtection="1">
      <alignment horizontal="right" vertical="center"/>
    </xf>
    <xf numFmtId="37" fontId="75" fillId="0" borderId="71" xfId="59" applyNumberFormat="1" applyFont="1" applyFill="1" applyBorder="1" applyAlignment="1" applyProtection="1">
      <alignment horizontal="right" vertical="center"/>
    </xf>
    <xf numFmtId="166" fontId="75" fillId="4" borderId="0" xfId="60" applyNumberFormat="1" applyFont="1" applyFill="1" applyBorder="1" applyAlignment="1" applyProtection="1">
      <alignment horizontal="right" vertical="center"/>
    </xf>
    <xf numFmtId="37" fontId="75" fillId="4" borderId="71" xfId="57" applyNumberFormat="1" applyFont="1" applyFill="1" applyBorder="1" applyAlignment="1" applyProtection="1">
      <alignment horizontal="right" vertical="center"/>
    </xf>
    <xf numFmtId="166" fontId="75" fillId="4" borderId="71" xfId="57" applyNumberFormat="1" applyFont="1" applyFill="1" applyBorder="1" applyAlignment="1" applyProtection="1">
      <alignment horizontal="centerContinuous" vertical="center"/>
    </xf>
    <xf numFmtId="0" fontId="75" fillId="4" borderId="94" xfId="57" applyFont="1" applyFill="1" applyBorder="1" applyAlignment="1" applyProtection="1">
      <alignment horizontal="center" vertical="center"/>
    </xf>
    <xf numFmtId="0" fontId="18" fillId="4" borderId="31" xfId="57" applyFont="1" applyFill="1" applyBorder="1" applyAlignment="1">
      <alignment horizontal="left" vertical="center"/>
    </xf>
    <xf numFmtId="37" fontId="75" fillId="0" borderId="20" xfId="57" applyNumberFormat="1" applyFont="1" applyFill="1" applyBorder="1" applyAlignment="1" applyProtection="1">
      <alignment horizontal="right" vertical="center"/>
      <protection locked="0"/>
    </xf>
    <xf numFmtId="37" fontId="75" fillId="0" borderId="19" xfId="59" applyNumberFormat="1" applyFont="1" applyFill="1" applyBorder="1" applyAlignment="1" applyProtection="1">
      <alignment horizontal="right" vertical="center"/>
    </xf>
    <xf numFmtId="37" fontId="75" fillId="0" borderId="6" xfId="59" applyNumberFormat="1" applyFont="1" applyFill="1" applyBorder="1" applyAlignment="1" applyProtection="1">
      <alignment horizontal="right" vertical="center"/>
      <protection locked="0"/>
    </xf>
    <xf numFmtId="166" fontId="75" fillId="4" borderId="30" xfId="60" applyNumberFormat="1" applyFont="1" applyFill="1" applyBorder="1" applyAlignment="1" applyProtection="1">
      <alignment horizontal="right" vertical="center"/>
    </xf>
    <xf numFmtId="37" fontId="75" fillId="0" borderId="21" xfId="57" applyNumberFormat="1" applyFont="1" applyFill="1" applyBorder="1" applyAlignment="1" applyProtection="1">
      <alignment horizontal="right" vertical="center"/>
      <protection locked="0"/>
    </xf>
    <xf numFmtId="37" fontId="75" fillId="0" borderId="7" xfId="57" applyNumberFormat="1" applyFont="1" applyFill="1" applyBorder="1" applyAlignment="1" applyProtection="1">
      <alignment horizontal="right" vertical="center"/>
      <protection locked="0"/>
    </xf>
    <xf numFmtId="0" fontId="19" fillId="4" borderId="31" xfId="57" applyFont="1" applyFill="1" applyBorder="1" applyAlignment="1">
      <alignment horizontal="left" vertical="center" indent="2"/>
    </xf>
    <xf numFmtId="37" fontId="79" fillId="0" borderId="20" xfId="57" applyNumberFormat="1" applyFont="1" applyFill="1" applyBorder="1" applyAlignment="1" applyProtection="1">
      <alignment horizontal="left" vertical="center"/>
      <protection locked="0"/>
    </xf>
    <xf numFmtId="37" fontId="79" fillId="0" borderId="6" xfId="57" applyNumberFormat="1" applyFont="1" applyFill="1" applyBorder="1" applyAlignment="1" applyProtection="1">
      <alignment horizontal="left" vertical="center"/>
      <protection locked="0"/>
    </xf>
    <xf numFmtId="37" fontId="79" fillId="0" borderId="19" xfId="59" applyNumberFormat="1" applyFont="1" applyFill="1" applyBorder="1" applyAlignment="1" applyProtection="1">
      <alignment horizontal="left" vertical="center"/>
    </xf>
    <xf numFmtId="37" fontId="79" fillId="0" borderId="19" xfId="59" applyNumberFormat="1" applyFont="1" applyFill="1" applyBorder="1" applyAlignment="1" applyProtection="1">
      <alignment horizontal="left" vertical="center"/>
      <protection locked="0"/>
    </xf>
    <xf numFmtId="37" fontId="79" fillId="0" borderId="59" xfId="59" applyNumberFormat="1" applyFont="1" applyFill="1" applyBorder="1" applyAlignment="1" applyProtection="1">
      <alignment horizontal="left" vertical="center"/>
    </xf>
    <xf numFmtId="37" fontId="79" fillId="4" borderId="21" xfId="57" applyNumberFormat="1" applyFont="1" applyFill="1" applyBorder="1" applyAlignment="1" applyProtection="1">
      <alignment horizontal="right" vertical="center"/>
      <protection locked="0"/>
    </xf>
    <xf numFmtId="37" fontId="79" fillId="4" borderId="20" xfId="57" applyNumberFormat="1" applyFont="1" applyFill="1" applyBorder="1" applyAlignment="1" applyProtection="1">
      <alignment horizontal="center" vertical="center"/>
      <protection locked="0"/>
    </xf>
    <xf numFmtId="37" fontId="79" fillId="0" borderId="21" xfId="57" applyNumberFormat="1" applyFont="1" applyFill="1" applyBorder="1" applyAlignment="1" applyProtection="1">
      <alignment horizontal="right" vertical="center"/>
      <protection locked="0"/>
    </xf>
    <xf numFmtId="0" fontId="75" fillId="4" borderId="30" xfId="57" applyFont="1" applyFill="1" applyBorder="1" applyAlignment="1" applyProtection="1">
      <alignment horizontal="left" vertical="center"/>
    </xf>
    <xf numFmtId="37" fontId="75" fillId="0" borderId="19" xfId="57" applyNumberFormat="1" applyFont="1" applyFill="1" applyBorder="1" applyAlignment="1" applyProtection="1">
      <alignment horizontal="right" vertical="center"/>
      <protection locked="0"/>
    </xf>
    <xf numFmtId="37" fontId="75" fillId="4" borderId="30" xfId="57" applyNumberFormat="1" applyFont="1" applyFill="1" applyBorder="1" applyAlignment="1" applyProtection="1">
      <alignment horizontal="right" vertical="center"/>
      <protection locked="0"/>
    </xf>
    <xf numFmtId="37" fontId="75" fillId="0" borderId="30" xfId="59" applyNumberFormat="1" applyFont="1" applyFill="1" applyBorder="1" applyAlignment="1" applyProtection="1">
      <alignment horizontal="right" vertical="center"/>
      <protection locked="0"/>
    </xf>
    <xf numFmtId="37" fontId="75" fillId="4" borderId="20" xfId="57" applyNumberFormat="1" applyFont="1" applyFill="1" applyBorder="1" applyAlignment="1" applyProtection="1">
      <alignment horizontal="right" vertical="center"/>
    </xf>
    <xf numFmtId="0" fontId="75" fillId="4" borderId="30" xfId="57" applyFont="1" applyFill="1" applyBorder="1" applyAlignment="1" applyProtection="1">
      <alignment vertical="center"/>
    </xf>
    <xf numFmtId="0" fontId="79" fillId="4" borderId="30" xfId="57" applyFont="1" applyFill="1" applyBorder="1" applyAlignment="1" applyProtection="1">
      <alignment horizontal="left" vertical="center" indent="2"/>
    </xf>
    <xf numFmtId="37" fontId="79" fillId="4" borderId="6" xfId="57" applyNumberFormat="1" applyFont="1" applyFill="1" applyBorder="1" applyAlignment="1" applyProtection="1">
      <alignment horizontal="left" vertical="center"/>
      <protection locked="0"/>
    </xf>
    <xf numFmtId="37" fontId="79" fillId="4" borderId="30" xfId="57" applyNumberFormat="1" applyFont="1" applyFill="1" applyBorder="1" applyAlignment="1" applyProtection="1">
      <alignment horizontal="right" vertical="center"/>
      <protection locked="0"/>
    </xf>
    <xf numFmtId="37" fontId="79" fillId="4" borderId="0" xfId="57" applyNumberFormat="1" applyFont="1" applyFill="1" applyBorder="1" applyAlignment="1" applyProtection="1">
      <alignment vertical="center"/>
      <protection locked="0"/>
    </xf>
    <xf numFmtId="37" fontId="79" fillId="0" borderId="6" xfId="57" applyNumberFormat="1" applyFont="1" applyFill="1" applyBorder="1" applyAlignment="1" applyProtection="1">
      <alignment horizontal="right" vertical="center"/>
      <protection locked="0"/>
    </xf>
    <xf numFmtId="37" fontId="79" fillId="4" borderId="20" xfId="57" applyNumberFormat="1" applyFont="1" applyFill="1" applyBorder="1" applyAlignment="1" applyProtection="1">
      <alignment horizontal="right" vertical="center"/>
    </xf>
    <xf numFmtId="37" fontId="79" fillId="4" borderId="6" xfId="57" applyNumberFormat="1" applyFont="1" applyFill="1" applyBorder="1" applyAlignment="1" applyProtection="1">
      <alignment horizontal="right" vertical="center"/>
      <protection locked="0"/>
    </xf>
    <xf numFmtId="172" fontId="77" fillId="4" borderId="32" xfId="57" applyNumberFormat="1" applyFont="1" applyFill="1" applyBorder="1" applyAlignment="1" applyProtection="1">
      <alignment horizontal="center" vertical="center"/>
    </xf>
    <xf numFmtId="37" fontId="77" fillId="0" borderId="34" xfId="57" applyNumberFormat="1" applyFont="1" applyFill="1" applyBorder="1" applyAlignment="1" applyProtection="1">
      <alignment vertical="center"/>
    </xf>
    <xf numFmtId="37" fontId="77" fillId="4" borderId="34" xfId="57" applyNumberFormat="1" applyFont="1" applyFill="1" applyBorder="1" applyAlignment="1" applyProtection="1">
      <alignment horizontal="right" vertical="center"/>
    </xf>
    <xf numFmtId="3" fontId="77" fillId="4" borderId="43" xfId="57" applyNumberFormat="1" applyFont="1" applyFill="1" applyBorder="1" applyAlignment="1" applyProtection="1">
      <alignment horizontal="right" vertical="center"/>
      <protection locked="0"/>
    </xf>
    <xf numFmtId="10" fontId="77" fillId="4" borderId="47" xfId="61" applyNumberFormat="1" applyFont="1" applyFill="1" applyBorder="1" applyAlignment="1" applyProtection="1">
      <alignment horizontal="right" vertical="center"/>
      <protection locked="0"/>
    </xf>
    <xf numFmtId="37" fontId="77" fillId="4" borderId="44" xfId="57" applyNumberFormat="1" applyFont="1" applyFill="1" applyBorder="1" applyAlignment="1" applyProtection="1">
      <alignment horizontal="right" vertical="center"/>
      <protection locked="0"/>
    </xf>
    <xf numFmtId="172" fontId="75" fillId="4" borderId="42" xfId="57" applyNumberFormat="1" applyFont="1" applyFill="1" applyBorder="1" applyAlignment="1" applyProtection="1">
      <alignment horizontal="center" vertical="center"/>
    </xf>
    <xf numFmtId="37" fontId="75" fillId="4" borderId="0" xfId="57" applyNumberFormat="1" applyFont="1" applyFill="1" applyBorder="1" applyAlignment="1" applyProtection="1">
      <alignment vertical="center"/>
    </xf>
    <xf numFmtId="37" fontId="75" fillId="4" borderId="0" xfId="57" applyNumberFormat="1" applyFont="1" applyFill="1" applyBorder="1" applyAlignment="1" applyProtection="1">
      <alignment horizontal="center" vertical="center"/>
    </xf>
    <xf numFmtId="37" fontId="75" fillId="4" borderId="3" xfId="57" applyNumberFormat="1" applyFont="1" applyFill="1" applyBorder="1" applyAlignment="1" applyProtection="1">
      <alignment horizontal="right" vertical="center"/>
    </xf>
    <xf numFmtId="39" fontId="75" fillId="4" borderId="3" xfId="57" applyNumberFormat="1" applyFont="1" applyFill="1" applyBorder="1" applyAlignment="1" applyProtection="1">
      <alignment horizontal="right" vertical="center"/>
    </xf>
    <xf numFmtId="0" fontId="18" fillId="4" borderId="0" xfId="57" applyFont="1" applyFill="1" applyAlignment="1">
      <alignment vertical="center"/>
    </xf>
    <xf numFmtId="0" fontId="78" fillId="4" borderId="36" xfId="57" applyFont="1" applyFill="1" applyBorder="1" applyAlignment="1" applyProtection="1">
      <alignment vertical="center"/>
    </xf>
    <xf numFmtId="37" fontId="77" fillId="4" borderId="37" xfId="57" applyNumberFormat="1" applyFont="1" applyFill="1" applyBorder="1" applyAlignment="1" applyProtection="1">
      <alignment vertical="center"/>
    </xf>
    <xf numFmtId="37" fontId="77" fillId="4" borderId="37" xfId="57" applyNumberFormat="1" applyFont="1" applyFill="1" applyBorder="1" applyAlignment="1" applyProtection="1">
      <alignment horizontal="right" vertical="center"/>
    </xf>
    <xf numFmtId="37" fontId="77" fillId="4" borderId="38" xfId="59" applyNumberFormat="1" applyFont="1" applyFill="1" applyBorder="1" applyAlignment="1" applyProtection="1">
      <alignment horizontal="right" vertical="center"/>
    </xf>
    <xf numFmtId="37" fontId="77" fillId="4" borderId="69" xfId="57" applyNumberFormat="1" applyFont="1" applyFill="1" applyBorder="1" applyAlignment="1" applyProtection="1">
      <alignment horizontal="right" vertical="center"/>
    </xf>
    <xf numFmtId="10" fontId="77" fillId="4" borderId="68" xfId="61" applyNumberFormat="1" applyFont="1" applyFill="1" applyBorder="1" applyAlignment="1" applyProtection="1">
      <alignment vertical="center"/>
      <protection locked="0"/>
    </xf>
    <xf numFmtId="0" fontId="78" fillId="4" borderId="19" xfId="57" applyFont="1" applyFill="1" applyBorder="1" applyAlignment="1" applyProtection="1">
      <alignment vertical="center"/>
    </xf>
    <xf numFmtId="37" fontId="77" fillId="4" borderId="0" xfId="57" applyNumberFormat="1" applyFont="1" applyFill="1" applyBorder="1" applyAlignment="1" applyProtection="1">
      <alignment vertical="center"/>
    </xf>
    <xf numFmtId="37" fontId="77" fillId="4" borderId="0" xfId="57" applyNumberFormat="1" applyFont="1" applyFill="1" applyBorder="1" applyAlignment="1" applyProtection="1">
      <alignment horizontal="right" vertical="center"/>
    </xf>
    <xf numFmtId="10" fontId="77" fillId="4" borderId="0" xfId="61" applyNumberFormat="1" applyFont="1" applyFill="1" applyBorder="1" applyAlignment="1" applyProtection="1">
      <alignment vertical="center"/>
      <protection locked="0"/>
    </xf>
    <xf numFmtId="0" fontId="50" fillId="4" borderId="67" xfId="57" applyFont="1" applyFill="1" applyBorder="1" applyAlignment="1">
      <alignment horizontal="center"/>
    </xf>
    <xf numFmtId="0" fontId="50" fillId="0" borderId="67" xfId="57" applyFont="1" applyFill="1" applyBorder="1"/>
    <xf numFmtId="166" fontId="50" fillId="4" borderId="67" xfId="62" applyNumberFormat="1" applyFont="1" applyFill="1" applyBorder="1"/>
    <xf numFmtId="166" fontId="50" fillId="4" borderId="67" xfId="59" applyNumberFormat="1" applyFont="1" applyFill="1" applyBorder="1"/>
    <xf numFmtId="3" fontId="50" fillId="4" borderId="67" xfId="59" applyNumberFormat="1" applyFont="1" applyFill="1" applyBorder="1"/>
    <xf numFmtId="166" fontId="50" fillId="4" borderId="67" xfId="60" applyNumberFormat="1" applyFont="1" applyFill="1" applyBorder="1"/>
    <xf numFmtId="37" fontId="77" fillId="4" borderId="67" xfId="57" applyNumberFormat="1" applyFont="1" applyFill="1" applyBorder="1" applyAlignment="1" applyProtection="1">
      <alignment horizontal="right" vertical="center"/>
      <protection locked="0"/>
    </xf>
    <xf numFmtId="3" fontId="77" fillId="4" borderId="67" xfId="59" applyNumberFormat="1" applyFont="1" applyFill="1" applyBorder="1" applyAlignment="1" applyProtection="1">
      <alignment horizontal="right" vertical="center"/>
      <protection locked="0"/>
    </xf>
    <xf numFmtId="10" fontId="77" fillId="4" borderId="67" xfId="61" applyNumberFormat="1" applyFont="1" applyFill="1" applyBorder="1" applyAlignment="1" applyProtection="1">
      <alignment horizontal="right" vertical="center"/>
      <protection locked="0"/>
    </xf>
    <xf numFmtId="49" fontId="75" fillId="4" borderId="0" xfId="57" applyNumberFormat="1" applyFont="1" applyFill="1" applyBorder="1" applyAlignment="1" applyProtection="1">
      <alignment horizontal="left" vertical="center"/>
    </xf>
    <xf numFmtId="3" fontId="77" fillId="4" borderId="0" xfId="57" applyNumberFormat="1" applyFont="1" applyFill="1" applyBorder="1" applyAlignment="1" applyProtection="1">
      <alignment vertical="center"/>
      <protection locked="0"/>
    </xf>
    <xf numFmtId="0" fontId="25" fillId="4" borderId="0" xfId="59" applyFont="1" applyFill="1" applyAlignment="1">
      <alignment vertical="center" wrapText="1"/>
    </xf>
    <xf numFmtId="0" fontId="5" fillId="0" borderId="0" xfId="63"/>
    <xf numFmtId="0" fontId="77" fillId="4" borderId="0" xfId="57" applyFont="1" applyFill="1" applyAlignment="1">
      <alignment horizontal="center" vertical="center"/>
    </xf>
    <xf numFmtId="0" fontId="77" fillId="4" borderId="0" xfId="57" applyFont="1" applyFill="1" applyAlignment="1">
      <alignment vertical="center"/>
    </xf>
    <xf numFmtId="0" fontId="75" fillId="4" borderId="15" xfId="57" applyFont="1" applyFill="1" applyBorder="1" applyAlignment="1">
      <alignment vertical="center"/>
    </xf>
    <xf numFmtId="0" fontId="75" fillId="4" borderId="18" xfId="57" applyFont="1" applyFill="1" applyBorder="1" applyAlignment="1">
      <alignment horizontal="center" vertical="center"/>
    </xf>
    <xf numFmtId="0" fontId="75" fillId="4" borderId="19" xfId="57" applyFont="1" applyFill="1" applyBorder="1" applyAlignment="1">
      <alignment horizontal="centerContinuous" vertical="center"/>
    </xf>
    <xf numFmtId="37" fontId="75" fillId="4" borderId="20" xfId="57" applyNumberFormat="1" applyFont="1" applyFill="1" applyBorder="1" applyAlignment="1">
      <alignment horizontal="center" vertical="center"/>
    </xf>
    <xf numFmtId="0" fontId="75" fillId="4" borderId="20" xfId="57" applyFont="1" applyFill="1" applyBorder="1" applyAlignment="1">
      <alignment horizontal="center" vertical="center"/>
    </xf>
    <xf numFmtId="0" fontId="75" fillId="4" borderId="21" xfId="57" applyFont="1" applyFill="1" applyBorder="1" applyAlignment="1">
      <alignment horizontal="center" vertical="center"/>
    </xf>
    <xf numFmtId="0" fontId="75" fillId="4" borderId="22" xfId="57" applyFont="1" applyFill="1" applyBorder="1" applyAlignment="1">
      <alignment horizontal="centerContinuous" vertical="center"/>
    </xf>
    <xf numFmtId="0" fontId="75" fillId="4" borderId="23" xfId="57" applyFont="1" applyFill="1" applyBorder="1" applyAlignment="1">
      <alignment horizontal="center" vertical="center"/>
    </xf>
    <xf numFmtId="0" fontId="75" fillId="4" borderId="24" xfId="57" applyFont="1" applyFill="1" applyBorder="1" applyAlignment="1">
      <alignment horizontal="center" vertical="center"/>
    </xf>
    <xf numFmtId="0" fontId="75" fillId="4" borderId="20" xfId="57" applyFont="1" applyFill="1" applyBorder="1" applyAlignment="1">
      <alignment horizontal="center" vertical="top"/>
    </xf>
    <xf numFmtId="0" fontId="75" fillId="4" borderId="54" xfId="57" applyFont="1" applyFill="1" applyBorder="1" applyAlignment="1">
      <alignment horizontal="centerContinuous" vertical="center"/>
    </xf>
    <xf numFmtId="0" fontId="75" fillId="4" borderId="53" xfId="57" applyFont="1" applyFill="1" applyBorder="1" applyAlignment="1">
      <alignment horizontal="center" vertical="center"/>
    </xf>
    <xf numFmtId="0" fontId="75" fillId="4" borderId="25" xfId="57" applyFont="1" applyFill="1" applyBorder="1" applyAlignment="1">
      <alignment horizontal="center" vertical="center"/>
    </xf>
    <xf numFmtId="0" fontId="75" fillId="4" borderId="27" xfId="57" applyFont="1" applyFill="1" applyBorder="1" applyAlignment="1">
      <alignment vertical="center"/>
    </xf>
    <xf numFmtId="37" fontId="75" fillId="0" borderId="28" xfId="57" applyNumberFormat="1" applyFont="1" applyBorder="1" applyAlignment="1" applyProtection="1">
      <alignment horizontal="right" vertical="center"/>
      <protection locked="0"/>
    </xf>
    <xf numFmtId="37" fontId="75" fillId="0" borderId="28" xfId="59" applyNumberFormat="1" applyFont="1" applyBorder="1" applyAlignment="1" applyProtection="1">
      <alignment horizontal="right" vertical="center"/>
      <protection locked="0"/>
    </xf>
    <xf numFmtId="37" fontId="75" fillId="4" borderId="29" xfId="57" applyNumberFormat="1" applyFont="1" applyFill="1" applyBorder="1" applyAlignment="1">
      <alignment vertical="center"/>
    </xf>
    <xf numFmtId="37" fontId="75" fillId="4" borderId="93" xfId="57" applyNumberFormat="1" applyFont="1" applyFill="1" applyBorder="1" applyAlignment="1">
      <alignment vertical="center"/>
    </xf>
    <xf numFmtId="0" fontId="79" fillId="4" borderId="19" xfId="57" quotePrefix="1" applyFont="1" applyFill="1" applyBorder="1" applyAlignment="1">
      <alignment horizontal="left" vertical="center" indent="1"/>
    </xf>
    <xf numFmtId="37" fontId="79" fillId="0" borderId="20" xfId="57" applyNumberFormat="1" applyFont="1" applyBorder="1" applyAlignment="1">
      <alignment horizontal="left" vertical="center"/>
    </xf>
    <xf numFmtId="37" fontId="79" fillId="0" borderId="20" xfId="59" applyNumberFormat="1" applyFont="1" applyBorder="1" applyAlignment="1">
      <alignment horizontal="left" vertical="center"/>
    </xf>
    <xf numFmtId="37" fontId="79" fillId="4" borderId="20" xfId="57" applyNumberFormat="1" applyFont="1" applyFill="1" applyBorder="1" applyAlignment="1">
      <alignment horizontal="left" vertical="center"/>
    </xf>
    <xf numFmtId="37" fontId="79" fillId="4" borderId="7" xfId="57" applyNumberFormat="1" applyFont="1" applyFill="1" applyBorder="1" applyAlignment="1">
      <alignment horizontal="right" vertical="center"/>
    </xf>
    <xf numFmtId="0" fontId="75" fillId="4" borderId="19" xfId="57" applyFont="1" applyFill="1" applyBorder="1" applyAlignment="1">
      <alignment vertical="center"/>
    </xf>
    <xf numFmtId="37" fontId="75" fillId="0" borderId="0" xfId="57" applyNumberFormat="1" applyFont="1" applyAlignment="1">
      <alignment horizontal="right" vertical="center"/>
    </xf>
    <xf numFmtId="37" fontId="75" fillId="0" borderId="30" xfId="59" applyNumberFormat="1" applyFont="1" applyBorder="1" applyAlignment="1">
      <alignment horizontal="right" vertical="center"/>
    </xf>
    <xf numFmtId="37" fontId="75" fillId="4" borderId="59" xfId="57" applyNumberFormat="1" applyFont="1" applyFill="1" applyBorder="1" applyAlignment="1">
      <alignment horizontal="right" vertical="center"/>
    </xf>
    <xf numFmtId="37" fontId="75" fillId="4" borderId="7" xfId="57" applyNumberFormat="1" applyFont="1" applyFill="1" applyBorder="1" applyAlignment="1">
      <alignment vertical="center"/>
    </xf>
    <xf numFmtId="37" fontId="5" fillId="0" borderId="0" xfId="63" applyNumberFormat="1"/>
    <xf numFmtId="172" fontId="79" fillId="4" borderId="19" xfId="57" quotePrefix="1" applyNumberFormat="1" applyFont="1" applyFill="1" applyBorder="1" applyAlignment="1">
      <alignment horizontal="left" vertical="center" indent="1"/>
    </xf>
    <xf numFmtId="37" fontId="79" fillId="4" borderId="30" xfId="57" applyNumberFormat="1" applyFont="1" applyFill="1" applyBorder="1" applyAlignment="1">
      <alignment horizontal="left" vertical="center"/>
    </xf>
    <xf numFmtId="37" fontId="79" fillId="4" borderId="0" xfId="57" applyNumberFormat="1" applyFont="1" applyFill="1" applyAlignment="1" applyProtection="1">
      <alignment horizontal="left" vertical="center"/>
      <protection locked="0"/>
    </xf>
    <xf numFmtId="37" fontId="79" fillId="4" borderId="30" xfId="57" applyNumberFormat="1" applyFont="1" applyFill="1" applyBorder="1" applyAlignment="1">
      <alignment vertical="center"/>
    </xf>
    <xf numFmtId="37" fontId="79" fillId="0" borderId="20" xfId="57" quotePrefix="1" applyNumberFormat="1" applyFont="1" applyBorder="1" applyAlignment="1" applyProtection="1">
      <alignment horizontal="left" vertical="center"/>
      <protection locked="0"/>
    </xf>
    <xf numFmtId="37" fontId="79" fillId="0" borderId="20" xfId="59" quotePrefix="1" applyNumberFormat="1" applyFont="1" applyBorder="1" applyAlignment="1" applyProtection="1">
      <alignment horizontal="left" vertical="center"/>
      <protection locked="0"/>
    </xf>
    <xf numFmtId="37" fontId="79" fillId="0" borderId="30" xfId="57" applyNumberFormat="1" applyFont="1" applyBorder="1" applyAlignment="1">
      <alignment horizontal="left" vertical="center"/>
    </xf>
    <xf numFmtId="37" fontId="75" fillId="4" borderId="0" xfId="57" applyNumberFormat="1" applyFont="1" applyFill="1" applyAlignment="1" applyProtection="1">
      <alignment vertical="center"/>
      <protection locked="0"/>
    </xf>
    <xf numFmtId="0" fontId="79" fillId="4" borderId="31" xfId="57" applyFont="1" applyFill="1" applyBorder="1" applyAlignment="1">
      <alignment horizontal="left" vertical="center" indent="2"/>
    </xf>
    <xf numFmtId="37" fontId="79" fillId="0" borderId="20" xfId="57" quotePrefix="1" applyNumberFormat="1" applyFont="1" applyBorder="1" applyAlignment="1" applyProtection="1">
      <alignment horizontal="center" vertical="center"/>
      <protection locked="0"/>
    </xf>
    <xf numFmtId="37" fontId="79" fillId="0" borderId="0" xfId="57" applyNumberFormat="1" applyFont="1" applyAlignment="1" applyProtection="1">
      <alignment horizontal="center" vertical="center"/>
      <protection locked="0"/>
    </xf>
    <xf numFmtId="37" fontId="79" fillId="0" borderId="20" xfId="59" applyNumberFormat="1" applyFont="1" applyBorder="1" applyAlignment="1">
      <alignment horizontal="center" vertical="center"/>
    </xf>
    <xf numFmtId="37" fontId="79" fillId="0" borderId="20" xfId="59" quotePrefix="1" applyNumberFormat="1" applyFont="1" applyBorder="1" applyAlignment="1" applyProtection="1">
      <alignment horizontal="center" vertical="center"/>
      <protection locked="0"/>
    </xf>
    <xf numFmtId="37" fontId="79" fillId="4" borderId="20" xfId="57" applyNumberFormat="1" applyFont="1" applyFill="1" applyBorder="1" applyAlignment="1">
      <alignment horizontal="center" vertical="center"/>
    </xf>
    <xf numFmtId="37" fontId="79" fillId="0" borderId="19" xfId="57" quotePrefix="1" applyNumberFormat="1" applyFont="1" applyBorder="1" applyAlignment="1" applyProtection="1">
      <alignment horizontal="center" vertical="center"/>
      <protection locked="0"/>
    </xf>
    <xf numFmtId="37" fontId="79" fillId="0" borderId="30" xfId="57" applyNumberFormat="1" applyFont="1" applyBorder="1" applyAlignment="1" applyProtection="1">
      <alignment horizontal="center" vertical="center"/>
      <protection locked="0"/>
    </xf>
    <xf numFmtId="0" fontId="79" fillId="4" borderId="30" xfId="57" applyFont="1" applyFill="1" applyBorder="1" applyAlignment="1">
      <alignment horizontal="left" vertical="center" indent="2"/>
    </xf>
    <xf numFmtId="37" fontId="79" fillId="0" borderId="30" xfId="57" quotePrefix="1" applyNumberFormat="1" applyFont="1" applyBorder="1" applyAlignment="1" applyProtection="1">
      <alignment horizontal="center" vertical="center"/>
      <protection locked="0"/>
    </xf>
    <xf numFmtId="37" fontId="79" fillId="4" borderId="30" xfId="57" applyNumberFormat="1" applyFont="1" applyFill="1" applyBorder="1" applyAlignment="1">
      <alignment horizontal="center" vertical="center"/>
    </xf>
    <xf numFmtId="0" fontId="75" fillId="4" borderId="30" xfId="57" applyFont="1" applyFill="1" applyBorder="1" applyAlignment="1">
      <alignment vertical="center"/>
    </xf>
    <xf numFmtId="37" fontId="79" fillId="0" borderId="7" xfId="57" quotePrefix="1" applyNumberFormat="1" applyFont="1" applyBorder="1" applyAlignment="1" applyProtection="1">
      <alignment horizontal="center" vertical="center"/>
      <protection locked="0"/>
    </xf>
    <xf numFmtId="37" fontId="75" fillId="0" borderId="30" xfId="57" applyNumberFormat="1" applyFont="1" applyBorder="1" applyAlignment="1" applyProtection="1">
      <alignment vertical="center"/>
      <protection locked="0"/>
    </xf>
    <xf numFmtId="37" fontId="75" fillId="0" borderId="20" xfId="59" applyNumberFormat="1" applyFont="1" applyBorder="1" applyAlignment="1">
      <alignment horizontal="right" vertical="center"/>
    </xf>
    <xf numFmtId="37" fontId="75" fillId="0" borderId="20" xfId="59" quotePrefix="1" applyNumberFormat="1" applyFont="1" applyBorder="1" applyAlignment="1" applyProtection="1">
      <alignment horizontal="right" vertical="center"/>
      <protection locked="0"/>
    </xf>
    <xf numFmtId="37" fontId="79" fillId="4" borderId="0" xfId="57" applyNumberFormat="1" applyFont="1" applyFill="1" applyAlignment="1" applyProtection="1">
      <alignment vertical="center"/>
      <protection locked="0"/>
    </xf>
    <xf numFmtId="172" fontId="75" fillId="4" borderId="19" xfId="57" applyNumberFormat="1" applyFont="1" applyFill="1" applyBorder="1" applyAlignment="1">
      <alignment vertical="center"/>
    </xf>
    <xf numFmtId="37" fontId="75" fillId="0" borderId="20" xfId="57" applyNumberFormat="1" applyFont="1" applyBorder="1" applyAlignment="1">
      <alignment horizontal="right" vertical="center"/>
    </xf>
    <xf numFmtId="37" fontId="75" fillId="0" borderId="20" xfId="59" applyNumberFormat="1" applyFont="1" applyBorder="1" applyAlignment="1">
      <alignment vertical="center"/>
    </xf>
    <xf numFmtId="37" fontId="75" fillId="4" borderId="30" xfId="57" applyNumberFormat="1" applyFont="1" applyFill="1" applyBorder="1" applyAlignment="1">
      <alignment vertical="center"/>
    </xf>
    <xf numFmtId="37" fontId="75" fillId="4" borderId="21" xfId="57" applyNumberFormat="1" applyFont="1" applyFill="1" applyBorder="1" applyAlignment="1">
      <alignment vertical="center"/>
    </xf>
    <xf numFmtId="37" fontId="75" fillId="4" borderId="30" xfId="57" applyNumberFormat="1" applyFont="1" applyFill="1" applyBorder="1" applyAlignment="1">
      <alignment horizontal="right" vertical="center"/>
    </xf>
    <xf numFmtId="37" fontId="75" fillId="0" borderId="20" xfId="57" quotePrefix="1" applyNumberFormat="1" applyFont="1" applyBorder="1" applyAlignment="1" applyProtection="1">
      <alignment horizontal="right" vertical="center"/>
      <protection locked="0"/>
    </xf>
    <xf numFmtId="37" fontId="75" fillId="4" borderId="20" xfId="57" applyNumberFormat="1" applyFont="1" applyFill="1" applyBorder="1" applyAlignment="1">
      <alignment vertical="center"/>
    </xf>
    <xf numFmtId="37" fontId="75" fillId="4" borderId="41" xfId="57" applyNumberFormat="1" applyFont="1" applyFill="1" applyBorder="1" applyAlignment="1">
      <alignment vertical="center"/>
    </xf>
    <xf numFmtId="37" fontId="75" fillId="0" borderId="30" xfId="57" applyNumberFormat="1" applyFont="1" applyBorder="1" applyAlignment="1">
      <alignment vertical="center"/>
    </xf>
    <xf numFmtId="0" fontId="77" fillId="4" borderId="27" xfId="57" applyFont="1" applyFill="1" applyBorder="1" applyAlignment="1">
      <alignment horizontal="left" vertical="center"/>
    </xf>
    <xf numFmtId="37" fontId="77" fillId="4" borderId="28" xfId="57" applyNumberFormat="1" applyFont="1" applyFill="1" applyBorder="1" applyAlignment="1">
      <alignment vertical="center"/>
    </xf>
    <xf numFmtId="37" fontId="77" fillId="4" borderId="20" xfId="57" applyNumberFormat="1" applyFont="1" applyFill="1" applyBorder="1" applyAlignment="1">
      <alignment vertical="center"/>
    </xf>
    <xf numFmtId="10" fontId="77" fillId="4" borderId="51" xfId="57" applyNumberFormat="1" applyFont="1" applyFill="1" applyBorder="1" applyAlignment="1">
      <alignment vertical="center"/>
    </xf>
    <xf numFmtId="37" fontId="75" fillId="4" borderId="51" xfId="57" applyNumberFormat="1" applyFont="1" applyFill="1" applyBorder="1" applyAlignment="1">
      <alignment vertical="center"/>
    </xf>
    <xf numFmtId="0" fontId="75" fillId="4" borderId="1" xfId="57" applyFont="1" applyFill="1" applyBorder="1" applyAlignment="1">
      <alignment horizontal="center" vertical="center"/>
    </xf>
    <xf numFmtId="37" fontId="75" fillId="4" borderId="1" xfId="57" applyNumberFormat="1" applyFont="1" applyFill="1" applyBorder="1" applyAlignment="1">
      <alignment vertical="center"/>
    </xf>
    <xf numFmtId="0" fontId="75" fillId="4" borderId="1" xfId="57" applyFont="1" applyFill="1" applyBorder="1" applyAlignment="1">
      <alignment vertical="center"/>
    </xf>
    <xf numFmtId="0" fontId="75" fillId="4" borderId="75" xfId="57" applyFont="1" applyFill="1" applyBorder="1" applyAlignment="1">
      <alignment horizontal="center" vertical="center"/>
    </xf>
    <xf numFmtId="37" fontId="75" fillId="4" borderId="41" xfId="57" applyNumberFormat="1" applyFont="1" applyFill="1" applyBorder="1" applyAlignment="1">
      <alignment horizontal="center" vertical="center"/>
    </xf>
    <xf numFmtId="0" fontId="75" fillId="4" borderId="74" xfId="57" applyFont="1" applyFill="1" applyBorder="1" applyAlignment="1">
      <alignment horizontal="center" vertical="center"/>
    </xf>
    <xf numFmtId="0" fontId="75" fillId="4" borderId="41" xfId="57" applyFont="1" applyFill="1" applyBorder="1" applyAlignment="1">
      <alignment horizontal="center" vertical="center"/>
    </xf>
    <xf numFmtId="0" fontId="75" fillId="4" borderId="73" xfId="57" applyFont="1" applyFill="1" applyBorder="1" applyAlignment="1">
      <alignment horizontal="centerContinuous" vertical="center"/>
    </xf>
    <xf numFmtId="0" fontId="75" fillId="4" borderId="72" xfId="57" applyFont="1" applyFill="1" applyBorder="1" applyAlignment="1">
      <alignment horizontal="center" vertical="center"/>
    </xf>
    <xf numFmtId="37" fontId="75" fillId="0" borderId="71" xfId="59" applyNumberFormat="1" applyFont="1" applyBorder="1" applyAlignment="1">
      <alignment horizontal="right" vertical="center"/>
    </xf>
    <xf numFmtId="166" fontId="75" fillId="4" borderId="0" xfId="60" applyNumberFormat="1" applyFont="1" applyFill="1" applyAlignment="1">
      <alignment horizontal="right" vertical="center"/>
    </xf>
    <xf numFmtId="37" fontId="75" fillId="4" borderId="71" xfId="57" applyNumberFormat="1" applyFont="1" applyFill="1" applyBorder="1" applyAlignment="1">
      <alignment horizontal="right" vertical="center"/>
    </xf>
    <xf numFmtId="166" fontId="75" fillId="4" borderId="71" xfId="57" applyNumberFormat="1" applyFont="1" applyFill="1" applyBorder="1" applyAlignment="1">
      <alignment horizontal="centerContinuous" vertical="center"/>
    </xf>
    <xf numFmtId="0" fontId="75" fillId="4" borderId="94" xfId="57" applyFont="1" applyFill="1" applyBorder="1" applyAlignment="1">
      <alignment horizontal="center" vertical="center"/>
    </xf>
    <xf numFmtId="37" fontId="75" fillId="0" borderId="20" xfId="57" applyNumberFormat="1" applyFont="1" applyBorder="1" applyAlignment="1" applyProtection="1">
      <alignment horizontal="right" vertical="center"/>
      <protection locked="0"/>
    </xf>
    <xf numFmtId="37" fontId="75" fillId="0" borderId="19" xfId="59" applyNumberFormat="1" applyFont="1" applyBorder="1" applyAlignment="1">
      <alignment horizontal="right" vertical="center"/>
    </xf>
    <xf numFmtId="37" fontId="75" fillId="0" borderId="30" xfId="59" applyNumberFormat="1" applyFont="1" applyBorder="1" applyAlignment="1" applyProtection="1">
      <alignment horizontal="right" vertical="center"/>
      <protection locked="0"/>
    </xf>
    <xf numFmtId="166" fontId="75" fillId="4" borderId="30" xfId="60" applyNumberFormat="1" applyFont="1" applyFill="1" applyBorder="1" applyAlignment="1">
      <alignment horizontal="right" vertical="center"/>
    </xf>
    <xf numFmtId="37" fontId="75" fillId="0" borderId="21" xfId="57" applyNumberFormat="1" applyFont="1" applyBorder="1" applyAlignment="1" applyProtection="1">
      <alignment horizontal="right" vertical="center"/>
      <protection locked="0"/>
    </xf>
    <xf numFmtId="37" fontId="75" fillId="0" borderId="7" xfId="57" applyNumberFormat="1" applyFont="1" applyBorder="1" applyAlignment="1" applyProtection="1">
      <alignment horizontal="right" vertical="center"/>
      <protection locked="0"/>
    </xf>
    <xf numFmtId="37" fontId="79" fillId="0" borderId="20" xfId="57" applyNumberFormat="1" applyFont="1" applyBorder="1" applyAlignment="1" applyProtection="1">
      <alignment horizontal="left" vertical="center"/>
      <protection locked="0"/>
    </xf>
    <xf numFmtId="37" fontId="79" fillId="0" borderId="6" xfId="57" applyNumberFormat="1" applyFont="1" applyBorder="1" applyAlignment="1" applyProtection="1">
      <alignment horizontal="left" vertical="center"/>
      <protection locked="0"/>
    </xf>
    <xf numFmtId="37" fontId="79" fillId="0" borderId="19" xfId="59" applyNumberFormat="1" applyFont="1" applyBorder="1" applyAlignment="1">
      <alignment horizontal="left" vertical="center"/>
    </xf>
    <xf numFmtId="37" fontId="79" fillId="0" borderId="19" xfId="59" applyNumberFormat="1" applyFont="1" applyBorder="1" applyAlignment="1" applyProtection="1">
      <alignment horizontal="left" vertical="center"/>
      <protection locked="0"/>
    </xf>
    <xf numFmtId="37" fontId="79" fillId="0" borderId="59" xfId="59" applyNumberFormat="1" applyFont="1" applyBorder="1" applyAlignment="1">
      <alignment horizontal="left" vertical="center"/>
    </xf>
    <xf numFmtId="37" fontId="79" fillId="0" borderId="21" xfId="57" applyNumberFormat="1" applyFont="1" applyBorder="1" applyAlignment="1" applyProtection="1">
      <alignment horizontal="right" vertical="center"/>
      <protection locked="0"/>
    </xf>
    <xf numFmtId="0" fontId="75" fillId="4" borderId="30" xfId="57" applyFont="1" applyFill="1" applyBorder="1" applyAlignment="1">
      <alignment horizontal="left" vertical="center"/>
    </xf>
    <xf numFmtId="37" fontId="75" fillId="0" borderId="19" xfId="57" applyNumberFormat="1" applyFont="1" applyBorder="1" applyAlignment="1" applyProtection="1">
      <alignment horizontal="right" vertical="center"/>
      <protection locked="0"/>
    </xf>
    <xf numFmtId="37" fontId="75" fillId="0" borderId="59" xfId="59" applyNumberFormat="1" applyFont="1" applyBorder="1" applyAlignment="1" applyProtection="1">
      <alignment horizontal="right" vertical="center"/>
      <protection locked="0"/>
    </xf>
    <xf numFmtId="37" fontId="75" fillId="4" borderId="20" xfId="57" applyNumberFormat="1" applyFont="1" applyFill="1" applyBorder="1" applyAlignment="1">
      <alignment horizontal="right" vertical="center"/>
    </xf>
    <xf numFmtId="37" fontId="79" fillId="0" borderId="6" xfId="57" applyNumberFormat="1" applyFont="1" applyBorder="1" applyAlignment="1" applyProtection="1">
      <alignment horizontal="right" vertical="center"/>
      <protection locked="0"/>
    </xf>
    <xf numFmtId="37" fontId="79" fillId="4" borderId="20" xfId="57" applyNumberFormat="1" applyFont="1" applyFill="1" applyBorder="1" applyAlignment="1">
      <alignment horizontal="right" vertical="center"/>
    </xf>
    <xf numFmtId="172" fontId="77" fillId="4" borderId="32" xfId="57" applyNumberFormat="1" applyFont="1" applyFill="1" applyBorder="1" applyAlignment="1">
      <alignment horizontal="center" vertical="center"/>
    </xf>
    <xf numFmtId="37" fontId="77" fillId="0" borderId="34" xfId="57" applyNumberFormat="1" applyFont="1" applyBorder="1" applyAlignment="1">
      <alignment vertical="center"/>
    </xf>
    <xf numFmtId="37" fontId="77" fillId="4" borderId="34" xfId="57" applyNumberFormat="1" applyFont="1" applyFill="1" applyBorder="1" applyAlignment="1">
      <alignment horizontal="right" vertical="center"/>
    </xf>
    <xf numFmtId="172" fontId="75" fillId="4" borderId="42" xfId="57" applyNumberFormat="1" applyFont="1" applyFill="1" applyBorder="1" applyAlignment="1">
      <alignment horizontal="center" vertical="center"/>
    </xf>
    <xf numFmtId="37" fontId="75" fillId="4" borderId="0" xfId="57" applyNumberFormat="1" applyFont="1" applyFill="1" applyAlignment="1">
      <alignment vertical="center"/>
    </xf>
    <xf numFmtId="37" fontId="75" fillId="4" borderId="0" xfId="57" applyNumberFormat="1" applyFont="1" applyFill="1" applyAlignment="1">
      <alignment horizontal="center" vertical="center"/>
    </xf>
    <xf numFmtId="37" fontId="75" fillId="4" borderId="3" xfId="57" applyNumberFormat="1" applyFont="1" applyFill="1" applyBorder="1" applyAlignment="1">
      <alignment horizontal="right" vertical="center"/>
    </xf>
    <xf numFmtId="39" fontId="75" fillId="4" borderId="3" xfId="57" applyNumberFormat="1" applyFont="1" applyFill="1" applyBorder="1" applyAlignment="1">
      <alignment horizontal="right" vertical="center"/>
    </xf>
    <xf numFmtId="0" fontId="78" fillId="4" borderId="36" xfId="57" applyFont="1" applyFill="1" applyBorder="1" applyAlignment="1">
      <alignment vertical="center"/>
    </xf>
    <xf numFmtId="37" fontId="77" fillId="4" borderId="37" xfId="57" applyNumberFormat="1" applyFont="1" applyFill="1" applyBorder="1" applyAlignment="1">
      <alignment vertical="center"/>
    </xf>
    <xf numFmtId="37" fontId="77" fillId="4" borderId="37" xfId="57" applyNumberFormat="1" applyFont="1" applyFill="1" applyBorder="1" applyAlignment="1">
      <alignment horizontal="right" vertical="center"/>
    </xf>
    <xf numFmtId="37" fontId="77" fillId="4" borderId="38" xfId="59" applyNumberFormat="1" applyFont="1" applyFill="1" applyBorder="1" applyAlignment="1">
      <alignment horizontal="right" vertical="center"/>
    </xf>
    <xf numFmtId="37" fontId="77" fillId="4" borderId="69" xfId="57" applyNumberFormat="1" applyFont="1" applyFill="1" applyBorder="1" applyAlignment="1">
      <alignment horizontal="right" vertical="center"/>
    </xf>
    <xf numFmtId="0" fontId="78" fillId="4" borderId="19" xfId="57" applyFont="1" applyFill="1" applyBorder="1" applyAlignment="1">
      <alignment vertical="center"/>
    </xf>
    <xf numFmtId="37" fontId="77" fillId="4" borderId="0" xfId="57" applyNumberFormat="1" applyFont="1" applyFill="1" applyAlignment="1">
      <alignment vertical="center"/>
    </xf>
    <xf numFmtId="37" fontId="77" fillId="4" borderId="0" xfId="57" applyNumberFormat="1" applyFont="1" applyFill="1" applyAlignment="1">
      <alignment horizontal="right" vertical="center"/>
    </xf>
    <xf numFmtId="10" fontId="77" fillId="4" borderId="0" xfId="61" applyNumberFormat="1" applyFont="1" applyFill="1" applyAlignment="1" applyProtection="1">
      <alignment vertical="center"/>
      <protection locked="0"/>
    </xf>
    <xf numFmtId="0" fontId="50" fillId="0" borderId="67" xfId="57" applyFont="1" applyBorder="1"/>
    <xf numFmtId="49" fontId="75" fillId="4" borderId="0" xfId="57" applyNumberFormat="1" applyFont="1" applyFill="1" applyAlignment="1">
      <alignment horizontal="left" vertical="center"/>
    </xf>
    <xf numFmtId="3" fontId="77" fillId="4" borderId="0" xfId="57" applyNumberFormat="1" applyFont="1" applyFill="1" applyAlignment="1" applyProtection="1">
      <alignment vertical="center"/>
      <protection locked="0"/>
    </xf>
    <xf numFmtId="0" fontId="119" fillId="0" borderId="0" xfId="24" applyFont="1" applyAlignment="1">
      <alignment vertical="center"/>
    </xf>
    <xf numFmtId="0" fontId="32" fillId="0" borderId="0" xfId="24" applyAlignment="1">
      <alignment vertical="center"/>
    </xf>
    <xf numFmtId="0" fontId="121" fillId="0" borderId="0" xfId="24" applyFont="1"/>
    <xf numFmtId="0" fontId="121" fillId="0" borderId="0" xfId="24" applyFont="1" applyAlignment="1">
      <alignment horizontal="centerContinuous" vertical="center"/>
    </xf>
    <xf numFmtId="0" fontId="122" fillId="0" borderId="0" xfId="24" applyFont="1" applyAlignment="1">
      <alignment horizontal="center"/>
    </xf>
    <xf numFmtId="0" fontId="119" fillId="0" borderId="9" xfId="24" applyFont="1" applyBorder="1" applyAlignment="1">
      <alignment horizontal="center"/>
    </xf>
    <xf numFmtId="0" fontId="119" fillId="0" borderId="0" xfId="24" quotePrefix="1" applyFont="1" applyAlignment="1">
      <alignment horizontal="center"/>
    </xf>
    <xf numFmtId="0" fontId="105" fillId="0" borderId="0" xfId="24" applyFont="1"/>
    <xf numFmtId="0" fontId="126" fillId="0" borderId="0" xfId="24" quotePrefix="1" applyFont="1" applyAlignment="1">
      <alignment horizontal="center" vertical="top"/>
    </xf>
    <xf numFmtId="0" fontId="127" fillId="0" borderId="0" xfId="24" applyFont="1" applyAlignment="1">
      <alignment horizontal="left"/>
    </xf>
    <xf numFmtId="0" fontId="127" fillId="0" borderId="0" xfId="24" quotePrefix="1" applyFont="1"/>
    <xf numFmtId="38" fontId="127" fillId="0" borderId="0" xfId="23" quotePrefix="1" applyNumberFormat="1" applyFont="1" applyAlignment="1">
      <alignment horizontal="left"/>
    </xf>
    <xf numFmtId="38" fontId="70" fillId="0" borderId="0" xfId="23" applyNumberFormat="1" applyFont="1" applyAlignment="1">
      <alignment horizontal="left"/>
    </xf>
    <xf numFmtId="38" fontId="128" fillId="0" borderId="0" xfId="23" quotePrefix="1" applyNumberFormat="1" applyFont="1" applyAlignment="1">
      <alignment horizontal="left"/>
    </xf>
    <xf numFmtId="38" fontId="127" fillId="0" borderId="0" xfId="23" applyNumberFormat="1" applyFont="1" applyAlignment="1">
      <alignment horizontal="left"/>
    </xf>
    <xf numFmtId="0" fontId="70" fillId="0" borderId="0" xfId="24" quotePrefix="1" applyFont="1"/>
    <xf numFmtId="37" fontId="79" fillId="0" borderId="0" xfId="57" quotePrefix="1" applyNumberFormat="1" applyFont="1" applyFill="1" applyBorder="1" applyAlignment="1" applyProtection="1">
      <alignment horizontal="center" vertical="center"/>
      <protection locked="0"/>
    </xf>
    <xf numFmtId="37" fontId="79" fillId="4" borderId="0" xfId="57" applyNumberFormat="1" applyFont="1" applyFill="1" applyBorder="1" applyAlignment="1" applyProtection="1">
      <alignment horizontal="center" vertical="center"/>
    </xf>
    <xf numFmtId="3" fontId="129" fillId="0" borderId="0" xfId="0" applyNumberFormat="1" applyFont="1"/>
    <xf numFmtId="0" fontId="129" fillId="0" borderId="0" xfId="0" pivotButton="1" applyFont="1"/>
    <xf numFmtId="0" fontId="129" fillId="0" borderId="0" xfId="0" applyFont="1"/>
    <xf numFmtId="0" fontId="129" fillId="0" borderId="0" xfId="0" applyFont="1" applyAlignment="1">
      <alignment horizontal="right"/>
    </xf>
    <xf numFmtId="3" fontId="0" fillId="9" borderId="0" xfId="0" applyNumberFormat="1" applyFill="1"/>
    <xf numFmtId="3" fontId="18" fillId="0" borderId="0" xfId="0" applyNumberFormat="1" applyFont="1" applyAlignment="1">
      <alignment horizontal="centerContinuous"/>
    </xf>
    <xf numFmtId="0" fontId="77" fillId="4" borderId="0" xfId="57" applyFont="1" applyFill="1" applyAlignment="1">
      <alignment horizontal="center" vertical="center"/>
    </xf>
    <xf numFmtId="0" fontId="4" fillId="0" borderId="0" xfId="64"/>
    <xf numFmtId="37" fontId="79" fillId="4" borderId="20" xfId="57" applyNumberFormat="1" applyFont="1" applyFill="1" applyBorder="1" applyAlignment="1" applyProtection="1">
      <alignment horizontal="left" vertical="center"/>
      <protection locked="0"/>
    </xf>
    <xf numFmtId="0" fontId="75" fillId="4" borderId="95" xfId="57" applyFont="1" applyFill="1" applyBorder="1" applyAlignment="1">
      <alignment horizontal="center" vertical="center"/>
    </xf>
    <xf numFmtId="166" fontId="75" fillId="4" borderId="20" xfId="57" applyNumberFormat="1" applyFont="1" applyFill="1" applyBorder="1" applyAlignment="1">
      <alignment horizontal="centerContinuous" vertical="center"/>
    </xf>
    <xf numFmtId="0" fontId="67" fillId="0" borderId="0" xfId="0" applyFont="1"/>
    <xf numFmtId="0" fontId="130" fillId="0" borderId="0" xfId="0" applyFont="1"/>
    <xf numFmtId="0" fontId="50" fillId="0" borderId="0" xfId="0" applyFont="1" applyAlignment="1">
      <alignment horizontal="centerContinuous" wrapText="1"/>
    </xf>
    <xf numFmtId="0" fontId="131" fillId="0" borderId="0" xfId="0" applyFont="1" applyAlignment="1">
      <alignment horizontal="centerContinuous" wrapText="1"/>
    </xf>
    <xf numFmtId="3" fontId="0" fillId="0" borderId="0" xfId="0" applyNumberFormat="1" applyFont="1"/>
    <xf numFmtId="0" fontId="77" fillId="4" borderId="0" xfId="57" applyFont="1" applyFill="1" applyAlignment="1">
      <alignment horizontal="center" vertical="center"/>
    </xf>
    <xf numFmtId="0" fontId="3" fillId="0" borderId="0" xfId="65"/>
    <xf numFmtId="37" fontId="75" fillId="4" borderId="30" xfId="57" applyNumberFormat="1" applyFont="1" applyFill="1" applyBorder="1" applyAlignment="1" applyProtection="1">
      <alignment horizontal="center" vertical="center"/>
      <protection locked="0"/>
    </xf>
    <xf numFmtId="37" fontId="75" fillId="0" borderId="7" xfId="57" quotePrefix="1" applyNumberFormat="1" applyFont="1" applyBorder="1" applyAlignment="1" applyProtection="1">
      <alignment horizontal="center" vertical="center"/>
      <protection locked="0"/>
    </xf>
    <xf numFmtId="0" fontId="18" fillId="0" borderId="0" xfId="0" applyFont="1" applyAlignment="1">
      <alignment horizontal="centerContinuous" wrapText="1"/>
    </xf>
    <xf numFmtId="0" fontId="0" fillId="9" borderId="0" xfId="0" applyFill="1"/>
    <xf numFmtId="0" fontId="77" fillId="4" borderId="0" xfId="57" applyFont="1" applyFill="1" applyAlignment="1">
      <alignment horizontal="center" vertical="center"/>
    </xf>
    <xf numFmtId="0" fontId="75" fillId="4" borderId="30" xfId="57" applyFont="1" applyFill="1" applyBorder="1" applyAlignment="1">
      <alignment horizontal="left" vertical="center" indent="1"/>
    </xf>
    <xf numFmtId="0" fontId="2" fillId="0" borderId="0" xfId="66"/>
    <xf numFmtId="37" fontId="75" fillId="0" borderId="30" xfId="57" applyNumberFormat="1" applyFont="1" applyBorder="1" applyAlignment="1" applyProtection="1">
      <alignment horizontal="right" vertical="center"/>
      <protection locked="0"/>
    </xf>
    <xf numFmtId="37" fontId="75" fillId="0" borderId="7" xfId="57" quotePrefix="1" applyNumberFormat="1" applyFont="1" applyBorder="1" applyAlignment="1" applyProtection="1">
      <alignment horizontal="right" vertical="center"/>
      <protection locked="0"/>
    </xf>
    <xf numFmtId="3" fontId="98" fillId="0" borderId="67" xfId="66" applyNumberFormat="1" applyFont="1" applyBorder="1" applyAlignment="1">
      <alignment horizontal="right" vertical="center"/>
    </xf>
    <xf numFmtId="166" fontId="50" fillId="0" borderId="67" xfId="59" applyNumberFormat="1" applyFont="1" applyBorder="1"/>
    <xf numFmtId="166" fontId="50" fillId="0" borderId="67" xfId="62" applyNumberFormat="1" applyFont="1" applyFill="1" applyBorder="1"/>
    <xf numFmtId="37" fontId="50" fillId="4" borderId="0" xfId="57" applyNumberFormat="1" applyFont="1" applyFill="1" applyAlignment="1">
      <alignment vertical="center"/>
    </xf>
    <xf numFmtId="37" fontId="77" fillId="0" borderId="44" xfId="57" applyNumberFormat="1" applyFont="1" applyBorder="1" applyAlignment="1" applyProtection="1">
      <alignment horizontal="right" vertical="center"/>
      <protection locked="0"/>
    </xf>
    <xf numFmtId="0" fontId="19" fillId="4" borderId="0" xfId="57" applyFont="1" applyFill="1" applyAlignment="1">
      <alignment vertical="center"/>
    </xf>
    <xf numFmtId="3" fontId="95" fillId="0" borderId="59" xfId="66" applyNumberFormat="1" applyFont="1" applyBorder="1" applyAlignment="1">
      <alignment horizontal="right" vertical="center"/>
    </xf>
    <xf numFmtId="0" fontId="79" fillId="4" borderId="0" xfId="57" applyFont="1" applyFill="1" applyAlignment="1">
      <alignment vertical="center"/>
    </xf>
    <xf numFmtId="37" fontId="79" fillId="0" borderId="7" xfId="59" applyNumberFormat="1" applyFont="1" applyBorder="1" applyAlignment="1">
      <alignment horizontal="left" vertical="center"/>
    </xf>
    <xf numFmtId="0" fontId="132" fillId="0" borderId="30" xfId="66" applyFont="1" applyBorder="1" applyAlignment="1">
      <alignment horizontal="left" vertical="center"/>
    </xf>
    <xf numFmtId="3" fontId="132" fillId="0" borderId="30" xfId="66" applyNumberFormat="1" applyFont="1" applyBorder="1" applyAlignment="1">
      <alignment horizontal="left" vertical="center"/>
    </xf>
    <xf numFmtId="0" fontId="75" fillId="4" borderId="0" xfId="57" applyFont="1" applyFill="1" applyAlignment="1">
      <alignment vertical="center"/>
    </xf>
    <xf numFmtId="166" fontId="75" fillId="4" borderId="7" xfId="60" applyNumberFormat="1" applyFont="1" applyFill="1" applyBorder="1" applyAlignment="1" applyProtection="1">
      <alignment horizontal="right" vertical="center"/>
    </xf>
    <xf numFmtId="0" fontId="75" fillId="4" borderId="71" xfId="57" applyFont="1" applyFill="1" applyBorder="1" applyAlignment="1">
      <alignment horizontal="center" vertical="center"/>
    </xf>
    <xf numFmtId="3" fontId="95" fillId="0" borderId="79" xfId="66" applyNumberFormat="1" applyFont="1" applyBorder="1" applyAlignment="1">
      <alignment horizontal="right" vertical="center"/>
    </xf>
    <xf numFmtId="0" fontId="75" fillId="0" borderId="0" xfId="57" applyFont="1" applyAlignment="1">
      <alignment horizontal="center" vertical="center"/>
    </xf>
    <xf numFmtId="0" fontId="75" fillId="0" borderId="41" xfId="57" applyFont="1" applyBorder="1" applyAlignment="1">
      <alignment horizontal="center" vertical="center"/>
    </xf>
    <xf numFmtId="0" fontId="75" fillId="0" borderId="74" xfId="57" applyFont="1" applyBorder="1" applyAlignment="1">
      <alignment horizontal="center" vertical="center"/>
    </xf>
    <xf numFmtId="37" fontId="75" fillId="0" borderId="41" xfId="57" applyNumberFormat="1" applyFont="1" applyBorder="1" applyAlignment="1">
      <alignment horizontal="center" vertical="center"/>
    </xf>
    <xf numFmtId="37" fontId="75" fillId="0" borderId="20" xfId="57" applyNumberFormat="1" applyFont="1" applyBorder="1" applyAlignment="1">
      <alignment horizontal="center" vertical="center"/>
    </xf>
    <xf numFmtId="0" fontId="75" fillId="4" borderId="75" xfId="57" applyFont="1" applyFill="1" applyBorder="1" applyAlignment="1">
      <alignment vertical="center"/>
    </xf>
    <xf numFmtId="0" fontId="18" fillId="0" borderId="14" xfId="57" applyFont="1" applyBorder="1" applyAlignment="1">
      <alignment vertical="center"/>
    </xf>
    <xf numFmtId="37" fontId="75" fillId="0" borderId="1" xfId="57" applyNumberFormat="1" applyFont="1" applyBorder="1" applyAlignment="1">
      <alignment vertical="center"/>
    </xf>
    <xf numFmtId="37" fontId="77" fillId="0" borderId="28" xfId="57" applyNumberFormat="1" applyFont="1" applyBorder="1" applyAlignment="1">
      <alignment vertical="center"/>
    </xf>
    <xf numFmtId="37" fontId="79" fillId="0" borderId="20" xfId="59" quotePrefix="1" applyNumberFormat="1" applyFont="1" applyBorder="1" applyAlignment="1" applyProtection="1">
      <alignment horizontal="right" vertical="center"/>
      <protection locked="0"/>
    </xf>
    <xf numFmtId="37" fontId="75" fillId="0" borderId="41" xfId="57" applyNumberFormat="1" applyFont="1" applyBorder="1" applyAlignment="1">
      <alignment horizontal="right" vertical="center"/>
    </xf>
    <xf numFmtId="37" fontId="75" fillId="0" borderId="20" xfId="57" quotePrefix="1" applyNumberFormat="1" applyFont="1" applyBorder="1" applyAlignment="1" applyProtection="1">
      <alignment horizontal="center" vertical="center"/>
      <protection locked="0"/>
    </xf>
    <xf numFmtId="10" fontId="79" fillId="4" borderId="30" xfId="57" applyNumberFormat="1" applyFont="1" applyFill="1" applyBorder="1" applyAlignment="1" applyProtection="1">
      <alignment horizontal="center" vertical="center"/>
      <protection locked="0"/>
    </xf>
    <xf numFmtId="37" fontId="79" fillId="0" borderId="31" xfId="57" applyNumberFormat="1" applyFont="1" applyBorder="1" applyAlignment="1" applyProtection="1">
      <alignment horizontal="center" vertical="center"/>
      <protection locked="0"/>
    </xf>
    <xf numFmtId="10" fontId="75" fillId="4" borderId="30" xfId="57" applyNumberFormat="1" applyFont="1" applyFill="1" applyBorder="1" applyAlignment="1" applyProtection="1">
      <alignment horizontal="left" vertical="center"/>
      <protection locked="0"/>
    </xf>
    <xf numFmtId="37" fontId="75" fillId="4" borderId="0" xfId="57" applyNumberFormat="1" applyFont="1" applyFill="1" applyAlignment="1" applyProtection="1">
      <alignment horizontal="left" vertical="center"/>
      <protection locked="0"/>
    </xf>
    <xf numFmtId="37" fontId="75" fillId="0" borderId="28" xfId="57" quotePrefix="1" applyNumberFormat="1" applyFont="1" applyBorder="1" applyAlignment="1" applyProtection="1">
      <alignment horizontal="center" vertical="center"/>
      <protection locked="0"/>
    </xf>
    <xf numFmtId="0" fontId="18" fillId="0" borderId="0" xfId="0" applyFont="1" applyFill="1"/>
    <xf numFmtId="0" fontId="131" fillId="0" borderId="0" xfId="0" applyFont="1" applyAlignment="1">
      <alignment horizontal="centerContinuous"/>
    </xf>
    <xf numFmtId="0" fontId="67" fillId="0" borderId="0" xfId="0" applyFont="1" applyAlignment="1">
      <alignment horizontal="centerContinuous" wrapText="1"/>
    </xf>
    <xf numFmtId="0" fontId="50" fillId="0" borderId="0" xfId="0" applyFont="1" applyAlignment="1">
      <alignment horizontal="centerContinuous"/>
    </xf>
    <xf numFmtId="18" fontId="18" fillId="0" borderId="0" xfId="0" applyNumberFormat="1" applyFont="1" applyAlignment="1">
      <alignment horizontal="centerContinuous" wrapText="1"/>
    </xf>
    <xf numFmtId="0" fontId="18" fillId="0" borderId="0" xfId="0" applyFont="1" applyAlignment="1">
      <alignment horizontal="right" wrapText="1"/>
    </xf>
    <xf numFmtId="3" fontId="18" fillId="0" borderId="0" xfId="0" applyNumberFormat="1" applyFont="1" applyFill="1"/>
    <xf numFmtId="37" fontId="75" fillId="0" borderId="28" xfId="57" quotePrefix="1" applyNumberFormat="1" applyFont="1" applyBorder="1" applyAlignment="1" applyProtection="1">
      <alignment horizontal="right" vertical="center"/>
      <protection locked="0"/>
    </xf>
    <xf numFmtId="37" fontId="79" fillId="0" borderId="20" xfId="57" quotePrefix="1" applyNumberFormat="1" applyFont="1" applyBorder="1" applyAlignment="1" applyProtection="1">
      <alignment horizontal="right" vertical="center"/>
      <protection locked="0"/>
    </xf>
    <xf numFmtId="37" fontId="79" fillId="0" borderId="20" xfId="57" applyNumberFormat="1" applyFont="1" applyBorder="1" applyAlignment="1">
      <alignment horizontal="right" vertical="center"/>
    </xf>
    <xf numFmtId="37" fontId="79" fillId="0" borderId="20" xfId="59" applyNumberFormat="1" applyFont="1" applyBorder="1" applyAlignment="1">
      <alignment horizontal="right" vertical="center"/>
    </xf>
    <xf numFmtId="37" fontId="79" fillId="4" borderId="30" xfId="57" applyNumberFormat="1" applyFont="1" applyFill="1" applyBorder="1" applyAlignment="1">
      <alignment horizontal="right" vertical="center"/>
    </xf>
    <xf numFmtId="37" fontId="79" fillId="4" borderId="20" xfId="57" quotePrefix="1" applyNumberFormat="1" applyFont="1" applyFill="1" applyBorder="1" applyAlignment="1" applyProtection="1">
      <alignment horizontal="right" vertical="center"/>
      <protection locked="0"/>
    </xf>
    <xf numFmtId="37" fontId="79" fillId="0" borderId="0" xfId="57" applyNumberFormat="1" applyFont="1" applyAlignment="1" applyProtection="1">
      <alignment horizontal="right" vertical="center"/>
      <protection locked="0"/>
    </xf>
    <xf numFmtId="37" fontId="79" fillId="4" borderId="59" xfId="57" applyNumberFormat="1" applyFont="1" applyFill="1" applyBorder="1" applyAlignment="1" applyProtection="1">
      <alignment horizontal="right" vertical="center"/>
      <protection locked="0"/>
    </xf>
    <xf numFmtId="37" fontId="79" fillId="0" borderId="19" xfId="57" quotePrefix="1" applyNumberFormat="1" applyFont="1" applyBorder="1" applyAlignment="1" applyProtection="1">
      <alignment horizontal="right" vertical="center"/>
      <protection locked="0"/>
    </xf>
    <xf numFmtId="37" fontId="79" fillId="0" borderId="30" xfId="57" applyNumberFormat="1" applyFont="1" applyBorder="1" applyAlignment="1" applyProtection="1">
      <alignment horizontal="right" vertical="center"/>
      <protection locked="0"/>
    </xf>
    <xf numFmtId="37" fontId="79" fillId="0" borderId="30" xfId="57" quotePrefix="1" applyNumberFormat="1" applyFont="1" applyBorder="1" applyAlignment="1" applyProtection="1">
      <alignment horizontal="right" vertical="center"/>
      <protection locked="0"/>
    </xf>
    <xf numFmtId="37" fontId="75" fillId="0" borderId="30" xfId="57" quotePrefix="1" applyNumberFormat="1" applyFont="1" applyBorder="1" applyAlignment="1" applyProtection="1">
      <alignment horizontal="right" vertical="center"/>
      <protection locked="0"/>
    </xf>
    <xf numFmtId="37" fontId="77" fillId="0" borderId="28" xfId="57" applyNumberFormat="1" applyFont="1" applyBorder="1" applyAlignment="1">
      <alignment horizontal="right" vertical="center"/>
    </xf>
    <xf numFmtId="37" fontId="77" fillId="4" borderId="28" xfId="57" applyNumberFormat="1" applyFont="1" applyFill="1" applyBorder="1" applyAlignment="1">
      <alignment horizontal="right" vertical="center"/>
    </xf>
    <xf numFmtId="37" fontId="75" fillId="0" borderId="20" xfId="57" applyNumberFormat="1" applyFont="1" applyBorder="1" applyAlignment="1">
      <alignment vertical="center"/>
    </xf>
    <xf numFmtId="37" fontId="75" fillId="0" borderId="0" xfId="57" applyNumberFormat="1" applyFont="1" applyAlignment="1">
      <alignment vertical="center"/>
    </xf>
    <xf numFmtId="37" fontId="75" fillId="0" borderId="19" xfId="59" applyNumberFormat="1" applyFont="1" applyBorder="1" applyAlignment="1">
      <alignment vertical="center"/>
    </xf>
    <xf numFmtId="3" fontId="95" fillId="0" borderId="79" xfId="67" applyNumberFormat="1" applyFont="1" applyBorder="1" applyAlignment="1">
      <alignment vertical="center"/>
    </xf>
    <xf numFmtId="166" fontId="75" fillId="4" borderId="93" xfId="60" applyNumberFormat="1" applyFont="1" applyFill="1" applyBorder="1" applyAlignment="1" applyProtection="1">
      <alignment vertical="center"/>
    </xf>
    <xf numFmtId="37" fontId="75" fillId="0" borderId="20" xfId="57" applyNumberFormat="1" applyFont="1" applyBorder="1" applyAlignment="1" applyProtection="1">
      <alignment vertical="center"/>
      <protection locked="0"/>
    </xf>
    <xf numFmtId="37" fontId="75" fillId="0" borderId="30" xfId="59" applyNumberFormat="1" applyFont="1" applyBorder="1" applyAlignment="1" applyProtection="1">
      <alignment vertical="center"/>
      <protection locked="0"/>
    </xf>
    <xf numFmtId="166" fontId="75" fillId="4" borderId="7" xfId="60" applyNumberFormat="1" applyFont="1" applyFill="1" applyBorder="1" applyAlignment="1" applyProtection="1">
      <alignment vertical="center"/>
    </xf>
    <xf numFmtId="37" fontId="79" fillId="0" borderId="20" xfId="57" applyNumberFormat="1" applyFont="1" applyBorder="1" applyAlignment="1" applyProtection="1">
      <alignment vertical="center"/>
      <protection locked="0"/>
    </xf>
    <xf numFmtId="37" fontId="79" fillId="0" borderId="6" xfId="57" applyNumberFormat="1" applyFont="1" applyBorder="1" applyAlignment="1" applyProtection="1">
      <alignment vertical="center"/>
      <protection locked="0"/>
    </xf>
    <xf numFmtId="37" fontId="79" fillId="0" borderId="19" xfId="59" applyNumberFormat="1" applyFont="1" applyBorder="1" applyAlignment="1">
      <alignment vertical="center"/>
    </xf>
    <xf numFmtId="3" fontId="132" fillId="0" borderId="30" xfId="67" applyNumberFormat="1" applyFont="1" applyBorder="1" applyAlignment="1">
      <alignment vertical="center"/>
    </xf>
    <xf numFmtId="37" fontId="79" fillId="0" borderId="7" xfId="59" applyNumberFormat="1" applyFont="1" applyBorder="1" applyAlignment="1">
      <alignment vertical="center"/>
    </xf>
    <xf numFmtId="0" fontId="132" fillId="0" borderId="30" xfId="67" applyFont="1" applyBorder="1" applyAlignment="1">
      <alignment vertical="center"/>
    </xf>
    <xf numFmtId="37" fontId="75" fillId="0" borderId="19" xfId="57" applyNumberFormat="1" applyFont="1" applyBorder="1" applyAlignment="1" applyProtection="1">
      <alignment vertical="center"/>
      <protection locked="0"/>
    </xf>
    <xf numFmtId="3" fontId="95" fillId="0" borderId="59" xfId="67" applyNumberFormat="1" applyFont="1" applyBorder="1" applyAlignment="1">
      <alignment vertical="center"/>
    </xf>
    <xf numFmtId="166" fontId="75" fillId="4" borderId="30" xfId="60" applyNumberFormat="1" applyFont="1" applyFill="1" applyBorder="1" applyAlignment="1" applyProtection="1">
      <alignment vertical="center"/>
    </xf>
    <xf numFmtId="37" fontId="75" fillId="0" borderId="20" xfId="57" quotePrefix="1" applyNumberFormat="1" applyFont="1" applyBorder="1" applyAlignment="1" applyProtection="1">
      <alignment vertical="center"/>
      <protection locked="0"/>
    </xf>
    <xf numFmtId="37" fontId="75" fillId="0" borderId="20" xfId="59" quotePrefix="1" applyNumberFormat="1" applyFont="1" applyBorder="1" applyAlignment="1" applyProtection="1">
      <alignment vertical="center"/>
      <protection locked="0"/>
    </xf>
    <xf numFmtId="37" fontId="75" fillId="4" borderId="20" xfId="57" quotePrefix="1" applyNumberFormat="1" applyFont="1" applyFill="1" applyBorder="1" applyAlignment="1" applyProtection="1">
      <alignment vertical="center"/>
      <protection locked="0"/>
    </xf>
    <xf numFmtId="37" fontId="79" fillId="0" borderId="20" xfId="57" quotePrefix="1" applyNumberFormat="1" applyFont="1" applyBorder="1" applyAlignment="1" applyProtection="1">
      <alignment vertical="center"/>
      <protection locked="0"/>
    </xf>
    <xf numFmtId="37" fontId="79" fillId="0" borderId="20" xfId="59" applyNumberFormat="1" applyFont="1" applyBorder="1" applyAlignment="1">
      <alignment vertical="center"/>
    </xf>
    <xf numFmtId="37" fontId="79" fillId="0" borderId="20" xfId="59" quotePrefix="1" applyNumberFormat="1" applyFont="1" applyBorder="1" applyAlignment="1" applyProtection="1">
      <alignment vertical="center"/>
      <protection locked="0"/>
    </xf>
    <xf numFmtId="37" fontId="79" fillId="0" borderId="20" xfId="57" applyNumberFormat="1" applyFont="1" applyBorder="1" applyAlignment="1">
      <alignment vertical="center"/>
    </xf>
    <xf numFmtId="37" fontId="79" fillId="4" borderId="46" xfId="57" applyNumberFormat="1" applyFont="1" applyFill="1" applyBorder="1" applyAlignment="1" applyProtection="1">
      <alignment vertical="center"/>
      <protection locked="0"/>
    </xf>
    <xf numFmtId="3" fontId="98" fillId="0" borderId="67" xfId="67" applyNumberFormat="1" applyFont="1" applyBorder="1" applyAlignment="1">
      <alignment horizontal="right" vertical="center"/>
    </xf>
    <xf numFmtId="3" fontId="24" fillId="0" borderId="1" xfId="0" applyNumberFormat="1" applyFont="1" applyBorder="1"/>
    <xf numFmtId="3" fontId="24" fillId="0" borderId="2" xfId="0" applyNumberFormat="1" applyFont="1" applyBorder="1"/>
    <xf numFmtId="3" fontId="24" fillId="0" borderId="0" xfId="0" applyNumberFormat="1" applyFont="1"/>
    <xf numFmtId="37" fontId="79" fillId="9" borderId="20" xfId="59" applyNumberFormat="1" applyFont="1" applyFill="1" applyBorder="1" applyAlignment="1">
      <alignment horizontal="left" vertical="center"/>
    </xf>
    <xf numFmtId="37" fontId="75" fillId="11" borderId="28" xfId="59" applyNumberFormat="1" applyFont="1" applyFill="1" applyBorder="1" applyAlignment="1" applyProtection="1">
      <alignment horizontal="right" vertical="center"/>
      <protection locked="0"/>
    </xf>
    <xf numFmtId="37" fontId="75" fillId="11" borderId="28" xfId="57" applyNumberFormat="1" applyFont="1" applyFill="1" applyBorder="1" applyAlignment="1" applyProtection="1">
      <alignment horizontal="right" vertical="center"/>
      <protection locked="0"/>
    </xf>
    <xf numFmtId="37" fontId="79" fillId="11" borderId="20" xfId="57" applyNumberFormat="1" applyFont="1" applyFill="1" applyBorder="1" applyAlignment="1">
      <alignment horizontal="left" vertical="center"/>
    </xf>
    <xf numFmtId="0" fontId="77" fillId="9" borderId="0" xfId="57" applyFont="1" applyFill="1" applyAlignment="1">
      <alignment vertical="center"/>
    </xf>
    <xf numFmtId="3" fontId="134" fillId="0" borderId="0" xfId="0" applyNumberFormat="1" applyFont="1"/>
    <xf numFmtId="0" fontId="77" fillId="4" borderId="0" xfId="57" applyFont="1" applyFill="1" applyAlignment="1">
      <alignment horizontal="center" vertical="center"/>
    </xf>
    <xf numFmtId="0" fontId="47" fillId="7" borderId="0" xfId="20" applyFont="1" applyFill="1" applyAlignment="1">
      <alignment horizontal="right" vertical="top" wrapText="1"/>
    </xf>
    <xf numFmtId="0" fontId="45" fillId="0" borderId="0" xfId="20" applyFont="1" applyAlignment="1">
      <alignment horizontal="center"/>
    </xf>
    <xf numFmtId="0" fontId="47" fillId="0" borderId="6" xfId="20" applyFont="1" applyBorder="1" applyAlignment="1">
      <alignment horizontal="center" wrapText="1"/>
    </xf>
    <xf numFmtId="0" fontId="47" fillId="0" borderId="7" xfId="20" applyFont="1" applyBorder="1" applyAlignment="1">
      <alignment horizontal="center" wrapText="1"/>
    </xf>
    <xf numFmtId="0" fontId="16" fillId="0" borderId="0" xfId="20" applyAlignment="1">
      <alignment horizontal="center"/>
    </xf>
    <xf numFmtId="0" fontId="47" fillId="0" borderId="0" xfId="20" applyFont="1" applyAlignment="1">
      <alignment horizontal="center"/>
    </xf>
    <xf numFmtId="0" fontId="47" fillId="7" borderId="0" xfId="20" applyFont="1" applyFill="1" applyAlignment="1">
      <alignment horizontal="center" vertical="top" wrapText="1"/>
    </xf>
    <xf numFmtId="0" fontId="49" fillId="7" borderId="0" xfId="20" applyFont="1" applyFill="1" applyAlignment="1">
      <alignment vertical="top" wrapText="1"/>
    </xf>
    <xf numFmtId="0" fontId="47" fillId="0" borderId="0" xfId="20" applyFont="1" applyBorder="1" applyAlignment="1">
      <alignment horizontal="right" vertical="top" wrapText="1"/>
    </xf>
    <xf numFmtId="0" fontId="47" fillId="2" borderId="0" xfId="20" applyFont="1" applyFill="1" applyAlignment="1">
      <alignment horizontal="right" vertical="top" wrapText="1"/>
    </xf>
    <xf numFmtId="0" fontId="49" fillId="0" borderId="0" xfId="20" applyFont="1" applyBorder="1" applyAlignment="1">
      <alignment horizontal="right" vertical="top" wrapText="1"/>
    </xf>
    <xf numFmtId="0" fontId="47" fillId="2" borderId="0" xfId="20" applyFont="1" applyFill="1" applyAlignment="1">
      <alignment horizontal="center" vertical="top"/>
    </xf>
    <xf numFmtId="0" fontId="47" fillId="2" borderId="8" xfId="20" applyFont="1" applyFill="1" applyBorder="1" applyAlignment="1">
      <alignment horizontal="center" vertical="top"/>
    </xf>
    <xf numFmtId="0" fontId="47" fillId="2" borderId="12" xfId="20" applyFont="1" applyFill="1" applyBorder="1" applyAlignment="1">
      <alignment horizontal="center" vertical="top"/>
    </xf>
    <xf numFmtId="0" fontId="47" fillId="2" borderId="0" xfId="20" applyFont="1" applyFill="1" applyBorder="1" applyAlignment="1">
      <alignment horizontal="center" vertical="top"/>
    </xf>
    <xf numFmtId="0" fontId="47" fillId="2" borderId="12" xfId="20" applyFont="1" applyFill="1" applyBorder="1" applyAlignment="1">
      <alignment horizontal="center" vertical="top" wrapText="1"/>
    </xf>
    <xf numFmtId="0" fontId="47" fillId="2" borderId="0" xfId="20" applyFont="1" applyFill="1" applyAlignment="1">
      <alignment horizontal="center" vertical="top" wrapText="1"/>
    </xf>
    <xf numFmtId="0" fontId="49" fillId="2" borderId="0" xfId="20" applyFont="1" applyFill="1" applyAlignment="1">
      <alignment vertical="top" wrapText="1"/>
    </xf>
    <xf numFmtId="0" fontId="49" fillId="2" borderId="0" xfId="20" applyFont="1" applyFill="1" applyAlignment="1">
      <alignment horizontal="right" vertical="top"/>
    </xf>
    <xf numFmtId="0" fontId="49" fillId="2" borderId="8" xfId="20" applyFont="1" applyFill="1" applyBorder="1" applyAlignment="1">
      <alignment horizontal="right" vertical="top"/>
    </xf>
    <xf numFmtId="3" fontId="49" fillId="2" borderId="12" xfId="20" applyNumberFormat="1" applyFont="1" applyFill="1" applyBorder="1" applyAlignment="1">
      <alignment horizontal="right" vertical="top"/>
    </xf>
    <xf numFmtId="0" fontId="47" fillId="7" borderId="0" xfId="20" applyFont="1" applyFill="1" applyAlignment="1">
      <alignment horizontal="center" vertical="top"/>
    </xf>
    <xf numFmtId="0" fontId="47" fillId="7" borderId="8" xfId="20" applyFont="1" applyFill="1" applyBorder="1" applyAlignment="1">
      <alignment horizontal="center" vertical="top"/>
    </xf>
    <xf numFmtId="0" fontId="47" fillId="7" borderId="12" xfId="20" applyFont="1" applyFill="1" applyBorder="1" applyAlignment="1">
      <alignment horizontal="center" vertical="top"/>
    </xf>
    <xf numFmtId="0" fontId="47" fillId="0" borderId="0" xfId="20" applyFont="1" applyBorder="1" applyAlignment="1">
      <alignment horizontal="right" vertical="top"/>
    </xf>
    <xf numFmtId="0" fontId="47" fillId="7" borderId="12" xfId="20" applyFont="1" applyFill="1" applyBorder="1" applyAlignment="1">
      <alignment horizontal="center" vertical="top" wrapText="1"/>
    </xf>
    <xf numFmtId="6" fontId="47" fillId="0" borderId="0" xfId="20" applyNumberFormat="1" applyFont="1" applyBorder="1" applyAlignment="1">
      <alignment horizontal="right" vertical="top"/>
    </xf>
    <xf numFmtId="3" fontId="47" fillId="0" borderId="0" xfId="20" applyNumberFormat="1" applyFont="1" applyBorder="1" applyAlignment="1">
      <alignment horizontal="right" vertical="top"/>
    </xf>
    <xf numFmtId="0" fontId="47" fillId="4" borderId="0" xfId="20" applyFont="1" applyFill="1" applyBorder="1" applyAlignment="1">
      <alignment horizontal="center" vertical="top" wrapText="1"/>
    </xf>
    <xf numFmtId="3" fontId="49" fillId="2" borderId="0" xfId="20" applyNumberFormat="1" applyFont="1" applyFill="1" applyAlignment="1">
      <alignment horizontal="right" vertical="top"/>
    </xf>
    <xf numFmtId="3" fontId="49" fillId="0" borderId="12" xfId="20" applyNumberFormat="1" applyFont="1" applyBorder="1" applyAlignment="1">
      <alignment horizontal="right" vertical="top"/>
    </xf>
    <xf numFmtId="0" fontId="50" fillId="0" borderId="13" xfId="24" applyFont="1" applyBorder="1" applyAlignment="1">
      <alignment horizontal="center" vertical="center"/>
    </xf>
    <xf numFmtId="0" fontId="50" fillId="0" borderId="39" xfId="24" applyFont="1" applyBorder="1" applyAlignment="1">
      <alignment horizontal="center" vertical="center"/>
    </xf>
    <xf numFmtId="0" fontId="50" fillId="0" borderId="14" xfId="24" applyFont="1" applyBorder="1" applyAlignment="1">
      <alignment horizontal="center" vertical="center"/>
    </xf>
    <xf numFmtId="0" fontId="70" fillId="0" borderId="0" xfId="24" applyFont="1" applyFill="1" applyAlignment="1">
      <alignment horizontal="left" wrapText="1"/>
    </xf>
    <xf numFmtId="37" fontId="50" fillId="0" borderId="13" xfId="24" applyNumberFormat="1" applyFont="1" applyBorder="1" applyAlignment="1" applyProtection="1">
      <alignment horizontal="center" vertical="center"/>
    </xf>
    <xf numFmtId="37" fontId="50" fillId="0" borderId="39" xfId="24" applyNumberFormat="1" applyFont="1" applyBorder="1" applyAlignment="1" applyProtection="1">
      <alignment horizontal="center" vertical="center"/>
    </xf>
    <xf numFmtId="37" fontId="50" fillId="0" borderId="14" xfId="24" applyNumberFormat="1" applyFont="1" applyBorder="1" applyAlignment="1" applyProtection="1">
      <alignment horizontal="center" vertical="center"/>
    </xf>
    <xf numFmtId="0" fontId="22" fillId="0" borderId="0" xfId="24" applyFont="1" applyAlignment="1">
      <alignment horizontal="center" vertical="center"/>
    </xf>
    <xf numFmtId="38" fontId="64" fillId="0" borderId="0" xfId="23" applyNumberFormat="1" applyFont="1" applyAlignment="1">
      <alignment horizontal="center"/>
    </xf>
    <xf numFmtId="0" fontId="18" fillId="0" borderId="0" xfId="24" applyFont="1" applyAlignment="1">
      <alignment horizontal="center"/>
    </xf>
    <xf numFmtId="0" fontId="56" fillId="0" borderId="15" xfId="18" applyFont="1" applyBorder="1" applyAlignment="1" applyProtection="1">
      <alignment horizontal="center"/>
    </xf>
    <xf numFmtId="0" fontId="56" fillId="0" borderId="18" xfId="18" applyFont="1" applyBorder="1" applyAlignment="1" applyProtection="1">
      <alignment horizontal="center"/>
    </xf>
    <xf numFmtId="0" fontId="58" fillId="0" borderId="15" xfId="18" applyFont="1" applyBorder="1" applyAlignment="1" applyProtection="1">
      <alignment horizontal="center"/>
    </xf>
    <xf numFmtId="0" fontId="58" fillId="0" borderId="18" xfId="18" applyFont="1" applyBorder="1" applyAlignment="1" applyProtection="1">
      <alignment horizontal="center"/>
    </xf>
    <xf numFmtId="0" fontId="52" fillId="0" borderId="0" xfId="18" applyFont="1" applyAlignment="1" applyProtection="1">
      <alignment horizontal="center"/>
    </xf>
    <xf numFmtId="0" fontId="75" fillId="4" borderId="0" xfId="15" applyFont="1" applyFill="1" applyAlignment="1">
      <alignment horizontal="left" wrapText="1"/>
    </xf>
    <xf numFmtId="0" fontId="25" fillId="4" borderId="0" xfId="15" applyFont="1" applyFill="1" applyAlignment="1">
      <alignment horizontal="left" wrapText="1"/>
    </xf>
    <xf numFmtId="0" fontId="18" fillId="4" borderId="0" xfId="15" applyFont="1" applyFill="1" applyAlignment="1">
      <alignment horizontal="left" wrapText="1"/>
    </xf>
    <xf numFmtId="37" fontId="75" fillId="4" borderId="13" xfId="15" applyNumberFormat="1" applyFont="1" applyFill="1" applyBorder="1" applyAlignment="1" applyProtection="1">
      <alignment horizontal="center" vertical="center"/>
    </xf>
    <xf numFmtId="37" fontId="75" fillId="4" borderId="39" xfId="15" applyNumberFormat="1" applyFont="1" applyFill="1" applyBorder="1" applyAlignment="1" applyProtection="1">
      <alignment horizontal="center" vertical="center"/>
    </xf>
    <xf numFmtId="0" fontId="94" fillId="0" borderId="39" xfId="15" applyBorder="1" applyAlignment="1">
      <alignment horizontal="center" vertical="center"/>
    </xf>
    <xf numFmtId="0" fontId="94" fillId="0" borderId="14" xfId="15" applyBorder="1" applyAlignment="1">
      <alignment horizontal="center" vertical="center"/>
    </xf>
    <xf numFmtId="0" fontId="75" fillId="4" borderId="77" xfId="15" applyFont="1" applyFill="1" applyBorder="1" applyAlignment="1" applyProtection="1">
      <alignment horizontal="center" vertical="center"/>
    </xf>
    <xf numFmtId="0" fontId="75" fillId="4" borderId="5" xfId="15" applyFont="1" applyFill="1" applyBorder="1" applyAlignment="1" applyProtection="1">
      <alignment horizontal="center" vertical="center"/>
    </xf>
    <xf numFmtId="0" fontId="75" fillId="4" borderId="0" xfId="15" applyFont="1" applyFill="1" applyAlignment="1" applyProtection="1">
      <alignment horizontal="center" vertical="center"/>
    </xf>
    <xf numFmtId="0" fontId="77" fillId="4" borderId="0" xfId="15" applyFont="1" applyFill="1" applyAlignment="1" applyProtection="1">
      <alignment horizontal="center" vertical="center"/>
    </xf>
    <xf numFmtId="0" fontId="75" fillId="4" borderId="13" xfId="15" applyFont="1" applyFill="1" applyBorder="1" applyAlignment="1" applyProtection="1">
      <alignment horizontal="center" vertical="center"/>
    </xf>
    <xf numFmtId="0" fontId="75" fillId="4" borderId="39" xfId="15" applyFont="1" applyFill="1" applyBorder="1" applyAlignment="1" applyProtection="1">
      <alignment horizontal="center" vertical="center"/>
    </xf>
    <xf numFmtId="0" fontId="75" fillId="4" borderId="14" xfId="15" applyFont="1" applyFill="1" applyBorder="1" applyAlignment="1" applyProtection="1">
      <alignment horizontal="center" vertical="center"/>
    </xf>
    <xf numFmtId="0" fontId="75" fillId="4" borderId="15" xfId="15" applyFont="1" applyFill="1" applyBorder="1" applyAlignment="1" applyProtection="1">
      <alignment horizontal="center" vertical="center"/>
    </xf>
    <xf numFmtId="0" fontId="75" fillId="4" borderId="78" xfId="15" applyFont="1" applyFill="1" applyBorder="1" applyAlignment="1" applyProtection="1">
      <alignment horizontal="center" vertical="center"/>
    </xf>
    <xf numFmtId="3" fontId="97" fillId="0" borderId="0" xfId="16" applyFont="1" applyAlignment="1">
      <alignment horizontal="center"/>
    </xf>
    <xf numFmtId="3" fontId="101" fillId="0" borderId="0" xfId="16" applyFont="1" applyAlignment="1">
      <alignment horizontal="center" vertical="top"/>
    </xf>
    <xf numFmtId="3" fontId="93" fillId="0" borderId="0" xfId="16" applyAlignment="1">
      <alignment horizontal="center" vertical="top"/>
    </xf>
    <xf numFmtId="3" fontId="102" fillId="0" borderId="0" xfId="16" applyFont="1" applyAlignment="1">
      <alignment horizontal="center" vertical="top"/>
    </xf>
    <xf numFmtId="3" fontId="99" fillId="0" borderId="0" xfId="16" applyFont="1" applyAlignment="1">
      <alignment horizontal="center" vertical="top"/>
    </xf>
    <xf numFmtId="3" fontId="103" fillId="0" borderId="0" xfId="16" applyFont="1" applyAlignment="1">
      <alignment horizontal="center" vertical="top"/>
    </xf>
    <xf numFmtId="3" fontId="97" fillId="0" borderId="0" xfId="16" applyFont="1" applyAlignment="1">
      <alignment horizontal="center" vertical="top"/>
    </xf>
    <xf numFmtId="0" fontId="75" fillId="4" borderId="0" xfId="17" applyFont="1" applyFill="1" applyAlignment="1" applyProtection="1">
      <alignment horizontal="center" vertical="center"/>
    </xf>
    <xf numFmtId="0" fontId="77" fillId="4" borderId="0" xfId="17" applyFont="1" applyFill="1" applyAlignment="1" applyProtection="1">
      <alignment horizontal="center" vertical="center"/>
    </xf>
    <xf numFmtId="0" fontId="75" fillId="4" borderId="13" xfId="17" applyFont="1" applyFill="1" applyBorder="1" applyAlignment="1" applyProtection="1">
      <alignment horizontal="center" vertical="center"/>
    </xf>
    <xf numFmtId="0" fontId="75" fillId="4" borderId="39" xfId="17" applyFont="1" applyFill="1" applyBorder="1" applyAlignment="1" applyProtection="1">
      <alignment horizontal="center" vertical="center"/>
    </xf>
    <xf numFmtId="0" fontId="75" fillId="4" borderId="14" xfId="17" applyFont="1" applyFill="1" applyBorder="1" applyAlignment="1" applyProtection="1">
      <alignment horizontal="center" vertical="center"/>
    </xf>
    <xf numFmtId="0" fontId="75" fillId="4" borderId="15" xfId="17" applyFont="1" applyFill="1" applyBorder="1" applyAlignment="1" applyProtection="1">
      <alignment horizontal="center" vertical="center"/>
    </xf>
    <xf numFmtId="0" fontId="75" fillId="4" borderId="78" xfId="17" applyFont="1" applyFill="1" applyBorder="1" applyAlignment="1" applyProtection="1">
      <alignment horizontal="center" vertical="center"/>
    </xf>
    <xf numFmtId="0" fontId="75" fillId="4" borderId="77" xfId="17" applyFont="1" applyFill="1" applyBorder="1" applyAlignment="1" applyProtection="1">
      <alignment horizontal="center" vertical="center" wrapText="1"/>
    </xf>
    <xf numFmtId="0" fontId="16" fillId="0" borderId="19" xfId="17" applyBorder="1" applyAlignment="1">
      <alignment horizontal="center" vertical="center" wrapText="1"/>
    </xf>
    <xf numFmtId="0" fontId="16" fillId="0" borderId="57" xfId="17" applyBorder="1" applyAlignment="1">
      <alignment horizontal="center" vertical="center" wrapText="1"/>
    </xf>
    <xf numFmtId="0" fontId="75" fillId="4" borderId="77" xfId="17" applyFont="1" applyFill="1" applyBorder="1" applyAlignment="1" applyProtection="1">
      <alignment horizontal="center" vertical="center"/>
    </xf>
    <xf numFmtId="0" fontId="75" fillId="4" borderId="5" xfId="17" applyFont="1" applyFill="1" applyBorder="1" applyAlignment="1" applyProtection="1">
      <alignment horizontal="center" vertical="center"/>
    </xf>
    <xf numFmtId="37" fontId="75" fillId="4" borderId="13" xfId="17" applyNumberFormat="1" applyFont="1" applyFill="1" applyBorder="1" applyAlignment="1" applyProtection="1">
      <alignment horizontal="center" vertical="center"/>
    </xf>
    <xf numFmtId="37" fontId="75" fillId="4" borderId="39" xfId="17" applyNumberFormat="1" applyFont="1" applyFill="1" applyBorder="1" applyAlignment="1" applyProtection="1">
      <alignment horizontal="center" vertical="center"/>
    </xf>
    <xf numFmtId="37" fontId="75" fillId="4" borderId="14" xfId="17" applyNumberFormat="1" applyFont="1" applyFill="1" applyBorder="1" applyAlignment="1" applyProtection="1">
      <alignment horizontal="center" vertical="center"/>
    </xf>
    <xf numFmtId="0" fontId="18" fillId="4" borderId="0" xfId="17" applyFont="1" applyFill="1" applyAlignment="1">
      <alignment horizontal="left" wrapText="1"/>
    </xf>
    <xf numFmtId="0" fontId="25" fillId="4" borderId="0" xfId="17" applyFont="1" applyFill="1" applyAlignment="1">
      <alignment horizontal="left" wrapText="1"/>
    </xf>
    <xf numFmtId="0" fontId="25" fillId="0" borderId="0" xfId="17" applyFont="1" applyFill="1" applyAlignment="1">
      <alignment horizontal="left" wrapText="1"/>
    </xf>
    <xf numFmtId="0" fontId="76" fillId="4" borderId="0" xfId="17" applyFont="1" applyFill="1" applyAlignment="1" applyProtection="1">
      <alignment horizontal="left" wrapText="1"/>
    </xf>
    <xf numFmtId="0" fontId="22" fillId="0" borderId="0" xfId="24" applyFont="1" applyAlignment="1">
      <alignment horizontal="center"/>
    </xf>
    <xf numFmtId="0" fontId="64" fillId="0" borderId="0" xfId="24" applyFont="1" applyAlignment="1">
      <alignment horizontal="center"/>
    </xf>
    <xf numFmtId="0" fontId="65" fillId="0" borderId="0" xfId="24" applyFont="1" applyAlignment="1">
      <alignment horizontal="center"/>
    </xf>
    <xf numFmtId="169" fontId="112" fillId="0" borderId="0" xfId="32" applyFont="1" applyAlignment="1">
      <alignment horizontal="center" vertical="top"/>
    </xf>
    <xf numFmtId="169" fontId="15" fillId="0" borderId="0" xfId="32" applyAlignment="1">
      <alignment horizontal="center" vertical="top"/>
    </xf>
    <xf numFmtId="169" fontId="111" fillId="0" borderId="0" xfId="32" applyFont="1" applyAlignment="1">
      <alignment horizontal="center" vertical="top"/>
    </xf>
    <xf numFmtId="169" fontId="109" fillId="0" borderId="0" xfId="32" applyFont="1" applyAlignment="1">
      <alignment horizontal="center" vertical="top"/>
    </xf>
    <xf numFmtId="169" fontId="110" fillId="0" borderId="0" xfId="32" applyFont="1" applyAlignment="1">
      <alignment horizontal="center" vertical="top"/>
    </xf>
    <xf numFmtId="0" fontId="76" fillId="4" borderId="0" xfId="33" applyFont="1" applyFill="1" applyAlignment="1" applyProtection="1">
      <alignment horizontal="left" wrapText="1"/>
    </xf>
    <xf numFmtId="0" fontId="25" fillId="4" borderId="0" xfId="33" applyFont="1" applyFill="1" applyAlignment="1">
      <alignment horizontal="left" wrapText="1"/>
    </xf>
    <xf numFmtId="0" fontId="18" fillId="4" borderId="0" xfId="33" applyFont="1" applyFill="1" applyAlignment="1">
      <alignment horizontal="left" wrapText="1"/>
    </xf>
    <xf numFmtId="0" fontId="75" fillId="4" borderId="77" xfId="33" applyFont="1" applyFill="1" applyBorder="1" applyAlignment="1" applyProtection="1">
      <alignment horizontal="center" vertical="center" wrapText="1"/>
    </xf>
    <xf numFmtId="0" fontId="14" fillId="0" borderId="19" xfId="33" applyBorder="1" applyAlignment="1">
      <alignment horizontal="center" vertical="center" wrapText="1"/>
    </xf>
    <xf numFmtId="0" fontId="14" fillId="0" borderId="57" xfId="33" applyBorder="1" applyAlignment="1">
      <alignment horizontal="center" vertical="center" wrapText="1"/>
    </xf>
    <xf numFmtId="37" fontId="75" fillId="4" borderId="13" xfId="33" applyNumberFormat="1" applyFont="1" applyFill="1" applyBorder="1" applyAlignment="1" applyProtection="1">
      <alignment horizontal="center" vertical="center"/>
    </xf>
    <xf numFmtId="37" fontId="75" fillId="4" borderId="39" xfId="33" applyNumberFormat="1" applyFont="1" applyFill="1" applyBorder="1" applyAlignment="1" applyProtection="1">
      <alignment horizontal="center" vertical="center"/>
    </xf>
    <xf numFmtId="37" fontId="75" fillId="4" borderId="14" xfId="33" applyNumberFormat="1" applyFont="1" applyFill="1" applyBorder="1" applyAlignment="1" applyProtection="1">
      <alignment horizontal="center" vertical="center"/>
    </xf>
    <xf numFmtId="0" fontId="75" fillId="4" borderId="77" xfId="33" applyFont="1" applyFill="1" applyBorder="1" applyAlignment="1" applyProtection="1">
      <alignment horizontal="center" vertical="center"/>
    </xf>
    <xf numFmtId="0" fontId="75" fillId="4" borderId="5" xfId="33" applyFont="1" applyFill="1" applyBorder="1" applyAlignment="1" applyProtection="1">
      <alignment horizontal="center" vertical="center"/>
    </xf>
    <xf numFmtId="0" fontId="25" fillId="0" borderId="0" xfId="33" applyFont="1" applyFill="1" applyAlignment="1">
      <alignment horizontal="left" wrapText="1"/>
    </xf>
    <xf numFmtId="0" fontId="75" fillId="4" borderId="0" xfId="33" applyFont="1" applyFill="1" applyAlignment="1" applyProtection="1">
      <alignment horizontal="center" vertical="center"/>
    </xf>
    <xf numFmtId="0" fontId="77" fillId="4" borderId="0" xfId="33" applyFont="1" applyFill="1" applyAlignment="1" applyProtection="1">
      <alignment horizontal="center" vertical="center"/>
    </xf>
    <xf numFmtId="0" fontId="75" fillId="4" borderId="13" xfId="33" applyFont="1" applyFill="1" applyBorder="1" applyAlignment="1" applyProtection="1">
      <alignment horizontal="center" vertical="center"/>
    </xf>
    <xf numFmtId="0" fontId="75" fillId="4" borderId="39" xfId="33" applyFont="1" applyFill="1" applyBorder="1" applyAlignment="1" applyProtection="1">
      <alignment horizontal="center" vertical="center"/>
    </xf>
    <xf numFmtId="0" fontId="75" fillId="4" borderId="14" xfId="33" applyFont="1" applyFill="1" applyBorder="1" applyAlignment="1" applyProtection="1">
      <alignment horizontal="center" vertical="center"/>
    </xf>
    <xf numFmtId="0" fontId="75" fillId="4" borderId="15" xfId="33" applyFont="1" applyFill="1" applyBorder="1" applyAlignment="1" applyProtection="1">
      <alignment horizontal="center" vertical="center"/>
    </xf>
    <xf numFmtId="0" fontId="75" fillId="4" borderId="78" xfId="33" applyFont="1" applyFill="1" applyBorder="1" applyAlignment="1" applyProtection="1">
      <alignment horizontal="center" vertical="center"/>
    </xf>
    <xf numFmtId="0" fontId="18" fillId="4" borderId="0" xfId="36" applyFont="1" applyFill="1" applyAlignment="1">
      <alignment horizontal="left" wrapText="1"/>
    </xf>
    <xf numFmtId="0" fontId="75" fillId="4" borderId="0" xfId="36" applyFont="1" applyFill="1" applyAlignment="1" applyProtection="1">
      <alignment horizontal="center" vertical="center"/>
    </xf>
    <xf numFmtId="0" fontId="77" fillId="4" borderId="0" xfId="36" applyFont="1" applyFill="1" applyAlignment="1" applyProtection="1">
      <alignment horizontal="center" vertical="center"/>
    </xf>
    <xf numFmtId="0" fontId="75" fillId="4" borderId="13" xfId="36" applyFont="1" applyFill="1" applyBorder="1" applyAlignment="1" applyProtection="1">
      <alignment horizontal="center" vertical="center"/>
    </xf>
    <xf numFmtId="0" fontId="75" fillId="4" borderId="39" xfId="36" applyFont="1" applyFill="1" applyBorder="1" applyAlignment="1" applyProtection="1">
      <alignment horizontal="center" vertical="center"/>
    </xf>
    <xf numFmtId="0" fontId="75" fillId="4" borderId="14" xfId="36" applyFont="1" applyFill="1" applyBorder="1" applyAlignment="1" applyProtection="1">
      <alignment horizontal="center" vertical="center"/>
    </xf>
    <xf numFmtId="0" fontId="75" fillId="4" borderId="15" xfId="36" applyFont="1" applyFill="1" applyBorder="1" applyAlignment="1" applyProtection="1">
      <alignment horizontal="center" vertical="center"/>
    </xf>
    <xf numFmtId="0" fontId="75" fillId="4" borderId="78" xfId="36" applyFont="1" applyFill="1" applyBorder="1" applyAlignment="1" applyProtection="1">
      <alignment horizontal="center" vertical="center"/>
    </xf>
    <xf numFmtId="0" fontId="75" fillId="4" borderId="77" xfId="36" applyFont="1" applyFill="1" applyBorder="1" applyAlignment="1" applyProtection="1">
      <alignment horizontal="center" vertical="center" wrapText="1"/>
    </xf>
    <xf numFmtId="0" fontId="13" fillId="0" borderId="19" xfId="36" applyBorder="1" applyAlignment="1">
      <alignment horizontal="center" vertical="center" wrapText="1"/>
    </xf>
    <xf numFmtId="0" fontId="13" fillId="0" borderId="57" xfId="36" applyBorder="1" applyAlignment="1">
      <alignment horizontal="center" vertical="center" wrapText="1"/>
    </xf>
    <xf numFmtId="37" fontId="75" fillId="4" borderId="13" xfId="36" applyNumberFormat="1" applyFont="1" applyFill="1" applyBorder="1" applyAlignment="1" applyProtection="1">
      <alignment horizontal="center" vertical="center"/>
    </xf>
    <xf numFmtId="37" fontId="75" fillId="4" borderId="39" xfId="36" applyNumberFormat="1" applyFont="1" applyFill="1" applyBorder="1" applyAlignment="1" applyProtection="1">
      <alignment horizontal="center" vertical="center"/>
    </xf>
    <xf numFmtId="37" fontId="75" fillId="4" borderId="14" xfId="36" applyNumberFormat="1" applyFont="1" applyFill="1" applyBorder="1" applyAlignment="1" applyProtection="1">
      <alignment horizontal="center" vertical="center"/>
    </xf>
    <xf numFmtId="0" fontId="75" fillId="4" borderId="77" xfId="36" applyFont="1" applyFill="1" applyBorder="1" applyAlignment="1" applyProtection="1">
      <alignment horizontal="center" vertical="center"/>
    </xf>
    <xf numFmtId="0" fontId="75" fillId="4" borderId="5" xfId="36" applyFont="1" applyFill="1" applyBorder="1" applyAlignment="1" applyProtection="1">
      <alignment horizontal="center" vertical="center"/>
    </xf>
    <xf numFmtId="0" fontId="25" fillId="0" borderId="0" xfId="36" applyFont="1" applyFill="1" applyAlignment="1">
      <alignment horizontal="left" wrapText="1"/>
    </xf>
    <xf numFmtId="0" fontId="76" fillId="4" borderId="0" xfId="36" applyFont="1" applyFill="1" applyAlignment="1" applyProtection="1">
      <alignment horizontal="left" wrapText="1"/>
    </xf>
    <xf numFmtId="0" fontId="25" fillId="4" borderId="0" xfId="36" applyFont="1" applyFill="1" applyAlignment="1">
      <alignment horizontal="left" wrapText="1"/>
    </xf>
    <xf numFmtId="0" fontId="75" fillId="4" borderId="77" xfId="39" applyFont="1" applyFill="1" applyBorder="1" applyAlignment="1" applyProtection="1">
      <alignment horizontal="center" vertical="center" wrapText="1"/>
    </xf>
    <xf numFmtId="0" fontId="12" fillId="0" borderId="19" xfId="39" applyBorder="1" applyAlignment="1">
      <alignment horizontal="center" vertical="center" wrapText="1"/>
    </xf>
    <xf numFmtId="0" fontId="12" fillId="0" borderId="57" xfId="39" applyBorder="1" applyAlignment="1">
      <alignment horizontal="center" vertical="center" wrapText="1"/>
    </xf>
    <xf numFmtId="37" fontId="75" fillId="4" borderId="13" xfId="39" applyNumberFormat="1" applyFont="1" applyFill="1" applyBorder="1" applyAlignment="1" applyProtection="1">
      <alignment horizontal="center" vertical="center"/>
    </xf>
    <xf numFmtId="37" fontId="75" fillId="4" borderId="39" xfId="39" applyNumberFormat="1" applyFont="1" applyFill="1" applyBorder="1" applyAlignment="1" applyProtection="1">
      <alignment horizontal="center" vertical="center"/>
    </xf>
    <xf numFmtId="37" fontId="75" fillId="4" borderId="14" xfId="39" applyNumberFormat="1" applyFont="1" applyFill="1" applyBorder="1" applyAlignment="1" applyProtection="1">
      <alignment horizontal="center" vertical="center"/>
    </xf>
    <xf numFmtId="0" fontId="75" fillId="4" borderId="77" xfId="39" applyFont="1" applyFill="1" applyBorder="1" applyAlignment="1" applyProtection="1">
      <alignment horizontal="center" vertical="center"/>
    </xf>
    <xf numFmtId="0" fontId="75" fillId="4" borderId="5" xfId="39" applyFont="1" applyFill="1" applyBorder="1" applyAlignment="1" applyProtection="1">
      <alignment horizontal="center" vertical="center"/>
    </xf>
    <xf numFmtId="0" fontId="25" fillId="0" borderId="0" xfId="39" applyFont="1" applyFill="1" applyAlignment="1">
      <alignment horizontal="left" wrapText="1"/>
    </xf>
    <xf numFmtId="0" fontId="75" fillId="4" borderId="0" xfId="39" applyFont="1" applyFill="1" applyAlignment="1" applyProtection="1">
      <alignment horizontal="center" vertical="center"/>
    </xf>
    <xf numFmtId="0" fontId="77" fillId="4" borderId="0" xfId="39" applyFont="1" applyFill="1" applyAlignment="1" applyProtection="1">
      <alignment horizontal="center" vertical="center"/>
    </xf>
    <xf numFmtId="0" fontId="75" fillId="4" borderId="13" xfId="39" applyFont="1" applyFill="1" applyBorder="1" applyAlignment="1" applyProtection="1">
      <alignment horizontal="center" vertical="center"/>
    </xf>
    <xf numFmtId="0" fontId="75" fillId="4" borderId="39" xfId="39" applyFont="1" applyFill="1" applyBorder="1" applyAlignment="1" applyProtection="1">
      <alignment horizontal="center" vertical="center"/>
    </xf>
    <xf numFmtId="0" fontId="75" fillId="4" borderId="14" xfId="39" applyFont="1" applyFill="1" applyBorder="1" applyAlignment="1" applyProtection="1">
      <alignment horizontal="center" vertical="center"/>
    </xf>
    <xf numFmtId="0" fontId="75" fillId="4" borderId="15" xfId="39" applyFont="1" applyFill="1" applyBorder="1" applyAlignment="1" applyProtection="1">
      <alignment horizontal="center" vertical="center"/>
    </xf>
    <xf numFmtId="0" fontId="75" fillId="4" borderId="78" xfId="39" applyFont="1" applyFill="1" applyBorder="1" applyAlignment="1" applyProtection="1">
      <alignment horizontal="center" vertical="center"/>
    </xf>
    <xf numFmtId="0" fontId="76" fillId="4" borderId="0" xfId="39" applyFont="1" applyFill="1" applyAlignment="1" applyProtection="1">
      <alignment horizontal="left" wrapText="1"/>
    </xf>
    <xf numFmtId="0" fontId="25" fillId="4" borderId="0" xfId="39" applyFont="1" applyFill="1" applyAlignment="1">
      <alignment horizontal="left" wrapText="1"/>
    </xf>
    <xf numFmtId="0" fontId="18" fillId="4" borderId="0" xfId="39" applyFont="1" applyFill="1" applyAlignment="1">
      <alignment horizontal="left" wrapText="1"/>
    </xf>
    <xf numFmtId="0" fontId="76" fillId="4" borderId="0" xfId="42" applyFont="1" applyFill="1" applyAlignment="1" applyProtection="1">
      <alignment horizontal="left" wrapText="1"/>
    </xf>
    <xf numFmtId="0" fontId="25" fillId="4" borderId="0" xfId="42" applyFont="1" applyFill="1" applyAlignment="1">
      <alignment horizontal="left" wrapText="1"/>
    </xf>
    <xf numFmtId="0" fontId="75" fillId="4" borderId="77" xfId="42" applyFont="1" applyFill="1" applyBorder="1" applyAlignment="1" applyProtection="1">
      <alignment horizontal="center" vertical="center" wrapText="1"/>
    </xf>
    <xf numFmtId="0" fontId="11" fillId="0" borderId="19" xfId="42" applyBorder="1" applyAlignment="1">
      <alignment horizontal="center" vertical="center" wrapText="1"/>
    </xf>
    <xf numFmtId="0" fontId="11" fillId="0" borderId="57" xfId="42" applyBorder="1" applyAlignment="1">
      <alignment horizontal="center" vertical="center" wrapText="1"/>
    </xf>
    <xf numFmtId="37" fontId="75" fillId="4" borderId="13" xfId="42" applyNumberFormat="1" applyFont="1" applyFill="1" applyBorder="1" applyAlignment="1" applyProtection="1">
      <alignment horizontal="center" vertical="center"/>
    </xf>
    <xf numFmtId="37" fontId="75" fillId="4" borderId="39" xfId="42" applyNumberFormat="1" applyFont="1" applyFill="1" applyBorder="1" applyAlignment="1" applyProtection="1">
      <alignment horizontal="center" vertical="center"/>
    </xf>
    <xf numFmtId="37" fontId="75" fillId="4" borderId="14" xfId="42" applyNumberFormat="1" applyFont="1" applyFill="1" applyBorder="1" applyAlignment="1" applyProtection="1">
      <alignment horizontal="center" vertical="center"/>
    </xf>
    <xf numFmtId="0" fontId="75" fillId="4" borderId="77" xfId="42" applyFont="1" applyFill="1" applyBorder="1" applyAlignment="1" applyProtection="1">
      <alignment horizontal="center" vertical="center"/>
    </xf>
    <xf numFmtId="0" fontId="75" fillId="4" borderId="5" xfId="42" applyFont="1" applyFill="1" applyBorder="1" applyAlignment="1" applyProtection="1">
      <alignment horizontal="center" vertical="center"/>
    </xf>
    <xf numFmtId="0" fontId="25" fillId="0" borderId="0" xfId="42" applyFont="1" applyFill="1" applyAlignment="1">
      <alignment horizontal="left" wrapText="1"/>
    </xf>
    <xf numFmtId="0" fontId="75" fillId="4" borderId="0" xfId="42" applyFont="1" applyFill="1" applyAlignment="1" applyProtection="1">
      <alignment horizontal="center" vertical="center"/>
    </xf>
    <xf numFmtId="0" fontId="77" fillId="4" borderId="0" xfId="42" applyFont="1" applyFill="1" applyAlignment="1" applyProtection="1">
      <alignment horizontal="center" vertical="center"/>
    </xf>
    <xf numFmtId="0" fontId="75" fillId="4" borderId="13" xfId="42" applyFont="1" applyFill="1" applyBorder="1" applyAlignment="1" applyProtection="1">
      <alignment horizontal="center" vertical="center"/>
    </xf>
    <xf numFmtId="0" fontId="75" fillId="4" borderId="39" xfId="42" applyFont="1" applyFill="1" applyBorder="1" applyAlignment="1" applyProtection="1">
      <alignment horizontal="center" vertical="center"/>
    </xf>
    <xf numFmtId="0" fontId="75" fillId="4" borderId="14" xfId="42" applyFont="1" applyFill="1" applyBorder="1" applyAlignment="1" applyProtection="1">
      <alignment horizontal="center" vertical="center"/>
    </xf>
    <xf numFmtId="0" fontId="75" fillId="4" borderId="15" xfId="42" applyFont="1" applyFill="1" applyBorder="1" applyAlignment="1" applyProtection="1">
      <alignment horizontal="center" vertical="center"/>
    </xf>
    <xf numFmtId="0" fontId="75" fillId="4" borderId="78" xfId="42" applyFont="1" applyFill="1" applyBorder="1" applyAlignment="1" applyProtection="1">
      <alignment horizontal="center" vertical="center"/>
    </xf>
    <xf numFmtId="0" fontId="18" fillId="4" borderId="0" xfId="45" applyFont="1" applyFill="1" applyAlignment="1">
      <alignment horizontal="left" wrapText="1"/>
    </xf>
    <xf numFmtId="0" fontId="75" fillId="4" borderId="0" xfId="45" applyFont="1" applyFill="1" applyAlignment="1" applyProtection="1">
      <alignment horizontal="center" vertical="center"/>
    </xf>
    <xf numFmtId="0" fontId="77" fillId="4" borderId="0" xfId="45" applyFont="1" applyFill="1" applyAlignment="1" applyProtection="1">
      <alignment horizontal="center" vertical="center"/>
    </xf>
    <xf numFmtId="0" fontId="75" fillId="4" borderId="15" xfId="45" applyFont="1" applyFill="1" applyBorder="1" applyAlignment="1" applyProtection="1">
      <alignment horizontal="center" vertical="center"/>
    </xf>
    <xf numFmtId="0" fontId="75" fillId="4" borderId="78" xfId="45" applyFont="1" applyFill="1" applyBorder="1" applyAlignment="1" applyProtection="1">
      <alignment horizontal="center" vertical="center"/>
    </xf>
    <xf numFmtId="0" fontId="75" fillId="4" borderId="77" xfId="45" applyFont="1" applyFill="1" applyBorder="1" applyAlignment="1" applyProtection="1">
      <alignment horizontal="center" vertical="center" wrapText="1"/>
    </xf>
    <xf numFmtId="0" fontId="10" fillId="0" borderId="19" xfId="45" applyBorder="1" applyAlignment="1">
      <alignment horizontal="center" vertical="center" wrapText="1"/>
    </xf>
    <xf numFmtId="0" fontId="10" fillId="0" borderId="57" xfId="45" applyBorder="1" applyAlignment="1">
      <alignment horizontal="center" vertical="center" wrapText="1"/>
    </xf>
    <xf numFmtId="0" fontId="75" fillId="4" borderId="77" xfId="45" applyFont="1" applyFill="1" applyBorder="1" applyAlignment="1" applyProtection="1">
      <alignment horizontal="center" vertical="center"/>
    </xf>
    <xf numFmtId="0" fontId="75" fillId="4" borderId="5" xfId="45" applyFont="1" applyFill="1" applyBorder="1" applyAlignment="1" applyProtection="1">
      <alignment horizontal="center" vertical="center"/>
    </xf>
    <xf numFmtId="0" fontId="25" fillId="4" borderId="0" xfId="45" applyFont="1" applyFill="1" applyAlignment="1">
      <alignment horizontal="left" wrapText="1"/>
    </xf>
    <xf numFmtId="0" fontId="76" fillId="4" borderId="0" xfId="45" applyFont="1" applyFill="1" applyAlignment="1" applyProtection="1">
      <alignment horizontal="left" wrapText="1"/>
    </xf>
    <xf numFmtId="0" fontId="25" fillId="4" borderId="0" xfId="48" applyFont="1" applyFill="1" applyAlignment="1">
      <alignment horizontal="left" wrapText="1"/>
    </xf>
    <xf numFmtId="0" fontId="75" fillId="4" borderId="0" xfId="48" applyFont="1" applyFill="1" applyAlignment="1" applyProtection="1">
      <alignment horizontal="center" vertical="center"/>
    </xf>
    <xf numFmtId="0" fontId="77" fillId="4" borderId="0" xfId="48" applyFont="1" applyFill="1" applyAlignment="1" applyProtection="1">
      <alignment horizontal="center" vertical="center"/>
    </xf>
    <xf numFmtId="0" fontId="75" fillId="4" borderId="13" xfId="48" applyFont="1" applyFill="1" applyBorder="1" applyAlignment="1" applyProtection="1">
      <alignment horizontal="center" vertical="center"/>
    </xf>
    <xf numFmtId="0" fontId="75" fillId="4" borderId="39" xfId="48" applyFont="1" applyFill="1" applyBorder="1" applyAlignment="1" applyProtection="1">
      <alignment horizontal="center" vertical="center"/>
    </xf>
    <xf numFmtId="0" fontId="75" fillId="4" borderId="14" xfId="48" applyFont="1" applyFill="1" applyBorder="1" applyAlignment="1" applyProtection="1">
      <alignment horizontal="center" vertical="center"/>
    </xf>
    <xf numFmtId="0" fontId="75" fillId="4" borderId="15" xfId="48" applyFont="1" applyFill="1" applyBorder="1" applyAlignment="1" applyProtection="1">
      <alignment horizontal="center" vertical="center"/>
    </xf>
    <xf numFmtId="0" fontId="75" fillId="4" borderId="78" xfId="48" applyFont="1" applyFill="1" applyBorder="1" applyAlignment="1" applyProtection="1">
      <alignment horizontal="center" vertical="center"/>
    </xf>
    <xf numFmtId="0" fontId="75" fillId="4" borderId="77" xfId="48" applyFont="1" applyFill="1" applyBorder="1" applyAlignment="1" applyProtection="1">
      <alignment horizontal="center" vertical="center" wrapText="1"/>
    </xf>
    <xf numFmtId="0" fontId="9" fillId="0" borderId="19" xfId="48" applyBorder="1" applyAlignment="1">
      <alignment horizontal="center" vertical="center" wrapText="1"/>
    </xf>
    <xf numFmtId="0" fontId="9" fillId="0" borderId="57" xfId="48" applyBorder="1" applyAlignment="1">
      <alignment horizontal="center" vertical="center" wrapText="1"/>
    </xf>
    <xf numFmtId="37" fontId="75" fillId="4" borderId="13" xfId="48" applyNumberFormat="1" applyFont="1" applyFill="1" applyBorder="1" applyAlignment="1" applyProtection="1">
      <alignment horizontal="center" vertical="center"/>
    </xf>
    <xf numFmtId="37" fontId="75" fillId="4" borderId="39" xfId="48" applyNumberFormat="1" applyFont="1" applyFill="1" applyBorder="1" applyAlignment="1" applyProtection="1">
      <alignment horizontal="center" vertical="center"/>
    </xf>
    <xf numFmtId="37" fontId="75" fillId="4" borderId="14" xfId="48" applyNumberFormat="1" applyFont="1" applyFill="1" applyBorder="1" applyAlignment="1" applyProtection="1">
      <alignment horizontal="center" vertical="center"/>
    </xf>
    <xf numFmtId="0" fontId="75" fillId="4" borderId="77" xfId="48" applyFont="1" applyFill="1" applyBorder="1" applyAlignment="1" applyProtection="1">
      <alignment horizontal="center" vertical="center"/>
    </xf>
    <xf numFmtId="0" fontId="75" fillId="4" borderId="5" xfId="48" applyFont="1" applyFill="1" applyBorder="1" applyAlignment="1" applyProtection="1">
      <alignment horizontal="center" vertical="center"/>
    </xf>
    <xf numFmtId="0" fontId="76" fillId="4" borderId="0" xfId="48" applyFont="1" applyFill="1" applyAlignment="1" applyProtection="1">
      <alignment horizontal="left" wrapText="1"/>
    </xf>
    <xf numFmtId="0" fontId="18" fillId="4" borderId="0" xfId="51" applyFont="1" applyFill="1" applyBorder="1" applyAlignment="1">
      <alignment horizontal="center"/>
    </xf>
    <xf numFmtId="0" fontId="75" fillId="4" borderId="0" xfId="51" applyFont="1" applyFill="1" applyAlignment="1" applyProtection="1">
      <alignment horizontal="center" vertical="center"/>
    </xf>
    <xf numFmtId="0" fontId="77" fillId="4" borderId="0" xfId="51" applyFont="1" applyFill="1" applyAlignment="1" applyProtection="1">
      <alignment horizontal="center" vertical="center"/>
    </xf>
    <xf numFmtId="0" fontId="75" fillId="4" borderId="13" xfId="51" applyFont="1" applyFill="1" applyBorder="1" applyAlignment="1" applyProtection="1">
      <alignment horizontal="center" vertical="center"/>
    </xf>
    <xf numFmtId="0" fontId="75" fillId="4" borderId="39" xfId="51" applyFont="1" applyFill="1" applyBorder="1" applyAlignment="1" applyProtection="1">
      <alignment horizontal="center" vertical="center"/>
    </xf>
    <xf numFmtId="0" fontId="75" fillId="4" borderId="14" xfId="51" applyFont="1" applyFill="1" applyBorder="1" applyAlignment="1" applyProtection="1">
      <alignment horizontal="center" vertical="center"/>
    </xf>
    <xf numFmtId="0" fontId="75" fillId="4" borderId="15" xfId="51" applyFont="1" applyFill="1" applyBorder="1" applyAlignment="1" applyProtection="1">
      <alignment horizontal="center" vertical="center"/>
    </xf>
    <xf numFmtId="0" fontId="75" fillId="4" borderId="78" xfId="51" applyFont="1" applyFill="1" applyBorder="1" applyAlignment="1" applyProtection="1">
      <alignment horizontal="center" vertical="center"/>
    </xf>
    <xf numFmtId="0" fontId="76" fillId="4" borderId="0" xfId="51" applyFont="1" applyFill="1" applyAlignment="1" applyProtection="1">
      <alignment horizontal="left" wrapText="1"/>
    </xf>
    <xf numFmtId="0" fontId="75" fillId="4" borderId="77" xfId="51" applyFont="1" applyFill="1" applyBorder="1" applyAlignment="1" applyProtection="1">
      <alignment horizontal="center" vertical="center" wrapText="1"/>
    </xf>
    <xf numFmtId="0" fontId="8" fillId="0" borderId="19" xfId="51" applyBorder="1" applyAlignment="1">
      <alignment horizontal="center" vertical="center" wrapText="1"/>
    </xf>
    <xf numFmtId="0" fontId="8" fillId="0" borderId="57" xfId="51" applyBorder="1" applyAlignment="1">
      <alignment horizontal="center" vertical="center" wrapText="1"/>
    </xf>
    <xf numFmtId="37" fontId="75" fillId="4" borderId="13" xfId="51" applyNumberFormat="1" applyFont="1" applyFill="1" applyBorder="1" applyAlignment="1" applyProtection="1">
      <alignment horizontal="center" vertical="center"/>
    </xf>
    <xf numFmtId="37" fontId="75" fillId="4" borderId="39" xfId="51" applyNumberFormat="1" applyFont="1" applyFill="1" applyBorder="1" applyAlignment="1" applyProtection="1">
      <alignment horizontal="center" vertical="center"/>
    </xf>
    <xf numFmtId="37" fontId="75" fillId="4" borderId="14" xfId="51" applyNumberFormat="1" applyFont="1" applyFill="1" applyBorder="1" applyAlignment="1" applyProtection="1">
      <alignment horizontal="center" vertical="center"/>
    </xf>
    <xf numFmtId="0" fontId="75" fillId="4" borderId="77" xfId="51" applyFont="1" applyFill="1" applyBorder="1" applyAlignment="1" applyProtection="1">
      <alignment horizontal="center" vertical="center"/>
    </xf>
    <xf numFmtId="0" fontId="75" fillId="4" borderId="5" xfId="51" applyFont="1" applyFill="1" applyBorder="1" applyAlignment="1" applyProtection="1">
      <alignment horizontal="center" vertical="center"/>
    </xf>
    <xf numFmtId="0" fontId="25" fillId="4" borderId="0" xfId="51" applyFont="1" applyFill="1" applyAlignment="1">
      <alignment horizontal="left" wrapText="1"/>
    </xf>
    <xf numFmtId="0" fontId="127" fillId="0" borderId="0" xfId="24" applyFont="1" applyAlignment="1">
      <alignment horizontal="left" vertical="center" wrapText="1"/>
    </xf>
    <xf numFmtId="0" fontId="127" fillId="0" borderId="0" xfId="24" applyFont="1" applyAlignment="1">
      <alignment vertical="center" wrapText="1"/>
    </xf>
    <xf numFmtId="38" fontId="127" fillId="0" borderId="0" xfId="23" applyNumberFormat="1" applyFont="1" applyAlignment="1">
      <alignment horizontal="left" vertical="center" wrapText="1"/>
    </xf>
    <xf numFmtId="0" fontId="115" fillId="0" borderId="0" xfId="24" applyFont="1" applyAlignment="1">
      <alignment horizontal="center"/>
    </xf>
    <xf numFmtId="0" fontId="116" fillId="0" borderId="0" xfId="24" applyFont="1" applyAlignment="1">
      <alignment horizontal="center"/>
    </xf>
    <xf numFmtId="0" fontId="117" fillId="0" borderId="0" xfId="24" applyFont="1" applyAlignment="1">
      <alignment horizontal="center"/>
    </xf>
    <xf numFmtId="0" fontId="119" fillId="0" borderId="13" xfId="24" applyFont="1" applyBorder="1" applyAlignment="1">
      <alignment horizontal="center" vertical="center"/>
    </xf>
    <xf numFmtId="0" fontId="119" fillId="0" borderId="39" xfId="24" applyFont="1" applyBorder="1" applyAlignment="1">
      <alignment horizontal="center" vertical="center"/>
    </xf>
    <xf numFmtId="0" fontId="119" fillId="0" borderId="14" xfId="24" applyFont="1" applyBorder="1" applyAlignment="1">
      <alignment horizontal="center" vertical="center"/>
    </xf>
    <xf numFmtId="0" fontId="127" fillId="0" borderId="0" xfId="24" applyFont="1" applyFill="1" applyAlignment="1">
      <alignment vertical="center" wrapText="1"/>
    </xf>
    <xf numFmtId="38" fontId="127" fillId="0" borderId="0" xfId="23" applyNumberFormat="1" applyFont="1" applyFill="1" applyBorder="1" applyAlignment="1">
      <alignment horizontal="left" vertical="center" wrapText="1"/>
    </xf>
    <xf numFmtId="0" fontId="76" fillId="4" borderId="0" xfId="54" applyFont="1" applyFill="1" applyAlignment="1" applyProtection="1">
      <alignment horizontal="left" wrapText="1"/>
    </xf>
    <xf numFmtId="0" fontId="25" fillId="4" borderId="0" xfId="54" applyFont="1" applyFill="1" applyAlignment="1">
      <alignment horizontal="left" wrapText="1"/>
    </xf>
    <xf numFmtId="0" fontId="75" fillId="4" borderId="77" xfId="54" applyFont="1" applyFill="1" applyBorder="1" applyAlignment="1" applyProtection="1">
      <alignment horizontal="center" vertical="center" wrapText="1"/>
    </xf>
    <xf numFmtId="0" fontId="7" fillId="0" borderId="19" xfId="54" applyBorder="1" applyAlignment="1">
      <alignment horizontal="center" vertical="center" wrapText="1"/>
    </xf>
    <xf numFmtId="0" fontId="7" fillId="0" borderId="57" xfId="54" applyBorder="1" applyAlignment="1">
      <alignment horizontal="center" vertical="center" wrapText="1"/>
    </xf>
    <xf numFmtId="37" fontId="75" fillId="4" borderId="13" xfId="54" applyNumberFormat="1" applyFont="1" applyFill="1" applyBorder="1" applyAlignment="1" applyProtection="1">
      <alignment horizontal="center" vertical="center"/>
    </xf>
    <xf numFmtId="37" fontId="75" fillId="4" borderId="39" xfId="54" applyNumberFormat="1" applyFont="1" applyFill="1" applyBorder="1" applyAlignment="1" applyProtection="1">
      <alignment horizontal="center" vertical="center"/>
    </xf>
    <xf numFmtId="37" fontId="75" fillId="4" borderId="14" xfId="54" applyNumberFormat="1" applyFont="1" applyFill="1" applyBorder="1" applyAlignment="1" applyProtection="1">
      <alignment horizontal="center" vertical="center"/>
    </xf>
    <xf numFmtId="0" fontId="75" fillId="4" borderId="77" xfId="54" applyFont="1" applyFill="1" applyBorder="1" applyAlignment="1" applyProtection="1">
      <alignment horizontal="center" vertical="center"/>
    </xf>
    <xf numFmtId="0" fontId="75" fillId="4" borderId="5" xfId="54" applyFont="1" applyFill="1" applyBorder="1" applyAlignment="1" applyProtection="1">
      <alignment horizontal="center" vertical="center"/>
    </xf>
    <xf numFmtId="0" fontId="18" fillId="4" borderId="0" xfId="54" applyFont="1" applyFill="1" applyBorder="1" applyAlignment="1">
      <alignment horizontal="center"/>
    </xf>
    <xf numFmtId="0" fontId="75" fillId="4" borderId="0" xfId="54" applyFont="1" applyFill="1" applyAlignment="1" applyProtection="1">
      <alignment horizontal="center" vertical="center"/>
    </xf>
    <xf numFmtId="0" fontId="77" fillId="4" borderId="0" xfId="54" applyFont="1" applyFill="1" applyAlignment="1" applyProtection="1">
      <alignment horizontal="center" vertical="center"/>
    </xf>
    <xf numFmtId="0" fontId="75" fillId="4" borderId="13" xfId="54" applyFont="1" applyFill="1" applyBorder="1" applyAlignment="1" applyProtection="1">
      <alignment horizontal="center" vertical="center"/>
    </xf>
    <xf numFmtId="0" fontId="75" fillId="4" borderId="39" xfId="54" applyFont="1" applyFill="1" applyBorder="1" applyAlignment="1" applyProtection="1">
      <alignment horizontal="center" vertical="center"/>
    </xf>
    <xf numFmtId="0" fontId="75" fillId="4" borderId="14" xfId="54" applyFont="1" applyFill="1" applyBorder="1" applyAlignment="1" applyProtection="1">
      <alignment horizontal="center" vertical="center"/>
    </xf>
    <xf numFmtId="0" fontId="75" fillId="4" borderId="15" xfId="54" applyFont="1" applyFill="1" applyBorder="1" applyAlignment="1" applyProtection="1">
      <alignment horizontal="center" vertical="center"/>
    </xf>
    <xf numFmtId="0" fontId="75" fillId="4" borderId="78" xfId="54" applyFont="1" applyFill="1" applyBorder="1" applyAlignment="1" applyProtection="1">
      <alignment horizontal="center" vertical="center"/>
    </xf>
    <xf numFmtId="0" fontId="75" fillId="4" borderId="0" xfId="57" applyFont="1" applyFill="1" applyAlignment="1" applyProtection="1">
      <alignment horizontal="center" vertical="center"/>
    </xf>
    <xf numFmtId="0" fontId="77" fillId="4" borderId="0" xfId="57" applyFont="1" applyFill="1" applyAlignment="1" applyProtection="1">
      <alignment horizontal="center" vertical="center"/>
    </xf>
    <xf numFmtId="0" fontId="75" fillId="4" borderId="13" xfId="57" applyFont="1" applyFill="1" applyBorder="1" applyAlignment="1" applyProtection="1">
      <alignment horizontal="center" vertical="center"/>
    </xf>
    <xf numFmtId="0" fontId="75" fillId="4" borderId="39" xfId="57" applyFont="1" applyFill="1" applyBorder="1" applyAlignment="1" applyProtection="1">
      <alignment horizontal="center" vertical="center"/>
    </xf>
    <xf numFmtId="0" fontId="75" fillId="4" borderId="14" xfId="57" applyFont="1" applyFill="1" applyBorder="1" applyAlignment="1" applyProtection="1">
      <alignment horizontal="center" vertical="center"/>
    </xf>
    <xf numFmtId="0" fontId="75" fillId="4" borderId="18" xfId="57" applyFont="1" applyFill="1" applyBorder="1" applyAlignment="1" applyProtection="1">
      <alignment horizontal="center"/>
    </xf>
    <xf numFmtId="0" fontId="75" fillId="4" borderId="21" xfId="57" applyFont="1" applyFill="1" applyBorder="1" applyAlignment="1" applyProtection="1">
      <alignment horizontal="center"/>
    </xf>
    <xf numFmtId="0" fontId="95" fillId="0" borderId="77" xfId="58" applyFont="1" applyBorder="1" applyAlignment="1">
      <alignment horizontal="center"/>
    </xf>
    <xf numFmtId="0" fontId="95" fillId="0" borderId="5" xfId="58" applyFont="1" applyBorder="1" applyAlignment="1">
      <alignment horizontal="center"/>
    </xf>
    <xf numFmtId="170" fontId="75" fillId="4" borderId="19" xfId="57" applyNumberFormat="1" applyFont="1" applyFill="1" applyBorder="1" applyAlignment="1" applyProtection="1">
      <alignment horizontal="center" vertical="center"/>
    </xf>
    <xf numFmtId="170" fontId="75" fillId="4" borderId="7" xfId="57" applyNumberFormat="1" applyFont="1" applyFill="1" applyBorder="1" applyAlignment="1" applyProtection="1">
      <alignment horizontal="center" vertical="center"/>
    </xf>
    <xf numFmtId="0" fontId="76" fillId="4" borderId="0" xfId="59" applyFont="1" applyFill="1" applyAlignment="1" applyProtection="1">
      <alignment horizontal="left" vertical="center" wrapText="1"/>
    </xf>
    <xf numFmtId="0" fontId="75" fillId="4" borderId="0" xfId="59" applyFont="1" applyFill="1" applyAlignment="1" applyProtection="1">
      <alignment horizontal="left" vertical="center" wrapText="1"/>
    </xf>
    <xf numFmtId="0" fontId="76" fillId="4" borderId="0" xfId="59" applyFont="1" applyFill="1" applyAlignment="1" applyProtection="1">
      <alignment horizontal="left" wrapText="1"/>
    </xf>
    <xf numFmtId="0" fontId="25" fillId="4" borderId="0" xfId="59" applyFont="1" applyFill="1" applyAlignment="1">
      <alignment horizontal="left" wrapText="1"/>
    </xf>
    <xf numFmtId="0" fontId="75" fillId="4" borderId="77" xfId="57" applyFont="1" applyFill="1" applyBorder="1" applyAlignment="1" applyProtection="1">
      <alignment horizontal="center" vertical="center" wrapText="1"/>
    </xf>
    <xf numFmtId="0" fontId="16" fillId="0" borderId="19" xfId="57" applyBorder="1" applyAlignment="1">
      <alignment horizontal="center" vertical="center" wrapText="1"/>
    </xf>
    <xf numFmtId="0" fontId="16" fillId="0" borderId="57" xfId="57" applyBorder="1" applyAlignment="1">
      <alignment horizontal="center" vertical="center" wrapText="1"/>
    </xf>
    <xf numFmtId="37" fontId="75" fillId="4" borderId="13" xfId="57" applyNumberFormat="1" applyFont="1" applyFill="1" applyBorder="1" applyAlignment="1" applyProtection="1">
      <alignment horizontal="center" vertical="center"/>
    </xf>
    <xf numFmtId="37" fontId="75" fillId="4" borderId="39" xfId="57" applyNumberFormat="1" applyFont="1" applyFill="1" applyBorder="1" applyAlignment="1" applyProtection="1">
      <alignment horizontal="center" vertical="center"/>
    </xf>
    <xf numFmtId="37" fontId="75" fillId="4" borderId="14" xfId="57" applyNumberFormat="1" applyFont="1" applyFill="1" applyBorder="1" applyAlignment="1" applyProtection="1">
      <alignment horizontal="center" vertical="center"/>
    </xf>
    <xf numFmtId="0" fontId="95" fillId="0" borderId="4" xfId="58" applyFont="1" applyBorder="1" applyAlignment="1">
      <alignment horizontal="center"/>
    </xf>
    <xf numFmtId="170" fontId="75" fillId="4" borderId="22" xfId="57" applyNumberFormat="1" applyFont="1" applyFill="1" applyBorder="1" applyAlignment="1" applyProtection="1">
      <alignment horizontal="center" vertical="center"/>
    </xf>
    <xf numFmtId="170" fontId="75" fillId="4" borderId="50" xfId="57" applyNumberFormat="1" applyFont="1" applyFill="1" applyBorder="1" applyAlignment="1" applyProtection="1">
      <alignment horizontal="center" vertical="center"/>
    </xf>
    <xf numFmtId="0" fontId="25" fillId="4" borderId="0" xfId="59" applyFont="1" applyFill="1" applyAlignment="1">
      <alignment horizontal="left" vertical="center" wrapText="1"/>
    </xf>
    <xf numFmtId="0" fontId="76" fillId="4" borderId="0" xfId="59" applyFont="1" applyFill="1" applyAlignment="1">
      <alignment horizontal="left" vertical="center" wrapText="1"/>
    </xf>
    <xf numFmtId="0" fontId="75" fillId="4" borderId="0" xfId="59" applyFont="1" applyFill="1" applyAlignment="1">
      <alignment horizontal="left" vertical="center" wrapText="1"/>
    </xf>
    <xf numFmtId="0" fontId="76" fillId="4" borderId="0" xfId="59" applyFont="1" applyFill="1" applyAlignment="1">
      <alignment horizontal="left" wrapText="1"/>
    </xf>
    <xf numFmtId="0" fontId="75" fillId="4" borderId="77" xfId="57" applyFont="1" applyFill="1" applyBorder="1" applyAlignment="1">
      <alignment horizontal="center" vertical="center" wrapText="1"/>
    </xf>
    <xf numFmtId="37" fontId="75" fillId="4" borderId="13" xfId="57" applyNumberFormat="1" applyFont="1" applyFill="1" applyBorder="1" applyAlignment="1">
      <alignment horizontal="center" vertical="center"/>
    </xf>
    <xf numFmtId="37" fontId="75" fillId="4" borderId="39" xfId="57" applyNumberFormat="1" applyFont="1" applyFill="1" applyBorder="1" applyAlignment="1">
      <alignment horizontal="center" vertical="center"/>
    </xf>
    <xf numFmtId="37" fontId="75" fillId="4" borderId="14" xfId="57" applyNumberFormat="1" applyFont="1" applyFill="1" applyBorder="1" applyAlignment="1">
      <alignment horizontal="center" vertical="center"/>
    </xf>
    <xf numFmtId="0" fontId="95" fillId="0" borderId="4" xfId="63" applyFont="1" applyBorder="1" applyAlignment="1">
      <alignment horizontal="center"/>
    </xf>
    <xf numFmtId="0" fontId="95" fillId="0" borderId="5" xfId="63" applyFont="1" applyBorder="1" applyAlignment="1">
      <alignment horizontal="center"/>
    </xf>
    <xf numFmtId="170" fontId="75" fillId="4" borderId="22" xfId="57" applyNumberFormat="1" applyFont="1" applyFill="1" applyBorder="1" applyAlignment="1">
      <alignment horizontal="center" vertical="center"/>
    </xf>
    <xf numFmtId="170" fontId="75" fillId="4" borderId="50" xfId="57" applyNumberFormat="1" applyFont="1" applyFill="1" applyBorder="1" applyAlignment="1">
      <alignment horizontal="center" vertical="center"/>
    </xf>
    <xf numFmtId="0" fontId="75" fillId="4" borderId="0" xfId="57" applyFont="1" applyFill="1" applyAlignment="1">
      <alignment horizontal="center" vertical="center"/>
    </xf>
    <xf numFmtId="0" fontId="77" fillId="4" borderId="0" xfId="57" applyFont="1" applyFill="1" applyAlignment="1">
      <alignment horizontal="center" vertical="center"/>
    </xf>
    <xf numFmtId="0" fontId="75" fillId="4" borderId="13" xfId="57" applyFont="1" applyFill="1" applyBorder="1" applyAlignment="1">
      <alignment horizontal="center" vertical="center"/>
    </xf>
    <xf numFmtId="0" fontId="75" fillId="4" borderId="39" xfId="57" applyFont="1" applyFill="1" applyBorder="1" applyAlignment="1">
      <alignment horizontal="center" vertical="center"/>
    </xf>
    <xf numFmtId="0" fontId="75" fillId="4" borderId="14" xfId="57" applyFont="1" applyFill="1" applyBorder="1" applyAlignment="1">
      <alignment horizontal="center" vertical="center"/>
    </xf>
    <xf numFmtId="0" fontId="75" fillId="4" borderId="18" xfId="57" applyFont="1" applyFill="1" applyBorder="1" applyAlignment="1">
      <alignment horizontal="center"/>
    </xf>
    <xf numFmtId="0" fontId="75" fillId="4" borderId="21" xfId="57" applyFont="1" applyFill="1" applyBorder="1" applyAlignment="1">
      <alignment horizontal="center"/>
    </xf>
    <xf numFmtId="0" fontId="95" fillId="0" borderId="77" xfId="63" applyFont="1" applyBorder="1" applyAlignment="1">
      <alignment horizontal="center"/>
    </xf>
    <xf numFmtId="170" fontId="75" fillId="4" borderId="19" xfId="57" applyNumberFormat="1" applyFont="1" applyFill="1" applyBorder="1" applyAlignment="1">
      <alignment horizontal="center" vertical="center"/>
    </xf>
    <xf numFmtId="170" fontId="75" fillId="4" borderId="7" xfId="57" applyNumberFormat="1" applyFont="1" applyFill="1" applyBorder="1" applyAlignment="1">
      <alignment horizontal="center" vertical="center"/>
    </xf>
    <xf numFmtId="0" fontId="95" fillId="0" borderId="77" xfId="64" applyFont="1" applyBorder="1" applyAlignment="1">
      <alignment horizontal="center"/>
    </xf>
    <xf numFmtId="0" fontId="95" fillId="0" borderId="5" xfId="64" applyFont="1" applyBorder="1" applyAlignment="1">
      <alignment horizontal="center"/>
    </xf>
    <xf numFmtId="0" fontId="95" fillId="0" borderId="4" xfId="64" applyFont="1" applyBorder="1" applyAlignment="1">
      <alignment horizontal="center"/>
    </xf>
    <xf numFmtId="0" fontId="95" fillId="0" borderId="77" xfId="65" applyFont="1" applyBorder="1" applyAlignment="1">
      <alignment horizontal="center"/>
    </xf>
    <xf numFmtId="0" fontId="95" fillId="0" borderId="5" xfId="65" applyFont="1" applyBorder="1" applyAlignment="1">
      <alignment horizontal="center"/>
    </xf>
    <xf numFmtId="0" fontId="95" fillId="0" borderId="4" xfId="65" applyFont="1" applyBorder="1" applyAlignment="1">
      <alignment horizontal="center"/>
    </xf>
    <xf numFmtId="0" fontId="95" fillId="0" borderId="77" xfId="66" applyFont="1" applyBorder="1" applyAlignment="1">
      <alignment horizontal="center"/>
    </xf>
    <xf numFmtId="0" fontId="95" fillId="0" borderId="5" xfId="66" applyFont="1" applyBorder="1" applyAlignment="1">
      <alignment horizontal="center"/>
    </xf>
    <xf numFmtId="0" fontId="95" fillId="0" borderId="4" xfId="66" applyFont="1" applyBorder="1" applyAlignment="1">
      <alignment horizontal="center"/>
    </xf>
    <xf numFmtId="170" fontId="75" fillId="4" borderId="15" xfId="57" applyNumberFormat="1" applyFont="1" applyFill="1" applyBorder="1" applyAlignment="1">
      <alignment horizontal="center" vertical="center"/>
    </xf>
    <xf numFmtId="170" fontId="75" fillId="4" borderId="78" xfId="57" applyNumberFormat="1" applyFont="1" applyFill="1" applyBorder="1" applyAlignment="1">
      <alignment horizontal="center" vertical="center"/>
    </xf>
    <xf numFmtId="37" fontId="75" fillId="0" borderId="13" xfId="57" applyNumberFormat="1" applyFont="1" applyBorder="1" applyAlignment="1">
      <alignment horizontal="center" vertical="center"/>
    </xf>
    <xf numFmtId="37" fontId="75" fillId="0" borderId="39" xfId="57" applyNumberFormat="1" applyFont="1" applyBorder="1" applyAlignment="1">
      <alignment horizontal="center" vertical="center"/>
    </xf>
    <xf numFmtId="170" fontId="75" fillId="4" borderId="77" xfId="57" applyNumberFormat="1" applyFont="1" applyFill="1" applyBorder="1" applyAlignment="1">
      <alignment horizontal="center" vertical="center"/>
    </xf>
    <xf numFmtId="170" fontId="75" fillId="4" borderId="5" xfId="57" applyNumberFormat="1" applyFont="1" applyFill="1" applyBorder="1" applyAlignment="1">
      <alignment horizontal="center" vertical="center"/>
    </xf>
    <xf numFmtId="172" fontId="79" fillId="0" borderId="19" xfId="57" quotePrefix="1" applyNumberFormat="1" applyFont="1" applyBorder="1" applyAlignment="1">
      <alignment horizontal="left" vertical="center" indent="1"/>
    </xf>
    <xf numFmtId="0" fontId="79" fillId="0" borderId="31" xfId="57" applyFont="1" applyBorder="1" applyAlignment="1">
      <alignment horizontal="left" vertical="center" indent="2"/>
    </xf>
    <xf numFmtId="0" fontId="19" fillId="4" borderId="0" xfId="57" quotePrefix="1" applyFont="1" applyFill="1" applyAlignment="1">
      <alignment vertical="center"/>
    </xf>
    <xf numFmtId="0" fontId="79" fillId="0" borderId="30" xfId="57" applyFont="1" applyBorder="1" applyAlignment="1">
      <alignment horizontal="left" vertical="center" indent="2"/>
    </xf>
    <xf numFmtId="37" fontId="75" fillId="0" borderId="30" xfId="57" quotePrefix="1" applyNumberFormat="1" applyFont="1" applyBorder="1" applyAlignment="1" applyProtection="1">
      <alignment horizontal="center" vertical="center"/>
      <protection locked="0"/>
    </xf>
    <xf numFmtId="3" fontId="95" fillId="0" borderId="79" xfId="67" applyNumberFormat="1" applyFont="1" applyBorder="1" applyAlignment="1">
      <alignment horizontal="right" vertical="center"/>
    </xf>
    <xf numFmtId="166" fontId="75" fillId="4" borderId="78" xfId="60" applyNumberFormat="1" applyFont="1" applyFill="1" applyBorder="1" applyAlignment="1" applyProtection="1">
      <alignment horizontal="right" vertical="center"/>
    </xf>
    <xf numFmtId="3" fontId="132" fillId="0" borderId="30" xfId="67" applyNumberFormat="1" applyFont="1" applyBorder="1" applyAlignment="1">
      <alignment horizontal="left" vertical="center"/>
    </xf>
    <xf numFmtId="0" fontId="132" fillId="0" borderId="30" xfId="67" applyFont="1" applyBorder="1" applyAlignment="1">
      <alignment horizontal="left" vertical="center"/>
    </xf>
    <xf numFmtId="3" fontId="95" fillId="0" borderId="59" xfId="67" applyNumberFormat="1" applyFont="1" applyBorder="1" applyAlignment="1">
      <alignment horizontal="right" vertical="center"/>
    </xf>
    <xf numFmtId="37" fontId="79" fillId="4" borderId="55" xfId="57" applyNumberFormat="1" applyFont="1" applyFill="1" applyBorder="1" applyAlignment="1" applyProtection="1">
      <alignment horizontal="left" vertical="center"/>
      <protection locked="0"/>
    </xf>
    <xf numFmtId="0" fontId="21" fillId="0" borderId="0" xfId="0" pivotButton="1" applyFont="1"/>
    <xf numFmtId="0" fontId="21" fillId="0" borderId="0" xfId="0" applyFont="1" applyAlignment="1">
      <alignment horizontal="right"/>
    </xf>
    <xf numFmtId="0" fontId="21" fillId="0" borderId="0" xfId="0" applyFont="1" applyAlignment="1">
      <alignment horizontal="left"/>
    </xf>
  </cellXfs>
  <cellStyles count="68">
    <cellStyle name="Comma" xfId="1" builtinId="3"/>
    <cellStyle name="Comma 10" xfId="49" xr:uid="{00000000-0005-0000-0000-000001000000}"/>
    <cellStyle name="Comma 11" xfId="53" xr:uid="{00000000-0005-0000-0000-000002000000}"/>
    <cellStyle name="Comma 12" xfId="55" xr:uid="{00000000-0005-0000-0000-000003000000}"/>
    <cellStyle name="Comma 2" xfId="2" xr:uid="{00000000-0005-0000-0000-000004000000}"/>
    <cellStyle name="Comma 2 2" xfId="62" xr:uid="{9D6A7330-138D-4558-8D23-DAE7841CD8F0}"/>
    <cellStyle name="Comma 3" xfId="3" xr:uid="{00000000-0005-0000-0000-000005000000}"/>
    <cellStyle name="Comma 3 2" xfId="60" xr:uid="{0306A28C-E32D-4837-948C-A36518EAD100}"/>
    <cellStyle name="Comma 4" xfId="4" xr:uid="{00000000-0005-0000-0000-000006000000}"/>
    <cellStyle name="Comma 5" xfId="35" xr:uid="{00000000-0005-0000-0000-000007000000}"/>
    <cellStyle name="Comma 6" xfId="37" xr:uid="{00000000-0005-0000-0000-000008000000}"/>
    <cellStyle name="Comma 7" xfId="41" xr:uid="{00000000-0005-0000-0000-000009000000}"/>
    <cellStyle name="Comma 8" xfId="43" xr:uid="{00000000-0005-0000-0000-00000A000000}"/>
    <cellStyle name="Comma 9" xfId="46" xr:uid="{00000000-0005-0000-0000-00000B000000}"/>
    <cellStyle name="Currency" xfId="5" builtinId="4"/>
    <cellStyle name="footnote" xfId="6" xr:uid="{00000000-0005-0000-0000-00000D000000}"/>
    <cellStyle name="Normal" xfId="0" builtinId="0"/>
    <cellStyle name="Normal 10" xfId="31" xr:uid="{00000000-0005-0000-0000-00000F000000}"/>
    <cellStyle name="Normal 11" xfId="32" xr:uid="{00000000-0005-0000-0000-000010000000}"/>
    <cellStyle name="Normal 12" xfId="33" xr:uid="{00000000-0005-0000-0000-000011000000}"/>
    <cellStyle name="Normal 13" xfId="36" xr:uid="{00000000-0005-0000-0000-000012000000}"/>
    <cellStyle name="Normal 14" xfId="39" xr:uid="{00000000-0005-0000-0000-000013000000}"/>
    <cellStyle name="Normal 15" xfId="42" xr:uid="{00000000-0005-0000-0000-000014000000}"/>
    <cellStyle name="Normal 16" xfId="45" xr:uid="{00000000-0005-0000-0000-000015000000}"/>
    <cellStyle name="Normal 17" xfId="48" xr:uid="{00000000-0005-0000-0000-000016000000}"/>
    <cellStyle name="Normal 18" xfId="51" xr:uid="{00000000-0005-0000-0000-000017000000}"/>
    <cellStyle name="Normal 19" xfId="54" xr:uid="{00000000-0005-0000-0000-000018000000}"/>
    <cellStyle name="Normal 2" xfId="7" xr:uid="{00000000-0005-0000-0000-000019000000}"/>
    <cellStyle name="Normal 2 2" xfId="8" xr:uid="{00000000-0005-0000-0000-00001A000000}"/>
    <cellStyle name="Normal 2 3" xfId="9" xr:uid="{00000000-0005-0000-0000-00001B000000}"/>
    <cellStyle name="Normal 2 4" xfId="57" xr:uid="{9C4D47A9-DEF1-41E7-ACB6-20F5BA3891FB}"/>
    <cellStyle name="Normal 20" xfId="58" xr:uid="{36A645DD-8ED7-44A1-9144-7EB42B69E9D1}"/>
    <cellStyle name="Normal 21" xfId="63" xr:uid="{23E63A59-C219-46C5-A485-4AD8E8C1CF4F}"/>
    <cellStyle name="Normal 22" xfId="64" xr:uid="{C3ABBC2A-9A54-4AF5-8595-DA6FC3F99F37}"/>
    <cellStyle name="Normal 23" xfId="65" xr:uid="{5E4ACAC1-170C-489F-BE6B-AEBB698167A4}"/>
    <cellStyle name="Normal 24" xfId="66" xr:uid="{ED03C72D-2F50-4B30-941A-08C3E820500A}"/>
    <cellStyle name="Normal 25" xfId="67" xr:uid="{F87C6E89-4031-47C2-9A56-12C8060109C8}"/>
    <cellStyle name="Normal 3" xfId="10" xr:uid="{00000000-0005-0000-0000-00001C000000}"/>
    <cellStyle name="Normal 3 2" xfId="59" xr:uid="{9ED04F57-33C4-407B-B94F-7A9628A80062}"/>
    <cellStyle name="Normal 3 4" xfId="11" xr:uid="{00000000-0005-0000-0000-00001D000000}"/>
    <cellStyle name="Normal 4" xfId="12" xr:uid="{00000000-0005-0000-0000-00001E000000}"/>
    <cellStyle name="Normal 5" xfId="13" xr:uid="{00000000-0005-0000-0000-00001F000000}"/>
    <cellStyle name="Normal 6" xfId="14" xr:uid="{00000000-0005-0000-0000-000020000000}"/>
    <cellStyle name="Normal 7" xfId="15" xr:uid="{00000000-0005-0000-0000-000021000000}"/>
    <cellStyle name="Normal 8" xfId="16" xr:uid="{00000000-0005-0000-0000-000022000000}"/>
    <cellStyle name="Normal 9" xfId="17" xr:uid="{00000000-0005-0000-0000-000023000000}"/>
    <cellStyle name="Normal_BD0506Master" xfId="18" xr:uid="{00000000-0005-0000-0000-000024000000}"/>
    <cellStyle name="Normal_FILE001" xfId="19" xr:uid="{00000000-0005-0000-0000-000025000000}"/>
    <cellStyle name="Normal_HE Budget - 5 biennia - 24" xfId="20" xr:uid="{00000000-0005-0000-0000-000026000000}"/>
    <cellStyle name="Normal_HEAct-BudFTEEnrollment" xfId="21" xr:uid="{00000000-0005-0000-0000-000027000000}"/>
    <cellStyle name="Normal_High Demand Biennium 99 012" xfId="22" xr:uid="{00000000-0005-0000-0000-000028000000}"/>
    <cellStyle name="Normal_Sheet1 2" xfId="23" xr:uid="{00000000-0005-0000-0000-000029000000}"/>
    <cellStyle name="Normal_Workloads" xfId="24" xr:uid="{00000000-0005-0000-0000-00002A000000}"/>
    <cellStyle name="Percent" xfId="25" builtinId="5"/>
    <cellStyle name="Percent 10" xfId="47" xr:uid="{00000000-0005-0000-0000-00002C000000}"/>
    <cellStyle name="Percent 11" xfId="50" xr:uid="{00000000-0005-0000-0000-00002D000000}"/>
    <cellStyle name="Percent 12" xfId="52" xr:uid="{00000000-0005-0000-0000-00002E000000}"/>
    <cellStyle name="Percent 13" xfId="56" xr:uid="{00000000-0005-0000-0000-00002F000000}"/>
    <cellStyle name="Percent 2" xfId="26" xr:uid="{00000000-0005-0000-0000-000030000000}"/>
    <cellStyle name="Percent 2 2" xfId="27" xr:uid="{00000000-0005-0000-0000-000031000000}"/>
    <cellStyle name="Percent 2 3" xfId="61" xr:uid="{F341FFDE-0EA2-4759-BF51-241587A14D31}"/>
    <cellStyle name="Percent 3" xfId="28" xr:uid="{00000000-0005-0000-0000-000032000000}"/>
    <cellStyle name="Percent 4" xfId="29" xr:uid="{00000000-0005-0000-0000-000033000000}"/>
    <cellStyle name="Percent 5" xfId="30" xr:uid="{00000000-0005-0000-0000-000034000000}"/>
    <cellStyle name="Percent 6" xfId="34" xr:uid="{00000000-0005-0000-0000-000035000000}"/>
    <cellStyle name="Percent 7" xfId="38" xr:uid="{00000000-0005-0000-0000-000036000000}"/>
    <cellStyle name="Percent 8" xfId="40" xr:uid="{00000000-0005-0000-0000-000037000000}"/>
    <cellStyle name="Percent 9" xfId="44" xr:uid="{00000000-0005-0000-0000-000038000000}"/>
  </cellStyles>
  <dxfs count="4957">
    <dxf>
      <alignment horizontal="right" readingOrder="0"/>
    </dxf>
    <dxf>
      <alignment horizontal="right"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sz val="6"/>
      </font>
    </dxf>
    <dxf>
      <font>
        <sz val="6"/>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right" readingOrder="0"/>
    </dxf>
    <dxf>
      <alignment horizontal="right" readingOrder="0"/>
    </dxf>
    <dxf>
      <font>
        <sz val="8"/>
      </font>
    </dxf>
    <dxf>
      <font>
        <sz val="7"/>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3" formatCode="#,##0"/>
    </dxf>
    <dxf>
      <fill>
        <patternFill patternType="solid">
          <bgColor indexed="13"/>
        </patternFill>
      </fill>
    </dxf>
    <dxf>
      <fill>
        <patternFill patternType="none"/>
      </fill>
    </dxf>
    <dxf>
      <fill>
        <patternFill patternType="none"/>
      </fill>
    </dxf>
    <dxf>
      <fill>
        <patternFill patternType="none"/>
      </fill>
    </dxf>
    <dxf>
      <fill>
        <patternFill patternType="none"/>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solid">
          <bgColor indexed="13"/>
        </patternFill>
      </fill>
    </dxf>
    <dxf>
      <fill>
        <patternFill patternType="solid">
          <bgColor indexed="13"/>
        </patternFill>
      </fill>
    </dxf>
    <dxf>
      <alignment horizontal="centerContinuous" readingOrder="0"/>
    </dxf>
    <dxf>
      <alignment horizontal="centerContinuous"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indexed="13"/>
        </patternFill>
      </fill>
    </dxf>
    <dxf>
      <fill>
        <patternFill patternType="solid">
          <bgColor indexed="13"/>
        </patternFill>
      </fill>
    </dxf>
    <dxf>
      <fill>
        <patternFill patternType="solid">
          <bgColor indexed="13"/>
        </patternFill>
      </fill>
    </dxf>
    <dxf>
      <alignment horizontal="right" readingOrder="0"/>
    </dxf>
    <dxf>
      <font>
        <sz val="9"/>
      </font>
    </dxf>
    <dxf>
      <font>
        <sz val="9"/>
      </font>
    </dxf>
    <dxf>
      <font>
        <sz val="9"/>
      </font>
    </dxf>
    <dxf>
      <font>
        <sz val="9"/>
      </font>
    </dxf>
    <dxf>
      <font>
        <sz val="9"/>
      </font>
    </dxf>
    <dxf>
      <font>
        <sz val="9"/>
      </font>
    </dxf>
    <dxf>
      <font>
        <sz val="9"/>
      </font>
    </dxf>
    <dxf>
      <font>
        <sz val="9"/>
      </font>
    </dxf>
    <dxf>
      <font>
        <sz val="9"/>
      </font>
    </dxf>
    <dxf>
      <alignment horizontal="right" readingOrder="0"/>
    </dxf>
    <dxf>
      <alignment horizontal="right" readingOrder="0"/>
    </dxf>
    <dxf>
      <alignment horizontal="right" readingOrder="0"/>
    </dxf>
    <dxf>
      <alignment horizontal="right" readingOrder="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pivotCacheDefinition" Target="pivotCache/pivotCacheDefinition10.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pivotCacheDefinition" Target="pivotCache/pivotCacheDefinition5.xml"/><Relationship Id="rId66" Type="http://schemas.openxmlformats.org/officeDocument/2006/relationships/connections" Target="connections.xml"/><Relationship Id="rId5" Type="http://schemas.openxmlformats.org/officeDocument/2006/relationships/worksheet" Target="worksheets/sheet5.xml"/><Relationship Id="rId61" Type="http://schemas.openxmlformats.org/officeDocument/2006/relationships/pivotCacheDefinition" Target="pivotCache/pivotCacheDefinition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64" Type="http://schemas.openxmlformats.org/officeDocument/2006/relationships/pivotCacheDefinition" Target="pivotCache/pivotCacheDefinition11.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6.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62" Type="http://schemas.openxmlformats.org/officeDocument/2006/relationships/pivotCacheDefinition" Target="pivotCache/pivotCacheDefinition9.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pivotCacheDefinition" Target="pivotCache/pivotCacheDefinition7.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628650</xdr:colOff>
      <xdr:row>0</xdr:row>
      <xdr:rowOff>581025</xdr:rowOff>
    </xdr:to>
    <xdr:pic>
      <xdr:nvPicPr>
        <xdr:cNvPr id="16508" name="Picture 2" descr="1779b21a-0d2c-40ce-a41d-c7b7307a676e">
          <a:extLst>
            <a:ext uri="{FF2B5EF4-FFF2-40B4-BE49-F238E27FC236}">
              <a16:creationId xmlns:a16="http://schemas.microsoft.com/office/drawing/2014/main" id="{00000000-0008-0000-0800-00007C4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0"/>
        <a:stretch>
          <a:fillRect/>
        </a:stretch>
      </xdr:blipFill>
      <xdr:spPr bwMode="auto">
        <a:xfrm>
          <a:off x="3514725" y="38100"/>
          <a:ext cx="5334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0</xdr:row>
      <xdr:rowOff>581025</xdr:rowOff>
    </xdr:to>
    <xdr:pic>
      <xdr:nvPicPr>
        <xdr:cNvPr id="2" name="Picture 2" descr="1779b21a-0d2c-40ce-a41d-c7b7307a676e">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29025" y="38100"/>
          <a:ext cx="5810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F7265496-777D-4CF6-B21F-58411F62F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0997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8D5245A9-BDAF-4498-8BB9-9E555AC4B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0997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84DBEC93-1D38-4886-A47C-215B266618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0997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FDD43024-7445-4FCD-B93F-2F70B835E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1924050" y="38100"/>
          <a:ext cx="514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FB12ADAE-7EDD-4B59-99D9-76295A388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1924050" y="38100"/>
          <a:ext cx="514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910254AE-3B41-4C68-BB61-9B6DDD2D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5282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243418</xdr:colOff>
      <xdr:row>0</xdr:row>
      <xdr:rowOff>69850</xdr:rowOff>
    </xdr:from>
    <xdr:to>
      <xdr:col>2</xdr:col>
      <xdr:colOff>94193</xdr:colOff>
      <xdr:row>1</xdr:row>
      <xdr:rowOff>31750</xdr:rowOff>
    </xdr:to>
    <xdr:pic>
      <xdr:nvPicPr>
        <xdr:cNvPr id="2" name="Picture 2" descr="1779b21a-0d2c-40ce-a41d-c7b7307a676e">
          <a:extLst>
            <a:ext uri="{FF2B5EF4-FFF2-40B4-BE49-F238E27FC236}">
              <a16:creationId xmlns:a16="http://schemas.microsoft.com/office/drawing/2014/main" id="{46CF1AEC-BDA2-4452-B9D6-00F133E84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034243" y="69850"/>
          <a:ext cx="584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1</xdr:row>
      <xdr:rowOff>0</xdr:rowOff>
    </xdr:to>
    <xdr:pic>
      <xdr:nvPicPr>
        <xdr:cNvPr id="2" name="Picture 2" descr="1779b21a-0d2c-40ce-a41d-c7b7307a676e">
          <a:extLst>
            <a:ext uri="{FF2B5EF4-FFF2-40B4-BE49-F238E27FC236}">
              <a16:creationId xmlns:a16="http://schemas.microsoft.com/office/drawing/2014/main" id="{04A9E934-E3FA-4623-AF72-676338603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09975" y="38100"/>
          <a:ext cx="5810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247650</xdr:colOff>
      <xdr:row>0</xdr:row>
      <xdr:rowOff>0</xdr:rowOff>
    </xdr:from>
    <xdr:to>
      <xdr:col>4</xdr:col>
      <xdr:colOff>152400</xdr:colOff>
      <xdr:row>1</xdr:row>
      <xdr:rowOff>19050</xdr:rowOff>
    </xdr:to>
    <xdr:pic>
      <xdr:nvPicPr>
        <xdr:cNvPr id="45098" name="Picture 2" descr="1779b21a-0d2c-40ce-a41d-c7b7307a676e">
          <a:extLst>
            <a:ext uri="{FF2B5EF4-FFF2-40B4-BE49-F238E27FC236}">
              <a16:creationId xmlns:a16="http://schemas.microsoft.com/office/drawing/2014/main" id="{00000000-0008-0000-0F00-00002AB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0"/>
        <a:stretch>
          <a:fillRect/>
        </a:stretch>
      </xdr:blipFill>
      <xdr:spPr bwMode="auto">
        <a:xfrm>
          <a:off x="3676650" y="0"/>
          <a:ext cx="6000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247650</xdr:colOff>
      <xdr:row>0</xdr:row>
      <xdr:rowOff>0</xdr:rowOff>
    </xdr:from>
    <xdr:to>
      <xdr:col>4</xdr:col>
      <xdr:colOff>152400</xdr:colOff>
      <xdr:row>1</xdr:row>
      <xdr:rowOff>19050</xdr:rowOff>
    </xdr:to>
    <xdr:pic>
      <xdr:nvPicPr>
        <xdr:cNvPr id="2" name="Picture 2" descr="1779b21a-0d2c-40ce-a41d-c7b7307a676e">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1450"/>
        <a:stretch>
          <a:fillRect/>
        </a:stretch>
      </xdr:blipFill>
      <xdr:spPr bwMode="auto">
        <a:xfrm>
          <a:off x="3705225" y="0"/>
          <a:ext cx="1057275" cy="2095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247650</xdr:colOff>
      <xdr:row>0</xdr:row>
      <xdr:rowOff>0</xdr:rowOff>
    </xdr:from>
    <xdr:to>
      <xdr:col>4</xdr:col>
      <xdr:colOff>152400</xdr:colOff>
      <xdr:row>1</xdr:row>
      <xdr:rowOff>19050</xdr:rowOff>
    </xdr:to>
    <xdr:pic>
      <xdr:nvPicPr>
        <xdr:cNvPr id="2" name="Picture 2" descr="1779b21a-0d2c-40ce-a41d-c7b7307a676e">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t="1450"/>
        <a:stretch>
          <a:fillRect/>
        </a:stretch>
      </xdr:blipFill>
      <xdr:spPr bwMode="auto">
        <a:xfrm>
          <a:off x="3686175" y="0"/>
          <a:ext cx="609600" cy="5429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247650</xdr:colOff>
      <xdr:row>0</xdr:row>
      <xdr:rowOff>0</xdr:rowOff>
    </xdr:from>
    <xdr:to>
      <xdr:col>4</xdr:col>
      <xdr:colOff>152400</xdr:colOff>
      <xdr:row>1</xdr:row>
      <xdr:rowOff>19050</xdr:rowOff>
    </xdr:to>
    <xdr:pic>
      <xdr:nvPicPr>
        <xdr:cNvPr id="2" name="Picture 2" descr="1779b21a-0d2c-40ce-a41d-c7b7307a676e">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srcRect t="1450"/>
        <a:stretch>
          <a:fillRect/>
        </a:stretch>
      </xdr:blipFill>
      <xdr:spPr bwMode="auto">
        <a:xfrm>
          <a:off x="3705225" y="0"/>
          <a:ext cx="1057275" cy="209550"/>
        </a:xfrm>
        <a:prstGeom prst="rect">
          <a:avLst/>
        </a:prstGeom>
        <a:noFill/>
        <a:ln w="9525">
          <a:noFill/>
          <a:miter lim="800000"/>
          <a:headEnd/>
          <a:tailEnd/>
        </a:ln>
      </xdr:spPr>
    </xdr:pic>
    <xdr:clientData/>
  </xdr:twoCellAnchor>
  <xdr:twoCellAnchor>
    <xdr:from>
      <xdr:col>3</xdr:col>
      <xdr:colOff>247650</xdr:colOff>
      <xdr:row>0</xdr:row>
      <xdr:rowOff>0</xdr:rowOff>
    </xdr:from>
    <xdr:to>
      <xdr:col>4</xdr:col>
      <xdr:colOff>152400</xdr:colOff>
      <xdr:row>1</xdr:row>
      <xdr:rowOff>19050</xdr:rowOff>
    </xdr:to>
    <xdr:pic>
      <xdr:nvPicPr>
        <xdr:cNvPr id="3" name="Picture 2" descr="1779b21a-0d2c-40ce-a41d-c7b7307a676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srcRect t="1450"/>
        <a:stretch>
          <a:fillRect/>
        </a:stretch>
      </xdr:blipFill>
      <xdr:spPr bwMode="auto">
        <a:xfrm>
          <a:off x="3705225" y="0"/>
          <a:ext cx="1057275" cy="2095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270344</xdr:colOff>
      <xdr:row>0</xdr:row>
      <xdr:rowOff>0</xdr:rowOff>
    </xdr:from>
    <xdr:to>
      <xdr:col>4</xdr:col>
      <xdr:colOff>166977</xdr:colOff>
      <xdr:row>1</xdr:row>
      <xdr:rowOff>15903</xdr:rowOff>
    </xdr:to>
    <xdr:pic>
      <xdr:nvPicPr>
        <xdr:cNvPr id="2" name="Picture 2" descr="1779b21a-0d2c-40ce-a41d-c7b7307a676e">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3" name="Picture 2" descr="1779b21a-0d2c-40ce-a41d-c7b7307a676e">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4" name="Picture 2" descr="1779b21a-0d2c-40ce-a41d-c7b7307a676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5" name="Picture 2" descr="1779b21a-0d2c-40ce-a41d-c7b7307a676e">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6" name="Picture 2" descr="1779b21a-0d2c-40ce-a41d-c7b7307a676e">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270344</xdr:colOff>
      <xdr:row>0</xdr:row>
      <xdr:rowOff>0</xdr:rowOff>
    </xdr:from>
    <xdr:to>
      <xdr:col>4</xdr:col>
      <xdr:colOff>166977</xdr:colOff>
      <xdr:row>1</xdr:row>
      <xdr:rowOff>15903</xdr:rowOff>
    </xdr:to>
    <xdr:pic>
      <xdr:nvPicPr>
        <xdr:cNvPr id="7" name="Picture 2" descr="1779b21a-0d2c-40ce-a41d-c7b7307a676e">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99344" y="0"/>
          <a:ext cx="591958" cy="539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103367</xdr:colOff>
      <xdr:row>0</xdr:row>
      <xdr:rowOff>39757</xdr:rowOff>
    </xdr:from>
    <xdr:to>
      <xdr:col>3</xdr:col>
      <xdr:colOff>731520</xdr:colOff>
      <xdr:row>0</xdr:row>
      <xdr:rowOff>580445</xdr:rowOff>
    </xdr:to>
    <xdr:pic>
      <xdr:nvPicPr>
        <xdr:cNvPr id="2" name="Picture 2" descr="1779b21a-0d2c-40ce-a41d-c7b7307a676e">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32367" y="39757"/>
          <a:ext cx="590053" cy="483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0</xdr:row>
      <xdr:rowOff>581025</xdr:rowOff>
    </xdr:to>
    <xdr:pic>
      <xdr:nvPicPr>
        <xdr:cNvPr id="2" name="Picture 2" descr="1779b21a-0d2c-40ce-a41d-c7b7307a676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629025" y="38100"/>
          <a:ext cx="5810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95250</xdr:colOff>
      <xdr:row>0</xdr:row>
      <xdr:rowOff>38100</xdr:rowOff>
    </xdr:from>
    <xdr:to>
      <xdr:col>3</xdr:col>
      <xdr:colOff>676275</xdr:colOff>
      <xdr:row>0</xdr:row>
      <xdr:rowOff>581025</xdr:rowOff>
    </xdr:to>
    <xdr:pic>
      <xdr:nvPicPr>
        <xdr:cNvPr id="2" name="Picture 2" descr="1779b21a-0d2c-40ce-a41d-c7b7307a676e">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5282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0</xdr:row>
      <xdr:rowOff>38100</xdr:rowOff>
    </xdr:from>
    <xdr:to>
      <xdr:col>3</xdr:col>
      <xdr:colOff>676275</xdr:colOff>
      <xdr:row>0</xdr:row>
      <xdr:rowOff>581025</xdr:rowOff>
    </xdr:to>
    <xdr:pic>
      <xdr:nvPicPr>
        <xdr:cNvPr id="3" name="Picture 2" descr="1779b21a-0d2c-40ce-a41d-c7b7307a676e">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5282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0</xdr:row>
      <xdr:rowOff>38100</xdr:rowOff>
    </xdr:from>
    <xdr:to>
      <xdr:col>3</xdr:col>
      <xdr:colOff>676275</xdr:colOff>
      <xdr:row>0</xdr:row>
      <xdr:rowOff>581025</xdr:rowOff>
    </xdr:to>
    <xdr:pic>
      <xdr:nvPicPr>
        <xdr:cNvPr id="4" name="Picture 2" descr="1779b21a-0d2c-40ce-a41d-c7b7307a676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50"/>
        <a:stretch>
          <a:fillRect/>
        </a:stretch>
      </xdr:blipFill>
      <xdr:spPr bwMode="auto">
        <a:xfrm>
          <a:off x="3552825" y="38100"/>
          <a:ext cx="581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fiscal.wa.gov/inflation.xls" TargetMode="External"/><Relationship Id="rId1" Type="http://schemas.openxmlformats.org/officeDocument/2006/relationships/externalLinkPath" Target="http://fiscal.wa.gov/infl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PDforSQL"/>
      <sheetName val="IPD"/>
      <sheetName val="CYIPD"/>
      <sheetName val="SeattleCPI"/>
      <sheetName val="CYSeattleCPI"/>
      <sheetName val="I732CPI"/>
      <sheetName val="I601GrowthFactors"/>
      <sheetName val="Pop"/>
      <sheetName val="Income-PerCap"/>
      <sheetName val="NGFOutlook"/>
      <sheetName val="FIS2009"/>
      <sheetName val="FIS2008"/>
      <sheetName val="Income-Poverty"/>
      <sheetName val="Income-Median"/>
      <sheetName val="GFS&amp;Legacy&amp;OPA"/>
    </sheetNames>
    <sheetDataSet>
      <sheetData sheetId="0"/>
      <sheetData sheetId="1">
        <row r="1">
          <cell r="C1" t="str">
            <v xml:space="preserve">From Economic and Revenue Forecast Council (ERFC)--data corresponds to November 2024 Update </v>
          </cell>
        </row>
        <row r="37">
          <cell r="G37">
            <v>0.58887353911000417</v>
          </cell>
        </row>
        <row r="38">
          <cell r="G38">
            <v>0.61436537627686072</v>
          </cell>
        </row>
        <row r="39">
          <cell r="G39">
            <v>0.63111456201030558</v>
          </cell>
        </row>
        <row r="40">
          <cell r="G40">
            <v>0.64780324496566466</v>
          </cell>
        </row>
        <row r="41">
          <cell r="G41">
            <v>0.66192055985237319</v>
          </cell>
        </row>
        <row r="42">
          <cell r="G42">
            <v>0.67662273492724545</v>
          </cell>
        </row>
        <row r="43">
          <cell r="G43">
            <v>0.69013502203309496</v>
          </cell>
        </row>
        <row r="44">
          <cell r="G44">
            <v>0.70480694571892422</v>
          </cell>
        </row>
        <row r="45">
          <cell r="G45">
            <v>0.71278322862991461</v>
          </cell>
        </row>
        <row r="46">
          <cell r="G46">
            <v>0.71967046153535885</v>
          </cell>
        </row>
        <row r="47">
          <cell r="G47">
            <v>0.7350583347618711</v>
          </cell>
        </row>
        <row r="48">
          <cell r="G48">
            <v>0.75343101170728755</v>
          </cell>
        </row>
        <row r="49">
          <cell r="G49">
            <v>0.76272827193981985</v>
          </cell>
        </row>
        <row r="50">
          <cell r="G50">
            <v>0.77762203914529737</v>
          </cell>
        </row>
        <row r="51">
          <cell r="G51">
            <v>0.79451239802760931</v>
          </cell>
        </row>
        <row r="52">
          <cell r="G52">
            <v>0.81531526989280922</v>
          </cell>
        </row>
        <row r="53">
          <cell r="G53">
            <v>0.84119029132087653</v>
          </cell>
        </row>
        <row r="54">
          <cell r="G54">
            <v>0.86137805160886971</v>
          </cell>
        </row>
        <row r="55">
          <cell r="G55">
            <v>0.88781776563240522</v>
          </cell>
        </row>
        <row r="56">
          <cell r="G56">
            <v>0.89674192540007458</v>
          </cell>
        </row>
        <row r="57">
          <cell r="G57">
            <v>0.90617027498512637</v>
          </cell>
        </row>
        <row r="58">
          <cell r="G58">
            <v>0.92297996349665712</v>
          </cell>
        </row>
        <row r="59">
          <cell r="G59">
            <v>0.94548699694460958</v>
          </cell>
        </row>
        <row r="60">
          <cell r="G60">
            <v>0.95968498220209941</v>
          </cell>
        </row>
        <row r="61">
          <cell r="G61">
            <v>0.97301576097369136</v>
          </cell>
        </row>
        <row r="62">
          <cell r="G62">
            <v>0.98012483739878375</v>
          </cell>
        </row>
        <row r="63">
          <cell r="G63">
            <v>0.98503564622008877</v>
          </cell>
        </row>
        <row r="64">
          <cell r="G64">
            <v>1</v>
          </cell>
        </row>
        <row r="65">
          <cell r="G65">
            <v>1.0185441014833265</v>
          </cell>
        </row>
        <row r="66">
          <cell r="G66">
            <v>1.0365235103711845</v>
          </cell>
        </row>
        <row r="67">
          <cell r="G67">
            <v>1.049007250249574</v>
          </cell>
        </row>
        <row r="68">
          <cell r="G68">
            <v>1.0708487531385813</v>
          </cell>
        </row>
        <row r="69">
          <cell r="G69">
            <v>1.1352741280037109</v>
          </cell>
        </row>
        <row r="70">
          <cell r="G70">
            <v>1.1966239449828069</v>
          </cell>
        </row>
        <row r="71">
          <cell r="G71">
            <v>1.230777763212294</v>
          </cell>
        </row>
        <row r="72">
          <cell r="G72">
            <v>1.257096471679658</v>
          </cell>
        </row>
      </sheetData>
      <sheetData sheetId="2"/>
      <sheetData sheetId="3">
        <row r="33">
          <cell r="G33">
            <v>0.44511130679272681</v>
          </cell>
        </row>
        <row r="34">
          <cell r="G34">
            <v>0.47079451885495355</v>
          </cell>
        </row>
        <row r="35">
          <cell r="G35">
            <v>0.50671239437054882</v>
          </cell>
        </row>
        <row r="36">
          <cell r="G36">
            <v>0.52718172127728591</v>
          </cell>
        </row>
        <row r="37">
          <cell r="G37">
            <v>0.54475444531986217</v>
          </cell>
        </row>
        <row r="38">
          <cell r="G38">
            <v>0.56058920764394182</v>
          </cell>
        </row>
        <row r="39">
          <cell r="G39">
            <v>0.58009300026262522</v>
          </cell>
        </row>
        <row r="40">
          <cell r="G40">
            <v>0.59650708315953704</v>
          </cell>
        </row>
        <row r="41">
          <cell r="G41">
            <v>0.62045233350326723</v>
          </cell>
        </row>
        <row r="42">
          <cell r="G42">
            <v>0.63861982666728445</v>
          </cell>
        </row>
        <row r="43">
          <cell r="G43">
            <v>0.65747478024439598</v>
          </cell>
        </row>
        <row r="44">
          <cell r="G44">
            <v>0.67844618498092102</v>
          </cell>
        </row>
        <row r="45">
          <cell r="G45">
            <v>0.7058866694474053</v>
          </cell>
        </row>
        <row r="46">
          <cell r="G46">
            <v>0.724656656007168</v>
          </cell>
        </row>
        <row r="47">
          <cell r="G47">
            <v>0.73757550478132561</v>
          </cell>
        </row>
        <row r="48">
          <cell r="G48">
            <v>0.74744712734238605</v>
          </cell>
        </row>
        <row r="49">
          <cell r="G49">
            <v>0.76192241738888622</v>
          </cell>
        </row>
        <row r="50">
          <cell r="G50">
            <v>0.78603373963016165</v>
          </cell>
        </row>
        <row r="51">
          <cell r="G51">
            <v>0.81740587971760048</v>
          </cell>
        </row>
        <row r="52">
          <cell r="G52">
            <v>0.85178662464661437</v>
          </cell>
        </row>
        <row r="53">
          <cell r="G53">
            <v>0.87183497860376014</v>
          </cell>
        </row>
        <row r="54">
          <cell r="G54">
            <v>0.87419474440376321</v>
          </cell>
        </row>
        <row r="55">
          <cell r="G55">
            <v>0.88447961564011046</v>
          </cell>
        </row>
        <row r="56">
          <cell r="G56">
            <v>0.91159568058580875</v>
          </cell>
        </row>
        <row r="57">
          <cell r="G57">
            <v>0.92837666651218098</v>
          </cell>
        </row>
        <row r="58">
          <cell r="G58">
            <v>0.9413148259720997</v>
          </cell>
        </row>
        <row r="59">
          <cell r="G59">
            <v>0.95505630995967916</v>
          </cell>
        </row>
        <row r="60">
          <cell r="G60">
            <v>0.97357139546739557</v>
          </cell>
        </row>
        <row r="61">
          <cell r="G61">
            <v>1</v>
          </cell>
        </row>
        <row r="62">
          <cell r="G62">
            <v>1.0314802799277007</v>
          </cell>
        </row>
        <row r="63">
          <cell r="G63">
            <v>1.0601296133228282</v>
          </cell>
        </row>
        <row r="64">
          <cell r="G64">
            <v>1.0824102825539539</v>
          </cell>
        </row>
        <row r="65">
          <cell r="G65">
            <v>1.1088273006751015</v>
          </cell>
        </row>
        <row r="66">
          <cell r="G66">
            <v>1.1930334770048352</v>
          </cell>
        </row>
        <row r="67">
          <cell r="G67">
            <v>1.2866903029460379</v>
          </cell>
        </row>
        <row r="68">
          <cell r="G68">
            <v>1.3451669215677184</v>
          </cell>
        </row>
      </sheetData>
      <sheetData sheetId="4"/>
      <sheetData sheetId="5"/>
      <sheetData sheetId="6">
        <row r="1">
          <cell r="B1" t="str">
            <v xml:space="preserve">Initiative 601 (I-601) Fiscal Growth Factors from Economic and Revenue Forecast Notebook </v>
          </cell>
        </row>
        <row r="9">
          <cell r="D9">
            <v>6.08E-2</v>
          </cell>
        </row>
        <row r="10">
          <cell r="D10">
            <v>7.0199999999999999E-2</v>
          </cell>
        </row>
        <row r="11">
          <cell r="D11">
            <v>7.4300000000000005E-2</v>
          </cell>
        </row>
        <row r="12">
          <cell r="D12">
            <v>7.1800000000000003E-2</v>
          </cell>
        </row>
        <row r="13">
          <cell r="D13">
            <v>6.2100000000000002E-2</v>
          </cell>
        </row>
        <row r="14">
          <cell r="D14">
            <v>5.1299999999999998E-2</v>
          </cell>
        </row>
        <row r="15">
          <cell r="D15">
            <v>4.4499999999999998E-2</v>
          </cell>
        </row>
        <row r="16">
          <cell r="D16">
            <v>4.0500000000000001E-2</v>
          </cell>
        </row>
        <row r="17">
          <cell r="D17">
            <v>4.1799999999999997E-2</v>
          </cell>
        </row>
        <row r="18">
          <cell r="D18">
            <v>3.32E-2</v>
          </cell>
        </row>
        <row r="19">
          <cell r="D19">
            <v>2.87E-2</v>
          </cell>
        </row>
        <row r="20">
          <cell r="D20">
            <v>2.7900000000000001E-2</v>
          </cell>
        </row>
        <row r="21">
          <cell r="D21">
            <v>3.2899999999999999E-2</v>
          </cell>
        </row>
        <row r="22">
          <cell r="D22">
            <v>3.2000000000000001E-2</v>
          </cell>
        </row>
        <row r="23">
          <cell r="D23">
            <v>3.0300000000000001E-2</v>
          </cell>
        </row>
        <row r="24">
          <cell r="D24">
            <v>2.8199999999999999E-2</v>
          </cell>
        </row>
        <row r="25">
          <cell r="D25">
            <v>3.3799999999999997E-2</v>
          </cell>
        </row>
        <row r="26">
          <cell r="D26">
            <v>5.5300000000000002E-2</v>
          </cell>
        </row>
        <row r="27">
          <cell r="D27">
            <v>5.57E-2</v>
          </cell>
        </row>
        <row r="28">
          <cell r="D28">
            <v>5.1999999999999998E-2</v>
          </cell>
        </row>
        <row r="29">
          <cell r="D29">
            <v>4.1700000000000001E-2</v>
          </cell>
        </row>
        <row r="30">
          <cell r="D30">
            <v>4.3400000000000001E-2</v>
          </cell>
        </row>
        <row r="31">
          <cell r="D31">
            <v>4.3999999999999997E-2</v>
          </cell>
        </row>
        <row r="32">
          <cell r="D32">
            <v>4.65E-2</v>
          </cell>
        </row>
        <row r="33">
          <cell r="D33">
            <v>4.48E-2</v>
          </cell>
        </row>
        <row r="34">
          <cell r="D34">
            <v>4.3299999999999998E-2</v>
          </cell>
        </row>
        <row r="35">
          <cell r="D35">
            <v>4.3700000000000003E-2</v>
          </cell>
        </row>
        <row r="36">
          <cell r="D36">
            <v>4.0800000000000003E-2</v>
          </cell>
        </row>
        <row r="37">
          <cell r="D37">
            <v>0.04</v>
          </cell>
        </row>
        <row r="38">
          <cell r="D38">
            <v>5.0799999999999998E-2</v>
          </cell>
        </row>
        <row r="39">
          <cell r="D39">
            <v>5.91E-2</v>
          </cell>
        </row>
        <row r="40">
          <cell r="D40">
            <v>0.06</v>
          </cell>
        </row>
      </sheetData>
      <sheetData sheetId="7"/>
      <sheetData sheetId="8">
        <row r="36">
          <cell r="C36">
            <v>19575.71338677096</v>
          </cell>
        </row>
        <row r="37">
          <cell r="C37">
            <v>20670.480486939949</v>
          </cell>
        </row>
        <row r="38">
          <cell r="C38">
            <v>21783.708538787359</v>
          </cell>
        </row>
        <row r="39">
          <cell r="C39">
            <v>22851.450149937049</v>
          </cell>
        </row>
        <row r="40">
          <cell r="C40">
            <v>23433.206168300134</v>
          </cell>
        </row>
        <row r="41">
          <cell r="C41">
            <v>24256.616358000811</v>
          </cell>
        </row>
        <row r="42">
          <cell r="C42">
            <v>25394.114706295117</v>
          </cell>
        </row>
        <row r="43">
          <cell r="C43">
            <v>26871.273896862509</v>
          </cell>
        </row>
        <row r="44">
          <cell r="C44">
            <v>28602.326083958931</v>
          </cell>
        </row>
        <row r="45">
          <cell r="C45">
            <v>30179.679224301548</v>
          </cell>
        </row>
        <row r="46">
          <cell r="C46">
            <v>31964.126922521551</v>
          </cell>
        </row>
        <row r="47">
          <cell r="C47">
            <v>32900.557967626148</v>
          </cell>
        </row>
        <row r="48">
          <cell r="C48">
            <v>32782.150679654653</v>
          </cell>
        </row>
        <row r="49">
          <cell r="C49">
            <v>33468.909513250837</v>
          </cell>
        </row>
        <row r="50">
          <cell r="C50">
            <v>34581.389925335447</v>
          </cell>
        </row>
        <row r="51">
          <cell r="C51">
            <v>36760.428734804307</v>
          </cell>
        </row>
        <row r="52">
          <cell r="C52">
            <v>38062.408972509598</v>
          </cell>
        </row>
        <row r="53">
          <cell r="C53">
            <v>40519.087350547015</v>
          </cell>
        </row>
        <row r="54">
          <cell r="C54">
            <v>43204.706176057138</v>
          </cell>
        </row>
        <row r="55">
          <cell r="C55">
            <v>42654.669620742585</v>
          </cell>
        </row>
        <row r="56">
          <cell r="C56">
            <v>41684.494414700705</v>
          </cell>
        </row>
        <row r="57">
          <cell r="C57">
            <v>43298.82872285632</v>
          </cell>
        </row>
        <row r="58">
          <cell r="C58">
            <v>45591.951897112827</v>
          </cell>
        </row>
        <row r="59">
          <cell r="C59">
            <v>47312.987721902005</v>
          </cell>
        </row>
        <row r="60">
          <cell r="C60">
            <v>48606.323488450245</v>
          </cell>
        </row>
        <row r="61">
          <cell r="C61">
            <v>51567.476031895581</v>
          </cell>
        </row>
        <row r="62">
          <cell r="C62">
            <v>53231.965848870626</v>
          </cell>
        </row>
        <row r="63">
          <cell r="C63">
            <v>55504.224729318492</v>
          </cell>
        </row>
        <row r="64">
          <cell r="C64">
            <v>58266.939270953786</v>
          </cell>
        </row>
        <row r="65">
          <cell r="C65">
            <v>61794.86643334879</v>
          </cell>
        </row>
        <row r="66">
          <cell r="C66">
            <v>65636.813854677996</v>
          </cell>
        </row>
        <row r="67">
          <cell r="C67">
            <v>71133.921995762197</v>
          </cell>
        </row>
        <row r="68">
          <cell r="C68">
            <v>73796.894545441901</v>
          </cell>
        </row>
        <row r="69">
          <cell r="C69">
            <v>78137.568164158743</v>
          </cell>
        </row>
        <row r="70">
          <cell r="C70">
            <v>82740.010206638137</v>
          </cell>
        </row>
        <row r="71">
          <cell r="C71">
            <v>86777.11469269931</v>
          </cell>
        </row>
      </sheetData>
      <sheetData sheetId="9"/>
      <sheetData sheetId="10"/>
      <sheetData sheetId="11"/>
      <sheetData sheetId="12"/>
      <sheetData sheetId="13"/>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shington State Legislature" refreshedDate="39745.572744097219" createdVersion="1" refreshedVersion="3" recordCount="534" upgradeOnRefresh="1" xr:uid="{00000000-000A-0000-FFFF-FFFF00000000}">
  <cacheSource type="external" connectionId="13"/>
  <cacheFields count="8">
    <cacheField name="fiscal_year" numFmtId="0" sqlType="1">
      <sharedItems count="14">
        <s v="1994"/>
        <s v="1995"/>
        <s v="1996"/>
        <s v="1997"/>
        <s v="1998"/>
        <s v="1999"/>
        <s v="2000"/>
        <s v="2001"/>
        <s v="2002"/>
        <s v="2003"/>
        <s v="2004"/>
        <s v="2005"/>
        <s v="2006"/>
        <s v="2007"/>
      </sharedItems>
    </cacheField>
    <cacheField name="agency" numFmtId="0" sqlType="1">
      <sharedItems count="7">
        <s v="360"/>
        <s v="365"/>
        <s v="370"/>
        <s v="375"/>
        <s v="376"/>
        <s v="380"/>
        <s v="699"/>
      </sharedItems>
    </cacheField>
    <cacheField name="fund" numFmtId="0" sqlType="1">
      <sharedItems count="1">
        <s v="149"/>
      </sharedItems>
    </cacheField>
    <cacheField name="MajorSourceTitle" numFmtId="0" sqlType="12">
      <sharedItems count="4">
        <s v="04 St &amp; Misc Rev       "/>
        <s v="06 Transfers           "/>
        <s v="07 Other Misc Sources  "/>
        <s v="05 P/L Revenues        "/>
      </sharedItems>
    </cacheField>
    <cacheField name="SourceTitle" numFmtId="0" sqlType="12">
      <sharedItems count="23">
        <s v="0405 Fines and Forfeits  "/>
        <s v="0409 Lcl Inv/Intr Incm   "/>
        <s v="0420 Charges for Services"/>
        <s v="0424 Tuition and Fees    "/>
        <s v="0431 Misc Student Fees   "/>
        <s v="0499 Other Revenue       "/>
        <s v="0621 Operating Trans In  "/>
        <s v="0622 Operating Trans Out "/>
        <s v="0694 Op Transf Debt Reim "/>
        <s v="0402 Income From Property"/>
        <s v="0416 Sale of Prop/Other  "/>
        <s v="0430 Dedicated Stu Fees  "/>
        <s v="0441 Contr &amp; Grants State"/>
        <s v="0490 Cash-Over and Short "/>
        <s v="0702 Interest Income     "/>
        <s v="0486 Rcvries Exp-Prior   "/>
        <s v="0541 Contributions Grants"/>
        <s v="0401 Treas Invest Income "/>
        <s v="0485 Immaterial Prior Adj"/>
        <s v="0413 CAPITAL GAINS       "/>
        <s v="0428 Other Chgs/Cur Svcs "/>
        <s v="0546 Federal Revenue     "/>
        <s v="0690 Special Litigation  "/>
      </sharedItems>
    </cacheField>
    <cacheField name="fund_group" numFmtId="0" sqlType="1">
      <sharedItems count="2">
        <s v="OTHS"/>
        <s v="OTHL"/>
      </sharedItems>
    </cacheField>
    <cacheField name="biennium" numFmtId="0" sqlType="1">
      <sharedItems count="7">
        <s v="1993-95"/>
        <s v="1995-97"/>
        <s v="1997-99"/>
        <s v="1999-01"/>
        <s v="2001-03"/>
        <s v="2003-05"/>
        <s v="2005-07"/>
      </sharedItems>
    </cacheField>
    <cacheField name="amount" numFmtId="0" sqlType="3">
      <sharedItems containsSemiMixedTypes="0" containsString="0" containsNumber="1" minValue="-21080885.300000001" maxValue="254523028.54000002"/>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644.494451967592" backgroundQuery="1" refreshedVersion="8" recordCount="423" xr:uid="{1886AD27-9DBD-434B-B65D-DED07E7F4A87}">
  <cacheSource type="external" connectionId="78"/>
  <cacheFields count="7">
    <cacheField name="TransactionType" numFmtId="0" sqlType="1">
      <sharedItems count="2">
        <s v="ACC"/>
        <s v="DIS"/>
      </sharedItems>
    </cacheField>
    <cacheField name="AppropriationCharacter" numFmtId="0" sqlType="1">
      <sharedItems count="1">
        <s v="O"/>
      </sharedItems>
    </cacheField>
    <cacheField name="Agency" numFmtId="0" sqlType="1">
      <sharedItems count="9">
        <s v="365"/>
        <s v="360"/>
        <s v="380"/>
        <s v="699"/>
        <s v="376"/>
        <s v="340"/>
        <s v="375"/>
        <s v="370"/>
        <s v="343"/>
      </sharedItems>
    </cacheField>
    <cacheField name="BudgetCharacter" numFmtId="0" sqlType="1">
      <sharedItems count="1">
        <s v="B"/>
      </sharedItems>
    </cacheField>
    <cacheField name="FundCode" numFmtId="0" sqlType="12">
      <sharedItems count="17">
        <s v="315-1"/>
        <s v="608-1"/>
        <s v="24J-1"/>
        <s v="065-1"/>
        <s v="15M-1"/>
        <s v="02R-1"/>
        <s v="09R-1"/>
        <s v="12P-1"/>
        <s v="064-1"/>
        <s v="489-1"/>
        <s v="060-1"/>
        <s v="609-1"/>
        <s v="17R-1"/>
        <s v="063-1"/>
        <s v="066-1"/>
        <s v="062-1"/>
        <s v="747-1"/>
      </sharedItems>
    </cacheField>
    <cacheField name="FY" numFmtId="0" sqlType="1">
      <sharedItems count="26">
        <s v="2017"/>
        <s v="2018"/>
        <s v="2023"/>
        <s v="2022"/>
        <s v="2012"/>
        <s v="2011"/>
        <s v="2024"/>
        <s v="2009"/>
        <s v="2000"/>
        <s v="2014"/>
        <s v="2002"/>
        <s v="2020"/>
        <s v="2016"/>
        <s v="2021"/>
        <s v="2019"/>
        <s v="2007"/>
        <s v="2015"/>
        <s v="2005"/>
        <s v="2025"/>
        <s v="2013"/>
        <s v="2010"/>
        <s v="2003"/>
        <s v="2008"/>
        <s v="2001"/>
        <s v="2004"/>
        <s v="2006"/>
      </sharedItems>
    </cacheField>
    <cacheField name="Sum of Amount" numFmtId="0" sqlType="2">
      <sharedItems containsSemiMixedTypes="0" containsString="0" containsNumber="1" minValue="-1736987.5" maxValue="143308981.4000000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644.512081365741" refreshedVersion="8" recordCount="3658" xr:uid="{A7E4AFF7-E9F0-4EAE-B996-EF5C7ADCAEBC}">
  <cacheSource type="external" connectionId="91"/>
  <cacheFields count="12">
    <cacheField name="EstimateActual" numFmtId="0" sqlType="1">
      <sharedItems count="2">
        <s v="ACT"/>
        <s v="EST"/>
      </sharedItems>
    </cacheField>
    <cacheField name="TransactionType" numFmtId="0" sqlType="1">
      <sharedItems count="3">
        <s v="CSH"/>
        <s v="ACC"/>
        <s v="REV"/>
      </sharedItems>
    </cacheField>
    <cacheField name="Agency" numFmtId="0" sqlType="1">
      <sharedItems count="7">
        <s v="360"/>
        <s v="365"/>
        <s v="376"/>
        <s v="699"/>
        <s v="380"/>
        <s v="370"/>
        <s v="375"/>
      </sharedItems>
    </cacheField>
    <cacheField name="BudgetCharacter" numFmtId="0" sqlType="1">
      <sharedItems count="1">
        <s v="B"/>
      </sharedItems>
    </cacheField>
    <cacheField name="Fund" numFmtId="0" sqlType="1">
      <sharedItems count="1">
        <s v="149"/>
      </sharedItems>
    </cacheField>
    <cacheField name="MajorSourceCode" numFmtId="0" sqlType="1">
      <sharedItems count="7">
        <s v="04"/>
        <s v="06"/>
        <s v="08"/>
        <s v="05"/>
        <s v="09"/>
        <s v="03"/>
        <s v="01"/>
      </sharedItems>
    </cacheField>
    <cacheField name="SourceCode" numFmtId="0" sqlType="1">
      <sharedItems/>
    </cacheField>
    <cacheField name="ITType" numFmtId="0" sqlType="1">
      <sharedItems count="3">
        <s v=""/>
        <s v="Y"/>
        <s v="X"/>
      </sharedItems>
    </cacheField>
    <cacheField name="FY" numFmtId="0" sqlType="1">
      <sharedItems count="11">
        <s v="2015"/>
        <s v="2016"/>
        <s v="2017"/>
        <s v="2018"/>
        <s v="2019"/>
        <s v="2020"/>
        <s v="2021"/>
        <s v="2022"/>
        <s v="2023"/>
        <s v="2024"/>
        <s v="2025"/>
      </sharedItems>
    </cacheField>
    <cacheField name="FiscalMonth" numFmtId="0" sqlType="1">
      <sharedItems count="12">
        <s v="12"/>
        <s v="03"/>
        <s v="11"/>
        <s v="01"/>
        <s v="02"/>
        <s v="04"/>
        <s v="05"/>
        <s v="07"/>
        <s v="10"/>
        <s v="06"/>
        <s v="09"/>
        <s v="08"/>
      </sharedItems>
    </cacheField>
    <cacheField name="Amount" numFmtId="0" sqlType="2">
      <sharedItems containsSemiMixedTypes="0" containsString="0" containsNumber="1" minValue="-1270443644.95" maxValue="1270977624.9000001"/>
    </cacheField>
    <cacheField name="FundGroup" numFmtId="0" sqlType="1">
      <sharedItems count="3">
        <s v="OTHS"/>
        <s v="OTHL"/>
        <s v="OTHF"/>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ael Mann" refreshedDate="42752.703004745374" refreshedVersion="6" recordCount="6769" xr:uid="{00000000-000A-0000-FFFF-FFFF01000000}">
  <cacheSource type="external" connectionId="14"/>
  <cacheFields count="18">
    <cacheField name="biennium" numFmtId="0" sqlType="1">
      <sharedItems count="8">
        <s v="1999-01"/>
        <s v="2001-03"/>
        <s v="2003-05"/>
        <s v="2005-07"/>
        <s v="2007-09"/>
        <s v="2009-11"/>
        <s v="2011-13"/>
        <s v="2013-15"/>
      </sharedItems>
    </cacheField>
    <cacheField name="est_act" numFmtId="0" sqlType="1">
      <sharedItems count="2">
        <s v="ACT"/>
        <s v="EST" u="1"/>
      </sharedItems>
    </cacheField>
    <cacheField name="transaction_type" numFmtId="0" sqlType="1">
      <sharedItems count="3">
        <s v="ACC"/>
        <s v="CSH"/>
        <s v="REV" u="1"/>
      </sharedItems>
    </cacheField>
    <cacheField name="maj_func" numFmtId="0" sqlType="1">
      <sharedItems count="1">
        <s v="5"/>
      </sharedItems>
    </cacheField>
    <cacheField name="min_func" numFmtId="0" sqlType="1">
      <sharedItems count="2">
        <s v="0"/>
        <s v="2"/>
      </sharedItems>
    </cacheField>
    <cacheField name="agency" numFmtId="0" sqlType="1">
      <sharedItems count="124">
        <s v="365"/>
        <s v="370"/>
        <s v="380"/>
        <s v="699"/>
        <s v="360"/>
        <s v="375"/>
        <s v="376"/>
        <s v="144" u="1"/>
        <s v="147" u="1"/>
        <s v="220" u="1"/>
        <s v="850" u="1"/>
        <s v="225" u="1"/>
        <s v="700" u="1"/>
        <s v="377" u="1"/>
        <s v="701" u="1"/>
        <s v="227" u="1"/>
        <s v="228" u="1"/>
        <s v="300" u="1"/>
        <s v="705" u="1"/>
        <s v="302" u="1"/>
        <s v="050" u="1"/>
        <s v="303" u="1"/>
        <s v="305" u="1"/>
        <s v="055" u="1"/>
        <s v="056" u="1"/>
        <s v="057" u="1"/>
        <s v="130" u="1"/>
        <s v="215" u="1"/>
        <s v="190" u="1"/>
        <s v="040" u="1"/>
        <s v="195" u="1"/>
        <s v="045" u="1"/>
        <s v="046" u="1"/>
        <s v="048" u="1"/>
        <s v="120" u="1"/>
        <s v="122" u="1"/>
        <s v="124" u="1"/>
        <s v="275" u="1"/>
        <s v="126" u="1"/>
        <s v="350" u="1"/>
        <s v="351" u="1"/>
        <s v="353" u="1"/>
        <s v="354" u="1"/>
        <s v="355" u="1"/>
        <s v="205" u="1"/>
        <s v="356" u="1"/>
        <s v="357" u="1"/>
        <s v="185" u="1"/>
        <s v="035" u="1"/>
        <s v="038" u="1"/>
        <s v="110" u="1"/>
        <s v="111" u="1"/>
        <s v="116" u="1"/>
        <s v="490" u="1"/>
        <s v="117" u="1"/>
        <s v="118" u="1"/>
        <s v="341" u="1"/>
        <s v="119" u="1"/>
        <s v="090" u="1"/>
        <s v="343" u="1"/>
        <s v="495" u="1"/>
        <s v="345" u="1"/>
        <s v="346" u="1"/>
        <s v="095" u="1"/>
        <s v="099" u="1"/>
        <s v="020" u="1"/>
        <s v="250" u="1"/>
        <s v="100" u="1"/>
        <s v="101" u="1"/>
        <s v="102" u="1"/>
        <s v="103" u="1"/>
        <s v="104" u="1"/>
        <s v="105" u="1"/>
        <s v="107" u="1"/>
        <s v="080" u="1"/>
        <s v="082" u="1"/>
        <s v="085" u="1"/>
        <s v="086" u="1"/>
        <s v="410" u="1"/>
        <s v="087" u="1"/>
        <s v="160" u="1"/>
        <s v="010" u="1"/>
        <s v="011" u="1"/>
        <s v="012" u="1"/>
        <s v="013" u="1"/>
        <s v="014" u="1"/>
        <s v="165" u="1"/>
        <s v="015" u="1"/>
        <s v="390" u="1"/>
        <s v="240" u="1"/>
        <s v="395" u="1"/>
        <s v="245" u="1"/>
        <s v="471" u="1"/>
        <s v="727" u="1"/>
        <s v="325" u="1"/>
        <s v="476" u="1"/>
        <s v="800" u="1"/>
        <s v="477" u="1"/>
        <s v="478" u="1"/>
        <s v="075" u="1"/>
        <s v="550" u="1"/>
        <s v="076" u="1"/>
        <s v="150" u="1"/>
        <s v="001" u="1"/>
        <s v="405" u="1"/>
        <s v="406" u="1"/>
        <s v="407" u="1"/>
        <s v="155" u="1"/>
        <s v="408" u="1"/>
        <s v="005" u="1"/>
        <s v="860" u="1"/>
        <s v="235" u="1"/>
        <s v="387" u="1"/>
        <s v="460" u="1"/>
        <s v="310" u="1"/>
        <s v="461" u="1"/>
        <s v="462" u="1"/>
        <s v="465" u="1"/>
        <s v="315" u="1"/>
        <s v="467" u="1"/>
        <s v="468" u="1"/>
        <s v="540" u="1"/>
        <s v="140" u="1"/>
        <s v="142" u="1"/>
      </sharedItems>
    </cacheField>
    <cacheField name="program" numFmtId="0" sqlType="1">
      <sharedItems count="9">
        <s v=""/>
        <s v="010"/>
        <s v="050"/>
        <s v="060"/>
        <s v="080"/>
        <s v="030"/>
        <s v="090"/>
        <s v="100"/>
        <s v="040"/>
      </sharedItems>
    </cacheField>
    <cacheField name="fund" numFmtId="0" sqlType="1">
      <sharedItems count="568">
        <s v="149"/>
        <s v="11J" u="1"/>
        <s v="11K" u="1"/>
        <s v="11M" u="1"/>
        <s v="630" u="1"/>
        <s v="631" u="1"/>
        <s v="11P" u="1"/>
        <s v="511" u="1"/>
        <s v="632" u="1"/>
        <s v="512" u="1"/>
        <s v="633" u="1"/>
        <s v="874" u="1"/>
        <s v="513" u="1"/>
        <s v="755" u="1"/>
        <s v="635" u="1"/>
        <s v="11T" u="1"/>
        <s v="515" u="1"/>
        <s v="516" u="1"/>
        <s v="878" u="1"/>
        <s v="11V" u="1"/>
        <s v="758" u="1"/>
        <s v="11W" u="1"/>
        <s v="759" u="1"/>
        <s v="830" u="1"/>
        <s v="833" u="1"/>
        <s v="834" u="1"/>
        <s v="835" u="1"/>
        <s v="837" u="1"/>
        <s v="080" u="1"/>
        <s v="081" u="1"/>
        <s v="082" u="1"/>
        <s v="084" u="1"/>
        <s v="086" u="1"/>
        <s v="087" u="1"/>
        <s v="160" u="1"/>
        <s v="040" u="1"/>
        <s v="281" u="1"/>
        <s v="08A" u="1"/>
        <s v="041" u="1"/>
        <s v="282" u="1"/>
        <s v="08B" u="1"/>
        <s v="162" u="1"/>
        <s v="042" u="1"/>
        <s v="283" u="1"/>
        <s v="08C" u="1"/>
        <s v="163" u="1"/>
        <s v="044" u="1"/>
        <s v="08E" u="1"/>
        <s v="045" u="1"/>
        <s v="08F" u="1"/>
        <s v="08G" u="1"/>
        <s v="167" u="1"/>
        <s v="08H" u="1"/>
        <s v="048" u="1"/>
        <s v="289" u="1"/>
        <s v="169" u="1"/>
        <s v="08J" u="1"/>
        <s v="08K" u="1"/>
        <s v="08L" u="1"/>
        <s v="08M" u="1"/>
        <s v="08N" u="1"/>
        <s v="480" u="1"/>
        <s v="08P" u="1"/>
        <s v="120" u="1"/>
        <s v="16A" u="1"/>
        <s v="241" u="1"/>
        <s v="482" u="1"/>
        <s v="001" u="1"/>
        <s v="08R" u="1"/>
        <s v="16B" u="1"/>
        <s v="483" u="1"/>
        <s v="04B" u="1"/>
        <s v="002" u="1"/>
        <s v="484" u="1"/>
        <s v="364" u="1"/>
        <s v="003" u="1"/>
        <s v="244" u="1"/>
        <s v="485" u="1"/>
        <s v="004" u="1"/>
        <s v="16E" u="1"/>
        <s v="486" u="1"/>
        <s v="04E" u="1"/>
        <s v="125" u="1"/>
        <s v="08V" u="1"/>
        <s v="246" u="1"/>
        <s v="04F" u="1"/>
        <s v="126" u="1"/>
        <s v="006" u="1"/>
        <s v="08W" u="1"/>
        <s v="16G" u="1"/>
        <s v="488" u="1"/>
        <s v="007" u="1"/>
        <s v="16H" u="1"/>
        <s v="248" u="1"/>
        <s v="489" u="1"/>
        <s v="04H" u="1"/>
        <s v="128" u="1"/>
        <s v="129" u="1"/>
        <s v="16J" u="1"/>
        <s v="04K" u="1"/>
        <s v="16L" u="1"/>
        <s v="04L" u="1"/>
        <s v="04M" u="1"/>
        <s v="04N" u="1"/>
        <s v="560" u="1"/>
        <s v="440" u="1"/>
        <s v="320" u="1"/>
        <s v="200" u="1"/>
        <s v="441" u="1"/>
        <s v="12A" u="1"/>
        <s v="201" u="1"/>
        <s v="442" u="1"/>
        <s v="04R" u="1"/>
        <s v="202" u="1"/>
        <s v="443" u="1"/>
        <s v="12C" u="1"/>
        <s v="203" u="1"/>
        <s v="444" u="1"/>
        <s v="16T" u="1"/>
        <s v="04T" u="1"/>
        <s v="204" u="1"/>
        <s v="445" u="1"/>
        <s v="12E" u="1"/>
        <s v="205" u="1"/>
        <s v="687" u="1"/>
        <s v="16V" u="1"/>
        <s v="04V" u="1"/>
        <s v="12F" u="1"/>
        <s v="206" u="1"/>
        <s v="688" u="1"/>
        <s v="16W" u="1"/>
        <s v="04W" u="1"/>
        <s v="12G" u="1"/>
        <s v="207" u="1"/>
        <s v="448" u="1"/>
        <s v="689" u="1"/>
        <s v="569" u="1"/>
        <s v="12H" u="1"/>
        <s v="449" u="1"/>
        <s v="329" u="1"/>
        <s v="209" u="1"/>
        <s v="12J" u="1"/>
        <s v="12L" u="1"/>
        <s v="12M" u="1"/>
        <s v="880" u="1"/>
        <s v="12N" u="1"/>
        <s v="760" u="1"/>
        <s v="881" u="1"/>
        <s v="761" u="1"/>
        <s v="641" u="1"/>
        <s v="882" u="1"/>
        <s v="12P" u="1"/>
        <s v="401" u="1"/>
        <s v="642" u="1"/>
        <s v="883" u="1"/>
        <s v="522" u="1"/>
        <s v="763" u="1"/>
        <s v="884" u="1"/>
        <s v="12R" u="1"/>
        <s v="523" u="1"/>
        <s v="403" u="1"/>
        <s v="644" u="1"/>
        <s v="885" u="1"/>
        <s v="524" u="1"/>
        <s v="404" u="1"/>
        <s v="645" u="1"/>
        <s v="12T" u="1"/>
        <s v="405" u="1"/>
        <s v="887" u="1"/>
        <s v="526" u="1"/>
        <s v="406" u="1"/>
        <s v="888" u="1"/>
        <s v="12V" u="1"/>
        <s v="768" u="1"/>
        <s v="407" u="1"/>
        <s v="528" u="1"/>
        <s v="769" u="1"/>
        <s v="408" u="1"/>
        <s v="600" u="1"/>
        <s v="841" u="1"/>
        <s v="721" u="1"/>
        <s v="601" u="1"/>
        <s v="842" u="1"/>
        <s v="722" u="1"/>
        <s v="843" u="1"/>
        <s v="603" u="1"/>
        <s v="604" u="1"/>
        <s v="605" u="1"/>
        <s v="846" u="1"/>
        <s v="606" u="1"/>
        <s v="727" u="1"/>
        <s v="607" u="1"/>
        <s v="728" u="1"/>
        <s v="608" u="1"/>
        <s v="849" u="1"/>
        <s v="729" u="1"/>
        <s v="609" u="1"/>
        <s v="800" u="1"/>
        <s v="FH1" u="1"/>
        <s v="FH2" u="1"/>
        <s v="094" u="1"/>
        <s v="095" u="1"/>
        <s v="096" u="1"/>
        <s v="097" u="1"/>
        <s v="098" u="1"/>
        <s v="099" u="1"/>
        <s v="290" u="1"/>
        <s v="291" u="1"/>
        <s v="09A" u="1"/>
        <s v="051" u="1"/>
        <s v="09B" u="1"/>
        <s v="172" u="1"/>
        <s v="09C" u="1"/>
        <s v="173" u="1"/>
        <s v="294" u="1"/>
        <s v="174" u="1"/>
        <s v="295" u="1"/>
        <s v="09E" u="1"/>
        <s v="055" u="1"/>
        <s v="09F" u="1"/>
        <s v="176" u="1"/>
        <s v="056" u="1"/>
        <s v="297" u="1"/>
        <s v="09G" u="1"/>
        <s v="057" u="1"/>
        <s v="298" u="1"/>
        <s v="09H" u="1"/>
        <s v="058" u="1"/>
        <s v="299" u="1"/>
        <s v="09J" u="1"/>
        <s v="09K" u="1"/>
        <s v="09L" u="1"/>
        <s v="09M" u="1"/>
        <s v="09N" u="1"/>
        <s v="09P" u="1"/>
        <s v="131" u="1"/>
        <s v="09R" u="1"/>
        <s v="17B" u="1"/>
        <s v="252" u="1"/>
        <s v="05B" u="1"/>
        <s v="17C" u="1"/>
        <s v="253" u="1"/>
        <s v="05C" u="1"/>
        <s v="133" u="1"/>
        <s v="09T" u="1"/>
        <s v="495" u="1"/>
        <s v="134" u="1"/>
        <s v="014" u="1"/>
        <s v="17E" u="1"/>
        <s v="496" u="1"/>
        <s v="09V" u="1"/>
        <s v="17F" u="1"/>
        <s v="497" u="1"/>
        <s v="498" u="1"/>
        <s v="17H" u="1"/>
        <s v="499" u="1"/>
        <s v="05H" u="1"/>
        <s v="138" u="1"/>
        <s v="018" u="1"/>
        <s v="259" u="1"/>
        <s v="139" u="1"/>
        <s v="05K" u="1"/>
        <s v="05M" u="1"/>
        <s v="570" u="1"/>
        <s v="450" u="1"/>
        <s v="17P" u="1"/>
        <s v="210" u="1"/>
        <s v="573" u="1"/>
        <s v="05R" u="1"/>
        <s v="453" u="1"/>
        <s v="01B" u="1"/>
        <s v="213" u="1"/>
        <s v="575" u="1"/>
        <s v="05T" u="1"/>
        <s v="214" u="1"/>
        <s v="455" u="1"/>
        <s v="335" u="1"/>
        <s v="215" u="1"/>
        <s v="577" u="1"/>
        <s v="216" u="1"/>
        <s v="01F" u="1"/>
        <s v="578" u="1"/>
        <s v="05W" u="1"/>
        <s v="217" u="1"/>
        <s v="218" u="1"/>
        <s v="219" u="1"/>
        <s v="01L" u="1"/>
        <s v="01M" u="1"/>
        <s v="410" u="1"/>
        <s v="892" u="1"/>
        <s v="411" u="1"/>
        <s v="893" u="1"/>
        <s v="532" u="1"/>
        <s v="773" u="1"/>
        <s v="653" u="1"/>
        <s v="774" u="1"/>
        <s v="413" u="1"/>
        <s v="534" u="1"/>
        <s v="776" u="1"/>
        <s v="415" u="1"/>
        <s v="536" u="1"/>
        <s v="777" u="1"/>
        <s v="416" u="1"/>
        <s v="537" u="1"/>
        <s v="778" u="1"/>
        <s v="01V" u="1"/>
        <s v="779" u="1"/>
        <s v="418" u="1"/>
        <s v="539" u="1"/>
        <s v="419" u="1"/>
        <s v="850" u="1"/>
        <s v="730" u="1"/>
        <s v="610" u="1"/>
        <s v="851" u="1"/>
        <s v="731" u="1"/>
        <s v="852" u="1"/>
        <s v="732" u="1"/>
        <s v="733" u="1"/>
        <s v="614" u="1"/>
        <s v="615" u="1"/>
        <s v="736" u="1"/>
        <s v="616" u="1"/>
        <s v="857" u="1"/>
        <s v="617" u="1"/>
        <s v="738" u="1"/>
        <s v="859" u="1"/>
        <s v="739" u="1"/>
        <s v="816" u="1"/>
        <s v="818" u="1"/>
        <s v="819" u="1"/>
        <s v="180" u="1"/>
        <s v="060" u="1"/>
        <s v="181" u="1"/>
        <s v="061" u="1"/>
        <s v="182" u="1"/>
        <s v="062" u="1"/>
        <s v="063" u="1"/>
        <s v="184" u="1"/>
        <s v="064" u="1"/>
        <s v="185" u="1"/>
        <s v="065" u="1"/>
        <s v="186" u="1"/>
        <s v="066" u="1"/>
        <s v="189" u="1"/>
        <s v="380" u="1"/>
        <s v="260" u="1"/>
        <s v="140" u="1"/>
        <s v="381" u="1"/>
        <s v="06A" u="1"/>
        <s v="141" u="1"/>
        <s v="382" u="1"/>
        <s v="262" u="1"/>
        <s v="383" u="1"/>
        <s v="263" u="1"/>
        <s v="06C" u="1"/>
        <s v="143" u="1"/>
        <s v="384" u="1"/>
        <s v="144" u="1"/>
        <s v="385" u="1"/>
        <s v="024" u="1"/>
        <s v="145" u="1"/>
        <s v="025" u="1"/>
        <s v="146" u="1"/>
        <s v="387" u="1"/>
        <s v="026" u="1"/>
        <s v="267" u="1"/>
        <s v="06G" u="1"/>
        <s v="147" u="1"/>
        <s v="027" u="1"/>
        <s v="268" u="1"/>
        <s v="06H" u="1"/>
        <s v="148" u="1"/>
        <s v="269" u="1"/>
        <s v="06J" u="1"/>
        <s v="06K" u="1"/>
        <s v="06L" u="1"/>
        <s v="460" u="1"/>
        <s v="06P" u="1"/>
        <s v="100" u="1"/>
        <s v="14A" u="1"/>
        <s v="02A" u="1"/>
        <s v="06R" u="1"/>
        <s v="14B" u="1"/>
        <s v="222" u="1"/>
        <s v="02B" u="1"/>
        <s v="102" u="1"/>
        <s v="223" u="1"/>
        <s v="02C" u="1"/>
        <s v="06T" u="1"/>
        <s v="104" u="1"/>
        <s v="14E" u="1"/>
        <s v="225" u="1"/>
        <s v="14F" u="1"/>
        <s v="226" u="1"/>
        <s v="106" u="1"/>
        <s v="347" u="1"/>
        <s v="06W" u="1"/>
        <s v="227" u="1"/>
        <s v="02G" u="1"/>
        <s v="107" u="1"/>
        <s v="348" u="1"/>
        <s v="14H" u="1"/>
        <s v="228" u="1"/>
        <s v="02H" u="1"/>
        <s v="108" u="1"/>
        <s v="109" u="1"/>
        <s v="14J" u="1"/>
        <s v="02J" u="1"/>
        <s v="02K" u="1"/>
        <s v="14L" u="1"/>
        <s v="14M" u="1"/>
        <s v="02M" u="1"/>
        <s v="14N" u="1"/>
        <s v="780" u="1"/>
        <s v="02N" u="1"/>
        <s v="540" u="1"/>
        <s v="420" u="1"/>
        <s v="14P" u="1"/>
        <s v="300" u="1"/>
        <s v="02P" u="1"/>
        <s v="421" u="1"/>
        <s v="783" u="1"/>
        <s v="10A" u="1"/>
        <s v="422" u="1"/>
        <s v="14R" u="1"/>
        <s v="543" u="1"/>
        <s v="784" u="1"/>
        <s v="02R" u="1"/>
        <s v="10B" u="1"/>
        <s v="303" u="1"/>
        <s v="544" u="1"/>
        <s v="785" u="1"/>
        <s v="10C" u="1"/>
        <s v="424" u="1"/>
        <s v="304" u="1"/>
        <s v="545" u="1"/>
        <s v="786" u="1"/>
        <s v="305" u="1"/>
        <s v="546" u="1"/>
        <s v="10E" u="1"/>
        <s v="426" u="1"/>
        <s v="14V" u="1"/>
        <s v="547" u="1"/>
        <s v="788" u="1"/>
        <s v="02V" u="1"/>
        <s v="10F" u="1"/>
        <s v="427" u="1"/>
        <s v="14W" u="1"/>
        <s v="548" u="1"/>
        <s v="789" u="1"/>
        <s v="02W" u="1"/>
        <s v="10G" u="1"/>
        <s v="549" u="1"/>
        <s v="10H" u="1"/>
        <s v="309" u="1"/>
        <s v="10K" u="1"/>
        <s v="860" u="1"/>
        <s v="10N" u="1"/>
        <s v="620" u="1"/>
        <s v="500" u="1"/>
        <s v="10P" u="1"/>
        <s v="501" u="1"/>
        <s v="742" u="1"/>
        <s v="622" u="1"/>
        <s v="743" u="1"/>
        <s v="10R" u="1"/>
        <s v="503" u="1"/>
        <s v="744" u="1"/>
        <s v="10T" u="1"/>
        <s v="505" u="1"/>
        <s v="746" u="1"/>
        <s v="747" u="1"/>
        <s v="507" u="1"/>
        <s v="508" u="1"/>
        <s v="749" u="1"/>
        <s v="821" u="1"/>
        <s v="823" u="1"/>
        <s v="825" u="1"/>
        <s v="828" u="1"/>
        <s v="829" u="1"/>
        <s v="190" u="1"/>
        <s v="070" u="1"/>
        <s v="071" u="1"/>
        <s v="072" u="1"/>
        <s v="193" u="1"/>
        <s v="194" u="1"/>
        <s v="195" u="1"/>
        <s v="075" u="1"/>
        <s v="196" u="1"/>
        <s v="197" u="1"/>
        <s v="198" u="1"/>
        <s v="199" u="1"/>
        <s v="150" u="1"/>
        <s v="030" u="1"/>
        <s v="271" u="1"/>
        <s v="07A" u="1"/>
        <s v="151" u="1"/>
        <s v="031" u="1"/>
        <s v="07B" u="1"/>
        <s v="032" u="1"/>
        <s v="07C" u="1"/>
        <s v="154" u="1"/>
        <s v="275" u="1"/>
        <s v="07E" u="1"/>
        <s v="036" u="1"/>
        <s v="277" u="1"/>
        <s v="158" u="1"/>
        <s v="159" u="1"/>
        <s v="039" u="1"/>
        <s v="07J" u="1"/>
        <s v="07L" u="1"/>
        <s v="07N" u="1"/>
        <s v="470" u="1"/>
        <s v="350" u="1"/>
        <s v="471" u="1"/>
        <s v="110" u="1"/>
        <s v="15A" u="1"/>
        <s v="111" u="1"/>
        <s v="07R" u="1"/>
        <s v="03B" u="1"/>
        <s v="112" u="1"/>
        <s v="15C" u="1"/>
        <s v="03C" u="1"/>
        <s v="113" u="1"/>
        <s v="07T" u="1"/>
        <s v="234" u="1"/>
        <s v="355" u="1"/>
        <s v="15E" u="1"/>
        <s v="235" u="1"/>
        <s v="07V" u="1"/>
        <s v="03F" u="1"/>
        <s v="116" u="1"/>
        <s v="357" u="1"/>
        <s v="07W" u="1"/>
        <s v="15G" u="1"/>
        <s v="15H" u="1"/>
        <s v="359" u="1"/>
        <s v="119" u="1"/>
        <s v="15K" u="1"/>
        <s v="03K" u="1"/>
        <s v="15L" u="1"/>
        <s v="03L" u="1"/>
        <s v="15M" u="1"/>
        <s v="03M" u="1"/>
        <s v="03N" u="1"/>
        <s v="550" u="1"/>
        <s v="15P" u="1"/>
        <s v="551" u="1"/>
        <s v="03P" u="1"/>
        <s v="552" u="1"/>
        <s v="11A" u="1"/>
        <s v="432" u="1"/>
        <s v="553" u="1"/>
        <s v="03R" u="1"/>
        <s v="11B" u="1"/>
        <s v="433" u="1"/>
        <s v="11C" u="1"/>
        <s v="15T" u="1"/>
        <s v="03T" u="1"/>
        <s v="11E" u="1"/>
        <s v="436" u="1"/>
        <s v="15V" u="1"/>
        <s v="11F" u="1"/>
        <s v="15W" u="1"/>
        <s v="438" u="1"/>
        <s v="11H" u="1"/>
        <s v="439" u="1"/>
        <s v="319" u="1"/>
      </sharedItems>
    </cacheField>
    <cacheField name="FundTitle" numFmtId="0" sqlType="12">
      <sharedItems count="637">
        <s v="149 Inst of HI ED-Operating Fees Acct"/>
        <s v="08W WA National Park Fund Account" u="1"/>
        <s v="217 Oil Spill Prevention Account" u="1"/>
        <s v="10G Water Rights Tracking System Acct" u="1"/>
        <s v="299 Student Achievement Account" u="1"/>
        <s v="07C Vessel Response Account" u="1"/>
        <s v="07V Fish &amp; Wildlife Enforcement Reward" u="1"/>
        <s v="03T Dependent Care Administrative Acct" u="1"/>
        <s v="11T Special Technology Funding Revolv" u="1"/>
        <s v="04V Vehicle License Fraud Account" u="1"/>
        <s v="12V PEBB Medical Benefits Admin Acct" u="1"/>
        <s v="12T Traumatic Brain Injury Account" u="1"/>
        <s v="359 School Constr &amp; Skill Ctrs Bldg" u="1"/>
        <s v="631 Public Employees' Retire Plan I" u="1"/>
        <s v="100 Displaced Worker Account" u="1"/>
        <s v="601 Agricultural Permanent Account" u="1"/>
        <s v="16H Columbia River Rec Salmon &amp; Stlhd" u="1"/>
        <s v="551 Homeless Families Service Account" u="1"/>
        <s v="05W State Drought Preparedness" u="1"/>
        <s v="300 Financial Services Regulation Acct" u="1"/>
        <s v="10H Job Development Account" u="1"/>
        <s v="02H Business Enterprises Revolving Acct" u="1"/>
        <s v="403 Self-insurance Revolving Account" u="1"/>
        <s v="405 Legal Services Revolving Account" u="1"/>
        <s v="883 Second Injury Account" u="1"/>
        <s v="09J WA Coast Crab Pot Buoy Tag Account" u="1"/>
        <s v="09R Econ Dev Strategic Reserve Account" u="1"/>
        <s v="202 Medical Test Site Licensure Account" u="1"/>
        <s v="641 Public Employees' Retire Plan II" u="1"/>
        <s v="421 Education Technology Revolving Acct" u="1"/>
        <s v="441 Local Government Archives Account" u="1"/>
        <s v="263 Community/Economic Development Fee" u="1"/>
        <s v="763 Center Improvement Of Student Learn" u="1"/>
        <s v="107 Liquor Excise Tax Account" u="1"/>
        <s v="044 Waste Reduct/Recycle/Litter Control" u="1"/>
        <s v="185 Local Museum Acct-E. Wa St Hist Soc" u="1"/>
        <s v="228 Water Trail Program Account" u="1"/>
        <s v="176 Water Quality Permit Account" u="1"/>
        <s v="08B Foster Care Endowed Sch Trust Acct" u="1"/>
        <s v="11H Forest and Fish Support Account" u="1"/>
        <s v="07M Con Prescription Drug Purchasing" u="1"/>
        <s v="603 Millersylvania Park Trust Account" u="1"/>
        <s v="03K Industrial Insurance Premium Refund" u="1"/>
        <s v="062 WSU Building Account" u="1"/>
        <s v="226 State Seizure Account" u="1"/>
        <s v="498 Washington State Council of Fire" u="1"/>
        <s v="12N GET Ready Math &amp; Science Schlarship" u="1"/>
        <s v="108 Motor Vehicle Account" u="1"/>
        <s v="06T License Plate Technology Account" u="1"/>
        <s v="732 Nursing Home Civil Penalties Acct" u="1"/>
        <s v="06A Salmon Recovery Account" u="1"/>
        <s v="496 Future Teacher Conditional Scholar" u="1"/>
        <s v="773 Prof Student Exchange Program Trust" u="1"/>
        <s v="09H Transportation Partnership Account" u="1"/>
        <s v="14N Legislative Oral History Account" u="1"/>
        <s v="516 Fruit and Vegetable Inspection Acct" u="1"/>
        <s v="320 Puget Sound Crab Pot Bouy Tag Acct" u="1"/>
        <s v="320 Puget Sound Crab Pot Buoy Tag Acct" u="1"/>
        <s v="125 Site Closure Account" u="1"/>
        <s v="15H Cleanup Settle Acct" u="1"/>
        <s v="773 Com on Prof Student Exchange Prog T" u="1"/>
        <s v="290 Savings Incentive Account" u="1"/>
        <s v="219 Air Operating Permit Account" u="1"/>
        <s v="06G Real Estate Appraiser Commission" u="1"/>
        <s v="01F Crime Victims Compensation Account" u="1"/>
        <s v="05C Criminal Justice Treatment Account" u="1"/>
        <s v="08R Waste Tire Removal Account" u="1"/>
        <s v="14M Financial Fraud &amp; Id Theft Crimes" u="1"/>
        <s v="08L &quot;Ski &amp; Ride Washington&quot; Account" u="1"/>
        <s v="126 Agricultural Local Account" u="1"/>
        <s v="755 Community Serv Office Administrator" u="1"/>
        <s v="04B Nat Res Real Property Replacement" u="1"/>
        <s v="12A Tourism Enterprise Account" u="1"/>
        <s v="05H Disaster Response Account" u="1"/>
        <s v="819 L.E.O.F.F. Retirement Plan I Acct" u="1"/>
        <s v="05W State Drought Preparedness Account" u="1"/>
        <s v="11B Regional Mobility Grant Program" u="1"/>
        <s v="15K Colum River Water Del Acct" u="1"/>
        <s v="548 LEOFF Plan 2 Expense Account" u="1"/>
        <s v="309 Nisqually Earthquake Account" u="1"/>
        <s v="15T Broadband Mapping Account" u="1"/>
        <s v="884 Gambling Revolving Account" u="1"/>
        <s v="07A Mortgage Lending Fraud Prosecution" u="1"/>
        <s v="007 Winter Recreation Program Account" u="1"/>
        <s v="12J Boating Activities Account" u="1"/>
        <s v="432 King St. Railroad Station Facility" u="1"/>
        <s v="082 Motorcycle Safety Education Account" u="1"/>
        <s v="526 Veterans' Memorial Account" u="1"/>
        <s v="072 St/Loc Impr Rev Acct Water Sup Fac" u="1"/>
        <s v="776 WSU License Plate Account" u="1"/>
        <s v="408 Coastal Protection Account" u="1"/>
        <s v="455 Higher Education Personnel Services" u="1"/>
        <s v="778 WWU License Plate Account" u="1"/>
        <s v="779 EWU License Plate Account" u="1"/>
        <s v="150 Low-Income Weatherization Asst Acct" u="1"/>
        <s v="12M Charitable Organization Education" u="1"/>
        <s v="06R Real Estate Research Account" u="1"/>
        <s v="10T Hood Canal Aquatic Rehabilitation" u="1"/>
        <s v="424 Anti-Trust Revolving Account" u="1"/>
        <s v="14P Skel Hum Rem Asst Acct" u="1"/>
        <s v="736 Puyallup Tribal Settlement Account" u="1"/>
        <s v="427 Spec Retire Contrib Increase Revolv" u="1"/>
        <s v="755 CSO DCFS Administrator's Account" u="1"/>
        <s v="09E Freight Mobility Investment Account" u="1"/>
        <s v="294 Sea Cucumber Dive Fishery Account" u="1"/>
        <s v="146 Firearms Range Account" u="1"/>
        <s v="096 Highway Infrastructure Account" u="1"/>
        <s v="630 WSP Retirement System Plan 2 Acct" u="1"/>
        <s v="442 Legislative Gift Center Account" u="1"/>
        <s v="FH2 Higher Ed. Internal Lending Acct." u="1"/>
        <s v="104 State Wildlife Account" u="1"/>
        <s v="01B Off Road Vehicle Account" u="1"/>
        <s v="15G Smart Home Choices Pgm Acct" u="1"/>
        <s v="018 Millersylvania Park Current Account" u="1"/>
        <s v="653 Wash Distinguished Professor Trust" u="1"/>
        <s v="644 Community Services Revolving Acct" u="1"/>
        <s v="205 Mobile Home Park Relocation Account" u="1"/>
        <s v="722 Deferred Compensation Principal" u="1"/>
        <s v="106 Highway Safety Account" u="1"/>
        <s v="216 Air Pollution Control Account" u="1"/>
        <s v="09P City-County Assistance Account" u="1"/>
        <s v="198 Access Road Revolving Account" u="1"/>
        <s v="774 UW License Plate Account" u="1"/>
        <s v="10F Share the Road Account" u="1"/>
        <s v="06G Real Estate Appraiser Commision Acc" u="1"/>
        <s v="09C Farmlands Preservation Account" u="1"/>
        <s v="087 Park Land Trust Revolving Account" u="1"/>
        <s v="617 David Account" u="1"/>
        <s v="246 Comm/Tech College Forest Reserve" u="1"/>
        <s v="888 Deferred Compensation Admin Account" u="1"/>
        <s v="380 Debt-Limit GF Bond Retirement Acct" u="1"/>
        <s v="411 Natural Resources Equipment Account" u="1"/>
        <s v="10A Freshwater Aquatic Algae Control A" u="1"/>
        <s v="759 Miscellaneous Program Account" u="1"/>
        <s v="610 Accident Reserve Account" u="1"/>
        <s v="119 Unemployment Compensation Admin" u="1"/>
        <s v="387 UW Facilities Bond Retirement Acct" u="1"/>
        <s v="10R Energy Freedom Account" u="1"/>
        <s v="253 Education Construction Account" u="1"/>
        <s v="181 Violence Reduction/Drug Enforcement" u="1"/>
        <s v="08G Medical Flexible Spending Account" u="1"/>
        <s v="578 Lottery Administrative Account" u="1"/>
        <s v="08P State Parks Educ &amp; Enhancement" u="1"/>
        <s v="002 Hospital Data Collection Account" u="1"/>
        <s v="186 County Arterial Preservation Acct" u="1"/>
        <s v="17B Home Visiting Services Account" u="1"/>
        <s v="080 Grade Crossing Protective Account" u="1"/>
        <s v="744 School Construction Revolving Acct" u="1"/>
        <s v="12P Geoduck Aquaculture Research Acct" u="1"/>
        <s v="031 State Investment Board Expense Acct" u="1"/>
        <s v="289 Thurston County Capital Facilities" u="1"/>
        <s v="859 Inst of Hi Ed-endowment Local Acct" u="1"/>
        <s v="615 Washington State Patrol Retirement" u="1"/>
        <s v="17P SR 520 Civil Penalties Account" u="1"/>
        <s v="743 College Faculty Awards Trust Acct" u="1"/>
        <s v="14B Budget Stabilization Account" u="1"/>
        <s v="11K WA Auto Theft Prevention Auth Acct" u="1"/>
        <s v="200 Reg Fish Enhance Salmonid Recovery" u="1"/>
        <s v="733 Capitol Campus Reserve Account" u="1"/>
        <s v="15E Manufacturing Innovation &amp; Moderniz" u="1"/>
        <s v="213 Veterans' Emblem Account" u="1"/>
        <s v="193 State Forest Nursery Revolving Acct" u="1"/>
        <s v="064 UW Building Account" u="1"/>
        <s v="08M Small City Pavement &amp; Sidewalk Acct" u="1"/>
        <s v="154 New Motor Vehicle Arbitration Acct" u="1"/>
        <s v="615 WA State Patrol - Plan 1" u="1"/>
        <s v="401 Correctional Industries Account" u="1"/>
        <s v="036 Capitol Building Construction Acct" u="1"/>
        <s v="416 Surplus/Donated Food Commod Revolv" u="1"/>
        <s v="08N State Financial Aid Account" u="1"/>
        <s v="02N Parkland Acquisition Account" u="1"/>
        <s v="721 Public Employees/Retirees Insurance" u="1"/>
        <s v="09A We Love Our Pets Account" u="1"/>
        <s v="07B Organ and Tissue Donation A Account" u="1"/>
        <s v="16W Hospital Safety Net Assessment Acct" u="1"/>
        <s v="12R Independent Youth Housing Account" u="1"/>
        <s v="05T Distressed County Assistance Acct" u="1"/>
        <s v="15E Manufac In Mod Acct" u="1"/>
        <s v="335 LCB Construction/Maintenance Acct" u="1"/>
        <s v="147 Inst of HI ED-Plant Account" u="1"/>
        <s v="199 Biosolids Permit Account" u="1"/>
        <s v="09F High-Occupancy Toll Lanes Account" u="1"/>
        <s v="139 Water Quality Account" u="1"/>
        <s v="882 Washington Judicial Retirement Acct" u="1"/>
        <s v="214 Temporary Worker Housing Account" u="1"/>
        <s v="09V Equal Justice Subaccount of PSEA" u="1"/>
        <s v="823 Livestock Nutrient Management Acct" u="1"/>
        <s v="204 Vol Firefight/Res Off Administrativ" u="1"/>
        <s v="06H Oral History, St Lib, and Arch Acct" u="1"/>
        <s v="04R Drinking Water Assistance Account" u="1"/>
        <s v="577 State Lottery Account" u="1"/>
        <s v="347 WSU Bond Retirement Account" u="1"/>
        <s v="483 Auditing Services Revolving Account" u="1"/>
        <s v="777 Prostitution Prevent/Intervention" u="1"/>
        <s v="480 Financial Education Pub-Pri Partner" u="1"/>
        <s v="061 EWU Capital Projects Account" u="1"/>
        <s v="063 CWU Capital Projects Account" u="1"/>
        <s v="065 WWU Capital Projects Account" u="1"/>
        <s v="196 Unclaimed Personal Property Account" u="1"/>
        <s v="003 Architects' License Account" u="1"/>
        <s v="305 TIB Bond Retirement Account" u="1"/>
        <s v="030 Landowner Conting F Fire Suppress" u="1"/>
        <s v="01P Suspense Account" u="1"/>
        <s v="404 State Treasurer's Service Account" u="1"/>
        <s v="159 Parks Improvement Account" u="1"/>
        <s v="10N Reading Achievement Account" u="1"/>
        <s v="543 Judicial Information Systems Acct" u="1"/>
        <s v="484 Administrative Hearings Revolving" u="1"/>
        <s v="267 Recreation Resources Account" u="1"/>
        <s v="09V Equal Justice Subaccount of the P S" u="1"/>
        <s v="06L Business Professions Account" u="1"/>
        <s v="234 Public Works Administration Acct" u="1"/>
        <s v="095 Electrical License Account" u="1"/>
        <s v="15W Guaranteed Asset Protection Waiver" u="1"/>
        <s v="15W Guarenteed Asset Protection Waiver" u="1"/>
        <s v="747 Health Prof Loan Repay/Scholar Prog" u="1"/>
        <s v="160 Wood Stove Education/Enforcement" u="1"/>
        <s v="523 Public Funds Investment Account" u="1"/>
        <s v="055 St/Loc Impr Rev Acct Waste Disp Fac" u="1"/>
        <s v="632 Teachers' Retirement Plan I Account" u="1"/>
        <s v="761 Basic Health Plan Subscription Acct" u="1"/>
        <s v="784 Misc Transportation Programs Acct" u="1"/>
        <s v="027 Reclamation Account" u="1"/>
        <s v="02K Death Investigations Account" u="1"/>
        <s v="17H WA Global Health Technologies/Produ" u="1"/>
        <s v="485 Horse Racing Commission Washington" u="1"/>
        <s v="635 Public Safety Employees' Plan 2" u="1"/>
        <s v="11M Poet Laureate Account" u="1"/>
        <s v="102 Rural Arterial Trust Account" u="1"/>
        <s v="604 Normal School Permanent Account" u="1"/>
        <s v="01B ORV &amp; Nonhighway Account" u="1"/>
        <s v="449 COP/Other Financing Account - Local" u="1"/>
        <s v="04E Uniform Commercial Code Account" u="1"/>
        <s v="11E Freight Mobility Multimoday Account" u="1"/>
        <s v="329 Comm/Tech Col Refund Bond Retire 74" u="1"/>
        <s v="515 DNA Data Base Account" u="1"/>
        <s v="225 Fingerprint Identification Account" u="1"/>
        <s v="800 Institutional Welfare/Betterment" u="1"/>
        <s v="08F Lighthouse Environmental Programs A" u="1"/>
        <s v="486 Small Business Incubator Account" u="1"/>
        <s v="06C City and Town Research Services" u="1"/>
        <s v="283 Juvenile Accountability Incentive" u="1"/>
        <s v="241 COP Account - Ecology Building" u="1"/>
        <s v="04M Recreational Fisheries Enhancement" u="1"/>
        <s v="144 Transportation Improvement Account" u="1"/>
        <s v="497 Horse Racing Commission Class C Pur" u="1"/>
        <s v="099 Puget Sound Capital Construction" u="1"/>
        <s v="727 Water Pollution Control Revolving" u="1"/>
        <s v="350 Capital Hist District Construction" u="1"/>
        <s v="816 Stadium/Exhibition Center Account" u="1"/>
        <s v="215 Special Category C Account" u="1"/>
        <s v="014 Forest Development Account" u="1"/>
        <s v="10K Veterans Inovations Program Acct" u="1"/>
        <s v="071 Warm Water Game Fish Account" u="1"/>
        <s v="357 Gardner-Evans High Ed Construction" u="1"/>
        <s v="524 Inst of Hi Ed-bookstore Account" u="1"/>
        <s v="277 State Agency Parking Account" u="1"/>
        <s v="060 Comm/Tech Col Capital Projects Acct" u="1"/>
        <s v="789 Advanced Environmental Mitigation" u="1"/>
        <s v="252 HI ED Non-Proprietary Local Capital" u="1"/>
        <s v="439 Uniform Medical Plan Benefits Acct" u="1"/>
        <s v="544 Pollution Liab Insurance Prog Trust" u="1"/>
        <s v="218 Multimodal Transportation Account" u="1"/>
        <s v="641 Public Employees' Comb Plan 2 &amp; 3" u="1"/>
        <s v="828 Tobacco Prevention/Control Account" u="1"/>
        <s v="783 CWU License Plate Account" u="1"/>
        <s v="304 Ferry Bond Retirement Account" u="1"/>
        <s v="041 Resource Management Cost Account" u="1"/>
        <s v="422 General Administration Service Acct" u="1"/>
        <s v="131 Fair Account" u="1"/>
        <s v="14E Washington State Heritage Center" u="1"/>
        <s v="09L Nursing Resource Center Account" u="1"/>
        <s v="056 State Higher Education Construction" u="1"/>
        <s v="057 State Building Construction Account" u="1"/>
        <s v="485 Horse Racing Breed Owners Bonus Fnd" u="1"/>
        <s v="616 Judges' Retirement Account" u="1"/>
        <s v="499 Law Enforcement Memorial Account" u="1"/>
        <s v="023 Special Grass Seed Burning Research" u="1"/>
        <s v="14A Wildlife Rehabilitation Account" u="1"/>
        <s v="129 Federal Interest Payment Account" u="1"/>
        <s v="14W Reduced Cigarette Ignition Acct." u="1"/>
        <s v="11F Reinvesting in Youth Account" u="1"/>
        <s v="184 Local Museum Acct-Wa St Hist Soc" u="1"/>
        <s v="11J Electronic Products Recycling Acct" u="1"/>
        <s v="633 School Employee Combined Plan 2 &amp; 3" u="1"/>
        <s v="14V Ignition Interlock Device Revolving" u="1"/>
        <s v="07E Contract Harvesting Revolving Acct" u="1"/>
        <s v="148 Inst of Hi Ed-Dedicated Local Acct" u="1"/>
        <s v="06H Wash State Legacy Proj, State Lib" u="1"/>
        <s v="02W Timber Tax Distribution Account" u="1"/>
        <s v="08J Prescription Drug Consortium Acct" u="1"/>
        <s v="01F Crime Victims' Compensation Account" u="1"/>
        <s v="15G Smart Homeownership Choices Pgm" u="1"/>
        <s v="03N Master License Account" u="1"/>
        <s v="546 Risk Management Admin Account" u="1"/>
        <s v="086 Fire Service Training Account" u="1"/>
        <s v="769 Environmental Settlement Account" u="1"/>
        <s v="688 Fed Local Rail Service Assistance" u="1"/>
        <s v="852 Foster Care Scholarship Endowment A" u="1"/>
        <s v="158 Aquatic Land Dredged Mat Disp Site" u="1"/>
        <s v="841 G. Robert Ross Endowment Account" u="1"/>
        <s v="07N Produce Railcar Pool Account" u="1"/>
        <s v="045 State Vehicle Parking Account" u="1"/>
        <s v="874 OASI Revolving Account" u="1"/>
        <s v="098 East Wash Pheasant Enhancement Acct" u="1"/>
        <s v="545 Heat Oil Pollution Liability Trust" u="1"/>
        <s v="07L Legislative International Trade" u="1"/>
        <s v="10B Homeless Housing Account" u="1"/>
        <s v="15L Annual Property Revaluation Grant" u="1"/>
        <s v="143 Inst of Hi Ed-Federal Approp Acct" u="1"/>
        <s v="742 Amer Indian Endow Scholarship Trust" u="1"/>
        <s v="14F Family Leave Insurance Account" u="1"/>
        <s v="026 Real Estate Commission Account" u="1"/>
        <s v="522 Inst of Hi Ed-associated Students" u="1"/>
        <s v="02P Flood Control Assistance Account" u="1"/>
        <s v="040 Aircraft Search/Rescue Safety &amp; Ed" u="1"/>
        <s v="06J Securities Prosecution Account" u="1"/>
        <s v="167 Nat Res Conserv Areas Stewardship" u="1"/>
        <s v="03R Safe Drinking Water Account" u="1"/>
        <s v="17F WA Opportunity Pathways Account" u="1"/>
        <s v="501 Liquor Revolving Account" u="1"/>
        <s v="16V Water Rights Processing Account" u="1"/>
        <s v="381 Debt-Limit Reimbursable Bond Ret" u="1"/>
        <s v="241 COP Construction Account" u="1"/>
        <s v="738 DSHS Trust Account" u="1"/>
        <s v="07T Commemorative Works Account" u="1"/>
        <s v="887 Public Facility Const Loan Revolv" u="1"/>
        <s v="07W Domestic Violence Prevention Acct" u="1"/>
        <s v="528 Inst of Hi Ed-Parking Account" u="1"/>
        <s v="505 UW-University Hospital Account" u="1"/>
        <s v="227 Funeral Directors &amp; Embalmers Acct" u="1"/>
        <s v="768 Local Real Estate Excise Tax Acct" u="1"/>
        <s v="419 Data Processing Revolving Account" u="1"/>
        <s v="06P Vendors in Good Standing Account" u="1"/>
        <s v="163 Worker/Community Right to Know Acct" u="1"/>
        <s v="025 Pilotage Account" u="1"/>
        <s v="10E Real Estate Excise Tax Grant Acct" u="1"/>
        <s v="750 Rural Health Access Account" u="1"/>
        <s v="09B Boating Safety Edu Cert Account" u="1"/>
        <s v="172 Basic Health Plan Trust Account" u="1"/>
        <s v="760 Health Services Account" u="1"/>
        <s v="489 Pension Funding Stabilization Acct" u="1"/>
        <s v="10L Health Insurance Partnership" u="1"/>
        <s v="503 Tuition Recovery Trust Account" u="1"/>
        <s v="09T WA Main Street Trust Fund Account" u="1"/>
        <s v="16J SR #520 Corridor Account" u="1"/>
        <s v="420 Printing Plant Revolving Account" u="1"/>
        <s v="07R Drinking Water Assistance Repayment" u="1"/>
        <s v="550 Transportation 2003 Acct (Nickel A)" u="1"/>
        <s v="14L Streamlined Sales &amp; Use Tax Mit" u="1"/>
        <s v="09N Aquatic Invasive Sp Prevention Acct" u="1"/>
        <s v="15P Energy Recovery Act Account" u="1"/>
        <s v="02A Surveys and Maps Account" u="1"/>
        <s v="291 Education Savings Account" u="1"/>
        <s v="03L County Criminal Justice Assistance" u="1"/>
        <s v="857 Inst of Hi Ed-Annuity &amp; Life Income" u="1"/>
        <s v="359 Sch Con Skill Ctr Build Acct" u="1"/>
        <s v="498 Firefighters Benevolent Account" u="1"/>
        <s v="02R Aquatic Lands Enhancement Account" u="1"/>
        <s v="14R Military Dept Active State Service" u="1"/>
        <s v="09F High-Occupancy Toll Lanes Operation" u="1"/>
        <s v="07A Mortgage Lending Fraud Pros Account" u="1"/>
        <s v="08P State Parks Education and Enhance A" u="1"/>
        <s v="07J Helping Kids Speak" u="1"/>
        <s v="470 Imaging Account" u="1"/>
        <s v="03B Asbestos Account" u="1"/>
        <s v="438 Uniform Dental Plan Benefits Admin" u="1"/>
        <s v="042 Char/Ed/Penal/Reform/Institutions" u="1"/>
        <s v="004 Cemetery Account" u="1"/>
        <s v="407 Secretary of State's Revolving Acct" u="1"/>
        <s v="04W Waterworks Operator Certification" u="1"/>
        <s v="001 General Fund - Basic Account" u="1"/>
        <s v="08W &quot;Washington's National Park Fund&quot;" u="1"/>
        <s v="513 Derelict Vessel Removal Account" u="1"/>
        <s v="11P Large On-Site Sewage Systems Acct" u="1"/>
        <s v="453 OMWBE Enterprises Account" u="1"/>
        <s v="116 Basic Data Account" u="1"/>
        <s v="540 Tele Device Hearing/Speech Impaired" u="1"/>
        <s v="058 Public Works Assistance Account" u="1"/>
        <s v="259 Coastal Crab Account" u="1"/>
        <s v="830 Agricultural College Trust Manage" u="1"/>
        <s v="08C Gonzaga Univ Alumni Association" u="1"/>
        <s v="002 Hospital Commission Account" u="1"/>
        <s v="269 Parks Renewal/Stewardship Account" u="1"/>
        <s v="112 Urban Arterial Trust Account" u="1"/>
        <s v="511 Tacoma Narrows Toll Bridge Account" u="1"/>
        <s v="382 Nondebt-Limit GF Bond Retirement" u="1"/>
        <s v="281 Impaired Driving Safety Account" u="1"/>
        <s v="10K Veterans Inovations" u="1"/>
        <s v="113 Common School Construction Account" u="1"/>
        <s v="355 State Tax Bld Construction Account" u="1"/>
        <s v="206 Cost of Supervision Account" u="1"/>
        <s v="512 Institutional Stores Account" u="1"/>
        <s v="12H Uniformed Service Shared Leave Pool" u="1"/>
        <s v="15K Columbia River Water Delivery Acct" u="1"/>
        <s v="547 Liability Account" u="1"/>
        <s v="203 Passenger Ferry Account" u="1"/>
        <s v="319 Public Health Supplemental Account" u="1"/>
        <s v="749 Governor's ICSEW Account" u="1"/>
        <s v="415 Department of Personnel Service" u="1"/>
        <s v="FH2 Higher Ed Internal Lending Acct" u="1"/>
        <s v="182 Underground Storage Tank Account" u="1"/>
        <s v="223 Oil Spill Response Account" u="1"/>
        <s v="268 NOVA Program Account" u="1"/>
        <s v="614 Vol Firefight/Res Off R/P Principal" u="1"/>
        <s v="162 Farm Labor Revolving Account" u="1"/>
        <s v="039 Aeronautics Account" u="1"/>
        <s v="503 Tuition Recovery Account" u="1"/>
        <s v="729 Judicial Retirement Principal Acct" u="1"/>
        <s v="551 Homeless Families Services Account" u="1"/>
        <s v="10B Home Security Fund Account" u="1"/>
        <s v="12G Rockfish Research Account" u="1"/>
        <s v="786 TESC License Plate Account" u="1"/>
        <s v="02G Health Professions Account" u="1"/>
        <s v="348 UW Bond Retirement Account" u="1"/>
        <s v="16B Landscape Architects' License Acct" u="1"/>
        <s v="885 Plumbing Certificate Account" u="1"/>
        <s v="17P Sr520 Civil Penalties Account" u="1"/>
        <s v="06H Wa St Legacy Proj Acct" u="1"/>
        <s v="05K County Research Services Account" u="1"/>
        <s v="209 Regional Fisheries Enhance Group" u="1"/>
        <s v="413 Municipal Revolving Account" u="1"/>
        <s v="08F Lighthouse Environmental Programs" u="1"/>
        <s v="032 St Emergency Water Projects Revolv" u="1"/>
        <s v="780 School Zone Safety Account" u="1"/>
        <s v="08M Small City Pavement and Sidewalk A" u="1"/>
        <s v="06W W Nat S, W, and Environ Ed P Acct" u="1"/>
        <s v="829 L.E.O.F.F. Retirement Plan II Acct" u="1"/>
        <s v="189 Clark-McNary Account" u="1"/>
        <s v="02V Public Safety &amp; Education Account" u="1"/>
        <s v="109 Puget Sound Ferry Operations Acct" u="1"/>
        <s v="573 Inst of Hi Ed-housing &amp; Food Acct" u="1"/>
        <s v="195 Energy Account" u="1"/>
        <s v="833 Develop Disability Endowment Trust" u="1"/>
        <s v="201 DOL Services Account" u="1"/>
        <s v="620 Unemployment Compensation Account" u="1"/>
        <s v="10L Health Insurance Partnership Acct" u="1"/>
        <s v="11C Community Health Care Collaborative" u="1"/>
        <s v="860 Inst of Hi Ed-Long Term Loan Acct" u="1"/>
        <s v="495 Toll Collection Account" u="1"/>
        <s v="821 Impaired Physician Account" u="1"/>
        <s v="04T County Public Health Account" u="1"/>
        <s v="140 Automatic Fingerprint Info System" u="1"/>
        <s v="384 Nondebt-Limit Prop Approp Bond Ret" u="1"/>
        <s v="482 Dairy/Forage Facility Revolving" u="1"/>
        <s v="460 Inst of Hi Ed-motor Pool Account" u="1"/>
        <s v="194 Environmental Excellence Account" u="1"/>
        <s v="825 Tobacco Settlement Account" u="1"/>
        <s v="110 Special Wildlife Account" u="1"/>
        <s v="553 Performance Audits of Government" u="1"/>
        <s v="15V Funeral and Cemetery Account" u="1"/>
        <s v="728 Manufactured Housing Account" u="1"/>
        <s v="16E Specialized Forest Products" u="1"/>
        <s v="426 Digital Government Revolving Acct" u="1"/>
        <s v="410 Transportation Equipment Account" u="1"/>
        <s v="128 Grain Inspection Revolving Acct" u="1"/>
        <s v="532 Washington Housing Trust Account" u="1"/>
        <s v="06G Real Estate Appraiser Commission Ac" u="1"/>
        <s v="10K Veterans Innovations Program Acct" u="1"/>
        <s v="11E Freight Mobility Multimodal Account" u="1"/>
        <s v="549 Election Account" u="1"/>
        <s v="06K Lead Paint Account" u="1"/>
        <s v="443 Inst of Hi Ed-data Processing Acct" u="1"/>
        <s v="15A Transitional Housing Oper &amp; Rent" u="1"/>
        <s v="880 Advanced Right-of-Way Revolving" u="1"/>
        <s v="433 Shared Game Lottery Account" u="1"/>
        <s v="02B County Sale/Use Tax Equalization" u="1"/>
        <s v="788 Advanced Coll Tuition Payment Prog" u="1"/>
        <s v="10P Columbia River Basin Water Supply" u="1"/>
        <s v="12F Man/Mobile Home Dispute Resolution" u="1"/>
        <s v="16A Judicial Stabilization Trust Acct" u="1"/>
        <s v="560 Legislative Systems Revolving Acct" u="1"/>
        <s v="14J Ambulatory Surgical Facility Acct" u="1"/>
        <s v="07B Organ and Tissue Donation Awareness" u="1"/>
        <s v="180 Local Gov Administrative Hearings" u="1"/>
        <s v="12E Boarding Home Temp Mgmt Acct" u="1"/>
        <s v="488 Special Personnel Litigation Rev." u="1"/>
        <s v="11W Water Quality Capital Account" u="1"/>
        <s v="15C WA Community Technology Opportunity" u="1"/>
        <s v="500 Perpetual Surveillance/Maintenance" u="1"/>
        <s v="758 Employment &amp; Training Trust Account" u="1"/>
        <s v="480 Financial Literacy Public-Private P" u="1"/>
        <s v="843 Exceptional Faculty Award Endowment" u="1"/>
        <s v="006 Archives &amp; Records Management Acct" u="1"/>
        <s v="02C Municipal Sale/Use Tax Equalization" u="1"/>
        <s v="094 Transportation Infrastructure Acct" u="1"/>
        <s v="570 Inst of Hi Ed-other Enterprises" u="1"/>
        <s v="244 Habitat Conservation Account" u="1"/>
        <s v="04K American W/Disabilities Spec Revolv" u="1"/>
        <s v="471 State Patrol N Air Rev Account" u="1"/>
        <s v="622 Unemployment Comp Fed Emp Ben Pmt" u="1"/>
        <s v="298 Geologists' Account" u="1"/>
        <s v="687 Rural Rehabilitation Account" u="1"/>
        <s v="739 COP/Other Financing Account - State" u="1"/>
        <s v="134 Employment Services Administrative" u="1"/>
        <s v="141 Federal Seizure Account" u="1"/>
        <s v="10A Freshwater Aquatic Algae Control" u="1"/>
        <s v="111 Public Service Revolving Account" u="1"/>
        <s v="169 Horse Racing Commission Operating" u="1"/>
        <s v="262 Manufacture Home Installation Train" u="1"/>
        <s v="03F Enhanced 911 Account" u="1"/>
        <s v="881 Supplemental Pension Account" u="1"/>
        <s v="10C Man/Mobile Home Inv. Account" u="1"/>
        <s v="08V Veterans Stewardship Account" u="1"/>
        <s v="05M Tourism Development/Promotion Acct" u="1"/>
        <s v="09B Boating Safety Educ Certification" u="1"/>
        <s v="837 WA Promise Scholarship Account" u="1"/>
        <s v="08H Military Department Rent and Lease" u="1"/>
        <s v="835 4 Yr Student Child Care Hi Ed Acct" u="1"/>
        <s v="02M Essential Rail Assistance Account" u="1"/>
        <s v="133 Childrens' Trust Account" u="1"/>
        <s v="01L Higher Education Construction Acct" u="1"/>
        <s v="548 LEOFF Plan 2 Account" u="1"/>
        <s v="728 Mobile Home Affairs Account" u="1"/>
        <s v="537 St Convent/Trade Center Operations" u="1"/>
        <s v="10K Veterans Innovations" u="1"/>
        <s v="642 Teachers' Combined Plan II &amp; III" u="1"/>
        <s v="878 Federal Forest Revolving Account" u="1"/>
        <s v="11A Employment Training Finance Account" u="1"/>
        <s v="260 UW Operating Fees Account" u="1"/>
        <s v="138 Insurance Commissioner's Regulatory" u="1"/>
        <s v="609 Medical Aid Account" u="1"/>
        <s v="436 OFM Labor Relations Service Account" u="1"/>
        <s v="16G Universal Vaccine Purchase Account" u="1"/>
        <s v="197 Statute Law Committee Publications" u="1"/>
        <s v="507 Oyster Reserve Land Account" u="1"/>
        <s v="785 State Educational Trust Fund Acct" u="1"/>
        <s v="536 Federal Food Service Revolving Acct" u="1"/>
        <s v="11V Veteran Estate Management Account" u="1"/>
        <s v="248 Hi Ed Reimbursable Construction" u="1"/>
        <s v="05R Drinking Water Assistance Admin" u="1"/>
        <s v="09G Riparian Protection Account" u="1"/>
        <s v="303 Highway Bond Retirement Account" u="1"/>
        <s v="100 Displaced Workers Account" u="1"/>
        <s v="097 Recreational Vehicle Account" u="1"/>
        <s v="297 Pipeline Safety Account" u="1"/>
        <s v="207 Hazardous Waste Assistance Account" u="1"/>
        <s v="440 Inst of Hi Ed-Stores Account" u="1"/>
        <s v="569 Inst of Hi Ed-food Services Account" u="1"/>
        <s v="070 Outdoor Recreation Account" u="1"/>
        <s v="605 Permanent Common School Account" u="1"/>
        <s v="05B K-20 Technology Account" u="1"/>
        <s v="295 Sea Urchin Dive Fishery Account" u="1"/>
        <s v="04H Surface Mining Reclamation Account" u="1"/>
        <s v="12C Affordable Housing for All Account" u="1"/>
        <s v="09K Life Sciences Discovery Account" u="1"/>
        <s v="755 Comm Serv Office Div of Family Serv" u="1"/>
        <s v="190 Forest Fire Protection Assessment" u="1"/>
        <s v="893 Radiation Perpetual Maintenance" u="1"/>
        <s v="16T Product Stewardship Programs Accoun" u="1"/>
        <s v="08C Gonzaga Univ Alumni Association A" u="1"/>
        <s v="271 WSU Operating Fees Account" u="1"/>
        <s v="066 TESC Capital Projects Account" u="1"/>
        <s v="850 Inst of Hi Ed-work Study Account" u="1"/>
        <s v="275 CWU Operating Fees Account" u="1"/>
        <s v="12L Outdoor Education and Recreation" u="1"/>
        <s v="385 Nondebt-Limit Prop Nonapprop Bond" u="1"/>
        <s v="635 Public Employees Retirement Plan 2" u="1"/>
        <s v="FH1 Higher Ed Blended Component Units" u="1"/>
        <s v="445 Self-Insured Emplyr Overpaymt Reimb" u="1"/>
        <s v="445 Self-Insured Emplyr Overpmymt Reimb" u="1"/>
        <s v="081 State Patrol Highway Account" u="1"/>
        <s v="15H Cleanup Settlement Account" u="1"/>
        <s v="383 Nondebt-Limit Reimbursable Bond Ret" u="1"/>
        <s v="17E State Efficiency &amp; Restructuring Ac" u="1"/>
        <s v="120 Administrative Contingency Account" u="1"/>
        <s v="842 Amer Indian Scholarship Endowment" u="1"/>
        <s v="04N Emergency Reserve Account" u="1"/>
        <s v="606 Scientific Permanent Account" u="1"/>
        <s v="01V State Convention &amp; Trade Center" u="1"/>
        <s v="06L Business and Professions Account" u="1"/>
        <s v="150 Low-Income Weatherization Assist" u="1"/>
        <s v="282 Bicycle and Pedestrian Safety Acct" u="1"/>
        <s v="539 Telephone Assistance Account" u="1"/>
        <s v="892 Pressure Systems Safety Account" u="1"/>
        <s v="03P Fire Service Trust Account" u="1"/>
        <s v="145 Inst of Hi Ed-Grants/Contracts Acct" u="1"/>
        <s v="222 Freshwater Aquatic Weeds Account" u="1"/>
        <s v="880 Advance Right-of-Way Revolving" u="1"/>
        <s v="FH1 Higher Education Blended Components" u="1"/>
        <s v="508 Miscellaneous Enterprise Activities" u="1"/>
        <s v="849 Inst of Hi Ed-Student Loan Account" u="1"/>
        <s v="075 St Soc/Health Services Construction" u="1"/>
        <s v="08G Flexible Spending Admin Account" u="1"/>
        <s v="730 Public Employee/Retiree Ins Reserve" u="1"/>
        <s v="084 Building Code Council Account" u="1"/>
        <s v="09M Aquatic Invasive Species Enf. Acct." u="1"/>
        <s v="08E Individual Development Account Prog" u="1"/>
        <s v="08L Ski &amp; Ride Washington Account" u="1"/>
        <s v="607 State University Permanent Account" u="1"/>
        <s v="746 Hanford Area Economic Investment" u="1"/>
        <s v="04F Real Estate Education Account" u="1"/>
        <s v="051 St/Loc Improvements Revolving Acct" u="1"/>
        <s v="444 Fish &amp; Wildlife Equipment Revolving" u="1"/>
        <s v="364 Military Department Capital Account" u="1"/>
        <s v="450 Inst of Hi Ed-other Facilities Acct" u="1"/>
        <s v="818 Youth Athletic Facility Account" u="1"/>
        <s v="834 Capitol Furnish Preserv. Committee" u="1"/>
        <s v="834 Capitol Furnish Preserve Committee" u="1"/>
        <s v="509 Washington Fruit Express Account" u="1"/>
        <s v="02J Certified Public Accountants' Acct" u="1"/>
        <s v="15M Biotoxin Account" u="1"/>
        <s v="600 Dept of Retirement Systems Expense" u="1"/>
        <s v="024 Professional Engineers' Account" u="1"/>
        <s v="08K Problem Gambling Account" u="1"/>
        <s v="689 Rural Washington Loan Account" u="1"/>
        <s v="787 Sulfur Dioxide Abatement Account" u="1"/>
        <s v="173 State Toxics Control Account" u="1"/>
        <s v="406 Salary/Insurance Increase Revolving" u="1"/>
        <s v="174 Local Toxics Control Account" u="1"/>
        <s v="480 Financial Literacy Pub-Priv Partner" u="1"/>
        <s v="765 Education Technology Account" u="1"/>
        <s v="048 Marine Fuel Tax Refund Account" u="1"/>
        <s v="14P Skeletal Human Remains Assistance" u="1"/>
        <s v="575 Vocational Ed Revolving-Corrections" u="1"/>
        <s v="552 Conservation Assistance Rev Account" u="1"/>
        <s v="01M Snowmobile Account" u="1"/>
        <s v="210 Fire Protection Contractor License" u="1"/>
        <s v="08A Education Legacy Trust Account" u="1"/>
        <s v="027 Reclamation Revolving Account" u="1"/>
        <s v="846 Grant-In-Aid Scholarship/Fellowship" u="1"/>
        <s v="03M Municipal Criminal Justice Assist" u="1"/>
        <s v="534 Wash Graduate Fellowship Trust Acct" u="1"/>
        <s v="608 Accident Account" u="1"/>
        <s v="448 Inst of Hi Ed-printing Account" u="1"/>
        <s v="151 Chief Joseph Recreation Development" u="1"/>
        <s v="731 Child Care Facility Revolving Acct" u="1"/>
        <s v="235 Youth Tobacco Prevention Account" u="1"/>
        <s v="17C Opportunity Express Account" u="1"/>
        <s v="645 Wa State Historical Trust Acct" u="1"/>
        <s v="418 St Health Care Authority Admin Acct" u="1"/>
        <s v="14H Community Preservation Development" u="1"/>
        <s v="16L Accessible Communities Account" u="1"/>
        <s v="04L Public Health Services Account" u="1"/>
        <s v="851 Developmental Dis Comm Trust Acct" u="1"/>
        <s v="03C Emer Med Ser/Trauma Care Sys Trust" u="1"/>
        <s v="15G Prevent/Reduce Owner-Occupied For" u="1"/>
      </sharedItems>
    </cacheField>
    <cacheField name="fund_group" numFmtId="0" sqlType="1">
      <sharedItems count="3">
        <s v="OTHS"/>
        <s v="OTHL"/>
        <s v="OTHF"/>
      </sharedItems>
    </cacheField>
    <cacheField name="major_source" numFmtId="0" sqlType="1">
      <sharedItems count="7">
        <s v="04"/>
        <s v="05"/>
        <s v="07"/>
        <s v="03"/>
        <s v="06"/>
        <s v="09"/>
        <s v="08"/>
      </sharedItems>
    </cacheField>
    <cacheField name="MajorSourceTitle" numFmtId="0" sqlType="12">
      <sharedItems count="12">
        <s v="04 Charges And Miscellaneous Revenue"/>
        <s v="05 State Revenues For Distribution"/>
        <s v="07 Other Miscellaneous Sources"/>
        <s v="03 Federal Grants-In-Aid"/>
        <s v="04 State &amp; Misc Revenue"/>
        <s v="06 Transfers"/>
        <s v="09 Non Revenue Activities"/>
        <s v="03 Federal Revenue"/>
        <s v="05 Private/Local Revenue"/>
        <s v="08 Other Revenue &amp; Finance"/>
        <s v="02 Licenses, Permits, And Fees" u="1"/>
        <s v="01 Taxes" u="1"/>
      </sharedItems>
    </cacheField>
    <cacheField name="source" numFmtId="0" sqlType="1">
      <sharedItems/>
    </cacheField>
    <cacheField name="SourceTitle" numFmtId="0" sqlType="12">
      <sharedItems count="356">
        <s v="09 Local Investment/Interest Income"/>
        <s v="24 Tuition and Fees"/>
        <s v="81 Operating Transfers Out"/>
        <s v="30 Dedicated Student Fees"/>
        <s v="41 Contributions and Grants"/>
        <s v="02 Income From Property"/>
        <s v="05 Fines and Forfeits"/>
        <s v="20 Charges for Services"/>
        <s v="31 Miscellaneous Student Fees"/>
        <s v="99 Other Revenue"/>
        <s v="91 Deposit Adjustments/Returned Checks"/>
        <s v="80 Operating Transfers In"/>
        <s v="15 Recov of Current Appropriation Exp"/>
        <s v="16 Recov of Prior Appropriation Exp"/>
        <s v="30 Items Placed In Suspense"/>
        <s v="84 Operating Transf-Debt Service Reim"/>
        <s v="90 Cash Over and Short"/>
        <s v="21 Publications and Documents"/>
        <s v="40 Indirect Cost Reimbursement"/>
        <s v="01 Treasury Investment Income"/>
        <s v="16 Sale of Property - Other"/>
        <s v="85 Immaterial Prior Period Adjustments"/>
        <s v="46 Federal Revenue - Pass Through"/>
        <s v="28 Other Charges for Current Services"/>
        <s v="64 Veterans Administration"/>
        <s v="22 Operating Transfers Out"/>
        <s v="40 Deposit Adjustments/Returned Checks"/>
        <s v="21 Operating Transfers In"/>
        <s v="94 Operating Transf-Debt Service Reim"/>
        <s v="20 Items Placed in Suspense"/>
        <s v="13 CAPITAL GAINS"/>
        <s v="02 Recovery of Current Appropriation E"/>
        <s v="81 Department of Energy"/>
        <s v="99 Miscellaneous Federal Revenue"/>
        <s v="84 Department of Education"/>
        <s v="86 Recov of Prior Appropriation Exp"/>
        <s v="90 Special Litigation Transfers"/>
        <s v="73 Costs of Investment Activities"/>
        <s v="05 Fines, Forfeits and Seizures"/>
        <s v="86 Recov of Prior  Exp Authority Exp"/>
        <s v="93 Depart of Health &amp; Human Serv"/>
        <s v="94 Corp for Natl &amp; Community Service"/>
        <s v="01 Investment Income"/>
        <s v="88 UW Internal Lending Program"/>
        <s v="01 Interagency Reimbursments"/>
        <s v="02 Recovery of Current Expenditure A"/>
        <s v="23 Room, Board and Meals"/>
        <s v="60 Bonds Issued"/>
        <s v="14 CAPITAL LOSSES"/>
        <s v="63 Original Issue Premium"/>
        <s v="27 NonCash Rev Transfers-Other"/>
        <s v="09 Interest Income"/>
        <s v="10 Unclaimed Monies"/>
        <s v="88 UW Internal Lending Program Trsfs"/>
        <s v="13 Capital Gains and Losses"/>
        <s v="78 Equity Transfers - In"/>
        <s v="98 Other Tax Distributions" u="1"/>
        <s v="66 Fair Account Transfer" u="1"/>
        <s v="11 Department of Commerce" u="1"/>
        <s v="41 Contributions and Grants - State" u="1"/>
        <s v="58 Original Issue Premium (Discount)" u="1"/>
        <s v="43 Intermediate Care Facility Tax" u="1"/>
        <s v="60 Optician Licenses" u="1"/>
        <s v="71 Sewage Treatment Plant Operator Lic" u="1"/>
        <s v="06 Tax Credits - B &amp; O" u="1"/>
        <s v="51 Flood Control" u="1"/>
        <s v="66 Environment Protection Agency" u="1"/>
        <s v="62 Tennessee Valley Authority" u="1"/>
        <s v="95 Certified Acupuncturist Licenses" u="1"/>
        <s v="68 Education Savings Account Transfer" u="1"/>
        <s v="10 Athletic Licenses" u="1"/>
        <s v="27 I-773 Cigarette Tax" u="1"/>
        <s v="79 Vessel Registration Fees" u="1"/>
        <s v="35 Energy Facility Appl and Mon Fees" u="1"/>
        <s v="22 Commercial Driver Schools" u="1"/>
        <s v="91 PUD Excise Tax Distributions" u="1"/>
        <s v="07 Other Health Professions Licenses" u="1"/>
        <s v="08 Peace Corps" u="1"/>
        <s v="83 Veterinarian Licenses" u="1"/>
        <s v="92 Master License Delinquency Fees" u="1"/>
        <s v="18 Land Sales Disclosure Act" u="1"/>
        <s v="64 Taxable Bonds Issued" u="1"/>
        <s v="50 Sales of Goods &amp; Supp - Prop Funds" u="1"/>
        <s v="95 Executive Office of the President" u="1"/>
        <s v="03 Institute of Museum Services" u="1"/>
        <s v="64 Nursing Home Admin Licenses" u="1"/>
        <s v="02 Interest Income" u="1"/>
        <s v="93 Aquatic Lands Distributions" u="1"/>
        <s v="03 Agriculture/Aquaculture Lic/Fees" u="1"/>
        <s v="58 Alcohol Treatment Transfer" u="1"/>
        <s v="56 Emergency Reserve Account" u="1"/>
        <s v="04 Child Support Payments" u="1"/>
        <s v="99 Tax Revenue Suspense (DOR Only)" u="1"/>
        <s v="92 Autopsy Cost Reimbursements" u="1"/>
        <s v="92 Autospy Cost Reinbursements" u="1"/>
        <s v="42 Library of Congress" u="1"/>
        <s v="10 Compensating Tax" u="1"/>
        <s v="96 Replacement Tire Assessments" u="1"/>
        <s v="77 Nuclear Regulatory Commission" u="1"/>
        <s v="43 Education Construction Trans - Lott" u="1"/>
        <s v="49 Miscellanous Local Revenue" u="1"/>
        <s v="85 Water Resources Fees" u="1"/>
        <s v="12 Hazardous Substance Tax" u="1"/>
        <s v="83 Federal Emergency Management Agency" u="1"/>
        <s v="77 Lottery Ticket Proceeds" u="1"/>
        <s v="57 Real Estate Excise Tax" u="1"/>
        <s v="20 Liquor Sales Tax" u="1"/>
        <s v="30 Equal Employment Opportunity Comm" u="1"/>
        <s v="76 Forest Practices Permit Fees" u="1"/>
        <s v="61 Exhibition Center Admission Tax" u="1"/>
        <s v="31 County Sale/Use Tax Equalization" u="1"/>
        <s v="56 Notary Fees and Comm of Deeds" u="1"/>
        <s v="36 PUD Privilege Tax" u="1"/>
        <s v="43 Medicaid Tax" u="1"/>
        <s v="02 Employer Pension Contributions" u="1"/>
        <s v="11 Dividend Income" u="1"/>
        <s v="10 Department of Agriculture" u="1"/>
        <s v="45 Hunting and Fishing Licenses" u="1"/>
        <s v="26 Other Tobacco Products Tax" u="1"/>
        <s v="32 Municipal Sale/Use Tax Equalization" u="1"/>
        <s v="75 Penalties and Interest" u="1"/>
        <s v="92 Death Investigation Distributions" u="1"/>
        <s v="04 Aircraft" u="1"/>
        <s v="44 Grant and Loan Repayments" u="1"/>
        <s v="50 Property Tax" u="1"/>
        <s v="62 Original Issue Discount" u="1"/>
        <s v="96 Operating Transfer - Motor Fuel Tax" u="1"/>
        <s v="13 Tax Credits - Hazardous Substance" u="1"/>
        <s v="28 Solid Waste Collection Tax" u="1"/>
        <s v="08 Brokered Natural Gas" u="1"/>
        <s v="99 Other Licenses, Permits and Fees" u="1"/>
        <s v="17 State Enhanced 911 Tax" u="1"/>
        <s v="34 Tax Credits - Public Utilities" u="1"/>
        <s v="66 Fair Fund Transfer" u="1"/>
        <s v="68 Public Utilities Regulatory Fees" u="1"/>
        <s v="24 Tribal Cigarette Tax" u="1"/>
        <s v="51 Dental Licenses" u="1"/>
        <s v="38 Franchise Licenses" u="1"/>
        <s v="19 Liquor Sales Tax-Surcharge" u="1"/>
        <s v="89 Amortization" u="1"/>
        <s v="02 Agency for Intl Development" u="1"/>
        <s v="14 Dept of Housing and Urban Develop" u="1"/>
        <s v="63 Original Issue Premium (Discount)" u="1"/>
        <s v="88 Refunds On Account of Forgery-Prior" u="1"/>
        <s v="05 Business and Occupation Tax" u="1"/>
        <s v="39 General Services Administration" u="1"/>
        <s v="06 Alias Business Certification Fees" u="1"/>
        <s v="09 Beautician Licenses" u="1"/>
        <s v="25 Pool Participant Contribution" u="1"/>
        <s v="34 Education Institutions Registration" u="1"/>
        <s v="55 Federal Revenue - Non Assistance" u="1"/>
        <s v="58 Motor Vehicle Excise Tax" u="1"/>
        <s v="07 Non-Federal Assist-Vendor Services" u="1"/>
        <s v="50 Fireworks Licenses" u="1"/>
        <s v="55 Inheritance/Estate Taxes" u="1"/>
        <s v="89 National Archives/Records Admin" u="1"/>
        <s v="02 Auctioneers" u="1"/>
        <s v="90 Fire Insurance Premium Distribution" u="1"/>
        <s v="04 State Pension Contributions" u="1"/>
        <s v="11 Bond Transfers - In" u="1"/>
        <s v="60 Commercial Fishing-Privilege Tax" u="1"/>
        <s v="09 Beautician and Barber Licenses" u="1"/>
        <s v="44 General Fund Transfer - Lottery Rev" u="1"/>
        <s v="43 National Aeronautics &amp; Space Admin" u="1"/>
        <s v="58 Registered &amp; Licensed Nurse" u="1"/>
        <s v="20 Department of Transportation" u="1"/>
        <s v="93 Operating Transfers - Debt Service" u="1"/>
        <s v="98 Federal Revenue Distributions" u="1"/>
        <s v="61 Optometrist Licenses" u="1"/>
        <s v="05 Alcoholic Beverages" u="1"/>
        <s v="34 Sales and Use Tax Mitigation Trans" u="1"/>
        <s v="25 Filing Fees and Legal Services" u="1"/>
        <s v="81 Pension Reserve Transfers Out" u="1"/>
        <s v="15 Motor Vehicle Fuel Tax" u="1"/>
        <s v="96 Liquor Tax Distributions" u="1"/>
        <s v="29 Electrical Licenses" u="1"/>
        <s v="31 Carbonated Beverage Tax" u="1"/>
        <s v="03 Member Pension Contribution" u="1"/>
        <s v="80 Timber Tax" u="1"/>
        <s v="01 African Development Foundation" u="1"/>
        <s v="40 Funeral Licenses" u="1"/>
        <s v="97 Homeland Security" u="1"/>
        <s v="96 Insurance Premiums" u="1"/>
        <s v="14 Property Tax Exemption Application" u="1"/>
        <s v="31 Undistributed Receipts" u="1"/>
        <s v="41 Contributions and Grants - Other" u="1"/>
        <s v="78 Lottery Ticket Refunds" u="1"/>
        <s v="57 Under Disc/Costs Refunding Bonds" u="1"/>
        <s v="44 Horse Racing Licenses and Fees" u="1"/>
        <s v="04 Capital Loss" u="1"/>
        <s v="72 Workers' Compensation Contribution" u="1"/>
        <s v="54 County Criminal Justice Transfer" u="1"/>
        <s v="19 Department of State" u="1"/>
        <s v="75 Oculist Licenses" u="1"/>
        <s v="33 Farm Labor Licenses" u="1"/>
        <s v="12 Department of Defense" u="1"/>
        <s v="07 Office of Nation Drug Control Pol" u="1"/>
        <s v="79 Equity Transfers - Out" u="1"/>
        <s v="91 United States Institute of Peace" u="1"/>
        <s v="41 Interstate Commerce Commission" u="1"/>
        <s v="06 Amortization" u="1"/>
        <s v="23 Contractors Registration" u="1"/>
        <s v="35 Public Utilities Tax" u="1"/>
        <s v="57 Licensed Practical Nurse Licenses" u="1"/>
        <s v="16 Department of Justice" u="1"/>
        <s v="84 LCB State Tax Distribution" u="1"/>
        <s v="17 Victims of Crime Compensation" u="1"/>
        <s v="16 Hearing Aid Consultants" u="1"/>
        <s v="23 Board, Room and Meals" u="1"/>
        <s v="53 Columbia River Water Delivery" u="1"/>
        <s v="65 Note Proceeds" u="1"/>
        <s v="24 Collection Agencies" u="1"/>
        <s v="41 Petroleum Products Tax" u="1"/>
        <s v="02 Tax Credits - Sales Tax" u="1"/>
        <s v="23 Board, Room and Meals (DVA Only)" u="1"/>
        <s v="32 Engineering and Surveying Licenses" u="1"/>
        <s v="62 Pharmacy Licenses" u="1"/>
        <s v="25 Burning Permit Fees" u="1"/>
        <s v="49 Watercraft Excise Tax" u="1"/>
        <s v="11 Tax Credits - Compensating Tax" u="1"/>
        <s v="36 State Treasurer's Service Account" u="1"/>
        <s v="45 Unemployment Compensation Reimburse" u="1"/>
        <s v="05 Non-Federal Assistance-Other" u="1"/>
        <s v="80 Pension Reserve Transfers In" u="1"/>
        <s v="86 Water Quality Fees" u="1"/>
        <s v="72 Safety Inspection Licenses &amp; Fees" u="1"/>
        <s v="82 U.S. Information Agency" u="1"/>
        <s v="40 Parimutuals Tax" u="1"/>
        <s v="91 PUD Privilege Tax Distributions" u="1"/>
        <s v="55 Pymts to Refunded Bond Escrow Agent" u="1"/>
        <s v="47 National Science Foundation" u="1"/>
        <s v="31 Employment Agency Licenses" u="1"/>
        <s v="08 Architect Licenses" u="1"/>
        <s v="98 US Agency for International Develop" u="1"/>
        <s v="01 Retail Sales Tax" u="1"/>
        <s v="03 Capital Gains" u="1"/>
        <s v="46 Insurance Licenses and Fees" u="1"/>
        <s v="15 Sale of Property - Timber" u="1"/>
        <s v="21 Beer Tax" u="1"/>
        <s v="04 Cost of Supervision Assessment Fee" u="1"/>
        <s v="33 Timber Tax" u="1"/>
        <s v="24 Distr. of Beer &amp; Wine Tax-Surcharge" u="1"/>
        <s v="97 Boating Safety Distribution" u="1"/>
        <s v="79 General Revenue Distributions" u="1"/>
        <s v="42 Student Achievement Trans - Lottery" u="1"/>
        <s v="81 Sellers of Travel" u="1"/>
        <s v="DS Unclaimed Property Distributions" u="1"/>
        <s v="15 Department of the Interior" u="1"/>
        <s v="53 Motor Vehicle Licenses" u="1"/>
        <s v="59 Proceeds of Refunding Bonds" u="1"/>
        <s v="20 Charitable Funds Solicitation" u="1"/>
        <s v="66 Loan Principal Repayment" u="1"/>
        <s v="59 Small Business Administration" u="1"/>
        <s v="96 Social Security Administration" u="1"/>
        <s v="52 Medical Licenses" u="1"/>
        <s v="98 Tort Claim Reimbursement" u="1"/>
        <s v="97 Charges for Transportation Services" u="1"/>
        <s v="13 Barber Licenses" u="1"/>
        <s v="01 Accountants" u="1"/>
        <s v="97 Timber Tax Distribution" u="1"/>
        <s v="58 Original Issue Premium - Ref Bonds" u="1"/>
        <s v="03 Recovery of Foster Care Expenditure" u="1"/>
        <s v="25 Cigarette Tax" u="1"/>
        <s v="11 Gambling Licenses and Fees" u="1"/>
        <s v="55 Automobile Sales Licenses" u="1"/>
        <s v="37 Syrup (Soda) Tax" u="1"/>
        <s v="36 Firearms License Fees and Permits" u="1"/>
        <s v="94 Hazardous Waste Fees" u="1"/>
        <s v="91 Marriage Licenses" u="1"/>
        <s v="06 Litter Control Revenue" u="1"/>
        <s v="05 National Endowment for the Arts" u="1"/>
        <s v="70 Real Estate Licenses" u="1"/>
        <s v="48 Commute Trip Reduction Transfer" u="1"/>
        <s v="18 Liter Tax-Liquor" u="1"/>
        <s v="77 Agency Inc Savings Transfers - OFM" u="1"/>
        <s v="26 Corporation Licenses and Fees" u="1"/>
        <s v="03 Juvenile Court Fees" u="1"/>
        <s v="45 Nat Foundation On Arts &amp; Humanities" u="1"/>
        <s v="42 Health Fees and Licenses" u="1"/>
        <s v="48 Statewide Indirect Cost Recoveries" u="1"/>
        <s v="17 Cemetery Fees" u="1"/>
        <s v="46 National Labor Relations Board" u="1"/>
        <s v="12 Banking Licenses and Fees" u="1"/>
        <s v="55 Municipal Criminal Justice Transfer" u="1"/>
        <s v="12 Bond Transfers Out" u="1"/>
        <s v="67 I-773 Transfers" u="1"/>
        <s v="94 Impaired Driving Safety Dist" u="1"/>
        <s v="19 Certified Psychologist Licenses" u="1"/>
        <s v="45 Budget Stabilization Transfer" u="1"/>
        <s v="99 Operating Transfers-Higher Ed Fees" u="1"/>
        <s v="95 Motor Vehicle Fuel Tax Distribution" u="1"/>
        <s v="45 Amusements Tax" u="1"/>
        <s v="74 Credit Union License and Fees" u="1"/>
        <s v="DS Federal Revenue Distributions Treas" u="1"/>
        <s v="51 Excise Taxes - Other" u="1"/>
        <s v="18 Gain/Loss on Sale of Fixed Assets" u="1"/>
        <s v="26 Highway Construction  and Maint" u="1"/>
        <s v="29 Natural Resources Equipment Rental" u="1"/>
        <s v="90 Miscellaneous Commissions" u="1"/>
        <s v="01 State Indirect Cost Recoveries" u="1"/>
        <s v="59 Site Closure Account Transfer" u="1"/>
        <s v="07 Patient Care" u="1"/>
        <s v="87 Well Construction And Licensing" u="1"/>
        <s v="36 Public Utilities District Tax" u="1"/>
        <s v="08 Treasury Deposit Income" u="1"/>
        <s v="58 Registered &amp; Licensed Pract Nurse" u="1"/>
        <s v="21 Department of the Treasury" u="1"/>
        <s v="29 I-773 Other Tobacco Tax" u="1"/>
        <s v="71 Unemployment Compensation Contrib." u="1"/>
        <s v="49 Unclaimed Property Transfer" u="1"/>
        <s v="87 Recoveries of Student Fin Aid Exp" u="1"/>
        <s v="21 Rental Excise Tax Suspense" u="1"/>
        <s v="60 Smithsonian Institution" u="1"/>
        <s v="70 Judicial Information System Fees" u="1"/>
        <s v="06 National Endowment for the Human" u="1"/>
        <s v="66 Power Licenses" u="1"/>
        <s v="70 Other Taxes" u="1"/>
        <s v="30 Insurance Premium Tax" u="1"/>
        <s v="16 Use Fuel Tax(Other Than MV Fuel)" u="1"/>
        <s v="63 Stadium/Exhibition Center Park Tax" u="1"/>
        <s v="14 InterAgency Reimbursements" u="1"/>
        <s v="27 Property and Resources Management" u="1"/>
        <s v="77 Incentive Savings Transfers In" u="1"/>
        <s v="92 Prosecuting Attorney Distributions" u="1"/>
        <s v="89 Operating Transfers - Toll Charges" u="1"/>
        <s v="97 Reimbursable Private/Local Contract" u="1"/>
        <s v="54 Motor Vehicle Operator Licenses" u="1"/>
        <s v="60 Bond Proceeds" u="1"/>
        <s v="34 Hazardous Waste Cleanup Recoveries" u="1"/>
        <s v="55 Sales of Liquor" u="1"/>
        <s v="62 Stadium Admission Tax" u="1"/>
        <s v="83 Retirement System Transfer" u="1"/>
        <s v="40 WA Opport Pathways Trsf - Lottery" u="1"/>
        <s v="25 Undistributed Receipts" u="1"/>
        <s v="77 Security Licenses, Permits and Fees" u="1"/>
        <s v="84 LCB State Excess Profit Distrib" u="1"/>
        <s v="57 Criminal Justice Treatment Transfer" u="1"/>
        <s v="37 Commercial Fishing Licenses" u="1"/>
        <s v="63 Puget Sound Pilot Licenses" u="1"/>
        <s v="59 Leasehold Excise Tax" u="1"/>
        <s v="20 Capital Contributions" u="1"/>
        <s v="78 Occupational Therapist Licenses" u="1"/>
        <s v="21 Cigarette Fees and Licenses" u="1"/>
        <s v="67 Real Estate Excise Tax Trans Fee" u="1"/>
        <s v="17 Department of Labor" u="1"/>
        <s v="49 Landscape Architects" u="1"/>
        <s v="23 Investment Admin Transfer-SIB Only" u="1"/>
        <s v="58 Registered Nurse Licenses" u="1"/>
        <s v="26 NonCash Rev Transfers-Compensation" u="1"/>
        <s v="90 Log Patrol Licenses" u="1"/>
        <s v="84 LCB State Profit Distribution" u="1"/>
        <s v="48 Liquid Fuel Licenses" u="1"/>
        <s v="52 Water Quality" u="1"/>
        <s v="22 Wine Tax" u="1"/>
        <s v="41 Stadium &amp; Exhib Trans - Lottery Rev" u="1"/>
        <s v="86 Pension Benefit Guaranty Corp" u="1"/>
      </sharedItems>
    </cacheField>
    <cacheField name="budget_type" numFmtId="0" sqlType="1">
      <sharedItems count="4">
        <s v="H"/>
        <s v="B"/>
        <s v="M" u="1"/>
        <s v="N" u="1"/>
      </sharedItems>
    </cacheField>
    <cacheField name="fiscal_year" numFmtId="0" sqlType="1">
      <sharedItems count="16">
        <s v="2000"/>
        <s v="2001"/>
        <s v="2002"/>
        <s v="2003"/>
        <s v="2004"/>
        <s v="2005"/>
        <s v="2006"/>
        <s v="2007"/>
        <s v="2009"/>
        <s v="2008"/>
        <s v="2010"/>
        <s v="2011"/>
        <s v="2012"/>
        <s v="2013"/>
        <s v="2014"/>
        <s v="2015"/>
      </sharedItems>
    </cacheField>
    <cacheField name="month" numFmtId="0" sqlType="1">
      <sharedItems count="12">
        <s v="01"/>
        <s v="12"/>
        <s v="02"/>
        <s v="07"/>
        <s v="08"/>
        <s v="10"/>
        <s v="11"/>
        <s v="09"/>
        <s v="03"/>
        <s v="04"/>
        <s v="05"/>
        <s v="06"/>
      </sharedItems>
    </cacheField>
    <cacheField name="Sum of monthly_amount" numFmtId="0" sqlType="3">
      <sharedItems containsSemiMixedTypes="0" containsString="0" containsNumber="1" minValue="-97591546.670000002" maxValue="227839696.5999999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433.457726388886" refreshedVersion="8" recordCount="2490" xr:uid="{F6D70DDB-F4D9-48B9-BD73-09DBF32311C4}">
  <cacheSource type="external" connectionId="93"/>
  <cacheFields count="9">
    <cacheField name="Biennium" numFmtId="0" sqlType="1">
      <sharedItems count="1">
        <s v="2023-25"/>
      </sharedItems>
    </cacheField>
    <cacheField name="EntityCode" numFmtId="0" sqlType="1">
      <sharedItems/>
    </cacheField>
    <cacheField name="AppropriationCharacter" numFmtId="0" sqlType="1">
      <sharedItems count="2">
        <s v="O"/>
        <s v="C"/>
      </sharedItems>
    </cacheField>
    <cacheField name="FundCode" numFmtId="0" sqlType="12">
      <sharedItems count="569">
        <s v="001-1"/>
        <s v="057-1"/>
        <s v="10P-1"/>
        <s v="355-1"/>
        <s v="366-1"/>
        <s v="381-1"/>
        <s v="359-1"/>
        <s v="383-1"/>
        <s v="09H-1"/>
        <s v="20H-1"/>
        <s v="215-1"/>
        <s v="303-1"/>
        <s v="304-1"/>
        <s v="305-1"/>
        <s v="389-1"/>
        <s v="389-2"/>
        <s v="108-1"/>
        <s v="109-1"/>
        <s v="218-1"/>
        <s v="26A-1"/>
        <s v="553-1"/>
        <s v="14V-1"/>
        <s v="418-1"/>
        <s v="492-1"/>
        <s v="600-1"/>
        <s v="442-6"/>
        <s v="197-6"/>
        <s v="001-2"/>
        <s v="001-7"/>
        <s v="16A-1"/>
        <s v="27W-1"/>
        <s v="543-1"/>
        <s v="17L-6"/>
        <s v="09R-1"/>
        <s v="24J-1"/>
        <s v="462-1"/>
        <s v="081-1"/>
        <s v="02G-1"/>
        <s v="202-1"/>
        <s v="23P-1"/>
        <s v="24B-1"/>
        <s v="26T-1"/>
        <s v="447-6"/>
        <s v="706-2"/>
        <s v="07L-6"/>
        <s v="22W-1"/>
        <s v="26H-1"/>
        <s v="26J-6"/>
        <s v="006-1"/>
        <s v="06H-6"/>
        <s v="12M-1"/>
        <s v="14E-1"/>
        <s v="14E-6"/>
        <s v="407-6"/>
        <s v="415-1"/>
        <s v="441-1"/>
        <s v="470-6"/>
        <s v="549-2"/>
        <s v="24E-1"/>
        <s v="26C-1"/>
        <s v="404-1"/>
        <s v="413-6"/>
        <s v="483-1"/>
        <s v="553-6"/>
        <s v="111-1"/>
        <s v="12F-6"/>
        <s v="141-6"/>
        <s v="154-1"/>
        <s v="19A-1"/>
        <s v="19P-1"/>
        <s v="25V-6"/>
        <s v="405-1"/>
        <s v="424-6"/>
        <s v="828-1"/>
        <s v="06J-6"/>
        <s v="07A-6"/>
        <s v="300-6"/>
        <s v="001-H"/>
        <s v="058-1"/>
        <s v="06K-1"/>
        <s v="084-1"/>
        <s v="107-1"/>
        <s v="10B-1"/>
        <s v="12C-1"/>
        <s v="14H-1"/>
        <s v="14M-1"/>
        <s v="150-1"/>
        <s v="19V-1"/>
        <s v="205-6"/>
        <s v="22M-1"/>
        <s v="22S-6"/>
        <s v="22T-1"/>
        <s v="23R-1"/>
        <s v="263-1"/>
        <s v="26D-1"/>
        <s v="26U-1"/>
        <s v="27B-1"/>
        <s v="27C-1"/>
        <s v="285-1"/>
        <s v="28D-6"/>
        <s v="28G-1"/>
        <s v="315-1"/>
        <s v="501-1"/>
        <s v="532-1"/>
        <s v="746-6"/>
        <s v="759-6"/>
        <s v="777-1"/>
        <s v="887-1"/>
        <s v="PDE-6"/>
        <s v="20J-1"/>
        <s v="22D-1"/>
        <s v="23N-1"/>
        <s v="26V-1"/>
        <s v="27A-1"/>
        <s v="818-1"/>
        <s v="SEC-1"/>
        <s v="578-1"/>
        <s v="16R-6"/>
        <s v="25N-1"/>
        <s v="26B-1"/>
        <s v="421-6"/>
        <s v="436-6"/>
        <s v="455-1"/>
        <s v="466-1"/>
        <s v="468-1"/>
        <s v="472-6"/>
        <s v="05C-1"/>
        <s v="08K-1"/>
        <s v="08A-1"/>
        <s v="17T-1"/>
        <s v="25M-1"/>
        <s v="03C-1"/>
        <s v="08J-6"/>
        <s v="16W-1"/>
        <s v="172-6"/>
        <s v="23L-6"/>
        <s v="24L-1"/>
        <s v="24V-1"/>
        <s v="567-1"/>
        <s v="609-1"/>
        <s v="PCW-1"/>
        <s v="08G-6"/>
        <s v="438-6"/>
        <s v="439-6"/>
        <s v="474-6"/>
        <s v="475-6"/>
        <s v="494-6"/>
        <s v="180-6"/>
        <s v="484-1"/>
        <s v="484-7"/>
        <s v="433-6"/>
        <s v="577-6"/>
        <s v="226-6"/>
        <s v="884-6"/>
        <s v="600-6"/>
        <s v="874-6"/>
        <s v="888-6"/>
        <s v="031-1"/>
        <s v="02W-1"/>
        <s v="03N-1"/>
        <s v="044-1"/>
        <s v="196-6"/>
        <s v="300-1"/>
        <s v="453-1"/>
        <s v="26Q-1"/>
        <s v="138-1"/>
        <s v="24P-1"/>
        <s v="458-1"/>
        <s v="458-6"/>
        <s v="02J-1"/>
        <s v="024-1"/>
        <s v="02K-1"/>
        <s v="045-6"/>
        <s v="422-6"/>
        <s v="546-6"/>
        <s v="547-6"/>
        <s v="036-1"/>
        <s v="289-1"/>
        <s v="169-6"/>
        <s v="485-6"/>
        <s v="497-6"/>
        <s v="163-1"/>
        <s v="608-1"/>
        <s v="025-1"/>
        <s v="111-2"/>
        <s v="19J-6"/>
        <s v="297-1"/>
        <s v="297-2"/>
        <s v="080-1"/>
        <s v="204-1"/>
        <s v="03L-1"/>
        <s v="03M-1"/>
        <s v="03P-1"/>
        <s v="04V-1"/>
        <s v="05H-1"/>
        <s v="086-1"/>
        <s v="14W-6"/>
        <s v="210-6"/>
        <s v="225-1"/>
        <s v="24T-6"/>
        <s v="515-6"/>
        <s v="081-2"/>
        <s v="081-7"/>
        <s v="106-1"/>
        <s v="16J-1"/>
        <s v="471-6"/>
        <s v="511-1"/>
        <s v="535-1"/>
        <s v="595-1"/>
        <s v="11K-1"/>
        <s v="18K-1"/>
        <s v="20E-1"/>
        <s v="106-2"/>
        <s v="106-7"/>
        <s v="24Q-1"/>
        <s v="780-1"/>
        <s v="01F-6"/>
        <s v="03B-1"/>
        <s v="095-1"/>
        <s v="162-1"/>
        <s v="21V-1"/>
        <s v="234-1"/>
        <s v="262-1"/>
        <s v="27D-6"/>
        <s v="28N-6"/>
        <s v="445-6"/>
        <s v="608-2"/>
        <s v="608-6"/>
        <s v="609-2"/>
        <s v="609-6"/>
        <s v="885-1"/>
        <s v="892-1"/>
        <s v="003-1"/>
        <s v="026-1"/>
        <s v="04E-1"/>
        <s v="04F-1"/>
        <s v="06G-1"/>
        <s v="06L-1"/>
        <s v="06R-1"/>
        <s v="146-1"/>
        <s v="15V-1"/>
        <s v="15V-6"/>
        <s v="16B-1"/>
        <s v="16B-6"/>
        <s v="16M-1"/>
        <s v="16M-6"/>
        <s v="21E-1"/>
        <s v="298-1"/>
        <s v="298-6"/>
        <s v="513-1"/>
        <s v="048-1"/>
        <s v="06T-1"/>
        <s v="082-1"/>
        <s v="104-1"/>
        <s v="108-7"/>
        <s v="17W-1"/>
        <s v="19T-1"/>
        <s v="201-1"/>
        <s v="22J-1"/>
        <s v="24K-1"/>
        <s v="25W-1"/>
        <s v="03F-1"/>
        <s v="05H-2"/>
        <s v="08H-1"/>
        <s v="14R-1"/>
        <s v="217-1"/>
        <s v="364-1"/>
        <s v="851-1"/>
        <s v="12T-1"/>
        <s v="562-1"/>
        <s v="07W-1"/>
        <s v="042-1"/>
        <s v="002-1"/>
        <s v="02R-1"/>
        <s v="03R-1"/>
        <s v="04R-2"/>
        <s v="04W-1"/>
        <s v="05R-1"/>
        <s v="09L-6"/>
        <s v="125-1"/>
        <s v="15M-1"/>
        <s v="16G-6"/>
        <s v="214-6"/>
        <s v="22U-1"/>
        <s v="235-1"/>
        <s v="27R-6"/>
        <s v="319-7"/>
        <s v="704-6"/>
        <s v="04R-1"/>
        <s v="213-6"/>
        <s v="08V-6"/>
        <s v="11V-7"/>
        <s v="001-Z"/>
        <s v="133-6"/>
        <s v="17B-1"/>
        <s v="17B-2"/>
        <s v="17F-1"/>
        <s v="17M-6"/>
        <s v="401-6"/>
        <s v="02H-6"/>
        <s v="23A-6"/>
        <s v="23D-6"/>
        <s v="748-6"/>
        <s v="17R-1"/>
        <s v="22V-6"/>
        <s v="24A-6"/>
        <s v="463-6"/>
        <s v="496-6"/>
        <s v="747-1"/>
        <s v="747-6"/>
        <s v="785-6"/>
        <s v="788-6"/>
        <s v="835-6"/>
        <s v="548-6"/>
        <s v="18E-6"/>
        <s v="25C-2"/>
        <s v="480-6"/>
        <s v="536-6"/>
        <s v="19L-1"/>
        <s v="113-1"/>
        <s v="113-2"/>
        <s v="19B-6"/>
        <s v="19H-6"/>
        <s v="503-6"/>
        <s v="14P-6"/>
        <s v="064-1"/>
        <s v="12P-1"/>
        <s v="145-6"/>
        <s v="148-6"/>
        <s v="149-6"/>
        <s v="505-6"/>
        <s v="062-1"/>
        <s v="143-6"/>
        <s v="061-1"/>
        <s v="063-1"/>
        <s v="066-1"/>
        <s v="039-1"/>
        <s v="065-1"/>
        <s v="184-6"/>
        <s v="184-7"/>
        <s v="185-6"/>
        <s v="17P-1"/>
        <s v="550-1"/>
        <s v="26P-1"/>
        <s v="410-6"/>
        <s v="039-2"/>
        <s v="039-7"/>
        <s v="108-2"/>
        <s v="20N-1"/>
        <s v="218-2"/>
        <s v="26M-1"/>
        <s v="26P-2"/>
        <s v="26P-7"/>
        <s v="097-1"/>
        <s v="218-7"/>
        <s v="045-1"/>
        <s v="11B-1"/>
        <s v="153-1"/>
        <s v="26N-1"/>
        <s v="099-1"/>
        <s v="099-2"/>
        <s v="099-7"/>
        <s v="18J-1"/>
        <s v="109-2"/>
        <s v="109-7"/>
        <s v="02M-1"/>
        <s v="094-1"/>
        <s v="571-1"/>
        <s v="096-1"/>
        <s v="096-2"/>
        <s v="09E-1"/>
        <s v="11E-1"/>
        <s v="102-1"/>
        <s v="186-1"/>
        <s v="144-1"/>
        <s v="08M-1"/>
        <s v="17N-1"/>
        <s v="027-1"/>
        <s v="02P-1"/>
        <s v="032-1"/>
        <s v="05W-1"/>
        <s v="072-1"/>
        <s v="10G-1"/>
        <s v="116-6"/>
        <s v="11J-6"/>
        <s v="160-1"/>
        <s v="16T-6"/>
        <s v="16V-1"/>
        <s v="176-1"/>
        <s v="182-1"/>
        <s v="199-1"/>
        <s v="207-1"/>
        <s v="20R-1"/>
        <s v="216-1"/>
        <s v="219-1"/>
        <s v="21H-1"/>
        <s v="223-1"/>
        <s v="22G-6"/>
        <s v="23P-7"/>
        <s v="23V-1"/>
        <s v="23W-1"/>
        <s v="25Q-1"/>
        <s v="25R-6"/>
        <s v="25T-1"/>
        <s v="28E-1"/>
        <s v="408-6"/>
        <s v="564-1"/>
        <s v="08R-1"/>
        <s v="10A-1"/>
        <s v="15H-1"/>
        <s v="222-1"/>
        <s v="26E-1"/>
        <s v="296-1"/>
        <s v="727-1"/>
        <s v="727-2"/>
        <s v="20T-1"/>
        <s v="544-1"/>
        <s v="545-6"/>
        <s v="26G-7"/>
        <s v="007-1"/>
        <s v="01B-1"/>
        <s v="01M-1"/>
        <s v="08P-6"/>
        <s v="09B-6"/>
        <s v="12L-6"/>
        <s v="159-6"/>
        <s v="269-1"/>
        <s v="269-7"/>
        <s v="02N-1"/>
        <s v="267-1"/>
        <s v="268-1"/>
        <s v="070-1"/>
        <s v="09C-1"/>
        <s v="244-1"/>
        <s v="552-1"/>
        <s v="04M-1"/>
        <s v="06A-1"/>
        <s v="071-1"/>
        <s v="07V-6"/>
        <s v="098-1"/>
        <s v="09J-6"/>
        <s v="110-1"/>
        <s v="110-2"/>
        <s v="110-7"/>
        <s v="12G-6"/>
        <s v="14A-1"/>
        <s v="14G-1"/>
        <s v="19W-6"/>
        <s v="200-2"/>
        <s v="209-6"/>
        <s v="21S-1"/>
        <s v="22N-6"/>
        <s v="24N-1"/>
        <s v="259-6"/>
        <s v="25F-1"/>
        <s v="320-6"/>
        <s v="444-6"/>
        <s v="507-1"/>
        <s v="014-1"/>
        <s v="02A-1"/>
        <s v="030-6"/>
        <s v="041-1"/>
        <s v="04H-1"/>
        <s v="07E-6"/>
        <s v="087-6"/>
        <s v="11H-1"/>
        <s v="14B-1"/>
        <s v="158-1"/>
        <s v="167-1"/>
        <s v="190-1"/>
        <s v="190-6"/>
        <s v="193-1"/>
        <s v="193-6"/>
        <s v="198-1"/>
        <s v="198-6"/>
        <s v="19C-1"/>
        <s v="21Q-1"/>
        <s v="21Q-6"/>
        <s v="22P-1"/>
        <s v="22P-6"/>
        <s v="25P-1"/>
        <s v="27T-1"/>
        <s v="566-1"/>
        <s v="830-1"/>
        <s v="04B-1"/>
        <s v="246-1"/>
        <s v="28M-1"/>
        <s v="126-6"/>
        <s v="128-6"/>
        <s v="131-6"/>
        <s v="21N-1"/>
        <s v="24G-6"/>
        <s v="516-6"/>
        <s v="823-6"/>
        <s v="APD-1"/>
        <s v="119-2"/>
        <s v="120-1"/>
        <s v="134-1"/>
        <s v="16L-6"/>
        <s v="22F-1"/>
        <s v="060-1"/>
        <s v="11A-6"/>
        <s v="20F-1"/>
        <s v="443-6"/>
        <s v="561-6"/>
        <s v="147-6"/>
        <s v="001-X" u="1"/>
        <s v="26T-6" u="1"/>
        <s v="22K-6" u="1"/>
        <s v="001-Y" u="1"/>
        <s v="108-8" u="1"/>
        <s v="20L-Y" u="1"/>
        <s v="19G-1" u="1"/>
        <s v="472-1" u="1"/>
        <s v="237-1" u="1"/>
        <s v="23J-1" u="1"/>
        <s v="23S-1" u="1"/>
        <s v="195-6" u="1"/>
        <s v="23M-6" u="1"/>
        <s v="11E-7" u="1"/>
        <s v="14E-N" u="1"/>
        <s v="087-1" u="1"/>
        <s v="08N-1" u="1"/>
        <s v="08V-1" u="1"/>
        <s v="489-1" u="1"/>
        <s v="689-1" u="1"/>
        <s v="12J-1" u="1"/>
        <s v="406-1" u="1"/>
        <s v="16F-6" u="1"/>
        <s v="16H-6" u="1"/>
        <s v="206-6" u="1"/>
        <s v="441-7" u="1"/>
        <s v="20K-6" u="1"/>
        <s v="173-1" u="1"/>
        <s v="174-1" u="1"/>
        <s v="09F-1" u="1"/>
        <s v="09K-1" u="1"/>
        <s v="018-1" u="1"/>
        <s v="25B-1" u="1"/>
        <s v="373-2" u="1"/>
        <s v="21T-1" u="1"/>
        <s v="492-6" u="1"/>
        <s v="173-7" u="1"/>
        <s v="21C-6" u="1"/>
        <s v="21K-6" u="1"/>
        <s v="21N-6" u="1"/>
        <s v="218-8" u="1"/>
        <s v="818-6" u="1"/>
        <s v="18B-1" u="1"/>
        <s v="366-Q" u="1"/>
        <s v="18L-1" u="1"/>
        <s v="422-1" u="1"/>
        <s v="22C-1" u="1"/>
        <s v="785-1" u="1"/>
        <s v="427-1" u="1"/>
        <s v="549-1" u="1"/>
        <s v="10K-1" u="1"/>
        <s v="22L-1" u="1"/>
        <s v="26Q-2" u="1"/>
        <s v="10R-1" u="1"/>
        <s v="702-1" u="1"/>
        <s v="703-1" u="1"/>
        <s v="025-6" u="1"/>
        <s v="461-6" u="1"/>
        <s v="001-W" u="1"/>
        <s v="721-6" u="1"/>
        <s v="493-6" u="1"/>
        <s v="319-1" u="1"/>
        <s v="07E-1" u="1"/>
      </sharedItems>
    </cacheField>
    <cacheField name="AppropType" numFmtId="0" sqlType="1">
      <sharedItems count="6">
        <s v="1"/>
        <s v="2"/>
        <s v="6"/>
        <s v="7"/>
        <s v="H"/>
        <s v="Z"/>
      </sharedItems>
    </cacheField>
    <cacheField name="FY" numFmtId="0" sqlType="1">
      <sharedItems count="8">
        <s v="2024"/>
        <s v="2025"/>
        <s v="2018" u="1"/>
        <s v="2023" u="1"/>
        <s v="2022" u="1"/>
        <s v="2021" u="1"/>
        <s v="2020" u="1"/>
        <s v="2019" u="1"/>
      </sharedItems>
    </cacheField>
    <cacheField name="Amount" numFmtId="0" sqlType="2">
      <sharedItems containsSemiMixedTypes="0" containsString="0" containsNumber="1" containsInteger="1" minValue="1000" maxValue="9813885000"/>
    </cacheField>
    <cacheField name="Agency" numFmtId="0" sqlType="1">
      <sharedItems count="113">
        <s v="010"/>
        <s v="011"/>
        <s v="012"/>
        <s v="013"/>
        <s v="014"/>
        <s v="020"/>
        <s v="035"/>
        <s v="036"/>
        <s v="037"/>
        <s v="038"/>
        <s v="040"/>
        <s v="045"/>
        <s v="048"/>
        <s v="050"/>
        <s v="055"/>
        <s v="056"/>
        <s v="057"/>
        <s v="075"/>
        <s v="076"/>
        <s v="080"/>
        <s v="082"/>
        <s v="083"/>
        <s v="085"/>
        <s v="086"/>
        <s v="087"/>
        <s v="090"/>
        <s v="095"/>
        <s v="099"/>
        <s v="100"/>
        <s v="101"/>
        <s v="102"/>
        <s v="103"/>
        <s v="104"/>
        <s v="105"/>
        <s v="107"/>
        <s v="110"/>
        <s v="116"/>
        <s v="117"/>
        <s v="118"/>
        <s v="119"/>
        <s v="120"/>
        <s v="124"/>
        <s v="126"/>
        <s v="140"/>
        <s v="142"/>
        <s v="147"/>
        <s v="160"/>
        <s v="163"/>
        <s v="165"/>
        <s v="166"/>
        <s v="167"/>
        <s v="179"/>
        <s v="185"/>
        <s v="190"/>
        <s v="195"/>
        <s v="205"/>
        <s v="215"/>
        <s v="220"/>
        <s v="225"/>
        <s v="227"/>
        <s v="228"/>
        <s v="229"/>
        <s v="235"/>
        <s v="240"/>
        <s v="245"/>
        <s v="275"/>
        <s v="300"/>
        <s v="303"/>
        <s v="305"/>
        <s v="307"/>
        <s v="310"/>
        <s v="315"/>
        <s v="340"/>
        <s v="341"/>
        <s v="350"/>
        <s v="351"/>
        <s v="353"/>
        <s v="354"/>
        <s v="355"/>
        <s v="360"/>
        <s v="365"/>
        <s v="370"/>
        <s v="375"/>
        <s v="376"/>
        <s v="380"/>
        <s v="387"/>
        <s v="390"/>
        <s v="395"/>
        <s v="405"/>
        <s v="406"/>
        <s v="407"/>
        <s v="410"/>
        <s v="411"/>
        <s v="460"/>
        <s v="461"/>
        <s v="462"/>
        <s v="463"/>
        <s v="465"/>
        <s v="467"/>
        <s v="468"/>
        <s v="471"/>
        <s v="477"/>
        <s v="478"/>
        <s v="490"/>
        <s v="495"/>
        <s v="540"/>
        <s v="699"/>
        <s v="707"/>
        <s v="740"/>
        <s v="713" u="1"/>
        <s v="091" u="1"/>
        <s v="357" u="1"/>
        <s v="046" u="1"/>
      </sharedItems>
    </cacheField>
    <cacheField name="BudgetType" numFmtId="0" sqlType="1">
      <sharedItems count="2">
        <s v="O"/>
        <s v="T"/>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433.457812037035" refreshedVersion="8" recordCount="8" xr:uid="{6388537A-67B1-47C9-8051-2C189F9A9D7F}">
  <cacheSource type="external" connectionId="94"/>
  <cacheFields count="8">
    <cacheField name="Biennium" numFmtId="0" sqlType="1">
      <sharedItems count="5">
        <s v="2023-25"/>
        <s v="2021-23" u="1"/>
        <s v="2019-21" u="1"/>
        <s v="2015-17" u="1"/>
        <s v="2017-19" u="1"/>
      </sharedItems>
    </cacheField>
    <cacheField name="VersionCode" numFmtId="0" sqlType="1">
      <sharedItems count="1">
        <s v="ENACTED"/>
      </sharedItems>
    </cacheField>
    <cacheField name="Agency" numFmtId="0" sqlType="1">
      <sharedItems count="7">
        <s v="360"/>
        <s v="365"/>
        <s v="370"/>
        <s v="375"/>
        <s v="376"/>
        <s v="380"/>
        <s v="699"/>
      </sharedItems>
    </cacheField>
    <cacheField name="ProjectId" numFmtId="0" sqlType="1">
      <sharedItems count="8">
        <s v="91000029"/>
        <s v="91000037"/>
        <s v="40000121"/>
        <s v="40000122"/>
        <s v="91000023"/>
        <s v="30000612"/>
        <s v="40000012"/>
        <s v="40000871"/>
      </sharedItems>
    </cacheField>
    <cacheField name="ProjectTitle" numFmtId="0" sqlType="1">
      <sharedItems count="11">
        <s v="Preventive Facility Maintenance and Building System Repairs"/>
        <s v="2023 - 2025 - Preventative Maintenance/Backlog Reduction Phase I"/>
        <s v="2023 - 2025 - Preventative Maintenance/Backlog Reduction Phase II"/>
        <s v="Preventative Facility Maintenance and Building System Repairs"/>
        <s v="Preventive Facility Maintenance and Bldg System Repairs (23-25)"/>
        <s v="Preventative Maintenance/Backlog Reduction 2021-23" u="1"/>
        <s v="Preventative Facility Maintenance/Backlog Reduction 2021-23" u="1"/>
        <s v="Part 1: Preventative Maintenance/Backlog Reduction" u="1"/>
        <s v="Part 2: Preventative Maintenance/Backlog Reduction" u="1"/>
        <s v="Preventative Maintenance/Backlog Reduction" u="1"/>
        <s v="Preventive Maintenance and Building System Repairs" u="1"/>
      </sharedItems>
    </cacheField>
    <cacheField name="ItemGroup" numFmtId="0" sqlType="1">
      <sharedItems count="1">
        <s v="PL"/>
      </sharedItems>
    </cacheField>
    <cacheField name="FundCode" numFmtId="0" sqlType="12">
      <sharedItems count="7">
        <s v="064-1"/>
        <s v="062-1"/>
        <s v="061-1"/>
        <s v="063-1"/>
        <s v="066-1"/>
        <s v="065-1"/>
        <s v="060-1"/>
      </sharedItems>
    </cacheField>
    <cacheField name="AmountNewAppropFY1" numFmtId="0" sqlType="2">
      <sharedItems containsSemiMixedTypes="0" containsString="0" containsNumber="1" containsInteger="1" minValue="217" maxValue="25825" count="8">
        <n v="25825"/>
        <n v="10115"/>
        <n v="2000"/>
        <n v="217"/>
        <n v="2422"/>
        <n v="880"/>
        <n v="3614"/>
        <n v="2280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433.457929050928" refreshedVersion="8" recordCount="50" xr:uid="{11811102-7C42-46C1-A43B-E1A0116D5528}">
  <cacheSource type="external" connectionId="95"/>
  <cacheFields count="7">
    <cacheField name="Biennium" numFmtId="0" sqlType="1">
      <sharedItems count="1">
        <s v="2023-25"/>
      </sharedItems>
    </cacheField>
    <cacheField name="Agency" numFmtId="0" sqlType="1">
      <sharedItems count="8">
        <s v="340"/>
        <s v="360"/>
        <s v="365"/>
        <s v="370"/>
        <s v="375"/>
        <s v="376"/>
        <s v="380"/>
        <s v="699"/>
      </sharedItems>
    </cacheField>
    <cacheField name="AppropriationCharacter" numFmtId="0" sqlType="1">
      <sharedItems count="1">
        <s v="O"/>
      </sharedItems>
    </cacheField>
    <cacheField name="BudgetType" numFmtId="0" sqlType="1">
      <sharedItems count="1">
        <s v="O"/>
      </sharedItems>
    </cacheField>
    <cacheField name="FundCode" numFmtId="0" sqlType="12">
      <sharedItems count="16">
        <s v="24J-1"/>
        <s v="17R-1"/>
        <s v="747-1"/>
        <s v="02R-1"/>
        <s v="064-1"/>
        <s v="09R-1"/>
        <s v="12P-1"/>
        <s v="15M-1"/>
        <s v="315-1"/>
        <s v="608-1"/>
        <s v="609-1"/>
        <s v="062-1"/>
        <s v="063-1"/>
        <s v="066-1"/>
        <s v="065-1"/>
        <s v="060-1"/>
      </sharedItems>
    </cacheField>
    <cacheField name="FY" numFmtId="0" sqlType="1">
      <sharedItems count="6">
        <s v="2024"/>
        <s v="2025"/>
        <s v="2022" u="1"/>
        <s v="2023" u="1"/>
        <s v="2020" u="1"/>
        <s v="2021" u="1"/>
      </sharedItems>
    </cacheField>
    <cacheField name="Amount" numFmtId="0" sqlType="2">
      <sharedItems containsSemiMixedTypes="0" containsString="0" containsNumber="1" containsInteger="1" minValue="38000" maxValue="172401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433.458005439817" refreshedVersion="8" recordCount="50" xr:uid="{D7F9436C-7F4F-43BE-AEB8-801551FDCAF8}">
  <cacheSource type="external" connectionId="96"/>
  <cacheFields count="7">
    <cacheField name="Biennium" numFmtId="0" sqlType="1">
      <sharedItems count="1">
        <s v="2023-25"/>
      </sharedItems>
    </cacheField>
    <cacheField name="Agency" numFmtId="0" sqlType="1">
      <sharedItems count="8">
        <s v="340"/>
        <s v="360"/>
        <s v="365"/>
        <s v="370"/>
        <s v="375"/>
        <s v="376"/>
        <s v="380"/>
        <s v="699"/>
      </sharedItems>
    </cacheField>
    <cacheField name="AppropriationCharacter" numFmtId="0" sqlType="1">
      <sharedItems count="1">
        <s v="O"/>
      </sharedItems>
    </cacheField>
    <cacheField name="BudgetType" numFmtId="0" sqlType="1">
      <sharedItems count="1">
        <s v="O"/>
      </sharedItems>
    </cacheField>
    <cacheField name="FundCode" numFmtId="0" sqlType="12">
      <sharedItems count="18">
        <s v="24J-1"/>
        <s v="17R-1"/>
        <s v="747-1"/>
        <s v="02R-1"/>
        <s v="064-1"/>
        <s v="09R-1"/>
        <s v="12P-1"/>
        <s v="15M-1"/>
        <s v="315-1"/>
        <s v="608-1"/>
        <s v="609-1"/>
        <s v="062-1"/>
        <s v="063-1"/>
        <s v="066-1"/>
        <s v="065-1"/>
        <s v="060-1"/>
        <s v="747-6" u="1"/>
        <s v="489-1" u="1"/>
      </sharedItems>
    </cacheField>
    <cacheField name="FY" numFmtId="0" sqlType="1">
      <sharedItems count="6">
        <s v="2024"/>
        <s v="2025"/>
        <s v="2022" u="1"/>
        <s v="2023" u="1"/>
        <s v="2020" u="1"/>
        <s v="2021" u="1"/>
      </sharedItems>
    </cacheField>
    <cacheField name="Amount" numFmtId="0" sqlType="2">
      <sharedItems containsSemiMixedTypes="0" containsString="0" containsNumber="1" containsInteger="1" minValue="38000" maxValue="172401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644.493231828703" backgroundQuery="1" missingItemsLimit="0" refreshedVersion="8" recordCount="952" xr:uid="{DF510E8B-5A9A-427A-B28B-8B4A13908626}">
  <cacheSource type="external" connectionId="52"/>
  <cacheFields count="6">
    <cacheField name="TransactionType" numFmtId="0" sqlType="1">
      <sharedItems count="2">
        <s v="DIS"/>
        <s v="ACC"/>
      </sharedItems>
    </cacheField>
    <cacheField name="Agency" numFmtId="0" sqlType="1">
      <sharedItems count="9">
        <s v="376"/>
        <s v="340"/>
        <s v="360"/>
        <s v="699"/>
        <s v="365"/>
        <s v="370"/>
        <s v="375"/>
        <s v="380"/>
        <s v="343"/>
      </sharedItems>
    </cacheField>
    <cacheField name="BudgetCharacter" numFmtId="0" sqlType="1">
      <sharedItems count="2">
        <s v="B"/>
        <s v="H"/>
      </sharedItems>
    </cacheField>
    <cacheField name="FundCode" numFmtId="0" sqlType="12">
      <sharedItems count="6">
        <s v="001-1"/>
        <s v="17F-1"/>
        <s v="149-6"/>
        <s v="08A-1"/>
        <s v="001-8"/>
        <s v="17C-1"/>
      </sharedItems>
    </cacheField>
    <cacheField name="FY" numFmtId="0" sqlType="1">
      <sharedItems count="26">
        <s v="2005"/>
        <s v="2016"/>
        <s v="2003"/>
        <s v="2010"/>
        <s v="2004"/>
        <s v="2017"/>
        <s v="2018"/>
        <s v="2022"/>
        <s v="2001"/>
        <s v="2025"/>
        <s v="2014"/>
        <s v="2009"/>
        <s v="2000"/>
        <s v="2019"/>
        <s v="2023"/>
        <s v="2002"/>
        <s v="2024"/>
        <s v="2007"/>
        <s v="2021"/>
        <s v="2008"/>
        <s v="2011"/>
        <s v="2006"/>
        <s v="2020"/>
        <s v="2012"/>
        <s v="2013"/>
        <s v="2015"/>
      </sharedItems>
    </cacheField>
    <cacheField name="Sum of Amount" numFmtId="0" sqlType="2">
      <sharedItems containsSemiMixedTypes="0" containsString="0" containsNumber="1" minValue="-47873095.82" maxValue="915601083.59000003"/>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644.494155439817" backgroundQuery="1" refreshedVersion="8" recordCount="203" xr:uid="{B0CFF690-EA19-4745-AD5B-6B7C0688A80D}">
  <cacheSource type="external" connectionId="97"/>
  <cacheFields count="8">
    <cacheField name="TransactionType" numFmtId="0" sqlType="1">
      <sharedItems count="2">
        <s v="ACC"/>
        <s v="DIS"/>
      </sharedItems>
    </cacheField>
    <cacheField name="AppropriationCharacter" numFmtId="0" sqlType="1">
      <sharedItems count="2">
        <s v="C"/>
        <s v="O"/>
      </sharedItems>
    </cacheField>
    <cacheField name="Agency" numFmtId="0" sqlType="1">
      <sharedItems count="113">
        <s v="365"/>
        <s v="370"/>
        <s v="376"/>
        <s v="699"/>
        <s v="360"/>
        <s v="375"/>
        <s v="380"/>
        <s v="160"/>
        <s v="465"/>
        <s v="303"/>
        <s v="147" u="1"/>
        <s v="148" u="1"/>
        <s v="220" u="1"/>
        <s v="225" u="1"/>
        <s v="227" u="1"/>
        <s v="228" u="1"/>
        <s v="300" u="1"/>
        <s v="050" u="1"/>
        <s v="707" u="1"/>
        <s v="304" u="1"/>
        <s v="305" u="1"/>
        <s v="055" u="1"/>
        <s v="056" u="1"/>
        <s v="057" u="1"/>
        <s v="135" u="1"/>
        <s v="215" u="1"/>
        <s v="190" u="1"/>
        <s v="040" u="1"/>
        <s v="195" u="1"/>
        <s v="599" u="1"/>
        <s v="045" u="1"/>
        <s v="046" u="1"/>
        <s v="048" u="1"/>
        <s v="120" u="1"/>
        <s v="124" u="1"/>
        <s v="275" u="1"/>
        <s v="126" u="1"/>
        <s v="350" u="1"/>
        <s v="351" u="1"/>
        <s v="353" u="1"/>
        <s v="354" u="1"/>
        <s v="355" u="1"/>
        <s v="205" u="1"/>
        <s v="356" u="1"/>
        <s v="357" u="1"/>
        <s v="359" u="1"/>
        <s v="185" u="1"/>
        <s v="035" u="1"/>
        <s v="037" u="1"/>
        <s v="038" u="1"/>
        <s v="110" u="1"/>
        <s v="740" u="1"/>
        <s v="116" u="1"/>
        <s v="490" u="1"/>
        <s v="117" u="1"/>
        <s v="340" u="1"/>
        <s v="118" u="1"/>
        <s v="341" u="1"/>
        <s v="119" u="1"/>
        <s v="090" u="1"/>
        <s v="495" u="1"/>
        <s v="346" u="1"/>
        <s v="095" u="1"/>
        <s v="099" u="1"/>
        <s v="020" u="1"/>
        <s v="179" u="1"/>
        <s v="100" u="1"/>
        <s v="101" u="1"/>
        <s v="102" u="1"/>
        <s v="103" u="1"/>
        <s v="104" u="1"/>
        <s v="105" u="1"/>
        <s v="106" u="1"/>
        <s v="107" u="1"/>
        <s v="080" u="1"/>
        <s v="082" u="1"/>
        <s v="085" u="1"/>
        <s v="086" u="1"/>
        <s v="410" u="1"/>
        <s v="087" u="1"/>
        <s v="411" u="1"/>
        <s v="010" u="1"/>
        <s v="011" u="1"/>
        <s v="012" u="1"/>
        <s v="163" u="1"/>
        <s v="013" u="1"/>
        <s v="014" u="1"/>
        <s v="165" u="1"/>
        <s v="167" u="1"/>
        <s v="390" u="1"/>
        <s v="240" u="1"/>
        <s v="395" u="1"/>
        <s v="245" u="1"/>
        <s v="471" u="1"/>
        <s v="477" u="1"/>
        <s v="478" u="1"/>
        <s v="075" u="1"/>
        <s v="076" u="1"/>
        <s v="405" u="1"/>
        <s v="406" u="1"/>
        <s v="407" u="1"/>
        <s v="235" u="1"/>
        <s v="387" u="1"/>
        <s v="460" u="1"/>
        <s v="310" u="1"/>
        <s v="461" u="1"/>
        <s v="462" u="1"/>
        <s v="315" u="1"/>
        <s v="467" u="1"/>
        <s v="468" u="1"/>
        <s v="540" u="1"/>
        <s v="140" u="1"/>
        <s v="142" u="1"/>
      </sharedItems>
    </cacheField>
    <cacheField name="BudgetCharacter" numFmtId="0" sqlType="1">
      <sharedItems count="3">
        <s v="B"/>
        <s v="H" u="1"/>
        <s v="N" u="1"/>
      </sharedItems>
    </cacheField>
    <cacheField name="FundCode" numFmtId="0" sqlType="12">
      <sharedItems count="511">
        <s v="062-1"/>
        <s v="253-1"/>
        <s v="066-1"/>
        <s v="060-1"/>
        <s v="064-1"/>
        <s v="061-1"/>
        <s v="063-1"/>
        <s v="065-1"/>
        <s v="138-1"/>
        <s v="001-1"/>
        <s v="540-6" u="1"/>
        <s v="14P-6" u="1"/>
        <s v="300-6" u="1"/>
        <s v="421-6" u="1"/>
        <s v="422-6" u="1"/>
        <s v="784-6" u="1"/>
        <s v="544-6" u="1"/>
        <s v="785-6" u="1"/>
        <s v="424-6" u="1"/>
        <s v="545-6" u="1"/>
        <s v="786-6" u="1"/>
        <s v="546-6" u="1"/>
        <s v="106-7" u="1"/>
        <s v="547-6" u="1"/>
        <s v="788-6" u="1"/>
        <s v="14W-6" u="1"/>
        <s v="548-6" u="1"/>
        <s v="108-7" u="1"/>
        <s v="109-7" u="1"/>
        <s v="860-6" u="1"/>
        <s v="620-6" u="1"/>
        <s v="622-6" u="1"/>
        <s v="503-6" u="1"/>
        <s v="505-6" u="1"/>
        <s v="746-6" u="1"/>
        <s v="747-6" u="1"/>
        <s v="108-8" u="1"/>
        <s v="508-6" u="1"/>
        <s v="749-6" u="1"/>
        <s v="821-6" u="1"/>
        <s v="823-6" u="1"/>
        <s v="106-9" u="1"/>
        <s v="108-9" u="1"/>
        <s v="829-6" u="1"/>
        <s v="501-9" u="1"/>
        <s v="070-1" u="1"/>
        <s v="071-1" u="1"/>
        <s v="072-1" u="1"/>
        <s v="199-1" u="1"/>
        <s v="150-1" u="1"/>
        <s v="19A-1" u="1"/>
        <s v="031-1" u="1"/>
        <s v="19C-1" u="1"/>
        <s v="07C-1" u="1"/>
        <s v="153-1" u="1"/>
        <s v="154-1" u="1"/>
        <s v="19G-1" u="1"/>
        <s v="158-1" u="1"/>
        <s v="039-1" u="1"/>
        <s v="19L-1" u="1"/>
        <s v="110-1" u="1"/>
        <s v="111-1" u="1"/>
        <s v="07R-1" u="1"/>
        <s v="03B-1" u="1"/>
        <s v="03C-1" u="1"/>
        <s v="113-1" u="1"/>
        <s v="595-1" u="1"/>
        <s v="234-1" u="1"/>
        <s v="355-1" u="1"/>
        <s v="235-1" u="1"/>
        <s v="03F-1" u="1"/>
        <s v="357-1" u="1"/>
        <s v="07W-1" u="1"/>
        <s v="15H-1" u="1"/>
        <s v="359-1" u="1"/>
        <s v="039-2" u="1"/>
        <s v="03L-1" u="1"/>
        <s v="15M-1" u="1"/>
        <s v="03M-1" u="1"/>
        <s v="03N-1" u="1"/>
        <s v="550-1" u="1"/>
        <s v="110-2" u="1"/>
        <s v="03P-1" u="1"/>
        <s v="552-1" u="1"/>
        <s v="553-1" u="1"/>
        <s v="03R-1" u="1"/>
        <s v="11B-1" u="1"/>
        <s v="113-2" u="1"/>
        <s v="315-1" u="1"/>
        <s v="11E-1" u="1"/>
        <s v="15V-1" u="1"/>
        <s v="11F-1" u="1"/>
        <s v="11H-1" u="1"/>
        <s v="119-2" u="1"/>
        <s v="11K-1" u="1"/>
        <s v="511-1" u="1"/>
        <s v="513-1" u="1"/>
        <s v="11W-1" u="1"/>
        <s v="190-6" u="1"/>
        <s v="830-1" u="1"/>
        <s v="193-6" u="1"/>
        <s v="195-6" u="1"/>
        <s v="196-6" u="1"/>
        <s v="197-6" u="1"/>
        <s v="198-6" u="1"/>
        <s v="030-6" u="1"/>
        <s v="07A-6" u="1"/>
        <s v="19B-6" u="1"/>
        <s v="07E-6" u="1"/>
        <s v="277-6" u="1"/>
        <s v="19H-6" u="1"/>
        <s v="159-6" u="1"/>
        <s v="19J-6" u="1"/>
        <s v="07L-6" u="1"/>
        <s v="470-6" u="1"/>
        <s v="471-6" u="1"/>
        <s v="15A-6" u="1"/>
        <s v="07V-6" u="1"/>
        <s v="116-6" u="1"/>
        <s v="19W-6" u="1"/>
        <s v="03K-6" u="1"/>
        <s v="15L-6" u="1"/>
        <s v="110-7" u="1"/>
        <s v="11A-6" u="1"/>
        <s v="432-6" u="1"/>
        <s v="553-6" u="1"/>
        <s v="433-6" u="1"/>
        <s v="436-6" u="1"/>
        <s v="15V-6" u="1"/>
        <s v="438-6" u="1"/>
        <s v="439-6" u="1"/>
        <s v="11J-6" u="1"/>
        <s v="11M-6" u="1"/>
        <s v="630-6" u="1"/>
        <s v="631-6" u="1"/>
        <s v="632-6" u="1"/>
        <s v="512-6" u="1"/>
        <s v="633-6" u="1"/>
        <s v="874-6" u="1"/>
        <s v="755-6" u="1"/>
        <s v="635-6" u="1"/>
        <s v="515-6" u="1"/>
        <s v="516-6" u="1"/>
        <s v="759-6" u="1"/>
        <s v="039-9" u="1"/>
        <s v="319-7" u="1"/>
        <s v="833-6" u="1"/>
        <s v="834-6" u="1"/>
        <s v="835-6" u="1"/>
        <s v="11V-7" u="1"/>
        <s v="145-N" u="1"/>
        <s v="080-1" u="1"/>
        <s v="081-1" u="1"/>
        <s v="082-1" u="1"/>
        <s v="784-N" u="1"/>
        <s v="084-1" u="1"/>
        <s v="086-1" u="1"/>
        <s v="087-1" u="1"/>
        <s v="160-1" u="1"/>
        <s v="081-2" u="1"/>
        <s v="08A-1" u="1"/>
        <s v="041-1" u="1"/>
        <s v="162-1" u="1"/>
        <s v="042-1" u="1"/>
        <s v="622-N" u="1"/>
        <s v="163-1" u="1"/>
        <s v="044-1" u="1"/>
        <s v="045-1" u="1"/>
        <s v="167-1" u="1"/>
        <s v="08H-1" u="1"/>
        <s v="048-1" u="1"/>
        <s v="289-1" u="1"/>
        <s v="169-1" u="1"/>
        <s v="08K-1" u="1"/>
        <s v="08M-1" u="1"/>
        <s v="081-3" u="1"/>
        <s v="120-1" u="1"/>
        <s v="16A-1" u="1"/>
        <s v="08R-1" u="1"/>
        <s v="16B-1" u="1"/>
        <s v="283-2" u="1"/>
        <s v="483-1" u="1"/>
        <s v="04B-1" u="1"/>
        <s v="002-1" u="1"/>
        <s v="484-1" u="1"/>
        <s v="364-1" u="1"/>
        <s v="003-1" u="1"/>
        <s v="244-1" u="1"/>
        <s v="04E-1" u="1"/>
        <s v="125-1" u="1"/>
        <s v="246-1" u="1"/>
        <s v="04F-1" u="1"/>
        <s v="006-1" u="1"/>
        <s v="007-1" u="1"/>
        <s v="04H-1" u="1"/>
        <s v="16J-1" u="1"/>
        <s v="04M-1" u="1"/>
        <s v="16P-1" u="1"/>
        <s v="441-1" u="1"/>
        <s v="562-1" u="1"/>
        <s v="001-2" u="1"/>
        <s v="201-1" u="1"/>
        <s v="04R-1" u="1"/>
        <s v="202-1" u="1"/>
        <s v="564-1" u="1"/>
        <s v="12C-1" u="1"/>
        <s v="204-1" u="1"/>
        <s v="16V-1" u="1"/>
        <s v="04V-1" u="1"/>
        <s v="16W-1" u="1"/>
        <s v="04W-1" u="1"/>
        <s v="207-1" u="1"/>
        <s v="689-1" u="1"/>
        <s v="16J-2" u="1"/>
        <s v="12M-1" u="1"/>
        <s v="200-2" u="1"/>
        <s v="12P-1" u="1"/>
        <s v="001-3" u="1"/>
        <s v="04R-2" u="1"/>
        <s v="885-1" u="1"/>
        <s v="404-1" u="1"/>
        <s v="12T-1" u="1"/>
        <s v="405-1" u="1"/>
        <s v="887-1" u="1"/>
        <s v="600-1" u="1"/>
        <s v="001-4" u="1"/>
        <s v="20R-1" u="1"/>
        <s v="087-6" u="1"/>
        <s v="727-1" u="1"/>
        <s v="608-1" u="1"/>
        <s v="609-1" u="1"/>
        <s v="081-7" u="1"/>
        <s v="08E-6" u="1"/>
        <s v="045-6" u="1"/>
        <s v="08G-6" u="1"/>
        <s v="727-2" u="1"/>
        <s v="608-2" u="1"/>
        <s v="609-2" u="1"/>
        <s v="08N-6" u="1"/>
        <s v="480-6" u="1"/>
        <s v="08P-6" u="1"/>
        <s v="16B-6" u="1"/>
        <s v="485-6" u="1"/>
        <s v="08V-6" u="1"/>
        <s v="126-6" u="1"/>
        <s v="16G-6" u="1"/>
        <s v="16H-6" u="1"/>
        <s v="128-6" u="1"/>
        <s v="16L-6" u="1"/>
        <s v="16M-6" u="1"/>
        <s v="440-6" u="1"/>
        <s v="320-6" u="1"/>
        <s v="561-6" u="1"/>
        <s v="001-7" u="1"/>
        <s v="442-6" u="1"/>
        <s v="16R-6" u="1"/>
        <s v="443-6" u="1"/>
        <s v="444-6" u="1"/>
        <s v="16T-6" u="1"/>
        <s v="445-6" u="1"/>
        <s v="205-6" u="1"/>
        <s v="687-6" u="1"/>
        <s v="12F-6" u="1"/>
        <s v="206-6" u="1"/>
        <s v="12G-6" u="1"/>
        <s v="448-6" u="1"/>
        <s v="569-6" u="1"/>
        <s v="12H-6" u="1"/>
        <s v="449-6" u="1"/>
        <s v="209-6" u="1"/>
        <s v="12N-6" u="1"/>
        <s v="881-6" u="1"/>
        <s v="761-6" u="1"/>
        <s v="641-6" u="1"/>
        <s v="882-6" u="1"/>
        <s v="001-8" u="1"/>
        <s v="401-6" u="1"/>
        <s v="642-6" u="1"/>
        <s v="883-6" u="1"/>
        <s v="522-6" u="1"/>
        <s v="763-6" u="1"/>
        <s v="884-6" u="1"/>
        <s v="523-6" u="1"/>
        <s v="403-6" u="1"/>
        <s v="524-6" u="1"/>
        <s v="526-6" u="1"/>
        <s v="888-6" u="1"/>
        <s v="407-6" u="1"/>
        <s v="528-6" u="1"/>
        <s v="408-6" u="1"/>
        <s v="649-6" u="1"/>
        <s v="08K-9" u="1"/>
        <s v="600-6" u="1"/>
        <s v="841-6" u="1"/>
        <s v="721-6" u="1"/>
        <s v="001-9" u="1"/>
        <s v="842-6" u="1"/>
        <s v="722-6" u="1"/>
        <s v="843-6" u="1"/>
        <s v="846-6" u="1"/>
        <s v="608-6" u="1"/>
        <s v="849-6" u="1"/>
        <s v="729-6" u="1"/>
        <s v="609-6" u="1"/>
        <s v="800-6" u="1"/>
        <s v="727-8" u="1"/>
        <s v="608-9" u="1"/>
        <s v="609-9" u="1"/>
        <s v="094-1" u="1"/>
        <s v="095-1" u="1"/>
        <s v="15T-N" u="1"/>
        <s v="098-1" u="1"/>
        <s v="099-1" u="1"/>
        <s v="051-1" u="1"/>
        <s v="09C-1" u="1"/>
        <s v="173-1" u="1"/>
        <s v="174-1" u="1"/>
        <s v="09E-1" u="1"/>
        <s v="055-1" u="1"/>
        <s v="096-2" u="1"/>
        <s v="09F-1" u="1"/>
        <s v="176-1" u="1"/>
        <s v="056-1" u="1"/>
        <s v="297-1" u="1"/>
        <s v="09G-1" u="1"/>
        <s v="057-1" u="1"/>
        <s v="298-1" u="1"/>
        <s v="09H-1" u="1"/>
        <s v="058-1" u="1"/>
        <s v="099-2" u="1"/>
        <s v="09M-1" u="1"/>
        <s v="09N-1" u="1"/>
        <s v="09R-1" u="1"/>
        <s v="17B-1" u="1"/>
        <s v="05C-1" u="1"/>
        <s v="133-1" u="1"/>
        <s v="134-1" u="1"/>
        <s v="014-1" u="1"/>
        <s v="17F-1" u="1"/>
        <s v="297-2" u="1"/>
        <s v="05H-1" u="1"/>
        <s v="17P-1" u="1"/>
        <s v="17B-2" u="1"/>
        <s v="05R-1" u="1"/>
        <s v="453-1" u="1"/>
        <s v="01B-1" u="1"/>
        <s v="17T-1" u="1"/>
        <s v="455-1" u="1"/>
        <s v="215-1" u="1"/>
        <s v="216-1" u="1"/>
        <s v="578-1" u="1"/>
        <s v="05W-1" u="1"/>
        <s v="217-1" u="1"/>
        <s v="05H-2" u="1"/>
        <s v="218-1" u="1"/>
        <s v="219-1" u="1"/>
        <s v="01M-1" u="1"/>
        <s v="892-1" u="1"/>
        <s v="532-1" u="1"/>
        <s v="415-1" u="1"/>
        <s v="777-1" u="1"/>
        <s v="218-2" u="1"/>
        <s v="418-1" u="1"/>
        <s v="419-1" u="1"/>
        <s v="218-3" u="1"/>
        <s v="290-6" u="1"/>
        <s v="09B-6" u="1"/>
        <s v="172-6" u="1"/>
        <s v="294-6" u="1"/>
        <s v="295-6" u="1"/>
        <s v="298-6" u="1"/>
        <s v="099-7" u="1"/>
        <s v="09J-6" u="1"/>
        <s v="09K-6" u="1"/>
        <s v="09L-6" u="1"/>
        <s v="15P-U" u="1"/>
        <s v="131-6" u="1"/>
        <s v="252-6" u="1"/>
        <s v="173-7" u="1"/>
        <s v="133-6" u="1"/>
        <s v="09T-6" u="1"/>
        <s v="495-6" u="1"/>
        <s v="496-6" u="1"/>
        <s v="497-6" u="1"/>
        <s v="259-6" u="1"/>
        <s v="17L-6" u="1"/>
        <s v="17M-6" u="1"/>
        <s v="570-6" u="1"/>
        <s v="450-6" u="1"/>
        <s v="210-6" u="1"/>
        <s v="17R-6" u="1"/>
        <s v="573-6" u="1"/>
        <s v="213-6" u="1"/>
        <s v="575-6" u="1"/>
        <s v="214-6" u="1"/>
        <s v="577-6" u="1"/>
        <s v="457-6" u="1"/>
        <s v="01F-6" u="1"/>
        <s v="410-6" u="1"/>
        <s v="411-6" u="1"/>
        <s v="413-6" u="1"/>
        <s v="776-6" u="1"/>
        <s v="536-6" u="1"/>
        <s v="057-9" u="1"/>
        <s v="416-6" u="1"/>
        <s v="778-6" u="1"/>
        <s v="779-6" u="1"/>
        <s v="218-7" u="1"/>
        <s v="539-6" u="1"/>
        <s v="419-6" u="1"/>
        <s v="850-6" u="1"/>
        <s v="610-6" u="1"/>
        <s v="731-6" u="1"/>
        <s v="614-6" u="1"/>
        <s v="615-6" u="1"/>
        <s v="616-6" u="1"/>
        <s v="857-6" u="1"/>
        <s v="738-6" u="1"/>
        <s v="218-8" u="1"/>
        <s v="859-6" u="1"/>
        <s v="739-6" u="1"/>
        <s v="218-9" u="1"/>
        <s v="818-6" u="1"/>
        <s v="819-6" u="1"/>
        <s v="182-1" u="1"/>
        <s v="186-1" u="1"/>
        <s v="380-1" u="1"/>
        <s v="381-1" u="1"/>
        <s v="382-1" u="1"/>
        <s v="18B-1" u="1"/>
        <s v="262-1" u="1"/>
        <s v="383-1" u="1"/>
        <s v="263-1" u="1"/>
        <s v="144-1" u="1"/>
        <s v="024-1" u="1"/>
        <s v="146-1" u="1"/>
        <s v="026-1" u="1"/>
        <s v="267-1" u="1"/>
        <s v="06G-1" u="1"/>
        <s v="027-1" u="1"/>
        <s v="268-1" u="1"/>
        <s v="389-1" u="1"/>
        <s v="269-1" u="1"/>
        <s v="06K-1" u="1"/>
        <s v="18L-1" u="1"/>
        <s v="06L-1" u="1"/>
        <s v="14A-1" u="1"/>
        <s v="02A-1" u="1"/>
        <s v="06R-1" u="1"/>
        <s v="14B-1" u="1"/>
        <s v="222-1" u="1"/>
        <s v="102-1" u="1"/>
        <s v="223-1" u="1"/>
        <s v="18T-1" u="1"/>
        <s v="104-1" u="1"/>
        <s v="14E-1" u="1"/>
        <s v="225-1" u="1"/>
        <s v="106-1" u="1"/>
        <s v="02G-1" u="1"/>
        <s v="389-2" u="1"/>
        <s v="108-1" u="1"/>
        <s v="109-1" u="1"/>
        <s v="02J-1" u="1"/>
        <s v="02K-1" u="1"/>
        <s v="14M-1" u="1"/>
        <s v="02M-1" u="1"/>
        <s v="780-1" u="1"/>
        <s v="02N-1" u="1"/>
        <s v="540-1" u="1"/>
        <s v="02P-1" u="1"/>
        <s v="10A-1" u="1"/>
        <s v="543-1" u="1"/>
        <s v="02R-1" u="1"/>
        <s v="10B-1" u="1"/>
        <s v="303-1" u="1"/>
        <s v="544-1" u="1"/>
        <s v="304-1" u="1"/>
        <s v="305-1" u="1"/>
        <s v="106-2" u="1"/>
        <s v="14V-1" u="1"/>
        <s v="02W-1" u="1"/>
        <s v="108-2" u="1"/>
        <s v="10P-1" u="1"/>
        <s v="501-1" u="1"/>
        <s v="10T-1" u="1"/>
        <s v="507-1" u="1"/>
        <s v="108-3" u="1"/>
        <s v="549-2" u="1"/>
        <s v="180-6" u="1"/>
        <s v="184-6" u="1"/>
        <s v="185-6" u="1"/>
        <s v="828-1" u="1"/>
        <s v="18A-6" u="1"/>
        <s v="141-6" u="1"/>
        <s v="143-6" u="1"/>
        <s v="18E-6" u="1"/>
        <s v="145-6" u="1"/>
        <s v="025-6" u="1"/>
        <s v="18G-6" u="1"/>
        <s v="147-6" u="1"/>
        <s v="06H-6" u="1"/>
        <s v="148-6" u="1"/>
        <s v="149-6" u="1"/>
        <s v="06J-6" u="1"/>
        <s v="460-6" u="1"/>
        <s v="18P-6" u="1"/>
        <s v="226-6" u="1"/>
        <s v="347-6" u="1"/>
        <s v="269-7" u="1"/>
        <s v="02H-6" u="1"/>
        <s v="14J-6" u="1"/>
      </sharedItems>
    </cacheField>
    <cacheField name="Title50" numFmtId="0" sqlType="1">
      <sharedItems count="25">
        <s v="Preventative Facility Maintenance a"/>
        <s v="Preventive Facility Maintenance and"/>
        <s v="Preventive Facility Maintenance FY 1 066"/>
        <s v="Preventive Maintenance and Building"/>
        <s v="Preventive Facility Maintenance and Building"/>
        <s v="Preventive Facility Maintenance and Bldg"/>
        <s v="Preventative Maintenance/Backlog Re"/>
        <s v="Preventative Facility Maintenance/Backlog"/>
        <s v="Preventive Facility Maint &amp; Repairs"/>
        <s v="Preventive Facility Maint &amp; Bldg Repairs"/>
        <s v="ESHB1957 (Preventive Service Covera"/>
        <s v="Gf-S Preventative Maintenance-FY1"/>
        <s v="Preventative Maintenance - FY1"/>
        <s v="Preventive Health Care Children-05"/>
        <s v="065 Preventive Facility Maint Bldg"/>
        <s v="Preventative Maintenance - FY2"/>
        <s v="Gf-S Preventative Maintenance-FY2"/>
        <s v="Preventive Facility Maintenance/Bac" u="1"/>
        <s v="Preventative Maintenance/Improve Co" u="1"/>
        <s v="Preventive FacilityMaintenance and" u="1"/>
        <s v="Prevention and Intervention Study t" u="1"/>
        <s v="Prevention of Youth Suicides-FY 1" u="1"/>
        <s v="Prevention of Youth Suicides-FY 2" u="1"/>
        <s v="Prevention &amp; Early Intervention Ser" u="1"/>
        <s v="Prevent Seminary Building Degradati" u="1"/>
      </sharedItems>
    </cacheField>
    <cacheField name="FY" numFmtId="0" sqlType="1">
      <sharedItems count="22">
        <s v="2020"/>
        <s v="2006"/>
        <s v="2009"/>
        <s v="2014"/>
        <s v="2022"/>
        <s v="2018"/>
        <s v="2019"/>
        <s v="2015"/>
        <s v="2007"/>
        <s v="2010"/>
        <s v="2011"/>
        <s v="2013"/>
        <s v="2021"/>
        <s v="2023"/>
        <s v="2016"/>
        <s v="2017"/>
        <s v="2012"/>
        <s v="2025"/>
        <s v="2005"/>
        <s v="2024"/>
        <s v="2004"/>
        <s v="2008"/>
      </sharedItems>
    </cacheField>
    <cacheField name="Sum of Amount" numFmtId="0" sqlType="2">
      <sharedItems containsSemiMixedTypes="0" containsString="0" containsNumber="1" minValue="-65901.98" maxValue="18292708.39000000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Naas" refreshedDate="45644.494323726853" backgroundQuery="1" refreshedVersion="8" recordCount="5690" xr:uid="{6E267269-3878-4DC5-B330-AF6A6078C7FF}">
  <cacheSource type="external" connectionId="87"/>
  <cacheFields count="6">
    <cacheField name="TransactionType" numFmtId="0" sqlType="1">
      <sharedItems count="2">
        <s v="DIS"/>
        <s v="ACC"/>
      </sharedItems>
    </cacheField>
    <cacheField name="Agency" numFmtId="0" sqlType="1">
      <sharedItems count="112">
        <s v="357"/>
        <s v="351"/>
        <s v="478"/>
        <s v="014"/>
        <s v="350"/>
        <s v="380"/>
        <s v="360"/>
        <s v="040"/>
        <s v="055"/>
        <s v="699"/>
        <s v="046"/>
        <s v="365"/>
        <s v="090"/>
        <s v="037"/>
        <s v="468"/>
        <s v="057"/>
        <s v="045"/>
        <s v="038"/>
        <s v="353"/>
        <s v="101"/>
        <s v="300"/>
        <s v="179"/>
        <s v="103"/>
        <s v="227"/>
        <s v="076"/>
        <s v="142"/>
        <s v="250"/>
        <s v="370"/>
        <s v="340"/>
        <s v="020"/>
        <s v="010"/>
        <s v="012"/>
        <s v="245"/>
        <s v="107"/>
        <s v="307"/>
        <s v="740"/>
        <s v="376"/>
        <s v="495"/>
        <s v="229"/>
        <s v="035"/>
        <s v="310"/>
        <s v="490"/>
        <s v="305"/>
        <s v="315"/>
        <s v="085"/>
        <s v="140"/>
        <s v="095"/>
        <s v="303"/>
        <s v="707"/>
        <s v="390"/>
        <s v="375"/>
        <s v="240"/>
        <s v="465"/>
        <s v="075"/>
        <s v="050"/>
        <s v="460"/>
        <s v="119"/>
        <s v="467"/>
        <s v="105"/>
        <s v="477"/>
        <s v="086"/>
        <s v="155"/>
        <s v="056"/>
        <s v="540"/>
        <s v="087"/>
        <s v="100"/>
        <s v="235"/>
        <s v="354"/>
        <s v="343"/>
        <s v="325"/>
        <s v="387"/>
        <s v="104"/>
        <s v="150"/>
        <s v="471"/>
        <s v="082"/>
        <s v="118"/>
        <s v="225"/>
        <s v="476"/>
        <s v="275"/>
        <s v="461"/>
        <s v="011"/>
        <s v="091"/>
        <s v="395"/>
        <s v="160"/>
        <s v="302"/>
        <s v="120"/>
        <s v="355"/>
        <s v="377"/>
        <s v="080"/>
        <s v="195"/>
        <s v="099"/>
        <s v="163"/>
        <s v="135"/>
        <s v="048"/>
        <s v="385"/>
        <s v="124"/>
        <s v="359"/>
        <s v="147"/>
        <s v="102"/>
        <s v="117"/>
        <s v="036"/>
        <s v="215"/>
        <s v="144"/>
        <s v="463"/>
        <s v="411"/>
        <s v="408"/>
        <s v="228"/>
        <s v="110"/>
        <s v="111"/>
        <s v="126"/>
        <s v="405"/>
        <s v="341"/>
      </sharedItems>
    </cacheField>
    <cacheField name="BudgetCharacter" numFmtId="0" sqlType="1">
      <sharedItems count="1">
        <s v="B"/>
      </sharedItems>
    </cacheField>
    <cacheField name="FundCode" numFmtId="0" sqlType="12">
      <sharedItems count="14">
        <s v="17F-1"/>
        <s v="001-1"/>
        <s v="24J-1"/>
        <s v="08A-1"/>
        <s v="09V-1"/>
        <s v="760-1"/>
        <s v="489-1"/>
        <s v="001-4"/>
        <s v="181-1"/>
        <s v="139-1"/>
        <s v="02V-1"/>
        <s v="299-1"/>
        <s v="17C-1"/>
        <s v="702-1"/>
      </sharedItems>
    </cacheField>
    <cacheField name="FY" numFmtId="0" sqlType="1">
      <sharedItems count="26">
        <s v="2019"/>
        <s v="2018"/>
        <s v="2021"/>
        <s v="2014"/>
        <s v="2024"/>
        <s v="2009"/>
        <s v="2004"/>
        <s v="2017"/>
        <s v="2012"/>
        <s v="2022"/>
        <s v="2002"/>
        <s v="2020"/>
        <s v="2011"/>
        <s v="2007"/>
        <s v="2005"/>
        <s v="2015"/>
        <s v="2016"/>
        <s v="2006"/>
        <s v="2013"/>
        <s v="2000"/>
        <s v="2003"/>
        <s v="2010"/>
        <s v="2025"/>
        <s v="2023"/>
        <s v="2001"/>
        <s v="2008"/>
      </sharedItems>
    </cacheField>
    <cacheField name="Sum of Amount" numFmtId="0" sqlType="2">
      <sharedItems containsSemiMixedTypes="0" containsString="0" containsNumber="1" minValue="-360965816.29000002" maxValue="14371289727.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4">
  <r>
    <x v="0"/>
    <x v="0"/>
    <x v="0"/>
    <x v="0"/>
    <x v="0"/>
    <x v="0"/>
    <x v="0"/>
    <n v="158"/>
  </r>
  <r>
    <x v="0"/>
    <x v="0"/>
    <x v="0"/>
    <x v="0"/>
    <x v="1"/>
    <x v="0"/>
    <x v="0"/>
    <n v="251000"/>
  </r>
  <r>
    <x v="0"/>
    <x v="0"/>
    <x v="0"/>
    <x v="0"/>
    <x v="2"/>
    <x v="0"/>
    <x v="0"/>
    <n v="6446"/>
  </r>
  <r>
    <x v="0"/>
    <x v="0"/>
    <x v="0"/>
    <x v="0"/>
    <x v="3"/>
    <x v="0"/>
    <x v="0"/>
    <n v="83689517"/>
  </r>
  <r>
    <x v="0"/>
    <x v="0"/>
    <x v="0"/>
    <x v="0"/>
    <x v="4"/>
    <x v="0"/>
    <x v="0"/>
    <n v="-3119"/>
  </r>
  <r>
    <x v="0"/>
    <x v="0"/>
    <x v="0"/>
    <x v="0"/>
    <x v="5"/>
    <x v="0"/>
    <x v="0"/>
    <n v="4436"/>
  </r>
  <r>
    <x v="0"/>
    <x v="0"/>
    <x v="0"/>
    <x v="1"/>
    <x v="6"/>
    <x v="0"/>
    <x v="0"/>
    <n v="-14376"/>
  </r>
  <r>
    <x v="0"/>
    <x v="0"/>
    <x v="0"/>
    <x v="1"/>
    <x v="7"/>
    <x v="0"/>
    <x v="0"/>
    <n v="-97203"/>
  </r>
  <r>
    <x v="0"/>
    <x v="0"/>
    <x v="0"/>
    <x v="1"/>
    <x v="8"/>
    <x v="0"/>
    <x v="0"/>
    <n v="-3290268"/>
  </r>
  <r>
    <x v="0"/>
    <x v="1"/>
    <x v="0"/>
    <x v="0"/>
    <x v="9"/>
    <x v="0"/>
    <x v="0"/>
    <n v="-1392"/>
  </r>
  <r>
    <x v="0"/>
    <x v="1"/>
    <x v="0"/>
    <x v="0"/>
    <x v="1"/>
    <x v="0"/>
    <x v="0"/>
    <n v="311211"/>
  </r>
  <r>
    <x v="0"/>
    <x v="1"/>
    <x v="0"/>
    <x v="0"/>
    <x v="2"/>
    <x v="0"/>
    <x v="0"/>
    <n v="-32368"/>
  </r>
  <r>
    <x v="0"/>
    <x v="1"/>
    <x v="0"/>
    <x v="0"/>
    <x v="3"/>
    <x v="0"/>
    <x v="0"/>
    <n v="42578153"/>
  </r>
  <r>
    <x v="0"/>
    <x v="1"/>
    <x v="0"/>
    <x v="1"/>
    <x v="7"/>
    <x v="0"/>
    <x v="0"/>
    <n v="-1298952"/>
  </r>
  <r>
    <x v="0"/>
    <x v="1"/>
    <x v="0"/>
    <x v="1"/>
    <x v="8"/>
    <x v="0"/>
    <x v="0"/>
    <n v="-478268"/>
  </r>
  <r>
    <x v="0"/>
    <x v="2"/>
    <x v="0"/>
    <x v="0"/>
    <x v="1"/>
    <x v="0"/>
    <x v="0"/>
    <n v="27163"/>
  </r>
  <r>
    <x v="0"/>
    <x v="2"/>
    <x v="0"/>
    <x v="0"/>
    <x v="3"/>
    <x v="0"/>
    <x v="0"/>
    <n v="14538499"/>
  </r>
  <r>
    <x v="0"/>
    <x v="2"/>
    <x v="0"/>
    <x v="1"/>
    <x v="7"/>
    <x v="0"/>
    <x v="0"/>
    <n v="-113443"/>
  </r>
  <r>
    <x v="0"/>
    <x v="3"/>
    <x v="0"/>
    <x v="0"/>
    <x v="1"/>
    <x v="0"/>
    <x v="0"/>
    <n v="58232"/>
  </r>
  <r>
    <x v="0"/>
    <x v="3"/>
    <x v="0"/>
    <x v="0"/>
    <x v="3"/>
    <x v="0"/>
    <x v="0"/>
    <n v="12623714"/>
  </r>
  <r>
    <x v="0"/>
    <x v="3"/>
    <x v="0"/>
    <x v="1"/>
    <x v="6"/>
    <x v="0"/>
    <x v="0"/>
    <n v="638219"/>
  </r>
  <r>
    <x v="0"/>
    <x v="3"/>
    <x v="0"/>
    <x v="1"/>
    <x v="7"/>
    <x v="0"/>
    <x v="0"/>
    <n v="-638219"/>
  </r>
  <r>
    <x v="0"/>
    <x v="4"/>
    <x v="0"/>
    <x v="0"/>
    <x v="1"/>
    <x v="0"/>
    <x v="0"/>
    <n v="56187"/>
  </r>
  <r>
    <x v="0"/>
    <x v="4"/>
    <x v="0"/>
    <x v="0"/>
    <x v="3"/>
    <x v="0"/>
    <x v="0"/>
    <n v="8132746"/>
  </r>
  <r>
    <x v="0"/>
    <x v="4"/>
    <x v="0"/>
    <x v="1"/>
    <x v="6"/>
    <x v="0"/>
    <x v="0"/>
    <n v="670146"/>
  </r>
  <r>
    <x v="0"/>
    <x v="4"/>
    <x v="0"/>
    <x v="1"/>
    <x v="7"/>
    <x v="0"/>
    <x v="0"/>
    <n v="-60264"/>
  </r>
  <r>
    <x v="0"/>
    <x v="5"/>
    <x v="0"/>
    <x v="0"/>
    <x v="1"/>
    <x v="0"/>
    <x v="0"/>
    <n v="43379"/>
  </r>
  <r>
    <x v="0"/>
    <x v="5"/>
    <x v="0"/>
    <x v="0"/>
    <x v="3"/>
    <x v="0"/>
    <x v="0"/>
    <n v="15752229"/>
  </r>
  <r>
    <x v="0"/>
    <x v="5"/>
    <x v="0"/>
    <x v="1"/>
    <x v="6"/>
    <x v="0"/>
    <x v="0"/>
    <n v="5468"/>
  </r>
  <r>
    <x v="0"/>
    <x v="5"/>
    <x v="0"/>
    <x v="1"/>
    <x v="7"/>
    <x v="0"/>
    <x v="0"/>
    <n v="-88754"/>
  </r>
  <r>
    <x v="0"/>
    <x v="6"/>
    <x v="0"/>
    <x v="0"/>
    <x v="9"/>
    <x v="0"/>
    <x v="0"/>
    <n v="10160"/>
  </r>
  <r>
    <x v="0"/>
    <x v="6"/>
    <x v="0"/>
    <x v="0"/>
    <x v="0"/>
    <x v="0"/>
    <x v="0"/>
    <n v="-1073"/>
  </r>
  <r>
    <x v="0"/>
    <x v="6"/>
    <x v="0"/>
    <x v="0"/>
    <x v="1"/>
    <x v="0"/>
    <x v="0"/>
    <n v="761035"/>
  </r>
  <r>
    <x v="0"/>
    <x v="6"/>
    <x v="0"/>
    <x v="0"/>
    <x v="10"/>
    <x v="0"/>
    <x v="0"/>
    <n v="4204"/>
  </r>
  <r>
    <x v="0"/>
    <x v="6"/>
    <x v="0"/>
    <x v="0"/>
    <x v="2"/>
    <x v="0"/>
    <x v="0"/>
    <n v="610"/>
  </r>
  <r>
    <x v="0"/>
    <x v="6"/>
    <x v="0"/>
    <x v="0"/>
    <x v="3"/>
    <x v="0"/>
    <x v="0"/>
    <n v="86181865"/>
  </r>
  <r>
    <x v="0"/>
    <x v="6"/>
    <x v="0"/>
    <x v="0"/>
    <x v="11"/>
    <x v="0"/>
    <x v="0"/>
    <n v="40030"/>
  </r>
  <r>
    <x v="0"/>
    <x v="6"/>
    <x v="0"/>
    <x v="0"/>
    <x v="4"/>
    <x v="0"/>
    <x v="0"/>
    <n v="48555"/>
  </r>
  <r>
    <x v="0"/>
    <x v="6"/>
    <x v="0"/>
    <x v="0"/>
    <x v="12"/>
    <x v="1"/>
    <x v="0"/>
    <n v="338229"/>
  </r>
  <r>
    <x v="0"/>
    <x v="6"/>
    <x v="0"/>
    <x v="0"/>
    <x v="13"/>
    <x v="0"/>
    <x v="0"/>
    <n v="4075"/>
  </r>
  <r>
    <x v="0"/>
    <x v="6"/>
    <x v="0"/>
    <x v="0"/>
    <x v="5"/>
    <x v="0"/>
    <x v="0"/>
    <n v="167267"/>
  </r>
  <r>
    <x v="0"/>
    <x v="6"/>
    <x v="0"/>
    <x v="1"/>
    <x v="6"/>
    <x v="0"/>
    <x v="0"/>
    <n v="3742782"/>
  </r>
  <r>
    <x v="0"/>
    <x v="6"/>
    <x v="0"/>
    <x v="1"/>
    <x v="7"/>
    <x v="0"/>
    <x v="0"/>
    <n v="-4097426"/>
  </r>
  <r>
    <x v="0"/>
    <x v="6"/>
    <x v="0"/>
    <x v="2"/>
    <x v="14"/>
    <x v="0"/>
    <x v="0"/>
    <n v="4"/>
  </r>
  <r>
    <x v="1"/>
    <x v="0"/>
    <x v="0"/>
    <x v="0"/>
    <x v="9"/>
    <x v="0"/>
    <x v="0"/>
    <n v="41"/>
  </r>
  <r>
    <x v="1"/>
    <x v="0"/>
    <x v="0"/>
    <x v="0"/>
    <x v="0"/>
    <x v="0"/>
    <x v="0"/>
    <n v="-122"/>
  </r>
  <r>
    <x v="1"/>
    <x v="0"/>
    <x v="0"/>
    <x v="0"/>
    <x v="1"/>
    <x v="0"/>
    <x v="0"/>
    <n v="313000"/>
  </r>
  <r>
    <x v="1"/>
    <x v="0"/>
    <x v="0"/>
    <x v="0"/>
    <x v="2"/>
    <x v="0"/>
    <x v="0"/>
    <n v="-2672"/>
  </r>
  <r>
    <x v="1"/>
    <x v="0"/>
    <x v="0"/>
    <x v="0"/>
    <x v="3"/>
    <x v="0"/>
    <x v="0"/>
    <n v="97653212"/>
  </r>
  <r>
    <x v="1"/>
    <x v="0"/>
    <x v="0"/>
    <x v="0"/>
    <x v="4"/>
    <x v="0"/>
    <x v="0"/>
    <n v="-195"/>
  </r>
  <r>
    <x v="1"/>
    <x v="0"/>
    <x v="0"/>
    <x v="0"/>
    <x v="15"/>
    <x v="0"/>
    <x v="0"/>
    <n v="200"/>
  </r>
  <r>
    <x v="1"/>
    <x v="0"/>
    <x v="0"/>
    <x v="1"/>
    <x v="6"/>
    <x v="0"/>
    <x v="0"/>
    <n v="329000"/>
  </r>
  <r>
    <x v="1"/>
    <x v="0"/>
    <x v="0"/>
    <x v="1"/>
    <x v="8"/>
    <x v="0"/>
    <x v="0"/>
    <n v="-4753569"/>
  </r>
  <r>
    <x v="1"/>
    <x v="1"/>
    <x v="0"/>
    <x v="0"/>
    <x v="1"/>
    <x v="0"/>
    <x v="0"/>
    <n v="513521"/>
  </r>
  <r>
    <x v="1"/>
    <x v="1"/>
    <x v="0"/>
    <x v="0"/>
    <x v="3"/>
    <x v="0"/>
    <x v="0"/>
    <n v="50862220"/>
  </r>
  <r>
    <x v="1"/>
    <x v="1"/>
    <x v="0"/>
    <x v="0"/>
    <x v="13"/>
    <x v="0"/>
    <x v="0"/>
    <n v="1525"/>
  </r>
  <r>
    <x v="1"/>
    <x v="1"/>
    <x v="0"/>
    <x v="1"/>
    <x v="7"/>
    <x v="0"/>
    <x v="0"/>
    <n v="-254"/>
  </r>
  <r>
    <x v="1"/>
    <x v="1"/>
    <x v="0"/>
    <x v="1"/>
    <x v="8"/>
    <x v="0"/>
    <x v="0"/>
    <n v="-750659"/>
  </r>
  <r>
    <x v="1"/>
    <x v="2"/>
    <x v="0"/>
    <x v="0"/>
    <x v="1"/>
    <x v="0"/>
    <x v="0"/>
    <n v="41902"/>
  </r>
  <r>
    <x v="1"/>
    <x v="2"/>
    <x v="0"/>
    <x v="0"/>
    <x v="3"/>
    <x v="0"/>
    <x v="0"/>
    <n v="16770488"/>
  </r>
  <r>
    <x v="1"/>
    <x v="3"/>
    <x v="0"/>
    <x v="0"/>
    <x v="1"/>
    <x v="0"/>
    <x v="0"/>
    <n v="163204"/>
  </r>
  <r>
    <x v="1"/>
    <x v="3"/>
    <x v="0"/>
    <x v="0"/>
    <x v="3"/>
    <x v="0"/>
    <x v="0"/>
    <n v="14791593"/>
  </r>
  <r>
    <x v="1"/>
    <x v="4"/>
    <x v="0"/>
    <x v="0"/>
    <x v="1"/>
    <x v="0"/>
    <x v="0"/>
    <n v="91250"/>
  </r>
  <r>
    <x v="1"/>
    <x v="4"/>
    <x v="0"/>
    <x v="0"/>
    <x v="3"/>
    <x v="0"/>
    <x v="0"/>
    <n v="10122526"/>
  </r>
  <r>
    <x v="1"/>
    <x v="5"/>
    <x v="0"/>
    <x v="0"/>
    <x v="1"/>
    <x v="0"/>
    <x v="0"/>
    <n v="15187"/>
  </r>
  <r>
    <x v="1"/>
    <x v="5"/>
    <x v="0"/>
    <x v="0"/>
    <x v="3"/>
    <x v="0"/>
    <x v="0"/>
    <n v="20492042"/>
  </r>
  <r>
    <x v="1"/>
    <x v="5"/>
    <x v="0"/>
    <x v="0"/>
    <x v="4"/>
    <x v="0"/>
    <x v="0"/>
    <n v="199"/>
  </r>
  <r>
    <x v="1"/>
    <x v="5"/>
    <x v="0"/>
    <x v="1"/>
    <x v="6"/>
    <x v="0"/>
    <x v="0"/>
    <n v="105041"/>
  </r>
  <r>
    <x v="1"/>
    <x v="5"/>
    <x v="0"/>
    <x v="1"/>
    <x v="7"/>
    <x v="0"/>
    <x v="0"/>
    <n v="-105558"/>
  </r>
  <r>
    <x v="1"/>
    <x v="6"/>
    <x v="0"/>
    <x v="0"/>
    <x v="9"/>
    <x v="0"/>
    <x v="0"/>
    <n v="1205"/>
  </r>
  <r>
    <x v="1"/>
    <x v="6"/>
    <x v="0"/>
    <x v="0"/>
    <x v="0"/>
    <x v="0"/>
    <x v="0"/>
    <n v="-3983"/>
  </r>
  <r>
    <x v="1"/>
    <x v="6"/>
    <x v="0"/>
    <x v="0"/>
    <x v="1"/>
    <x v="0"/>
    <x v="0"/>
    <n v="1753142"/>
  </r>
  <r>
    <x v="1"/>
    <x v="6"/>
    <x v="0"/>
    <x v="0"/>
    <x v="2"/>
    <x v="0"/>
    <x v="0"/>
    <n v="-12767"/>
  </r>
  <r>
    <x v="1"/>
    <x v="6"/>
    <x v="0"/>
    <x v="0"/>
    <x v="3"/>
    <x v="0"/>
    <x v="0"/>
    <n v="103850186"/>
  </r>
  <r>
    <x v="1"/>
    <x v="6"/>
    <x v="0"/>
    <x v="0"/>
    <x v="11"/>
    <x v="0"/>
    <x v="0"/>
    <n v="-3696"/>
  </r>
  <r>
    <x v="1"/>
    <x v="6"/>
    <x v="0"/>
    <x v="0"/>
    <x v="4"/>
    <x v="0"/>
    <x v="0"/>
    <n v="-1645"/>
  </r>
  <r>
    <x v="1"/>
    <x v="6"/>
    <x v="0"/>
    <x v="0"/>
    <x v="12"/>
    <x v="1"/>
    <x v="0"/>
    <n v="70535"/>
  </r>
  <r>
    <x v="1"/>
    <x v="6"/>
    <x v="0"/>
    <x v="0"/>
    <x v="13"/>
    <x v="0"/>
    <x v="0"/>
    <n v="-14504"/>
  </r>
  <r>
    <x v="1"/>
    <x v="6"/>
    <x v="0"/>
    <x v="0"/>
    <x v="5"/>
    <x v="0"/>
    <x v="0"/>
    <n v="623989"/>
  </r>
  <r>
    <x v="1"/>
    <x v="6"/>
    <x v="0"/>
    <x v="1"/>
    <x v="6"/>
    <x v="0"/>
    <x v="0"/>
    <n v="504957"/>
  </r>
  <r>
    <x v="1"/>
    <x v="6"/>
    <x v="0"/>
    <x v="1"/>
    <x v="7"/>
    <x v="0"/>
    <x v="0"/>
    <n v="-480113"/>
  </r>
  <r>
    <x v="2"/>
    <x v="0"/>
    <x v="0"/>
    <x v="0"/>
    <x v="9"/>
    <x v="0"/>
    <x v="1"/>
    <n v="-833"/>
  </r>
  <r>
    <x v="2"/>
    <x v="0"/>
    <x v="0"/>
    <x v="0"/>
    <x v="0"/>
    <x v="0"/>
    <x v="1"/>
    <n v="119"/>
  </r>
  <r>
    <x v="2"/>
    <x v="0"/>
    <x v="0"/>
    <x v="0"/>
    <x v="1"/>
    <x v="0"/>
    <x v="1"/>
    <n v="233239"/>
  </r>
  <r>
    <x v="2"/>
    <x v="0"/>
    <x v="0"/>
    <x v="0"/>
    <x v="2"/>
    <x v="0"/>
    <x v="1"/>
    <n v="449091"/>
  </r>
  <r>
    <x v="2"/>
    <x v="0"/>
    <x v="0"/>
    <x v="0"/>
    <x v="3"/>
    <x v="0"/>
    <x v="1"/>
    <n v="101109115"/>
  </r>
  <r>
    <x v="2"/>
    <x v="0"/>
    <x v="0"/>
    <x v="0"/>
    <x v="4"/>
    <x v="0"/>
    <x v="1"/>
    <n v="9"/>
  </r>
  <r>
    <x v="2"/>
    <x v="0"/>
    <x v="0"/>
    <x v="0"/>
    <x v="5"/>
    <x v="0"/>
    <x v="1"/>
    <n v="3206"/>
  </r>
  <r>
    <x v="2"/>
    <x v="0"/>
    <x v="0"/>
    <x v="1"/>
    <x v="6"/>
    <x v="0"/>
    <x v="1"/>
    <n v="77710"/>
  </r>
  <r>
    <x v="2"/>
    <x v="0"/>
    <x v="0"/>
    <x v="1"/>
    <x v="7"/>
    <x v="0"/>
    <x v="1"/>
    <n v="-307492"/>
  </r>
  <r>
    <x v="2"/>
    <x v="0"/>
    <x v="0"/>
    <x v="1"/>
    <x v="8"/>
    <x v="0"/>
    <x v="1"/>
    <n v="-4794624"/>
  </r>
  <r>
    <x v="2"/>
    <x v="1"/>
    <x v="0"/>
    <x v="0"/>
    <x v="1"/>
    <x v="0"/>
    <x v="1"/>
    <n v="498298"/>
  </r>
  <r>
    <x v="2"/>
    <x v="1"/>
    <x v="0"/>
    <x v="0"/>
    <x v="3"/>
    <x v="0"/>
    <x v="1"/>
    <n v="52255748"/>
  </r>
  <r>
    <x v="2"/>
    <x v="1"/>
    <x v="0"/>
    <x v="1"/>
    <x v="8"/>
    <x v="0"/>
    <x v="1"/>
    <n v="-1486014"/>
  </r>
  <r>
    <x v="2"/>
    <x v="2"/>
    <x v="0"/>
    <x v="0"/>
    <x v="1"/>
    <x v="0"/>
    <x v="1"/>
    <n v="71707"/>
  </r>
  <r>
    <x v="2"/>
    <x v="2"/>
    <x v="0"/>
    <x v="0"/>
    <x v="3"/>
    <x v="0"/>
    <x v="1"/>
    <n v="16597481"/>
  </r>
  <r>
    <x v="2"/>
    <x v="2"/>
    <x v="0"/>
    <x v="1"/>
    <x v="7"/>
    <x v="0"/>
    <x v="1"/>
    <n v="-212918"/>
  </r>
  <r>
    <x v="2"/>
    <x v="3"/>
    <x v="0"/>
    <x v="0"/>
    <x v="1"/>
    <x v="0"/>
    <x v="1"/>
    <n v="154865"/>
  </r>
  <r>
    <x v="2"/>
    <x v="3"/>
    <x v="0"/>
    <x v="0"/>
    <x v="3"/>
    <x v="0"/>
    <x v="1"/>
    <n v="15361860"/>
  </r>
  <r>
    <x v="2"/>
    <x v="3"/>
    <x v="0"/>
    <x v="1"/>
    <x v="7"/>
    <x v="0"/>
    <x v="1"/>
    <n v="-318929"/>
  </r>
  <r>
    <x v="2"/>
    <x v="4"/>
    <x v="0"/>
    <x v="0"/>
    <x v="1"/>
    <x v="0"/>
    <x v="1"/>
    <n v="79108"/>
  </r>
  <r>
    <x v="2"/>
    <x v="4"/>
    <x v="0"/>
    <x v="0"/>
    <x v="3"/>
    <x v="0"/>
    <x v="1"/>
    <n v="10766259"/>
  </r>
  <r>
    <x v="2"/>
    <x v="5"/>
    <x v="0"/>
    <x v="0"/>
    <x v="1"/>
    <x v="0"/>
    <x v="1"/>
    <n v="155822"/>
  </r>
  <r>
    <x v="2"/>
    <x v="5"/>
    <x v="0"/>
    <x v="0"/>
    <x v="2"/>
    <x v="0"/>
    <x v="1"/>
    <n v="5975"/>
  </r>
  <r>
    <x v="2"/>
    <x v="5"/>
    <x v="0"/>
    <x v="0"/>
    <x v="3"/>
    <x v="0"/>
    <x v="1"/>
    <n v="20168346"/>
  </r>
  <r>
    <x v="2"/>
    <x v="5"/>
    <x v="0"/>
    <x v="0"/>
    <x v="15"/>
    <x v="0"/>
    <x v="1"/>
    <n v="-40776"/>
  </r>
  <r>
    <x v="2"/>
    <x v="5"/>
    <x v="0"/>
    <x v="1"/>
    <x v="6"/>
    <x v="0"/>
    <x v="1"/>
    <n v="248734"/>
  </r>
  <r>
    <x v="2"/>
    <x v="5"/>
    <x v="0"/>
    <x v="1"/>
    <x v="7"/>
    <x v="0"/>
    <x v="1"/>
    <n v="-351130"/>
  </r>
  <r>
    <x v="2"/>
    <x v="6"/>
    <x v="0"/>
    <x v="0"/>
    <x v="9"/>
    <x v="0"/>
    <x v="1"/>
    <n v="750"/>
  </r>
  <r>
    <x v="2"/>
    <x v="6"/>
    <x v="0"/>
    <x v="0"/>
    <x v="1"/>
    <x v="0"/>
    <x v="1"/>
    <n v="2345644"/>
  </r>
  <r>
    <x v="2"/>
    <x v="6"/>
    <x v="0"/>
    <x v="0"/>
    <x v="2"/>
    <x v="0"/>
    <x v="1"/>
    <n v="270"/>
  </r>
  <r>
    <x v="2"/>
    <x v="6"/>
    <x v="0"/>
    <x v="0"/>
    <x v="3"/>
    <x v="0"/>
    <x v="1"/>
    <n v="105855900"/>
  </r>
  <r>
    <x v="2"/>
    <x v="6"/>
    <x v="0"/>
    <x v="0"/>
    <x v="11"/>
    <x v="0"/>
    <x v="1"/>
    <n v="34453"/>
  </r>
  <r>
    <x v="2"/>
    <x v="6"/>
    <x v="0"/>
    <x v="0"/>
    <x v="15"/>
    <x v="0"/>
    <x v="1"/>
    <n v="4508"/>
  </r>
  <r>
    <x v="2"/>
    <x v="6"/>
    <x v="0"/>
    <x v="0"/>
    <x v="13"/>
    <x v="0"/>
    <x v="1"/>
    <n v="-266"/>
  </r>
  <r>
    <x v="2"/>
    <x v="6"/>
    <x v="0"/>
    <x v="0"/>
    <x v="5"/>
    <x v="0"/>
    <x v="1"/>
    <n v="-1432"/>
  </r>
  <r>
    <x v="2"/>
    <x v="6"/>
    <x v="0"/>
    <x v="1"/>
    <x v="6"/>
    <x v="0"/>
    <x v="1"/>
    <n v="78500"/>
  </r>
  <r>
    <x v="2"/>
    <x v="6"/>
    <x v="0"/>
    <x v="1"/>
    <x v="7"/>
    <x v="0"/>
    <x v="1"/>
    <n v="-110796"/>
  </r>
  <r>
    <x v="3"/>
    <x v="0"/>
    <x v="0"/>
    <x v="0"/>
    <x v="9"/>
    <x v="0"/>
    <x v="1"/>
    <n v="5911"/>
  </r>
  <r>
    <x v="3"/>
    <x v="0"/>
    <x v="0"/>
    <x v="0"/>
    <x v="0"/>
    <x v="0"/>
    <x v="1"/>
    <n v="-106"/>
  </r>
  <r>
    <x v="3"/>
    <x v="0"/>
    <x v="0"/>
    <x v="0"/>
    <x v="1"/>
    <x v="0"/>
    <x v="1"/>
    <n v="245033"/>
  </r>
  <r>
    <x v="3"/>
    <x v="0"/>
    <x v="0"/>
    <x v="0"/>
    <x v="2"/>
    <x v="0"/>
    <x v="1"/>
    <n v="-453075"/>
  </r>
  <r>
    <x v="3"/>
    <x v="0"/>
    <x v="0"/>
    <x v="0"/>
    <x v="3"/>
    <x v="0"/>
    <x v="1"/>
    <n v="109194831"/>
  </r>
  <r>
    <x v="3"/>
    <x v="0"/>
    <x v="0"/>
    <x v="0"/>
    <x v="11"/>
    <x v="0"/>
    <x v="1"/>
    <n v="2160"/>
  </r>
  <r>
    <x v="3"/>
    <x v="0"/>
    <x v="0"/>
    <x v="0"/>
    <x v="4"/>
    <x v="0"/>
    <x v="1"/>
    <n v="543932"/>
  </r>
  <r>
    <x v="3"/>
    <x v="0"/>
    <x v="0"/>
    <x v="0"/>
    <x v="5"/>
    <x v="0"/>
    <x v="1"/>
    <n v="-3211"/>
  </r>
  <r>
    <x v="3"/>
    <x v="0"/>
    <x v="0"/>
    <x v="1"/>
    <x v="6"/>
    <x v="0"/>
    <x v="1"/>
    <n v="156386"/>
  </r>
  <r>
    <x v="3"/>
    <x v="0"/>
    <x v="0"/>
    <x v="1"/>
    <x v="7"/>
    <x v="0"/>
    <x v="1"/>
    <n v="-179044"/>
  </r>
  <r>
    <x v="3"/>
    <x v="0"/>
    <x v="0"/>
    <x v="1"/>
    <x v="8"/>
    <x v="0"/>
    <x v="1"/>
    <n v="-4807890"/>
  </r>
  <r>
    <x v="3"/>
    <x v="1"/>
    <x v="0"/>
    <x v="0"/>
    <x v="1"/>
    <x v="0"/>
    <x v="1"/>
    <n v="492061"/>
  </r>
  <r>
    <x v="3"/>
    <x v="1"/>
    <x v="0"/>
    <x v="0"/>
    <x v="3"/>
    <x v="0"/>
    <x v="1"/>
    <n v="55909557"/>
  </r>
  <r>
    <x v="3"/>
    <x v="1"/>
    <x v="0"/>
    <x v="0"/>
    <x v="13"/>
    <x v="0"/>
    <x v="1"/>
    <n v="60"/>
  </r>
  <r>
    <x v="3"/>
    <x v="1"/>
    <x v="0"/>
    <x v="1"/>
    <x v="7"/>
    <x v="0"/>
    <x v="1"/>
    <n v="-21667"/>
  </r>
  <r>
    <x v="3"/>
    <x v="1"/>
    <x v="0"/>
    <x v="1"/>
    <x v="8"/>
    <x v="0"/>
    <x v="1"/>
    <n v="-1876363"/>
  </r>
  <r>
    <x v="3"/>
    <x v="2"/>
    <x v="0"/>
    <x v="0"/>
    <x v="1"/>
    <x v="0"/>
    <x v="1"/>
    <n v="133427"/>
  </r>
  <r>
    <x v="3"/>
    <x v="2"/>
    <x v="0"/>
    <x v="0"/>
    <x v="3"/>
    <x v="0"/>
    <x v="1"/>
    <n v="15853364"/>
  </r>
  <r>
    <x v="3"/>
    <x v="3"/>
    <x v="0"/>
    <x v="0"/>
    <x v="1"/>
    <x v="0"/>
    <x v="1"/>
    <n v="133705"/>
  </r>
  <r>
    <x v="3"/>
    <x v="3"/>
    <x v="0"/>
    <x v="0"/>
    <x v="2"/>
    <x v="0"/>
    <x v="1"/>
    <n v="8"/>
  </r>
  <r>
    <x v="3"/>
    <x v="3"/>
    <x v="0"/>
    <x v="0"/>
    <x v="3"/>
    <x v="0"/>
    <x v="1"/>
    <n v="16055718"/>
  </r>
  <r>
    <x v="3"/>
    <x v="4"/>
    <x v="0"/>
    <x v="0"/>
    <x v="1"/>
    <x v="0"/>
    <x v="1"/>
    <n v="133754"/>
  </r>
  <r>
    <x v="3"/>
    <x v="4"/>
    <x v="0"/>
    <x v="0"/>
    <x v="3"/>
    <x v="0"/>
    <x v="1"/>
    <n v="11465901"/>
  </r>
  <r>
    <x v="3"/>
    <x v="4"/>
    <x v="0"/>
    <x v="0"/>
    <x v="15"/>
    <x v="0"/>
    <x v="1"/>
    <n v="1087"/>
  </r>
  <r>
    <x v="3"/>
    <x v="4"/>
    <x v="0"/>
    <x v="0"/>
    <x v="13"/>
    <x v="0"/>
    <x v="1"/>
    <n v="-6476"/>
  </r>
  <r>
    <x v="3"/>
    <x v="5"/>
    <x v="0"/>
    <x v="0"/>
    <x v="1"/>
    <x v="0"/>
    <x v="1"/>
    <n v="308031"/>
  </r>
  <r>
    <x v="3"/>
    <x v="5"/>
    <x v="0"/>
    <x v="0"/>
    <x v="2"/>
    <x v="0"/>
    <x v="1"/>
    <n v="12076"/>
  </r>
  <r>
    <x v="3"/>
    <x v="5"/>
    <x v="0"/>
    <x v="0"/>
    <x v="3"/>
    <x v="0"/>
    <x v="1"/>
    <n v="22320007"/>
  </r>
  <r>
    <x v="3"/>
    <x v="5"/>
    <x v="0"/>
    <x v="0"/>
    <x v="11"/>
    <x v="0"/>
    <x v="1"/>
    <n v="-34"/>
  </r>
  <r>
    <x v="3"/>
    <x v="5"/>
    <x v="0"/>
    <x v="0"/>
    <x v="5"/>
    <x v="0"/>
    <x v="1"/>
    <n v="2746"/>
  </r>
  <r>
    <x v="3"/>
    <x v="5"/>
    <x v="0"/>
    <x v="1"/>
    <x v="6"/>
    <x v="0"/>
    <x v="1"/>
    <n v="5127400"/>
  </r>
  <r>
    <x v="3"/>
    <x v="5"/>
    <x v="0"/>
    <x v="1"/>
    <x v="7"/>
    <x v="0"/>
    <x v="1"/>
    <n v="-5619769"/>
  </r>
  <r>
    <x v="3"/>
    <x v="6"/>
    <x v="0"/>
    <x v="0"/>
    <x v="9"/>
    <x v="0"/>
    <x v="1"/>
    <n v="74"/>
  </r>
  <r>
    <x v="3"/>
    <x v="6"/>
    <x v="0"/>
    <x v="0"/>
    <x v="1"/>
    <x v="0"/>
    <x v="1"/>
    <n v="1887211"/>
  </r>
  <r>
    <x v="3"/>
    <x v="6"/>
    <x v="0"/>
    <x v="0"/>
    <x v="3"/>
    <x v="0"/>
    <x v="1"/>
    <n v="109878744"/>
  </r>
  <r>
    <x v="3"/>
    <x v="6"/>
    <x v="0"/>
    <x v="0"/>
    <x v="5"/>
    <x v="0"/>
    <x v="1"/>
    <n v="2641"/>
  </r>
  <r>
    <x v="3"/>
    <x v="6"/>
    <x v="0"/>
    <x v="1"/>
    <x v="6"/>
    <x v="0"/>
    <x v="1"/>
    <n v="47167"/>
  </r>
  <r>
    <x v="4"/>
    <x v="0"/>
    <x v="0"/>
    <x v="0"/>
    <x v="9"/>
    <x v="0"/>
    <x v="2"/>
    <n v="-250"/>
  </r>
  <r>
    <x v="4"/>
    <x v="0"/>
    <x v="0"/>
    <x v="0"/>
    <x v="0"/>
    <x v="0"/>
    <x v="2"/>
    <n v="-51"/>
  </r>
  <r>
    <x v="4"/>
    <x v="0"/>
    <x v="0"/>
    <x v="0"/>
    <x v="1"/>
    <x v="0"/>
    <x v="2"/>
    <n v="492229"/>
  </r>
  <r>
    <x v="4"/>
    <x v="0"/>
    <x v="0"/>
    <x v="0"/>
    <x v="2"/>
    <x v="0"/>
    <x v="2"/>
    <n v="117615"/>
  </r>
  <r>
    <x v="4"/>
    <x v="0"/>
    <x v="0"/>
    <x v="0"/>
    <x v="3"/>
    <x v="0"/>
    <x v="2"/>
    <n v="116367688"/>
  </r>
  <r>
    <x v="4"/>
    <x v="0"/>
    <x v="0"/>
    <x v="0"/>
    <x v="11"/>
    <x v="0"/>
    <x v="2"/>
    <n v="-227"/>
  </r>
  <r>
    <x v="4"/>
    <x v="0"/>
    <x v="0"/>
    <x v="0"/>
    <x v="4"/>
    <x v="0"/>
    <x v="2"/>
    <n v="293"/>
  </r>
  <r>
    <x v="4"/>
    <x v="0"/>
    <x v="0"/>
    <x v="0"/>
    <x v="5"/>
    <x v="0"/>
    <x v="2"/>
    <n v="91"/>
  </r>
  <r>
    <x v="4"/>
    <x v="0"/>
    <x v="0"/>
    <x v="1"/>
    <x v="6"/>
    <x v="0"/>
    <x v="2"/>
    <n v="3174"/>
  </r>
  <r>
    <x v="4"/>
    <x v="0"/>
    <x v="0"/>
    <x v="1"/>
    <x v="7"/>
    <x v="0"/>
    <x v="2"/>
    <n v="-295828"/>
  </r>
  <r>
    <x v="4"/>
    <x v="0"/>
    <x v="0"/>
    <x v="1"/>
    <x v="8"/>
    <x v="0"/>
    <x v="2"/>
    <n v="-4790109"/>
  </r>
  <r>
    <x v="4"/>
    <x v="1"/>
    <x v="0"/>
    <x v="0"/>
    <x v="1"/>
    <x v="0"/>
    <x v="2"/>
    <n v="478678"/>
  </r>
  <r>
    <x v="4"/>
    <x v="1"/>
    <x v="0"/>
    <x v="0"/>
    <x v="3"/>
    <x v="0"/>
    <x v="2"/>
    <n v="57058127"/>
  </r>
  <r>
    <x v="4"/>
    <x v="1"/>
    <x v="0"/>
    <x v="1"/>
    <x v="6"/>
    <x v="0"/>
    <x v="2"/>
    <n v="-103196"/>
  </r>
  <r>
    <x v="4"/>
    <x v="1"/>
    <x v="0"/>
    <x v="1"/>
    <x v="7"/>
    <x v="0"/>
    <x v="2"/>
    <n v="-2107779"/>
  </r>
  <r>
    <x v="4"/>
    <x v="2"/>
    <x v="0"/>
    <x v="0"/>
    <x v="1"/>
    <x v="0"/>
    <x v="2"/>
    <n v="150976"/>
  </r>
  <r>
    <x v="4"/>
    <x v="2"/>
    <x v="0"/>
    <x v="0"/>
    <x v="3"/>
    <x v="0"/>
    <x v="2"/>
    <n v="16325610"/>
  </r>
  <r>
    <x v="4"/>
    <x v="3"/>
    <x v="0"/>
    <x v="0"/>
    <x v="1"/>
    <x v="0"/>
    <x v="2"/>
    <n v="290409"/>
  </r>
  <r>
    <x v="4"/>
    <x v="3"/>
    <x v="0"/>
    <x v="0"/>
    <x v="3"/>
    <x v="0"/>
    <x v="2"/>
    <n v="16746938"/>
  </r>
  <r>
    <x v="4"/>
    <x v="4"/>
    <x v="0"/>
    <x v="0"/>
    <x v="1"/>
    <x v="0"/>
    <x v="2"/>
    <n v="183225"/>
  </r>
  <r>
    <x v="4"/>
    <x v="4"/>
    <x v="0"/>
    <x v="0"/>
    <x v="3"/>
    <x v="0"/>
    <x v="2"/>
    <n v="12451235"/>
  </r>
  <r>
    <x v="4"/>
    <x v="4"/>
    <x v="0"/>
    <x v="0"/>
    <x v="15"/>
    <x v="0"/>
    <x v="2"/>
    <n v="44451"/>
  </r>
  <r>
    <x v="4"/>
    <x v="4"/>
    <x v="0"/>
    <x v="0"/>
    <x v="13"/>
    <x v="0"/>
    <x v="2"/>
    <n v="250"/>
  </r>
  <r>
    <x v="4"/>
    <x v="4"/>
    <x v="0"/>
    <x v="1"/>
    <x v="7"/>
    <x v="0"/>
    <x v="2"/>
    <n v="-20668"/>
  </r>
  <r>
    <x v="4"/>
    <x v="5"/>
    <x v="0"/>
    <x v="0"/>
    <x v="1"/>
    <x v="0"/>
    <x v="2"/>
    <n v="402040"/>
  </r>
  <r>
    <x v="4"/>
    <x v="5"/>
    <x v="0"/>
    <x v="0"/>
    <x v="2"/>
    <x v="0"/>
    <x v="2"/>
    <n v="2251"/>
  </r>
  <r>
    <x v="4"/>
    <x v="5"/>
    <x v="0"/>
    <x v="0"/>
    <x v="3"/>
    <x v="0"/>
    <x v="2"/>
    <n v="24004298"/>
  </r>
  <r>
    <x v="4"/>
    <x v="5"/>
    <x v="0"/>
    <x v="1"/>
    <x v="6"/>
    <x v="0"/>
    <x v="2"/>
    <n v="839128"/>
  </r>
  <r>
    <x v="4"/>
    <x v="5"/>
    <x v="0"/>
    <x v="1"/>
    <x v="7"/>
    <x v="0"/>
    <x v="2"/>
    <n v="-968018"/>
  </r>
  <r>
    <x v="4"/>
    <x v="6"/>
    <x v="0"/>
    <x v="0"/>
    <x v="1"/>
    <x v="0"/>
    <x v="2"/>
    <n v="2108183"/>
  </r>
  <r>
    <x v="4"/>
    <x v="6"/>
    <x v="0"/>
    <x v="0"/>
    <x v="3"/>
    <x v="0"/>
    <x v="2"/>
    <n v="115409745"/>
  </r>
  <r>
    <x v="5"/>
    <x v="0"/>
    <x v="0"/>
    <x v="0"/>
    <x v="9"/>
    <x v="0"/>
    <x v="2"/>
    <n v="250"/>
  </r>
  <r>
    <x v="5"/>
    <x v="0"/>
    <x v="0"/>
    <x v="0"/>
    <x v="0"/>
    <x v="0"/>
    <x v="2"/>
    <n v="-17"/>
  </r>
  <r>
    <x v="5"/>
    <x v="0"/>
    <x v="0"/>
    <x v="0"/>
    <x v="1"/>
    <x v="0"/>
    <x v="2"/>
    <n v="521030"/>
  </r>
  <r>
    <x v="5"/>
    <x v="0"/>
    <x v="0"/>
    <x v="0"/>
    <x v="2"/>
    <x v="0"/>
    <x v="2"/>
    <n v="-117944"/>
  </r>
  <r>
    <x v="5"/>
    <x v="0"/>
    <x v="0"/>
    <x v="0"/>
    <x v="3"/>
    <x v="0"/>
    <x v="2"/>
    <n v="122765668"/>
  </r>
  <r>
    <x v="5"/>
    <x v="0"/>
    <x v="0"/>
    <x v="0"/>
    <x v="11"/>
    <x v="0"/>
    <x v="2"/>
    <n v="227"/>
  </r>
  <r>
    <x v="5"/>
    <x v="0"/>
    <x v="0"/>
    <x v="0"/>
    <x v="4"/>
    <x v="0"/>
    <x v="2"/>
    <n v="-355"/>
  </r>
  <r>
    <x v="5"/>
    <x v="0"/>
    <x v="0"/>
    <x v="0"/>
    <x v="5"/>
    <x v="0"/>
    <x v="2"/>
    <n v="-91"/>
  </r>
  <r>
    <x v="5"/>
    <x v="0"/>
    <x v="0"/>
    <x v="1"/>
    <x v="6"/>
    <x v="0"/>
    <x v="2"/>
    <n v="-967"/>
  </r>
  <r>
    <x v="5"/>
    <x v="0"/>
    <x v="0"/>
    <x v="1"/>
    <x v="7"/>
    <x v="0"/>
    <x v="2"/>
    <n v="-294637"/>
  </r>
  <r>
    <x v="5"/>
    <x v="0"/>
    <x v="0"/>
    <x v="1"/>
    <x v="8"/>
    <x v="0"/>
    <x v="2"/>
    <n v="-4817175"/>
  </r>
  <r>
    <x v="5"/>
    <x v="1"/>
    <x v="0"/>
    <x v="0"/>
    <x v="1"/>
    <x v="0"/>
    <x v="2"/>
    <n v="401682"/>
  </r>
  <r>
    <x v="5"/>
    <x v="1"/>
    <x v="0"/>
    <x v="0"/>
    <x v="3"/>
    <x v="0"/>
    <x v="2"/>
    <n v="59196605"/>
  </r>
  <r>
    <x v="5"/>
    <x v="1"/>
    <x v="0"/>
    <x v="1"/>
    <x v="7"/>
    <x v="0"/>
    <x v="2"/>
    <n v="-2141490"/>
  </r>
  <r>
    <x v="5"/>
    <x v="2"/>
    <x v="0"/>
    <x v="0"/>
    <x v="1"/>
    <x v="0"/>
    <x v="2"/>
    <n v="172427"/>
  </r>
  <r>
    <x v="5"/>
    <x v="2"/>
    <x v="0"/>
    <x v="0"/>
    <x v="3"/>
    <x v="0"/>
    <x v="2"/>
    <n v="17610066"/>
  </r>
  <r>
    <x v="5"/>
    <x v="2"/>
    <x v="0"/>
    <x v="1"/>
    <x v="7"/>
    <x v="0"/>
    <x v="2"/>
    <n v="-260000"/>
  </r>
  <r>
    <x v="5"/>
    <x v="3"/>
    <x v="0"/>
    <x v="0"/>
    <x v="1"/>
    <x v="0"/>
    <x v="2"/>
    <n v="259082"/>
  </r>
  <r>
    <x v="5"/>
    <x v="3"/>
    <x v="0"/>
    <x v="0"/>
    <x v="3"/>
    <x v="0"/>
    <x v="2"/>
    <n v="17552767"/>
  </r>
  <r>
    <x v="5"/>
    <x v="3"/>
    <x v="0"/>
    <x v="0"/>
    <x v="5"/>
    <x v="0"/>
    <x v="2"/>
    <n v="75483"/>
  </r>
  <r>
    <x v="5"/>
    <x v="3"/>
    <x v="0"/>
    <x v="1"/>
    <x v="7"/>
    <x v="0"/>
    <x v="2"/>
    <n v="-498427"/>
  </r>
  <r>
    <x v="5"/>
    <x v="4"/>
    <x v="0"/>
    <x v="0"/>
    <x v="1"/>
    <x v="0"/>
    <x v="2"/>
    <n v="288709"/>
  </r>
  <r>
    <x v="5"/>
    <x v="4"/>
    <x v="0"/>
    <x v="0"/>
    <x v="3"/>
    <x v="0"/>
    <x v="2"/>
    <n v="13633328"/>
  </r>
  <r>
    <x v="5"/>
    <x v="4"/>
    <x v="0"/>
    <x v="0"/>
    <x v="13"/>
    <x v="0"/>
    <x v="2"/>
    <n v="420"/>
  </r>
  <r>
    <x v="5"/>
    <x v="5"/>
    <x v="0"/>
    <x v="0"/>
    <x v="1"/>
    <x v="0"/>
    <x v="2"/>
    <n v="554928"/>
  </r>
  <r>
    <x v="5"/>
    <x v="5"/>
    <x v="0"/>
    <x v="0"/>
    <x v="2"/>
    <x v="0"/>
    <x v="2"/>
    <n v="125"/>
  </r>
  <r>
    <x v="5"/>
    <x v="5"/>
    <x v="0"/>
    <x v="0"/>
    <x v="3"/>
    <x v="0"/>
    <x v="2"/>
    <n v="25597024"/>
  </r>
  <r>
    <x v="5"/>
    <x v="5"/>
    <x v="0"/>
    <x v="1"/>
    <x v="6"/>
    <x v="0"/>
    <x v="2"/>
    <n v="1975474"/>
  </r>
  <r>
    <x v="5"/>
    <x v="5"/>
    <x v="0"/>
    <x v="1"/>
    <x v="7"/>
    <x v="0"/>
    <x v="2"/>
    <n v="-2322692"/>
  </r>
  <r>
    <x v="5"/>
    <x v="6"/>
    <x v="0"/>
    <x v="0"/>
    <x v="1"/>
    <x v="0"/>
    <x v="2"/>
    <n v="2253400"/>
  </r>
  <r>
    <x v="5"/>
    <x v="6"/>
    <x v="0"/>
    <x v="0"/>
    <x v="3"/>
    <x v="0"/>
    <x v="2"/>
    <n v="122558904"/>
  </r>
  <r>
    <x v="5"/>
    <x v="6"/>
    <x v="0"/>
    <x v="0"/>
    <x v="11"/>
    <x v="0"/>
    <x v="2"/>
    <n v="-20"/>
  </r>
  <r>
    <x v="5"/>
    <x v="6"/>
    <x v="0"/>
    <x v="0"/>
    <x v="4"/>
    <x v="0"/>
    <x v="2"/>
    <n v="20"/>
  </r>
  <r>
    <x v="6"/>
    <x v="0"/>
    <x v="0"/>
    <x v="0"/>
    <x v="9"/>
    <x v="0"/>
    <x v="3"/>
    <n v="608"/>
  </r>
  <r>
    <x v="6"/>
    <x v="0"/>
    <x v="0"/>
    <x v="0"/>
    <x v="0"/>
    <x v="0"/>
    <x v="3"/>
    <n v="228"/>
  </r>
  <r>
    <x v="6"/>
    <x v="0"/>
    <x v="0"/>
    <x v="0"/>
    <x v="1"/>
    <x v="0"/>
    <x v="3"/>
    <n v="445048"/>
  </r>
  <r>
    <x v="6"/>
    <x v="0"/>
    <x v="0"/>
    <x v="0"/>
    <x v="2"/>
    <x v="0"/>
    <x v="3"/>
    <n v="9767"/>
  </r>
  <r>
    <x v="6"/>
    <x v="0"/>
    <x v="0"/>
    <x v="0"/>
    <x v="3"/>
    <x v="0"/>
    <x v="3"/>
    <n v="130834390"/>
  </r>
  <r>
    <x v="6"/>
    <x v="0"/>
    <x v="0"/>
    <x v="0"/>
    <x v="11"/>
    <x v="0"/>
    <x v="3"/>
    <n v="3330"/>
  </r>
  <r>
    <x v="6"/>
    <x v="0"/>
    <x v="0"/>
    <x v="0"/>
    <x v="4"/>
    <x v="0"/>
    <x v="3"/>
    <n v="-32"/>
  </r>
  <r>
    <x v="6"/>
    <x v="0"/>
    <x v="0"/>
    <x v="0"/>
    <x v="15"/>
    <x v="0"/>
    <x v="3"/>
    <n v="569"/>
  </r>
  <r>
    <x v="6"/>
    <x v="0"/>
    <x v="0"/>
    <x v="0"/>
    <x v="5"/>
    <x v="0"/>
    <x v="3"/>
    <n v="-418"/>
  </r>
  <r>
    <x v="6"/>
    <x v="0"/>
    <x v="0"/>
    <x v="1"/>
    <x v="6"/>
    <x v="0"/>
    <x v="3"/>
    <n v="18147"/>
  </r>
  <r>
    <x v="6"/>
    <x v="0"/>
    <x v="0"/>
    <x v="1"/>
    <x v="7"/>
    <x v="0"/>
    <x v="3"/>
    <n v="-232042"/>
  </r>
  <r>
    <x v="6"/>
    <x v="0"/>
    <x v="0"/>
    <x v="1"/>
    <x v="8"/>
    <x v="0"/>
    <x v="3"/>
    <n v="-4789823"/>
  </r>
  <r>
    <x v="6"/>
    <x v="1"/>
    <x v="0"/>
    <x v="0"/>
    <x v="1"/>
    <x v="0"/>
    <x v="3"/>
    <n v="520587"/>
  </r>
  <r>
    <x v="6"/>
    <x v="1"/>
    <x v="0"/>
    <x v="0"/>
    <x v="3"/>
    <x v="0"/>
    <x v="3"/>
    <n v="60751323"/>
  </r>
  <r>
    <x v="6"/>
    <x v="1"/>
    <x v="0"/>
    <x v="1"/>
    <x v="7"/>
    <x v="0"/>
    <x v="3"/>
    <n v="-2194802"/>
  </r>
  <r>
    <x v="6"/>
    <x v="2"/>
    <x v="0"/>
    <x v="0"/>
    <x v="1"/>
    <x v="0"/>
    <x v="3"/>
    <n v="270262"/>
  </r>
  <r>
    <x v="6"/>
    <x v="2"/>
    <x v="0"/>
    <x v="0"/>
    <x v="3"/>
    <x v="0"/>
    <x v="3"/>
    <n v="19668513"/>
  </r>
  <r>
    <x v="6"/>
    <x v="2"/>
    <x v="0"/>
    <x v="1"/>
    <x v="7"/>
    <x v="0"/>
    <x v="3"/>
    <n v="-1060000"/>
  </r>
  <r>
    <x v="6"/>
    <x v="3"/>
    <x v="0"/>
    <x v="0"/>
    <x v="1"/>
    <x v="0"/>
    <x v="3"/>
    <n v="260584"/>
  </r>
  <r>
    <x v="6"/>
    <x v="3"/>
    <x v="0"/>
    <x v="0"/>
    <x v="3"/>
    <x v="0"/>
    <x v="3"/>
    <n v="18175243"/>
  </r>
  <r>
    <x v="6"/>
    <x v="3"/>
    <x v="0"/>
    <x v="0"/>
    <x v="5"/>
    <x v="0"/>
    <x v="3"/>
    <n v="153606"/>
  </r>
  <r>
    <x v="6"/>
    <x v="3"/>
    <x v="0"/>
    <x v="1"/>
    <x v="7"/>
    <x v="0"/>
    <x v="3"/>
    <n v="-431514"/>
  </r>
  <r>
    <x v="6"/>
    <x v="4"/>
    <x v="0"/>
    <x v="0"/>
    <x v="1"/>
    <x v="0"/>
    <x v="3"/>
    <n v="371320"/>
  </r>
  <r>
    <x v="6"/>
    <x v="4"/>
    <x v="0"/>
    <x v="0"/>
    <x v="3"/>
    <x v="0"/>
    <x v="3"/>
    <n v="13593440"/>
  </r>
  <r>
    <x v="6"/>
    <x v="4"/>
    <x v="0"/>
    <x v="0"/>
    <x v="13"/>
    <x v="0"/>
    <x v="3"/>
    <n v="480"/>
  </r>
  <r>
    <x v="6"/>
    <x v="4"/>
    <x v="0"/>
    <x v="1"/>
    <x v="7"/>
    <x v="0"/>
    <x v="3"/>
    <n v="-58000"/>
  </r>
  <r>
    <x v="6"/>
    <x v="5"/>
    <x v="0"/>
    <x v="0"/>
    <x v="1"/>
    <x v="0"/>
    <x v="3"/>
    <n v="486416"/>
  </r>
  <r>
    <x v="6"/>
    <x v="5"/>
    <x v="0"/>
    <x v="0"/>
    <x v="3"/>
    <x v="0"/>
    <x v="3"/>
    <n v="26760898"/>
  </r>
  <r>
    <x v="6"/>
    <x v="5"/>
    <x v="0"/>
    <x v="1"/>
    <x v="6"/>
    <x v="0"/>
    <x v="3"/>
    <n v="1969673"/>
  </r>
  <r>
    <x v="6"/>
    <x v="5"/>
    <x v="0"/>
    <x v="1"/>
    <x v="7"/>
    <x v="0"/>
    <x v="3"/>
    <n v="-3899258"/>
  </r>
  <r>
    <x v="6"/>
    <x v="6"/>
    <x v="0"/>
    <x v="0"/>
    <x v="1"/>
    <x v="0"/>
    <x v="3"/>
    <n v="2418615"/>
  </r>
  <r>
    <x v="6"/>
    <x v="6"/>
    <x v="0"/>
    <x v="0"/>
    <x v="3"/>
    <x v="0"/>
    <x v="3"/>
    <n v="129085736"/>
  </r>
  <r>
    <x v="6"/>
    <x v="6"/>
    <x v="0"/>
    <x v="0"/>
    <x v="11"/>
    <x v="0"/>
    <x v="3"/>
    <n v="-57"/>
  </r>
  <r>
    <x v="6"/>
    <x v="6"/>
    <x v="0"/>
    <x v="0"/>
    <x v="5"/>
    <x v="0"/>
    <x v="3"/>
    <n v="45533"/>
  </r>
  <r>
    <x v="6"/>
    <x v="6"/>
    <x v="0"/>
    <x v="3"/>
    <x v="16"/>
    <x v="0"/>
    <x v="3"/>
    <n v="1950"/>
  </r>
  <r>
    <x v="7"/>
    <x v="0"/>
    <x v="0"/>
    <x v="0"/>
    <x v="9"/>
    <x v="0"/>
    <x v="3"/>
    <n v="-72642"/>
  </r>
  <r>
    <x v="7"/>
    <x v="0"/>
    <x v="0"/>
    <x v="0"/>
    <x v="0"/>
    <x v="0"/>
    <x v="3"/>
    <n v="-228"/>
  </r>
  <r>
    <x v="7"/>
    <x v="0"/>
    <x v="0"/>
    <x v="0"/>
    <x v="1"/>
    <x v="0"/>
    <x v="3"/>
    <n v="471559"/>
  </r>
  <r>
    <x v="7"/>
    <x v="0"/>
    <x v="0"/>
    <x v="0"/>
    <x v="2"/>
    <x v="0"/>
    <x v="3"/>
    <n v="-3635"/>
  </r>
  <r>
    <x v="7"/>
    <x v="0"/>
    <x v="0"/>
    <x v="0"/>
    <x v="3"/>
    <x v="0"/>
    <x v="3"/>
    <n v="138074978"/>
  </r>
  <r>
    <x v="7"/>
    <x v="0"/>
    <x v="0"/>
    <x v="0"/>
    <x v="11"/>
    <x v="0"/>
    <x v="3"/>
    <n v="-27"/>
  </r>
  <r>
    <x v="7"/>
    <x v="0"/>
    <x v="0"/>
    <x v="0"/>
    <x v="4"/>
    <x v="0"/>
    <x v="3"/>
    <n v="-244"/>
  </r>
  <r>
    <x v="7"/>
    <x v="0"/>
    <x v="0"/>
    <x v="0"/>
    <x v="5"/>
    <x v="0"/>
    <x v="3"/>
    <n v="762"/>
  </r>
  <r>
    <x v="7"/>
    <x v="0"/>
    <x v="0"/>
    <x v="1"/>
    <x v="7"/>
    <x v="0"/>
    <x v="3"/>
    <n v="-186418"/>
  </r>
  <r>
    <x v="7"/>
    <x v="0"/>
    <x v="0"/>
    <x v="1"/>
    <x v="8"/>
    <x v="0"/>
    <x v="3"/>
    <n v="-4864605"/>
  </r>
  <r>
    <x v="7"/>
    <x v="1"/>
    <x v="0"/>
    <x v="0"/>
    <x v="1"/>
    <x v="0"/>
    <x v="3"/>
    <n v="515842"/>
  </r>
  <r>
    <x v="7"/>
    <x v="1"/>
    <x v="0"/>
    <x v="0"/>
    <x v="3"/>
    <x v="0"/>
    <x v="3"/>
    <n v="63017467"/>
  </r>
  <r>
    <x v="7"/>
    <x v="1"/>
    <x v="0"/>
    <x v="0"/>
    <x v="5"/>
    <x v="0"/>
    <x v="3"/>
    <n v="541965"/>
  </r>
  <r>
    <x v="7"/>
    <x v="1"/>
    <x v="0"/>
    <x v="1"/>
    <x v="7"/>
    <x v="0"/>
    <x v="3"/>
    <n v="-2394589"/>
  </r>
  <r>
    <x v="7"/>
    <x v="2"/>
    <x v="0"/>
    <x v="0"/>
    <x v="1"/>
    <x v="0"/>
    <x v="3"/>
    <n v="330593"/>
  </r>
  <r>
    <x v="7"/>
    <x v="2"/>
    <x v="0"/>
    <x v="0"/>
    <x v="3"/>
    <x v="0"/>
    <x v="3"/>
    <n v="20807612"/>
  </r>
  <r>
    <x v="7"/>
    <x v="2"/>
    <x v="0"/>
    <x v="1"/>
    <x v="7"/>
    <x v="0"/>
    <x v="3"/>
    <n v="-415000"/>
  </r>
  <r>
    <x v="7"/>
    <x v="3"/>
    <x v="0"/>
    <x v="0"/>
    <x v="1"/>
    <x v="0"/>
    <x v="3"/>
    <n v="317273"/>
  </r>
  <r>
    <x v="7"/>
    <x v="3"/>
    <x v="0"/>
    <x v="0"/>
    <x v="3"/>
    <x v="0"/>
    <x v="3"/>
    <n v="18277404"/>
  </r>
  <r>
    <x v="7"/>
    <x v="3"/>
    <x v="0"/>
    <x v="0"/>
    <x v="15"/>
    <x v="0"/>
    <x v="3"/>
    <n v="74073"/>
  </r>
  <r>
    <x v="7"/>
    <x v="3"/>
    <x v="0"/>
    <x v="1"/>
    <x v="7"/>
    <x v="0"/>
    <x v="3"/>
    <n v="-603182"/>
  </r>
  <r>
    <x v="7"/>
    <x v="4"/>
    <x v="0"/>
    <x v="0"/>
    <x v="1"/>
    <x v="0"/>
    <x v="3"/>
    <n v="420111"/>
  </r>
  <r>
    <x v="7"/>
    <x v="4"/>
    <x v="0"/>
    <x v="0"/>
    <x v="3"/>
    <x v="0"/>
    <x v="3"/>
    <n v="13982495"/>
  </r>
  <r>
    <x v="7"/>
    <x v="4"/>
    <x v="0"/>
    <x v="0"/>
    <x v="13"/>
    <x v="0"/>
    <x v="3"/>
    <n v="435"/>
  </r>
  <r>
    <x v="7"/>
    <x v="5"/>
    <x v="0"/>
    <x v="0"/>
    <x v="1"/>
    <x v="0"/>
    <x v="3"/>
    <n v="499857"/>
  </r>
  <r>
    <x v="7"/>
    <x v="5"/>
    <x v="0"/>
    <x v="0"/>
    <x v="2"/>
    <x v="0"/>
    <x v="3"/>
    <n v="35"/>
  </r>
  <r>
    <x v="7"/>
    <x v="5"/>
    <x v="0"/>
    <x v="0"/>
    <x v="3"/>
    <x v="0"/>
    <x v="3"/>
    <n v="28942705"/>
  </r>
  <r>
    <x v="7"/>
    <x v="5"/>
    <x v="0"/>
    <x v="1"/>
    <x v="6"/>
    <x v="0"/>
    <x v="3"/>
    <n v="2371694"/>
  </r>
  <r>
    <x v="7"/>
    <x v="5"/>
    <x v="0"/>
    <x v="1"/>
    <x v="7"/>
    <x v="0"/>
    <x v="3"/>
    <n v="-1077002"/>
  </r>
  <r>
    <x v="7"/>
    <x v="6"/>
    <x v="0"/>
    <x v="0"/>
    <x v="17"/>
    <x v="0"/>
    <x v="3"/>
    <n v="8404"/>
  </r>
  <r>
    <x v="7"/>
    <x v="6"/>
    <x v="0"/>
    <x v="0"/>
    <x v="9"/>
    <x v="0"/>
    <x v="3"/>
    <n v="-215"/>
  </r>
  <r>
    <x v="7"/>
    <x v="6"/>
    <x v="0"/>
    <x v="0"/>
    <x v="1"/>
    <x v="0"/>
    <x v="3"/>
    <n v="2911007"/>
  </r>
  <r>
    <x v="7"/>
    <x v="6"/>
    <x v="0"/>
    <x v="0"/>
    <x v="2"/>
    <x v="0"/>
    <x v="3"/>
    <n v="215"/>
  </r>
  <r>
    <x v="7"/>
    <x v="6"/>
    <x v="0"/>
    <x v="0"/>
    <x v="3"/>
    <x v="0"/>
    <x v="3"/>
    <n v="134886993"/>
  </r>
  <r>
    <x v="7"/>
    <x v="6"/>
    <x v="0"/>
    <x v="0"/>
    <x v="15"/>
    <x v="0"/>
    <x v="3"/>
    <n v="36017"/>
  </r>
  <r>
    <x v="7"/>
    <x v="6"/>
    <x v="0"/>
    <x v="0"/>
    <x v="13"/>
    <x v="0"/>
    <x v="3"/>
    <n v="-30"/>
  </r>
  <r>
    <x v="7"/>
    <x v="6"/>
    <x v="0"/>
    <x v="1"/>
    <x v="6"/>
    <x v="0"/>
    <x v="3"/>
    <n v="594"/>
  </r>
  <r>
    <x v="7"/>
    <x v="6"/>
    <x v="0"/>
    <x v="1"/>
    <x v="7"/>
    <x v="0"/>
    <x v="3"/>
    <n v="-237032"/>
  </r>
  <r>
    <x v="8"/>
    <x v="0"/>
    <x v="0"/>
    <x v="0"/>
    <x v="9"/>
    <x v="0"/>
    <x v="4"/>
    <n v="7199"/>
  </r>
  <r>
    <x v="8"/>
    <x v="0"/>
    <x v="0"/>
    <x v="0"/>
    <x v="2"/>
    <x v="0"/>
    <x v="4"/>
    <n v="8312"/>
  </r>
  <r>
    <x v="8"/>
    <x v="0"/>
    <x v="0"/>
    <x v="0"/>
    <x v="3"/>
    <x v="0"/>
    <x v="4"/>
    <n v="155404608"/>
  </r>
  <r>
    <x v="8"/>
    <x v="0"/>
    <x v="0"/>
    <x v="0"/>
    <x v="11"/>
    <x v="0"/>
    <x v="4"/>
    <n v="24456"/>
  </r>
  <r>
    <x v="8"/>
    <x v="0"/>
    <x v="0"/>
    <x v="0"/>
    <x v="4"/>
    <x v="0"/>
    <x v="4"/>
    <n v="-26"/>
  </r>
  <r>
    <x v="8"/>
    <x v="0"/>
    <x v="0"/>
    <x v="1"/>
    <x v="6"/>
    <x v="0"/>
    <x v="4"/>
    <n v="662290"/>
  </r>
  <r>
    <x v="8"/>
    <x v="0"/>
    <x v="0"/>
    <x v="1"/>
    <x v="7"/>
    <x v="0"/>
    <x v="4"/>
    <n v="-200946"/>
  </r>
  <r>
    <x v="8"/>
    <x v="0"/>
    <x v="0"/>
    <x v="1"/>
    <x v="8"/>
    <x v="0"/>
    <x v="4"/>
    <n v="-4810969"/>
  </r>
  <r>
    <x v="8"/>
    <x v="1"/>
    <x v="0"/>
    <x v="0"/>
    <x v="1"/>
    <x v="0"/>
    <x v="4"/>
    <n v="503103"/>
  </r>
  <r>
    <x v="8"/>
    <x v="1"/>
    <x v="0"/>
    <x v="0"/>
    <x v="3"/>
    <x v="0"/>
    <x v="4"/>
    <n v="69475881"/>
  </r>
  <r>
    <x v="8"/>
    <x v="1"/>
    <x v="0"/>
    <x v="1"/>
    <x v="6"/>
    <x v="0"/>
    <x v="4"/>
    <n v="-358269"/>
  </r>
  <r>
    <x v="8"/>
    <x v="1"/>
    <x v="0"/>
    <x v="1"/>
    <x v="7"/>
    <x v="0"/>
    <x v="4"/>
    <n v="-2072415"/>
  </r>
  <r>
    <x v="8"/>
    <x v="2"/>
    <x v="0"/>
    <x v="0"/>
    <x v="1"/>
    <x v="0"/>
    <x v="4"/>
    <n v="202940"/>
  </r>
  <r>
    <x v="8"/>
    <x v="2"/>
    <x v="0"/>
    <x v="0"/>
    <x v="3"/>
    <x v="0"/>
    <x v="4"/>
    <n v="22247679"/>
  </r>
  <r>
    <x v="8"/>
    <x v="2"/>
    <x v="0"/>
    <x v="1"/>
    <x v="7"/>
    <x v="0"/>
    <x v="4"/>
    <n v="-150000"/>
  </r>
  <r>
    <x v="8"/>
    <x v="3"/>
    <x v="0"/>
    <x v="0"/>
    <x v="1"/>
    <x v="0"/>
    <x v="4"/>
    <n v="189861"/>
  </r>
  <r>
    <x v="8"/>
    <x v="3"/>
    <x v="0"/>
    <x v="0"/>
    <x v="3"/>
    <x v="0"/>
    <x v="4"/>
    <n v="19877890"/>
  </r>
  <r>
    <x v="8"/>
    <x v="3"/>
    <x v="0"/>
    <x v="0"/>
    <x v="18"/>
    <x v="0"/>
    <x v="4"/>
    <n v="67534"/>
  </r>
  <r>
    <x v="8"/>
    <x v="3"/>
    <x v="0"/>
    <x v="0"/>
    <x v="5"/>
    <x v="0"/>
    <x v="4"/>
    <n v="290"/>
  </r>
  <r>
    <x v="8"/>
    <x v="3"/>
    <x v="0"/>
    <x v="1"/>
    <x v="6"/>
    <x v="0"/>
    <x v="4"/>
    <n v="57500"/>
  </r>
  <r>
    <x v="8"/>
    <x v="3"/>
    <x v="0"/>
    <x v="1"/>
    <x v="7"/>
    <x v="0"/>
    <x v="4"/>
    <n v="-556935"/>
  </r>
  <r>
    <x v="8"/>
    <x v="4"/>
    <x v="0"/>
    <x v="0"/>
    <x v="1"/>
    <x v="0"/>
    <x v="4"/>
    <n v="72525"/>
  </r>
  <r>
    <x v="8"/>
    <x v="4"/>
    <x v="0"/>
    <x v="0"/>
    <x v="3"/>
    <x v="0"/>
    <x v="4"/>
    <n v="14842711"/>
  </r>
  <r>
    <x v="8"/>
    <x v="4"/>
    <x v="0"/>
    <x v="0"/>
    <x v="18"/>
    <x v="0"/>
    <x v="4"/>
    <n v="643448"/>
  </r>
  <r>
    <x v="8"/>
    <x v="4"/>
    <x v="0"/>
    <x v="0"/>
    <x v="13"/>
    <x v="0"/>
    <x v="4"/>
    <n v="135"/>
  </r>
  <r>
    <x v="8"/>
    <x v="5"/>
    <x v="0"/>
    <x v="0"/>
    <x v="1"/>
    <x v="0"/>
    <x v="4"/>
    <n v="362645"/>
  </r>
  <r>
    <x v="8"/>
    <x v="5"/>
    <x v="0"/>
    <x v="0"/>
    <x v="3"/>
    <x v="0"/>
    <x v="4"/>
    <n v="30974024"/>
  </r>
  <r>
    <x v="8"/>
    <x v="5"/>
    <x v="0"/>
    <x v="1"/>
    <x v="6"/>
    <x v="0"/>
    <x v="4"/>
    <n v="844589"/>
  </r>
  <r>
    <x v="8"/>
    <x v="5"/>
    <x v="0"/>
    <x v="1"/>
    <x v="7"/>
    <x v="0"/>
    <x v="4"/>
    <n v="-1853045"/>
  </r>
  <r>
    <x v="8"/>
    <x v="6"/>
    <x v="0"/>
    <x v="0"/>
    <x v="1"/>
    <x v="0"/>
    <x v="4"/>
    <n v="1121984"/>
  </r>
  <r>
    <x v="8"/>
    <x v="6"/>
    <x v="0"/>
    <x v="0"/>
    <x v="3"/>
    <x v="0"/>
    <x v="4"/>
    <n v="148528813"/>
  </r>
  <r>
    <x v="8"/>
    <x v="6"/>
    <x v="0"/>
    <x v="0"/>
    <x v="18"/>
    <x v="0"/>
    <x v="4"/>
    <n v="543926"/>
  </r>
  <r>
    <x v="8"/>
    <x v="6"/>
    <x v="0"/>
    <x v="0"/>
    <x v="15"/>
    <x v="0"/>
    <x v="4"/>
    <n v="13"/>
  </r>
  <r>
    <x v="8"/>
    <x v="6"/>
    <x v="0"/>
    <x v="1"/>
    <x v="6"/>
    <x v="0"/>
    <x v="4"/>
    <n v="-7036589"/>
  </r>
  <r>
    <x v="8"/>
    <x v="6"/>
    <x v="0"/>
    <x v="1"/>
    <x v="7"/>
    <x v="0"/>
    <x v="4"/>
    <n v="6832008"/>
  </r>
  <r>
    <x v="9"/>
    <x v="0"/>
    <x v="0"/>
    <x v="0"/>
    <x v="9"/>
    <x v="0"/>
    <x v="4"/>
    <n v="-7199"/>
  </r>
  <r>
    <x v="9"/>
    <x v="0"/>
    <x v="0"/>
    <x v="0"/>
    <x v="2"/>
    <x v="0"/>
    <x v="4"/>
    <n v="-24499"/>
  </r>
  <r>
    <x v="9"/>
    <x v="0"/>
    <x v="0"/>
    <x v="0"/>
    <x v="3"/>
    <x v="0"/>
    <x v="4"/>
    <n v="178478580"/>
  </r>
  <r>
    <x v="9"/>
    <x v="0"/>
    <x v="0"/>
    <x v="0"/>
    <x v="11"/>
    <x v="0"/>
    <x v="4"/>
    <n v="134285"/>
  </r>
  <r>
    <x v="9"/>
    <x v="0"/>
    <x v="0"/>
    <x v="0"/>
    <x v="5"/>
    <x v="0"/>
    <x v="4"/>
    <n v="-19060"/>
  </r>
  <r>
    <x v="9"/>
    <x v="0"/>
    <x v="0"/>
    <x v="1"/>
    <x v="6"/>
    <x v="0"/>
    <x v="4"/>
    <n v="-345353"/>
  </r>
  <r>
    <x v="9"/>
    <x v="0"/>
    <x v="0"/>
    <x v="1"/>
    <x v="7"/>
    <x v="0"/>
    <x v="4"/>
    <n v="-276381"/>
  </r>
  <r>
    <x v="9"/>
    <x v="0"/>
    <x v="0"/>
    <x v="1"/>
    <x v="8"/>
    <x v="0"/>
    <x v="4"/>
    <n v="-4675637"/>
  </r>
  <r>
    <x v="9"/>
    <x v="1"/>
    <x v="0"/>
    <x v="0"/>
    <x v="1"/>
    <x v="0"/>
    <x v="4"/>
    <n v="442395"/>
  </r>
  <r>
    <x v="9"/>
    <x v="1"/>
    <x v="0"/>
    <x v="0"/>
    <x v="3"/>
    <x v="0"/>
    <x v="4"/>
    <n v="80621794"/>
  </r>
  <r>
    <x v="9"/>
    <x v="1"/>
    <x v="0"/>
    <x v="1"/>
    <x v="6"/>
    <x v="0"/>
    <x v="4"/>
    <n v="52"/>
  </r>
  <r>
    <x v="9"/>
    <x v="1"/>
    <x v="0"/>
    <x v="1"/>
    <x v="7"/>
    <x v="0"/>
    <x v="4"/>
    <n v="-2504235"/>
  </r>
  <r>
    <x v="9"/>
    <x v="2"/>
    <x v="0"/>
    <x v="0"/>
    <x v="1"/>
    <x v="0"/>
    <x v="4"/>
    <n v="225808"/>
  </r>
  <r>
    <x v="9"/>
    <x v="2"/>
    <x v="0"/>
    <x v="0"/>
    <x v="3"/>
    <x v="0"/>
    <x v="4"/>
    <n v="26354135"/>
  </r>
  <r>
    <x v="9"/>
    <x v="2"/>
    <x v="0"/>
    <x v="1"/>
    <x v="7"/>
    <x v="0"/>
    <x v="4"/>
    <n v="-105000"/>
  </r>
  <r>
    <x v="9"/>
    <x v="3"/>
    <x v="0"/>
    <x v="0"/>
    <x v="1"/>
    <x v="0"/>
    <x v="4"/>
    <n v="106402"/>
  </r>
  <r>
    <x v="9"/>
    <x v="3"/>
    <x v="0"/>
    <x v="0"/>
    <x v="3"/>
    <x v="0"/>
    <x v="4"/>
    <n v="23210082"/>
  </r>
  <r>
    <x v="9"/>
    <x v="3"/>
    <x v="0"/>
    <x v="0"/>
    <x v="18"/>
    <x v="0"/>
    <x v="4"/>
    <n v="11814"/>
  </r>
  <r>
    <x v="9"/>
    <x v="3"/>
    <x v="0"/>
    <x v="1"/>
    <x v="6"/>
    <x v="0"/>
    <x v="4"/>
    <n v="1104214"/>
  </r>
  <r>
    <x v="9"/>
    <x v="3"/>
    <x v="0"/>
    <x v="1"/>
    <x v="7"/>
    <x v="0"/>
    <x v="4"/>
    <n v="-1575122"/>
  </r>
  <r>
    <x v="9"/>
    <x v="4"/>
    <x v="0"/>
    <x v="0"/>
    <x v="1"/>
    <x v="0"/>
    <x v="4"/>
    <n v="48446"/>
  </r>
  <r>
    <x v="9"/>
    <x v="4"/>
    <x v="0"/>
    <x v="0"/>
    <x v="3"/>
    <x v="0"/>
    <x v="4"/>
    <n v="17338439"/>
  </r>
  <r>
    <x v="9"/>
    <x v="4"/>
    <x v="0"/>
    <x v="0"/>
    <x v="18"/>
    <x v="0"/>
    <x v="4"/>
    <n v="-643448"/>
  </r>
  <r>
    <x v="9"/>
    <x v="4"/>
    <x v="0"/>
    <x v="0"/>
    <x v="13"/>
    <x v="0"/>
    <x v="4"/>
    <n v="210"/>
  </r>
  <r>
    <x v="9"/>
    <x v="4"/>
    <x v="0"/>
    <x v="0"/>
    <x v="5"/>
    <x v="0"/>
    <x v="4"/>
    <n v="-900000"/>
  </r>
  <r>
    <x v="9"/>
    <x v="5"/>
    <x v="0"/>
    <x v="0"/>
    <x v="1"/>
    <x v="0"/>
    <x v="4"/>
    <n v="255424"/>
  </r>
  <r>
    <x v="9"/>
    <x v="5"/>
    <x v="0"/>
    <x v="0"/>
    <x v="3"/>
    <x v="0"/>
    <x v="4"/>
    <n v="33856600"/>
  </r>
  <r>
    <x v="9"/>
    <x v="5"/>
    <x v="0"/>
    <x v="0"/>
    <x v="18"/>
    <x v="0"/>
    <x v="4"/>
    <n v="-60428"/>
  </r>
  <r>
    <x v="9"/>
    <x v="5"/>
    <x v="0"/>
    <x v="1"/>
    <x v="6"/>
    <x v="0"/>
    <x v="4"/>
    <n v="1014508"/>
  </r>
  <r>
    <x v="9"/>
    <x v="5"/>
    <x v="0"/>
    <x v="1"/>
    <x v="7"/>
    <x v="0"/>
    <x v="4"/>
    <n v="-1225977"/>
  </r>
  <r>
    <x v="9"/>
    <x v="6"/>
    <x v="0"/>
    <x v="0"/>
    <x v="0"/>
    <x v="0"/>
    <x v="4"/>
    <n v="366"/>
  </r>
  <r>
    <x v="9"/>
    <x v="6"/>
    <x v="0"/>
    <x v="0"/>
    <x v="1"/>
    <x v="0"/>
    <x v="4"/>
    <n v="999057"/>
  </r>
  <r>
    <x v="9"/>
    <x v="6"/>
    <x v="0"/>
    <x v="0"/>
    <x v="3"/>
    <x v="0"/>
    <x v="4"/>
    <n v="163094047"/>
  </r>
  <r>
    <x v="9"/>
    <x v="6"/>
    <x v="0"/>
    <x v="0"/>
    <x v="4"/>
    <x v="0"/>
    <x v="4"/>
    <n v="-244"/>
  </r>
  <r>
    <x v="9"/>
    <x v="6"/>
    <x v="0"/>
    <x v="0"/>
    <x v="18"/>
    <x v="0"/>
    <x v="4"/>
    <n v="3434879"/>
  </r>
  <r>
    <x v="9"/>
    <x v="6"/>
    <x v="0"/>
    <x v="0"/>
    <x v="15"/>
    <x v="0"/>
    <x v="4"/>
    <n v="3"/>
  </r>
  <r>
    <x v="9"/>
    <x v="6"/>
    <x v="0"/>
    <x v="0"/>
    <x v="13"/>
    <x v="0"/>
    <x v="4"/>
    <n v="-504"/>
  </r>
  <r>
    <x v="9"/>
    <x v="6"/>
    <x v="0"/>
    <x v="1"/>
    <x v="6"/>
    <x v="0"/>
    <x v="4"/>
    <n v="300381"/>
  </r>
  <r>
    <x v="10"/>
    <x v="0"/>
    <x v="0"/>
    <x v="0"/>
    <x v="9"/>
    <x v="0"/>
    <x v="5"/>
    <n v="-96"/>
  </r>
  <r>
    <x v="10"/>
    <x v="0"/>
    <x v="0"/>
    <x v="0"/>
    <x v="1"/>
    <x v="0"/>
    <x v="5"/>
    <n v="431565"/>
  </r>
  <r>
    <x v="10"/>
    <x v="0"/>
    <x v="0"/>
    <x v="0"/>
    <x v="2"/>
    <x v="0"/>
    <x v="5"/>
    <n v="25980"/>
  </r>
  <r>
    <x v="10"/>
    <x v="0"/>
    <x v="0"/>
    <x v="0"/>
    <x v="3"/>
    <x v="0"/>
    <x v="5"/>
    <n v="189441171"/>
  </r>
  <r>
    <x v="10"/>
    <x v="0"/>
    <x v="0"/>
    <x v="0"/>
    <x v="11"/>
    <x v="0"/>
    <x v="5"/>
    <n v="36197"/>
  </r>
  <r>
    <x v="10"/>
    <x v="0"/>
    <x v="0"/>
    <x v="3"/>
    <x v="16"/>
    <x v="1"/>
    <x v="5"/>
    <n v="2000"/>
  </r>
  <r>
    <x v="10"/>
    <x v="0"/>
    <x v="0"/>
    <x v="1"/>
    <x v="6"/>
    <x v="0"/>
    <x v="5"/>
    <n v="-1819056"/>
  </r>
  <r>
    <x v="10"/>
    <x v="0"/>
    <x v="0"/>
    <x v="1"/>
    <x v="7"/>
    <x v="0"/>
    <x v="5"/>
    <n v="-240461"/>
  </r>
  <r>
    <x v="10"/>
    <x v="0"/>
    <x v="0"/>
    <x v="1"/>
    <x v="8"/>
    <x v="0"/>
    <x v="5"/>
    <n v="-4773243"/>
  </r>
  <r>
    <x v="10"/>
    <x v="1"/>
    <x v="0"/>
    <x v="0"/>
    <x v="1"/>
    <x v="0"/>
    <x v="5"/>
    <n v="428389"/>
  </r>
  <r>
    <x v="10"/>
    <x v="1"/>
    <x v="0"/>
    <x v="0"/>
    <x v="3"/>
    <x v="0"/>
    <x v="5"/>
    <n v="85900167"/>
  </r>
  <r>
    <x v="10"/>
    <x v="1"/>
    <x v="0"/>
    <x v="0"/>
    <x v="18"/>
    <x v="0"/>
    <x v="5"/>
    <n v="-400"/>
  </r>
  <r>
    <x v="10"/>
    <x v="1"/>
    <x v="0"/>
    <x v="3"/>
    <x v="16"/>
    <x v="1"/>
    <x v="5"/>
    <n v="811984"/>
  </r>
  <r>
    <x v="10"/>
    <x v="1"/>
    <x v="0"/>
    <x v="1"/>
    <x v="7"/>
    <x v="0"/>
    <x v="5"/>
    <n v="-2529655"/>
  </r>
  <r>
    <x v="10"/>
    <x v="2"/>
    <x v="0"/>
    <x v="0"/>
    <x v="1"/>
    <x v="0"/>
    <x v="5"/>
    <n v="222088"/>
  </r>
  <r>
    <x v="10"/>
    <x v="2"/>
    <x v="0"/>
    <x v="0"/>
    <x v="19"/>
    <x v="0"/>
    <x v="5"/>
    <n v="-125700"/>
  </r>
  <r>
    <x v="10"/>
    <x v="2"/>
    <x v="0"/>
    <x v="0"/>
    <x v="3"/>
    <x v="0"/>
    <x v="5"/>
    <n v="28414164"/>
  </r>
  <r>
    <x v="10"/>
    <x v="2"/>
    <x v="0"/>
    <x v="1"/>
    <x v="7"/>
    <x v="0"/>
    <x v="5"/>
    <n v="-150000"/>
  </r>
  <r>
    <x v="10"/>
    <x v="3"/>
    <x v="0"/>
    <x v="0"/>
    <x v="1"/>
    <x v="0"/>
    <x v="5"/>
    <n v="69036"/>
  </r>
  <r>
    <x v="10"/>
    <x v="3"/>
    <x v="0"/>
    <x v="0"/>
    <x v="3"/>
    <x v="0"/>
    <x v="5"/>
    <n v="25365289"/>
  </r>
  <r>
    <x v="10"/>
    <x v="3"/>
    <x v="0"/>
    <x v="1"/>
    <x v="6"/>
    <x v="0"/>
    <x v="5"/>
    <n v="1273784"/>
  </r>
  <r>
    <x v="10"/>
    <x v="3"/>
    <x v="0"/>
    <x v="1"/>
    <x v="7"/>
    <x v="0"/>
    <x v="5"/>
    <n v="-2213583"/>
  </r>
  <r>
    <x v="10"/>
    <x v="4"/>
    <x v="0"/>
    <x v="0"/>
    <x v="9"/>
    <x v="0"/>
    <x v="5"/>
    <n v="1539"/>
  </r>
  <r>
    <x v="10"/>
    <x v="4"/>
    <x v="0"/>
    <x v="0"/>
    <x v="0"/>
    <x v="0"/>
    <x v="5"/>
    <n v="6293"/>
  </r>
  <r>
    <x v="10"/>
    <x v="4"/>
    <x v="0"/>
    <x v="0"/>
    <x v="2"/>
    <x v="0"/>
    <x v="5"/>
    <n v="21761"/>
  </r>
  <r>
    <x v="10"/>
    <x v="4"/>
    <x v="0"/>
    <x v="0"/>
    <x v="3"/>
    <x v="0"/>
    <x v="5"/>
    <n v="18790350"/>
  </r>
  <r>
    <x v="10"/>
    <x v="4"/>
    <x v="0"/>
    <x v="0"/>
    <x v="4"/>
    <x v="0"/>
    <x v="5"/>
    <n v="3981"/>
  </r>
  <r>
    <x v="10"/>
    <x v="4"/>
    <x v="0"/>
    <x v="0"/>
    <x v="13"/>
    <x v="0"/>
    <x v="5"/>
    <n v="-6"/>
  </r>
  <r>
    <x v="10"/>
    <x v="4"/>
    <x v="0"/>
    <x v="0"/>
    <x v="5"/>
    <x v="0"/>
    <x v="5"/>
    <n v="-5445744"/>
  </r>
  <r>
    <x v="10"/>
    <x v="4"/>
    <x v="0"/>
    <x v="1"/>
    <x v="7"/>
    <x v="0"/>
    <x v="5"/>
    <n v="-400000"/>
  </r>
  <r>
    <x v="10"/>
    <x v="5"/>
    <x v="0"/>
    <x v="0"/>
    <x v="1"/>
    <x v="0"/>
    <x v="5"/>
    <n v="205801"/>
  </r>
  <r>
    <x v="10"/>
    <x v="5"/>
    <x v="0"/>
    <x v="0"/>
    <x v="2"/>
    <x v="0"/>
    <x v="5"/>
    <n v="42000"/>
  </r>
  <r>
    <x v="10"/>
    <x v="5"/>
    <x v="0"/>
    <x v="0"/>
    <x v="3"/>
    <x v="0"/>
    <x v="5"/>
    <n v="37813414"/>
  </r>
  <r>
    <x v="10"/>
    <x v="5"/>
    <x v="0"/>
    <x v="1"/>
    <x v="6"/>
    <x v="0"/>
    <x v="5"/>
    <n v="1209938"/>
  </r>
  <r>
    <x v="10"/>
    <x v="5"/>
    <x v="0"/>
    <x v="1"/>
    <x v="7"/>
    <x v="0"/>
    <x v="5"/>
    <n v="-1313021"/>
  </r>
  <r>
    <x v="10"/>
    <x v="6"/>
    <x v="0"/>
    <x v="0"/>
    <x v="1"/>
    <x v="0"/>
    <x v="5"/>
    <n v="727411"/>
  </r>
  <r>
    <x v="10"/>
    <x v="6"/>
    <x v="0"/>
    <x v="0"/>
    <x v="3"/>
    <x v="0"/>
    <x v="5"/>
    <n v="182816724"/>
  </r>
  <r>
    <x v="10"/>
    <x v="6"/>
    <x v="0"/>
    <x v="0"/>
    <x v="18"/>
    <x v="0"/>
    <x v="5"/>
    <n v="611688"/>
  </r>
  <r>
    <x v="10"/>
    <x v="6"/>
    <x v="0"/>
    <x v="1"/>
    <x v="7"/>
    <x v="0"/>
    <x v="5"/>
    <n v="-88047"/>
  </r>
  <r>
    <x v="11"/>
    <x v="0"/>
    <x v="0"/>
    <x v="0"/>
    <x v="9"/>
    <x v="0"/>
    <x v="5"/>
    <n v="-3151"/>
  </r>
  <r>
    <x v="11"/>
    <x v="0"/>
    <x v="0"/>
    <x v="0"/>
    <x v="1"/>
    <x v="0"/>
    <x v="5"/>
    <n v="448402"/>
  </r>
  <r>
    <x v="11"/>
    <x v="0"/>
    <x v="0"/>
    <x v="0"/>
    <x v="2"/>
    <x v="0"/>
    <x v="5"/>
    <n v="-14905"/>
  </r>
  <r>
    <x v="11"/>
    <x v="0"/>
    <x v="0"/>
    <x v="0"/>
    <x v="3"/>
    <x v="0"/>
    <x v="5"/>
    <n v="209151521"/>
  </r>
  <r>
    <x v="11"/>
    <x v="0"/>
    <x v="0"/>
    <x v="0"/>
    <x v="11"/>
    <x v="0"/>
    <x v="5"/>
    <n v="-36041"/>
  </r>
  <r>
    <x v="11"/>
    <x v="0"/>
    <x v="0"/>
    <x v="3"/>
    <x v="16"/>
    <x v="1"/>
    <x v="5"/>
    <n v="-2000"/>
  </r>
  <r>
    <x v="11"/>
    <x v="0"/>
    <x v="0"/>
    <x v="1"/>
    <x v="6"/>
    <x v="0"/>
    <x v="5"/>
    <n v="13230"/>
  </r>
  <r>
    <x v="11"/>
    <x v="0"/>
    <x v="0"/>
    <x v="1"/>
    <x v="7"/>
    <x v="0"/>
    <x v="5"/>
    <n v="-183995"/>
  </r>
  <r>
    <x v="11"/>
    <x v="0"/>
    <x v="0"/>
    <x v="1"/>
    <x v="8"/>
    <x v="0"/>
    <x v="5"/>
    <n v="-4588669"/>
  </r>
  <r>
    <x v="11"/>
    <x v="1"/>
    <x v="0"/>
    <x v="0"/>
    <x v="1"/>
    <x v="0"/>
    <x v="5"/>
    <n v="474686"/>
  </r>
  <r>
    <x v="11"/>
    <x v="1"/>
    <x v="0"/>
    <x v="0"/>
    <x v="3"/>
    <x v="0"/>
    <x v="5"/>
    <n v="95546676"/>
  </r>
  <r>
    <x v="11"/>
    <x v="1"/>
    <x v="0"/>
    <x v="0"/>
    <x v="20"/>
    <x v="0"/>
    <x v="5"/>
    <n v="34"/>
  </r>
  <r>
    <x v="11"/>
    <x v="1"/>
    <x v="0"/>
    <x v="3"/>
    <x v="16"/>
    <x v="1"/>
    <x v="5"/>
    <n v="4466160"/>
  </r>
  <r>
    <x v="11"/>
    <x v="1"/>
    <x v="0"/>
    <x v="1"/>
    <x v="6"/>
    <x v="0"/>
    <x v="5"/>
    <n v="1331497"/>
  </r>
  <r>
    <x v="11"/>
    <x v="1"/>
    <x v="0"/>
    <x v="1"/>
    <x v="7"/>
    <x v="0"/>
    <x v="5"/>
    <n v="-3825049"/>
  </r>
  <r>
    <x v="11"/>
    <x v="2"/>
    <x v="0"/>
    <x v="0"/>
    <x v="1"/>
    <x v="0"/>
    <x v="5"/>
    <n v="361668"/>
  </r>
  <r>
    <x v="11"/>
    <x v="2"/>
    <x v="0"/>
    <x v="0"/>
    <x v="19"/>
    <x v="0"/>
    <x v="5"/>
    <n v="-27600"/>
  </r>
  <r>
    <x v="11"/>
    <x v="2"/>
    <x v="0"/>
    <x v="0"/>
    <x v="3"/>
    <x v="0"/>
    <x v="5"/>
    <n v="30475391"/>
  </r>
  <r>
    <x v="11"/>
    <x v="2"/>
    <x v="0"/>
    <x v="1"/>
    <x v="7"/>
    <x v="0"/>
    <x v="5"/>
    <n v="-105000"/>
  </r>
  <r>
    <x v="11"/>
    <x v="3"/>
    <x v="0"/>
    <x v="0"/>
    <x v="1"/>
    <x v="0"/>
    <x v="5"/>
    <n v="201749"/>
  </r>
  <r>
    <x v="11"/>
    <x v="3"/>
    <x v="0"/>
    <x v="0"/>
    <x v="3"/>
    <x v="0"/>
    <x v="5"/>
    <n v="28270916"/>
  </r>
  <r>
    <x v="11"/>
    <x v="3"/>
    <x v="0"/>
    <x v="1"/>
    <x v="6"/>
    <x v="0"/>
    <x v="5"/>
    <n v="892694"/>
  </r>
  <r>
    <x v="11"/>
    <x v="3"/>
    <x v="0"/>
    <x v="1"/>
    <x v="7"/>
    <x v="0"/>
    <x v="5"/>
    <n v="-1699981"/>
  </r>
  <r>
    <x v="11"/>
    <x v="4"/>
    <x v="0"/>
    <x v="0"/>
    <x v="9"/>
    <x v="0"/>
    <x v="5"/>
    <n v="175"/>
  </r>
  <r>
    <x v="11"/>
    <x v="4"/>
    <x v="0"/>
    <x v="0"/>
    <x v="1"/>
    <x v="0"/>
    <x v="5"/>
    <n v="66549"/>
  </r>
  <r>
    <x v="11"/>
    <x v="4"/>
    <x v="0"/>
    <x v="0"/>
    <x v="10"/>
    <x v="0"/>
    <x v="5"/>
    <n v="800"/>
  </r>
  <r>
    <x v="11"/>
    <x v="4"/>
    <x v="0"/>
    <x v="0"/>
    <x v="2"/>
    <x v="0"/>
    <x v="5"/>
    <n v="129167"/>
  </r>
  <r>
    <x v="11"/>
    <x v="4"/>
    <x v="0"/>
    <x v="0"/>
    <x v="3"/>
    <x v="0"/>
    <x v="5"/>
    <n v="20289557"/>
  </r>
  <r>
    <x v="11"/>
    <x v="4"/>
    <x v="0"/>
    <x v="0"/>
    <x v="4"/>
    <x v="0"/>
    <x v="5"/>
    <n v="-670"/>
  </r>
  <r>
    <x v="11"/>
    <x v="4"/>
    <x v="0"/>
    <x v="0"/>
    <x v="13"/>
    <x v="0"/>
    <x v="5"/>
    <n v="-261"/>
  </r>
  <r>
    <x v="11"/>
    <x v="4"/>
    <x v="0"/>
    <x v="0"/>
    <x v="5"/>
    <x v="0"/>
    <x v="5"/>
    <n v="5450341"/>
  </r>
  <r>
    <x v="11"/>
    <x v="4"/>
    <x v="0"/>
    <x v="3"/>
    <x v="16"/>
    <x v="1"/>
    <x v="5"/>
    <n v="19637"/>
  </r>
  <r>
    <x v="11"/>
    <x v="4"/>
    <x v="0"/>
    <x v="1"/>
    <x v="6"/>
    <x v="0"/>
    <x v="5"/>
    <n v="414664"/>
  </r>
  <r>
    <x v="11"/>
    <x v="4"/>
    <x v="0"/>
    <x v="1"/>
    <x v="7"/>
    <x v="0"/>
    <x v="5"/>
    <n v="-1027385"/>
  </r>
  <r>
    <x v="11"/>
    <x v="5"/>
    <x v="0"/>
    <x v="0"/>
    <x v="1"/>
    <x v="0"/>
    <x v="5"/>
    <n v="348474"/>
  </r>
  <r>
    <x v="11"/>
    <x v="5"/>
    <x v="0"/>
    <x v="0"/>
    <x v="3"/>
    <x v="0"/>
    <x v="5"/>
    <n v="41565571"/>
  </r>
  <r>
    <x v="11"/>
    <x v="5"/>
    <x v="0"/>
    <x v="1"/>
    <x v="6"/>
    <x v="0"/>
    <x v="5"/>
    <n v="1770089"/>
  </r>
  <r>
    <x v="11"/>
    <x v="5"/>
    <x v="0"/>
    <x v="1"/>
    <x v="7"/>
    <x v="0"/>
    <x v="5"/>
    <n v="-1193137"/>
  </r>
  <r>
    <x v="11"/>
    <x v="6"/>
    <x v="0"/>
    <x v="0"/>
    <x v="1"/>
    <x v="0"/>
    <x v="5"/>
    <n v="1090583"/>
  </r>
  <r>
    <x v="11"/>
    <x v="6"/>
    <x v="0"/>
    <x v="0"/>
    <x v="3"/>
    <x v="0"/>
    <x v="5"/>
    <n v="200603281"/>
  </r>
  <r>
    <x v="11"/>
    <x v="6"/>
    <x v="0"/>
    <x v="0"/>
    <x v="4"/>
    <x v="0"/>
    <x v="5"/>
    <n v="-13"/>
  </r>
  <r>
    <x v="11"/>
    <x v="6"/>
    <x v="0"/>
    <x v="0"/>
    <x v="18"/>
    <x v="0"/>
    <x v="5"/>
    <n v="9316"/>
  </r>
  <r>
    <x v="11"/>
    <x v="6"/>
    <x v="0"/>
    <x v="1"/>
    <x v="7"/>
    <x v="0"/>
    <x v="5"/>
    <n v="-224232"/>
  </r>
  <r>
    <x v="12"/>
    <x v="0"/>
    <x v="0"/>
    <x v="0"/>
    <x v="9"/>
    <x v="0"/>
    <x v="6"/>
    <n v="-96.29"/>
  </r>
  <r>
    <x v="12"/>
    <x v="0"/>
    <x v="0"/>
    <x v="0"/>
    <x v="0"/>
    <x v="0"/>
    <x v="6"/>
    <n v="-14.47"/>
  </r>
  <r>
    <x v="12"/>
    <x v="0"/>
    <x v="0"/>
    <x v="0"/>
    <x v="1"/>
    <x v="0"/>
    <x v="6"/>
    <n v="517165"/>
  </r>
  <r>
    <x v="12"/>
    <x v="0"/>
    <x v="0"/>
    <x v="0"/>
    <x v="2"/>
    <x v="0"/>
    <x v="6"/>
    <n v="63026.880000000005"/>
  </r>
  <r>
    <x v="12"/>
    <x v="0"/>
    <x v="0"/>
    <x v="0"/>
    <x v="3"/>
    <x v="0"/>
    <x v="6"/>
    <n v="229610213.10000002"/>
  </r>
  <r>
    <x v="12"/>
    <x v="0"/>
    <x v="0"/>
    <x v="0"/>
    <x v="11"/>
    <x v="0"/>
    <x v="6"/>
    <n v="28196.280000000002"/>
  </r>
  <r>
    <x v="12"/>
    <x v="0"/>
    <x v="0"/>
    <x v="1"/>
    <x v="6"/>
    <x v="0"/>
    <x v="6"/>
    <n v="3014"/>
  </r>
  <r>
    <x v="12"/>
    <x v="0"/>
    <x v="0"/>
    <x v="1"/>
    <x v="7"/>
    <x v="0"/>
    <x v="6"/>
    <n v="-40582.920000000006"/>
  </r>
  <r>
    <x v="12"/>
    <x v="0"/>
    <x v="0"/>
    <x v="1"/>
    <x v="8"/>
    <x v="0"/>
    <x v="6"/>
    <n v="-4426372.63"/>
  </r>
  <r>
    <x v="12"/>
    <x v="1"/>
    <x v="0"/>
    <x v="0"/>
    <x v="1"/>
    <x v="0"/>
    <x v="6"/>
    <n v="995704.69000000006"/>
  </r>
  <r>
    <x v="12"/>
    <x v="1"/>
    <x v="0"/>
    <x v="0"/>
    <x v="3"/>
    <x v="0"/>
    <x v="6"/>
    <n v="104361023.22"/>
  </r>
  <r>
    <x v="12"/>
    <x v="1"/>
    <x v="0"/>
    <x v="0"/>
    <x v="20"/>
    <x v="0"/>
    <x v="6"/>
    <n v="-33.5"/>
  </r>
  <r>
    <x v="12"/>
    <x v="1"/>
    <x v="0"/>
    <x v="1"/>
    <x v="7"/>
    <x v="0"/>
    <x v="6"/>
    <n v="-2642118.94"/>
  </r>
  <r>
    <x v="12"/>
    <x v="2"/>
    <x v="0"/>
    <x v="0"/>
    <x v="1"/>
    <x v="0"/>
    <x v="6"/>
    <n v="617126.14"/>
  </r>
  <r>
    <x v="12"/>
    <x v="2"/>
    <x v="0"/>
    <x v="0"/>
    <x v="19"/>
    <x v="0"/>
    <x v="6"/>
    <n v="-46700"/>
  </r>
  <r>
    <x v="12"/>
    <x v="2"/>
    <x v="0"/>
    <x v="0"/>
    <x v="3"/>
    <x v="0"/>
    <x v="6"/>
    <n v="32657972.760000002"/>
  </r>
  <r>
    <x v="12"/>
    <x v="2"/>
    <x v="0"/>
    <x v="1"/>
    <x v="7"/>
    <x v="0"/>
    <x v="6"/>
    <n v="-210334"/>
  </r>
  <r>
    <x v="12"/>
    <x v="3"/>
    <x v="0"/>
    <x v="0"/>
    <x v="1"/>
    <x v="0"/>
    <x v="6"/>
    <n v="306606.71000000002"/>
  </r>
  <r>
    <x v="12"/>
    <x v="3"/>
    <x v="0"/>
    <x v="0"/>
    <x v="3"/>
    <x v="0"/>
    <x v="6"/>
    <n v="30844595.91"/>
  </r>
  <r>
    <x v="12"/>
    <x v="3"/>
    <x v="0"/>
    <x v="0"/>
    <x v="18"/>
    <x v="0"/>
    <x v="6"/>
    <n v="12539"/>
  </r>
  <r>
    <x v="12"/>
    <x v="3"/>
    <x v="0"/>
    <x v="0"/>
    <x v="5"/>
    <x v="0"/>
    <x v="6"/>
    <n v="-9468.9600000000009"/>
  </r>
  <r>
    <x v="12"/>
    <x v="3"/>
    <x v="0"/>
    <x v="1"/>
    <x v="7"/>
    <x v="0"/>
    <x v="6"/>
    <n v="-583918.31000000006"/>
  </r>
  <r>
    <x v="12"/>
    <x v="4"/>
    <x v="0"/>
    <x v="0"/>
    <x v="9"/>
    <x v="0"/>
    <x v="6"/>
    <n v="301.25"/>
  </r>
  <r>
    <x v="12"/>
    <x v="4"/>
    <x v="0"/>
    <x v="0"/>
    <x v="0"/>
    <x v="0"/>
    <x v="6"/>
    <n v="150"/>
  </r>
  <r>
    <x v="12"/>
    <x v="4"/>
    <x v="0"/>
    <x v="0"/>
    <x v="1"/>
    <x v="0"/>
    <x v="6"/>
    <n v="282667.51"/>
  </r>
  <r>
    <x v="12"/>
    <x v="4"/>
    <x v="0"/>
    <x v="0"/>
    <x v="2"/>
    <x v="0"/>
    <x v="6"/>
    <n v="22157.31"/>
  </r>
  <r>
    <x v="12"/>
    <x v="4"/>
    <x v="0"/>
    <x v="0"/>
    <x v="3"/>
    <x v="0"/>
    <x v="6"/>
    <n v="20313496.93"/>
  </r>
  <r>
    <x v="12"/>
    <x v="4"/>
    <x v="0"/>
    <x v="0"/>
    <x v="13"/>
    <x v="0"/>
    <x v="6"/>
    <n v="-0.27"/>
  </r>
  <r>
    <x v="12"/>
    <x v="4"/>
    <x v="0"/>
    <x v="0"/>
    <x v="5"/>
    <x v="0"/>
    <x v="6"/>
    <n v="149980.11000000002"/>
  </r>
  <r>
    <x v="12"/>
    <x v="4"/>
    <x v="0"/>
    <x v="3"/>
    <x v="16"/>
    <x v="1"/>
    <x v="6"/>
    <n v="5070"/>
  </r>
  <r>
    <x v="12"/>
    <x v="4"/>
    <x v="0"/>
    <x v="3"/>
    <x v="21"/>
    <x v="1"/>
    <x v="6"/>
    <n v="18006.150000000001"/>
  </r>
  <r>
    <x v="12"/>
    <x v="4"/>
    <x v="0"/>
    <x v="1"/>
    <x v="6"/>
    <x v="0"/>
    <x v="6"/>
    <n v="141908.57"/>
  </r>
  <r>
    <x v="12"/>
    <x v="4"/>
    <x v="0"/>
    <x v="1"/>
    <x v="7"/>
    <x v="0"/>
    <x v="6"/>
    <n v="-845324.76"/>
  </r>
  <r>
    <x v="12"/>
    <x v="5"/>
    <x v="0"/>
    <x v="0"/>
    <x v="1"/>
    <x v="0"/>
    <x v="6"/>
    <n v="613711.35999999999"/>
  </r>
  <r>
    <x v="12"/>
    <x v="5"/>
    <x v="0"/>
    <x v="0"/>
    <x v="3"/>
    <x v="0"/>
    <x v="6"/>
    <n v="43991825.060000002"/>
  </r>
  <r>
    <x v="12"/>
    <x v="5"/>
    <x v="0"/>
    <x v="1"/>
    <x v="6"/>
    <x v="0"/>
    <x v="6"/>
    <n v="906936.35000000009"/>
  </r>
  <r>
    <x v="12"/>
    <x v="5"/>
    <x v="0"/>
    <x v="1"/>
    <x v="7"/>
    <x v="0"/>
    <x v="6"/>
    <n v="-1015673"/>
  </r>
  <r>
    <x v="12"/>
    <x v="6"/>
    <x v="0"/>
    <x v="0"/>
    <x v="1"/>
    <x v="0"/>
    <x v="6"/>
    <n v="2361682.37"/>
  </r>
  <r>
    <x v="12"/>
    <x v="6"/>
    <x v="0"/>
    <x v="0"/>
    <x v="3"/>
    <x v="0"/>
    <x v="6"/>
    <n v="208940351.79000002"/>
  </r>
  <r>
    <x v="12"/>
    <x v="6"/>
    <x v="0"/>
    <x v="0"/>
    <x v="18"/>
    <x v="0"/>
    <x v="6"/>
    <n v="1892712"/>
  </r>
  <r>
    <x v="12"/>
    <x v="6"/>
    <x v="0"/>
    <x v="0"/>
    <x v="15"/>
    <x v="0"/>
    <x v="6"/>
    <n v="16257.480000000001"/>
  </r>
  <r>
    <x v="12"/>
    <x v="6"/>
    <x v="0"/>
    <x v="0"/>
    <x v="13"/>
    <x v="0"/>
    <x v="6"/>
    <n v="-12.26"/>
  </r>
  <r>
    <x v="12"/>
    <x v="6"/>
    <x v="0"/>
    <x v="1"/>
    <x v="7"/>
    <x v="0"/>
    <x v="6"/>
    <n v="-106045.51000000001"/>
  </r>
  <r>
    <x v="13"/>
    <x v="0"/>
    <x v="0"/>
    <x v="0"/>
    <x v="9"/>
    <x v="0"/>
    <x v="6"/>
    <n v="-96.27000000000001"/>
  </r>
  <r>
    <x v="13"/>
    <x v="0"/>
    <x v="0"/>
    <x v="0"/>
    <x v="0"/>
    <x v="0"/>
    <x v="6"/>
    <n v="14.47"/>
  </r>
  <r>
    <x v="13"/>
    <x v="0"/>
    <x v="0"/>
    <x v="0"/>
    <x v="1"/>
    <x v="0"/>
    <x v="6"/>
    <n v="541366"/>
  </r>
  <r>
    <x v="13"/>
    <x v="0"/>
    <x v="0"/>
    <x v="0"/>
    <x v="2"/>
    <x v="0"/>
    <x v="6"/>
    <n v="-42433.01"/>
  </r>
  <r>
    <x v="13"/>
    <x v="0"/>
    <x v="0"/>
    <x v="0"/>
    <x v="3"/>
    <x v="0"/>
    <x v="6"/>
    <n v="254523028.54000002"/>
  </r>
  <r>
    <x v="13"/>
    <x v="0"/>
    <x v="0"/>
    <x v="0"/>
    <x v="11"/>
    <x v="0"/>
    <x v="6"/>
    <n v="-27830.79"/>
  </r>
  <r>
    <x v="13"/>
    <x v="0"/>
    <x v="0"/>
    <x v="0"/>
    <x v="5"/>
    <x v="0"/>
    <x v="6"/>
    <n v="94980.61"/>
  </r>
  <r>
    <x v="13"/>
    <x v="0"/>
    <x v="0"/>
    <x v="1"/>
    <x v="6"/>
    <x v="0"/>
    <x v="6"/>
    <n v="23.62"/>
  </r>
  <r>
    <x v="13"/>
    <x v="0"/>
    <x v="0"/>
    <x v="1"/>
    <x v="7"/>
    <x v="0"/>
    <x v="6"/>
    <n v="-39747"/>
  </r>
  <r>
    <x v="13"/>
    <x v="0"/>
    <x v="0"/>
    <x v="1"/>
    <x v="8"/>
    <x v="0"/>
    <x v="6"/>
    <n v="-4516993.32"/>
  </r>
  <r>
    <x v="13"/>
    <x v="1"/>
    <x v="0"/>
    <x v="0"/>
    <x v="1"/>
    <x v="0"/>
    <x v="6"/>
    <n v="793421.95000000007"/>
  </r>
  <r>
    <x v="13"/>
    <x v="1"/>
    <x v="0"/>
    <x v="0"/>
    <x v="2"/>
    <x v="0"/>
    <x v="6"/>
    <n v="-24.1"/>
  </r>
  <r>
    <x v="13"/>
    <x v="1"/>
    <x v="0"/>
    <x v="0"/>
    <x v="3"/>
    <x v="0"/>
    <x v="6"/>
    <n v="109569766.10000001"/>
  </r>
  <r>
    <x v="13"/>
    <x v="1"/>
    <x v="0"/>
    <x v="0"/>
    <x v="11"/>
    <x v="0"/>
    <x v="6"/>
    <n v="602.5"/>
  </r>
  <r>
    <x v="13"/>
    <x v="1"/>
    <x v="0"/>
    <x v="0"/>
    <x v="5"/>
    <x v="0"/>
    <x v="6"/>
    <n v="150"/>
  </r>
  <r>
    <x v="13"/>
    <x v="1"/>
    <x v="0"/>
    <x v="3"/>
    <x v="16"/>
    <x v="1"/>
    <x v="6"/>
    <n v="729.30000000000007"/>
  </r>
  <r>
    <x v="13"/>
    <x v="1"/>
    <x v="0"/>
    <x v="1"/>
    <x v="6"/>
    <x v="0"/>
    <x v="6"/>
    <n v="18418530.48"/>
  </r>
  <r>
    <x v="13"/>
    <x v="1"/>
    <x v="0"/>
    <x v="1"/>
    <x v="7"/>
    <x v="0"/>
    <x v="6"/>
    <n v="-21080885.300000001"/>
  </r>
  <r>
    <x v="13"/>
    <x v="2"/>
    <x v="0"/>
    <x v="0"/>
    <x v="1"/>
    <x v="0"/>
    <x v="6"/>
    <n v="807446.93"/>
  </r>
  <r>
    <x v="13"/>
    <x v="2"/>
    <x v="0"/>
    <x v="0"/>
    <x v="3"/>
    <x v="0"/>
    <x v="6"/>
    <n v="35166799.920000002"/>
  </r>
  <r>
    <x v="13"/>
    <x v="3"/>
    <x v="0"/>
    <x v="0"/>
    <x v="1"/>
    <x v="0"/>
    <x v="6"/>
    <n v="447349.76000000001"/>
  </r>
  <r>
    <x v="13"/>
    <x v="3"/>
    <x v="0"/>
    <x v="0"/>
    <x v="3"/>
    <x v="0"/>
    <x v="6"/>
    <n v="33222105.640000001"/>
  </r>
  <r>
    <x v="13"/>
    <x v="3"/>
    <x v="0"/>
    <x v="1"/>
    <x v="7"/>
    <x v="0"/>
    <x v="6"/>
    <n v="-450168.76"/>
  </r>
  <r>
    <x v="13"/>
    <x v="4"/>
    <x v="0"/>
    <x v="0"/>
    <x v="9"/>
    <x v="0"/>
    <x v="6"/>
    <n v="300"/>
  </r>
  <r>
    <x v="13"/>
    <x v="4"/>
    <x v="0"/>
    <x v="0"/>
    <x v="0"/>
    <x v="0"/>
    <x v="6"/>
    <n v="29"/>
  </r>
  <r>
    <x v="13"/>
    <x v="4"/>
    <x v="0"/>
    <x v="0"/>
    <x v="1"/>
    <x v="0"/>
    <x v="6"/>
    <n v="385512.89"/>
  </r>
  <r>
    <x v="13"/>
    <x v="4"/>
    <x v="0"/>
    <x v="0"/>
    <x v="2"/>
    <x v="0"/>
    <x v="6"/>
    <n v="136.5"/>
  </r>
  <r>
    <x v="13"/>
    <x v="4"/>
    <x v="0"/>
    <x v="0"/>
    <x v="3"/>
    <x v="0"/>
    <x v="6"/>
    <n v="20811541.760000002"/>
  </r>
  <r>
    <x v="13"/>
    <x v="4"/>
    <x v="0"/>
    <x v="0"/>
    <x v="4"/>
    <x v="0"/>
    <x v="6"/>
    <n v="375"/>
  </r>
  <r>
    <x v="13"/>
    <x v="4"/>
    <x v="0"/>
    <x v="3"/>
    <x v="16"/>
    <x v="1"/>
    <x v="6"/>
    <n v="7462"/>
  </r>
  <r>
    <x v="13"/>
    <x v="4"/>
    <x v="0"/>
    <x v="1"/>
    <x v="6"/>
    <x v="0"/>
    <x v="6"/>
    <n v="6.0000000000000005E-2"/>
  </r>
  <r>
    <x v="13"/>
    <x v="4"/>
    <x v="0"/>
    <x v="1"/>
    <x v="7"/>
    <x v="0"/>
    <x v="6"/>
    <n v="-2.3200000000000003"/>
  </r>
  <r>
    <x v="13"/>
    <x v="5"/>
    <x v="0"/>
    <x v="0"/>
    <x v="1"/>
    <x v="0"/>
    <x v="6"/>
    <n v="922265.52"/>
  </r>
  <r>
    <x v="13"/>
    <x v="5"/>
    <x v="0"/>
    <x v="0"/>
    <x v="3"/>
    <x v="0"/>
    <x v="6"/>
    <n v="47021984.080000006"/>
  </r>
  <r>
    <x v="13"/>
    <x v="5"/>
    <x v="0"/>
    <x v="3"/>
    <x v="16"/>
    <x v="1"/>
    <x v="6"/>
    <n v="66286.850000000006"/>
  </r>
  <r>
    <x v="13"/>
    <x v="5"/>
    <x v="0"/>
    <x v="1"/>
    <x v="6"/>
    <x v="0"/>
    <x v="6"/>
    <n v="1159727.9300000002"/>
  </r>
  <r>
    <x v="13"/>
    <x v="5"/>
    <x v="0"/>
    <x v="1"/>
    <x v="7"/>
    <x v="0"/>
    <x v="6"/>
    <n v="-1400444.6800000002"/>
  </r>
  <r>
    <x v="13"/>
    <x v="6"/>
    <x v="0"/>
    <x v="0"/>
    <x v="1"/>
    <x v="0"/>
    <x v="6"/>
    <n v="4059970.22"/>
  </r>
  <r>
    <x v="13"/>
    <x v="6"/>
    <x v="0"/>
    <x v="0"/>
    <x v="3"/>
    <x v="0"/>
    <x v="6"/>
    <n v="222833346.86000001"/>
  </r>
  <r>
    <x v="13"/>
    <x v="6"/>
    <x v="0"/>
    <x v="0"/>
    <x v="18"/>
    <x v="0"/>
    <x v="6"/>
    <n v="76140.17"/>
  </r>
  <r>
    <x v="13"/>
    <x v="6"/>
    <x v="0"/>
    <x v="0"/>
    <x v="15"/>
    <x v="0"/>
    <x v="6"/>
    <n v="676.82"/>
  </r>
  <r>
    <x v="13"/>
    <x v="6"/>
    <x v="0"/>
    <x v="0"/>
    <x v="5"/>
    <x v="0"/>
    <x v="6"/>
    <n v="121"/>
  </r>
  <r>
    <x v="13"/>
    <x v="6"/>
    <x v="0"/>
    <x v="1"/>
    <x v="7"/>
    <x v="0"/>
    <x v="6"/>
    <n v="-284131.55"/>
  </r>
  <r>
    <x v="13"/>
    <x v="6"/>
    <x v="0"/>
    <x v="1"/>
    <x v="22"/>
    <x v="0"/>
    <x v="6"/>
    <n v="-31573"/>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3">
  <r>
    <x v="0"/>
    <x v="0"/>
    <x v="0"/>
    <x v="0"/>
    <x v="0"/>
    <x v="0"/>
    <n v="138000"/>
  </r>
  <r>
    <x v="1"/>
    <x v="0"/>
    <x v="1"/>
    <x v="0"/>
    <x v="1"/>
    <x v="1"/>
    <n v="3446122.15"/>
  </r>
  <r>
    <x v="0"/>
    <x v="0"/>
    <x v="1"/>
    <x v="0"/>
    <x v="2"/>
    <x v="2"/>
    <n v="-330536.81"/>
  </r>
  <r>
    <x v="1"/>
    <x v="0"/>
    <x v="2"/>
    <x v="0"/>
    <x v="3"/>
    <x v="3"/>
    <n v="693437.5"/>
  </r>
  <r>
    <x v="0"/>
    <x v="0"/>
    <x v="1"/>
    <x v="0"/>
    <x v="1"/>
    <x v="4"/>
    <n v="107272.58"/>
  </r>
  <r>
    <x v="1"/>
    <x v="0"/>
    <x v="1"/>
    <x v="0"/>
    <x v="4"/>
    <x v="5"/>
    <n v="145536.37"/>
  </r>
  <r>
    <x v="1"/>
    <x v="0"/>
    <x v="3"/>
    <x v="0"/>
    <x v="2"/>
    <x v="6"/>
    <n v="143308981.40000001"/>
  </r>
  <r>
    <x v="0"/>
    <x v="0"/>
    <x v="1"/>
    <x v="0"/>
    <x v="1"/>
    <x v="7"/>
    <n v="34709.040000000001"/>
  </r>
  <r>
    <x v="0"/>
    <x v="0"/>
    <x v="1"/>
    <x v="0"/>
    <x v="1"/>
    <x v="8"/>
    <n v="104346.53"/>
  </r>
  <r>
    <x v="0"/>
    <x v="0"/>
    <x v="1"/>
    <x v="0"/>
    <x v="5"/>
    <x v="3"/>
    <n v="10097.34"/>
  </r>
  <r>
    <x v="0"/>
    <x v="0"/>
    <x v="1"/>
    <x v="0"/>
    <x v="6"/>
    <x v="2"/>
    <n v="7370.33"/>
  </r>
  <r>
    <x v="1"/>
    <x v="0"/>
    <x v="1"/>
    <x v="0"/>
    <x v="7"/>
    <x v="9"/>
    <n v="74524.13"/>
  </r>
  <r>
    <x v="0"/>
    <x v="0"/>
    <x v="1"/>
    <x v="0"/>
    <x v="1"/>
    <x v="10"/>
    <n v="114442.42"/>
  </r>
  <r>
    <x v="0"/>
    <x v="0"/>
    <x v="1"/>
    <x v="0"/>
    <x v="6"/>
    <x v="11"/>
    <n v="29718.15"/>
  </r>
  <r>
    <x v="1"/>
    <x v="0"/>
    <x v="1"/>
    <x v="0"/>
    <x v="0"/>
    <x v="12"/>
    <n v="222968.1"/>
  </r>
  <r>
    <x v="0"/>
    <x v="0"/>
    <x v="3"/>
    <x v="0"/>
    <x v="2"/>
    <x v="13"/>
    <n v="9549680.9700000007"/>
  </r>
  <r>
    <x v="1"/>
    <x v="0"/>
    <x v="1"/>
    <x v="0"/>
    <x v="8"/>
    <x v="13"/>
    <n v="772996"/>
  </r>
  <r>
    <x v="1"/>
    <x v="0"/>
    <x v="0"/>
    <x v="0"/>
    <x v="0"/>
    <x v="14"/>
    <n v="138000"/>
  </r>
  <r>
    <x v="1"/>
    <x v="0"/>
    <x v="4"/>
    <x v="0"/>
    <x v="9"/>
    <x v="15"/>
    <n v="75000"/>
  </r>
  <r>
    <x v="0"/>
    <x v="0"/>
    <x v="3"/>
    <x v="0"/>
    <x v="10"/>
    <x v="4"/>
    <n v="-227"/>
  </r>
  <r>
    <x v="0"/>
    <x v="0"/>
    <x v="1"/>
    <x v="0"/>
    <x v="11"/>
    <x v="1"/>
    <n v="140043.84"/>
  </r>
  <r>
    <x v="0"/>
    <x v="0"/>
    <x v="5"/>
    <x v="0"/>
    <x v="12"/>
    <x v="0"/>
    <n v="-36764.03"/>
  </r>
  <r>
    <x v="1"/>
    <x v="0"/>
    <x v="1"/>
    <x v="0"/>
    <x v="11"/>
    <x v="1"/>
    <n v="3157698.11"/>
  </r>
  <r>
    <x v="1"/>
    <x v="0"/>
    <x v="0"/>
    <x v="0"/>
    <x v="2"/>
    <x v="13"/>
    <n v="11998000"/>
  </r>
  <r>
    <x v="1"/>
    <x v="0"/>
    <x v="1"/>
    <x v="0"/>
    <x v="8"/>
    <x v="10"/>
    <n v="641853.84"/>
  </r>
  <r>
    <x v="1"/>
    <x v="0"/>
    <x v="1"/>
    <x v="0"/>
    <x v="5"/>
    <x v="1"/>
    <n v="335323.53999999998"/>
  </r>
  <r>
    <x v="0"/>
    <x v="0"/>
    <x v="5"/>
    <x v="0"/>
    <x v="2"/>
    <x v="6"/>
    <n v="37020597.609999999"/>
  </r>
  <r>
    <x v="1"/>
    <x v="0"/>
    <x v="6"/>
    <x v="0"/>
    <x v="13"/>
    <x v="1"/>
    <n v="38000"/>
  </r>
  <r>
    <x v="0"/>
    <x v="0"/>
    <x v="1"/>
    <x v="0"/>
    <x v="11"/>
    <x v="3"/>
    <n v="97383.66"/>
  </r>
  <r>
    <x v="1"/>
    <x v="0"/>
    <x v="1"/>
    <x v="0"/>
    <x v="7"/>
    <x v="16"/>
    <n v="220675.29"/>
  </r>
  <r>
    <x v="1"/>
    <x v="0"/>
    <x v="5"/>
    <x v="0"/>
    <x v="9"/>
    <x v="11"/>
    <n v="276000"/>
  </r>
  <r>
    <x v="1"/>
    <x v="0"/>
    <x v="1"/>
    <x v="0"/>
    <x v="1"/>
    <x v="17"/>
    <n v="2986548.72"/>
  </r>
  <r>
    <x v="1"/>
    <x v="0"/>
    <x v="0"/>
    <x v="0"/>
    <x v="0"/>
    <x v="13"/>
    <n v="271130"/>
  </r>
  <r>
    <x v="1"/>
    <x v="0"/>
    <x v="2"/>
    <x v="0"/>
    <x v="3"/>
    <x v="18"/>
    <n v="191195.66"/>
  </r>
  <r>
    <x v="0"/>
    <x v="0"/>
    <x v="1"/>
    <x v="0"/>
    <x v="1"/>
    <x v="19"/>
    <n v="112261.46"/>
  </r>
  <r>
    <x v="1"/>
    <x v="0"/>
    <x v="1"/>
    <x v="0"/>
    <x v="4"/>
    <x v="12"/>
    <n v="164843.49"/>
  </r>
  <r>
    <x v="1"/>
    <x v="0"/>
    <x v="3"/>
    <x v="0"/>
    <x v="10"/>
    <x v="14"/>
    <n v="8453669.8300000001"/>
  </r>
  <r>
    <x v="1"/>
    <x v="0"/>
    <x v="0"/>
    <x v="0"/>
    <x v="9"/>
    <x v="1"/>
    <n v="15506000"/>
  </r>
  <r>
    <x v="1"/>
    <x v="0"/>
    <x v="1"/>
    <x v="0"/>
    <x v="5"/>
    <x v="6"/>
    <n v="526455.5"/>
  </r>
  <r>
    <x v="1"/>
    <x v="0"/>
    <x v="3"/>
    <x v="0"/>
    <x v="10"/>
    <x v="13"/>
    <n v="7825141.6500000004"/>
  </r>
  <r>
    <x v="1"/>
    <x v="0"/>
    <x v="1"/>
    <x v="0"/>
    <x v="11"/>
    <x v="14"/>
    <n v="3625251.62"/>
  </r>
  <r>
    <x v="1"/>
    <x v="0"/>
    <x v="2"/>
    <x v="0"/>
    <x v="3"/>
    <x v="1"/>
    <n v="422842.69"/>
  </r>
  <r>
    <x v="0"/>
    <x v="0"/>
    <x v="3"/>
    <x v="0"/>
    <x v="10"/>
    <x v="19"/>
    <n v="67748.81"/>
  </r>
  <r>
    <x v="0"/>
    <x v="0"/>
    <x v="6"/>
    <x v="0"/>
    <x v="9"/>
    <x v="14"/>
    <n v="0"/>
  </r>
  <r>
    <x v="0"/>
    <x v="0"/>
    <x v="1"/>
    <x v="0"/>
    <x v="11"/>
    <x v="19"/>
    <n v="136166.91"/>
  </r>
  <r>
    <x v="1"/>
    <x v="0"/>
    <x v="1"/>
    <x v="0"/>
    <x v="4"/>
    <x v="20"/>
    <n v="139629.67000000001"/>
  </r>
  <r>
    <x v="1"/>
    <x v="0"/>
    <x v="4"/>
    <x v="0"/>
    <x v="14"/>
    <x v="2"/>
    <n v="40000"/>
  </r>
  <r>
    <x v="0"/>
    <x v="0"/>
    <x v="1"/>
    <x v="0"/>
    <x v="1"/>
    <x v="3"/>
    <n v="129399.03999999999"/>
  </r>
  <r>
    <x v="1"/>
    <x v="0"/>
    <x v="6"/>
    <x v="0"/>
    <x v="2"/>
    <x v="13"/>
    <n v="2011000"/>
  </r>
  <r>
    <x v="1"/>
    <x v="0"/>
    <x v="1"/>
    <x v="0"/>
    <x v="2"/>
    <x v="2"/>
    <n v="27428531.920000002"/>
  </r>
  <r>
    <x v="1"/>
    <x v="0"/>
    <x v="1"/>
    <x v="0"/>
    <x v="4"/>
    <x v="0"/>
    <n v="268487.18"/>
  </r>
  <r>
    <x v="0"/>
    <x v="0"/>
    <x v="1"/>
    <x v="0"/>
    <x v="4"/>
    <x v="11"/>
    <n v="4156.5200000000004"/>
  </r>
  <r>
    <x v="1"/>
    <x v="0"/>
    <x v="7"/>
    <x v="0"/>
    <x v="2"/>
    <x v="2"/>
    <n v="12639000"/>
  </r>
  <r>
    <x v="0"/>
    <x v="0"/>
    <x v="1"/>
    <x v="0"/>
    <x v="7"/>
    <x v="14"/>
    <n v="14210.72"/>
  </r>
  <r>
    <x v="1"/>
    <x v="0"/>
    <x v="1"/>
    <x v="0"/>
    <x v="11"/>
    <x v="17"/>
    <n v="2929291.83"/>
  </r>
  <r>
    <x v="1"/>
    <x v="0"/>
    <x v="1"/>
    <x v="0"/>
    <x v="6"/>
    <x v="0"/>
    <n v="1539126.15"/>
  </r>
  <r>
    <x v="1"/>
    <x v="0"/>
    <x v="1"/>
    <x v="0"/>
    <x v="0"/>
    <x v="2"/>
    <n v="299860.34000000003"/>
  </r>
  <r>
    <x v="1"/>
    <x v="0"/>
    <x v="5"/>
    <x v="0"/>
    <x v="12"/>
    <x v="3"/>
    <n v="31015.200000000001"/>
  </r>
  <r>
    <x v="1"/>
    <x v="0"/>
    <x v="1"/>
    <x v="0"/>
    <x v="11"/>
    <x v="6"/>
    <n v="4068052.82"/>
  </r>
  <r>
    <x v="0"/>
    <x v="0"/>
    <x v="1"/>
    <x v="0"/>
    <x v="1"/>
    <x v="1"/>
    <n v="131441.26999999999"/>
  </r>
  <r>
    <x v="1"/>
    <x v="0"/>
    <x v="1"/>
    <x v="0"/>
    <x v="4"/>
    <x v="11"/>
    <n v="283359.8"/>
  </r>
  <r>
    <x v="1"/>
    <x v="0"/>
    <x v="0"/>
    <x v="0"/>
    <x v="15"/>
    <x v="3"/>
    <n v="396000"/>
  </r>
  <r>
    <x v="1"/>
    <x v="0"/>
    <x v="6"/>
    <x v="0"/>
    <x v="2"/>
    <x v="6"/>
    <n v="7933000"/>
  </r>
  <r>
    <x v="1"/>
    <x v="0"/>
    <x v="3"/>
    <x v="0"/>
    <x v="9"/>
    <x v="11"/>
    <n v="28988764.870000001"/>
  </r>
  <r>
    <x v="0"/>
    <x v="0"/>
    <x v="1"/>
    <x v="0"/>
    <x v="4"/>
    <x v="16"/>
    <n v="19607.63"/>
  </r>
  <r>
    <x v="1"/>
    <x v="0"/>
    <x v="1"/>
    <x v="0"/>
    <x v="5"/>
    <x v="13"/>
    <n v="1168971.43"/>
  </r>
  <r>
    <x v="1"/>
    <x v="0"/>
    <x v="4"/>
    <x v="0"/>
    <x v="14"/>
    <x v="11"/>
    <n v="40000"/>
  </r>
  <r>
    <x v="1"/>
    <x v="0"/>
    <x v="3"/>
    <x v="0"/>
    <x v="10"/>
    <x v="6"/>
    <n v="10039697.98"/>
  </r>
  <r>
    <x v="0"/>
    <x v="0"/>
    <x v="1"/>
    <x v="0"/>
    <x v="11"/>
    <x v="21"/>
    <n v="120810.18"/>
  </r>
  <r>
    <x v="1"/>
    <x v="0"/>
    <x v="1"/>
    <x v="0"/>
    <x v="8"/>
    <x v="14"/>
    <n v="309018"/>
  </r>
  <r>
    <x v="0"/>
    <x v="0"/>
    <x v="3"/>
    <x v="0"/>
    <x v="10"/>
    <x v="1"/>
    <n v="252174"/>
  </r>
  <r>
    <x v="0"/>
    <x v="0"/>
    <x v="1"/>
    <x v="0"/>
    <x v="11"/>
    <x v="4"/>
    <n v="99425.33"/>
  </r>
  <r>
    <x v="1"/>
    <x v="0"/>
    <x v="4"/>
    <x v="0"/>
    <x v="2"/>
    <x v="2"/>
    <n v="1953000"/>
  </r>
  <r>
    <x v="1"/>
    <x v="0"/>
    <x v="1"/>
    <x v="0"/>
    <x v="1"/>
    <x v="6"/>
    <n v="3711400.7"/>
  </r>
  <r>
    <x v="0"/>
    <x v="0"/>
    <x v="3"/>
    <x v="0"/>
    <x v="9"/>
    <x v="14"/>
    <n v="3772139.31"/>
  </r>
  <r>
    <x v="0"/>
    <x v="0"/>
    <x v="1"/>
    <x v="0"/>
    <x v="0"/>
    <x v="2"/>
    <n v="25139.65"/>
  </r>
  <r>
    <x v="1"/>
    <x v="0"/>
    <x v="1"/>
    <x v="0"/>
    <x v="4"/>
    <x v="2"/>
    <n v="313504.84000000003"/>
  </r>
  <r>
    <x v="1"/>
    <x v="0"/>
    <x v="6"/>
    <x v="0"/>
    <x v="9"/>
    <x v="22"/>
    <n v="2165000"/>
  </r>
  <r>
    <x v="1"/>
    <x v="0"/>
    <x v="4"/>
    <x v="0"/>
    <x v="9"/>
    <x v="11"/>
    <n v="1000"/>
  </r>
  <r>
    <x v="0"/>
    <x v="0"/>
    <x v="1"/>
    <x v="0"/>
    <x v="11"/>
    <x v="8"/>
    <n v="87101.72"/>
  </r>
  <r>
    <x v="0"/>
    <x v="0"/>
    <x v="1"/>
    <x v="0"/>
    <x v="11"/>
    <x v="7"/>
    <n v="1476.22"/>
  </r>
  <r>
    <x v="1"/>
    <x v="0"/>
    <x v="7"/>
    <x v="0"/>
    <x v="2"/>
    <x v="11"/>
    <n v="1995000"/>
  </r>
  <r>
    <x v="1"/>
    <x v="0"/>
    <x v="1"/>
    <x v="0"/>
    <x v="11"/>
    <x v="13"/>
    <n v="3780356.15"/>
  </r>
  <r>
    <x v="1"/>
    <x v="0"/>
    <x v="1"/>
    <x v="0"/>
    <x v="6"/>
    <x v="12"/>
    <n v="1400197.66"/>
  </r>
  <r>
    <x v="1"/>
    <x v="0"/>
    <x v="1"/>
    <x v="0"/>
    <x v="9"/>
    <x v="11"/>
    <n v="25453000"/>
  </r>
  <r>
    <x v="1"/>
    <x v="0"/>
    <x v="2"/>
    <x v="0"/>
    <x v="2"/>
    <x v="18"/>
    <n v="3921241"/>
  </r>
  <r>
    <x v="1"/>
    <x v="0"/>
    <x v="1"/>
    <x v="0"/>
    <x v="1"/>
    <x v="14"/>
    <n v="3833016.46"/>
  </r>
  <r>
    <x v="1"/>
    <x v="0"/>
    <x v="5"/>
    <x v="0"/>
    <x v="12"/>
    <x v="18"/>
    <n v="9983.75"/>
  </r>
  <r>
    <x v="0"/>
    <x v="0"/>
    <x v="3"/>
    <x v="0"/>
    <x v="10"/>
    <x v="3"/>
    <n v="0"/>
  </r>
  <r>
    <x v="0"/>
    <x v="0"/>
    <x v="0"/>
    <x v="0"/>
    <x v="9"/>
    <x v="15"/>
    <n v="0"/>
  </r>
  <r>
    <x v="1"/>
    <x v="0"/>
    <x v="1"/>
    <x v="0"/>
    <x v="11"/>
    <x v="10"/>
    <n v="2348313.69"/>
  </r>
  <r>
    <x v="0"/>
    <x v="0"/>
    <x v="1"/>
    <x v="0"/>
    <x v="1"/>
    <x v="21"/>
    <n v="54623.81"/>
  </r>
  <r>
    <x v="1"/>
    <x v="0"/>
    <x v="6"/>
    <x v="0"/>
    <x v="13"/>
    <x v="18"/>
    <n v="15831"/>
  </r>
  <r>
    <x v="0"/>
    <x v="0"/>
    <x v="7"/>
    <x v="0"/>
    <x v="9"/>
    <x v="22"/>
    <n v="0"/>
  </r>
  <r>
    <x v="1"/>
    <x v="0"/>
    <x v="1"/>
    <x v="0"/>
    <x v="0"/>
    <x v="11"/>
    <n v="249434"/>
  </r>
  <r>
    <x v="1"/>
    <x v="0"/>
    <x v="1"/>
    <x v="0"/>
    <x v="1"/>
    <x v="10"/>
    <n v="2600244.6"/>
  </r>
  <r>
    <x v="0"/>
    <x v="0"/>
    <x v="1"/>
    <x v="0"/>
    <x v="7"/>
    <x v="13"/>
    <n v="8695.56"/>
  </r>
  <r>
    <x v="0"/>
    <x v="0"/>
    <x v="1"/>
    <x v="0"/>
    <x v="11"/>
    <x v="10"/>
    <n v="74658.25"/>
  </r>
  <r>
    <x v="0"/>
    <x v="0"/>
    <x v="5"/>
    <x v="0"/>
    <x v="2"/>
    <x v="13"/>
    <n v="1982012.72"/>
  </r>
  <r>
    <x v="1"/>
    <x v="0"/>
    <x v="1"/>
    <x v="0"/>
    <x v="0"/>
    <x v="0"/>
    <n v="219217.49"/>
  </r>
  <r>
    <x v="1"/>
    <x v="0"/>
    <x v="1"/>
    <x v="0"/>
    <x v="8"/>
    <x v="1"/>
    <n v="742982"/>
  </r>
  <r>
    <x v="0"/>
    <x v="0"/>
    <x v="3"/>
    <x v="0"/>
    <x v="9"/>
    <x v="7"/>
    <n v="7296276.1699999999"/>
  </r>
  <r>
    <x v="1"/>
    <x v="0"/>
    <x v="3"/>
    <x v="0"/>
    <x v="10"/>
    <x v="1"/>
    <n v="8872762"/>
  </r>
  <r>
    <x v="1"/>
    <x v="0"/>
    <x v="1"/>
    <x v="0"/>
    <x v="8"/>
    <x v="21"/>
    <n v="461146.16"/>
  </r>
  <r>
    <x v="1"/>
    <x v="0"/>
    <x v="1"/>
    <x v="0"/>
    <x v="1"/>
    <x v="13"/>
    <n v="4437889.66"/>
  </r>
  <r>
    <x v="1"/>
    <x v="0"/>
    <x v="1"/>
    <x v="0"/>
    <x v="5"/>
    <x v="14"/>
    <n v="893518.21"/>
  </r>
  <r>
    <x v="1"/>
    <x v="0"/>
    <x v="4"/>
    <x v="0"/>
    <x v="2"/>
    <x v="11"/>
    <n v="1372000"/>
  </r>
  <r>
    <x v="0"/>
    <x v="0"/>
    <x v="3"/>
    <x v="0"/>
    <x v="10"/>
    <x v="14"/>
    <n v="3290461.23"/>
  </r>
  <r>
    <x v="0"/>
    <x v="0"/>
    <x v="1"/>
    <x v="0"/>
    <x v="1"/>
    <x v="0"/>
    <n v="-18667.080000000002"/>
  </r>
  <r>
    <x v="1"/>
    <x v="0"/>
    <x v="0"/>
    <x v="0"/>
    <x v="0"/>
    <x v="18"/>
    <n v="51000"/>
  </r>
  <r>
    <x v="1"/>
    <x v="0"/>
    <x v="5"/>
    <x v="0"/>
    <x v="12"/>
    <x v="2"/>
    <n v="32520.81"/>
  </r>
  <r>
    <x v="0"/>
    <x v="0"/>
    <x v="3"/>
    <x v="0"/>
    <x v="10"/>
    <x v="9"/>
    <n v="3258160.63"/>
  </r>
  <r>
    <x v="1"/>
    <x v="0"/>
    <x v="5"/>
    <x v="0"/>
    <x v="2"/>
    <x v="2"/>
    <n v="113750273.25"/>
  </r>
  <r>
    <x v="0"/>
    <x v="0"/>
    <x v="1"/>
    <x v="0"/>
    <x v="4"/>
    <x v="5"/>
    <n v="2454.33"/>
  </r>
  <r>
    <x v="1"/>
    <x v="0"/>
    <x v="1"/>
    <x v="0"/>
    <x v="1"/>
    <x v="23"/>
    <n v="3307362.63"/>
  </r>
  <r>
    <x v="1"/>
    <x v="0"/>
    <x v="0"/>
    <x v="0"/>
    <x v="15"/>
    <x v="2"/>
    <n v="396000"/>
  </r>
  <r>
    <x v="0"/>
    <x v="0"/>
    <x v="1"/>
    <x v="0"/>
    <x v="11"/>
    <x v="5"/>
    <n v="-77261.56"/>
  </r>
  <r>
    <x v="0"/>
    <x v="0"/>
    <x v="6"/>
    <x v="0"/>
    <x v="2"/>
    <x v="6"/>
    <n v="0"/>
  </r>
  <r>
    <x v="0"/>
    <x v="0"/>
    <x v="5"/>
    <x v="0"/>
    <x v="2"/>
    <x v="3"/>
    <n v="-126199.79"/>
  </r>
  <r>
    <x v="0"/>
    <x v="0"/>
    <x v="1"/>
    <x v="0"/>
    <x v="11"/>
    <x v="24"/>
    <n v="102478.93"/>
  </r>
  <r>
    <x v="1"/>
    <x v="0"/>
    <x v="3"/>
    <x v="0"/>
    <x v="10"/>
    <x v="18"/>
    <n v="769704.46"/>
  </r>
  <r>
    <x v="1"/>
    <x v="0"/>
    <x v="4"/>
    <x v="0"/>
    <x v="14"/>
    <x v="3"/>
    <n v="40000"/>
  </r>
  <r>
    <x v="0"/>
    <x v="0"/>
    <x v="1"/>
    <x v="0"/>
    <x v="6"/>
    <x v="0"/>
    <n v="-9756.98"/>
  </r>
  <r>
    <x v="1"/>
    <x v="0"/>
    <x v="2"/>
    <x v="0"/>
    <x v="3"/>
    <x v="6"/>
    <n v="693354.17"/>
  </r>
  <r>
    <x v="1"/>
    <x v="0"/>
    <x v="5"/>
    <x v="0"/>
    <x v="9"/>
    <x v="13"/>
    <n v="276000"/>
  </r>
  <r>
    <x v="1"/>
    <x v="0"/>
    <x v="7"/>
    <x v="0"/>
    <x v="9"/>
    <x v="7"/>
    <n v="2379000"/>
  </r>
  <r>
    <x v="1"/>
    <x v="0"/>
    <x v="6"/>
    <x v="0"/>
    <x v="2"/>
    <x v="18"/>
    <n v="2976580"/>
  </r>
  <r>
    <x v="1"/>
    <x v="0"/>
    <x v="7"/>
    <x v="0"/>
    <x v="2"/>
    <x v="6"/>
    <n v="12374000"/>
  </r>
  <r>
    <x v="0"/>
    <x v="0"/>
    <x v="1"/>
    <x v="0"/>
    <x v="4"/>
    <x v="20"/>
    <n v="11181.38"/>
  </r>
  <r>
    <x v="0"/>
    <x v="0"/>
    <x v="1"/>
    <x v="0"/>
    <x v="1"/>
    <x v="24"/>
    <n v="94273.89"/>
  </r>
  <r>
    <x v="1"/>
    <x v="0"/>
    <x v="1"/>
    <x v="0"/>
    <x v="11"/>
    <x v="22"/>
    <n v="3165416.54"/>
  </r>
  <r>
    <x v="0"/>
    <x v="0"/>
    <x v="5"/>
    <x v="0"/>
    <x v="12"/>
    <x v="3"/>
    <n v="1945.94"/>
  </r>
  <r>
    <x v="0"/>
    <x v="0"/>
    <x v="1"/>
    <x v="0"/>
    <x v="2"/>
    <x v="13"/>
    <n v="828772.54"/>
  </r>
  <r>
    <x v="0"/>
    <x v="0"/>
    <x v="5"/>
    <x v="0"/>
    <x v="2"/>
    <x v="18"/>
    <n v="-1339366.5"/>
  </r>
  <r>
    <x v="1"/>
    <x v="0"/>
    <x v="5"/>
    <x v="0"/>
    <x v="2"/>
    <x v="11"/>
    <n v="41015476.109999999"/>
  </r>
  <r>
    <x v="1"/>
    <x v="0"/>
    <x v="1"/>
    <x v="0"/>
    <x v="11"/>
    <x v="9"/>
    <n v="2534480.3199999998"/>
  </r>
  <r>
    <x v="1"/>
    <x v="0"/>
    <x v="0"/>
    <x v="0"/>
    <x v="0"/>
    <x v="0"/>
    <n v="0"/>
  </r>
  <r>
    <x v="1"/>
    <x v="0"/>
    <x v="1"/>
    <x v="0"/>
    <x v="5"/>
    <x v="16"/>
    <n v="689469.07"/>
  </r>
  <r>
    <x v="1"/>
    <x v="0"/>
    <x v="1"/>
    <x v="0"/>
    <x v="2"/>
    <x v="18"/>
    <n v="14494352"/>
  </r>
  <r>
    <x v="1"/>
    <x v="0"/>
    <x v="0"/>
    <x v="0"/>
    <x v="15"/>
    <x v="11"/>
    <n v="396000"/>
  </r>
  <r>
    <x v="0"/>
    <x v="0"/>
    <x v="1"/>
    <x v="0"/>
    <x v="5"/>
    <x v="12"/>
    <n v="6636.58"/>
  </r>
  <r>
    <x v="1"/>
    <x v="0"/>
    <x v="5"/>
    <x v="0"/>
    <x v="9"/>
    <x v="14"/>
    <n v="276000"/>
  </r>
  <r>
    <x v="0"/>
    <x v="0"/>
    <x v="1"/>
    <x v="0"/>
    <x v="11"/>
    <x v="15"/>
    <n v="11006.5"/>
  </r>
  <r>
    <x v="1"/>
    <x v="0"/>
    <x v="1"/>
    <x v="0"/>
    <x v="7"/>
    <x v="11"/>
    <n v="393920.64"/>
  </r>
  <r>
    <x v="0"/>
    <x v="0"/>
    <x v="3"/>
    <x v="0"/>
    <x v="9"/>
    <x v="15"/>
    <n v="475800"/>
  </r>
  <r>
    <x v="1"/>
    <x v="0"/>
    <x v="3"/>
    <x v="0"/>
    <x v="10"/>
    <x v="4"/>
    <n v="4019227"/>
  </r>
  <r>
    <x v="1"/>
    <x v="0"/>
    <x v="5"/>
    <x v="0"/>
    <x v="12"/>
    <x v="11"/>
    <n v="35204.839999999997"/>
  </r>
  <r>
    <x v="0"/>
    <x v="0"/>
    <x v="1"/>
    <x v="0"/>
    <x v="0"/>
    <x v="12"/>
    <n v="4031.9"/>
  </r>
  <r>
    <x v="1"/>
    <x v="0"/>
    <x v="5"/>
    <x v="0"/>
    <x v="12"/>
    <x v="0"/>
    <n v="97750.3"/>
  </r>
  <r>
    <x v="1"/>
    <x v="0"/>
    <x v="1"/>
    <x v="0"/>
    <x v="11"/>
    <x v="23"/>
    <n v="2867576.08"/>
  </r>
  <r>
    <x v="0"/>
    <x v="0"/>
    <x v="0"/>
    <x v="0"/>
    <x v="0"/>
    <x v="13"/>
    <n v="-133130"/>
  </r>
  <r>
    <x v="0"/>
    <x v="0"/>
    <x v="1"/>
    <x v="0"/>
    <x v="5"/>
    <x v="2"/>
    <n v="24767.86"/>
  </r>
  <r>
    <x v="1"/>
    <x v="0"/>
    <x v="3"/>
    <x v="0"/>
    <x v="9"/>
    <x v="22"/>
    <n v="10242700"/>
  </r>
  <r>
    <x v="1"/>
    <x v="0"/>
    <x v="0"/>
    <x v="0"/>
    <x v="2"/>
    <x v="6"/>
    <n v="23152000"/>
  </r>
  <r>
    <x v="1"/>
    <x v="0"/>
    <x v="0"/>
    <x v="0"/>
    <x v="9"/>
    <x v="15"/>
    <n v="293000"/>
  </r>
  <r>
    <x v="0"/>
    <x v="0"/>
    <x v="3"/>
    <x v="0"/>
    <x v="9"/>
    <x v="1"/>
    <n v="4566256.34"/>
  </r>
  <r>
    <x v="0"/>
    <x v="0"/>
    <x v="1"/>
    <x v="0"/>
    <x v="8"/>
    <x v="21"/>
    <n v="-20867.86"/>
  </r>
  <r>
    <x v="1"/>
    <x v="0"/>
    <x v="6"/>
    <x v="0"/>
    <x v="13"/>
    <x v="6"/>
    <n v="15835"/>
  </r>
  <r>
    <x v="0"/>
    <x v="0"/>
    <x v="1"/>
    <x v="0"/>
    <x v="4"/>
    <x v="0"/>
    <n v="53235.97"/>
  </r>
  <r>
    <x v="0"/>
    <x v="0"/>
    <x v="1"/>
    <x v="0"/>
    <x v="1"/>
    <x v="15"/>
    <n v="-31883.759999999998"/>
  </r>
  <r>
    <x v="0"/>
    <x v="0"/>
    <x v="1"/>
    <x v="0"/>
    <x v="11"/>
    <x v="0"/>
    <n v="-23489.26"/>
  </r>
  <r>
    <x v="1"/>
    <x v="0"/>
    <x v="1"/>
    <x v="0"/>
    <x v="11"/>
    <x v="16"/>
    <n v="3674197.59"/>
  </r>
  <r>
    <x v="0"/>
    <x v="0"/>
    <x v="1"/>
    <x v="0"/>
    <x v="11"/>
    <x v="25"/>
    <n v="96866.64"/>
  </r>
  <r>
    <x v="1"/>
    <x v="0"/>
    <x v="1"/>
    <x v="0"/>
    <x v="2"/>
    <x v="3"/>
    <n v="24838217.600000001"/>
  </r>
  <r>
    <x v="0"/>
    <x v="0"/>
    <x v="1"/>
    <x v="0"/>
    <x v="5"/>
    <x v="0"/>
    <n v="10960.22"/>
  </r>
  <r>
    <x v="1"/>
    <x v="0"/>
    <x v="2"/>
    <x v="0"/>
    <x v="2"/>
    <x v="3"/>
    <n v="3403000"/>
  </r>
  <r>
    <x v="0"/>
    <x v="0"/>
    <x v="1"/>
    <x v="0"/>
    <x v="1"/>
    <x v="5"/>
    <n v="-117240.94"/>
  </r>
  <r>
    <x v="0"/>
    <x v="0"/>
    <x v="1"/>
    <x v="0"/>
    <x v="6"/>
    <x v="3"/>
    <n v="65322.720000000001"/>
  </r>
  <r>
    <x v="1"/>
    <x v="0"/>
    <x v="1"/>
    <x v="0"/>
    <x v="8"/>
    <x v="3"/>
    <n v="773519"/>
  </r>
  <r>
    <x v="1"/>
    <x v="0"/>
    <x v="1"/>
    <x v="0"/>
    <x v="5"/>
    <x v="9"/>
    <n v="3967.75"/>
  </r>
  <r>
    <x v="0"/>
    <x v="0"/>
    <x v="4"/>
    <x v="0"/>
    <x v="14"/>
    <x v="1"/>
    <n v="-5000"/>
  </r>
  <r>
    <x v="1"/>
    <x v="0"/>
    <x v="4"/>
    <x v="0"/>
    <x v="2"/>
    <x v="13"/>
    <n v="1953000"/>
  </r>
  <r>
    <x v="1"/>
    <x v="0"/>
    <x v="1"/>
    <x v="0"/>
    <x v="1"/>
    <x v="16"/>
    <n v="3182205.77"/>
  </r>
  <r>
    <x v="1"/>
    <x v="0"/>
    <x v="3"/>
    <x v="0"/>
    <x v="10"/>
    <x v="19"/>
    <n v="7935751.1299999999"/>
  </r>
  <r>
    <x v="1"/>
    <x v="0"/>
    <x v="6"/>
    <x v="0"/>
    <x v="13"/>
    <x v="13"/>
    <n v="38000"/>
  </r>
  <r>
    <x v="1"/>
    <x v="0"/>
    <x v="1"/>
    <x v="0"/>
    <x v="6"/>
    <x v="11"/>
    <n v="1170391.53"/>
  </r>
  <r>
    <x v="1"/>
    <x v="0"/>
    <x v="2"/>
    <x v="0"/>
    <x v="3"/>
    <x v="14"/>
    <n v="712000"/>
  </r>
  <r>
    <x v="1"/>
    <x v="0"/>
    <x v="7"/>
    <x v="0"/>
    <x v="9"/>
    <x v="15"/>
    <n v="110000"/>
  </r>
  <r>
    <x v="1"/>
    <x v="0"/>
    <x v="1"/>
    <x v="0"/>
    <x v="6"/>
    <x v="16"/>
    <n v="1641225.42"/>
  </r>
  <r>
    <x v="0"/>
    <x v="0"/>
    <x v="1"/>
    <x v="0"/>
    <x v="0"/>
    <x v="0"/>
    <n v="7778.15"/>
  </r>
  <r>
    <x v="0"/>
    <x v="0"/>
    <x v="3"/>
    <x v="0"/>
    <x v="10"/>
    <x v="13"/>
    <n v="3341074.78"/>
  </r>
  <r>
    <x v="0"/>
    <x v="0"/>
    <x v="1"/>
    <x v="0"/>
    <x v="8"/>
    <x v="10"/>
    <n v="20867.86"/>
  </r>
  <r>
    <x v="0"/>
    <x v="0"/>
    <x v="1"/>
    <x v="0"/>
    <x v="1"/>
    <x v="20"/>
    <n v="117240.94"/>
  </r>
  <r>
    <x v="1"/>
    <x v="0"/>
    <x v="1"/>
    <x v="0"/>
    <x v="4"/>
    <x v="9"/>
    <n v="168662.82"/>
  </r>
  <r>
    <x v="1"/>
    <x v="0"/>
    <x v="4"/>
    <x v="0"/>
    <x v="2"/>
    <x v="6"/>
    <n v="2777000"/>
  </r>
  <r>
    <x v="0"/>
    <x v="0"/>
    <x v="1"/>
    <x v="0"/>
    <x v="1"/>
    <x v="25"/>
    <n v="133233.91"/>
  </r>
  <r>
    <x v="0"/>
    <x v="0"/>
    <x v="1"/>
    <x v="0"/>
    <x v="11"/>
    <x v="12"/>
    <n v="151000.31"/>
  </r>
  <r>
    <x v="1"/>
    <x v="0"/>
    <x v="6"/>
    <x v="0"/>
    <x v="9"/>
    <x v="11"/>
    <n v="1963000"/>
  </r>
  <r>
    <x v="1"/>
    <x v="0"/>
    <x v="1"/>
    <x v="0"/>
    <x v="11"/>
    <x v="11"/>
    <n v="3507587.7"/>
  </r>
  <r>
    <x v="1"/>
    <x v="0"/>
    <x v="3"/>
    <x v="0"/>
    <x v="10"/>
    <x v="3"/>
    <n v="10394452.74"/>
  </r>
  <r>
    <x v="0"/>
    <x v="0"/>
    <x v="1"/>
    <x v="0"/>
    <x v="11"/>
    <x v="20"/>
    <n v="94454.26"/>
  </r>
  <r>
    <x v="1"/>
    <x v="0"/>
    <x v="1"/>
    <x v="0"/>
    <x v="1"/>
    <x v="9"/>
    <n v="3359949.77"/>
  </r>
  <r>
    <x v="0"/>
    <x v="0"/>
    <x v="1"/>
    <x v="0"/>
    <x v="4"/>
    <x v="12"/>
    <n v="5433.36"/>
  </r>
  <r>
    <x v="1"/>
    <x v="0"/>
    <x v="1"/>
    <x v="0"/>
    <x v="1"/>
    <x v="22"/>
    <n v="3095441.59"/>
  </r>
  <r>
    <x v="0"/>
    <x v="0"/>
    <x v="1"/>
    <x v="0"/>
    <x v="1"/>
    <x v="12"/>
    <n v="165793.63"/>
  </r>
  <r>
    <x v="1"/>
    <x v="0"/>
    <x v="0"/>
    <x v="0"/>
    <x v="0"/>
    <x v="3"/>
    <n v="138000"/>
  </r>
  <r>
    <x v="1"/>
    <x v="0"/>
    <x v="6"/>
    <x v="0"/>
    <x v="2"/>
    <x v="3"/>
    <n v="2011000"/>
  </r>
  <r>
    <x v="1"/>
    <x v="0"/>
    <x v="1"/>
    <x v="0"/>
    <x v="4"/>
    <x v="16"/>
    <n v="198763.54"/>
  </r>
  <r>
    <x v="1"/>
    <x v="0"/>
    <x v="6"/>
    <x v="0"/>
    <x v="13"/>
    <x v="14"/>
    <n v="38000"/>
  </r>
  <r>
    <x v="1"/>
    <x v="0"/>
    <x v="1"/>
    <x v="0"/>
    <x v="6"/>
    <x v="2"/>
    <n v="1643397.16"/>
  </r>
  <r>
    <x v="1"/>
    <x v="0"/>
    <x v="7"/>
    <x v="0"/>
    <x v="2"/>
    <x v="13"/>
    <n v="2455000"/>
  </r>
  <r>
    <x v="0"/>
    <x v="0"/>
    <x v="0"/>
    <x v="0"/>
    <x v="0"/>
    <x v="1"/>
    <n v="-138000"/>
  </r>
  <r>
    <x v="0"/>
    <x v="0"/>
    <x v="1"/>
    <x v="0"/>
    <x v="6"/>
    <x v="12"/>
    <n v="55025.96"/>
  </r>
  <r>
    <x v="1"/>
    <x v="0"/>
    <x v="2"/>
    <x v="0"/>
    <x v="3"/>
    <x v="13"/>
    <n v="692729.17"/>
  </r>
  <r>
    <x v="0"/>
    <x v="0"/>
    <x v="5"/>
    <x v="0"/>
    <x v="12"/>
    <x v="18"/>
    <n v="-389.96"/>
  </r>
  <r>
    <x v="1"/>
    <x v="0"/>
    <x v="3"/>
    <x v="0"/>
    <x v="2"/>
    <x v="13"/>
    <n v="75876133.010000005"/>
  </r>
  <r>
    <x v="1"/>
    <x v="0"/>
    <x v="1"/>
    <x v="0"/>
    <x v="9"/>
    <x v="13"/>
    <n v="25453000"/>
  </r>
  <r>
    <x v="1"/>
    <x v="0"/>
    <x v="3"/>
    <x v="0"/>
    <x v="9"/>
    <x v="15"/>
    <n v="800200"/>
  </r>
  <r>
    <x v="1"/>
    <x v="0"/>
    <x v="1"/>
    <x v="0"/>
    <x v="8"/>
    <x v="2"/>
    <n v="772481"/>
  </r>
  <r>
    <x v="0"/>
    <x v="0"/>
    <x v="1"/>
    <x v="0"/>
    <x v="1"/>
    <x v="11"/>
    <n v="108090.86"/>
  </r>
  <r>
    <x v="1"/>
    <x v="0"/>
    <x v="0"/>
    <x v="0"/>
    <x v="0"/>
    <x v="12"/>
    <n v="138000"/>
  </r>
  <r>
    <x v="0"/>
    <x v="0"/>
    <x v="1"/>
    <x v="0"/>
    <x v="0"/>
    <x v="3"/>
    <n v="19042.14"/>
  </r>
  <r>
    <x v="1"/>
    <x v="0"/>
    <x v="1"/>
    <x v="0"/>
    <x v="11"/>
    <x v="12"/>
    <n v="3367944.23"/>
  </r>
  <r>
    <x v="1"/>
    <x v="0"/>
    <x v="1"/>
    <x v="0"/>
    <x v="11"/>
    <x v="2"/>
    <n v="3997281.27"/>
  </r>
  <r>
    <x v="1"/>
    <x v="0"/>
    <x v="5"/>
    <x v="0"/>
    <x v="16"/>
    <x v="6"/>
    <n v="0"/>
  </r>
  <r>
    <x v="1"/>
    <x v="0"/>
    <x v="1"/>
    <x v="0"/>
    <x v="11"/>
    <x v="20"/>
    <n v="2963726.92"/>
  </r>
  <r>
    <x v="1"/>
    <x v="0"/>
    <x v="1"/>
    <x v="0"/>
    <x v="4"/>
    <x v="1"/>
    <n v="209529.71"/>
  </r>
  <r>
    <x v="0"/>
    <x v="0"/>
    <x v="1"/>
    <x v="0"/>
    <x v="4"/>
    <x v="1"/>
    <n v="14484.47"/>
  </r>
  <r>
    <x v="1"/>
    <x v="0"/>
    <x v="1"/>
    <x v="0"/>
    <x v="0"/>
    <x v="1"/>
    <n v="231926.07"/>
  </r>
  <r>
    <x v="1"/>
    <x v="0"/>
    <x v="1"/>
    <x v="0"/>
    <x v="2"/>
    <x v="13"/>
    <n v="21996524.449999999"/>
  </r>
  <r>
    <x v="1"/>
    <x v="0"/>
    <x v="0"/>
    <x v="0"/>
    <x v="2"/>
    <x v="2"/>
    <n v="16896000"/>
  </r>
  <r>
    <x v="1"/>
    <x v="0"/>
    <x v="1"/>
    <x v="0"/>
    <x v="8"/>
    <x v="11"/>
    <n v="773004"/>
  </r>
  <r>
    <x v="1"/>
    <x v="0"/>
    <x v="1"/>
    <x v="0"/>
    <x v="1"/>
    <x v="20"/>
    <n v="3270304.36"/>
  </r>
  <r>
    <x v="1"/>
    <x v="0"/>
    <x v="0"/>
    <x v="0"/>
    <x v="0"/>
    <x v="2"/>
    <n v="175000"/>
  </r>
  <r>
    <x v="0"/>
    <x v="0"/>
    <x v="0"/>
    <x v="0"/>
    <x v="9"/>
    <x v="13"/>
    <n v="7600225"/>
  </r>
  <r>
    <x v="0"/>
    <x v="0"/>
    <x v="3"/>
    <x v="0"/>
    <x v="2"/>
    <x v="11"/>
    <n v="9101623.3800000008"/>
  </r>
  <r>
    <x v="1"/>
    <x v="0"/>
    <x v="6"/>
    <x v="0"/>
    <x v="9"/>
    <x v="15"/>
    <n v="103000"/>
  </r>
  <r>
    <x v="1"/>
    <x v="0"/>
    <x v="5"/>
    <x v="0"/>
    <x v="2"/>
    <x v="18"/>
    <n v="78241553.319999993"/>
  </r>
  <r>
    <x v="1"/>
    <x v="0"/>
    <x v="1"/>
    <x v="0"/>
    <x v="1"/>
    <x v="12"/>
    <n v="3513649.11"/>
  </r>
  <r>
    <x v="0"/>
    <x v="0"/>
    <x v="1"/>
    <x v="0"/>
    <x v="1"/>
    <x v="16"/>
    <n v="-8352.06"/>
  </r>
  <r>
    <x v="0"/>
    <x v="0"/>
    <x v="5"/>
    <x v="0"/>
    <x v="12"/>
    <x v="13"/>
    <n v="-91.97"/>
  </r>
  <r>
    <x v="1"/>
    <x v="0"/>
    <x v="2"/>
    <x v="0"/>
    <x v="2"/>
    <x v="11"/>
    <n v="2402000"/>
  </r>
  <r>
    <x v="1"/>
    <x v="0"/>
    <x v="4"/>
    <x v="0"/>
    <x v="14"/>
    <x v="1"/>
    <n v="45000"/>
  </r>
  <r>
    <x v="1"/>
    <x v="0"/>
    <x v="3"/>
    <x v="0"/>
    <x v="10"/>
    <x v="12"/>
    <n v="10123363.5"/>
  </r>
  <r>
    <x v="1"/>
    <x v="0"/>
    <x v="1"/>
    <x v="0"/>
    <x v="9"/>
    <x v="1"/>
    <n v="26118061.379999999"/>
  </r>
  <r>
    <x v="0"/>
    <x v="0"/>
    <x v="1"/>
    <x v="0"/>
    <x v="4"/>
    <x v="19"/>
    <n v="27627.3"/>
  </r>
  <r>
    <x v="1"/>
    <x v="0"/>
    <x v="4"/>
    <x v="0"/>
    <x v="2"/>
    <x v="18"/>
    <n v="1257499.92"/>
  </r>
  <r>
    <x v="1"/>
    <x v="0"/>
    <x v="4"/>
    <x v="0"/>
    <x v="9"/>
    <x v="1"/>
    <n v="2000"/>
  </r>
  <r>
    <x v="1"/>
    <x v="0"/>
    <x v="0"/>
    <x v="0"/>
    <x v="2"/>
    <x v="11"/>
    <n v="6713000"/>
  </r>
  <r>
    <x v="0"/>
    <x v="0"/>
    <x v="3"/>
    <x v="0"/>
    <x v="10"/>
    <x v="16"/>
    <n v="1736987.24"/>
  </r>
  <r>
    <x v="1"/>
    <x v="0"/>
    <x v="5"/>
    <x v="0"/>
    <x v="16"/>
    <x v="1"/>
    <n v="1093094"/>
  </r>
  <r>
    <x v="1"/>
    <x v="0"/>
    <x v="4"/>
    <x v="0"/>
    <x v="14"/>
    <x v="18"/>
    <n v="16666.7"/>
  </r>
  <r>
    <x v="1"/>
    <x v="0"/>
    <x v="3"/>
    <x v="0"/>
    <x v="10"/>
    <x v="2"/>
    <n v="10031468.02"/>
  </r>
  <r>
    <x v="0"/>
    <x v="0"/>
    <x v="1"/>
    <x v="0"/>
    <x v="11"/>
    <x v="16"/>
    <n v="54934.86"/>
  </r>
  <r>
    <x v="1"/>
    <x v="0"/>
    <x v="1"/>
    <x v="0"/>
    <x v="6"/>
    <x v="6"/>
    <n v="1460777.55"/>
  </r>
  <r>
    <x v="1"/>
    <x v="0"/>
    <x v="1"/>
    <x v="0"/>
    <x v="1"/>
    <x v="5"/>
    <n v="3415137.74"/>
  </r>
  <r>
    <x v="1"/>
    <x v="0"/>
    <x v="3"/>
    <x v="0"/>
    <x v="10"/>
    <x v="0"/>
    <n v="6802966"/>
  </r>
  <r>
    <x v="0"/>
    <x v="0"/>
    <x v="1"/>
    <x v="0"/>
    <x v="11"/>
    <x v="23"/>
    <n v="40841.74"/>
  </r>
  <r>
    <x v="0"/>
    <x v="0"/>
    <x v="5"/>
    <x v="0"/>
    <x v="12"/>
    <x v="6"/>
    <n v="1796.51"/>
  </r>
  <r>
    <x v="1"/>
    <x v="0"/>
    <x v="3"/>
    <x v="0"/>
    <x v="2"/>
    <x v="3"/>
    <n v="99485705.959999993"/>
  </r>
  <r>
    <x v="0"/>
    <x v="0"/>
    <x v="1"/>
    <x v="0"/>
    <x v="6"/>
    <x v="19"/>
    <n v="147139.85"/>
  </r>
  <r>
    <x v="0"/>
    <x v="0"/>
    <x v="1"/>
    <x v="0"/>
    <x v="4"/>
    <x v="3"/>
    <n v="10650.35"/>
  </r>
  <r>
    <x v="1"/>
    <x v="0"/>
    <x v="4"/>
    <x v="0"/>
    <x v="14"/>
    <x v="14"/>
    <n v="40000"/>
  </r>
  <r>
    <x v="1"/>
    <x v="0"/>
    <x v="1"/>
    <x v="0"/>
    <x v="1"/>
    <x v="15"/>
    <n v="3008988.87"/>
  </r>
  <r>
    <x v="1"/>
    <x v="0"/>
    <x v="1"/>
    <x v="0"/>
    <x v="4"/>
    <x v="13"/>
    <n v="305871.24"/>
  </r>
  <r>
    <x v="1"/>
    <x v="0"/>
    <x v="1"/>
    <x v="0"/>
    <x v="9"/>
    <x v="14"/>
    <n v="24949938.620000001"/>
  </r>
  <r>
    <x v="0"/>
    <x v="0"/>
    <x v="1"/>
    <x v="0"/>
    <x v="4"/>
    <x v="4"/>
    <n v="9636.66"/>
  </r>
  <r>
    <x v="1"/>
    <x v="0"/>
    <x v="0"/>
    <x v="0"/>
    <x v="15"/>
    <x v="6"/>
    <n v="396000"/>
  </r>
  <r>
    <x v="0"/>
    <x v="0"/>
    <x v="5"/>
    <x v="0"/>
    <x v="2"/>
    <x v="2"/>
    <n v="477167.04"/>
  </r>
  <r>
    <x v="1"/>
    <x v="0"/>
    <x v="1"/>
    <x v="0"/>
    <x v="5"/>
    <x v="0"/>
    <n v="929995.69"/>
  </r>
  <r>
    <x v="1"/>
    <x v="0"/>
    <x v="1"/>
    <x v="0"/>
    <x v="6"/>
    <x v="13"/>
    <n v="1863424.84"/>
  </r>
  <r>
    <x v="1"/>
    <x v="0"/>
    <x v="1"/>
    <x v="0"/>
    <x v="1"/>
    <x v="11"/>
    <n v="3222727.57"/>
  </r>
  <r>
    <x v="0"/>
    <x v="0"/>
    <x v="5"/>
    <x v="0"/>
    <x v="12"/>
    <x v="1"/>
    <n v="4657.8100000000004"/>
  </r>
  <r>
    <x v="1"/>
    <x v="0"/>
    <x v="5"/>
    <x v="0"/>
    <x v="9"/>
    <x v="1"/>
    <n v="277000"/>
  </r>
  <r>
    <x v="1"/>
    <x v="0"/>
    <x v="5"/>
    <x v="0"/>
    <x v="16"/>
    <x v="14"/>
    <n v="3626906"/>
  </r>
  <r>
    <x v="0"/>
    <x v="0"/>
    <x v="1"/>
    <x v="0"/>
    <x v="11"/>
    <x v="22"/>
    <n v="109204.06"/>
  </r>
  <r>
    <x v="1"/>
    <x v="0"/>
    <x v="1"/>
    <x v="0"/>
    <x v="11"/>
    <x v="0"/>
    <n v="3149873.72"/>
  </r>
  <r>
    <x v="1"/>
    <x v="0"/>
    <x v="1"/>
    <x v="0"/>
    <x v="11"/>
    <x v="15"/>
    <n v="3302116.68"/>
  </r>
  <r>
    <x v="1"/>
    <x v="0"/>
    <x v="6"/>
    <x v="0"/>
    <x v="13"/>
    <x v="11"/>
    <n v="38000"/>
  </r>
  <r>
    <x v="0"/>
    <x v="0"/>
    <x v="1"/>
    <x v="0"/>
    <x v="5"/>
    <x v="16"/>
    <n v="6563.18"/>
  </r>
  <r>
    <x v="1"/>
    <x v="0"/>
    <x v="3"/>
    <x v="0"/>
    <x v="2"/>
    <x v="18"/>
    <n v="36453284.509999998"/>
  </r>
  <r>
    <x v="0"/>
    <x v="0"/>
    <x v="1"/>
    <x v="0"/>
    <x v="5"/>
    <x v="11"/>
    <n v="24747.64"/>
  </r>
  <r>
    <x v="0"/>
    <x v="0"/>
    <x v="1"/>
    <x v="0"/>
    <x v="1"/>
    <x v="23"/>
    <n v="83130.95"/>
  </r>
  <r>
    <x v="1"/>
    <x v="0"/>
    <x v="1"/>
    <x v="0"/>
    <x v="1"/>
    <x v="24"/>
    <n v="2806257.14"/>
  </r>
  <r>
    <x v="0"/>
    <x v="0"/>
    <x v="1"/>
    <x v="0"/>
    <x v="11"/>
    <x v="2"/>
    <n v="58097.05"/>
  </r>
  <r>
    <x v="0"/>
    <x v="0"/>
    <x v="1"/>
    <x v="0"/>
    <x v="2"/>
    <x v="3"/>
    <n v="396520.02"/>
  </r>
  <r>
    <x v="1"/>
    <x v="0"/>
    <x v="1"/>
    <x v="0"/>
    <x v="5"/>
    <x v="11"/>
    <n v="335474.43"/>
  </r>
  <r>
    <x v="1"/>
    <x v="0"/>
    <x v="2"/>
    <x v="0"/>
    <x v="3"/>
    <x v="2"/>
    <n v="693645.83"/>
  </r>
  <r>
    <x v="0"/>
    <x v="0"/>
    <x v="1"/>
    <x v="0"/>
    <x v="6"/>
    <x v="1"/>
    <n v="697706.3"/>
  </r>
  <r>
    <x v="1"/>
    <x v="0"/>
    <x v="7"/>
    <x v="0"/>
    <x v="2"/>
    <x v="18"/>
    <n v="5166000"/>
  </r>
  <r>
    <x v="1"/>
    <x v="0"/>
    <x v="6"/>
    <x v="0"/>
    <x v="9"/>
    <x v="7"/>
    <n v="2165000"/>
  </r>
  <r>
    <x v="1"/>
    <x v="0"/>
    <x v="1"/>
    <x v="0"/>
    <x v="4"/>
    <x v="14"/>
    <n v="356948.44"/>
  </r>
  <r>
    <x v="1"/>
    <x v="0"/>
    <x v="1"/>
    <x v="0"/>
    <x v="0"/>
    <x v="13"/>
    <n v="251637.84"/>
  </r>
  <r>
    <x v="0"/>
    <x v="0"/>
    <x v="3"/>
    <x v="0"/>
    <x v="10"/>
    <x v="11"/>
    <n v="3231237.03"/>
  </r>
  <r>
    <x v="1"/>
    <x v="0"/>
    <x v="1"/>
    <x v="0"/>
    <x v="0"/>
    <x v="14"/>
    <n v="245315.41"/>
  </r>
  <r>
    <x v="1"/>
    <x v="0"/>
    <x v="1"/>
    <x v="0"/>
    <x v="2"/>
    <x v="6"/>
    <n v="35697495.079999998"/>
  </r>
  <r>
    <x v="1"/>
    <x v="0"/>
    <x v="4"/>
    <x v="0"/>
    <x v="9"/>
    <x v="13"/>
    <n v="1000"/>
  </r>
  <r>
    <x v="0"/>
    <x v="0"/>
    <x v="3"/>
    <x v="0"/>
    <x v="9"/>
    <x v="22"/>
    <n v="11757300"/>
  </r>
  <r>
    <x v="1"/>
    <x v="0"/>
    <x v="1"/>
    <x v="0"/>
    <x v="1"/>
    <x v="2"/>
    <n v="4041716.1"/>
  </r>
  <r>
    <x v="1"/>
    <x v="0"/>
    <x v="1"/>
    <x v="0"/>
    <x v="4"/>
    <x v="6"/>
    <n v="204471.15"/>
  </r>
  <r>
    <x v="1"/>
    <x v="0"/>
    <x v="1"/>
    <x v="0"/>
    <x v="11"/>
    <x v="5"/>
    <n v="3541912.97"/>
  </r>
  <r>
    <x v="0"/>
    <x v="0"/>
    <x v="0"/>
    <x v="0"/>
    <x v="15"/>
    <x v="17"/>
    <n v="5442.39"/>
  </r>
  <r>
    <x v="1"/>
    <x v="0"/>
    <x v="1"/>
    <x v="0"/>
    <x v="5"/>
    <x v="12"/>
    <n v="597939.01"/>
  </r>
  <r>
    <x v="0"/>
    <x v="0"/>
    <x v="5"/>
    <x v="0"/>
    <x v="12"/>
    <x v="14"/>
    <n v="-770.78"/>
  </r>
  <r>
    <x v="1"/>
    <x v="0"/>
    <x v="0"/>
    <x v="0"/>
    <x v="9"/>
    <x v="22"/>
    <n v="1225000"/>
  </r>
  <r>
    <x v="1"/>
    <x v="0"/>
    <x v="1"/>
    <x v="0"/>
    <x v="0"/>
    <x v="6"/>
    <n v="346399.47"/>
  </r>
  <r>
    <x v="1"/>
    <x v="0"/>
    <x v="6"/>
    <x v="0"/>
    <x v="13"/>
    <x v="2"/>
    <n v="37998"/>
  </r>
  <r>
    <x v="0"/>
    <x v="0"/>
    <x v="1"/>
    <x v="0"/>
    <x v="1"/>
    <x v="2"/>
    <n v="-10141.950000000001"/>
  </r>
  <r>
    <x v="1"/>
    <x v="0"/>
    <x v="1"/>
    <x v="0"/>
    <x v="6"/>
    <x v="14"/>
    <n v="1680762.08"/>
  </r>
  <r>
    <x v="1"/>
    <x v="0"/>
    <x v="1"/>
    <x v="0"/>
    <x v="11"/>
    <x v="24"/>
    <n v="2870950.42"/>
  </r>
  <r>
    <x v="1"/>
    <x v="0"/>
    <x v="0"/>
    <x v="0"/>
    <x v="9"/>
    <x v="11"/>
    <n v="15477000"/>
  </r>
  <r>
    <x v="1"/>
    <x v="0"/>
    <x v="1"/>
    <x v="0"/>
    <x v="6"/>
    <x v="9"/>
    <n v="1244672.1599999999"/>
  </r>
  <r>
    <x v="1"/>
    <x v="0"/>
    <x v="5"/>
    <x v="0"/>
    <x v="2"/>
    <x v="3"/>
    <n v="108204831.2"/>
  </r>
  <r>
    <x v="0"/>
    <x v="0"/>
    <x v="1"/>
    <x v="0"/>
    <x v="11"/>
    <x v="11"/>
    <n v="106563.02"/>
  </r>
  <r>
    <x v="1"/>
    <x v="0"/>
    <x v="1"/>
    <x v="0"/>
    <x v="1"/>
    <x v="0"/>
    <n v="3389994.8"/>
  </r>
  <r>
    <x v="0"/>
    <x v="0"/>
    <x v="1"/>
    <x v="0"/>
    <x v="1"/>
    <x v="22"/>
    <n v="118039.34"/>
  </r>
  <r>
    <x v="1"/>
    <x v="0"/>
    <x v="1"/>
    <x v="0"/>
    <x v="5"/>
    <x v="2"/>
    <n v="1040128.03"/>
  </r>
  <r>
    <x v="1"/>
    <x v="0"/>
    <x v="2"/>
    <x v="0"/>
    <x v="3"/>
    <x v="11"/>
    <n v="691520.83"/>
  </r>
  <r>
    <x v="1"/>
    <x v="0"/>
    <x v="2"/>
    <x v="0"/>
    <x v="2"/>
    <x v="2"/>
    <n v="5324000"/>
  </r>
  <r>
    <x v="0"/>
    <x v="0"/>
    <x v="1"/>
    <x v="0"/>
    <x v="6"/>
    <x v="14"/>
    <n v="-630944.23"/>
  </r>
  <r>
    <x v="0"/>
    <x v="0"/>
    <x v="3"/>
    <x v="0"/>
    <x v="9"/>
    <x v="13"/>
    <n v="1291166.58"/>
  </r>
  <r>
    <x v="0"/>
    <x v="0"/>
    <x v="1"/>
    <x v="0"/>
    <x v="4"/>
    <x v="2"/>
    <n v="-3058.09"/>
  </r>
  <r>
    <x v="1"/>
    <x v="0"/>
    <x v="0"/>
    <x v="0"/>
    <x v="0"/>
    <x v="1"/>
    <n v="276000"/>
  </r>
  <r>
    <x v="1"/>
    <x v="0"/>
    <x v="0"/>
    <x v="0"/>
    <x v="9"/>
    <x v="7"/>
    <n v="1225000"/>
  </r>
  <r>
    <x v="0"/>
    <x v="0"/>
    <x v="1"/>
    <x v="0"/>
    <x v="0"/>
    <x v="11"/>
    <n v="6516.95"/>
  </r>
  <r>
    <x v="0"/>
    <x v="0"/>
    <x v="1"/>
    <x v="0"/>
    <x v="1"/>
    <x v="13"/>
    <n v="55398.91"/>
  </r>
  <r>
    <x v="0"/>
    <x v="0"/>
    <x v="1"/>
    <x v="0"/>
    <x v="6"/>
    <x v="9"/>
    <n v="152072.76999999999"/>
  </r>
  <r>
    <x v="1"/>
    <x v="0"/>
    <x v="5"/>
    <x v="0"/>
    <x v="12"/>
    <x v="14"/>
    <n v="49447.12"/>
  </r>
  <r>
    <x v="1"/>
    <x v="0"/>
    <x v="4"/>
    <x v="0"/>
    <x v="2"/>
    <x v="3"/>
    <n v="1953000"/>
  </r>
  <r>
    <x v="1"/>
    <x v="0"/>
    <x v="7"/>
    <x v="0"/>
    <x v="2"/>
    <x v="3"/>
    <n v="2605000"/>
  </r>
  <r>
    <x v="1"/>
    <x v="0"/>
    <x v="6"/>
    <x v="0"/>
    <x v="2"/>
    <x v="2"/>
    <n v="3060000"/>
  </r>
  <r>
    <x v="1"/>
    <x v="0"/>
    <x v="6"/>
    <x v="0"/>
    <x v="13"/>
    <x v="3"/>
    <n v="38002"/>
  </r>
  <r>
    <x v="0"/>
    <x v="0"/>
    <x v="5"/>
    <x v="0"/>
    <x v="12"/>
    <x v="11"/>
    <n v="2497.5500000000002"/>
  </r>
  <r>
    <x v="1"/>
    <x v="0"/>
    <x v="1"/>
    <x v="0"/>
    <x v="5"/>
    <x v="3"/>
    <n v="554859.84"/>
  </r>
  <r>
    <x v="0"/>
    <x v="0"/>
    <x v="2"/>
    <x v="0"/>
    <x v="3"/>
    <x v="1"/>
    <n v="21625"/>
  </r>
  <r>
    <x v="1"/>
    <x v="0"/>
    <x v="1"/>
    <x v="0"/>
    <x v="11"/>
    <x v="21"/>
    <n v="3393217.88"/>
  </r>
  <r>
    <x v="1"/>
    <x v="0"/>
    <x v="2"/>
    <x v="0"/>
    <x v="2"/>
    <x v="13"/>
    <n v="2841000"/>
  </r>
  <r>
    <x v="1"/>
    <x v="0"/>
    <x v="1"/>
    <x v="0"/>
    <x v="7"/>
    <x v="14"/>
    <n v="130956.77"/>
  </r>
  <r>
    <x v="1"/>
    <x v="0"/>
    <x v="1"/>
    <x v="0"/>
    <x v="6"/>
    <x v="1"/>
    <n v="1269605.1299999999"/>
  </r>
  <r>
    <x v="1"/>
    <x v="0"/>
    <x v="7"/>
    <x v="0"/>
    <x v="9"/>
    <x v="22"/>
    <n v="2379000"/>
  </r>
  <r>
    <x v="0"/>
    <x v="0"/>
    <x v="1"/>
    <x v="0"/>
    <x v="6"/>
    <x v="13"/>
    <n v="1692.26"/>
  </r>
  <r>
    <x v="1"/>
    <x v="0"/>
    <x v="2"/>
    <x v="0"/>
    <x v="9"/>
    <x v="15"/>
    <n v="161000"/>
  </r>
  <r>
    <x v="1"/>
    <x v="0"/>
    <x v="3"/>
    <x v="0"/>
    <x v="9"/>
    <x v="14"/>
    <n v="30119860.690000001"/>
  </r>
  <r>
    <x v="1"/>
    <x v="0"/>
    <x v="1"/>
    <x v="0"/>
    <x v="0"/>
    <x v="3"/>
    <n v="243957.86"/>
  </r>
  <r>
    <x v="1"/>
    <x v="0"/>
    <x v="1"/>
    <x v="0"/>
    <x v="1"/>
    <x v="18"/>
    <n v="1767268.11"/>
  </r>
  <r>
    <x v="1"/>
    <x v="0"/>
    <x v="1"/>
    <x v="0"/>
    <x v="4"/>
    <x v="3"/>
    <n v="287902.90000000002"/>
  </r>
  <r>
    <x v="0"/>
    <x v="0"/>
    <x v="3"/>
    <x v="0"/>
    <x v="10"/>
    <x v="0"/>
    <n v="1592370"/>
  </r>
  <r>
    <x v="1"/>
    <x v="0"/>
    <x v="0"/>
    <x v="0"/>
    <x v="15"/>
    <x v="13"/>
    <n v="396000"/>
  </r>
  <r>
    <x v="0"/>
    <x v="0"/>
    <x v="1"/>
    <x v="0"/>
    <x v="5"/>
    <x v="1"/>
    <n v="8035.87"/>
  </r>
  <r>
    <x v="1"/>
    <x v="0"/>
    <x v="1"/>
    <x v="0"/>
    <x v="7"/>
    <x v="13"/>
    <n v="388723.46"/>
  </r>
  <r>
    <x v="1"/>
    <x v="0"/>
    <x v="1"/>
    <x v="0"/>
    <x v="1"/>
    <x v="21"/>
    <n v="3111689.17"/>
  </r>
  <r>
    <x v="1"/>
    <x v="0"/>
    <x v="1"/>
    <x v="0"/>
    <x v="2"/>
    <x v="11"/>
    <n v="12373226.26"/>
  </r>
  <r>
    <x v="1"/>
    <x v="0"/>
    <x v="1"/>
    <x v="0"/>
    <x v="1"/>
    <x v="25"/>
    <n v="3094318.11"/>
  </r>
  <r>
    <x v="0"/>
    <x v="0"/>
    <x v="0"/>
    <x v="0"/>
    <x v="2"/>
    <x v="13"/>
    <n v="1042000"/>
  </r>
  <r>
    <x v="0"/>
    <x v="0"/>
    <x v="1"/>
    <x v="0"/>
    <x v="11"/>
    <x v="17"/>
    <n v="53636.82"/>
  </r>
  <r>
    <x v="1"/>
    <x v="0"/>
    <x v="0"/>
    <x v="0"/>
    <x v="15"/>
    <x v="14"/>
    <n v="396000"/>
  </r>
  <r>
    <x v="0"/>
    <x v="0"/>
    <x v="6"/>
    <x v="0"/>
    <x v="9"/>
    <x v="22"/>
    <n v="0"/>
  </r>
  <r>
    <x v="0"/>
    <x v="0"/>
    <x v="1"/>
    <x v="0"/>
    <x v="0"/>
    <x v="1"/>
    <n v="15073.93"/>
  </r>
  <r>
    <x v="1"/>
    <x v="0"/>
    <x v="6"/>
    <x v="0"/>
    <x v="9"/>
    <x v="1"/>
    <n v="1960500"/>
  </r>
  <r>
    <x v="0"/>
    <x v="0"/>
    <x v="1"/>
    <x v="0"/>
    <x v="1"/>
    <x v="17"/>
    <n v="44298.25"/>
  </r>
  <r>
    <x v="0"/>
    <x v="0"/>
    <x v="1"/>
    <x v="0"/>
    <x v="6"/>
    <x v="16"/>
    <n v="-92922.83"/>
  </r>
  <r>
    <x v="1"/>
    <x v="0"/>
    <x v="2"/>
    <x v="0"/>
    <x v="2"/>
    <x v="6"/>
    <n v="10699500"/>
  </r>
  <r>
    <x v="1"/>
    <x v="0"/>
    <x v="6"/>
    <x v="0"/>
    <x v="2"/>
    <x v="11"/>
    <n v="1594000"/>
  </r>
  <r>
    <x v="0"/>
    <x v="0"/>
    <x v="3"/>
    <x v="0"/>
    <x v="2"/>
    <x v="3"/>
    <n v="2370132.15"/>
  </r>
  <r>
    <x v="1"/>
    <x v="0"/>
    <x v="1"/>
    <x v="0"/>
    <x v="6"/>
    <x v="19"/>
    <n v="1336891.3899999999"/>
  </r>
  <r>
    <x v="1"/>
    <x v="0"/>
    <x v="3"/>
    <x v="0"/>
    <x v="10"/>
    <x v="9"/>
    <n v="5121915.63"/>
  </r>
  <r>
    <x v="1"/>
    <x v="0"/>
    <x v="1"/>
    <x v="0"/>
    <x v="1"/>
    <x v="19"/>
    <n v="3577113.64"/>
  </r>
  <r>
    <x v="1"/>
    <x v="0"/>
    <x v="1"/>
    <x v="0"/>
    <x v="7"/>
    <x v="6"/>
    <n v="0"/>
  </r>
  <r>
    <x v="1"/>
    <x v="0"/>
    <x v="5"/>
    <x v="0"/>
    <x v="2"/>
    <x v="13"/>
    <n v="124906987.28"/>
  </r>
  <r>
    <x v="0"/>
    <x v="0"/>
    <x v="0"/>
    <x v="0"/>
    <x v="0"/>
    <x v="11"/>
    <n v="138000"/>
  </r>
  <r>
    <x v="1"/>
    <x v="0"/>
    <x v="5"/>
    <x v="0"/>
    <x v="12"/>
    <x v="13"/>
    <n v="39562.57"/>
  </r>
  <r>
    <x v="1"/>
    <x v="0"/>
    <x v="3"/>
    <x v="0"/>
    <x v="9"/>
    <x v="1"/>
    <n v="29438743.66"/>
  </r>
  <r>
    <x v="1"/>
    <x v="0"/>
    <x v="1"/>
    <x v="0"/>
    <x v="1"/>
    <x v="3"/>
    <n v="3811683.81"/>
  </r>
  <r>
    <x v="1"/>
    <x v="0"/>
    <x v="1"/>
    <x v="0"/>
    <x v="8"/>
    <x v="6"/>
    <n v="773000"/>
  </r>
  <r>
    <x v="1"/>
    <x v="0"/>
    <x v="1"/>
    <x v="0"/>
    <x v="4"/>
    <x v="18"/>
    <n v="215745.57"/>
  </r>
  <r>
    <x v="0"/>
    <x v="0"/>
    <x v="1"/>
    <x v="0"/>
    <x v="5"/>
    <x v="14"/>
    <n v="113122.38"/>
  </r>
  <r>
    <x v="1"/>
    <x v="0"/>
    <x v="1"/>
    <x v="0"/>
    <x v="11"/>
    <x v="18"/>
    <n v="1635210.82"/>
  </r>
  <r>
    <x v="1"/>
    <x v="0"/>
    <x v="1"/>
    <x v="0"/>
    <x v="0"/>
    <x v="18"/>
    <n v="134452.29"/>
  </r>
  <r>
    <x v="1"/>
    <x v="0"/>
    <x v="1"/>
    <x v="0"/>
    <x v="9"/>
    <x v="15"/>
    <n v="604000"/>
  </r>
  <r>
    <x v="1"/>
    <x v="0"/>
    <x v="1"/>
    <x v="0"/>
    <x v="11"/>
    <x v="25"/>
    <n v="2733010.18"/>
  </r>
  <r>
    <x v="1"/>
    <x v="0"/>
    <x v="3"/>
    <x v="0"/>
    <x v="10"/>
    <x v="11"/>
    <n v="7984103.96"/>
  </r>
  <r>
    <x v="1"/>
    <x v="0"/>
    <x v="1"/>
    <x v="0"/>
    <x v="6"/>
    <x v="3"/>
    <n v="1348319.94"/>
  </r>
  <r>
    <x v="0"/>
    <x v="0"/>
    <x v="1"/>
    <x v="0"/>
    <x v="4"/>
    <x v="13"/>
    <n v="17612.439999999999"/>
  </r>
  <r>
    <x v="1"/>
    <x v="0"/>
    <x v="3"/>
    <x v="0"/>
    <x v="10"/>
    <x v="16"/>
    <n v="6653188.7599999998"/>
  </r>
  <r>
    <x v="1"/>
    <x v="0"/>
    <x v="1"/>
    <x v="0"/>
    <x v="4"/>
    <x v="4"/>
    <n v="137008.62"/>
  </r>
  <r>
    <x v="1"/>
    <x v="0"/>
    <x v="3"/>
    <x v="0"/>
    <x v="9"/>
    <x v="13"/>
    <n v="32600833.420000002"/>
  </r>
  <r>
    <x v="1"/>
    <x v="0"/>
    <x v="4"/>
    <x v="0"/>
    <x v="14"/>
    <x v="13"/>
    <n v="40000"/>
  </r>
  <r>
    <x v="1"/>
    <x v="0"/>
    <x v="0"/>
    <x v="0"/>
    <x v="15"/>
    <x v="1"/>
    <n v="396000"/>
  </r>
  <r>
    <x v="1"/>
    <x v="0"/>
    <x v="6"/>
    <x v="0"/>
    <x v="9"/>
    <x v="14"/>
    <n v="1960500"/>
  </r>
  <r>
    <x v="0"/>
    <x v="0"/>
    <x v="1"/>
    <x v="0"/>
    <x v="5"/>
    <x v="13"/>
    <n v="65806.47"/>
  </r>
  <r>
    <x v="0"/>
    <x v="0"/>
    <x v="1"/>
    <x v="0"/>
    <x v="7"/>
    <x v="9"/>
    <n v="18485.45"/>
  </r>
  <r>
    <x v="1"/>
    <x v="0"/>
    <x v="0"/>
    <x v="0"/>
    <x v="9"/>
    <x v="13"/>
    <n v="7876775"/>
  </r>
  <r>
    <x v="1"/>
    <x v="0"/>
    <x v="3"/>
    <x v="0"/>
    <x v="9"/>
    <x v="7"/>
    <n v="20503723.829999998"/>
  </r>
  <r>
    <x v="1"/>
    <x v="0"/>
    <x v="0"/>
    <x v="0"/>
    <x v="15"/>
    <x v="17"/>
    <n v="144557.60999999999"/>
  </r>
  <r>
    <x v="1"/>
    <x v="0"/>
    <x v="0"/>
    <x v="0"/>
    <x v="0"/>
    <x v="6"/>
    <n v="189000"/>
  </r>
  <r>
    <x v="1"/>
    <x v="0"/>
    <x v="5"/>
    <x v="0"/>
    <x v="2"/>
    <x v="6"/>
    <n v="127056713.37"/>
  </r>
  <r>
    <x v="0"/>
    <x v="0"/>
    <x v="1"/>
    <x v="0"/>
    <x v="0"/>
    <x v="13"/>
    <n v="14344.04"/>
  </r>
  <r>
    <x v="0"/>
    <x v="0"/>
    <x v="1"/>
    <x v="0"/>
    <x v="0"/>
    <x v="14"/>
    <n v="1684.59"/>
  </r>
  <r>
    <x v="1"/>
    <x v="0"/>
    <x v="3"/>
    <x v="0"/>
    <x v="2"/>
    <x v="2"/>
    <n v="131936163.62"/>
  </r>
  <r>
    <x v="1"/>
    <x v="0"/>
    <x v="0"/>
    <x v="0"/>
    <x v="2"/>
    <x v="3"/>
    <n v="14840000"/>
  </r>
  <r>
    <x v="1"/>
    <x v="0"/>
    <x v="1"/>
    <x v="0"/>
    <x v="11"/>
    <x v="4"/>
    <n v="2950106.08"/>
  </r>
  <r>
    <x v="1"/>
    <x v="0"/>
    <x v="0"/>
    <x v="0"/>
    <x v="9"/>
    <x v="14"/>
    <n v="15477000"/>
  </r>
  <r>
    <x v="1"/>
    <x v="0"/>
    <x v="5"/>
    <x v="0"/>
    <x v="12"/>
    <x v="6"/>
    <n v="30411.67"/>
  </r>
  <r>
    <x v="1"/>
    <x v="0"/>
    <x v="1"/>
    <x v="0"/>
    <x v="11"/>
    <x v="3"/>
    <n v="3267510.82"/>
  </r>
  <r>
    <x v="1"/>
    <x v="0"/>
    <x v="1"/>
    <x v="0"/>
    <x v="6"/>
    <x v="18"/>
    <n v="643520.21"/>
  </r>
  <r>
    <x v="0"/>
    <x v="0"/>
    <x v="1"/>
    <x v="0"/>
    <x v="1"/>
    <x v="14"/>
    <n v="-6127.01"/>
  </r>
  <r>
    <x v="0"/>
    <x v="0"/>
    <x v="1"/>
    <x v="0"/>
    <x v="7"/>
    <x v="16"/>
    <n v="-13684.87"/>
  </r>
  <r>
    <x v="1"/>
    <x v="0"/>
    <x v="1"/>
    <x v="0"/>
    <x v="4"/>
    <x v="19"/>
    <n v="175727.41"/>
  </r>
  <r>
    <x v="1"/>
    <x v="0"/>
    <x v="6"/>
    <x v="0"/>
    <x v="9"/>
    <x v="13"/>
    <n v="1961000"/>
  </r>
  <r>
    <x v="0"/>
    <x v="0"/>
    <x v="1"/>
    <x v="0"/>
    <x v="7"/>
    <x v="11"/>
    <n v="8660.34"/>
  </r>
  <r>
    <x v="1"/>
    <x v="0"/>
    <x v="1"/>
    <x v="0"/>
    <x v="5"/>
    <x v="18"/>
    <n v="268948.71000000002"/>
  </r>
  <r>
    <x v="1"/>
    <x v="0"/>
    <x v="1"/>
    <x v="0"/>
    <x v="11"/>
    <x v="7"/>
    <n v="3094903.18"/>
  </r>
  <r>
    <x v="0"/>
    <x v="0"/>
    <x v="1"/>
    <x v="0"/>
    <x v="11"/>
    <x v="13"/>
    <n v="11933.45"/>
  </r>
  <r>
    <x v="0"/>
    <x v="0"/>
    <x v="5"/>
    <x v="0"/>
    <x v="12"/>
    <x v="2"/>
    <n v="43.13"/>
  </r>
  <r>
    <x v="1"/>
    <x v="0"/>
    <x v="1"/>
    <x v="0"/>
    <x v="11"/>
    <x v="8"/>
    <n v="2822480.46"/>
  </r>
  <r>
    <x v="1"/>
    <x v="0"/>
    <x v="8"/>
    <x v="0"/>
    <x v="9"/>
    <x v="15"/>
    <n v="30000"/>
  </r>
  <r>
    <x v="1"/>
    <x v="0"/>
    <x v="3"/>
    <x v="0"/>
    <x v="2"/>
    <x v="11"/>
    <n v="26322542.77"/>
  </r>
  <r>
    <x v="0"/>
    <x v="0"/>
    <x v="1"/>
    <x v="0"/>
    <x v="4"/>
    <x v="14"/>
    <n v="14988.06"/>
  </r>
  <r>
    <x v="1"/>
    <x v="0"/>
    <x v="4"/>
    <x v="0"/>
    <x v="14"/>
    <x v="6"/>
    <n v="40000"/>
  </r>
  <r>
    <x v="0"/>
    <x v="0"/>
    <x v="1"/>
    <x v="0"/>
    <x v="11"/>
    <x v="14"/>
    <n v="25991.43"/>
  </r>
  <r>
    <x v="0"/>
    <x v="0"/>
    <x v="1"/>
    <x v="0"/>
    <x v="11"/>
    <x v="9"/>
    <n v="86582.23"/>
  </r>
  <r>
    <x v="0"/>
    <x v="0"/>
    <x v="1"/>
    <x v="0"/>
    <x v="4"/>
    <x v="9"/>
    <n v="2966.01"/>
  </r>
  <r>
    <x v="0"/>
    <x v="0"/>
    <x v="1"/>
    <x v="0"/>
    <x v="1"/>
    <x v="9"/>
    <n v="134874.78"/>
  </r>
  <r>
    <x v="1"/>
    <x v="0"/>
    <x v="1"/>
    <x v="0"/>
    <x v="1"/>
    <x v="7"/>
    <n v="3249962.11"/>
  </r>
  <r>
    <x v="0"/>
    <x v="0"/>
    <x v="3"/>
    <x v="0"/>
    <x v="10"/>
    <x v="12"/>
    <n v="-1736987.5"/>
  </r>
  <r>
    <x v="1"/>
    <x v="0"/>
    <x v="5"/>
    <x v="0"/>
    <x v="12"/>
    <x v="1"/>
    <n v="50531.63"/>
  </r>
  <r>
    <x v="0"/>
    <x v="0"/>
    <x v="5"/>
    <x v="0"/>
    <x v="2"/>
    <x v="11"/>
    <n v="368286.21"/>
  </r>
  <r>
    <x v="1"/>
    <x v="0"/>
    <x v="1"/>
    <x v="0"/>
    <x v="1"/>
    <x v="4"/>
    <n v="2884352.32"/>
  </r>
  <r>
    <x v="1"/>
    <x v="0"/>
    <x v="1"/>
    <x v="0"/>
    <x v="1"/>
    <x v="8"/>
    <n v="2282159.89"/>
  </r>
  <r>
    <x v="1"/>
    <x v="0"/>
    <x v="0"/>
    <x v="0"/>
    <x v="15"/>
    <x v="18"/>
    <n v="99000"/>
  </r>
  <r>
    <x v="0"/>
    <x v="0"/>
    <x v="3"/>
    <x v="0"/>
    <x v="9"/>
    <x v="11"/>
    <n v="4903235.13"/>
  </r>
  <r>
    <x v="1"/>
    <x v="0"/>
    <x v="0"/>
    <x v="0"/>
    <x v="2"/>
    <x v="18"/>
    <n v="7041610.8799999999"/>
  </r>
  <r>
    <x v="1"/>
    <x v="0"/>
    <x v="1"/>
    <x v="0"/>
    <x v="11"/>
    <x v="19"/>
    <n v="3302301.68"/>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8">
  <r>
    <x v="0"/>
    <x v="0"/>
    <x v="0"/>
    <x v="0"/>
    <x v="0"/>
    <x v="0"/>
    <s v="02"/>
    <x v="0"/>
    <x v="0"/>
    <x v="0"/>
    <n v="-35.36"/>
    <x v="0"/>
  </r>
  <r>
    <x v="0"/>
    <x v="0"/>
    <x v="0"/>
    <x v="0"/>
    <x v="0"/>
    <x v="0"/>
    <s v="20"/>
    <x v="0"/>
    <x v="0"/>
    <x v="1"/>
    <n v="-85539.4"/>
    <x v="0"/>
  </r>
  <r>
    <x v="0"/>
    <x v="0"/>
    <x v="0"/>
    <x v="0"/>
    <x v="0"/>
    <x v="0"/>
    <s v="20"/>
    <x v="0"/>
    <x v="0"/>
    <x v="2"/>
    <n v="-465.79"/>
    <x v="0"/>
  </r>
  <r>
    <x v="0"/>
    <x v="0"/>
    <x v="0"/>
    <x v="0"/>
    <x v="0"/>
    <x v="0"/>
    <s v="24"/>
    <x v="0"/>
    <x v="0"/>
    <x v="3"/>
    <n v="-60951.27"/>
    <x v="0"/>
  </r>
  <r>
    <x v="0"/>
    <x v="0"/>
    <x v="0"/>
    <x v="0"/>
    <x v="0"/>
    <x v="0"/>
    <s v="24"/>
    <x v="0"/>
    <x v="0"/>
    <x v="4"/>
    <n v="227839696.59999999"/>
    <x v="0"/>
  </r>
  <r>
    <x v="0"/>
    <x v="0"/>
    <x v="0"/>
    <x v="0"/>
    <x v="0"/>
    <x v="0"/>
    <s v="24"/>
    <x v="0"/>
    <x v="0"/>
    <x v="5"/>
    <n v="-3146237.27"/>
    <x v="0"/>
  </r>
  <r>
    <x v="0"/>
    <x v="0"/>
    <x v="0"/>
    <x v="0"/>
    <x v="0"/>
    <x v="0"/>
    <s v="24"/>
    <x v="0"/>
    <x v="0"/>
    <x v="6"/>
    <n v="-476355.83"/>
    <x v="0"/>
  </r>
  <r>
    <x v="0"/>
    <x v="0"/>
    <x v="0"/>
    <x v="0"/>
    <x v="0"/>
    <x v="0"/>
    <s v="24"/>
    <x v="0"/>
    <x v="0"/>
    <x v="7"/>
    <n v="-2257949.98"/>
    <x v="0"/>
  </r>
  <r>
    <x v="0"/>
    <x v="0"/>
    <x v="0"/>
    <x v="0"/>
    <x v="0"/>
    <x v="0"/>
    <s v="24"/>
    <x v="0"/>
    <x v="0"/>
    <x v="8"/>
    <n v="-3113538.75"/>
    <x v="0"/>
  </r>
  <r>
    <x v="0"/>
    <x v="0"/>
    <x v="0"/>
    <x v="0"/>
    <x v="0"/>
    <x v="0"/>
    <s v="24"/>
    <x v="0"/>
    <x v="0"/>
    <x v="0"/>
    <n v="-792799.49"/>
    <x v="0"/>
  </r>
  <r>
    <x v="0"/>
    <x v="0"/>
    <x v="0"/>
    <x v="0"/>
    <x v="0"/>
    <x v="0"/>
    <s v="30"/>
    <x v="0"/>
    <x v="0"/>
    <x v="5"/>
    <n v="44.5"/>
    <x v="0"/>
  </r>
  <r>
    <x v="0"/>
    <x v="0"/>
    <x v="0"/>
    <x v="0"/>
    <x v="0"/>
    <x v="0"/>
    <s v="30"/>
    <x v="0"/>
    <x v="0"/>
    <x v="9"/>
    <n v="1617.2"/>
    <x v="0"/>
  </r>
  <r>
    <x v="0"/>
    <x v="0"/>
    <x v="0"/>
    <x v="0"/>
    <x v="0"/>
    <x v="0"/>
    <s v="30"/>
    <x v="0"/>
    <x v="0"/>
    <x v="10"/>
    <n v="-2450.06"/>
    <x v="0"/>
  </r>
  <r>
    <x v="0"/>
    <x v="0"/>
    <x v="0"/>
    <x v="0"/>
    <x v="0"/>
    <x v="0"/>
    <s v="30"/>
    <x v="0"/>
    <x v="0"/>
    <x v="2"/>
    <n v="78.48"/>
    <x v="0"/>
  </r>
  <r>
    <x v="0"/>
    <x v="0"/>
    <x v="0"/>
    <x v="0"/>
    <x v="0"/>
    <x v="0"/>
    <s v="99"/>
    <x v="0"/>
    <x v="0"/>
    <x v="5"/>
    <n v="1000"/>
    <x v="0"/>
  </r>
  <r>
    <x v="0"/>
    <x v="0"/>
    <x v="0"/>
    <x v="0"/>
    <x v="0"/>
    <x v="0"/>
    <s v="99"/>
    <x v="0"/>
    <x v="0"/>
    <x v="9"/>
    <n v="5562"/>
    <x v="0"/>
  </r>
  <r>
    <x v="0"/>
    <x v="0"/>
    <x v="0"/>
    <x v="0"/>
    <x v="0"/>
    <x v="0"/>
    <s v="99"/>
    <x v="0"/>
    <x v="0"/>
    <x v="10"/>
    <n v="-17552"/>
    <x v="0"/>
  </r>
  <r>
    <x v="0"/>
    <x v="0"/>
    <x v="0"/>
    <x v="0"/>
    <x v="0"/>
    <x v="0"/>
    <s v="99"/>
    <x v="0"/>
    <x v="0"/>
    <x v="8"/>
    <n v="746"/>
    <x v="0"/>
  </r>
  <r>
    <x v="0"/>
    <x v="0"/>
    <x v="0"/>
    <x v="0"/>
    <x v="0"/>
    <x v="0"/>
    <s v="99"/>
    <x v="0"/>
    <x v="0"/>
    <x v="0"/>
    <n v="-951.64"/>
    <x v="0"/>
  </r>
  <r>
    <x v="0"/>
    <x v="0"/>
    <x v="0"/>
    <x v="0"/>
    <x v="0"/>
    <x v="1"/>
    <s v="21"/>
    <x v="0"/>
    <x v="0"/>
    <x v="11"/>
    <n v="24988"/>
    <x v="0"/>
  </r>
  <r>
    <x v="0"/>
    <x v="0"/>
    <x v="0"/>
    <x v="0"/>
    <x v="0"/>
    <x v="1"/>
    <s v="21"/>
    <x v="0"/>
    <x v="0"/>
    <x v="0"/>
    <n v="139513.46"/>
    <x v="0"/>
  </r>
  <r>
    <x v="0"/>
    <x v="0"/>
    <x v="0"/>
    <x v="0"/>
    <x v="0"/>
    <x v="1"/>
    <s v="22"/>
    <x v="0"/>
    <x v="0"/>
    <x v="1"/>
    <n v="-219038"/>
    <x v="0"/>
  </r>
  <r>
    <x v="0"/>
    <x v="0"/>
    <x v="0"/>
    <x v="0"/>
    <x v="0"/>
    <x v="1"/>
    <s v="22"/>
    <x v="0"/>
    <x v="0"/>
    <x v="9"/>
    <n v="-264871"/>
    <x v="0"/>
  </r>
  <r>
    <x v="0"/>
    <x v="0"/>
    <x v="0"/>
    <x v="0"/>
    <x v="0"/>
    <x v="1"/>
    <s v="22"/>
    <x v="0"/>
    <x v="0"/>
    <x v="11"/>
    <n v="-459542"/>
    <x v="0"/>
  </r>
  <r>
    <x v="0"/>
    <x v="0"/>
    <x v="0"/>
    <x v="0"/>
    <x v="0"/>
    <x v="1"/>
    <s v="22"/>
    <x v="0"/>
    <x v="0"/>
    <x v="10"/>
    <n v="-876312.89"/>
    <x v="0"/>
  </r>
  <r>
    <x v="0"/>
    <x v="0"/>
    <x v="0"/>
    <x v="0"/>
    <x v="0"/>
    <x v="1"/>
    <s v="22"/>
    <x v="0"/>
    <x v="0"/>
    <x v="2"/>
    <n v="-226066"/>
    <x v="0"/>
  </r>
  <r>
    <x v="0"/>
    <x v="0"/>
    <x v="0"/>
    <x v="0"/>
    <x v="0"/>
    <x v="1"/>
    <s v="88"/>
    <x v="0"/>
    <x v="0"/>
    <x v="1"/>
    <n v="-156223.64000000001"/>
    <x v="0"/>
  </r>
  <r>
    <x v="0"/>
    <x v="0"/>
    <x v="0"/>
    <x v="0"/>
    <x v="0"/>
    <x v="1"/>
    <s v="88"/>
    <x v="0"/>
    <x v="0"/>
    <x v="5"/>
    <n v="-156110.42000000001"/>
    <x v="0"/>
  </r>
  <r>
    <x v="0"/>
    <x v="0"/>
    <x v="0"/>
    <x v="0"/>
    <x v="0"/>
    <x v="1"/>
    <s v="88"/>
    <x v="0"/>
    <x v="0"/>
    <x v="9"/>
    <n v="-155882.42000000001"/>
    <x v="0"/>
  </r>
  <r>
    <x v="0"/>
    <x v="0"/>
    <x v="0"/>
    <x v="0"/>
    <x v="0"/>
    <x v="1"/>
    <s v="88"/>
    <x v="0"/>
    <x v="0"/>
    <x v="10"/>
    <n v="-155536.49"/>
    <x v="0"/>
  </r>
  <r>
    <x v="0"/>
    <x v="0"/>
    <x v="0"/>
    <x v="0"/>
    <x v="0"/>
    <x v="1"/>
    <s v="88"/>
    <x v="0"/>
    <x v="0"/>
    <x v="2"/>
    <n v="-143054.49"/>
    <x v="0"/>
  </r>
  <r>
    <x v="0"/>
    <x v="0"/>
    <x v="0"/>
    <x v="0"/>
    <x v="0"/>
    <x v="2"/>
    <s v="60"/>
    <x v="0"/>
    <x v="0"/>
    <x v="0"/>
    <n v="6765089.3200000003"/>
    <x v="0"/>
  </r>
  <r>
    <x v="0"/>
    <x v="0"/>
    <x v="0"/>
    <x v="0"/>
    <x v="0"/>
    <x v="0"/>
    <s v="02"/>
    <x v="0"/>
    <x v="0"/>
    <x v="7"/>
    <n v="20.2"/>
    <x v="0"/>
  </r>
  <r>
    <x v="0"/>
    <x v="0"/>
    <x v="0"/>
    <x v="0"/>
    <x v="0"/>
    <x v="0"/>
    <s v="02"/>
    <x v="0"/>
    <x v="0"/>
    <x v="10"/>
    <n v="-20.2"/>
    <x v="0"/>
  </r>
  <r>
    <x v="0"/>
    <x v="0"/>
    <x v="0"/>
    <x v="0"/>
    <x v="0"/>
    <x v="0"/>
    <s v="02"/>
    <x v="0"/>
    <x v="0"/>
    <x v="8"/>
    <n v="48.83"/>
    <x v="0"/>
  </r>
  <r>
    <x v="0"/>
    <x v="0"/>
    <x v="0"/>
    <x v="0"/>
    <x v="0"/>
    <x v="0"/>
    <s v="02"/>
    <x v="0"/>
    <x v="0"/>
    <x v="2"/>
    <n v="-13.47"/>
    <x v="0"/>
  </r>
  <r>
    <x v="0"/>
    <x v="0"/>
    <x v="0"/>
    <x v="0"/>
    <x v="0"/>
    <x v="0"/>
    <s v="20"/>
    <x v="0"/>
    <x v="0"/>
    <x v="4"/>
    <n v="51669.81"/>
    <x v="0"/>
  </r>
  <r>
    <x v="0"/>
    <x v="0"/>
    <x v="0"/>
    <x v="0"/>
    <x v="0"/>
    <x v="0"/>
    <s v="20"/>
    <x v="0"/>
    <x v="0"/>
    <x v="5"/>
    <n v="-5422.41"/>
    <x v="0"/>
  </r>
  <r>
    <x v="0"/>
    <x v="0"/>
    <x v="0"/>
    <x v="0"/>
    <x v="0"/>
    <x v="0"/>
    <s v="20"/>
    <x v="0"/>
    <x v="0"/>
    <x v="7"/>
    <n v="-16500"/>
    <x v="0"/>
  </r>
  <r>
    <x v="0"/>
    <x v="0"/>
    <x v="0"/>
    <x v="0"/>
    <x v="0"/>
    <x v="0"/>
    <s v="20"/>
    <x v="0"/>
    <x v="0"/>
    <x v="8"/>
    <n v="465.79"/>
    <x v="0"/>
  </r>
  <r>
    <x v="0"/>
    <x v="0"/>
    <x v="0"/>
    <x v="0"/>
    <x v="0"/>
    <x v="0"/>
    <s v="24"/>
    <x v="0"/>
    <x v="0"/>
    <x v="1"/>
    <n v="-3373797.22"/>
    <x v="0"/>
  </r>
  <r>
    <x v="0"/>
    <x v="0"/>
    <x v="0"/>
    <x v="0"/>
    <x v="0"/>
    <x v="0"/>
    <s v="24"/>
    <x v="0"/>
    <x v="0"/>
    <x v="9"/>
    <n v="216504693.05000001"/>
    <x v="0"/>
  </r>
  <r>
    <x v="0"/>
    <x v="0"/>
    <x v="0"/>
    <x v="0"/>
    <x v="0"/>
    <x v="0"/>
    <s v="24"/>
    <x v="0"/>
    <x v="0"/>
    <x v="11"/>
    <n v="-350342.42"/>
    <x v="0"/>
  </r>
  <r>
    <x v="0"/>
    <x v="0"/>
    <x v="0"/>
    <x v="0"/>
    <x v="0"/>
    <x v="0"/>
    <s v="24"/>
    <x v="0"/>
    <x v="0"/>
    <x v="10"/>
    <n v="207118546.28999999"/>
    <x v="0"/>
  </r>
  <r>
    <x v="0"/>
    <x v="0"/>
    <x v="0"/>
    <x v="0"/>
    <x v="0"/>
    <x v="0"/>
    <s v="24"/>
    <x v="0"/>
    <x v="0"/>
    <x v="2"/>
    <n v="-670874.30000000005"/>
    <x v="0"/>
  </r>
  <r>
    <x v="0"/>
    <x v="0"/>
    <x v="0"/>
    <x v="0"/>
    <x v="0"/>
    <x v="0"/>
    <s v="30"/>
    <x v="0"/>
    <x v="0"/>
    <x v="3"/>
    <n v="183.62"/>
    <x v="0"/>
  </r>
  <r>
    <x v="0"/>
    <x v="0"/>
    <x v="0"/>
    <x v="0"/>
    <x v="0"/>
    <x v="0"/>
    <s v="30"/>
    <x v="0"/>
    <x v="0"/>
    <x v="4"/>
    <n v="-4471.66"/>
    <x v="0"/>
  </r>
  <r>
    <x v="0"/>
    <x v="0"/>
    <x v="0"/>
    <x v="0"/>
    <x v="0"/>
    <x v="0"/>
    <s v="30"/>
    <x v="0"/>
    <x v="0"/>
    <x v="6"/>
    <n v="1015.5"/>
    <x v="0"/>
  </r>
  <r>
    <x v="0"/>
    <x v="0"/>
    <x v="0"/>
    <x v="0"/>
    <x v="0"/>
    <x v="0"/>
    <s v="30"/>
    <x v="0"/>
    <x v="0"/>
    <x v="7"/>
    <n v="245.74"/>
    <x v="0"/>
  </r>
  <r>
    <x v="0"/>
    <x v="0"/>
    <x v="0"/>
    <x v="0"/>
    <x v="0"/>
    <x v="0"/>
    <s v="30"/>
    <x v="0"/>
    <x v="0"/>
    <x v="11"/>
    <n v="-600"/>
    <x v="0"/>
  </r>
  <r>
    <x v="0"/>
    <x v="0"/>
    <x v="0"/>
    <x v="0"/>
    <x v="0"/>
    <x v="0"/>
    <s v="30"/>
    <x v="0"/>
    <x v="0"/>
    <x v="8"/>
    <n v="1202"/>
    <x v="0"/>
  </r>
  <r>
    <x v="0"/>
    <x v="0"/>
    <x v="0"/>
    <x v="0"/>
    <x v="0"/>
    <x v="0"/>
    <s v="30"/>
    <x v="0"/>
    <x v="0"/>
    <x v="0"/>
    <n v="-977.98"/>
    <x v="0"/>
  </r>
  <r>
    <x v="0"/>
    <x v="0"/>
    <x v="0"/>
    <x v="0"/>
    <x v="0"/>
    <x v="0"/>
    <s v="99"/>
    <x v="0"/>
    <x v="0"/>
    <x v="6"/>
    <n v="-1000"/>
    <x v="0"/>
  </r>
  <r>
    <x v="0"/>
    <x v="0"/>
    <x v="0"/>
    <x v="0"/>
    <x v="0"/>
    <x v="0"/>
    <s v="99"/>
    <x v="0"/>
    <x v="0"/>
    <x v="7"/>
    <n v="-5152"/>
    <x v="0"/>
  </r>
  <r>
    <x v="0"/>
    <x v="0"/>
    <x v="0"/>
    <x v="0"/>
    <x v="0"/>
    <x v="0"/>
    <s v="99"/>
    <x v="0"/>
    <x v="0"/>
    <x v="11"/>
    <n v="17827.55"/>
    <x v="0"/>
  </r>
  <r>
    <x v="0"/>
    <x v="0"/>
    <x v="0"/>
    <x v="0"/>
    <x v="0"/>
    <x v="0"/>
    <s v="99"/>
    <x v="0"/>
    <x v="0"/>
    <x v="2"/>
    <n v="-479.55"/>
    <x v="0"/>
  </r>
  <r>
    <x v="0"/>
    <x v="0"/>
    <x v="0"/>
    <x v="0"/>
    <x v="0"/>
    <x v="1"/>
    <s v="21"/>
    <x v="0"/>
    <x v="0"/>
    <x v="9"/>
    <n v="16033.5"/>
    <x v="0"/>
  </r>
  <r>
    <x v="0"/>
    <x v="0"/>
    <x v="0"/>
    <x v="0"/>
    <x v="0"/>
    <x v="1"/>
    <s v="21"/>
    <x v="0"/>
    <x v="0"/>
    <x v="10"/>
    <n v="2000"/>
    <x v="0"/>
  </r>
  <r>
    <x v="0"/>
    <x v="0"/>
    <x v="0"/>
    <x v="0"/>
    <x v="0"/>
    <x v="1"/>
    <s v="21"/>
    <x v="0"/>
    <x v="0"/>
    <x v="2"/>
    <n v="1312.46"/>
    <x v="0"/>
  </r>
  <r>
    <x v="0"/>
    <x v="0"/>
    <x v="0"/>
    <x v="0"/>
    <x v="0"/>
    <x v="1"/>
    <s v="22"/>
    <x v="0"/>
    <x v="0"/>
    <x v="4"/>
    <n v="-438076"/>
    <x v="0"/>
  </r>
  <r>
    <x v="0"/>
    <x v="0"/>
    <x v="0"/>
    <x v="0"/>
    <x v="0"/>
    <x v="1"/>
    <s v="22"/>
    <x v="0"/>
    <x v="0"/>
    <x v="5"/>
    <n v="-219038"/>
    <x v="0"/>
  </r>
  <r>
    <x v="0"/>
    <x v="0"/>
    <x v="0"/>
    <x v="0"/>
    <x v="0"/>
    <x v="1"/>
    <s v="22"/>
    <x v="0"/>
    <x v="0"/>
    <x v="6"/>
    <n v="-7382433.5"/>
    <x v="0"/>
  </r>
  <r>
    <x v="0"/>
    <x v="0"/>
    <x v="0"/>
    <x v="0"/>
    <x v="0"/>
    <x v="1"/>
    <s v="22"/>
    <x v="0"/>
    <x v="0"/>
    <x v="7"/>
    <n v="-43126000"/>
    <x v="0"/>
  </r>
  <r>
    <x v="0"/>
    <x v="0"/>
    <x v="0"/>
    <x v="0"/>
    <x v="0"/>
    <x v="1"/>
    <s v="22"/>
    <x v="0"/>
    <x v="0"/>
    <x v="8"/>
    <n v="-3707038"/>
    <x v="0"/>
  </r>
  <r>
    <x v="0"/>
    <x v="0"/>
    <x v="0"/>
    <x v="0"/>
    <x v="0"/>
    <x v="1"/>
    <s v="22"/>
    <x v="0"/>
    <x v="0"/>
    <x v="0"/>
    <n v="-8858219"/>
    <x v="0"/>
  </r>
  <r>
    <x v="0"/>
    <x v="0"/>
    <x v="0"/>
    <x v="0"/>
    <x v="0"/>
    <x v="1"/>
    <s v="88"/>
    <x v="0"/>
    <x v="0"/>
    <x v="3"/>
    <n v="-171597.71"/>
    <x v="0"/>
  </r>
  <r>
    <x v="0"/>
    <x v="0"/>
    <x v="0"/>
    <x v="0"/>
    <x v="0"/>
    <x v="1"/>
    <s v="88"/>
    <x v="0"/>
    <x v="0"/>
    <x v="4"/>
    <n v="-156336.34"/>
    <x v="0"/>
  </r>
  <r>
    <x v="0"/>
    <x v="0"/>
    <x v="0"/>
    <x v="0"/>
    <x v="0"/>
    <x v="1"/>
    <s v="88"/>
    <x v="0"/>
    <x v="0"/>
    <x v="6"/>
    <n v="-155996.68"/>
    <x v="0"/>
  </r>
  <r>
    <x v="0"/>
    <x v="0"/>
    <x v="0"/>
    <x v="0"/>
    <x v="0"/>
    <x v="1"/>
    <s v="88"/>
    <x v="0"/>
    <x v="0"/>
    <x v="7"/>
    <n v="-155767.64000000001"/>
    <x v="0"/>
  </r>
  <r>
    <x v="0"/>
    <x v="0"/>
    <x v="0"/>
    <x v="0"/>
    <x v="0"/>
    <x v="1"/>
    <s v="88"/>
    <x v="0"/>
    <x v="0"/>
    <x v="11"/>
    <n v="-155652.32999999999"/>
    <x v="0"/>
  </r>
  <r>
    <x v="0"/>
    <x v="0"/>
    <x v="0"/>
    <x v="0"/>
    <x v="0"/>
    <x v="1"/>
    <s v="88"/>
    <x v="0"/>
    <x v="0"/>
    <x v="8"/>
    <n v="-143168.97"/>
    <x v="0"/>
  </r>
  <r>
    <x v="0"/>
    <x v="0"/>
    <x v="0"/>
    <x v="0"/>
    <x v="0"/>
    <x v="1"/>
    <s v="88"/>
    <x v="0"/>
    <x v="0"/>
    <x v="0"/>
    <n v="1705327.13"/>
    <x v="0"/>
  </r>
  <r>
    <x v="0"/>
    <x v="0"/>
    <x v="0"/>
    <x v="0"/>
    <x v="0"/>
    <x v="1"/>
    <s v="94"/>
    <x v="0"/>
    <x v="0"/>
    <x v="0"/>
    <n v="-4556255.6900000004"/>
    <x v="0"/>
  </r>
  <r>
    <x v="0"/>
    <x v="0"/>
    <x v="1"/>
    <x v="0"/>
    <x v="0"/>
    <x v="0"/>
    <s v="09"/>
    <x v="0"/>
    <x v="0"/>
    <x v="3"/>
    <n v="52223.21"/>
    <x v="0"/>
  </r>
  <r>
    <x v="0"/>
    <x v="0"/>
    <x v="1"/>
    <x v="0"/>
    <x v="0"/>
    <x v="0"/>
    <s v="09"/>
    <x v="0"/>
    <x v="0"/>
    <x v="6"/>
    <n v="48359.839999999997"/>
    <x v="0"/>
  </r>
  <r>
    <x v="0"/>
    <x v="0"/>
    <x v="1"/>
    <x v="0"/>
    <x v="0"/>
    <x v="0"/>
    <s v="09"/>
    <x v="0"/>
    <x v="0"/>
    <x v="11"/>
    <n v="89832.4"/>
    <x v="0"/>
  </r>
  <r>
    <x v="0"/>
    <x v="0"/>
    <x v="1"/>
    <x v="0"/>
    <x v="0"/>
    <x v="0"/>
    <s v="09"/>
    <x v="0"/>
    <x v="0"/>
    <x v="0"/>
    <n v="45834.82"/>
    <x v="0"/>
  </r>
  <r>
    <x v="0"/>
    <x v="0"/>
    <x v="1"/>
    <x v="0"/>
    <x v="0"/>
    <x v="0"/>
    <s v="20"/>
    <x v="0"/>
    <x v="0"/>
    <x v="3"/>
    <n v="7583.92"/>
    <x v="0"/>
  </r>
  <r>
    <x v="0"/>
    <x v="0"/>
    <x v="1"/>
    <x v="0"/>
    <x v="0"/>
    <x v="0"/>
    <s v="20"/>
    <x v="0"/>
    <x v="0"/>
    <x v="4"/>
    <n v="-6080"/>
    <x v="0"/>
  </r>
  <r>
    <x v="0"/>
    <x v="0"/>
    <x v="1"/>
    <x v="0"/>
    <x v="0"/>
    <x v="0"/>
    <s v="20"/>
    <x v="0"/>
    <x v="0"/>
    <x v="5"/>
    <n v="2878.45"/>
    <x v="0"/>
  </r>
  <r>
    <x v="0"/>
    <x v="0"/>
    <x v="1"/>
    <x v="0"/>
    <x v="0"/>
    <x v="0"/>
    <s v="20"/>
    <x v="0"/>
    <x v="0"/>
    <x v="7"/>
    <n v="138"/>
    <x v="0"/>
  </r>
  <r>
    <x v="0"/>
    <x v="0"/>
    <x v="1"/>
    <x v="0"/>
    <x v="0"/>
    <x v="0"/>
    <s v="20"/>
    <x v="0"/>
    <x v="0"/>
    <x v="8"/>
    <n v="6380"/>
    <x v="0"/>
  </r>
  <r>
    <x v="0"/>
    <x v="0"/>
    <x v="1"/>
    <x v="0"/>
    <x v="0"/>
    <x v="0"/>
    <s v="20"/>
    <x v="0"/>
    <x v="0"/>
    <x v="0"/>
    <n v="169.84"/>
    <x v="0"/>
  </r>
  <r>
    <x v="0"/>
    <x v="0"/>
    <x v="1"/>
    <x v="0"/>
    <x v="0"/>
    <x v="0"/>
    <s v="24"/>
    <x v="0"/>
    <x v="0"/>
    <x v="1"/>
    <n v="28364389.010000002"/>
    <x v="0"/>
  </r>
  <r>
    <x v="0"/>
    <x v="1"/>
    <x v="1"/>
    <x v="0"/>
    <x v="0"/>
    <x v="0"/>
    <s v="09"/>
    <x v="0"/>
    <x v="0"/>
    <x v="5"/>
    <n v="52223.22"/>
    <x v="0"/>
  </r>
  <r>
    <x v="0"/>
    <x v="1"/>
    <x v="1"/>
    <x v="0"/>
    <x v="0"/>
    <x v="0"/>
    <s v="24"/>
    <x v="0"/>
    <x v="0"/>
    <x v="3"/>
    <n v="-4695990.26"/>
    <x v="0"/>
  </r>
  <r>
    <x v="0"/>
    <x v="1"/>
    <x v="1"/>
    <x v="0"/>
    <x v="0"/>
    <x v="0"/>
    <s v="24"/>
    <x v="0"/>
    <x v="0"/>
    <x v="0"/>
    <n v="4697361.03"/>
    <x v="0"/>
  </r>
  <r>
    <x v="0"/>
    <x v="1"/>
    <x v="1"/>
    <x v="0"/>
    <x v="0"/>
    <x v="0"/>
    <s v="09"/>
    <x v="0"/>
    <x v="0"/>
    <x v="3"/>
    <n v="-52223.21"/>
    <x v="0"/>
  </r>
  <r>
    <x v="0"/>
    <x v="1"/>
    <x v="1"/>
    <x v="0"/>
    <x v="0"/>
    <x v="0"/>
    <s v="09"/>
    <x v="0"/>
    <x v="0"/>
    <x v="0"/>
    <n v="19544.919999999998"/>
    <x v="0"/>
  </r>
  <r>
    <x v="0"/>
    <x v="1"/>
    <x v="1"/>
    <x v="0"/>
    <x v="0"/>
    <x v="0"/>
    <s v="73"/>
    <x v="0"/>
    <x v="0"/>
    <x v="3"/>
    <n v="13449.17"/>
    <x v="0"/>
  </r>
  <r>
    <x v="0"/>
    <x v="1"/>
    <x v="1"/>
    <x v="0"/>
    <x v="0"/>
    <x v="0"/>
    <s v="73"/>
    <x v="0"/>
    <x v="0"/>
    <x v="0"/>
    <n v="-10302.81"/>
    <x v="0"/>
  </r>
  <r>
    <x v="0"/>
    <x v="1"/>
    <x v="2"/>
    <x v="0"/>
    <x v="0"/>
    <x v="0"/>
    <s v="24"/>
    <x v="0"/>
    <x v="0"/>
    <x v="5"/>
    <n v="5581.4"/>
    <x v="0"/>
  </r>
  <r>
    <x v="0"/>
    <x v="1"/>
    <x v="2"/>
    <x v="0"/>
    <x v="0"/>
    <x v="0"/>
    <s v="24"/>
    <x v="0"/>
    <x v="0"/>
    <x v="9"/>
    <n v="653023.80000000005"/>
    <x v="0"/>
  </r>
  <r>
    <x v="0"/>
    <x v="1"/>
    <x v="2"/>
    <x v="0"/>
    <x v="0"/>
    <x v="0"/>
    <s v="24"/>
    <x v="0"/>
    <x v="0"/>
    <x v="7"/>
    <n v="2537"/>
    <x v="0"/>
  </r>
  <r>
    <x v="0"/>
    <x v="1"/>
    <x v="2"/>
    <x v="0"/>
    <x v="0"/>
    <x v="0"/>
    <s v="24"/>
    <x v="0"/>
    <x v="0"/>
    <x v="10"/>
    <n v="614968.80000000005"/>
    <x v="0"/>
  </r>
  <r>
    <x v="0"/>
    <x v="1"/>
    <x v="2"/>
    <x v="0"/>
    <x v="0"/>
    <x v="0"/>
    <s v="24"/>
    <x v="0"/>
    <x v="0"/>
    <x v="2"/>
    <n v="-1014.8"/>
    <x v="0"/>
  </r>
  <r>
    <x v="0"/>
    <x v="1"/>
    <x v="2"/>
    <x v="0"/>
    <x v="0"/>
    <x v="3"/>
    <s v="41"/>
    <x v="0"/>
    <x v="0"/>
    <x v="0"/>
    <n v="500"/>
    <x v="1"/>
  </r>
  <r>
    <x v="0"/>
    <x v="1"/>
    <x v="2"/>
    <x v="0"/>
    <x v="0"/>
    <x v="0"/>
    <s v="24"/>
    <x v="0"/>
    <x v="0"/>
    <x v="1"/>
    <n v="678393.8"/>
    <x v="0"/>
  </r>
  <r>
    <x v="0"/>
    <x v="1"/>
    <x v="2"/>
    <x v="0"/>
    <x v="0"/>
    <x v="0"/>
    <s v="24"/>
    <x v="0"/>
    <x v="0"/>
    <x v="6"/>
    <n v="-2790.7"/>
    <x v="0"/>
  </r>
  <r>
    <x v="0"/>
    <x v="1"/>
    <x v="2"/>
    <x v="0"/>
    <x v="0"/>
    <x v="0"/>
    <s v="24"/>
    <x v="0"/>
    <x v="0"/>
    <x v="11"/>
    <n v="-5835.1"/>
    <x v="0"/>
  </r>
  <r>
    <x v="0"/>
    <x v="1"/>
    <x v="2"/>
    <x v="0"/>
    <x v="0"/>
    <x v="0"/>
    <s v="24"/>
    <x v="0"/>
    <x v="0"/>
    <x v="8"/>
    <n v="9386.9"/>
    <x v="0"/>
  </r>
  <r>
    <x v="0"/>
    <x v="1"/>
    <x v="2"/>
    <x v="0"/>
    <x v="0"/>
    <x v="0"/>
    <s v="24"/>
    <x v="0"/>
    <x v="0"/>
    <x v="0"/>
    <n v="-9790.7999999999993"/>
    <x v="0"/>
  </r>
  <r>
    <x v="0"/>
    <x v="1"/>
    <x v="3"/>
    <x v="0"/>
    <x v="0"/>
    <x v="0"/>
    <s v="01"/>
    <x v="0"/>
    <x v="0"/>
    <x v="1"/>
    <n v="321.66000000000003"/>
    <x v="0"/>
  </r>
  <r>
    <x v="0"/>
    <x v="1"/>
    <x v="3"/>
    <x v="0"/>
    <x v="0"/>
    <x v="0"/>
    <s v="01"/>
    <x v="0"/>
    <x v="0"/>
    <x v="6"/>
    <n v="-2194.29"/>
    <x v="0"/>
  </r>
  <r>
    <x v="0"/>
    <x v="1"/>
    <x v="3"/>
    <x v="0"/>
    <x v="0"/>
    <x v="0"/>
    <s v="01"/>
    <x v="0"/>
    <x v="0"/>
    <x v="9"/>
    <n v="-959.5"/>
    <x v="0"/>
  </r>
  <r>
    <x v="0"/>
    <x v="1"/>
    <x v="3"/>
    <x v="0"/>
    <x v="0"/>
    <x v="0"/>
    <s v="01"/>
    <x v="0"/>
    <x v="0"/>
    <x v="11"/>
    <n v="1660.84"/>
    <x v="0"/>
  </r>
  <r>
    <x v="0"/>
    <x v="1"/>
    <x v="3"/>
    <x v="0"/>
    <x v="0"/>
    <x v="0"/>
    <s v="01"/>
    <x v="0"/>
    <x v="0"/>
    <x v="8"/>
    <n v="1549.52"/>
    <x v="0"/>
  </r>
  <r>
    <x v="0"/>
    <x v="1"/>
    <x v="3"/>
    <x v="0"/>
    <x v="0"/>
    <x v="0"/>
    <s v="01"/>
    <x v="0"/>
    <x v="0"/>
    <x v="2"/>
    <n v="-6087.18"/>
    <x v="0"/>
  </r>
  <r>
    <x v="0"/>
    <x v="1"/>
    <x v="3"/>
    <x v="0"/>
    <x v="0"/>
    <x v="0"/>
    <s v="09"/>
    <x v="0"/>
    <x v="0"/>
    <x v="10"/>
    <n v="849.01"/>
    <x v="0"/>
  </r>
  <r>
    <x v="0"/>
    <x v="1"/>
    <x v="3"/>
    <x v="0"/>
    <x v="0"/>
    <x v="0"/>
    <s v="09"/>
    <x v="0"/>
    <x v="0"/>
    <x v="0"/>
    <n v="-309.83999999999997"/>
    <x v="0"/>
  </r>
  <r>
    <x v="0"/>
    <x v="1"/>
    <x v="3"/>
    <x v="0"/>
    <x v="0"/>
    <x v="0"/>
    <s v="20"/>
    <x v="0"/>
    <x v="0"/>
    <x v="3"/>
    <n v="-568.58000000000004"/>
    <x v="0"/>
  </r>
  <r>
    <x v="0"/>
    <x v="1"/>
    <x v="3"/>
    <x v="0"/>
    <x v="0"/>
    <x v="0"/>
    <s v="20"/>
    <x v="0"/>
    <x v="0"/>
    <x v="8"/>
    <n v="568.58000000000004"/>
    <x v="0"/>
  </r>
  <r>
    <x v="0"/>
    <x v="1"/>
    <x v="3"/>
    <x v="0"/>
    <x v="0"/>
    <x v="0"/>
    <s v="24"/>
    <x v="0"/>
    <x v="0"/>
    <x v="1"/>
    <n v="61920.39"/>
    <x v="0"/>
  </r>
  <r>
    <x v="0"/>
    <x v="1"/>
    <x v="3"/>
    <x v="0"/>
    <x v="0"/>
    <x v="0"/>
    <s v="24"/>
    <x v="0"/>
    <x v="0"/>
    <x v="5"/>
    <n v="45548.06"/>
    <x v="0"/>
  </r>
  <r>
    <x v="0"/>
    <x v="1"/>
    <x v="3"/>
    <x v="0"/>
    <x v="0"/>
    <x v="0"/>
    <s v="24"/>
    <x v="0"/>
    <x v="0"/>
    <x v="9"/>
    <n v="-172288.62"/>
    <x v="0"/>
  </r>
  <r>
    <x v="0"/>
    <x v="1"/>
    <x v="3"/>
    <x v="0"/>
    <x v="0"/>
    <x v="0"/>
    <s v="24"/>
    <x v="0"/>
    <x v="0"/>
    <x v="10"/>
    <n v="87674.06"/>
    <x v="0"/>
  </r>
  <r>
    <x v="0"/>
    <x v="1"/>
    <x v="3"/>
    <x v="0"/>
    <x v="0"/>
    <x v="0"/>
    <s v="24"/>
    <x v="0"/>
    <x v="0"/>
    <x v="2"/>
    <n v="-113809.41"/>
    <x v="0"/>
  </r>
  <r>
    <x v="0"/>
    <x v="1"/>
    <x v="3"/>
    <x v="0"/>
    <x v="0"/>
    <x v="0"/>
    <s v="30"/>
    <x v="0"/>
    <x v="0"/>
    <x v="4"/>
    <n v="-78.099999999999994"/>
    <x v="0"/>
  </r>
  <r>
    <x v="0"/>
    <x v="1"/>
    <x v="3"/>
    <x v="0"/>
    <x v="0"/>
    <x v="0"/>
    <s v="30"/>
    <x v="0"/>
    <x v="0"/>
    <x v="1"/>
    <n v="78.099999999999994"/>
    <x v="0"/>
  </r>
  <r>
    <x v="0"/>
    <x v="1"/>
    <x v="3"/>
    <x v="0"/>
    <x v="0"/>
    <x v="0"/>
    <s v="41"/>
    <x v="0"/>
    <x v="0"/>
    <x v="7"/>
    <n v="104805.67"/>
    <x v="0"/>
  </r>
  <r>
    <x v="0"/>
    <x v="1"/>
    <x v="3"/>
    <x v="0"/>
    <x v="0"/>
    <x v="0"/>
    <s v="41"/>
    <x v="0"/>
    <x v="0"/>
    <x v="11"/>
    <n v="-104805.67"/>
    <x v="0"/>
  </r>
  <r>
    <x v="0"/>
    <x v="1"/>
    <x v="3"/>
    <x v="0"/>
    <x v="0"/>
    <x v="0"/>
    <s v="41"/>
    <x v="0"/>
    <x v="0"/>
    <x v="8"/>
    <n v="86349.54"/>
    <x v="0"/>
  </r>
  <r>
    <x v="0"/>
    <x v="1"/>
    <x v="3"/>
    <x v="0"/>
    <x v="0"/>
    <x v="0"/>
    <s v="41"/>
    <x v="0"/>
    <x v="0"/>
    <x v="0"/>
    <n v="125914.24000000001"/>
    <x v="0"/>
  </r>
  <r>
    <x v="0"/>
    <x v="1"/>
    <x v="3"/>
    <x v="0"/>
    <x v="0"/>
    <x v="0"/>
    <s v="85"/>
    <x v="0"/>
    <x v="0"/>
    <x v="7"/>
    <n v="-100540.67"/>
    <x v="0"/>
  </r>
  <r>
    <x v="0"/>
    <x v="1"/>
    <x v="3"/>
    <x v="0"/>
    <x v="0"/>
    <x v="0"/>
    <s v="85"/>
    <x v="0"/>
    <x v="0"/>
    <x v="11"/>
    <n v="100540.67"/>
    <x v="0"/>
  </r>
  <r>
    <x v="0"/>
    <x v="1"/>
    <x v="3"/>
    <x v="0"/>
    <x v="0"/>
    <x v="0"/>
    <s v="99"/>
    <x v="0"/>
    <x v="0"/>
    <x v="3"/>
    <n v="-24526.87"/>
    <x v="0"/>
  </r>
  <r>
    <x v="0"/>
    <x v="1"/>
    <x v="3"/>
    <x v="0"/>
    <x v="0"/>
    <x v="0"/>
    <s v="99"/>
    <x v="0"/>
    <x v="0"/>
    <x v="4"/>
    <n v="22741.03"/>
    <x v="0"/>
  </r>
  <r>
    <x v="0"/>
    <x v="1"/>
    <x v="3"/>
    <x v="0"/>
    <x v="0"/>
    <x v="0"/>
    <s v="99"/>
    <x v="0"/>
    <x v="0"/>
    <x v="1"/>
    <n v="423.3"/>
    <x v="0"/>
  </r>
  <r>
    <x v="0"/>
    <x v="1"/>
    <x v="3"/>
    <x v="0"/>
    <x v="0"/>
    <x v="0"/>
    <s v="99"/>
    <x v="0"/>
    <x v="0"/>
    <x v="11"/>
    <n v="-3685"/>
    <x v="0"/>
  </r>
  <r>
    <x v="0"/>
    <x v="1"/>
    <x v="3"/>
    <x v="0"/>
    <x v="0"/>
    <x v="0"/>
    <s v="99"/>
    <x v="0"/>
    <x v="0"/>
    <x v="0"/>
    <n v="2918.36"/>
    <x v="0"/>
  </r>
  <r>
    <x v="0"/>
    <x v="1"/>
    <x v="3"/>
    <x v="0"/>
    <x v="0"/>
    <x v="3"/>
    <s v="41"/>
    <x v="0"/>
    <x v="0"/>
    <x v="11"/>
    <n v="1980"/>
    <x v="1"/>
  </r>
  <r>
    <x v="0"/>
    <x v="1"/>
    <x v="3"/>
    <x v="0"/>
    <x v="0"/>
    <x v="4"/>
    <s v="20"/>
    <x v="0"/>
    <x v="0"/>
    <x v="3"/>
    <n v="-0.18"/>
    <x v="0"/>
  </r>
  <r>
    <x v="0"/>
    <x v="1"/>
    <x v="3"/>
    <x v="0"/>
    <x v="0"/>
    <x v="4"/>
    <s v="20"/>
    <x v="0"/>
    <x v="0"/>
    <x v="0"/>
    <n v="0.18"/>
    <x v="0"/>
  </r>
  <r>
    <x v="0"/>
    <x v="1"/>
    <x v="3"/>
    <x v="0"/>
    <x v="0"/>
    <x v="0"/>
    <s v="01"/>
    <x v="0"/>
    <x v="0"/>
    <x v="3"/>
    <n v="-5672.86"/>
    <x v="0"/>
  </r>
  <r>
    <x v="0"/>
    <x v="1"/>
    <x v="3"/>
    <x v="0"/>
    <x v="0"/>
    <x v="0"/>
    <s v="01"/>
    <x v="0"/>
    <x v="0"/>
    <x v="4"/>
    <n v="12.1"/>
    <x v="0"/>
  </r>
  <r>
    <x v="0"/>
    <x v="1"/>
    <x v="3"/>
    <x v="0"/>
    <x v="0"/>
    <x v="0"/>
    <s v="01"/>
    <x v="0"/>
    <x v="0"/>
    <x v="5"/>
    <n v="846.38"/>
    <x v="0"/>
  </r>
  <r>
    <x v="0"/>
    <x v="1"/>
    <x v="3"/>
    <x v="0"/>
    <x v="0"/>
    <x v="0"/>
    <s v="01"/>
    <x v="0"/>
    <x v="0"/>
    <x v="7"/>
    <n v="1817.81"/>
    <x v="0"/>
  </r>
  <r>
    <x v="0"/>
    <x v="1"/>
    <x v="3"/>
    <x v="0"/>
    <x v="0"/>
    <x v="0"/>
    <s v="01"/>
    <x v="0"/>
    <x v="0"/>
    <x v="10"/>
    <n v="3009.91"/>
    <x v="0"/>
  </r>
  <r>
    <x v="0"/>
    <x v="1"/>
    <x v="3"/>
    <x v="0"/>
    <x v="0"/>
    <x v="0"/>
    <s v="01"/>
    <x v="0"/>
    <x v="0"/>
    <x v="0"/>
    <n v="15772.17"/>
    <x v="0"/>
  </r>
  <r>
    <x v="0"/>
    <x v="1"/>
    <x v="3"/>
    <x v="0"/>
    <x v="0"/>
    <x v="0"/>
    <s v="09"/>
    <x v="0"/>
    <x v="0"/>
    <x v="8"/>
    <n v="-849.01"/>
    <x v="0"/>
  </r>
  <r>
    <x v="0"/>
    <x v="1"/>
    <x v="3"/>
    <x v="0"/>
    <x v="0"/>
    <x v="0"/>
    <s v="09"/>
    <x v="0"/>
    <x v="0"/>
    <x v="2"/>
    <n v="309.83999999999997"/>
    <x v="0"/>
  </r>
  <r>
    <x v="0"/>
    <x v="1"/>
    <x v="3"/>
    <x v="0"/>
    <x v="0"/>
    <x v="0"/>
    <s v="21"/>
    <x v="0"/>
    <x v="0"/>
    <x v="3"/>
    <n v="1250"/>
    <x v="0"/>
  </r>
  <r>
    <x v="0"/>
    <x v="1"/>
    <x v="3"/>
    <x v="0"/>
    <x v="0"/>
    <x v="0"/>
    <s v="21"/>
    <x v="0"/>
    <x v="0"/>
    <x v="4"/>
    <n v="-1250"/>
    <x v="0"/>
  </r>
  <r>
    <x v="0"/>
    <x v="1"/>
    <x v="3"/>
    <x v="0"/>
    <x v="0"/>
    <x v="0"/>
    <s v="24"/>
    <x v="0"/>
    <x v="0"/>
    <x v="3"/>
    <n v="388319.37"/>
    <x v="0"/>
  </r>
  <r>
    <x v="0"/>
    <x v="1"/>
    <x v="3"/>
    <x v="0"/>
    <x v="0"/>
    <x v="0"/>
    <s v="24"/>
    <x v="0"/>
    <x v="0"/>
    <x v="4"/>
    <n v="61069.97"/>
    <x v="0"/>
  </r>
  <r>
    <x v="0"/>
    <x v="1"/>
    <x v="3"/>
    <x v="0"/>
    <x v="0"/>
    <x v="0"/>
    <s v="24"/>
    <x v="0"/>
    <x v="0"/>
    <x v="6"/>
    <n v="172789.74"/>
    <x v="0"/>
  </r>
  <r>
    <x v="0"/>
    <x v="1"/>
    <x v="3"/>
    <x v="0"/>
    <x v="0"/>
    <x v="0"/>
    <s v="24"/>
    <x v="0"/>
    <x v="0"/>
    <x v="7"/>
    <n v="22750.78"/>
    <x v="0"/>
  </r>
  <r>
    <x v="0"/>
    <x v="1"/>
    <x v="3"/>
    <x v="0"/>
    <x v="0"/>
    <x v="0"/>
    <s v="24"/>
    <x v="0"/>
    <x v="0"/>
    <x v="11"/>
    <n v="82265.210000000006"/>
    <x v="0"/>
  </r>
  <r>
    <x v="0"/>
    <x v="1"/>
    <x v="3"/>
    <x v="0"/>
    <x v="0"/>
    <x v="0"/>
    <s v="24"/>
    <x v="0"/>
    <x v="0"/>
    <x v="8"/>
    <n v="-25087.9"/>
    <x v="0"/>
  </r>
  <r>
    <x v="0"/>
    <x v="1"/>
    <x v="3"/>
    <x v="0"/>
    <x v="0"/>
    <x v="0"/>
    <s v="24"/>
    <x v="0"/>
    <x v="0"/>
    <x v="0"/>
    <n v="-366229.55"/>
    <x v="0"/>
  </r>
  <r>
    <x v="0"/>
    <x v="1"/>
    <x v="3"/>
    <x v="0"/>
    <x v="0"/>
    <x v="0"/>
    <s v="41"/>
    <x v="0"/>
    <x v="0"/>
    <x v="2"/>
    <n v="-86349.54"/>
    <x v="0"/>
  </r>
  <r>
    <x v="0"/>
    <x v="1"/>
    <x v="3"/>
    <x v="0"/>
    <x v="0"/>
    <x v="0"/>
    <s v="99"/>
    <x v="0"/>
    <x v="0"/>
    <x v="5"/>
    <n v="40.9"/>
    <x v="0"/>
  </r>
  <r>
    <x v="0"/>
    <x v="1"/>
    <x v="3"/>
    <x v="0"/>
    <x v="0"/>
    <x v="0"/>
    <s v="99"/>
    <x v="0"/>
    <x v="0"/>
    <x v="9"/>
    <n v="4750"/>
    <x v="0"/>
  </r>
  <r>
    <x v="0"/>
    <x v="1"/>
    <x v="3"/>
    <x v="0"/>
    <x v="0"/>
    <x v="0"/>
    <s v="99"/>
    <x v="0"/>
    <x v="0"/>
    <x v="7"/>
    <n v="3685"/>
    <x v="0"/>
  </r>
  <r>
    <x v="0"/>
    <x v="1"/>
    <x v="3"/>
    <x v="0"/>
    <x v="0"/>
    <x v="0"/>
    <s v="99"/>
    <x v="0"/>
    <x v="0"/>
    <x v="10"/>
    <n v="-128.5"/>
    <x v="0"/>
  </r>
  <r>
    <x v="0"/>
    <x v="1"/>
    <x v="3"/>
    <x v="0"/>
    <x v="0"/>
    <x v="0"/>
    <s v="99"/>
    <x v="0"/>
    <x v="0"/>
    <x v="8"/>
    <n v="1700.14"/>
    <x v="0"/>
  </r>
  <r>
    <x v="0"/>
    <x v="1"/>
    <x v="3"/>
    <x v="0"/>
    <x v="0"/>
    <x v="0"/>
    <s v="99"/>
    <x v="0"/>
    <x v="0"/>
    <x v="2"/>
    <n v="-5005"/>
    <x v="0"/>
  </r>
  <r>
    <x v="0"/>
    <x v="1"/>
    <x v="3"/>
    <x v="0"/>
    <x v="0"/>
    <x v="3"/>
    <s v="41"/>
    <x v="0"/>
    <x v="0"/>
    <x v="10"/>
    <n v="-1980"/>
    <x v="1"/>
  </r>
  <r>
    <x v="0"/>
    <x v="0"/>
    <x v="4"/>
    <x v="0"/>
    <x v="0"/>
    <x v="0"/>
    <s v="01"/>
    <x v="0"/>
    <x v="0"/>
    <x v="1"/>
    <n v="24471.34"/>
    <x v="0"/>
  </r>
  <r>
    <x v="0"/>
    <x v="0"/>
    <x v="4"/>
    <x v="0"/>
    <x v="0"/>
    <x v="0"/>
    <s v="01"/>
    <x v="0"/>
    <x v="0"/>
    <x v="9"/>
    <n v="10066.69"/>
    <x v="0"/>
  </r>
  <r>
    <x v="0"/>
    <x v="0"/>
    <x v="4"/>
    <x v="0"/>
    <x v="0"/>
    <x v="0"/>
    <s v="01"/>
    <x v="0"/>
    <x v="0"/>
    <x v="11"/>
    <n v="13535.83"/>
    <x v="0"/>
  </r>
  <r>
    <x v="0"/>
    <x v="0"/>
    <x v="4"/>
    <x v="0"/>
    <x v="0"/>
    <x v="0"/>
    <s v="01"/>
    <x v="0"/>
    <x v="0"/>
    <x v="10"/>
    <n v="11302.7"/>
    <x v="0"/>
  </r>
  <r>
    <x v="0"/>
    <x v="0"/>
    <x v="4"/>
    <x v="0"/>
    <x v="0"/>
    <x v="0"/>
    <s v="01"/>
    <x v="0"/>
    <x v="0"/>
    <x v="2"/>
    <n v="14676.65"/>
    <x v="0"/>
  </r>
  <r>
    <x v="0"/>
    <x v="0"/>
    <x v="4"/>
    <x v="0"/>
    <x v="0"/>
    <x v="0"/>
    <s v="20"/>
    <x v="0"/>
    <x v="0"/>
    <x v="5"/>
    <n v="640"/>
    <x v="0"/>
  </r>
  <r>
    <x v="0"/>
    <x v="0"/>
    <x v="4"/>
    <x v="0"/>
    <x v="0"/>
    <x v="0"/>
    <s v="20"/>
    <x v="0"/>
    <x v="0"/>
    <x v="9"/>
    <n v="-676"/>
    <x v="0"/>
  </r>
  <r>
    <x v="0"/>
    <x v="0"/>
    <x v="4"/>
    <x v="0"/>
    <x v="0"/>
    <x v="0"/>
    <s v="20"/>
    <x v="0"/>
    <x v="0"/>
    <x v="2"/>
    <n v="276"/>
    <x v="0"/>
  </r>
  <r>
    <x v="0"/>
    <x v="0"/>
    <x v="4"/>
    <x v="0"/>
    <x v="0"/>
    <x v="0"/>
    <s v="24"/>
    <x v="0"/>
    <x v="0"/>
    <x v="3"/>
    <n v="213733.2"/>
    <x v="0"/>
  </r>
  <r>
    <x v="0"/>
    <x v="0"/>
    <x v="4"/>
    <x v="0"/>
    <x v="0"/>
    <x v="0"/>
    <s v="24"/>
    <x v="0"/>
    <x v="0"/>
    <x v="4"/>
    <n v="34048982.670000002"/>
    <x v="0"/>
  </r>
  <r>
    <x v="0"/>
    <x v="0"/>
    <x v="1"/>
    <x v="0"/>
    <x v="0"/>
    <x v="0"/>
    <s v="24"/>
    <x v="0"/>
    <x v="0"/>
    <x v="5"/>
    <n v="3812856.18"/>
    <x v="0"/>
  </r>
  <r>
    <x v="0"/>
    <x v="0"/>
    <x v="1"/>
    <x v="0"/>
    <x v="0"/>
    <x v="0"/>
    <s v="24"/>
    <x v="0"/>
    <x v="0"/>
    <x v="9"/>
    <n v="7315841.2800000003"/>
    <x v="0"/>
  </r>
  <r>
    <x v="0"/>
    <x v="0"/>
    <x v="1"/>
    <x v="0"/>
    <x v="0"/>
    <x v="0"/>
    <s v="24"/>
    <x v="0"/>
    <x v="0"/>
    <x v="10"/>
    <n v="1181395.82"/>
    <x v="0"/>
  </r>
  <r>
    <x v="0"/>
    <x v="0"/>
    <x v="1"/>
    <x v="0"/>
    <x v="0"/>
    <x v="0"/>
    <s v="24"/>
    <x v="0"/>
    <x v="0"/>
    <x v="2"/>
    <n v="268665.71999999997"/>
    <x v="0"/>
  </r>
  <r>
    <x v="0"/>
    <x v="0"/>
    <x v="1"/>
    <x v="0"/>
    <x v="0"/>
    <x v="0"/>
    <s v="73"/>
    <x v="0"/>
    <x v="0"/>
    <x v="2"/>
    <n v="-62059.5"/>
    <x v="0"/>
  </r>
  <r>
    <x v="0"/>
    <x v="0"/>
    <x v="1"/>
    <x v="0"/>
    <x v="0"/>
    <x v="0"/>
    <s v="90"/>
    <x v="0"/>
    <x v="0"/>
    <x v="10"/>
    <n v="0.22"/>
    <x v="0"/>
  </r>
  <r>
    <x v="0"/>
    <x v="0"/>
    <x v="1"/>
    <x v="0"/>
    <x v="0"/>
    <x v="0"/>
    <s v="90"/>
    <x v="0"/>
    <x v="0"/>
    <x v="2"/>
    <n v="-0.22"/>
    <x v="0"/>
  </r>
  <r>
    <x v="0"/>
    <x v="0"/>
    <x v="1"/>
    <x v="0"/>
    <x v="0"/>
    <x v="1"/>
    <s v="22"/>
    <x v="0"/>
    <x v="0"/>
    <x v="6"/>
    <n v="-4950"/>
    <x v="0"/>
  </r>
  <r>
    <x v="0"/>
    <x v="0"/>
    <x v="1"/>
    <x v="0"/>
    <x v="0"/>
    <x v="1"/>
    <s v="22"/>
    <x v="0"/>
    <x v="0"/>
    <x v="7"/>
    <n v="-579177.79"/>
    <x v="0"/>
  </r>
  <r>
    <x v="0"/>
    <x v="0"/>
    <x v="1"/>
    <x v="0"/>
    <x v="0"/>
    <x v="1"/>
    <s v="22"/>
    <x v="0"/>
    <x v="0"/>
    <x v="11"/>
    <n v="-25450716.879999999"/>
    <x v="0"/>
  </r>
  <r>
    <x v="0"/>
    <x v="0"/>
    <x v="1"/>
    <x v="0"/>
    <x v="0"/>
    <x v="1"/>
    <s v="22"/>
    <x v="0"/>
    <x v="0"/>
    <x v="0"/>
    <n v="-12190522.75"/>
    <x v="0"/>
  </r>
  <r>
    <x v="0"/>
    <x v="0"/>
    <x v="1"/>
    <x v="0"/>
    <x v="0"/>
    <x v="0"/>
    <s v="09"/>
    <x v="0"/>
    <x v="0"/>
    <x v="2"/>
    <n v="175304.31"/>
    <x v="0"/>
  </r>
  <r>
    <x v="0"/>
    <x v="0"/>
    <x v="1"/>
    <x v="0"/>
    <x v="0"/>
    <x v="0"/>
    <s v="20"/>
    <x v="0"/>
    <x v="0"/>
    <x v="1"/>
    <n v="368"/>
    <x v="0"/>
  </r>
  <r>
    <x v="0"/>
    <x v="0"/>
    <x v="1"/>
    <x v="0"/>
    <x v="0"/>
    <x v="0"/>
    <s v="20"/>
    <x v="0"/>
    <x v="0"/>
    <x v="9"/>
    <n v="-27.85"/>
    <x v="0"/>
  </r>
  <r>
    <x v="0"/>
    <x v="0"/>
    <x v="1"/>
    <x v="0"/>
    <x v="0"/>
    <x v="0"/>
    <s v="20"/>
    <x v="0"/>
    <x v="0"/>
    <x v="11"/>
    <n v="-4860.5200000000004"/>
    <x v="0"/>
  </r>
  <r>
    <x v="0"/>
    <x v="0"/>
    <x v="1"/>
    <x v="0"/>
    <x v="0"/>
    <x v="0"/>
    <s v="20"/>
    <x v="0"/>
    <x v="0"/>
    <x v="10"/>
    <n v="200"/>
    <x v="0"/>
  </r>
  <r>
    <x v="0"/>
    <x v="0"/>
    <x v="1"/>
    <x v="0"/>
    <x v="0"/>
    <x v="0"/>
    <s v="20"/>
    <x v="0"/>
    <x v="0"/>
    <x v="2"/>
    <n v="-6580"/>
    <x v="0"/>
  </r>
  <r>
    <x v="0"/>
    <x v="0"/>
    <x v="1"/>
    <x v="0"/>
    <x v="0"/>
    <x v="0"/>
    <s v="24"/>
    <x v="0"/>
    <x v="0"/>
    <x v="3"/>
    <n v="808100.72"/>
    <x v="0"/>
  </r>
  <r>
    <x v="0"/>
    <x v="0"/>
    <x v="1"/>
    <x v="0"/>
    <x v="0"/>
    <x v="0"/>
    <s v="24"/>
    <x v="0"/>
    <x v="0"/>
    <x v="4"/>
    <n v="96329776.540000007"/>
    <x v="0"/>
  </r>
  <r>
    <x v="0"/>
    <x v="0"/>
    <x v="1"/>
    <x v="0"/>
    <x v="0"/>
    <x v="0"/>
    <s v="24"/>
    <x v="0"/>
    <x v="0"/>
    <x v="6"/>
    <n v="1148403.94"/>
    <x v="0"/>
  </r>
  <r>
    <x v="0"/>
    <x v="0"/>
    <x v="1"/>
    <x v="0"/>
    <x v="0"/>
    <x v="0"/>
    <s v="24"/>
    <x v="0"/>
    <x v="0"/>
    <x v="7"/>
    <n v="106856925.47"/>
    <x v="0"/>
  </r>
  <r>
    <x v="0"/>
    <x v="0"/>
    <x v="1"/>
    <x v="0"/>
    <x v="0"/>
    <x v="0"/>
    <s v="24"/>
    <x v="0"/>
    <x v="0"/>
    <x v="11"/>
    <n v="6142904.0999999996"/>
    <x v="0"/>
  </r>
  <r>
    <x v="0"/>
    <x v="0"/>
    <x v="1"/>
    <x v="0"/>
    <x v="0"/>
    <x v="0"/>
    <s v="24"/>
    <x v="0"/>
    <x v="0"/>
    <x v="8"/>
    <n v="733348.26"/>
    <x v="0"/>
  </r>
  <r>
    <x v="0"/>
    <x v="0"/>
    <x v="1"/>
    <x v="0"/>
    <x v="0"/>
    <x v="0"/>
    <s v="24"/>
    <x v="0"/>
    <x v="0"/>
    <x v="0"/>
    <n v="-1394614.38"/>
    <x v="0"/>
  </r>
  <r>
    <x v="0"/>
    <x v="0"/>
    <x v="1"/>
    <x v="0"/>
    <x v="0"/>
    <x v="0"/>
    <s v="73"/>
    <x v="0"/>
    <x v="0"/>
    <x v="3"/>
    <n v="-13449.17"/>
    <x v="0"/>
  </r>
  <r>
    <x v="0"/>
    <x v="0"/>
    <x v="1"/>
    <x v="0"/>
    <x v="0"/>
    <x v="0"/>
    <s v="73"/>
    <x v="0"/>
    <x v="0"/>
    <x v="6"/>
    <n v="-40942.589999999997"/>
    <x v="0"/>
  </r>
  <r>
    <x v="0"/>
    <x v="0"/>
    <x v="1"/>
    <x v="0"/>
    <x v="0"/>
    <x v="0"/>
    <s v="73"/>
    <x v="0"/>
    <x v="0"/>
    <x v="11"/>
    <n v="-57284.82"/>
    <x v="0"/>
  </r>
  <r>
    <x v="0"/>
    <x v="0"/>
    <x v="1"/>
    <x v="0"/>
    <x v="0"/>
    <x v="0"/>
    <s v="73"/>
    <x v="0"/>
    <x v="0"/>
    <x v="0"/>
    <n v="-28030.55"/>
    <x v="0"/>
  </r>
  <r>
    <x v="0"/>
    <x v="0"/>
    <x v="1"/>
    <x v="0"/>
    <x v="0"/>
    <x v="1"/>
    <s v="21"/>
    <x v="0"/>
    <x v="0"/>
    <x v="11"/>
    <n v="25450716.879999999"/>
    <x v="0"/>
  </r>
  <r>
    <x v="0"/>
    <x v="0"/>
    <x v="1"/>
    <x v="0"/>
    <x v="0"/>
    <x v="1"/>
    <s v="21"/>
    <x v="0"/>
    <x v="0"/>
    <x v="0"/>
    <n v="11018582.75"/>
    <x v="0"/>
  </r>
  <r>
    <x v="0"/>
    <x v="0"/>
    <x v="1"/>
    <x v="0"/>
    <x v="0"/>
    <x v="1"/>
    <s v="22"/>
    <x v="0"/>
    <x v="0"/>
    <x v="9"/>
    <n v="-13440"/>
    <x v="0"/>
  </r>
  <r>
    <x v="0"/>
    <x v="0"/>
    <x v="1"/>
    <x v="0"/>
    <x v="0"/>
    <x v="1"/>
    <s v="22"/>
    <x v="0"/>
    <x v="0"/>
    <x v="2"/>
    <n v="-44950"/>
    <x v="0"/>
  </r>
  <r>
    <x v="0"/>
    <x v="0"/>
    <x v="5"/>
    <x v="0"/>
    <x v="0"/>
    <x v="0"/>
    <s v="05"/>
    <x v="0"/>
    <x v="0"/>
    <x v="9"/>
    <n v="-360"/>
    <x v="0"/>
  </r>
  <r>
    <x v="0"/>
    <x v="0"/>
    <x v="5"/>
    <x v="0"/>
    <x v="0"/>
    <x v="0"/>
    <s v="05"/>
    <x v="0"/>
    <x v="0"/>
    <x v="11"/>
    <n v="50"/>
    <x v="0"/>
  </r>
  <r>
    <x v="0"/>
    <x v="0"/>
    <x v="5"/>
    <x v="0"/>
    <x v="0"/>
    <x v="0"/>
    <s v="20"/>
    <x v="0"/>
    <x v="0"/>
    <x v="7"/>
    <n v="317"/>
    <x v="0"/>
  </r>
  <r>
    <x v="0"/>
    <x v="0"/>
    <x v="5"/>
    <x v="0"/>
    <x v="0"/>
    <x v="0"/>
    <s v="20"/>
    <x v="0"/>
    <x v="0"/>
    <x v="0"/>
    <n v="366.42"/>
    <x v="0"/>
  </r>
  <r>
    <x v="0"/>
    <x v="0"/>
    <x v="5"/>
    <x v="0"/>
    <x v="0"/>
    <x v="0"/>
    <s v="24"/>
    <x v="0"/>
    <x v="0"/>
    <x v="3"/>
    <n v="-38878.39"/>
    <x v="0"/>
  </r>
  <r>
    <x v="0"/>
    <x v="0"/>
    <x v="5"/>
    <x v="0"/>
    <x v="0"/>
    <x v="0"/>
    <s v="24"/>
    <x v="0"/>
    <x v="0"/>
    <x v="1"/>
    <n v="-799818.38"/>
    <x v="0"/>
  </r>
  <r>
    <x v="0"/>
    <x v="0"/>
    <x v="5"/>
    <x v="0"/>
    <x v="0"/>
    <x v="0"/>
    <s v="24"/>
    <x v="0"/>
    <x v="0"/>
    <x v="6"/>
    <n v="-84758.31"/>
    <x v="0"/>
  </r>
  <r>
    <x v="0"/>
    <x v="0"/>
    <x v="5"/>
    <x v="0"/>
    <x v="0"/>
    <x v="0"/>
    <s v="24"/>
    <x v="0"/>
    <x v="0"/>
    <x v="9"/>
    <n v="21964289.629999999"/>
    <x v="0"/>
  </r>
  <r>
    <x v="0"/>
    <x v="0"/>
    <x v="5"/>
    <x v="0"/>
    <x v="0"/>
    <x v="0"/>
    <s v="24"/>
    <x v="0"/>
    <x v="0"/>
    <x v="11"/>
    <n v="-130841.64"/>
    <x v="0"/>
  </r>
  <r>
    <x v="0"/>
    <x v="0"/>
    <x v="5"/>
    <x v="0"/>
    <x v="0"/>
    <x v="0"/>
    <s v="24"/>
    <x v="0"/>
    <x v="0"/>
    <x v="8"/>
    <n v="91311"/>
    <x v="0"/>
  </r>
  <r>
    <x v="0"/>
    <x v="0"/>
    <x v="5"/>
    <x v="0"/>
    <x v="0"/>
    <x v="0"/>
    <s v="24"/>
    <x v="0"/>
    <x v="0"/>
    <x v="2"/>
    <n v="616731.36"/>
    <x v="0"/>
  </r>
  <r>
    <x v="0"/>
    <x v="0"/>
    <x v="5"/>
    <x v="0"/>
    <x v="0"/>
    <x v="0"/>
    <s v="99"/>
    <x v="0"/>
    <x v="0"/>
    <x v="2"/>
    <n v="50"/>
    <x v="0"/>
  </r>
  <r>
    <x v="0"/>
    <x v="0"/>
    <x v="5"/>
    <x v="0"/>
    <x v="0"/>
    <x v="0"/>
    <s v="05"/>
    <x v="0"/>
    <x v="0"/>
    <x v="7"/>
    <n v="895"/>
    <x v="0"/>
  </r>
  <r>
    <x v="0"/>
    <x v="0"/>
    <x v="5"/>
    <x v="0"/>
    <x v="0"/>
    <x v="0"/>
    <s v="09"/>
    <x v="0"/>
    <x v="0"/>
    <x v="0"/>
    <n v="4424.13"/>
    <x v="0"/>
  </r>
  <r>
    <x v="0"/>
    <x v="0"/>
    <x v="5"/>
    <x v="0"/>
    <x v="0"/>
    <x v="0"/>
    <s v="13"/>
    <x v="0"/>
    <x v="0"/>
    <x v="0"/>
    <n v="0"/>
    <x v="0"/>
  </r>
  <r>
    <x v="0"/>
    <x v="0"/>
    <x v="5"/>
    <x v="0"/>
    <x v="0"/>
    <x v="0"/>
    <s v="20"/>
    <x v="0"/>
    <x v="0"/>
    <x v="11"/>
    <n v="-87.14"/>
    <x v="0"/>
  </r>
  <r>
    <x v="0"/>
    <x v="0"/>
    <x v="5"/>
    <x v="0"/>
    <x v="0"/>
    <x v="0"/>
    <s v="24"/>
    <x v="0"/>
    <x v="0"/>
    <x v="4"/>
    <n v="24733537.510000002"/>
    <x v="0"/>
  </r>
  <r>
    <x v="0"/>
    <x v="0"/>
    <x v="5"/>
    <x v="0"/>
    <x v="0"/>
    <x v="0"/>
    <s v="24"/>
    <x v="0"/>
    <x v="0"/>
    <x v="5"/>
    <n v="-446334.67"/>
    <x v="0"/>
  </r>
  <r>
    <x v="0"/>
    <x v="0"/>
    <x v="5"/>
    <x v="0"/>
    <x v="0"/>
    <x v="0"/>
    <s v="24"/>
    <x v="0"/>
    <x v="0"/>
    <x v="7"/>
    <n v="636988.74"/>
    <x v="0"/>
  </r>
  <r>
    <x v="0"/>
    <x v="0"/>
    <x v="5"/>
    <x v="0"/>
    <x v="0"/>
    <x v="0"/>
    <s v="24"/>
    <x v="0"/>
    <x v="0"/>
    <x v="10"/>
    <n v="21233740.190000001"/>
    <x v="0"/>
  </r>
  <r>
    <x v="0"/>
    <x v="0"/>
    <x v="5"/>
    <x v="0"/>
    <x v="0"/>
    <x v="0"/>
    <s v="24"/>
    <x v="0"/>
    <x v="0"/>
    <x v="0"/>
    <n v="-200285.98"/>
    <x v="0"/>
  </r>
  <r>
    <x v="0"/>
    <x v="0"/>
    <x v="6"/>
    <x v="0"/>
    <x v="0"/>
    <x v="0"/>
    <s v="24"/>
    <x v="0"/>
    <x v="0"/>
    <x v="3"/>
    <n v="236.46"/>
    <x v="0"/>
  </r>
  <r>
    <x v="0"/>
    <x v="0"/>
    <x v="6"/>
    <x v="0"/>
    <x v="0"/>
    <x v="0"/>
    <s v="24"/>
    <x v="0"/>
    <x v="0"/>
    <x v="1"/>
    <n v="22486944.18"/>
    <x v="0"/>
  </r>
  <r>
    <x v="0"/>
    <x v="0"/>
    <x v="6"/>
    <x v="0"/>
    <x v="0"/>
    <x v="0"/>
    <s v="24"/>
    <x v="0"/>
    <x v="0"/>
    <x v="6"/>
    <n v="-99866.71"/>
    <x v="0"/>
  </r>
  <r>
    <x v="0"/>
    <x v="0"/>
    <x v="6"/>
    <x v="0"/>
    <x v="0"/>
    <x v="0"/>
    <s v="24"/>
    <x v="0"/>
    <x v="0"/>
    <x v="9"/>
    <n v="-42383.65"/>
    <x v="0"/>
  </r>
  <r>
    <x v="0"/>
    <x v="0"/>
    <x v="6"/>
    <x v="0"/>
    <x v="0"/>
    <x v="0"/>
    <s v="24"/>
    <x v="0"/>
    <x v="0"/>
    <x v="11"/>
    <n v="-71583.94"/>
    <x v="0"/>
  </r>
  <r>
    <x v="0"/>
    <x v="0"/>
    <x v="6"/>
    <x v="0"/>
    <x v="0"/>
    <x v="0"/>
    <s v="24"/>
    <x v="0"/>
    <x v="0"/>
    <x v="8"/>
    <n v="-451958.73"/>
    <x v="0"/>
  </r>
  <r>
    <x v="0"/>
    <x v="0"/>
    <x v="6"/>
    <x v="0"/>
    <x v="0"/>
    <x v="0"/>
    <s v="99"/>
    <x v="0"/>
    <x v="0"/>
    <x v="2"/>
    <n v="-41961.68"/>
    <x v="0"/>
  </r>
  <r>
    <x v="0"/>
    <x v="0"/>
    <x v="6"/>
    <x v="0"/>
    <x v="0"/>
    <x v="0"/>
    <s v="24"/>
    <x v="0"/>
    <x v="0"/>
    <x v="4"/>
    <n v="-10101.780000000001"/>
    <x v="0"/>
  </r>
  <r>
    <x v="0"/>
    <x v="0"/>
    <x v="6"/>
    <x v="0"/>
    <x v="0"/>
    <x v="0"/>
    <s v="24"/>
    <x v="0"/>
    <x v="0"/>
    <x v="5"/>
    <n v="-460482.98"/>
    <x v="0"/>
  </r>
  <r>
    <x v="0"/>
    <x v="0"/>
    <x v="6"/>
    <x v="0"/>
    <x v="0"/>
    <x v="0"/>
    <s v="24"/>
    <x v="0"/>
    <x v="0"/>
    <x v="7"/>
    <n v="21301178.149999999"/>
    <x v="0"/>
  </r>
  <r>
    <x v="0"/>
    <x v="0"/>
    <x v="6"/>
    <x v="0"/>
    <x v="0"/>
    <x v="0"/>
    <s v="24"/>
    <x v="0"/>
    <x v="0"/>
    <x v="10"/>
    <n v="20793602.07"/>
    <x v="0"/>
  </r>
  <r>
    <x v="0"/>
    <x v="0"/>
    <x v="6"/>
    <x v="0"/>
    <x v="0"/>
    <x v="0"/>
    <s v="24"/>
    <x v="0"/>
    <x v="0"/>
    <x v="2"/>
    <n v="-28808.65"/>
    <x v="0"/>
  </r>
  <r>
    <x v="0"/>
    <x v="0"/>
    <x v="6"/>
    <x v="0"/>
    <x v="0"/>
    <x v="0"/>
    <s v="24"/>
    <x v="0"/>
    <x v="0"/>
    <x v="0"/>
    <n v="-9749.36"/>
    <x v="0"/>
  </r>
  <r>
    <x v="0"/>
    <x v="0"/>
    <x v="6"/>
    <x v="0"/>
    <x v="0"/>
    <x v="0"/>
    <s v="99"/>
    <x v="0"/>
    <x v="0"/>
    <x v="0"/>
    <n v="57393.26"/>
    <x v="0"/>
  </r>
  <r>
    <x v="0"/>
    <x v="0"/>
    <x v="2"/>
    <x v="0"/>
    <x v="0"/>
    <x v="0"/>
    <s v="01"/>
    <x v="0"/>
    <x v="0"/>
    <x v="0"/>
    <n v="22602.61"/>
    <x v="0"/>
  </r>
  <r>
    <x v="0"/>
    <x v="0"/>
    <x v="2"/>
    <x v="0"/>
    <x v="0"/>
    <x v="0"/>
    <s v="02"/>
    <x v="0"/>
    <x v="0"/>
    <x v="10"/>
    <n v="-500"/>
    <x v="0"/>
  </r>
  <r>
    <x v="0"/>
    <x v="0"/>
    <x v="2"/>
    <x v="0"/>
    <x v="0"/>
    <x v="0"/>
    <s v="02"/>
    <x v="0"/>
    <x v="0"/>
    <x v="8"/>
    <n v="500"/>
    <x v="0"/>
  </r>
  <r>
    <x v="0"/>
    <x v="0"/>
    <x v="2"/>
    <x v="0"/>
    <x v="0"/>
    <x v="0"/>
    <s v="24"/>
    <x v="0"/>
    <x v="0"/>
    <x v="3"/>
    <n v="-23408.9"/>
    <x v="0"/>
  </r>
  <r>
    <x v="0"/>
    <x v="0"/>
    <x v="2"/>
    <x v="0"/>
    <x v="0"/>
    <x v="0"/>
    <s v="24"/>
    <x v="0"/>
    <x v="0"/>
    <x v="4"/>
    <n v="-8595.5"/>
    <x v="0"/>
  </r>
  <r>
    <x v="0"/>
    <x v="0"/>
    <x v="2"/>
    <x v="0"/>
    <x v="0"/>
    <x v="0"/>
    <s v="24"/>
    <x v="0"/>
    <x v="0"/>
    <x v="1"/>
    <n v="11069235.16"/>
    <x v="0"/>
  </r>
  <r>
    <x v="0"/>
    <x v="0"/>
    <x v="2"/>
    <x v="0"/>
    <x v="0"/>
    <x v="0"/>
    <s v="24"/>
    <x v="0"/>
    <x v="0"/>
    <x v="6"/>
    <n v="-96490.29"/>
    <x v="0"/>
  </r>
  <r>
    <x v="0"/>
    <x v="0"/>
    <x v="2"/>
    <x v="0"/>
    <x v="0"/>
    <x v="0"/>
    <s v="24"/>
    <x v="0"/>
    <x v="0"/>
    <x v="11"/>
    <n v="-72425.899999999994"/>
    <x v="0"/>
  </r>
  <r>
    <x v="0"/>
    <x v="0"/>
    <x v="2"/>
    <x v="0"/>
    <x v="0"/>
    <x v="0"/>
    <s v="24"/>
    <x v="0"/>
    <x v="0"/>
    <x v="8"/>
    <n v="170204.64"/>
    <x v="0"/>
  </r>
  <r>
    <x v="0"/>
    <x v="0"/>
    <x v="2"/>
    <x v="0"/>
    <x v="0"/>
    <x v="0"/>
    <s v="24"/>
    <x v="0"/>
    <x v="0"/>
    <x v="2"/>
    <n v="-74465.64"/>
    <x v="0"/>
  </r>
  <r>
    <x v="0"/>
    <x v="0"/>
    <x v="2"/>
    <x v="0"/>
    <x v="0"/>
    <x v="1"/>
    <s v="22"/>
    <x v="0"/>
    <x v="0"/>
    <x v="5"/>
    <n v="-45000"/>
    <x v="0"/>
  </r>
  <r>
    <x v="0"/>
    <x v="0"/>
    <x v="2"/>
    <x v="0"/>
    <x v="0"/>
    <x v="4"/>
    <s v="40"/>
    <x v="0"/>
    <x v="0"/>
    <x v="10"/>
    <n v="0"/>
    <x v="0"/>
  </r>
  <r>
    <x v="0"/>
    <x v="0"/>
    <x v="2"/>
    <x v="0"/>
    <x v="0"/>
    <x v="0"/>
    <s v="02"/>
    <x v="0"/>
    <x v="0"/>
    <x v="7"/>
    <n v="246"/>
    <x v="0"/>
  </r>
  <r>
    <x v="0"/>
    <x v="0"/>
    <x v="2"/>
    <x v="0"/>
    <x v="0"/>
    <x v="0"/>
    <s v="02"/>
    <x v="0"/>
    <x v="0"/>
    <x v="11"/>
    <n v="-246"/>
    <x v="0"/>
  </r>
  <r>
    <x v="0"/>
    <x v="0"/>
    <x v="2"/>
    <x v="0"/>
    <x v="0"/>
    <x v="0"/>
    <s v="24"/>
    <x v="0"/>
    <x v="0"/>
    <x v="5"/>
    <n v="-372833.63"/>
    <x v="0"/>
  </r>
  <r>
    <x v="0"/>
    <x v="0"/>
    <x v="2"/>
    <x v="0"/>
    <x v="0"/>
    <x v="0"/>
    <s v="24"/>
    <x v="0"/>
    <x v="0"/>
    <x v="9"/>
    <n v="9738853.8499999996"/>
    <x v="0"/>
  </r>
  <r>
    <x v="0"/>
    <x v="0"/>
    <x v="2"/>
    <x v="0"/>
    <x v="0"/>
    <x v="0"/>
    <s v="24"/>
    <x v="0"/>
    <x v="0"/>
    <x v="7"/>
    <n v="439163.35"/>
    <x v="0"/>
  </r>
  <r>
    <x v="0"/>
    <x v="0"/>
    <x v="4"/>
    <x v="0"/>
    <x v="0"/>
    <x v="0"/>
    <s v="24"/>
    <x v="0"/>
    <x v="0"/>
    <x v="1"/>
    <n v="-471561.61"/>
    <x v="0"/>
  </r>
  <r>
    <x v="0"/>
    <x v="0"/>
    <x v="4"/>
    <x v="0"/>
    <x v="0"/>
    <x v="0"/>
    <s v="24"/>
    <x v="0"/>
    <x v="0"/>
    <x v="6"/>
    <n v="33856009.909999996"/>
    <x v="0"/>
  </r>
  <r>
    <x v="0"/>
    <x v="0"/>
    <x v="4"/>
    <x v="0"/>
    <x v="0"/>
    <x v="0"/>
    <s v="24"/>
    <x v="0"/>
    <x v="0"/>
    <x v="11"/>
    <n v="26038630.34"/>
    <x v="0"/>
  </r>
  <r>
    <x v="0"/>
    <x v="0"/>
    <x v="4"/>
    <x v="0"/>
    <x v="0"/>
    <x v="0"/>
    <s v="24"/>
    <x v="0"/>
    <x v="0"/>
    <x v="0"/>
    <n v="-139913.97"/>
    <x v="0"/>
  </r>
  <r>
    <x v="0"/>
    <x v="0"/>
    <x v="4"/>
    <x v="0"/>
    <x v="0"/>
    <x v="0"/>
    <s v="90"/>
    <x v="0"/>
    <x v="0"/>
    <x v="4"/>
    <n v="-4.9800000000000004"/>
    <x v="0"/>
  </r>
  <r>
    <x v="0"/>
    <x v="0"/>
    <x v="4"/>
    <x v="0"/>
    <x v="0"/>
    <x v="0"/>
    <s v="90"/>
    <x v="0"/>
    <x v="0"/>
    <x v="6"/>
    <n v="4.9800000000000004"/>
    <x v="0"/>
  </r>
  <r>
    <x v="0"/>
    <x v="0"/>
    <x v="4"/>
    <x v="0"/>
    <x v="0"/>
    <x v="1"/>
    <s v="21"/>
    <x v="0"/>
    <x v="0"/>
    <x v="9"/>
    <n v="-10000"/>
    <x v="0"/>
  </r>
  <r>
    <x v="0"/>
    <x v="0"/>
    <x v="4"/>
    <x v="0"/>
    <x v="0"/>
    <x v="1"/>
    <s v="22"/>
    <x v="0"/>
    <x v="0"/>
    <x v="5"/>
    <n v="-541000"/>
    <x v="0"/>
  </r>
  <r>
    <x v="0"/>
    <x v="0"/>
    <x v="4"/>
    <x v="0"/>
    <x v="0"/>
    <x v="1"/>
    <s v="22"/>
    <x v="0"/>
    <x v="0"/>
    <x v="9"/>
    <n v="262270.96000000002"/>
    <x v="0"/>
  </r>
  <r>
    <x v="0"/>
    <x v="0"/>
    <x v="4"/>
    <x v="0"/>
    <x v="0"/>
    <x v="1"/>
    <s v="22"/>
    <x v="0"/>
    <x v="0"/>
    <x v="7"/>
    <n v="-524541.92000000004"/>
    <x v="0"/>
  </r>
  <r>
    <x v="0"/>
    <x v="0"/>
    <x v="4"/>
    <x v="0"/>
    <x v="0"/>
    <x v="1"/>
    <s v="22"/>
    <x v="0"/>
    <x v="0"/>
    <x v="10"/>
    <n v="-114200"/>
    <x v="0"/>
  </r>
  <r>
    <x v="0"/>
    <x v="0"/>
    <x v="4"/>
    <x v="0"/>
    <x v="0"/>
    <x v="1"/>
    <s v="22"/>
    <x v="0"/>
    <x v="0"/>
    <x v="2"/>
    <n v="-141086.89000000001"/>
    <x v="0"/>
  </r>
  <r>
    <x v="0"/>
    <x v="0"/>
    <x v="3"/>
    <x v="0"/>
    <x v="0"/>
    <x v="0"/>
    <s v="01"/>
    <x v="0"/>
    <x v="0"/>
    <x v="3"/>
    <n v="15918.88"/>
    <x v="0"/>
  </r>
  <r>
    <x v="0"/>
    <x v="0"/>
    <x v="3"/>
    <x v="0"/>
    <x v="0"/>
    <x v="0"/>
    <s v="01"/>
    <x v="0"/>
    <x v="0"/>
    <x v="4"/>
    <n v="94477.41"/>
    <x v="0"/>
  </r>
  <r>
    <x v="0"/>
    <x v="0"/>
    <x v="3"/>
    <x v="0"/>
    <x v="0"/>
    <x v="0"/>
    <s v="01"/>
    <x v="0"/>
    <x v="0"/>
    <x v="5"/>
    <n v="75698.759999999995"/>
    <x v="0"/>
  </r>
  <r>
    <x v="0"/>
    <x v="0"/>
    <x v="3"/>
    <x v="0"/>
    <x v="0"/>
    <x v="0"/>
    <s v="01"/>
    <x v="0"/>
    <x v="0"/>
    <x v="7"/>
    <n v="120973.43"/>
    <x v="0"/>
  </r>
  <r>
    <x v="0"/>
    <x v="0"/>
    <x v="3"/>
    <x v="0"/>
    <x v="0"/>
    <x v="0"/>
    <s v="01"/>
    <x v="0"/>
    <x v="0"/>
    <x v="10"/>
    <n v="106506.68"/>
    <x v="0"/>
  </r>
  <r>
    <x v="0"/>
    <x v="0"/>
    <x v="3"/>
    <x v="0"/>
    <x v="0"/>
    <x v="0"/>
    <s v="01"/>
    <x v="0"/>
    <x v="0"/>
    <x v="8"/>
    <n v="110593.95"/>
    <x v="0"/>
  </r>
  <r>
    <x v="0"/>
    <x v="0"/>
    <x v="3"/>
    <x v="0"/>
    <x v="0"/>
    <x v="0"/>
    <s v="01"/>
    <x v="0"/>
    <x v="0"/>
    <x v="0"/>
    <n v="268524.87"/>
    <x v="0"/>
  </r>
  <r>
    <x v="0"/>
    <x v="0"/>
    <x v="3"/>
    <x v="0"/>
    <x v="0"/>
    <x v="0"/>
    <s v="02"/>
    <x v="0"/>
    <x v="0"/>
    <x v="3"/>
    <n v="159"/>
    <x v="0"/>
  </r>
  <r>
    <x v="0"/>
    <x v="0"/>
    <x v="3"/>
    <x v="0"/>
    <x v="0"/>
    <x v="0"/>
    <s v="02"/>
    <x v="0"/>
    <x v="0"/>
    <x v="4"/>
    <n v="-54"/>
    <x v="0"/>
  </r>
  <r>
    <x v="0"/>
    <x v="0"/>
    <x v="3"/>
    <x v="0"/>
    <x v="0"/>
    <x v="0"/>
    <s v="02"/>
    <x v="0"/>
    <x v="0"/>
    <x v="7"/>
    <n v="250"/>
    <x v="0"/>
  </r>
  <r>
    <x v="0"/>
    <x v="0"/>
    <x v="3"/>
    <x v="0"/>
    <x v="0"/>
    <x v="0"/>
    <s v="09"/>
    <x v="0"/>
    <x v="0"/>
    <x v="3"/>
    <n v="1205.5899999999999"/>
    <x v="0"/>
  </r>
  <r>
    <x v="0"/>
    <x v="0"/>
    <x v="3"/>
    <x v="0"/>
    <x v="0"/>
    <x v="0"/>
    <s v="09"/>
    <x v="0"/>
    <x v="0"/>
    <x v="1"/>
    <n v="5846.98"/>
    <x v="0"/>
  </r>
  <r>
    <x v="0"/>
    <x v="0"/>
    <x v="3"/>
    <x v="0"/>
    <x v="0"/>
    <x v="0"/>
    <s v="09"/>
    <x v="0"/>
    <x v="0"/>
    <x v="6"/>
    <n v="2683.93"/>
    <x v="0"/>
  </r>
  <r>
    <x v="0"/>
    <x v="0"/>
    <x v="3"/>
    <x v="0"/>
    <x v="0"/>
    <x v="0"/>
    <s v="09"/>
    <x v="0"/>
    <x v="0"/>
    <x v="9"/>
    <n v="6070.18"/>
    <x v="0"/>
  </r>
  <r>
    <x v="0"/>
    <x v="0"/>
    <x v="3"/>
    <x v="0"/>
    <x v="0"/>
    <x v="0"/>
    <s v="09"/>
    <x v="0"/>
    <x v="0"/>
    <x v="11"/>
    <n v="643.5"/>
    <x v="0"/>
  </r>
  <r>
    <x v="0"/>
    <x v="0"/>
    <x v="3"/>
    <x v="0"/>
    <x v="0"/>
    <x v="0"/>
    <s v="09"/>
    <x v="0"/>
    <x v="0"/>
    <x v="2"/>
    <n v="3346.08"/>
    <x v="0"/>
  </r>
  <r>
    <x v="0"/>
    <x v="0"/>
    <x v="3"/>
    <x v="0"/>
    <x v="0"/>
    <x v="0"/>
    <s v="09"/>
    <x v="0"/>
    <x v="0"/>
    <x v="0"/>
    <n v="6042.04"/>
    <x v="0"/>
  </r>
  <r>
    <x v="0"/>
    <x v="0"/>
    <x v="3"/>
    <x v="0"/>
    <x v="0"/>
    <x v="0"/>
    <s v="20"/>
    <x v="0"/>
    <x v="0"/>
    <x v="3"/>
    <n v="568.58000000000004"/>
    <x v="0"/>
  </r>
  <r>
    <x v="0"/>
    <x v="0"/>
    <x v="3"/>
    <x v="0"/>
    <x v="0"/>
    <x v="0"/>
    <s v="20"/>
    <x v="0"/>
    <x v="0"/>
    <x v="6"/>
    <n v="-5651.48"/>
    <x v="0"/>
  </r>
  <r>
    <x v="0"/>
    <x v="0"/>
    <x v="3"/>
    <x v="0"/>
    <x v="0"/>
    <x v="0"/>
    <s v="20"/>
    <x v="0"/>
    <x v="0"/>
    <x v="7"/>
    <n v="261.95999999999998"/>
    <x v="0"/>
  </r>
  <r>
    <x v="0"/>
    <x v="0"/>
    <x v="3"/>
    <x v="0"/>
    <x v="0"/>
    <x v="0"/>
    <s v="20"/>
    <x v="0"/>
    <x v="0"/>
    <x v="11"/>
    <n v="444"/>
    <x v="0"/>
  </r>
  <r>
    <x v="0"/>
    <x v="0"/>
    <x v="3"/>
    <x v="0"/>
    <x v="0"/>
    <x v="0"/>
    <s v="21"/>
    <x v="0"/>
    <x v="0"/>
    <x v="5"/>
    <n v="-1487.7"/>
    <x v="0"/>
  </r>
  <r>
    <x v="0"/>
    <x v="0"/>
    <x v="3"/>
    <x v="0"/>
    <x v="0"/>
    <x v="0"/>
    <s v="24"/>
    <x v="0"/>
    <x v="0"/>
    <x v="5"/>
    <n v="9132405.6400000006"/>
    <x v="0"/>
  </r>
  <r>
    <x v="0"/>
    <x v="0"/>
    <x v="3"/>
    <x v="0"/>
    <x v="0"/>
    <x v="0"/>
    <s v="24"/>
    <x v="0"/>
    <x v="0"/>
    <x v="9"/>
    <n v="61199664.039999999"/>
    <x v="0"/>
  </r>
  <r>
    <x v="0"/>
    <x v="0"/>
    <x v="3"/>
    <x v="0"/>
    <x v="0"/>
    <x v="0"/>
    <s v="24"/>
    <x v="0"/>
    <x v="0"/>
    <x v="7"/>
    <n v="16095563.67"/>
    <x v="0"/>
  </r>
  <r>
    <x v="0"/>
    <x v="0"/>
    <x v="3"/>
    <x v="0"/>
    <x v="0"/>
    <x v="0"/>
    <s v="24"/>
    <x v="0"/>
    <x v="0"/>
    <x v="10"/>
    <n v="66117052.32"/>
    <x v="0"/>
  </r>
  <r>
    <x v="0"/>
    <x v="0"/>
    <x v="3"/>
    <x v="0"/>
    <x v="0"/>
    <x v="0"/>
    <s v="24"/>
    <x v="0"/>
    <x v="0"/>
    <x v="8"/>
    <n v="18829738.829999998"/>
    <x v="0"/>
  </r>
  <r>
    <x v="0"/>
    <x v="0"/>
    <x v="3"/>
    <x v="0"/>
    <x v="0"/>
    <x v="0"/>
    <s v="24"/>
    <x v="0"/>
    <x v="0"/>
    <x v="0"/>
    <n v="-1684389.03"/>
    <x v="0"/>
  </r>
  <r>
    <x v="0"/>
    <x v="0"/>
    <x v="3"/>
    <x v="0"/>
    <x v="0"/>
    <x v="0"/>
    <s v="41"/>
    <x v="0"/>
    <x v="0"/>
    <x v="11"/>
    <n v="104805.67"/>
    <x v="0"/>
  </r>
  <r>
    <x v="0"/>
    <x v="0"/>
    <x v="3"/>
    <x v="0"/>
    <x v="0"/>
    <x v="0"/>
    <s v="41"/>
    <x v="0"/>
    <x v="0"/>
    <x v="2"/>
    <n v="86349.54"/>
    <x v="0"/>
  </r>
  <r>
    <x v="0"/>
    <x v="0"/>
    <x v="3"/>
    <x v="0"/>
    <x v="0"/>
    <x v="0"/>
    <s v="90"/>
    <x v="0"/>
    <x v="0"/>
    <x v="10"/>
    <n v="-20"/>
    <x v="0"/>
  </r>
  <r>
    <x v="0"/>
    <x v="0"/>
    <x v="3"/>
    <x v="0"/>
    <x v="0"/>
    <x v="0"/>
    <s v="90"/>
    <x v="0"/>
    <x v="0"/>
    <x v="2"/>
    <n v="-0.4"/>
    <x v="0"/>
  </r>
  <r>
    <x v="0"/>
    <x v="0"/>
    <x v="3"/>
    <x v="0"/>
    <x v="0"/>
    <x v="0"/>
    <s v="99"/>
    <x v="0"/>
    <x v="0"/>
    <x v="4"/>
    <n v="-22378.17"/>
    <x v="0"/>
  </r>
  <r>
    <x v="0"/>
    <x v="0"/>
    <x v="3"/>
    <x v="0"/>
    <x v="0"/>
    <x v="0"/>
    <s v="99"/>
    <x v="0"/>
    <x v="0"/>
    <x v="5"/>
    <n v="-310779.67"/>
    <x v="0"/>
  </r>
  <r>
    <x v="0"/>
    <x v="0"/>
    <x v="3"/>
    <x v="0"/>
    <x v="0"/>
    <x v="0"/>
    <s v="99"/>
    <x v="0"/>
    <x v="0"/>
    <x v="7"/>
    <n v="961.65"/>
    <x v="0"/>
  </r>
  <r>
    <x v="0"/>
    <x v="0"/>
    <x v="3"/>
    <x v="0"/>
    <x v="0"/>
    <x v="0"/>
    <s v="99"/>
    <x v="0"/>
    <x v="0"/>
    <x v="10"/>
    <n v="2589.89"/>
    <x v="0"/>
  </r>
  <r>
    <x v="0"/>
    <x v="0"/>
    <x v="3"/>
    <x v="0"/>
    <x v="0"/>
    <x v="0"/>
    <s v="99"/>
    <x v="0"/>
    <x v="0"/>
    <x v="8"/>
    <n v="-15426.39"/>
    <x v="0"/>
  </r>
  <r>
    <x v="0"/>
    <x v="0"/>
    <x v="3"/>
    <x v="0"/>
    <x v="0"/>
    <x v="0"/>
    <s v="99"/>
    <x v="0"/>
    <x v="0"/>
    <x v="2"/>
    <n v="38.49"/>
    <x v="0"/>
  </r>
  <r>
    <x v="0"/>
    <x v="0"/>
    <x v="3"/>
    <x v="0"/>
    <x v="0"/>
    <x v="3"/>
    <s v="41"/>
    <x v="0"/>
    <x v="0"/>
    <x v="6"/>
    <n v="-36"/>
    <x v="1"/>
  </r>
  <r>
    <x v="0"/>
    <x v="0"/>
    <x v="3"/>
    <x v="0"/>
    <x v="0"/>
    <x v="1"/>
    <s v="21"/>
    <x v="0"/>
    <x v="0"/>
    <x v="5"/>
    <n v="94302.26"/>
    <x v="0"/>
  </r>
  <r>
    <x v="0"/>
    <x v="0"/>
    <x v="3"/>
    <x v="0"/>
    <x v="0"/>
    <x v="1"/>
    <s v="21"/>
    <x v="0"/>
    <x v="0"/>
    <x v="6"/>
    <n v="-5372.61"/>
    <x v="0"/>
  </r>
  <r>
    <x v="0"/>
    <x v="0"/>
    <x v="3"/>
    <x v="0"/>
    <x v="0"/>
    <x v="1"/>
    <s v="22"/>
    <x v="0"/>
    <x v="0"/>
    <x v="4"/>
    <n v="-105"/>
    <x v="0"/>
  </r>
  <r>
    <x v="0"/>
    <x v="0"/>
    <x v="3"/>
    <x v="0"/>
    <x v="0"/>
    <x v="1"/>
    <s v="22"/>
    <x v="0"/>
    <x v="0"/>
    <x v="1"/>
    <n v="105"/>
    <x v="0"/>
  </r>
  <r>
    <x v="0"/>
    <x v="0"/>
    <x v="3"/>
    <x v="0"/>
    <x v="0"/>
    <x v="1"/>
    <s v="22"/>
    <x v="0"/>
    <x v="0"/>
    <x v="6"/>
    <n v="-300000"/>
    <x v="0"/>
  </r>
  <r>
    <x v="0"/>
    <x v="0"/>
    <x v="3"/>
    <x v="0"/>
    <x v="0"/>
    <x v="1"/>
    <s v="78"/>
    <x v="0"/>
    <x v="0"/>
    <x v="2"/>
    <n v="9889.85"/>
    <x v="0"/>
  </r>
  <r>
    <x v="0"/>
    <x v="0"/>
    <x v="3"/>
    <x v="0"/>
    <x v="0"/>
    <x v="0"/>
    <s v="01"/>
    <x v="0"/>
    <x v="0"/>
    <x v="1"/>
    <n v="82104.539999999994"/>
    <x v="0"/>
  </r>
  <r>
    <x v="0"/>
    <x v="0"/>
    <x v="3"/>
    <x v="0"/>
    <x v="0"/>
    <x v="0"/>
    <s v="01"/>
    <x v="0"/>
    <x v="0"/>
    <x v="6"/>
    <n v="84189.39"/>
    <x v="0"/>
  </r>
  <r>
    <x v="0"/>
    <x v="0"/>
    <x v="3"/>
    <x v="0"/>
    <x v="0"/>
    <x v="0"/>
    <s v="01"/>
    <x v="0"/>
    <x v="0"/>
    <x v="9"/>
    <n v="-41327.589999999997"/>
    <x v="0"/>
  </r>
  <r>
    <x v="0"/>
    <x v="0"/>
    <x v="3"/>
    <x v="0"/>
    <x v="0"/>
    <x v="0"/>
    <s v="01"/>
    <x v="0"/>
    <x v="0"/>
    <x v="11"/>
    <n v="43894.98"/>
    <x v="0"/>
  </r>
  <r>
    <x v="0"/>
    <x v="0"/>
    <x v="3"/>
    <x v="0"/>
    <x v="0"/>
    <x v="0"/>
    <s v="01"/>
    <x v="0"/>
    <x v="0"/>
    <x v="2"/>
    <n v="38979.25"/>
    <x v="0"/>
  </r>
  <r>
    <x v="0"/>
    <x v="0"/>
    <x v="3"/>
    <x v="0"/>
    <x v="0"/>
    <x v="0"/>
    <s v="02"/>
    <x v="0"/>
    <x v="0"/>
    <x v="1"/>
    <n v="-105"/>
    <x v="0"/>
  </r>
  <r>
    <x v="0"/>
    <x v="0"/>
    <x v="3"/>
    <x v="0"/>
    <x v="0"/>
    <x v="0"/>
    <s v="02"/>
    <x v="0"/>
    <x v="0"/>
    <x v="10"/>
    <n v="-250"/>
    <x v="0"/>
  </r>
  <r>
    <x v="0"/>
    <x v="0"/>
    <x v="3"/>
    <x v="0"/>
    <x v="0"/>
    <x v="0"/>
    <s v="09"/>
    <x v="0"/>
    <x v="0"/>
    <x v="4"/>
    <n v="1876.76"/>
    <x v="0"/>
  </r>
  <r>
    <x v="0"/>
    <x v="0"/>
    <x v="3"/>
    <x v="0"/>
    <x v="0"/>
    <x v="0"/>
    <s v="09"/>
    <x v="0"/>
    <x v="0"/>
    <x v="5"/>
    <n v="1496.5"/>
    <x v="0"/>
  </r>
  <r>
    <x v="0"/>
    <x v="0"/>
    <x v="3"/>
    <x v="0"/>
    <x v="0"/>
    <x v="0"/>
    <s v="09"/>
    <x v="0"/>
    <x v="0"/>
    <x v="7"/>
    <n v="-545.54"/>
    <x v="0"/>
  </r>
  <r>
    <x v="0"/>
    <x v="0"/>
    <x v="3"/>
    <x v="0"/>
    <x v="0"/>
    <x v="0"/>
    <s v="09"/>
    <x v="0"/>
    <x v="0"/>
    <x v="10"/>
    <n v="5339.41"/>
    <x v="0"/>
  </r>
  <r>
    <x v="0"/>
    <x v="0"/>
    <x v="3"/>
    <x v="0"/>
    <x v="0"/>
    <x v="0"/>
    <s v="09"/>
    <x v="0"/>
    <x v="0"/>
    <x v="8"/>
    <n v="902.21"/>
    <x v="0"/>
  </r>
  <r>
    <x v="0"/>
    <x v="0"/>
    <x v="3"/>
    <x v="0"/>
    <x v="0"/>
    <x v="0"/>
    <s v="20"/>
    <x v="0"/>
    <x v="0"/>
    <x v="5"/>
    <n v="5735.95"/>
    <x v="0"/>
  </r>
  <r>
    <x v="0"/>
    <x v="0"/>
    <x v="3"/>
    <x v="0"/>
    <x v="0"/>
    <x v="0"/>
    <s v="20"/>
    <x v="0"/>
    <x v="0"/>
    <x v="9"/>
    <n v="666.45"/>
    <x v="0"/>
  </r>
  <r>
    <x v="0"/>
    <x v="0"/>
    <x v="3"/>
    <x v="0"/>
    <x v="0"/>
    <x v="0"/>
    <s v="20"/>
    <x v="0"/>
    <x v="0"/>
    <x v="10"/>
    <n v="640.72"/>
    <x v="0"/>
  </r>
  <r>
    <x v="0"/>
    <x v="0"/>
    <x v="3"/>
    <x v="0"/>
    <x v="0"/>
    <x v="0"/>
    <s v="20"/>
    <x v="0"/>
    <x v="0"/>
    <x v="8"/>
    <n v="-2666.18"/>
    <x v="0"/>
  </r>
  <r>
    <x v="0"/>
    <x v="0"/>
    <x v="3"/>
    <x v="0"/>
    <x v="0"/>
    <x v="0"/>
    <s v="21"/>
    <x v="0"/>
    <x v="0"/>
    <x v="6"/>
    <n v="1487.7"/>
    <x v="0"/>
  </r>
  <r>
    <x v="0"/>
    <x v="0"/>
    <x v="3"/>
    <x v="0"/>
    <x v="0"/>
    <x v="0"/>
    <s v="24"/>
    <x v="0"/>
    <x v="0"/>
    <x v="3"/>
    <n v="35666427"/>
    <x v="0"/>
  </r>
  <r>
    <x v="0"/>
    <x v="0"/>
    <x v="3"/>
    <x v="0"/>
    <x v="0"/>
    <x v="0"/>
    <s v="24"/>
    <x v="0"/>
    <x v="0"/>
    <x v="4"/>
    <n v="47271298.32"/>
    <x v="0"/>
  </r>
  <r>
    <x v="0"/>
    <x v="0"/>
    <x v="3"/>
    <x v="0"/>
    <x v="0"/>
    <x v="0"/>
    <s v="24"/>
    <x v="0"/>
    <x v="0"/>
    <x v="1"/>
    <n v="52660261.469999999"/>
    <x v="0"/>
  </r>
  <r>
    <x v="0"/>
    <x v="0"/>
    <x v="3"/>
    <x v="0"/>
    <x v="0"/>
    <x v="0"/>
    <s v="24"/>
    <x v="0"/>
    <x v="0"/>
    <x v="6"/>
    <n v="28311092.399999999"/>
    <x v="0"/>
  </r>
  <r>
    <x v="0"/>
    <x v="0"/>
    <x v="3"/>
    <x v="0"/>
    <x v="0"/>
    <x v="0"/>
    <s v="24"/>
    <x v="0"/>
    <x v="0"/>
    <x v="11"/>
    <n v="18253194.920000002"/>
    <x v="0"/>
  </r>
  <r>
    <x v="0"/>
    <x v="0"/>
    <x v="3"/>
    <x v="0"/>
    <x v="0"/>
    <x v="0"/>
    <s v="24"/>
    <x v="0"/>
    <x v="0"/>
    <x v="2"/>
    <n v="7238521.1399999997"/>
    <x v="0"/>
  </r>
  <r>
    <x v="0"/>
    <x v="0"/>
    <x v="3"/>
    <x v="0"/>
    <x v="0"/>
    <x v="0"/>
    <s v="30"/>
    <x v="0"/>
    <x v="0"/>
    <x v="4"/>
    <n v="77"/>
    <x v="0"/>
  </r>
  <r>
    <x v="0"/>
    <x v="0"/>
    <x v="3"/>
    <x v="0"/>
    <x v="0"/>
    <x v="0"/>
    <s v="30"/>
    <x v="0"/>
    <x v="0"/>
    <x v="1"/>
    <n v="-79.2"/>
    <x v="0"/>
  </r>
  <r>
    <x v="0"/>
    <x v="0"/>
    <x v="3"/>
    <x v="0"/>
    <x v="0"/>
    <x v="0"/>
    <s v="30"/>
    <x v="0"/>
    <x v="0"/>
    <x v="6"/>
    <n v="2.2000000000000002"/>
    <x v="0"/>
  </r>
  <r>
    <x v="0"/>
    <x v="0"/>
    <x v="3"/>
    <x v="0"/>
    <x v="0"/>
    <x v="0"/>
    <s v="41"/>
    <x v="0"/>
    <x v="0"/>
    <x v="5"/>
    <n v="85400.84"/>
    <x v="0"/>
  </r>
  <r>
    <x v="0"/>
    <x v="0"/>
    <x v="3"/>
    <x v="0"/>
    <x v="0"/>
    <x v="0"/>
    <s v="41"/>
    <x v="0"/>
    <x v="0"/>
    <x v="0"/>
    <n v="-402470.29"/>
    <x v="0"/>
  </r>
  <r>
    <x v="0"/>
    <x v="0"/>
    <x v="3"/>
    <x v="0"/>
    <x v="0"/>
    <x v="0"/>
    <s v="90"/>
    <x v="0"/>
    <x v="0"/>
    <x v="5"/>
    <n v="10"/>
    <x v="0"/>
  </r>
  <r>
    <x v="0"/>
    <x v="0"/>
    <x v="3"/>
    <x v="0"/>
    <x v="0"/>
    <x v="0"/>
    <s v="90"/>
    <x v="0"/>
    <x v="0"/>
    <x v="6"/>
    <n v="-20"/>
    <x v="0"/>
  </r>
  <r>
    <x v="0"/>
    <x v="0"/>
    <x v="3"/>
    <x v="0"/>
    <x v="0"/>
    <x v="0"/>
    <s v="90"/>
    <x v="0"/>
    <x v="0"/>
    <x v="8"/>
    <n v="20"/>
    <x v="0"/>
  </r>
  <r>
    <x v="0"/>
    <x v="0"/>
    <x v="3"/>
    <x v="0"/>
    <x v="0"/>
    <x v="0"/>
    <s v="90"/>
    <x v="0"/>
    <x v="0"/>
    <x v="0"/>
    <n v="-7.85"/>
    <x v="0"/>
  </r>
  <r>
    <x v="0"/>
    <x v="0"/>
    <x v="3"/>
    <x v="0"/>
    <x v="0"/>
    <x v="0"/>
    <s v="99"/>
    <x v="0"/>
    <x v="0"/>
    <x v="3"/>
    <n v="25182.720000000001"/>
    <x v="0"/>
  </r>
  <r>
    <x v="0"/>
    <x v="0"/>
    <x v="3"/>
    <x v="0"/>
    <x v="0"/>
    <x v="0"/>
    <s v="99"/>
    <x v="0"/>
    <x v="0"/>
    <x v="1"/>
    <n v="2845.11"/>
    <x v="0"/>
  </r>
  <r>
    <x v="0"/>
    <x v="0"/>
    <x v="3"/>
    <x v="0"/>
    <x v="0"/>
    <x v="0"/>
    <s v="99"/>
    <x v="0"/>
    <x v="0"/>
    <x v="6"/>
    <n v="320941.51"/>
    <x v="0"/>
  </r>
  <r>
    <x v="0"/>
    <x v="0"/>
    <x v="3"/>
    <x v="0"/>
    <x v="0"/>
    <x v="0"/>
    <s v="99"/>
    <x v="0"/>
    <x v="0"/>
    <x v="9"/>
    <n v="-4350"/>
    <x v="0"/>
  </r>
  <r>
    <x v="0"/>
    <x v="0"/>
    <x v="3"/>
    <x v="0"/>
    <x v="0"/>
    <x v="0"/>
    <s v="99"/>
    <x v="0"/>
    <x v="0"/>
    <x v="11"/>
    <n v="1434.6"/>
    <x v="0"/>
  </r>
  <r>
    <x v="0"/>
    <x v="0"/>
    <x v="3"/>
    <x v="0"/>
    <x v="0"/>
    <x v="0"/>
    <s v="99"/>
    <x v="0"/>
    <x v="0"/>
    <x v="0"/>
    <n v="-2572.1"/>
    <x v="0"/>
  </r>
  <r>
    <x v="0"/>
    <x v="0"/>
    <x v="3"/>
    <x v="0"/>
    <x v="0"/>
    <x v="3"/>
    <s v="41"/>
    <x v="0"/>
    <x v="0"/>
    <x v="5"/>
    <n v="36"/>
    <x v="1"/>
  </r>
  <r>
    <x v="0"/>
    <x v="0"/>
    <x v="3"/>
    <x v="0"/>
    <x v="0"/>
    <x v="1"/>
    <s v="21"/>
    <x v="0"/>
    <x v="0"/>
    <x v="1"/>
    <n v="-94302.26"/>
    <x v="0"/>
  </r>
  <r>
    <x v="0"/>
    <x v="0"/>
    <x v="3"/>
    <x v="0"/>
    <x v="0"/>
    <x v="1"/>
    <s v="21"/>
    <x v="0"/>
    <x v="0"/>
    <x v="10"/>
    <n v="5372.61"/>
    <x v="0"/>
  </r>
  <r>
    <x v="0"/>
    <x v="0"/>
    <x v="3"/>
    <x v="0"/>
    <x v="0"/>
    <x v="1"/>
    <s v="78"/>
    <x v="0"/>
    <x v="0"/>
    <x v="0"/>
    <n v="-9889.85"/>
    <x v="0"/>
  </r>
  <r>
    <x v="0"/>
    <x v="1"/>
    <x v="1"/>
    <x v="0"/>
    <x v="0"/>
    <x v="0"/>
    <s v="09"/>
    <x v="0"/>
    <x v="1"/>
    <x v="3"/>
    <n v="-19544.919999999998"/>
    <x v="0"/>
  </r>
  <r>
    <x v="0"/>
    <x v="1"/>
    <x v="1"/>
    <x v="0"/>
    <x v="0"/>
    <x v="0"/>
    <s v="09"/>
    <x v="0"/>
    <x v="1"/>
    <x v="0"/>
    <n v="60217.16"/>
    <x v="0"/>
  </r>
  <r>
    <x v="0"/>
    <x v="1"/>
    <x v="1"/>
    <x v="0"/>
    <x v="0"/>
    <x v="0"/>
    <s v="20"/>
    <x v="0"/>
    <x v="2"/>
    <x v="0"/>
    <n v="1500"/>
    <x v="0"/>
  </r>
  <r>
    <x v="0"/>
    <x v="1"/>
    <x v="1"/>
    <x v="0"/>
    <x v="0"/>
    <x v="0"/>
    <s v="73"/>
    <x v="0"/>
    <x v="1"/>
    <x v="3"/>
    <n v="10302.81"/>
    <x v="0"/>
  </r>
  <r>
    <x v="0"/>
    <x v="1"/>
    <x v="1"/>
    <x v="0"/>
    <x v="0"/>
    <x v="0"/>
    <s v="73"/>
    <x v="0"/>
    <x v="1"/>
    <x v="0"/>
    <n v="-17218.38"/>
    <x v="0"/>
  </r>
  <r>
    <x v="0"/>
    <x v="1"/>
    <x v="1"/>
    <x v="0"/>
    <x v="0"/>
    <x v="0"/>
    <s v="73"/>
    <x v="0"/>
    <x v="2"/>
    <x v="3"/>
    <n v="17218.38"/>
    <x v="0"/>
  </r>
  <r>
    <x v="0"/>
    <x v="1"/>
    <x v="1"/>
    <x v="0"/>
    <x v="0"/>
    <x v="0"/>
    <s v="73"/>
    <x v="0"/>
    <x v="2"/>
    <x v="0"/>
    <n v="-3985.06"/>
    <x v="0"/>
  </r>
  <r>
    <x v="0"/>
    <x v="1"/>
    <x v="1"/>
    <x v="0"/>
    <x v="0"/>
    <x v="0"/>
    <s v="09"/>
    <x v="0"/>
    <x v="2"/>
    <x v="5"/>
    <n v="7068.87"/>
    <x v="0"/>
  </r>
  <r>
    <x v="0"/>
    <x v="1"/>
    <x v="1"/>
    <x v="0"/>
    <x v="0"/>
    <x v="4"/>
    <s v="20"/>
    <x v="0"/>
    <x v="2"/>
    <x v="0"/>
    <n v="-198.15"/>
    <x v="0"/>
  </r>
  <r>
    <x v="0"/>
    <x v="1"/>
    <x v="1"/>
    <x v="0"/>
    <x v="0"/>
    <x v="0"/>
    <s v="09"/>
    <x v="0"/>
    <x v="2"/>
    <x v="3"/>
    <n v="-60217.16"/>
    <x v="0"/>
  </r>
  <r>
    <x v="0"/>
    <x v="1"/>
    <x v="1"/>
    <x v="0"/>
    <x v="0"/>
    <x v="0"/>
    <s v="09"/>
    <x v="0"/>
    <x v="2"/>
    <x v="4"/>
    <n v="-7068.87"/>
    <x v="0"/>
  </r>
  <r>
    <x v="0"/>
    <x v="1"/>
    <x v="1"/>
    <x v="0"/>
    <x v="0"/>
    <x v="0"/>
    <s v="09"/>
    <x v="0"/>
    <x v="2"/>
    <x v="0"/>
    <n v="7580.62"/>
    <x v="0"/>
  </r>
  <r>
    <x v="0"/>
    <x v="1"/>
    <x v="1"/>
    <x v="0"/>
    <x v="0"/>
    <x v="0"/>
    <s v="24"/>
    <x v="0"/>
    <x v="1"/>
    <x v="3"/>
    <n v="-6395814.6299999999"/>
    <x v="0"/>
  </r>
  <r>
    <x v="0"/>
    <x v="1"/>
    <x v="1"/>
    <x v="0"/>
    <x v="0"/>
    <x v="0"/>
    <s v="24"/>
    <x v="0"/>
    <x v="1"/>
    <x v="0"/>
    <n v="6385483.4199999999"/>
    <x v="0"/>
  </r>
  <r>
    <x v="0"/>
    <x v="1"/>
    <x v="1"/>
    <x v="0"/>
    <x v="0"/>
    <x v="0"/>
    <s v="24"/>
    <x v="0"/>
    <x v="2"/>
    <x v="3"/>
    <n v="-6871886.9699999997"/>
    <x v="0"/>
  </r>
  <r>
    <x v="0"/>
    <x v="1"/>
    <x v="1"/>
    <x v="0"/>
    <x v="0"/>
    <x v="0"/>
    <s v="24"/>
    <x v="0"/>
    <x v="2"/>
    <x v="0"/>
    <n v="6859058.5800000001"/>
    <x v="0"/>
  </r>
  <r>
    <x v="0"/>
    <x v="1"/>
    <x v="2"/>
    <x v="0"/>
    <x v="0"/>
    <x v="0"/>
    <s v="20"/>
    <x v="0"/>
    <x v="2"/>
    <x v="9"/>
    <n v="-1051.5"/>
    <x v="0"/>
  </r>
  <r>
    <x v="0"/>
    <x v="1"/>
    <x v="2"/>
    <x v="0"/>
    <x v="0"/>
    <x v="0"/>
    <s v="24"/>
    <x v="0"/>
    <x v="2"/>
    <x v="0"/>
    <n v="-2029.6"/>
    <x v="0"/>
  </r>
  <r>
    <x v="0"/>
    <x v="1"/>
    <x v="2"/>
    <x v="0"/>
    <x v="0"/>
    <x v="0"/>
    <s v="24"/>
    <x v="0"/>
    <x v="1"/>
    <x v="3"/>
    <n v="-4059.2"/>
    <x v="0"/>
  </r>
  <r>
    <x v="0"/>
    <x v="1"/>
    <x v="2"/>
    <x v="0"/>
    <x v="0"/>
    <x v="0"/>
    <s v="24"/>
    <x v="0"/>
    <x v="1"/>
    <x v="5"/>
    <n v="-1268.5"/>
    <x v="0"/>
  </r>
  <r>
    <x v="0"/>
    <x v="1"/>
    <x v="3"/>
    <x v="0"/>
    <x v="0"/>
    <x v="0"/>
    <s v="01"/>
    <x v="0"/>
    <x v="1"/>
    <x v="5"/>
    <n v="422.76"/>
    <x v="0"/>
  </r>
  <r>
    <x v="0"/>
    <x v="1"/>
    <x v="3"/>
    <x v="0"/>
    <x v="0"/>
    <x v="0"/>
    <s v="01"/>
    <x v="0"/>
    <x v="1"/>
    <x v="7"/>
    <n v="5923.95"/>
    <x v="0"/>
  </r>
  <r>
    <x v="0"/>
    <x v="1"/>
    <x v="3"/>
    <x v="0"/>
    <x v="0"/>
    <x v="0"/>
    <s v="01"/>
    <x v="0"/>
    <x v="1"/>
    <x v="2"/>
    <n v="-4686.76"/>
    <x v="0"/>
  </r>
  <r>
    <x v="0"/>
    <x v="1"/>
    <x v="3"/>
    <x v="0"/>
    <x v="0"/>
    <x v="0"/>
    <s v="01"/>
    <x v="0"/>
    <x v="2"/>
    <x v="7"/>
    <n v="-1907.58"/>
    <x v="0"/>
  </r>
  <r>
    <x v="0"/>
    <x v="1"/>
    <x v="3"/>
    <x v="0"/>
    <x v="0"/>
    <x v="0"/>
    <s v="24"/>
    <x v="0"/>
    <x v="1"/>
    <x v="1"/>
    <n v="108708.48"/>
    <x v="0"/>
  </r>
  <r>
    <x v="0"/>
    <x v="1"/>
    <x v="3"/>
    <x v="0"/>
    <x v="0"/>
    <x v="0"/>
    <s v="24"/>
    <x v="0"/>
    <x v="2"/>
    <x v="1"/>
    <n v="261840.21"/>
    <x v="0"/>
  </r>
  <r>
    <x v="0"/>
    <x v="1"/>
    <x v="3"/>
    <x v="0"/>
    <x v="0"/>
    <x v="0"/>
    <s v="24"/>
    <x v="0"/>
    <x v="2"/>
    <x v="9"/>
    <n v="60954.73"/>
    <x v="0"/>
  </r>
  <r>
    <x v="0"/>
    <x v="1"/>
    <x v="3"/>
    <x v="0"/>
    <x v="0"/>
    <x v="0"/>
    <s v="30"/>
    <x v="0"/>
    <x v="1"/>
    <x v="9"/>
    <n v="-50"/>
    <x v="0"/>
  </r>
  <r>
    <x v="0"/>
    <x v="1"/>
    <x v="3"/>
    <x v="0"/>
    <x v="0"/>
    <x v="0"/>
    <s v="41"/>
    <x v="0"/>
    <x v="2"/>
    <x v="4"/>
    <n v="-98409.62"/>
    <x v="0"/>
  </r>
  <r>
    <x v="0"/>
    <x v="1"/>
    <x v="3"/>
    <x v="0"/>
    <x v="0"/>
    <x v="0"/>
    <s v="86"/>
    <x v="0"/>
    <x v="1"/>
    <x v="6"/>
    <n v="1590.4"/>
    <x v="0"/>
  </r>
  <r>
    <x v="0"/>
    <x v="1"/>
    <x v="3"/>
    <x v="0"/>
    <x v="0"/>
    <x v="0"/>
    <s v="86"/>
    <x v="0"/>
    <x v="1"/>
    <x v="0"/>
    <n v="-1590.4"/>
    <x v="0"/>
  </r>
  <r>
    <x v="0"/>
    <x v="1"/>
    <x v="3"/>
    <x v="0"/>
    <x v="0"/>
    <x v="0"/>
    <s v="99"/>
    <x v="0"/>
    <x v="1"/>
    <x v="5"/>
    <n v="-4513.9399999999996"/>
    <x v="0"/>
  </r>
  <r>
    <x v="0"/>
    <x v="1"/>
    <x v="3"/>
    <x v="0"/>
    <x v="0"/>
    <x v="0"/>
    <s v="99"/>
    <x v="0"/>
    <x v="1"/>
    <x v="7"/>
    <n v="125"/>
    <x v="0"/>
  </r>
  <r>
    <x v="0"/>
    <x v="1"/>
    <x v="3"/>
    <x v="0"/>
    <x v="0"/>
    <x v="0"/>
    <s v="99"/>
    <x v="0"/>
    <x v="2"/>
    <x v="5"/>
    <n v="-733.63"/>
    <x v="0"/>
  </r>
  <r>
    <x v="0"/>
    <x v="1"/>
    <x v="3"/>
    <x v="0"/>
    <x v="0"/>
    <x v="3"/>
    <s v="41"/>
    <x v="0"/>
    <x v="2"/>
    <x v="3"/>
    <n v="-164.88"/>
    <x v="1"/>
  </r>
  <r>
    <x v="0"/>
    <x v="1"/>
    <x v="3"/>
    <x v="0"/>
    <x v="0"/>
    <x v="3"/>
    <s v="41"/>
    <x v="0"/>
    <x v="2"/>
    <x v="6"/>
    <n v="329.76"/>
    <x v="1"/>
  </r>
  <r>
    <x v="0"/>
    <x v="1"/>
    <x v="3"/>
    <x v="0"/>
    <x v="0"/>
    <x v="3"/>
    <s v="41"/>
    <x v="0"/>
    <x v="2"/>
    <x v="8"/>
    <n v="3287.09"/>
    <x v="1"/>
  </r>
  <r>
    <x v="0"/>
    <x v="1"/>
    <x v="3"/>
    <x v="0"/>
    <x v="0"/>
    <x v="0"/>
    <s v="01"/>
    <x v="0"/>
    <x v="1"/>
    <x v="1"/>
    <n v="550.36"/>
    <x v="0"/>
  </r>
  <r>
    <x v="0"/>
    <x v="1"/>
    <x v="3"/>
    <x v="0"/>
    <x v="0"/>
    <x v="0"/>
    <s v="01"/>
    <x v="0"/>
    <x v="1"/>
    <x v="9"/>
    <n v="-557.76"/>
    <x v="0"/>
  </r>
  <r>
    <x v="0"/>
    <x v="1"/>
    <x v="3"/>
    <x v="0"/>
    <x v="0"/>
    <x v="0"/>
    <s v="01"/>
    <x v="0"/>
    <x v="1"/>
    <x v="10"/>
    <n v="-3174.41"/>
    <x v="0"/>
  </r>
  <r>
    <x v="0"/>
    <x v="1"/>
    <x v="3"/>
    <x v="0"/>
    <x v="0"/>
    <x v="0"/>
    <s v="01"/>
    <x v="0"/>
    <x v="2"/>
    <x v="1"/>
    <n v="-11160.07"/>
    <x v="0"/>
  </r>
  <r>
    <x v="0"/>
    <x v="1"/>
    <x v="3"/>
    <x v="0"/>
    <x v="0"/>
    <x v="0"/>
    <s v="01"/>
    <x v="0"/>
    <x v="2"/>
    <x v="9"/>
    <n v="2010.3"/>
    <x v="0"/>
  </r>
  <r>
    <x v="0"/>
    <x v="1"/>
    <x v="3"/>
    <x v="0"/>
    <x v="0"/>
    <x v="0"/>
    <s v="01"/>
    <x v="0"/>
    <x v="2"/>
    <x v="10"/>
    <n v="3638.3"/>
    <x v="0"/>
  </r>
  <r>
    <x v="0"/>
    <x v="1"/>
    <x v="3"/>
    <x v="0"/>
    <x v="0"/>
    <x v="0"/>
    <s v="09"/>
    <x v="0"/>
    <x v="1"/>
    <x v="3"/>
    <n v="72.62"/>
    <x v="0"/>
  </r>
  <r>
    <x v="0"/>
    <x v="1"/>
    <x v="3"/>
    <x v="0"/>
    <x v="0"/>
    <x v="0"/>
    <s v="09"/>
    <x v="0"/>
    <x v="1"/>
    <x v="4"/>
    <n v="-72.62"/>
    <x v="0"/>
  </r>
  <r>
    <x v="0"/>
    <x v="1"/>
    <x v="3"/>
    <x v="0"/>
    <x v="0"/>
    <x v="0"/>
    <s v="24"/>
    <x v="0"/>
    <x v="1"/>
    <x v="9"/>
    <n v="-128440.72"/>
    <x v="0"/>
  </r>
  <r>
    <x v="0"/>
    <x v="1"/>
    <x v="3"/>
    <x v="0"/>
    <x v="0"/>
    <x v="0"/>
    <s v="24"/>
    <x v="0"/>
    <x v="1"/>
    <x v="10"/>
    <n v="167471.22"/>
    <x v="0"/>
  </r>
  <r>
    <x v="0"/>
    <x v="1"/>
    <x v="3"/>
    <x v="0"/>
    <x v="0"/>
    <x v="0"/>
    <s v="24"/>
    <x v="0"/>
    <x v="2"/>
    <x v="4"/>
    <n v="79464.36"/>
    <x v="0"/>
  </r>
  <r>
    <x v="0"/>
    <x v="1"/>
    <x v="3"/>
    <x v="0"/>
    <x v="0"/>
    <x v="0"/>
    <s v="24"/>
    <x v="0"/>
    <x v="2"/>
    <x v="10"/>
    <n v="-1293.8699999999999"/>
    <x v="0"/>
  </r>
  <r>
    <x v="0"/>
    <x v="1"/>
    <x v="3"/>
    <x v="0"/>
    <x v="0"/>
    <x v="0"/>
    <s v="24"/>
    <x v="0"/>
    <x v="2"/>
    <x v="8"/>
    <n v="35510.629999999997"/>
    <x v="0"/>
  </r>
  <r>
    <x v="0"/>
    <x v="1"/>
    <x v="3"/>
    <x v="0"/>
    <x v="0"/>
    <x v="0"/>
    <s v="30"/>
    <x v="0"/>
    <x v="1"/>
    <x v="3"/>
    <n v="50"/>
    <x v="0"/>
  </r>
  <r>
    <x v="0"/>
    <x v="1"/>
    <x v="3"/>
    <x v="0"/>
    <x v="0"/>
    <x v="0"/>
    <s v="30"/>
    <x v="0"/>
    <x v="2"/>
    <x v="11"/>
    <n v="-214"/>
    <x v="0"/>
  </r>
  <r>
    <x v="0"/>
    <x v="1"/>
    <x v="3"/>
    <x v="0"/>
    <x v="0"/>
    <x v="0"/>
    <s v="41"/>
    <x v="0"/>
    <x v="1"/>
    <x v="6"/>
    <n v="-88409.22"/>
    <x v="0"/>
  </r>
  <r>
    <x v="0"/>
    <x v="1"/>
    <x v="3"/>
    <x v="0"/>
    <x v="0"/>
    <x v="0"/>
    <s v="41"/>
    <x v="0"/>
    <x v="1"/>
    <x v="11"/>
    <n v="-113025.69"/>
    <x v="0"/>
  </r>
  <r>
    <x v="0"/>
    <x v="1"/>
    <x v="3"/>
    <x v="0"/>
    <x v="0"/>
    <x v="0"/>
    <s v="41"/>
    <x v="0"/>
    <x v="1"/>
    <x v="0"/>
    <n v="98409.62"/>
    <x v="0"/>
  </r>
  <r>
    <x v="0"/>
    <x v="1"/>
    <x v="3"/>
    <x v="0"/>
    <x v="0"/>
    <x v="0"/>
    <s v="41"/>
    <x v="0"/>
    <x v="2"/>
    <x v="0"/>
    <n v="98409.62"/>
    <x v="0"/>
  </r>
  <r>
    <x v="0"/>
    <x v="1"/>
    <x v="3"/>
    <x v="0"/>
    <x v="0"/>
    <x v="0"/>
    <s v="85"/>
    <x v="0"/>
    <x v="1"/>
    <x v="0"/>
    <n v="1200"/>
    <x v="0"/>
  </r>
  <r>
    <x v="0"/>
    <x v="1"/>
    <x v="3"/>
    <x v="0"/>
    <x v="0"/>
    <x v="0"/>
    <s v="85"/>
    <x v="0"/>
    <x v="2"/>
    <x v="6"/>
    <n v="12925.5"/>
    <x v="0"/>
  </r>
  <r>
    <x v="0"/>
    <x v="1"/>
    <x v="3"/>
    <x v="0"/>
    <x v="0"/>
    <x v="0"/>
    <s v="99"/>
    <x v="0"/>
    <x v="1"/>
    <x v="9"/>
    <n v="275"/>
    <x v="0"/>
  </r>
  <r>
    <x v="0"/>
    <x v="1"/>
    <x v="3"/>
    <x v="0"/>
    <x v="0"/>
    <x v="3"/>
    <s v="41"/>
    <x v="0"/>
    <x v="2"/>
    <x v="2"/>
    <n v="-4000"/>
    <x v="1"/>
  </r>
  <r>
    <x v="0"/>
    <x v="1"/>
    <x v="3"/>
    <x v="0"/>
    <x v="0"/>
    <x v="0"/>
    <s v="01"/>
    <x v="0"/>
    <x v="1"/>
    <x v="4"/>
    <n v="557.38"/>
    <x v="0"/>
  </r>
  <r>
    <x v="0"/>
    <x v="1"/>
    <x v="3"/>
    <x v="0"/>
    <x v="0"/>
    <x v="0"/>
    <s v="01"/>
    <x v="0"/>
    <x v="1"/>
    <x v="6"/>
    <n v="-4745.1899999999996"/>
    <x v="0"/>
  </r>
  <r>
    <x v="0"/>
    <x v="1"/>
    <x v="3"/>
    <x v="0"/>
    <x v="0"/>
    <x v="0"/>
    <s v="01"/>
    <x v="0"/>
    <x v="2"/>
    <x v="4"/>
    <n v="1451.93"/>
    <x v="0"/>
  </r>
  <r>
    <x v="0"/>
    <x v="1"/>
    <x v="3"/>
    <x v="0"/>
    <x v="0"/>
    <x v="0"/>
    <s v="01"/>
    <x v="0"/>
    <x v="2"/>
    <x v="6"/>
    <n v="3767.16"/>
    <x v="0"/>
  </r>
  <r>
    <x v="0"/>
    <x v="1"/>
    <x v="3"/>
    <x v="0"/>
    <x v="0"/>
    <x v="0"/>
    <s v="01"/>
    <x v="0"/>
    <x v="2"/>
    <x v="11"/>
    <n v="2987.15"/>
    <x v="0"/>
  </r>
  <r>
    <x v="0"/>
    <x v="1"/>
    <x v="3"/>
    <x v="0"/>
    <x v="0"/>
    <x v="0"/>
    <s v="24"/>
    <x v="0"/>
    <x v="1"/>
    <x v="3"/>
    <n v="250441.52"/>
    <x v="0"/>
  </r>
  <r>
    <x v="0"/>
    <x v="1"/>
    <x v="3"/>
    <x v="0"/>
    <x v="0"/>
    <x v="0"/>
    <s v="24"/>
    <x v="0"/>
    <x v="1"/>
    <x v="4"/>
    <n v="287337.67"/>
    <x v="0"/>
  </r>
  <r>
    <x v="0"/>
    <x v="1"/>
    <x v="3"/>
    <x v="0"/>
    <x v="0"/>
    <x v="0"/>
    <s v="24"/>
    <x v="0"/>
    <x v="1"/>
    <x v="6"/>
    <n v="11854.17"/>
    <x v="0"/>
  </r>
  <r>
    <x v="0"/>
    <x v="1"/>
    <x v="3"/>
    <x v="0"/>
    <x v="0"/>
    <x v="0"/>
    <s v="24"/>
    <x v="0"/>
    <x v="1"/>
    <x v="11"/>
    <n v="-149002.16"/>
    <x v="0"/>
  </r>
  <r>
    <x v="0"/>
    <x v="0"/>
    <x v="0"/>
    <x v="0"/>
    <x v="0"/>
    <x v="0"/>
    <s v="20"/>
    <x v="0"/>
    <x v="2"/>
    <x v="7"/>
    <n v="330.04"/>
    <x v="0"/>
  </r>
  <r>
    <x v="0"/>
    <x v="0"/>
    <x v="0"/>
    <x v="0"/>
    <x v="0"/>
    <x v="0"/>
    <s v="24"/>
    <x v="0"/>
    <x v="1"/>
    <x v="1"/>
    <n v="233153374.56999999"/>
    <x v="0"/>
  </r>
  <r>
    <x v="0"/>
    <x v="0"/>
    <x v="0"/>
    <x v="0"/>
    <x v="0"/>
    <x v="0"/>
    <s v="24"/>
    <x v="0"/>
    <x v="1"/>
    <x v="9"/>
    <n v="219588967.78"/>
    <x v="0"/>
  </r>
  <r>
    <x v="0"/>
    <x v="0"/>
    <x v="0"/>
    <x v="0"/>
    <x v="0"/>
    <x v="0"/>
    <s v="24"/>
    <x v="0"/>
    <x v="1"/>
    <x v="10"/>
    <n v="212453817.80000001"/>
    <x v="0"/>
  </r>
  <r>
    <x v="0"/>
    <x v="0"/>
    <x v="0"/>
    <x v="0"/>
    <x v="0"/>
    <x v="0"/>
    <s v="24"/>
    <x v="0"/>
    <x v="2"/>
    <x v="9"/>
    <n v="225557273.34999999"/>
    <x v="0"/>
  </r>
  <r>
    <x v="0"/>
    <x v="0"/>
    <x v="0"/>
    <x v="0"/>
    <x v="0"/>
    <x v="0"/>
    <s v="24"/>
    <x v="0"/>
    <x v="2"/>
    <x v="10"/>
    <n v="211233478.41"/>
    <x v="0"/>
  </r>
  <r>
    <x v="0"/>
    <x v="0"/>
    <x v="0"/>
    <x v="0"/>
    <x v="0"/>
    <x v="0"/>
    <s v="24"/>
    <x v="0"/>
    <x v="2"/>
    <x v="8"/>
    <n v="-1465195.7"/>
    <x v="0"/>
  </r>
  <r>
    <x v="0"/>
    <x v="0"/>
    <x v="0"/>
    <x v="0"/>
    <x v="0"/>
    <x v="0"/>
    <s v="30"/>
    <x v="0"/>
    <x v="1"/>
    <x v="6"/>
    <n v="-177"/>
    <x v="0"/>
  </r>
  <r>
    <x v="0"/>
    <x v="0"/>
    <x v="0"/>
    <x v="0"/>
    <x v="0"/>
    <x v="0"/>
    <s v="30"/>
    <x v="0"/>
    <x v="1"/>
    <x v="11"/>
    <n v="-230"/>
    <x v="0"/>
  </r>
  <r>
    <x v="0"/>
    <x v="0"/>
    <x v="0"/>
    <x v="0"/>
    <x v="0"/>
    <x v="0"/>
    <s v="30"/>
    <x v="0"/>
    <x v="1"/>
    <x v="0"/>
    <n v="-510"/>
    <x v="0"/>
  </r>
  <r>
    <x v="0"/>
    <x v="0"/>
    <x v="0"/>
    <x v="0"/>
    <x v="0"/>
    <x v="0"/>
    <s v="99"/>
    <x v="0"/>
    <x v="2"/>
    <x v="9"/>
    <n v="-61"/>
    <x v="0"/>
  </r>
  <r>
    <x v="0"/>
    <x v="0"/>
    <x v="0"/>
    <x v="0"/>
    <x v="0"/>
    <x v="3"/>
    <s v="41"/>
    <x v="0"/>
    <x v="1"/>
    <x v="11"/>
    <n v="2771.84"/>
    <x v="1"/>
  </r>
  <r>
    <x v="0"/>
    <x v="0"/>
    <x v="0"/>
    <x v="0"/>
    <x v="0"/>
    <x v="1"/>
    <s v="21"/>
    <x v="0"/>
    <x v="1"/>
    <x v="5"/>
    <n v="196120"/>
    <x v="0"/>
  </r>
  <r>
    <x v="0"/>
    <x v="0"/>
    <x v="0"/>
    <x v="0"/>
    <x v="0"/>
    <x v="1"/>
    <s v="21"/>
    <x v="0"/>
    <x v="2"/>
    <x v="5"/>
    <n v="10000"/>
    <x v="0"/>
  </r>
  <r>
    <x v="0"/>
    <x v="0"/>
    <x v="0"/>
    <x v="0"/>
    <x v="0"/>
    <x v="1"/>
    <s v="22"/>
    <x v="0"/>
    <x v="1"/>
    <x v="4"/>
    <n v="-1438076"/>
    <x v="0"/>
  </r>
  <r>
    <x v="0"/>
    <x v="0"/>
    <x v="0"/>
    <x v="0"/>
    <x v="0"/>
    <x v="1"/>
    <s v="22"/>
    <x v="0"/>
    <x v="1"/>
    <x v="6"/>
    <n v="-1741538"/>
    <x v="0"/>
  </r>
  <r>
    <x v="0"/>
    <x v="0"/>
    <x v="0"/>
    <x v="0"/>
    <x v="0"/>
    <x v="1"/>
    <s v="22"/>
    <x v="0"/>
    <x v="1"/>
    <x v="11"/>
    <n v="-1111303"/>
    <x v="0"/>
  </r>
  <r>
    <x v="0"/>
    <x v="0"/>
    <x v="0"/>
    <x v="0"/>
    <x v="0"/>
    <x v="1"/>
    <s v="22"/>
    <x v="0"/>
    <x v="1"/>
    <x v="8"/>
    <n v="-24358075"/>
    <x v="0"/>
  </r>
  <r>
    <x v="0"/>
    <x v="0"/>
    <x v="0"/>
    <x v="0"/>
    <x v="0"/>
    <x v="1"/>
    <s v="22"/>
    <x v="0"/>
    <x v="1"/>
    <x v="0"/>
    <n v="-20659512.620000001"/>
    <x v="0"/>
  </r>
  <r>
    <x v="0"/>
    <x v="0"/>
    <x v="0"/>
    <x v="0"/>
    <x v="0"/>
    <x v="1"/>
    <s v="22"/>
    <x v="0"/>
    <x v="2"/>
    <x v="4"/>
    <n v="-438076"/>
    <x v="0"/>
  </r>
  <r>
    <x v="0"/>
    <x v="0"/>
    <x v="0"/>
    <x v="0"/>
    <x v="0"/>
    <x v="1"/>
    <s v="22"/>
    <x v="0"/>
    <x v="2"/>
    <x v="6"/>
    <n v="-60000"/>
    <x v="0"/>
  </r>
  <r>
    <x v="0"/>
    <x v="0"/>
    <x v="0"/>
    <x v="0"/>
    <x v="0"/>
    <x v="1"/>
    <s v="22"/>
    <x v="0"/>
    <x v="2"/>
    <x v="11"/>
    <n v="-241921"/>
    <x v="0"/>
  </r>
  <r>
    <x v="0"/>
    <x v="0"/>
    <x v="0"/>
    <x v="0"/>
    <x v="0"/>
    <x v="1"/>
    <s v="22"/>
    <x v="0"/>
    <x v="2"/>
    <x v="0"/>
    <n v="-7478507.7000000002"/>
    <x v="0"/>
  </r>
  <r>
    <x v="0"/>
    <x v="0"/>
    <x v="0"/>
    <x v="0"/>
    <x v="0"/>
    <x v="1"/>
    <s v="88"/>
    <x v="0"/>
    <x v="1"/>
    <x v="1"/>
    <n v="-125299.94"/>
    <x v="0"/>
  </r>
  <r>
    <x v="0"/>
    <x v="0"/>
    <x v="0"/>
    <x v="0"/>
    <x v="0"/>
    <x v="1"/>
    <s v="88"/>
    <x v="0"/>
    <x v="2"/>
    <x v="1"/>
    <n v="-103593.7"/>
    <x v="0"/>
  </r>
  <r>
    <x v="0"/>
    <x v="0"/>
    <x v="0"/>
    <x v="0"/>
    <x v="0"/>
    <x v="1"/>
    <s v="88"/>
    <x v="0"/>
    <x v="2"/>
    <x v="9"/>
    <n v="-113822.19"/>
    <x v="0"/>
  </r>
  <r>
    <x v="0"/>
    <x v="0"/>
    <x v="0"/>
    <x v="0"/>
    <x v="0"/>
    <x v="1"/>
    <s v="94"/>
    <x v="0"/>
    <x v="1"/>
    <x v="0"/>
    <n v="-4609227.07"/>
    <x v="0"/>
  </r>
  <r>
    <x v="0"/>
    <x v="0"/>
    <x v="0"/>
    <x v="0"/>
    <x v="0"/>
    <x v="1"/>
    <s v="94"/>
    <x v="0"/>
    <x v="2"/>
    <x v="0"/>
    <n v="-4766269.18"/>
    <x v="0"/>
  </r>
  <r>
    <x v="0"/>
    <x v="0"/>
    <x v="0"/>
    <x v="0"/>
    <x v="0"/>
    <x v="2"/>
    <s v="60"/>
    <x v="0"/>
    <x v="2"/>
    <x v="0"/>
    <n v="13554450.49"/>
    <x v="0"/>
  </r>
  <r>
    <x v="0"/>
    <x v="0"/>
    <x v="0"/>
    <x v="0"/>
    <x v="0"/>
    <x v="0"/>
    <s v="02"/>
    <x v="0"/>
    <x v="1"/>
    <x v="11"/>
    <n v="13045.51"/>
    <x v="0"/>
  </r>
  <r>
    <x v="0"/>
    <x v="0"/>
    <x v="0"/>
    <x v="0"/>
    <x v="0"/>
    <x v="0"/>
    <s v="02"/>
    <x v="0"/>
    <x v="1"/>
    <x v="2"/>
    <n v="-13045.51"/>
    <x v="0"/>
  </r>
  <r>
    <x v="0"/>
    <x v="0"/>
    <x v="0"/>
    <x v="0"/>
    <x v="0"/>
    <x v="0"/>
    <s v="20"/>
    <x v="0"/>
    <x v="1"/>
    <x v="2"/>
    <n v="-83.24"/>
    <x v="0"/>
  </r>
  <r>
    <x v="0"/>
    <x v="0"/>
    <x v="0"/>
    <x v="0"/>
    <x v="0"/>
    <x v="0"/>
    <s v="20"/>
    <x v="0"/>
    <x v="2"/>
    <x v="5"/>
    <n v="14.19"/>
    <x v="0"/>
  </r>
  <r>
    <x v="0"/>
    <x v="0"/>
    <x v="0"/>
    <x v="0"/>
    <x v="0"/>
    <x v="0"/>
    <s v="20"/>
    <x v="0"/>
    <x v="2"/>
    <x v="2"/>
    <n v="-1585.76"/>
    <x v="0"/>
  </r>
  <r>
    <x v="0"/>
    <x v="0"/>
    <x v="0"/>
    <x v="0"/>
    <x v="0"/>
    <x v="0"/>
    <s v="24"/>
    <x v="0"/>
    <x v="1"/>
    <x v="7"/>
    <n v="-780698.7"/>
    <x v="0"/>
  </r>
  <r>
    <x v="0"/>
    <x v="0"/>
    <x v="0"/>
    <x v="0"/>
    <x v="0"/>
    <x v="0"/>
    <s v="24"/>
    <x v="0"/>
    <x v="2"/>
    <x v="1"/>
    <n v="-852577.09"/>
    <x v="0"/>
  </r>
  <r>
    <x v="0"/>
    <x v="0"/>
    <x v="0"/>
    <x v="0"/>
    <x v="0"/>
    <x v="0"/>
    <s v="30"/>
    <x v="0"/>
    <x v="1"/>
    <x v="9"/>
    <n v="-5467"/>
    <x v="0"/>
  </r>
  <r>
    <x v="0"/>
    <x v="0"/>
    <x v="0"/>
    <x v="0"/>
    <x v="0"/>
    <x v="0"/>
    <s v="30"/>
    <x v="0"/>
    <x v="1"/>
    <x v="10"/>
    <n v="-70"/>
    <x v="0"/>
  </r>
  <r>
    <x v="0"/>
    <x v="0"/>
    <x v="0"/>
    <x v="0"/>
    <x v="0"/>
    <x v="0"/>
    <s v="30"/>
    <x v="0"/>
    <x v="2"/>
    <x v="4"/>
    <n v="37890"/>
    <x v="0"/>
  </r>
  <r>
    <x v="0"/>
    <x v="0"/>
    <x v="0"/>
    <x v="0"/>
    <x v="0"/>
    <x v="0"/>
    <s v="99"/>
    <x v="0"/>
    <x v="1"/>
    <x v="5"/>
    <n v="16.48"/>
    <x v="0"/>
  </r>
  <r>
    <x v="0"/>
    <x v="0"/>
    <x v="0"/>
    <x v="0"/>
    <x v="0"/>
    <x v="0"/>
    <s v="99"/>
    <x v="0"/>
    <x v="1"/>
    <x v="0"/>
    <n v="-3077.67"/>
    <x v="0"/>
  </r>
  <r>
    <x v="0"/>
    <x v="0"/>
    <x v="0"/>
    <x v="0"/>
    <x v="0"/>
    <x v="0"/>
    <s v="99"/>
    <x v="0"/>
    <x v="2"/>
    <x v="5"/>
    <n v="617.07000000000005"/>
    <x v="0"/>
  </r>
  <r>
    <x v="0"/>
    <x v="0"/>
    <x v="0"/>
    <x v="0"/>
    <x v="0"/>
    <x v="0"/>
    <s v="99"/>
    <x v="0"/>
    <x v="2"/>
    <x v="2"/>
    <n v="-157.19"/>
    <x v="0"/>
  </r>
  <r>
    <x v="0"/>
    <x v="0"/>
    <x v="0"/>
    <x v="0"/>
    <x v="0"/>
    <x v="3"/>
    <s v="41"/>
    <x v="0"/>
    <x v="1"/>
    <x v="10"/>
    <n v="-2771.84"/>
    <x v="1"/>
  </r>
  <r>
    <x v="0"/>
    <x v="0"/>
    <x v="0"/>
    <x v="0"/>
    <x v="0"/>
    <x v="3"/>
    <s v="46"/>
    <x v="0"/>
    <x v="1"/>
    <x v="8"/>
    <n v="-60000"/>
    <x v="1"/>
  </r>
  <r>
    <x v="0"/>
    <x v="0"/>
    <x v="0"/>
    <x v="0"/>
    <x v="0"/>
    <x v="1"/>
    <s v="21"/>
    <x v="0"/>
    <x v="1"/>
    <x v="3"/>
    <n v="50"/>
    <x v="0"/>
  </r>
  <r>
    <x v="0"/>
    <x v="0"/>
    <x v="0"/>
    <x v="0"/>
    <x v="0"/>
    <x v="1"/>
    <s v="21"/>
    <x v="0"/>
    <x v="1"/>
    <x v="11"/>
    <n v="43781.919999999998"/>
    <x v="0"/>
  </r>
  <r>
    <x v="0"/>
    <x v="0"/>
    <x v="0"/>
    <x v="0"/>
    <x v="0"/>
    <x v="1"/>
    <s v="21"/>
    <x v="0"/>
    <x v="1"/>
    <x v="0"/>
    <n v="10342094.25"/>
    <x v="0"/>
  </r>
  <r>
    <x v="0"/>
    <x v="0"/>
    <x v="0"/>
    <x v="0"/>
    <x v="0"/>
    <x v="1"/>
    <s v="21"/>
    <x v="0"/>
    <x v="2"/>
    <x v="11"/>
    <n v="354038"/>
    <x v="0"/>
  </r>
  <r>
    <x v="0"/>
    <x v="0"/>
    <x v="0"/>
    <x v="0"/>
    <x v="0"/>
    <x v="1"/>
    <s v="21"/>
    <x v="0"/>
    <x v="2"/>
    <x v="2"/>
    <n v="1713360.25"/>
    <x v="0"/>
  </r>
  <r>
    <x v="0"/>
    <x v="0"/>
    <x v="0"/>
    <x v="0"/>
    <x v="0"/>
    <x v="1"/>
    <s v="22"/>
    <x v="0"/>
    <x v="1"/>
    <x v="1"/>
    <n v="-225532.67"/>
    <x v="0"/>
  </r>
  <r>
    <x v="0"/>
    <x v="0"/>
    <x v="0"/>
    <x v="0"/>
    <x v="0"/>
    <x v="1"/>
    <s v="22"/>
    <x v="0"/>
    <x v="1"/>
    <x v="9"/>
    <n v="-219288"/>
    <x v="0"/>
  </r>
  <r>
    <x v="0"/>
    <x v="0"/>
    <x v="0"/>
    <x v="0"/>
    <x v="0"/>
    <x v="1"/>
    <s v="22"/>
    <x v="0"/>
    <x v="1"/>
    <x v="10"/>
    <n v="-5310911"/>
    <x v="0"/>
  </r>
  <r>
    <x v="0"/>
    <x v="0"/>
    <x v="0"/>
    <x v="0"/>
    <x v="0"/>
    <x v="1"/>
    <s v="22"/>
    <x v="0"/>
    <x v="2"/>
    <x v="9"/>
    <n v="-7938636"/>
    <x v="0"/>
  </r>
  <r>
    <x v="0"/>
    <x v="0"/>
    <x v="0"/>
    <x v="0"/>
    <x v="0"/>
    <x v="1"/>
    <s v="22"/>
    <x v="0"/>
    <x v="2"/>
    <x v="10"/>
    <n v="-219038"/>
    <x v="0"/>
  </r>
  <r>
    <x v="0"/>
    <x v="0"/>
    <x v="0"/>
    <x v="0"/>
    <x v="0"/>
    <x v="1"/>
    <s v="22"/>
    <x v="0"/>
    <x v="2"/>
    <x v="8"/>
    <n v="-2063580.97"/>
    <x v="0"/>
  </r>
  <r>
    <x v="0"/>
    <x v="0"/>
    <x v="0"/>
    <x v="0"/>
    <x v="0"/>
    <x v="1"/>
    <s v="88"/>
    <x v="0"/>
    <x v="1"/>
    <x v="5"/>
    <n v="-125183.18"/>
    <x v="0"/>
  </r>
  <r>
    <x v="0"/>
    <x v="0"/>
    <x v="0"/>
    <x v="0"/>
    <x v="0"/>
    <x v="1"/>
    <s v="88"/>
    <x v="0"/>
    <x v="1"/>
    <x v="7"/>
    <n v="-124830.1"/>
    <x v="0"/>
  </r>
  <r>
    <x v="0"/>
    <x v="0"/>
    <x v="0"/>
    <x v="0"/>
    <x v="0"/>
    <x v="1"/>
    <s v="88"/>
    <x v="0"/>
    <x v="1"/>
    <x v="2"/>
    <n v="-124352.78"/>
    <x v="0"/>
  </r>
  <r>
    <x v="0"/>
    <x v="0"/>
    <x v="0"/>
    <x v="0"/>
    <x v="0"/>
    <x v="1"/>
    <s v="88"/>
    <x v="0"/>
    <x v="2"/>
    <x v="5"/>
    <n v="-103473.14"/>
    <x v="0"/>
  </r>
  <r>
    <x v="0"/>
    <x v="0"/>
    <x v="0"/>
    <x v="0"/>
    <x v="0"/>
    <x v="1"/>
    <s v="88"/>
    <x v="0"/>
    <x v="2"/>
    <x v="7"/>
    <n v="-119948.14"/>
    <x v="0"/>
  </r>
  <r>
    <x v="0"/>
    <x v="0"/>
    <x v="0"/>
    <x v="0"/>
    <x v="0"/>
    <x v="0"/>
    <s v="02"/>
    <x v="0"/>
    <x v="1"/>
    <x v="9"/>
    <n v="-3824.44"/>
    <x v="0"/>
  </r>
  <r>
    <x v="0"/>
    <x v="0"/>
    <x v="0"/>
    <x v="0"/>
    <x v="0"/>
    <x v="0"/>
    <s v="02"/>
    <x v="0"/>
    <x v="2"/>
    <x v="10"/>
    <n v="-5273.67"/>
    <x v="0"/>
  </r>
  <r>
    <x v="0"/>
    <x v="0"/>
    <x v="0"/>
    <x v="0"/>
    <x v="0"/>
    <x v="0"/>
    <s v="20"/>
    <x v="0"/>
    <x v="1"/>
    <x v="1"/>
    <n v="-2190.4899999999998"/>
    <x v="0"/>
  </r>
  <r>
    <x v="0"/>
    <x v="0"/>
    <x v="0"/>
    <x v="0"/>
    <x v="0"/>
    <x v="0"/>
    <s v="20"/>
    <x v="0"/>
    <x v="1"/>
    <x v="10"/>
    <n v="-168758.72"/>
    <x v="0"/>
  </r>
  <r>
    <x v="0"/>
    <x v="0"/>
    <x v="0"/>
    <x v="0"/>
    <x v="0"/>
    <x v="0"/>
    <s v="20"/>
    <x v="0"/>
    <x v="2"/>
    <x v="9"/>
    <n v="639"/>
    <x v="0"/>
  </r>
  <r>
    <x v="0"/>
    <x v="0"/>
    <x v="0"/>
    <x v="0"/>
    <x v="0"/>
    <x v="0"/>
    <s v="20"/>
    <x v="0"/>
    <x v="2"/>
    <x v="10"/>
    <n v="2563.13"/>
    <x v="0"/>
  </r>
  <r>
    <x v="0"/>
    <x v="0"/>
    <x v="0"/>
    <x v="0"/>
    <x v="0"/>
    <x v="0"/>
    <s v="24"/>
    <x v="0"/>
    <x v="1"/>
    <x v="3"/>
    <n v="-53899.48"/>
    <x v="0"/>
  </r>
  <r>
    <x v="0"/>
    <x v="0"/>
    <x v="0"/>
    <x v="0"/>
    <x v="0"/>
    <x v="0"/>
    <s v="24"/>
    <x v="0"/>
    <x v="1"/>
    <x v="4"/>
    <n v="-64569.11"/>
    <x v="0"/>
  </r>
  <r>
    <x v="0"/>
    <x v="0"/>
    <x v="0"/>
    <x v="0"/>
    <x v="0"/>
    <x v="0"/>
    <s v="24"/>
    <x v="0"/>
    <x v="1"/>
    <x v="6"/>
    <n v="437644.56"/>
    <x v="0"/>
  </r>
  <r>
    <x v="0"/>
    <x v="0"/>
    <x v="0"/>
    <x v="0"/>
    <x v="0"/>
    <x v="0"/>
    <s v="24"/>
    <x v="0"/>
    <x v="1"/>
    <x v="11"/>
    <n v="-426277.02"/>
    <x v="0"/>
  </r>
  <r>
    <x v="0"/>
    <x v="0"/>
    <x v="0"/>
    <x v="0"/>
    <x v="0"/>
    <x v="0"/>
    <s v="24"/>
    <x v="0"/>
    <x v="1"/>
    <x v="8"/>
    <n v="-2740554.85"/>
    <x v="0"/>
  </r>
  <r>
    <x v="0"/>
    <x v="0"/>
    <x v="0"/>
    <x v="0"/>
    <x v="0"/>
    <x v="0"/>
    <s v="24"/>
    <x v="0"/>
    <x v="1"/>
    <x v="0"/>
    <n v="-897695.07"/>
    <x v="0"/>
  </r>
  <r>
    <x v="0"/>
    <x v="0"/>
    <x v="0"/>
    <x v="0"/>
    <x v="0"/>
    <x v="0"/>
    <s v="24"/>
    <x v="0"/>
    <x v="2"/>
    <x v="3"/>
    <n v="-110885.14"/>
    <x v="0"/>
  </r>
  <r>
    <x v="0"/>
    <x v="0"/>
    <x v="0"/>
    <x v="0"/>
    <x v="0"/>
    <x v="0"/>
    <s v="24"/>
    <x v="0"/>
    <x v="2"/>
    <x v="4"/>
    <n v="233590558.72"/>
    <x v="0"/>
  </r>
  <r>
    <x v="0"/>
    <x v="0"/>
    <x v="0"/>
    <x v="0"/>
    <x v="0"/>
    <x v="0"/>
    <s v="24"/>
    <x v="0"/>
    <x v="2"/>
    <x v="6"/>
    <n v="-1475932.17"/>
    <x v="0"/>
  </r>
  <r>
    <x v="0"/>
    <x v="0"/>
    <x v="0"/>
    <x v="0"/>
    <x v="0"/>
    <x v="0"/>
    <s v="24"/>
    <x v="0"/>
    <x v="2"/>
    <x v="11"/>
    <n v="-299574.43"/>
    <x v="0"/>
  </r>
  <r>
    <x v="0"/>
    <x v="0"/>
    <x v="0"/>
    <x v="0"/>
    <x v="0"/>
    <x v="0"/>
    <s v="24"/>
    <x v="0"/>
    <x v="2"/>
    <x v="0"/>
    <n v="-1005445.37"/>
    <x v="0"/>
  </r>
  <r>
    <x v="0"/>
    <x v="0"/>
    <x v="0"/>
    <x v="0"/>
    <x v="0"/>
    <x v="0"/>
    <s v="30"/>
    <x v="0"/>
    <x v="1"/>
    <x v="5"/>
    <n v="-23"/>
    <x v="0"/>
  </r>
  <r>
    <x v="0"/>
    <x v="0"/>
    <x v="0"/>
    <x v="0"/>
    <x v="0"/>
    <x v="0"/>
    <s v="30"/>
    <x v="0"/>
    <x v="1"/>
    <x v="7"/>
    <n v="250"/>
    <x v="0"/>
  </r>
  <r>
    <x v="0"/>
    <x v="0"/>
    <x v="0"/>
    <x v="0"/>
    <x v="0"/>
    <x v="0"/>
    <s v="30"/>
    <x v="0"/>
    <x v="2"/>
    <x v="5"/>
    <n v="-397"/>
    <x v="0"/>
  </r>
  <r>
    <x v="0"/>
    <x v="0"/>
    <x v="0"/>
    <x v="0"/>
    <x v="0"/>
    <x v="0"/>
    <s v="99"/>
    <x v="0"/>
    <x v="1"/>
    <x v="9"/>
    <n v="-160"/>
    <x v="0"/>
  </r>
  <r>
    <x v="0"/>
    <x v="0"/>
    <x v="0"/>
    <x v="0"/>
    <x v="0"/>
    <x v="0"/>
    <s v="99"/>
    <x v="0"/>
    <x v="1"/>
    <x v="10"/>
    <n v="629.57000000000005"/>
    <x v="0"/>
  </r>
  <r>
    <x v="0"/>
    <x v="0"/>
    <x v="0"/>
    <x v="0"/>
    <x v="0"/>
    <x v="0"/>
    <s v="99"/>
    <x v="0"/>
    <x v="2"/>
    <x v="3"/>
    <n v="426"/>
    <x v="0"/>
  </r>
  <r>
    <x v="0"/>
    <x v="0"/>
    <x v="2"/>
    <x v="0"/>
    <x v="0"/>
    <x v="0"/>
    <s v="20"/>
    <x v="0"/>
    <x v="1"/>
    <x v="1"/>
    <n v="224"/>
    <x v="0"/>
  </r>
  <r>
    <x v="0"/>
    <x v="0"/>
    <x v="2"/>
    <x v="0"/>
    <x v="0"/>
    <x v="0"/>
    <s v="20"/>
    <x v="0"/>
    <x v="2"/>
    <x v="9"/>
    <n v="1051.5"/>
    <x v="0"/>
  </r>
  <r>
    <x v="0"/>
    <x v="0"/>
    <x v="2"/>
    <x v="0"/>
    <x v="0"/>
    <x v="0"/>
    <s v="24"/>
    <x v="0"/>
    <x v="1"/>
    <x v="4"/>
    <n v="12807207.539999999"/>
    <x v="0"/>
  </r>
  <r>
    <x v="0"/>
    <x v="0"/>
    <x v="2"/>
    <x v="0"/>
    <x v="0"/>
    <x v="0"/>
    <s v="24"/>
    <x v="0"/>
    <x v="1"/>
    <x v="10"/>
    <n v="9991277.2200000007"/>
    <x v="0"/>
  </r>
  <r>
    <x v="0"/>
    <x v="0"/>
    <x v="2"/>
    <x v="0"/>
    <x v="0"/>
    <x v="0"/>
    <s v="24"/>
    <x v="0"/>
    <x v="2"/>
    <x v="3"/>
    <n v="-5763.42"/>
    <x v="0"/>
  </r>
  <r>
    <x v="0"/>
    <x v="0"/>
    <x v="2"/>
    <x v="0"/>
    <x v="0"/>
    <x v="0"/>
    <s v="24"/>
    <x v="0"/>
    <x v="2"/>
    <x v="4"/>
    <n v="12117452.42"/>
    <x v="0"/>
  </r>
  <r>
    <x v="0"/>
    <x v="0"/>
    <x v="2"/>
    <x v="0"/>
    <x v="0"/>
    <x v="0"/>
    <s v="24"/>
    <x v="0"/>
    <x v="2"/>
    <x v="6"/>
    <n v="-68599.199999999997"/>
    <x v="0"/>
  </r>
  <r>
    <x v="0"/>
    <x v="0"/>
    <x v="2"/>
    <x v="0"/>
    <x v="0"/>
    <x v="0"/>
    <s v="90"/>
    <x v="0"/>
    <x v="1"/>
    <x v="5"/>
    <n v="8"/>
    <x v="0"/>
  </r>
  <r>
    <x v="0"/>
    <x v="0"/>
    <x v="2"/>
    <x v="0"/>
    <x v="0"/>
    <x v="0"/>
    <s v="90"/>
    <x v="0"/>
    <x v="2"/>
    <x v="2"/>
    <n v="-150"/>
    <x v="0"/>
  </r>
  <r>
    <x v="0"/>
    <x v="0"/>
    <x v="2"/>
    <x v="0"/>
    <x v="0"/>
    <x v="1"/>
    <s v="22"/>
    <x v="0"/>
    <x v="2"/>
    <x v="8"/>
    <n v="-252695"/>
    <x v="0"/>
  </r>
  <r>
    <x v="0"/>
    <x v="0"/>
    <x v="2"/>
    <x v="0"/>
    <x v="0"/>
    <x v="4"/>
    <s v="20"/>
    <x v="0"/>
    <x v="1"/>
    <x v="11"/>
    <n v="0"/>
    <x v="0"/>
  </r>
  <r>
    <x v="0"/>
    <x v="0"/>
    <x v="2"/>
    <x v="0"/>
    <x v="0"/>
    <x v="4"/>
    <s v="20"/>
    <x v="0"/>
    <x v="1"/>
    <x v="8"/>
    <n v="0"/>
    <x v="0"/>
  </r>
  <r>
    <x v="0"/>
    <x v="0"/>
    <x v="2"/>
    <x v="0"/>
    <x v="0"/>
    <x v="4"/>
    <s v="20"/>
    <x v="0"/>
    <x v="2"/>
    <x v="11"/>
    <n v="0"/>
    <x v="0"/>
  </r>
  <r>
    <x v="0"/>
    <x v="0"/>
    <x v="2"/>
    <x v="0"/>
    <x v="0"/>
    <x v="4"/>
    <s v="20"/>
    <x v="0"/>
    <x v="2"/>
    <x v="8"/>
    <n v="0"/>
    <x v="0"/>
  </r>
  <r>
    <x v="0"/>
    <x v="0"/>
    <x v="2"/>
    <x v="0"/>
    <x v="0"/>
    <x v="4"/>
    <s v="20"/>
    <x v="0"/>
    <x v="2"/>
    <x v="0"/>
    <n v="0"/>
    <x v="0"/>
  </r>
  <r>
    <x v="0"/>
    <x v="0"/>
    <x v="2"/>
    <x v="0"/>
    <x v="0"/>
    <x v="4"/>
    <s v="40"/>
    <x v="0"/>
    <x v="1"/>
    <x v="3"/>
    <n v="8"/>
    <x v="0"/>
  </r>
  <r>
    <x v="0"/>
    <x v="0"/>
    <x v="2"/>
    <x v="0"/>
    <x v="0"/>
    <x v="4"/>
    <s v="40"/>
    <x v="0"/>
    <x v="1"/>
    <x v="0"/>
    <n v="0"/>
    <x v="0"/>
  </r>
  <r>
    <x v="0"/>
    <x v="0"/>
    <x v="4"/>
    <x v="0"/>
    <x v="0"/>
    <x v="0"/>
    <s v="01"/>
    <x v="0"/>
    <x v="1"/>
    <x v="4"/>
    <n v="8354.31"/>
    <x v="0"/>
  </r>
  <r>
    <x v="0"/>
    <x v="0"/>
    <x v="4"/>
    <x v="0"/>
    <x v="0"/>
    <x v="0"/>
    <s v="01"/>
    <x v="0"/>
    <x v="1"/>
    <x v="6"/>
    <n v="16379.35"/>
    <x v="0"/>
  </r>
  <r>
    <x v="0"/>
    <x v="0"/>
    <x v="4"/>
    <x v="0"/>
    <x v="0"/>
    <x v="0"/>
    <s v="01"/>
    <x v="0"/>
    <x v="1"/>
    <x v="11"/>
    <n v="25440.89"/>
    <x v="0"/>
  </r>
  <r>
    <x v="0"/>
    <x v="0"/>
    <x v="4"/>
    <x v="0"/>
    <x v="0"/>
    <x v="0"/>
    <s v="01"/>
    <x v="0"/>
    <x v="1"/>
    <x v="8"/>
    <n v="22020.63"/>
    <x v="0"/>
  </r>
  <r>
    <x v="0"/>
    <x v="0"/>
    <x v="4"/>
    <x v="0"/>
    <x v="0"/>
    <x v="0"/>
    <s v="01"/>
    <x v="0"/>
    <x v="1"/>
    <x v="0"/>
    <n v="49370.92"/>
    <x v="0"/>
  </r>
  <r>
    <x v="0"/>
    <x v="0"/>
    <x v="4"/>
    <x v="0"/>
    <x v="0"/>
    <x v="0"/>
    <s v="01"/>
    <x v="0"/>
    <x v="2"/>
    <x v="4"/>
    <n v="20809.63"/>
    <x v="0"/>
  </r>
  <r>
    <x v="0"/>
    <x v="0"/>
    <x v="4"/>
    <x v="0"/>
    <x v="0"/>
    <x v="0"/>
    <s v="01"/>
    <x v="0"/>
    <x v="2"/>
    <x v="6"/>
    <n v="24362.11"/>
    <x v="0"/>
  </r>
  <r>
    <x v="0"/>
    <x v="0"/>
    <x v="4"/>
    <x v="0"/>
    <x v="0"/>
    <x v="0"/>
    <s v="01"/>
    <x v="0"/>
    <x v="2"/>
    <x v="11"/>
    <n v="25434.51"/>
    <x v="0"/>
  </r>
  <r>
    <x v="0"/>
    <x v="0"/>
    <x v="4"/>
    <x v="0"/>
    <x v="0"/>
    <x v="0"/>
    <s v="01"/>
    <x v="0"/>
    <x v="2"/>
    <x v="8"/>
    <n v="27661"/>
    <x v="0"/>
  </r>
  <r>
    <x v="0"/>
    <x v="0"/>
    <x v="4"/>
    <x v="0"/>
    <x v="0"/>
    <x v="0"/>
    <s v="01"/>
    <x v="0"/>
    <x v="2"/>
    <x v="0"/>
    <n v="50108.83"/>
    <x v="0"/>
  </r>
  <r>
    <x v="0"/>
    <x v="0"/>
    <x v="4"/>
    <x v="0"/>
    <x v="0"/>
    <x v="0"/>
    <s v="20"/>
    <x v="0"/>
    <x v="1"/>
    <x v="6"/>
    <n v="-11049.18"/>
    <x v="0"/>
  </r>
  <r>
    <x v="0"/>
    <x v="0"/>
    <x v="4"/>
    <x v="0"/>
    <x v="0"/>
    <x v="0"/>
    <s v="20"/>
    <x v="0"/>
    <x v="2"/>
    <x v="6"/>
    <n v="0"/>
    <x v="0"/>
  </r>
  <r>
    <x v="0"/>
    <x v="0"/>
    <x v="4"/>
    <x v="0"/>
    <x v="0"/>
    <x v="0"/>
    <s v="20"/>
    <x v="0"/>
    <x v="2"/>
    <x v="2"/>
    <n v="827.5"/>
    <x v="0"/>
  </r>
  <r>
    <x v="0"/>
    <x v="0"/>
    <x v="4"/>
    <x v="0"/>
    <x v="0"/>
    <x v="0"/>
    <s v="24"/>
    <x v="0"/>
    <x v="1"/>
    <x v="5"/>
    <n v="-516018.86"/>
    <x v="0"/>
  </r>
  <r>
    <x v="0"/>
    <x v="0"/>
    <x v="4"/>
    <x v="0"/>
    <x v="0"/>
    <x v="0"/>
    <s v="24"/>
    <x v="0"/>
    <x v="1"/>
    <x v="7"/>
    <n v="-3878189.17"/>
    <x v="0"/>
  </r>
  <r>
    <x v="0"/>
    <x v="0"/>
    <x v="4"/>
    <x v="0"/>
    <x v="0"/>
    <x v="0"/>
    <s v="24"/>
    <x v="0"/>
    <x v="2"/>
    <x v="5"/>
    <n v="-442472.78"/>
    <x v="0"/>
  </r>
  <r>
    <x v="0"/>
    <x v="0"/>
    <x v="4"/>
    <x v="0"/>
    <x v="0"/>
    <x v="0"/>
    <s v="24"/>
    <x v="0"/>
    <x v="2"/>
    <x v="7"/>
    <n v="-283811.33"/>
    <x v="0"/>
  </r>
  <r>
    <x v="0"/>
    <x v="0"/>
    <x v="4"/>
    <x v="0"/>
    <x v="0"/>
    <x v="0"/>
    <s v="90"/>
    <x v="0"/>
    <x v="2"/>
    <x v="4"/>
    <n v="6.99"/>
    <x v="0"/>
  </r>
  <r>
    <x v="0"/>
    <x v="0"/>
    <x v="4"/>
    <x v="0"/>
    <x v="0"/>
    <x v="0"/>
    <s v="99"/>
    <x v="0"/>
    <x v="1"/>
    <x v="8"/>
    <n v="-5500"/>
    <x v="0"/>
  </r>
  <r>
    <x v="0"/>
    <x v="0"/>
    <x v="4"/>
    <x v="0"/>
    <x v="0"/>
    <x v="0"/>
    <s v="99"/>
    <x v="0"/>
    <x v="2"/>
    <x v="8"/>
    <n v="624.5"/>
    <x v="0"/>
  </r>
  <r>
    <x v="0"/>
    <x v="0"/>
    <x v="4"/>
    <x v="0"/>
    <x v="0"/>
    <x v="0"/>
    <s v="99"/>
    <x v="0"/>
    <x v="2"/>
    <x v="0"/>
    <n v="-624.5"/>
    <x v="0"/>
  </r>
  <r>
    <x v="0"/>
    <x v="0"/>
    <x v="4"/>
    <x v="0"/>
    <x v="0"/>
    <x v="1"/>
    <s v="21"/>
    <x v="0"/>
    <x v="1"/>
    <x v="11"/>
    <n v="100"/>
    <x v="0"/>
  </r>
  <r>
    <x v="0"/>
    <x v="0"/>
    <x v="4"/>
    <x v="0"/>
    <x v="0"/>
    <x v="1"/>
    <s v="21"/>
    <x v="0"/>
    <x v="2"/>
    <x v="0"/>
    <n v="249982.76"/>
    <x v="0"/>
  </r>
  <r>
    <x v="0"/>
    <x v="0"/>
    <x v="4"/>
    <x v="0"/>
    <x v="0"/>
    <x v="1"/>
    <s v="22"/>
    <x v="0"/>
    <x v="1"/>
    <x v="9"/>
    <n v="-656411.82999999996"/>
    <x v="0"/>
  </r>
  <r>
    <x v="0"/>
    <x v="0"/>
    <x v="4"/>
    <x v="0"/>
    <x v="0"/>
    <x v="1"/>
    <s v="22"/>
    <x v="0"/>
    <x v="2"/>
    <x v="1"/>
    <n v="-86000"/>
    <x v="0"/>
  </r>
  <r>
    <x v="0"/>
    <x v="0"/>
    <x v="4"/>
    <x v="0"/>
    <x v="0"/>
    <x v="1"/>
    <s v="22"/>
    <x v="0"/>
    <x v="2"/>
    <x v="10"/>
    <n v="-6000000"/>
    <x v="0"/>
  </r>
  <r>
    <x v="0"/>
    <x v="0"/>
    <x v="4"/>
    <x v="0"/>
    <x v="0"/>
    <x v="0"/>
    <s v="01"/>
    <x v="0"/>
    <x v="1"/>
    <x v="5"/>
    <n v="10874.54"/>
    <x v="0"/>
  </r>
  <r>
    <x v="0"/>
    <x v="0"/>
    <x v="4"/>
    <x v="0"/>
    <x v="0"/>
    <x v="0"/>
    <s v="01"/>
    <x v="0"/>
    <x v="1"/>
    <x v="2"/>
    <n v="24647.47"/>
    <x v="0"/>
  </r>
  <r>
    <x v="0"/>
    <x v="0"/>
    <x v="4"/>
    <x v="0"/>
    <x v="0"/>
    <x v="0"/>
    <s v="01"/>
    <x v="0"/>
    <x v="2"/>
    <x v="5"/>
    <n v="19876.419999999998"/>
    <x v="0"/>
  </r>
  <r>
    <x v="0"/>
    <x v="0"/>
    <x v="4"/>
    <x v="0"/>
    <x v="0"/>
    <x v="0"/>
    <s v="01"/>
    <x v="0"/>
    <x v="2"/>
    <x v="7"/>
    <n v="22297.18"/>
    <x v="0"/>
  </r>
  <r>
    <x v="0"/>
    <x v="0"/>
    <x v="4"/>
    <x v="0"/>
    <x v="0"/>
    <x v="0"/>
    <s v="01"/>
    <x v="0"/>
    <x v="2"/>
    <x v="2"/>
    <n v="29893.49"/>
    <x v="0"/>
  </r>
  <r>
    <x v="0"/>
    <x v="0"/>
    <x v="4"/>
    <x v="0"/>
    <x v="0"/>
    <x v="0"/>
    <s v="20"/>
    <x v="0"/>
    <x v="1"/>
    <x v="5"/>
    <n v="11061.18"/>
    <x v="0"/>
  </r>
  <r>
    <x v="0"/>
    <x v="0"/>
    <x v="4"/>
    <x v="0"/>
    <x v="0"/>
    <x v="0"/>
    <s v="20"/>
    <x v="0"/>
    <x v="1"/>
    <x v="2"/>
    <n v="0"/>
    <x v="0"/>
  </r>
  <r>
    <x v="0"/>
    <x v="0"/>
    <x v="4"/>
    <x v="0"/>
    <x v="0"/>
    <x v="0"/>
    <s v="20"/>
    <x v="0"/>
    <x v="2"/>
    <x v="7"/>
    <n v="-702.98"/>
    <x v="0"/>
  </r>
  <r>
    <x v="0"/>
    <x v="0"/>
    <x v="4"/>
    <x v="0"/>
    <x v="0"/>
    <x v="0"/>
    <s v="24"/>
    <x v="0"/>
    <x v="1"/>
    <x v="1"/>
    <n v="-483557.67"/>
    <x v="0"/>
  </r>
  <r>
    <x v="0"/>
    <x v="0"/>
    <x v="4"/>
    <x v="0"/>
    <x v="0"/>
    <x v="0"/>
    <s v="24"/>
    <x v="0"/>
    <x v="1"/>
    <x v="9"/>
    <n v="881456.49"/>
    <x v="0"/>
  </r>
  <r>
    <x v="0"/>
    <x v="0"/>
    <x v="4"/>
    <x v="0"/>
    <x v="0"/>
    <x v="0"/>
    <s v="24"/>
    <x v="0"/>
    <x v="2"/>
    <x v="1"/>
    <n v="-2197980.9700000002"/>
    <x v="0"/>
  </r>
  <r>
    <x v="0"/>
    <x v="0"/>
    <x v="4"/>
    <x v="0"/>
    <x v="0"/>
    <x v="0"/>
    <s v="24"/>
    <x v="0"/>
    <x v="2"/>
    <x v="9"/>
    <n v="-3085717.87"/>
    <x v="0"/>
  </r>
  <r>
    <x v="0"/>
    <x v="0"/>
    <x v="4"/>
    <x v="0"/>
    <x v="0"/>
    <x v="0"/>
    <s v="24"/>
    <x v="0"/>
    <x v="2"/>
    <x v="10"/>
    <n v="3250354.78"/>
    <x v="0"/>
  </r>
  <r>
    <x v="0"/>
    <x v="0"/>
    <x v="4"/>
    <x v="0"/>
    <x v="0"/>
    <x v="1"/>
    <s v="21"/>
    <x v="0"/>
    <x v="1"/>
    <x v="2"/>
    <n v="3804.5"/>
    <x v="0"/>
  </r>
  <r>
    <x v="0"/>
    <x v="0"/>
    <x v="4"/>
    <x v="0"/>
    <x v="0"/>
    <x v="1"/>
    <s v="22"/>
    <x v="0"/>
    <x v="1"/>
    <x v="8"/>
    <n v="-361684.17"/>
    <x v="0"/>
  </r>
  <r>
    <x v="0"/>
    <x v="0"/>
    <x v="4"/>
    <x v="0"/>
    <x v="0"/>
    <x v="1"/>
    <s v="22"/>
    <x v="0"/>
    <x v="2"/>
    <x v="8"/>
    <n v="-933072.06"/>
    <x v="0"/>
  </r>
  <r>
    <x v="0"/>
    <x v="0"/>
    <x v="4"/>
    <x v="0"/>
    <x v="0"/>
    <x v="1"/>
    <s v="22"/>
    <x v="0"/>
    <x v="2"/>
    <x v="0"/>
    <n v="-1850027.95"/>
    <x v="0"/>
  </r>
  <r>
    <x v="0"/>
    <x v="0"/>
    <x v="4"/>
    <x v="0"/>
    <x v="0"/>
    <x v="0"/>
    <s v="01"/>
    <x v="0"/>
    <x v="1"/>
    <x v="1"/>
    <n v="16062.79"/>
    <x v="0"/>
  </r>
  <r>
    <x v="0"/>
    <x v="0"/>
    <x v="4"/>
    <x v="0"/>
    <x v="0"/>
    <x v="0"/>
    <s v="01"/>
    <x v="0"/>
    <x v="1"/>
    <x v="9"/>
    <n v="18570.52"/>
    <x v="0"/>
  </r>
  <r>
    <x v="0"/>
    <x v="0"/>
    <x v="4"/>
    <x v="0"/>
    <x v="0"/>
    <x v="0"/>
    <s v="01"/>
    <x v="0"/>
    <x v="1"/>
    <x v="10"/>
    <n v="20692.259999999998"/>
    <x v="0"/>
  </r>
  <r>
    <x v="0"/>
    <x v="0"/>
    <x v="4"/>
    <x v="0"/>
    <x v="0"/>
    <x v="0"/>
    <s v="01"/>
    <x v="0"/>
    <x v="2"/>
    <x v="9"/>
    <n v="21929.27"/>
    <x v="0"/>
  </r>
  <r>
    <x v="0"/>
    <x v="0"/>
    <x v="4"/>
    <x v="0"/>
    <x v="0"/>
    <x v="0"/>
    <s v="01"/>
    <x v="0"/>
    <x v="2"/>
    <x v="10"/>
    <n v="21831.85"/>
    <x v="0"/>
  </r>
  <r>
    <x v="0"/>
    <x v="0"/>
    <x v="4"/>
    <x v="0"/>
    <x v="0"/>
    <x v="0"/>
    <s v="20"/>
    <x v="0"/>
    <x v="1"/>
    <x v="9"/>
    <n v="-6"/>
    <x v="0"/>
  </r>
  <r>
    <x v="0"/>
    <x v="0"/>
    <x v="4"/>
    <x v="0"/>
    <x v="0"/>
    <x v="0"/>
    <s v="20"/>
    <x v="0"/>
    <x v="1"/>
    <x v="8"/>
    <n v="0"/>
    <x v="0"/>
  </r>
  <r>
    <x v="0"/>
    <x v="0"/>
    <x v="4"/>
    <x v="0"/>
    <x v="0"/>
    <x v="0"/>
    <s v="20"/>
    <x v="0"/>
    <x v="2"/>
    <x v="8"/>
    <n v="157"/>
    <x v="0"/>
  </r>
  <r>
    <x v="0"/>
    <x v="0"/>
    <x v="4"/>
    <x v="0"/>
    <x v="0"/>
    <x v="0"/>
    <s v="20"/>
    <x v="0"/>
    <x v="2"/>
    <x v="0"/>
    <n v="-6098.49"/>
    <x v="0"/>
  </r>
  <r>
    <x v="0"/>
    <x v="0"/>
    <x v="4"/>
    <x v="0"/>
    <x v="0"/>
    <x v="0"/>
    <s v="24"/>
    <x v="0"/>
    <x v="1"/>
    <x v="3"/>
    <n v="205749.1"/>
    <x v="0"/>
  </r>
  <r>
    <x v="0"/>
    <x v="0"/>
    <x v="4"/>
    <x v="0"/>
    <x v="0"/>
    <x v="0"/>
    <s v="24"/>
    <x v="0"/>
    <x v="1"/>
    <x v="6"/>
    <n v="33667399.770000003"/>
    <x v="0"/>
  </r>
  <r>
    <x v="0"/>
    <x v="0"/>
    <x v="4"/>
    <x v="0"/>
    <x v="0"/>
    <x v="0"/>
    <s v="24"/>
    <x v="0"/>
    <x v="1"/>
    <x v="11"/>
    <n v="25992196.079999998"/>
    <x v="0"/>
  </r>
  <r>
    <x v="0"/>
    <x v="0"/>
    <x v="4"/>
    <x v="0"/>
    <x v="0"/>
    <x v="0"/>
    <s v="24"/>
    <x v="0"/>
    <x v="1"/>
    <x v="2"/>
    <n v="121303.18"/>
    <x v="0"/>
  </r>
  <r>
    <x v="0"/>
    <x v="0"/>
    <x v="4"/>
    <x v="0"/>
    <x v="0"/>
    <x v="0"/>
    <s v="24"/>
    <x v="0"/>
    <x v="1"/>
    <x v="0"/>
    <n v="-161607.49"/>
    <x v="0"/>
  </r>
  <r>
    <x v="0"/>
    <x v="0"/>
    <x v="4"/>
    <x v="0"/>
    <x v="0"/>
    <x v="0"/>
    <s v="24"/>
    <x v="0"/>
    <x v="2"/>
    <x v="11"/>
    <n v="23089218.460000001"/>
    <x v="0"/>
  </r>
  <r>
    <x v="0"/>
    <x v="0"/>
    <x v="4"/>
    <x v="0"/>
    <x v="0"/>
    <x v="0"/>
    <s v="24"/>
    <x v="0"/>
    <x v="2"/>
    <x v="2"/>
    <n v="-162648.53"/>
    <x v="0"/>
  </r>
  <r>
    <x v="0"/>
    <x v="0"/>
    <x v="4"/>
    <x v="0"/>
    <x v="0"/>
    <x v="0"/>
    <s v="90"/>
    <x v="0"/>
    <x v="2"/>
    <x v="1"/>
    <n v="-6.99"/>
    <x v="0"/>
  </r>
  <r>
    <x v="0"/>
    <x v="0"/>
    <x v="4"/>
    <x v="0"/>
    <x v="0"/>
    <x v="0"/>
    <s v="99"/>
    <x v="0"/>
    <x v="1"/>
    <x v="10"/>
    <n v="5500"/>
    <x v="0"/>
  </r>
  <r>
    <x v="0"/>
    <x v="0"/>
    <x v="4"/>
    <x v="0"/>
    <x v="0"/>
    <x v="1"/>
    <s v="21"/>
    <x v="0"/>
    <x v="2"/>
    <x v="8"/>
    <n v="111738"/>
    <x v="0"/>
  </r>
  <r>
    <x v="0"/>
    <x v="0"/>
    <x v="4"/>
    <x v="0"/>
    <x v="0"/>
    <x v="1"/>
    <s v="22"/>
    <x v="0"/>
    <x v="1"/>
    <x v="5"/>
    <n v="-305098.17"/>
    <x v="0"/>
  </r>
  <r>
    <x v="0"/>
    <x v="0"/>
    <x v="4"/>
    <x v="0"/>
    <x v="0"/>
    <x v="1"/>
    <s v="22"/>
    <x v="0"/>
    <x v="1"/>
    <x v="7"/>
    <n v="85000"/>
    <x v="0"/>
  </r>
  <r>
    <x v="0"/>
    <x v="0"/>
    <x v="4"/>
    <x v="0"/>
    <x v="0"/>
    <x v="1"/>
    <s v="22"/>
    <x v="0"/>
    <x v="1"/>
    <x v="2"/>
    <n v="-36277.5"/>
    <x v="0"/>
  </r>
  <r>
    <x v="0"/>
    <x v="0"/>
    <x v="4"/>
    <x v="0"/>
    <x v="0"/>
    <x v="1"/>
    <s v="22"/>
    <x v="0"/>
    <x v="2"/>
    <x v="5"/>
    <n v="-18859.8"/>
    <x v="0"/>
  </r>
  <r>
    <x v="0"/>
    <x v="0"/>
    <x v="4"/>
    <x v="0"/>
    <x v="0"/>
    <x v="1"/>
    <s v="22"/>
    <x v="0"/>
    <x v="2"/>
    <x v="7"/>
    <n v="-6325"/>
    <x v="0"/>
  </r>
  <r>
    <x v="0"/>
    <x v="0"/>
    <x v="0"/>
    <x v="0"/>
    <x v="0"/>
    <x v="0"/>
    <s v="99"/>
    <x v="0"/>
    <x v="2"/>
    <x v="4"/>
    <n v="1344.18"/>
    <x v="0"/>
  </r>
  <r>
    <x v="0"/>
    <x v="0"/>
    <x v="0"/>
    <x v="0"/>
    <x v="0"/>
    <x v="0"/>
    <s v="99"/>
    <x v="0"/>
    <x v="2"/>
    <x v="6"/>
    <n v="781.6"/>
    <x v="0"/>
  </r>
  <r>
    <x v="0"/>
    <x v="0"/>
    <x v="0"/>
    <x v="0"/>
    <x v="0"/>
    <x v="0"/>
    <s v="99"/>
    <x v="0"/>
    <x v="2"/>
    <x v="10"/>
    <n v="35446"/>
    <x v="0"/>
  </r>
  <r>
    <x v="0"/>
    <x v="0"/>
    <x v="0"/>
    <x v="0"/>
    <x v="0"/>
    <x v="1"/>
    <s v="22"/>
    <x v="0"/>
    <x v="1"/>
    <x v="5"/>
    <n v="-5877038"/>
    <x v="0"/>
  </r>
  <r>
    <x v="0"/>
    <x v="0"/>
    <x v="0"/>
    <x v="0"/>
    <x v="0"/>
    <x v="1"/>
    <s v="22"/>
    <x v="0"/>
    <x v="1"/>
    <x v="2"/>
    <n v="-1088164"/>
    <x v="0"/>
  </r>
  <r>
    <x v="0"/>
    <x v="0"/>
    <x v="0"/>
    <x v="0"/>
    <x v="0"/>
    <x v="1"/>
    <s v="22"/>
    <x v="0"/>
    <x v="2"/>
    <x v="5"/>
    <n v="-219038"/>
    <x v="0"/>
  </r>
  <r>
    <x v="0"/>
    <x v="0"/>
    <x v="0"/>
    <x v="0"/>
    <x v="0"/>
    <x v="1"/>
    <s v="22"/>
    <x v="0"/>
    <x v="2"/>
    <x v="7"/>
    <n v="-27230966"/>
    <x v="0"/>
  </r>
  <r>
    <x v="0"/>
    <x v="0"/>
    <x v="0"/>
    <x v="0"/>
    <x v="0"/>
    <x v="1"/>
    <s v="22"/>
    <x v="0"/>
    <x v="2"/>
    <x v="2"/>
    <n v="-10060000"/>
    <x v="0"/>
  </r>
  <r>
    <x v="0"/>
    <x v="0"/>
    <x v="0"/>
    <x v="0"/>
    <x v="0"/>
    <x v="1"/>
    <s v="88"/>
    <x v="0"/>
    <x v="1"/>
    <x v="9"/>
    <n v="-124948.26"/>
    <x v="0"/>
  </r>
  <r>
    <x v="0"/>
    <x v="0"/>
    <x v="0"/>
    <x v="0"/>
    <x v="0"/>
    <x v="1"/>
    <s v="88"/>
    <x v="0"/>
    <x v="1"/>
    <x v="10"/>
    <n v="-124592.38"/>
    <x v="0"/>
  </r>
  <r>
    <x v="0"/>
    <x v="0"/>
    <x v="0"/>
    <x v="0"/>
    <x v="0"/>
    <x v="1"/>
    <s v="88"/>
    <x v="0"/>
    <x v="1"/>
    <x v="8"/>
    <n v="-124472.82"/>
    <x v="0"/>
  </r>
  <r>
    <x v="0"/>
    <x v="0"/>
    <x v="0"/>
    <x v="0"/>
    <x v="0"/>
    <x v="1"/>
    <s v="88"/>
    <x v="0"/>
    <x v="2"/>
    <x v="3"/>
    <n v="-124111.27"/>
    <x v="0"/>
  </r>
  <r>
    <x v="0"/>
    <x v="0"/>
    <x v="0"/>
    <x v="0"/>
    <x v="0"/>
    <x v="1"/>
    <s v="88"/>
    <x v="0"/>
    <x v="2"/>
    <x v="4"/>
    <n v="-103713.82"/>
    <x v="0"/>
  </r>
  <r>
    <x v="0"/>
    <x v="0"/>
    <x v="0"/>
    <x v="0"/>
    <x v="0"/>
    <x v="1"/>
    <s v="88"/>
    <x v="0"/>
    <x v="2"/>
    <x v="10"/>
    <n v="-116827.91"/>
    <x v="0"/>
  </r>
  <r>
    <x v="0"/>
    <x v="0"/>
    <x v="0"/>
    <x v="0"/>
    <x v="0"/>
    <x v="1"/>
    <s v="88"/>
    <x v="0"/>
    <x v="2"/>
    <x v="8"/>
    <n v="-147129.65"/>
    <x v="0"/>
  </r>
  <r>
    <x v="0"/>
    <x v="0"/>
    <x v="0"/>
    <x v="0"/>
    <x v="0"/>
    <x v="1"/>
    <s v="88"/>
    <x v="0"/>
    <x v="2"/>
    <x v="0"/>
    <n v="1320332.53"/>
    <x v="0"/>
  </r>
  <r>
    <x v="0"/>
    <x v="0"/>
    <x v="0"/>
    <x v="0"/>
    <x v="0"/>
    <x v="0"/>
    <s v="02"/>
    <x v="0"/>
    <x v="1"/>
    <x v="3"/>
    <n v="39.57"/>
    <x v="0"/>
  </r>
  <r>
    <x v="0"/>
    <x v="0"/>
    <x v="0"/>
    <x v="0"/>
    <x v="0"/>
    <x v="0"/>
    <s v="02"/>
    <x v="0"/>
    <x v="1"/>
    <x v="4"/>
    <n v="3784.87"/>
    <x v="0"/>
  </r>
  <r>
    <x v="0"/>
    <x v="0"/>
    <x v="0"/>
    <x v="0"/>
    <x v="0"/>
    <x v="0"/>
    <s v="02"/>
    <x v="0"/>
    <x v="2"/>
    <x v="4"/>
    <n v="5273.67"/>
    <x v="0"/>
  </r>
  <r>
    <x v="0"/>
    <x v="0"/>
    <x v="0"/>
    <x v="0"/>
    <x v="0"/>
    <x v="0"/>
    <s v="20"/>
    <x v="0"/>
    <x v="1"/>
    <x v="3"/>
    <n v="2423.6799999999998"/>
    <x v="0"/>
  </r>
  <r>
    <x v="0"/>
    <x v="0"/>
    <x v="0"/>
    <x v="0"/>
    <x v="0"/>
    <x v="0"/>
    <s v="20"/>
    <x v="0"/>
    <x v="1"/>
    <x v="4"/>
    <n v="-55012.58"/>
    <x v="0"/>
  </r>
  <r>
    <x v="0"/>
    <x v="0"/>
    <x v="0"/>
    <x v="0"/>
    <x v="0"/>
    <x v="0"/>
    <s v="20"/>
    <x v="0"/>
    <x v="1"/>
    <x v="8"/>
    <n v="83.24"/>
    <x v="0"/>
  </r>
  <r>
    <x v="0"/>
    <x v="0"/>
    <x v="0"/>
    <x v="0"/>
    <x v="0"/>
    <x v="0"/>
    <s v="20"/>
    <x v="0"/>
    <x v="2"/>
    <x v="4"/>
    <n v="1019.76"/>
    <x v="0"/>
  </r>
  <r>
    <x v="0"/>
    <x v="0"/>
    <x v="0"/>
    <x v="0"/>
    <x v="0"/>
    <x v="0"/>
    <s v="20"/>
    <x v="0"/>
    <x v="2"/>
    <x v="6"/>
    <n v="54.81"/>
    <x v="0"/>
  </r>
  <r>
    <x v="0"/>
    <x v="0"/>
    <x v="0"/>
    <x v="0"/>
    <x v="0"/>
    <x v="0"/>
    <s v="20"/>
    <x v="0"/>
    <x v="2"/>
    <x v="11"/>
    <n v="-330.04"/>
    <x v="0"/>
  </r>
  <r>
    <x v="0"/>
    <x v="0"/>
    <x v="0"/>
    <x v="0"/>
    <x v="0"/>
    <x v="0"/>
    <s v="20"/>
    <x v="0"/>
    <x v="2"/>
    <x v="8"/>
    <n v="-2765.13"/>
    <x v="0"/>
  </r>
  <r>
    <x v="0"/>
    <x v="0"/>
    <x v="0"/>
    <x v="0"/>
    <x v="0"/>
    <x v="0"/>
    <s v="20"/>
    <x v="0"/>
    <x v="2"/>
    <x v="0"/>
    <n v="60"/>
    <x v="0"/>
  </r>
  <r>
    <x v="0"/>
    <x v="0"/>
    <x v="0"/>
    <x v="0"/>
    <x v="0"/>
    <x v="0"/>
    <s v="24"/>
    <x v="0"/>
    <x v="1"/>
    <x v="5"/>
    <n v="-5402499.4100000001"/>
    <x v="0"/>
  </r>
  <r>
    <x v="0"/>
    <x v="0"/>
    <x v="0"/>
    <x v="0"/>
    <x v="0"/>
    <x v="0"/>
    <s v="24"/>
    <x v="0"/>
    <x v="1"/>
    <x v="2"/>
    <n v="-452283.78"/>
    <x v="0"/>
  </r>
  <r>
    <x v="0"/>
    <x v="0"/>
    <x v="0"/>
    <x v="0"/>
    <x v="0"/>
    <x v="0"/>
    <s v="24"/>
    <x v="0"/>
    <x v="2"/>
    <x v="5"/>
    <n v="-3711680.59"/>
    <x v="0"/>
  </r>
  <r>
    <x v="0"/>
    <x v="0"/>
    <x v="0"/>
    <x v="0"/>
    <x v="0"/>
    <x v="0"/>
    <s v="24"/>
    <x v="0"/>
    <x v="2"/>
    <x v="7"/>
    <n v="-3759523.25"/>
    <x v="0"/>
  </r>
  <r>
    <x v="0"/>
    <x v="0"/>
    <x v="0"/>
    <x v="0"/>
    <x v="0"/>
    <x v="0"/>
    <s v="24"/>
    <x v="0"/>
    <x v="2"/>
    <x v="2"/>
    <n v="-1573918.61"/>
    <x v="0"/>
  </r>
  <r>
    <x v="0"/>
    <x v="0"/>
    <x v="0"/>
    <x v="0"/>
    <x v="0"/>
    <x v="0"/>
    <s v="30"/>
    <x v="0"/>
    <x v="1"/>
    <x v="1"/>
    <n v="6227"/>
    <x v="0"/>
  </r>
  <r>
    <x v="0"/>
    <x v="0"/>
    <x v="0"/>
    <x v="0"/>
    <x v="0"/>
    <x v="0"/>
    <s v="30"/>
    <x v="0"/>
    <x v="2"/>
    <x v="1"/>
    <n v="-37493"/>
    <x v="0"/>
  </r>
  <r>
    <x v="0"/>
    <x v="0"/>
    <x v="0"/>
    <x v="0"/>
    <x v="0"/>
    <x v="0"/>
    <s v="99"/>
    <x v="0"/>
    <x v="1"/>
    <x v="3"/>
    <n v="252.1"/>
    <x v="0"/>
  </r>
  <r>
    <x v="0"/>
    <x v="0"/>
    <x v="0"/>
    <x v="0"/>
    <x v="0"/>
    <x v="0"/>
    <s v="99"/>
    <x v="0"/>
    <x v="1"/>
    <x v="6"/>
    <n v="160"/>
    <x v="0"/>
  </r>
  <r>
    <x v="0"/>
    <x v="0"/>
    <x v="0"/>
    <x v="0"/>
    <x v="0"/>
    <x v="0"/>
    <s v="99"/>
    <x v="0"/>
    <x v="1"/>
    <x v="8"/>
    <n v="2196.04"/>
    <x v="0"/>
  </r>
  <r>
    <x v="0"/>
    <x v="0"/>
    <x v="0"/>
    <x v="0"/>
    <x v="0"/>
    <x v="0"/>
    <s v="99"/>
    <x v="0"/>
    <x v="2"/>
    <x v="11"/>
    <n v="918.05"/>
    <x v="0"/>
  </r>
  <r>
    <x v="0"/>
    <x v="0"/>
    <x v="0"/>
    <x v="0"/>
    <x v="0"/>
    <x v="0"/>
    <s v="99"/>
    <x v="0"/>
    <x v="2"/>
    <x v="8"/>
    <n v="-38037.449999999997"/>
    <x v="0"/>
  </r>
  <r>
    <x v="0"/>
    <x v="0"/>
    <x v="0"/>
    <x v="0"/>
    <x v="0"/>
    <x v="0"/>
    <s v="99"/>
    <x v="0"/>
    <x v="2"/>
    <x v="0"/>
    <n v="-1321.51"/>
    <x v="0"/>
  </r>
  <r>
    <x v="0"/>
    <x v="0"/>
    <x v="0"/>
    <x v="0"/>
    <x v="0"/>
    <x v="3"/>
    <s v="46"/>
    <x v="0"/>
    <x v="1"/>
    <x v="9"/>
    <n v="60000"/>
    <x v="1"/>
  </r>
  <r>
    <x v="0"/>
    <x v="0"/>
    <x v="0"/>
    <x v="0"/>
    <x v="0"/>
    <x v="1"/>
    <s v="21"/>
    <x v="0"/>
    <x v="1"/>
    <x v="8"/>
    <n v="2863.64"/>
    <x v="0"/>
  </r>
  <r>
    <x v="0"/>
    <x v="0"/>
    <x v="0"/>
    <x v="0"/>
    <x v="0"/>
    <x v="1"/>
    <s v="21"/>
    <x v="0"/>
    <x v="2"/>
    <x v="8"/>
    <n v="200"/>
    <x v="0"/>
  </r>
  <r>
    <x v="0"/>
    <x v="0"/>
    <x v="0"/>
    <x v="0"/>
    <x v="0"/>
    <x v="1"/>
    <s v="21"/>
    <x v="0"/>
    <x v="2"/>
    <x v="0"/>
    <n v="5000"/>
    <x v="0"/>
  </r>
  <r>
    <x v="0"/>
    <x v="0"/>
    <x v="0"/>
    <x v="0"/>
    <x v="0"/>
    <x v="1"/>
    <s v="22"/>
    <x v="0"/>
    <x v="1"/>
    <x v="7"/>
    <n v="-133982"/>
    <x v="0"/>
  </r>
  <r>
    <x v="0"/>
    <x v="0"/>
    <x v="0"/>
    <x v="0"/>
    <x v="0"/>
    <x v="1"/>
    <s v="22"/>
    <x v="0"/>
    <x v="2"/>
    <x v="1"/>
    <n v="-10791038"/>
    <x v="0"/>
  </r>
  <r>
    <x v="0"/>
    <x v="0"/>
    <x v="0"/>
    <x v="0"/>
    <x v="0"/>
    <x v="1"/>
    <s v="88"/>
    <x v="0"/>
    <x v="1"/>
    <x v="3"/>
    <n v="-142824.16"/>
    <x v="0"/>
  </r>
  <r>
    <x v="0"/>
    <x v="0"/>
    <x v="0"/>
    <x v="0"/>
    <x v="0"/>
    <x v="1"/>
    <s v="88"/>
    <x v="0"/>
    <x v="1"/>
    <x v="4"/>
    <n v="-125416.25"/>
    <x v="0"/>
  </r>
  <r>
    <x v="0"/>
    <x v="0"/>
    <x v="0"/>
    <x v="0"/>
    <x v="0"/>
    <x v="1"/>
    <s v="88"/>
    <x v="0"/>
    <x v="1"/>
    <x v="6"/>
    <n v="-125065.95"/>
    <x v="0"/>
  </r>
  <r>
    <x v="0"/>
    <x v="0"/>
    <x v="0"/>
    <x v="0"/>
    <x v="0"/>
    <x v="1"/>
    <s v="88"/>
    <x v="0"/>
    <x v="1"/>
    <x v="11"/>
    <n v="-124711.48"/>
    <x v="0"/>
  </r>
  <r>
    <x v="0"/>
    <x v="0"/>
    <x v="0"/>
    <x v="0"/>
    <x v="0"/>
    <x v="1"/>
    <s v="88"/>
    <x v="0"/>
    <x v="1"/>
    <x v="0"/>
    <n v="1391697.3"/>
    <x v="0"/>
  </r>
  <r>
    <x v="0"/>
    <x v="0"/>
    <x v="0"/>
    <x v="0"/>
    <x v="0"/>
    <x v="1"/>
    <s v="88"/>
    <x v="0"/>
    <x v="2"/>
    <x v="6"/>
    <n v="-103352.12"/>
    <x v="0"/>
  </r>
  <r>
    <x v="0"/>
    <x v="0"/>
    <x v="0"/>
    <x v="0"/>
    <x v="0"/>
    <x v="1"/>
    <s v="88"/>
    <x v="0"/>
    <x v="2"/>
    <x v="11"/>
    <n v="-116950.75"/>
    <x v="0"/>
  </r>
  <r>
    <x v="0"/>
    <x v="0"/>
    <x v="0"/>
    <x v="0"/>
    <x v="0"/>
    <x v="1"/>
    <s v="88"/>
    <x v="0"/>
    <x v="2"/>
    <x v="2"/>
    <n v="-167409.84"/>
    <x v="0"/>
  </r>
  <r>
    <x v="0"/>
    <x v="0"/>
    <x v="1"/>
    <x v="0"/>
    <x v="0"/>
    <x v="0"/>
    <s v="09"/>
    <x v="0"/>
    <x v="2"/>
    <x v="9"/>
    <n v="37278.25"/>
    <x v="0"/>
  </r>
  <r>
    <x v="0"/>
    <x v="0"/>
    <x v="1"/>
    <x v="0"/>
    <x v="0"/>
    <x v="0"/>
    <s v="09"/>
    <x v="0"/>
    <x v="2"/>
    <x v="10"/>
    <n v="174929.97"/>
    <x v="0"/>
  </r>
  <r>
    <x v="0"/>
    <x v="0"/>
    <x v="1"/>
    <x v="0"/>
    <x v="0"/>
    <x v="0"/>
    <s v="24"/>
    <x v="0"/>
    <x v="1"/>
    <x v="9"/>
    <n v="5474941.6500000004"/>
    <x v="0"/>
  </r>
  <r>
    <x v="0"/>
    <x v="0"/>
    <x v="1"/>
    <x v="0"/>
    <x v="0"/>
    <x v="0"/>
    <s v="24"/>
    <x v="0"/>
    <x v="1"/>
    <x v="10"/>
    <n v="1004677.86"/>
    <x v="0"/>
  </r>
  <r>
    <x v="0"/>
    <x v="0"/>
    <x v="1"/>
    <x v="0"/>
    <x v="0"/>
    <x v="0"/>
    <s v="24"/>
    <x v="0"/>
    <x v="2"/>
    <x v="4"/>
    <n v="93806757.840000004"/>
    <x v="0"/>
  </r>
  <r>
    <x v="0"/>
    <x v="0"/>
    <x v="1"/>
    <x v="0"/>
    <x v="0"/>
    <x v="0"/>
    <s v="24"/>
    <x v="0"/>
    <x v="2"/>
    <x v="10"/>
    <n v="2240113.08"/>
    <x v="0"/>
  </r>
  <r>
    <x v="0"/>
    <x v="0"/>
    <x v="1"/>
    <x v="0"/>
    <x v="0"/>
    <x v="0"/>
    <s v="24"/>
    <x v="0"/>
    <x v="2"/>
    <x v="8"/>
    <n v="717147.9"/>
    <x v="0"/>
  </r>
  <r>
    <x v="0"/>
    <x v="0"/>
    <x v="1"/>
    <x v="0"/>
    <x v="0"/>
    <x v="0"/>
    <s v="73"/>
    <x v="0"/>
    <x v="2"/>
    <x v="10"/>
    <n v="-43861.93"/>
    <x v="0"/>
  </r>
  <r>
    <x v="0"/>
    <x v="0"/>
    <x v="1"/>
    <x v="0"/>
    <x v="0"/>
    <x v="1"/>
    <s v="22"/>
    <x v="0"/>
    <x v="1"/>
    <x v="3"/>
    <n v="-1229250"/>
    <x v="0"/>
  </r>
  <r>
    <x v="0"/>
    <x v="0"/>
    <x v="1"/>
    <x v="0"/>
    <x v="0"/>
    <x v="1"/>
    <s v="22"/>
    <x v="0"/>
    <x v="1"/>
    <x v="4"/>
    <n v="-1028500"/>
    <x v="0"/>
  </r>
  <r>
    <x v="0"/>
    <x v="0"/>
    <x v="1"/>
    <x v="0"/>
    <x v="0"/>
    <x v="1"/>
    <s v="22"/>
    <x v="0"/>
    <x v="1"/>
    <x v="6"/>
    <n v="1024650"/>
    <x v="0"/>
  </r>
  <r>
    <x v="0"/>
    <x v="0"/>
    <x v="1"/>
    <x v="0"/>
    <x v="0"/>
    <x v="1"/>
    <s v="22"/>
    <x v="0"/>
    <x v="1"/>
    <x v="11"/>
    <n v="-25785976.100000001"/>
    <x v="0"/>
  </r>
  <r>
    <x v="0"/>
    <x v="0"/>
    <x v="1"/>
    <x v="0"/>
    <x v="0"/>
    <x v="1"/>
    <s v="22"/>
    <x v="0"/>
    <x v="1"/>
    <x v="0"/>
    <n v="-149280"/>
    <x v="0"/>
  </r>
  <r>
    <x v="0"/>
    <x v="0"/>
    <x v="1"/>
    <x v="0"/>
    <x v="0"/>
    <x v="1"/>
    <s v="22"/>
    <x v="0"/>
    <x v="2"/>
    <x v="3"/>
    <n v="-1241300"/>
    <x v="0"/>
  </r>
  <r>
    <x v="0"/>
    <x v="0"/>
    <x v="1"/>
    <x v="0"/>
    <x v="0"/>
    <x v="1"/>
    <s v="22"/>
    <x v="0"/>
    <x v="2"/>
    <x v="6"/>
    <n v="-2612.5"/>
    <x v="0"/>
  </r>
  <r>
    <x v="0"/>
    <x v="0"/>
    <x v="1"/>
    <x v="0"/>
    <x v="0"/>
    <x v="1"/>
    <s v="22"/>
    <x v="0"/>
    <x v="2"/>
    <x v="11"/>
    <n v="-17140.580000000002"/>
    <x v="0"/>
  </r>
  <r>
    <x v="0"/>
    <x v="0"/>
    <x v="1"/>
    <x v="0"/>
    <x v="0"/>
    <x v="1"/>
    <s v="22"/>
    <x v="0"/>
    <x v="2"/>
    <x v="0"/>
    <n v="-6842800"/>
    <x v="0"/>
  </r>
  <r>
    <x v="0"/>
    <x v="0"/>
    <x v="1"/>
    <x v="0"/>
    <x v="0"/>
    <x v="4"/>
    <s v="20"/>
    <x v="0"/>
    <x v="2"/>
    <x v="2"/>
    <n v="-965.29"/>
    <x v="0"/>
  </r>
  <r>
    <x v="0"/>
    <x v="0"/>
    <x v="1"/>
    <x v="0"/>
    <x v="0"/>
    <x v="4"/>
    <s v="20"/>
    <x v="0"/>
    <x v="2"/>
    <x v="0"/>
    <n v="1163.44"/>
    <x v="0"/>
  </r>
  <r>
    <x v="0"/>
    <x v="0"/>
    <x v="1"/>
    <x v="0"/>
    <x v="0"/>
    <x v="0"/>
    <s v="20"/>
    <x v="0"/>
    <x v="1"/>
    <x v="5"/>
    <n v="-2817.35"/>
    <x v="0"/>
  </r>
  <r>
    <x v="0"/>
    <x v="0"/>
    <x v="1"/>
    <x v="0"/>
    <x v="0"/>
    <x v="0"/>
    <s v="20"/>
    <x v="0"/>
    <x v="1"/>
    <x v="2"/>
    <n v="-100"/>
    <x v="0"/>
  </r>
  <r>
    <x v="0"/>
    <x v="0"/>
    <x v="1"/>
    <x v="0"/>
    <x v="0"/>
    <x v="0"/>
    <s v="20"/>
    <x v="0"/>
    <x v="2"/>
    <x v="5"/>
    <n v="-544.1"/>
    <x v="0"/>
  </r>
  <r>
    <x v="0"/>
    <x v="0"/>
    <x v="1"/>
    <x v="0"/>
    <x v="0"/>
    <x v="0"/>
    <s v="20"/>
    <x v="0"/>
    <x v="2"/>
    <x v="7"/>
    <n v="-84.34"/>
    <x v="0"/>
  </r>
  <r>
    <x v="0"/>
    <x v="0"/>
    <x v="1"/>
    <x v="0"/>
    <x v="0"/>
    <x v="0"/>
    <s v="24"/>
    <x v="0"/>
    <x v="1"/>
    <x v="1"/>
    <n v="23400481.870000001"/>
    <x v="0"/>
  </r>
  <r>
    <x v="0"/>
    <x v="0"/>
    <x v="1"/>
    <x v="0"/>
    <x v="0"/>
    <x v="0"/>
    <s v="24"/>
    <x v="0"/>
    <x v="2"/>
    <x v="1"/>
    <n v="19615981.620000001"/>
    <x v="0"/>
  </r>
  <r>
    <x v="0"/>
    <x v="0"/>
    <x v="1"/>
    <x v="0"/>
    <x v="0"/>
    <x v="0"/>
    <s v="24"/>
    <x v="0"/>
    <x v="2"/>
    <x v="9"/>
    <n v="76688388.209999993"/>
    <x v="0"/>
  </r>
  <r>
    <x v="0"/>
    <x v="0"/>
    <x v="1"/>
    <x v="0"/>
    <x v="0"/>
    <x v="0"/>
    <s v="73"/>
    <x v="0"/>
    <x v="2"/>
    <x v="9"/>
    <n v="-17111.61"/>
    <x v="0"/>
  </r>
  <r>
    <x v="0"/>
    <x v="0"/>
    <x v="1"/>
    <x v="0"/>
    <x v="0"/>
    <x v="3"/>
    <s v="41"/>
    <x v="0"/>
    <x v="1"/>
    <x v="3"/>
    <n v="345"/>
    <x v="1"/>
  </r>
  <r>
    <x v="0"/>
    <x v="0"/>
    <x v="1"/>
    <x v="0"/>
    <x v="0"/>
    <x v="1"/>
    <s v="21"/>
    <x v="0"/>
    <x v="1"/>
    <x v="11"/>
    <n v="25785976.100000001"/>
    <x v="0"/>
  </r>
  <r>
    <x v="0"/>
    <x v="0"/>
    <x v="1"/>
    <x v="0"/>
    <x v="0"/>
    <x v="1"/>
    <s v="21"/>
    <x v="0"/>
    <x v="2"/>
    <x v="5"/>
    <n v="-9724.17"/>
    <x v="0"/>
  </r>
  <r>
    <x v="0"/>
    <x v="0"/>
    <x v="1"/>
    <x v="0"/>
    <x v="0"/>
    <x v="1"/>
    <s v="22"/>
    <x v="0"/>
    <x v="1"/>
    <x v="9"/>
    <n v="-9280"/>
    <x v="0"/>
  </r>
  <r>
    <x v="0"/>
    <x v="0"/>
    <x v="1"/>
    <x v="0"/>
    <x v="0"/>
    <x v="1"/>
    <s v="22"/>
    <x v="0"/>
    <x v="1"/>
    <x v="10"/>
    <n v="-3297425"/>
    <x v="0"/>
  </r>
  <r>
    <x v="0"/>
    <x v="0"/>
    <x v="1"/>
    <x v="0"/>
    <x v="0"/>
    <x v="1"/>
    <s v="22"/>
    <x v="0"/>
    <x v="2"/>
    <x v="10"/>
    <n v="-3161675"/>
    <x v="0"/>
  </r>
  <r>
    <x v="0"/>
    <x v="0"/>
    <x v="1"/>
    <x v="0"/>
    <x v="0"/>
    <x v="0"/>
    <s v="09"/>
    <x v="0"/>
    <x v="1"/>
    <x v="3"/>
    <n v="19544.919999999998"/>
    <x v="0"/>
  </r>
  <r>
    <x v="0"/>
    <x v="0"/>
    <x v="1"/>
    <x v="0"/>
    <x v="0"/>
    <x v="0"/>
    <s v="09"/>
    <x v="0"/>
    <x v="1"/>
    <x v="6"/>
    <n v="137469.54"/>
    <x v="0"/>
  </r>
  <r>
    <x v="0"/>
    <x v="0"/>
    <x v="1"/>
    <x v="0"/>
    <x v="0"/>
    <x v="0"/>
    <s v="09"/>
    <x v="0"/>
    <x v="1"/>
    <x v="0"/>
    <n v="22775.439999999999"/>
    <x v="0"/>
  </r>
  <r>
    <x v="0"/>
    <x v="0"/>
    <x v="1"/>
    <x v="0"/>
    <x v="0"/>
    <x v="0"/>
    <s v="09"/>
    <x v="0"/>
    <x v="2"/>
    <x v="3"/>
    <n v="60217.16"/>
    <x v="0"/>
  </r>
  <r>
    <x v="0"/>
    <x v="0"/>
    <x v="1"/>
    <x v="0"/>
    <x v="0"/>
    <x v="0"/>
    <s v="09"/>
    <x v="0"/>
    <x v="2"/>
    <x v="0"/>
    <n v="83308.149999999994"/>
    <x v="0"/>
  </r>
  <r>
    <x v="0"/>
    <x v="0"/>
    <x v="1"/>
    <x v="0"/>
    <x v="0"/>
    <x v="0"/>
    <s v="20"/>
    <x v="0"/>
    <x v="1"/>
    <x v="1"/>
    <n v="-547.04"/>
    <x v="0"/>
  </r>
  <r>
    <x v="0"/>
    <x v="0"/>
    <x v="1"/>
    <x v="0"/>
    <x v="0"/>
    <x v="0"/>
    <s v="20"/>
    <x v="0"/>
    <x v="1"/>
    <x v="9"/>
    <n v="-102.83"/>
    <x v="0"/>
  </r>
  <r>
    <x v="0"/>
    <x v="0"/>
    <x v="1"/>
    <x v="0"/>
    <x v="0"/>
    <x v="0"/>
    <s v="20"/>
    <x v="0"/>
    <x v="1"/>
    <x v="10"/>
    <n v="-1603.26"/>
    <x v="0"/>
  </r>
  <r>
    <x v="0"/>
    <x v="0"/>
    <x v="1"/>
    <x v="0"/>
    <x v="0"/>
    <x v="0"/>
    <s v="20"/>
    <x v="0"/>
    <x v="2"/>
    <x v="9"/>
    <n v="320.89999999999998"/>
    <x v="0"/>
  </r>
  <r>
    <x v="0"/>
    <x v="0"/>
    <x v="1"/>
    <x v="0"/>
    <x v="0"/>
    <x v="0"/>
    <s v="20"/>
    <x v="0"/>
    <x v="2"/>
    <x v="8"/>
    <n v="-6"/>
    <x v="0"/>
  </r>
  <r>
    <x v="0"/>
    <x v="0"/>
    <x v="1"/>
    <x v="0"/>
    <x v="0"/>
    <x v="0"/>
    <s v="24"/>
    <x v="0"/>
    <x v="1"/>
    <x v="3"/>
    <n v="163459.78"/>
    <x v="0"/>
  </r>
  <r>
    <x v="0"/>
    <x v="0"/>
    <x v="1"/>
    <x v="0"/>
    <x v="0"/>
    <x v="0"/>
    <s v="24"/>
    <x v="0"/>
    <x v="1"/>
    <x v="4"/>
    <n v="98303365.239999995"/>
    <x v="0"/>
  </r>
  <r>
    <x v="0"/>
    <x v="0"/>
    <x v="1"/>
    <x v="0"/>
    <x v="0"/>
    <x v="0"/>
    <s v="24"/>
    <x v="0"/>
    <x v="1"/>
    <x v="6"/>
    <n v="1008359.6"/>
    <x v="0"/>
  </r>
  <r>
    <x v="0"/>
    <x v="0"/>
    <x v="1"/>
    <x v="0"/>
    <x v="0"/>
    <x v="0"/>
    <s v="24"/>
    <x v="0"/>
    <x v="1"/>
    <x v="11"/>
    <n v="7997061.4000000004"/>
    <x v="0"/>
  </r>
  <r>
    <x v="0"/>
    <x v="0"/>
    <x v="1"/>
    <x v="0"/>
    <x v="0"/>
    <x v="0"/>
    <s v="24"/>
    <x v="0"/>
    <x v="1"/>
    <x v="8"/>
    <n v="611525.99"/>
    <x v="0"/>
  </r>
  <r>
    <x v="0"/>
    <x v="0"/>
    <x v="1"/>
    <x v="0"/>
    <x v="0"/>
    <x v="0"/>
    <s v="24"/>
    <x v="0"/>
    <x v="1"/>
    <x v="0"/>
    <n v="-157248.45000000001"/>
    <x v="0"/>
  </r>
  <r>
    <x v="0"/>
    <x v="0"/>
    <x v="1"/>
    <x v="0"/>
    <x v="0"/>
    <x v="0"/>
    <s v="24"/>
    <x v="0"/>
    <x v="2"/>
    <x v="3"/>
    <n v="2729952.15"/>
    <x v="0"/>
  </r>
  <r>
    <x v="0"/>
    <x v="0"/>
    <x v="1"/>
    <x v="0"/>
    <x v="0"/>
    <x v="0"/>
    <s v="24"/>
    <x v="0"/>
    <x v="2"/>
    <x v="6"/>
    <n v="816167.82"/>
    <x v="0"/>
  </r>
  <r>
    <x v="0"/>
    <x v="0"/>
    <x v="1"/>
    <x v="0"/>
    <x v="0"/>
    <x v="0"/>
    <s v="24"/>
    <x v="0"/>
    <x v="2"/>
    <x v="11"/>
    <n v="4686350.3899999997"/>
    <x v="0"/>
  </r>
  <r>
    <x v="0"/>
    <x v="0"/>
    <x v="1"/>
    <x v="0"/>
    <x v="0"/>
    <x v="0"/>
    <s v="24"/>
    <x v="0"/>
    <x v="2"/>
    <x v="2"/>
    <n v="522759.86"/>
    <x v="0"/>
  </r>
  <r>
    <x v="0"/>
    <x v="0"/>
    <x v="1"/>
    <x v="0"/>
    <x v="0"/>
    <x v="0"/>
    <s v="24"/>
    <x v="0"/>
    <x v="2"/>
    <x v="0"/>
    <n v="2478884.69"/>
    <x v="0"/>
  </r>
  <r>
    <x v="0"/>
    <x v="0"/>
    <x v="1"/>
    <x v="0"/>
    <x v="0"/>
    <x v="0"/>
    <s v="73"/>
    <x v="0"/>
    <x v="1"/>
    <x v="3"/>
    <n v="-10302.81"/>
    <x v="0"/>
  </r>
  <r>
    <x v="0"/>
    <x v="0"/>
    <x v="1"/>
    <x v="0"/>
    <x v="0"/>
    <x v="0"/>
    <s v="73"/>
    <x v="0"/>
    <x v="1"/>
    <x v="6"/>
    <n v="-36123.19"/>
    <x v="0"/>
  </r>
  <r>
    <x v="0"/>
    <x v="0"/>
    <x v="1"/>
    <x v="0"/>
    <x v="0"/>
    <x v="0"/>
    <s v="73"/>
    <x v="0"/>
    <x v="1"/>
    <x v="11"/>
    <n v="-49897.49"/>
    <x v="0"/>
  </r>
  <r>
    <x v="0"/>
    <x v="0"/>
    <x v="1"/>
    <x v="0"/>
    <x v="0"/>
    <x v="0"/>
    <s v="73"/>
    <x v="0"/>
    <x v="1"/>
    <x v="0"/>
    <n v="-15173.89"/>
    <x v="0"/>
  </r>
  <r>
    <x v="0"/>
    <x v="0"/>
    <x v="1"/>
    <x v="0"/>
    <x v="0"/>
    <x v="0"/>
    <s v="73"/>
    <x v="0"/>
    <x v="2"/>
    <x v="3"/>
    <n v="-17218.38"/>
    <x v="0"/>
  </r>
  <r>
    <x v="0"/>
    <x v="0"/>
    <x v="1"/>
    <x v="0"/>
    <x v="0"/>
    <x v="0"/>
    <s v="73"/>
    <x v="0"/>
    <x v="2"/>
    <x v="0"/>
    <n v="-27283.71"/>
    <x v="0"/>
  </r>
  <r>
    <x v="0"/>
    <x v="0"/>
    <x v="1"/>
    <x v="0"/>
    <x v="0"/>
    <x v="1"/>
    <s v="21"/>
    <x v="0"/>
    <x v="2"/>
    <x v="1"/>
    <n v="9724.17"/>
    <x v="0"/>
  </r>
  <r>
    <x v="0"/>
    <x v="0"/>
    <x v="1"/>
    <x v="0"/>
    <x v="0"/>
    <x v="1"/>
    <s v="22"/>
    <x v="0"/>
    <x v="1"/>
    <x v="7"/>
    <n v="-366800"/>
    <x v="0"/>
  </r>
  <r>
    <x v="0"/>
    <x v="0"/>
    <x v="1"/>
    <x v="0"/>
    <x v="0"/>
    <x v="1"/>
    <s v="22"/>
    <x v="0"/>
    <x v="1"/>
    <x v="2"/>
    <n v="-48850"/>
    <x v="0"/>
  </r>
  <r>
    <x v="0"/>
    <x v="0"/>
    <x v="1"/>
    <x v="0"/>
    <x v="0"/>
    <x v="1"/>
    <s v="22"/>
    <x v="0"/>
    <x v="2"/>
    <x v="7"/>
    <n v="-348000"/>
    <x v="0"/>
  </r>
  <r>
    <x v="0"/>
    <x v="0"/>
    <x v="1"/>
    <x v="0"/>
    <x v="0"/>
    <x v="1"/>
    <s v="22"/>
    <x v="0"/>
    <x v="2"/>
    <x v="2"/>
    <n v="-47612.5"/>
    <x v="0"/>
  </r>
  <r>
    <x v="0"/>
    <x v="0"/>
    <x v="1"/>
    <x v="0"/>
    <x v="0"/>
    <x v="0"/>
    <s v="09"/>
    <x v="0"/>
    <x v="1"/>
    <x v="11"/>
    <n v="102428.93"/>
    <x v="0"/>
  </r>
  <r>
    <x v="0"/>
    <x v="0"/>
    <x v="1"/>
    <x v="0"/>
    <x v="0"/>
    <x v="0"/>
    <s v="09"/>
    <x v="0"/>
    <x v="1"/>
    <x v="2"/>
    <n v="227203.06"/>
    <x v="0"/>
  </r>
  <r>
    <x v="0"/>
    <x v="0"/>
    <x v="1"/>
    <x v="0"/>
    <x v="0"/>
    <x v="0"/>
    <s v="09"/>
    <x v="0"/>
    <x v="2"/>
    <x v="2"/>
    <n v="117294.05"/>
    <x v="0"/>
  </r>
  <r>
    <x v="0"/>
    <x v="0"/>
    <x v="1"/>
    <x v="0"/>
    <x v="0"/>
    <x v="0"/>
    <s v="20"/>
    <x v="0"/>
    <x v="1"/>
    <x v="4"/>
    <n v="3194.55"/>
    <x v="0"/>
  </r>
  <r>
    <x v="0"/>
    <x v="0"/>
    <x v="1"/>
    <x v="0"/>
    <x v="0"/>
    <x v="0"/>
    <s v="20"/>
    <x v="0"/>
    <x v="1"/>
    <x v="6"/>
    <n v="1875.93"/>
    <x v="0"/>
  </r>
  <r>
    <x v="0"/>
    <x v="0"/>
    <x v="1"/>
    <x v="0"/>
    <x v="0"/>
    <x v="0"/>
    <s v="20"/>
    <x v="0"/>
    <x v="1"/>
    <x v="11"/>
    <n v="-169.84"/>
    <x v="0"/>
  </r>
  <r>
    <x v="0"/>
    <x v="0"/>
    <x v="1"/>
    <x v="0"/>
    <x v="0"/>
    <x v="0"/>
    <s v="20"/>
    <x v="0"/>
    <x v="1"/>
    <x v="8"/>
    <n v="269.83999999999997"/>
    <x v="0"/>
  </r>
  <r>
    <x v="0"/>
    <x v="0"/>
    <x v="1"/>
    <x v="0"/>
    <x v="0"/>
    <x v="0"/>
    <s v="20"/>
    <x v="0"/>
    <x v="2"/>
    <x v="3"/>
    <n v="628.44000000000005"/>
    <x v="0"/>
  </r>
  <r>
    <x v="0"/>
    <x v="0"/>
    <x v="1"/>
    <x v="0"/>
    <x v="0"/>
    <x v="0"/>
    <s v="20"/>
    <x v="0"/>
    <x v="2"/>
    <x v="6"/>
    <n v="-320.89999999999998"/>
    <x v="0"/>
  </r>
  <r>
    <x v="0"/>
    <x v="0"/>
    <x v="1"/>
    <x v="0"/>
    <x v="0"/>
    <x v="0"/>
    <s v="20"/>
    <x v="0"/>
    <x v="2"/>
    <x v="11"/>
    <n v="6"/>
    <x v="0"/>
  </r>
  <r>
    <x v="0"/>
    <x v="0"/>
    <x v="1"/>
    <x v="0"/>
    <x v="0"/>
    <x v="0"/>
    <s v="24"/>
    <x v="0"/>
    <x v="1"/>
    <x v="5"/>
    <n v="4813785.13"/>
    <x v="0"/>
  </r>
  <r>
    <x v="0"/>
    <x v="0"/>
    <x v="1"/>
    <x v="0"/>
    <x v="0"/>
    <x v="0"/>
    <s v="24"/>
    <x v="0"/>
    <x v="1"/>
    <x v="7"/>
    <n v="104466559.78"/>
    <x v="0"/>
  </r>
  <r>
    <x v="0"/>
    <x v="0"/>
    <x v="1"/>
    <x v="0"/>
    <x v="0"/>
    <x v="0"/>
    <s v="24"/>
    <x v="0"/>
    <x v="1"/>
    <x v="2"/>
    <n v="162248.45000000001"/>
    <x v="0"/>
  </r>
  <r>
    <x v="0"/>
    <x v="0"/>
    <x v="1"/>
    <x v="0"/>
    <x v="0"/>
    <x v="0"/>
    <s v="24"/>
    <x v="0"/>
    <x v="2"/>
    <x v="5"/>
    <n v="2418526.8199999998"/>
    <x v="0"/>
  </r>
  <r>
    <x v="0"/>
    <x v="0"/>
    <x v="1"/>
    <x v="0"/>
    <x v="0"/>
    <x v="0"/>
    <s v="24"/>
    <x v="0"/>
    <x v="2"/>
    <x v="7"/>
    <n v="29609195.98"/>
    <x v="0"/>
  </r>
  <r>
    <x v="0"/>
    <x v="0"/>
    <x v="1"/>
    <x v="0"/>
    <x v="0"/>
    <x v="0"/>
    <s v="73"/>
    <x v="0"/>
    <x v="1"/>
    <x v="2"/>
    <n v="-66117.539999999994"/>
    <x v="0"/>
  </r>
  <r>
    <x v="0"/>
    <x v="0"/>
    <x v="1"/>
    <x v="0"/>
    <x v="0"/>
    <x v="0"/>
    <s v="73"/>
    <x v="0"/>
    <x v="2"/>
    <x v="2"/>
    <n v="-32833.379999999997"/>
    <x v="0"/>
  </r>
  <r>
    <x v="0"/>
    <x v="0"/>
    <x v="1"/>
    <x v="0"/>
    <x v="0"/>
    <x v="3"/>
    <s v="41"/>
    <x v="0"/>
    <x v="1"/>
    <x v="1"/>
    <n v="-345"/>
    <x v="1"/>
  </r>
  <r>
    <x v="0"/>
    <x v="0"/>
    <x v="1"/>
    <x v="0"/>
    <x v="0"/>
    <x v="1"/>
    <s v="21"/>
    <x v="0"/>
    <x v="1"/>
    <x v="4"/>
    <n v="322.5"/>
    <x v="0"/>
  </r>
  <r>
    <x v="0"/>
    <x v="0"/>
    <x v="1"/>
    <x v="0"/>
    <x v="0"/>
    <x v="1"/>
    <s v="21"/>
    <x v="0"/>
    <x v="2"/>
    <x v="11"/>
    <n v="17140.580000000002"/>
    <x v="0"/>
  </r>
  <r>
    <x v="0"/>
    <x v="0"/>
    <x v="1"/>
    <x v="0"/>
    <x v="0"/>
    <x v="1"/>
    <s v="22"/>
    <x v="0"/>
    <x v="1"/>
    <x v="1"/>
    <n v="-2219683.61"/>
    <x v="0"/>
  </r>
  <r>
    <x v="0"/>
    <x v="0"/>
    <x v="1"/>
    <x v="0"/>
    <x v="0"/>
    <x v="1"/>
    <s v="22"/>
    <x v="0"/>
    <x v="2"/>
    <x v="1"/>
    <n v="-1641675"/>
    <x v="0"/>
  </r>
  <r>
    <x v="0"/>
    <x v="0"/>
    <x v="1"/>
    <x v="0"/>
    <x v="0"/>
    <x v="1"/>
    <s v="22"/>
    <x v="0"/>
    <x v="2"/>
    <x v="9"/>
    <n v="-4800"/>
    <x v="0"/>
  </r>
  <r>
    <x v="0"/>
    <x v="0"/>
    <x v="5"/>
    <x v="0"/>
    <x v="0"/>
    <x v="0"/>
    <s v="09"/>
    <x v="0"/>
    <x v="1"/>
    <x v="0"/>
    <n v="1849.81"/>
    <x v="0"/>
  </r>
  <r>
    <x v="0"/>
    <x v="0"/>
    <x v="5"/>
    <x v="0"/>
    <x v="0"/>
    <x v="0"/>
    <s v="09"/>
    <x v="0"/>
    <x v="2"/>
    <x v="0"/>
    <n v="-5844.75"/>
    <x v="0"/>
  </r>
  <r>
    <x v="0"/>
    <x v="0"/>
    <x v="5"/>
    <x v="0"/>
    <x v="0"/>
    <x v="0"/>
    <s v="20"/>
    <x v="0"/>
    <x v="2"/>
    <x v="11"/>
    <n v="48"/>
    <x v="0"/>
  </r>
  <r>
    <x v="0"/>
    <x v="0"/>
    <x v="5"/>
    <x v="0"/>
    <x v="0"/>
    <x v="0"/>
    <s v="20"/>
    <x v="0"/>
    <x v="2"/>
    <x v="8"/>
    <n v="-48"/>
    <x v="0"/>
  </r>
  <r>
    <x v="0"/>
    <x v="0"/>
    <x v="5"/>
    <x v="0"/>
    <x v="0"/>
    <x v="0"/>
    <s v="24"/>
    <x v="0"/>
    <x v="1"/>
    <x v="5"/>
    <n v="-88299.15"/>
    <x v="0"/>
  </r>
  <r>
    <x v="0"/>
    <x v="0"/>
    <x v="5"/>
    <x v="0"/>
    <x v="0"/>
    <x v="0"/>
    <s v="24"/>
    <x v="0"/>
    <x v="1"/>
    <x v="7"/>
    <n v="594657.66"/>
    <x v="0"/>
  </r>
  <r>
    <x v="0"/>
    <x v="0"/>
    <x v="5"/>
    <x v="0"/>
    <x v="0"/>
    <x v="0"/>
    <s v="24"/>
    <x v="0"/>
    <x v="1"/>
    <x v="2"/>
    <n v="25518.85"/>
    <x v="0"/>
  </r>
  <r>
    <x v="0"/>
    <x v="0"/>
    <x v="5"/>
    <x v="0"/>
    <x v="0"/>
    <x v="0"/>
    <s v="24"/>
    <x v="0"/>
    <x v="2"/>
    <x v="7"/>
    <n v="-795175.75"/>
    <x v="0"/>
  </r>
  <r>
    <x v="0"/>
    <x v="0"/>
    <x v="5"/>
    <x v="0"/>
    <x v="0"/>
    <x v="0"/>
    <s v="24"/>
    <x v="0"/>
    <x v="2"/>
    <x v="2"/>
    <n v="98956.35"/>
    <x v="0"/>
  </r>
  <r>
    <x v="0"/>
    <x v="0"/>
    <x v="5"/>
    <x v="0"/>
    <x v="0"/>
    <x v="3"/>
    <s v="41"/>
    <x v="0"/>
    <x v="2"/>
    <x v="1"/>
    <n v="-583.91999999999996"/>
    <x v="1"/>
  </r>
  <r>
    <x v="0"/>
    <x v="0"/>
    <x v="5"/>
    <x v="0"/>
    <x v="0"/>
    <x v="0"/>
    <s v="24"/>
    <x v="0"/>
    <x v="1"/>
    <x v="1"/>
    <n v="-1121041.6399999999"/>
    <x v="0"/>
  </r>
  <r>
    <x v="0"/>
    <x v="0"/>
    <x v="5"/>
    <x v="0"/>
    <x v="0"/>
    <x v="0"/>
    <s v="24"/>
    <x v="0"/>
    <x v="1"/>
    <x v="9"/>
    <n v="21802288.489999998"/>
    <x v="0"/>
  </r>
  <r>
    <x v="0"/>
    <x v="0"/>
    <x v="5"/>
    <x v="0"/>
    <x v="0"/>
    <x v="0"/>
    <s v="24"/>
    <x v="0"/>
    <x v="1"/>
    <x v="10"/>
    <n v="20739316.5"/>
    <x v="0"/>
  </r>
  <r>
    <x v="0"/>
    <x v="0"/>
    <x v="5"/>
    <x v="0"/>
    <x v="0"/>
    <x v="0"/>
    <s v="24"/>
    <x v="0"/>
    <x v="2"/>
    <x v="1"/>
    <n v="-902008.18"/>
    <x v="0"/>
  </r>
  <r>
    <x v="0"/>
    <x v="0"/>
    <x v="5"/>
    <x v="0"/>
    <x v="0"/>
    <x v="0"/>
    <s v="24"/>
    <x v="0"/>
    <x v="2"/>
    <x v="9"/>
    <n v="21298523.010000002"/>
    <x v="0"/>
  </r>
  <r>
    <x v="0"/>
    <x v="0"/>
    <x v="5"/>
    <x v="0"/>
    <x v="0"/>
    <x v="0"/>
    <s v="24"/>
    <x v="0"/>
    <x v="2"/>
    <x v="10"/>
    <n v="17654703.449999999"/>
    <x v="0"/>
  </r>
  <r>
    <x v="0"/>
    <x v="0"/>
    <x v="5"/>
    <x v="0"/>
    <x v="0"/>
    <x v="3"/>
    <s v="41"/>
    <x v="0"/>
    <x v="1"/>
    <x v="10"/>
    <n v="248"/>
    <x v="1"/>
  </r>
  <r>
    <x v="0"/>
    <x v="0"/>
    <x v="5"/>
    <x v="0"/>
    <x v="0"/>
    <x v="3"/>
    <s v="41"/>
    <x v="0"/>
    <x v="2"/>
    <x v="9"/>
    <n v="212.54"/>
    <x v="1"/>
  </r>
  <r>
    <x v="0"/>
    <x v="0"/>
    <x v="5"/>
    <x v="0"/>
    <x v="0"/>
    <x v="0"/>
    <s v="24"/>
    <x v="0"/>
    <x v="1"/>
    <x v="11"/>
    <n v="-56693.99"/>
    <x v="0"/>
  </r>
  <r>
    <x v="0"/>
    <x v="0"/>
    <x v="5"/>
    <x v="0"/>
    <x v="0"/>
    <x v="0"/>
    <s v="24"/>
    <x v="0"/>
    <x v="1"/>
    <x v="8"/>
    <n v="16121.1"/>
    <x v="0"/>
  </r>
  <r>
    <x v="0"/>
    <x v="0"/>
    <x v="5"/>
    <x v="0"/>
    <x v="0"/>
    <x v="0"/>
    <s v="24"/>
    <x v="0"/>
    <x v="1"/>
    <x v="0"/>
    <n v="-466747.21"/>
    <x v="0"/>
  </r>
  <r>
    <x v="0"/>
    <x v="0"/>
    <x v="5"/>
    <x v="0"/>
    <x v="0"/>
    <x v="0"/>
    <s v="24"/>
    <x v="0"/>
    <x v="2"/>
    <x v="5"/>
    <n v="-29147.33"/>
    <x v="0"/>
  </r>
  <r>
    <x v="0"/>
    <x v="0"/>
    <x v="5"/>
    <x v="0"/>
    <x v="0"/>
    <x v="0"/>
    <s v="24"/>
    <x v="0"/>
    <x v="2"/>
    <x v="8"/>
    <n v="704183.17"/>
    <x v="0"/>
  </r>
  <r>
    <x v="0"/>
    <x v="0"/>
    <x v="5"/>
    <x v="0"/>
    <x v="0"/>
    <x v="0"/>
    <s v="24"/>
    <x v="0"/>
    <x v="2"/>
    <x v="0"/>
    <n v="-251921.7"/>
    <x v="0"/>
  </r>
  <r>
    <x v="0"/>
    <x v="0"/>
    <x v="5"/>
    <x v="0"/>
    <x v="0"/>
    <x v="3"/>
    <s v="41"/>
    <x v="0"/>
    <x v="1"/>
    <x v="2"/>
    <n v="-4752.33"/>
    <x v="1"/>
  </r>
  <r>
    <x v="0"/>
    <x v="0"/>
    <x v="5"/>
    <x v="0"/>
    <x v="0"/>
    <x v="3"/>
    <s v="41"/>
    <x v="0"/>
    <x v="2"/>
    <x v="2"/>
    <n v="-212.54"/>
    <x v="1"/>
  </r>
  <r>
    <x v="0"/>
    <x v="0"/>
    <x v="5"/>
    <x v="0"/>
    <x v="0"/>
    <x v="0"/>
    <s v="13"/>
    <x v="0"/>
    <x v="1"/>
    <x v="0"/>
    <n v="0"/>
    <x v="0"/>
  </r>
  <r>
    <x v="0"/>
    <x v="0"/>
    <x v="5"/>
    <x v="0"/>
    <x v="0"/>
    <x v="0"/>
    <s v="13"/>
    <x v="0"/>
    <x v="2"/>
    <x v="0"/>
    <n v="0"/>
    <x v="0"/>
  </r>
  <r>
    <x v="0"/>
    <x v="0"/>
    <x v="5"/>
    <x v="0"/>
    <x v="0"/>
    <x v="0"/>
    <s v="24"/>
    <x v="0"/>
    <x v="1"/>
    <x v="3"/>
    <n v="-53974.92"/>
    <x v="0"/>
  </r>
  <r>
    <x v="0"/>
    <x v="0"/>
    <x v="5"/>
    <x v="0"/>
    <x v="0"/>
    <x v="0"/>
    <s v="24"/>
    <x v="0"/>
    <x v="1"/>
    <x v="4"/>
    <n v="24883517.100000001"/>
    <x v="0"/>
  </r>
  <r>
    <x v="0"/>
    <x v="0"/>
    <x v="5"/>
    <x v="0"/>
    <x v="0"/>
    <x v="0"/>
    <s v="24"/>
    <x v="0"/>
    <x v="2"/>
    <x v="3"/>
    <n v="4063.35"/>
    <x v="0"/>
  </r>
  <r>
    <x v="0"/>
    <x v="0"/>
    <x v="5"/>
    <x v="0"/>
    <x v="0"/>
    <x v="0"/>
    <s v="24"/>
    <x v="0"/>
    <x v="2"/>
    <x v="4"/>
    <n v="22334398.640000001"/>
    <x v="0"/>
  </r>
  <r>
    <x v="0"/>
    <x v="0"/>
    <x v="5"/>
    <x v="0"/>
    <x v="0"/>
    <x v="0"/>
    <s v="24"/>
    <x v="0"/>
    <x v="2"/>
    <x v="6"/>
    <n v="-50005.72"/>
    <x v="0"/>
  </r>
  <r>
    <x v="0"/>
    <x v="0"/>
    <x v="5"/>
    <x v="0"/>
    <x v="0"/>
    <x v="0"/>
    <s v="24"/>
    <x v="0"/>
    <x v="2"/>
    <x v="11"/>
    <n v="-37522.04"/>
    <x v="0"/>
  </r>
  <r>
    <x v="0"/>
    <x v="0"/>
    <x v="5"/>
    <x v="0"/>
    <x v="0"/>
    <x v="3"/>
    <s v="41"/>
    <x v="0"/>
    <x v="1"/>
    <x v="8"/>
    <n v="4504.33"/>
    <x v="1"/>
  </r>
  <r>
    <x v="0"/>
    <x v="0"/>
    <x v="5"/>
    <x v="0"/>
    <x v="0"/>
    <x v="3"/>
    <s v="41"/>
    <x v="0"/>
    <x v="2"/>
    <x v="3"/>
    <n v="9512.7800000000007"/>
    <x v="1"/>
  </r>
  <r>
    <x v="0"/>
    <x v="0"/>
    <x v="5"/>
    <x v="0"/>
    <x v="0"/>
    <x v="3"/>
    <s v="41"/>
    <x v="0"/>
    <x v="2"/>
    <x v="8"/>
    <n v="-8928.86"/>
    <x v="1"/>
  </r>
  <r>
    <x v="0"/>
    <x v="0"/>
    <x v="5"/>
    <x v="0"/>
    <x v="0"/>
    <x v="1"/>
    <s v="22"/>
    <x v="0"/>
    <x v="2"/>
    <x v="0"/>
    <n v="-1634181.87"/>
    <x v="0"/>
  </r>
  <r>
    <x v="0"/>
    <x v="0"/>
    <x v="6"/>
    <x v="0"/>
    <x v="0"/>
    <x v="0"/>
    <s v="02"/>
    <x v="0"/>
    <x v="1"/>
    <x v="4"/>
    <n v="-112.4"/>
    <x v="0"/>
  </r>
  <r>
    <x v="0"/>
    <x v="0"/>
    <x v="6"/>
    <x v="0"/>
    <x v="0"/>
    <x v="0"/>
    <s v="05"/>
    <x v="0"/>
    <x v="1"/>
    <x v="9"/>
    <n v="376.52"/>
    <x v="0"/>
  </r>
  <r>
    <x v="0"/>
    <x v="0"/>
    <x v="6"/>
    <x v="0"/>
    <x v="0"/>
    <x v="0"/>
    <s v="20"/>
    <x v="0"/>
    <x v="1"/>
    <x v="4"/>
    <n v="-1250"/>
    <x v="0"/>
  </r>
  <r>
    <x v="0"/>
    <x v="0"/>
    <x v="6"/>
    <x v="0"/>
    <x v="0"/>
    <x v="0"/>
    <s v="24"/>
    <x v="0"/>
    <x v="1"/>
    <x v="11"/>
    <n v="-257959.38"/>
    <x v="0"/>
  </r>
  <r>
    <x v="0"/>
    <x v="0"/>
    <x v="6"/>
    <x v="0"/>
    <x v="0"/>
    <x v="0"/>
    <s v="24"/>
    <x v="0"/>
    <x v="1"/>
    <x v="8"/>
    <n v="-86602.21"/>
    <x v="0"/>
  </r>
  <r>
    <x v="0"/>
    <x v="0"/>
    <x v="6"/>
    <x v="0"/>
    <x v="0"/>
    <x v="0"/>
    <s v="24"/>
    <x v="0"/>
    <x v="1"/>
    <x v="0"/>
    <n v="-37721.050000000003"/>
    <x v="0"/>
  </r>
  <r>
    <x v="0"/>
    <x v="0"/>
    <x v="6"/>
    <x v="0"/>
    <x v="0"/>
    <x v="0"/>
    <s v="24"/>
    <x v="0"/>
    <x v="2"/>
    <x v="5"/>
    <n v="-510776.97"/>
    <x v="0"/>
  </r>
  <r>
    <x v="0"/>
    <x v="0"/>
    <x v="6"/>
    <x v="0"/>
    <x v="0"/>
    <x v="0"/>
    <s v="24"/>
    <x v="0"/>
    <x v="2"/>
    <x v="8"/>
    <n v="-1181641.57"/>
    <x v="0"/>
  </r>
  <r>
    <x v="0"/>
    <x v="0"/>
    <x v="6"/>
    <x v="0"/>
    <x v="0"/>
    <x v="0"/>
    <s v="24"/>
    <x v="0"/>
    <x v="2"/>
    <x v="0"/>
    <n v="21672285.34"/>
    <x v="0"/>
  </r>
  <r>
    <x v="0"/>
    <x v="0"/>
    <x v="6"/>
    <x v="0"/>
    <x v="0"/>
    <x v="0"/>
    <s v="99"/>
    <x v="0"/>
    <x v="1"/>
    <x v="10"/>
    <n v="-927994.51"/>
    <x v="0"/>
  </r>
  <r>
    <x v="0"/>
    <x v="0"/>
    <x v="6"/>
    <x v="0"/>
    <x v="0"/>
    <x v="0"/>
    <s v="99"/>
    <x v="0"/>
    <x v="2"/>
    <x v="10"/>
    <n v="-861047.38"/>
    <x v="0"/>
  </r>
  <r>
    <x v="0"/>
    <x v="0"/>
    <x v="6"/>
    <x v="0"/>
    <x v="0"/>
    <x v="1"/>
    <s v="21"/>
    <x v="0"/>
    <x v="1"/>
    <x v="9"/>
    <n v="26720"/>
    <x v="0"/>
  </r>
  <r>
    <x v="0"/>
    <x v="0"/>
    <x v="6"/>
    <x v="0"/>
    <x v="0"/>
    <x v="1"/>
    <s v="21"/>
    <x v="0"/>
    <x v="1"/>
    <x v="10"/>
    <n v="25722.58"/>
    <x v="0"/>
  </r>
  <r>
    <x v="0"/>
    <x v="0"/>
    <x v="6"/>
    <x v="0"/>
    <x v="0"/>
    <x v="1"/>
    <s v="21"/>
    <x v="0"/>
    <x v="2"/>
    <x v="10"/>
    <n v="-32951.379999999997"/>
    <x v="0"/>
  </r>
  <r>
    <x v="0"/>
    <x v="0"/>
    <x v="6"/>
    <x v="0"/>
    <x v="0"/>
    <x v="1"/>
    <s v="22"/>
    <x v="0"/>
    <x v="1"/>
    <x v="7"/>
    <n v="-109895.39"/>
    <x v="0"/>
  </r>
  <r>
    <x v="0"/>
    <x v="0"/>
    <x v="6"/>
    <x v="0"/>
    <x v="0"/>
    <x v="1"/>
    <s v="22"/>
    <x v="0"/>
    <x v="1"/>
    <x v="2"/>
    <n v="-5242.2"/>
    <x v="0"/>
  </r>
  <r>
    <x v="0"/>
    <x v="0"/>
    <x v="6"/>
    <x v="0"/>
    <x v="0"/>
    <x v="0"/>
    <s v="05"/>
    <x v="0"/>
    <x v="1"/>
    <x v="3"/>
    <n v="-461.72"/>
    <x v="0"/>
  </r>
  <r>
    <x v="0"/>
    <x v="0"/>
    <x v="6"/>
    <x v="0"/>
    <x v="0"/>
    <x v="0"/>
    <s v="05"/>
    <x v="0"/>
    <x v="1"/>
    <x v="11"/>
    <n v="-376.52"/>
    <x v="0"/>
  </r>
  <r>
    <x v="0"/>
    <x v="0"/>
    <x v="6"/>
    <x v="0"/>
    <x v="0"/>
    <x v="0"/>
    <s v="16"/>
    <x v="0"/>
    <x v="1"/>
    <x v="11"/>
    <n v="-0.53"/>
    <x v="0"/>
  </r>
  <r>
    <x v="0"/>
    <x v="0"/>
    <x v="6"/>
    <x v="0"/>
    <x v="0"/>
    <x v="0"/>
    <s v="20"/>
    <x v="0"/>
    <x v="1"/>
    <x v="3"/>
    <n v="1308.1300000000001"/>
    <x v="0"/>
  </r>
  <r>
    <x v="0"/>
    <x v="0"/>
    <x v="6"/>
    <x v="0"/>
    <x v="0"/>
    <x v="0"/>
    <s v="20"/>
    <x v="0"/>
    <x v="1"/>
    <x v="6"/>
    <n v="243.55"/>
    <x v="0"/>
  </r>
  <r>
    <x v="0"/>
    <x v="0"/>
    <x v="6"/>
    <x v="0"/>
    <x v="0"/>
    <x v="0"/>
    <s v="20"/>
    <x v="0"/>
    <x v="1"/>
    <x v="11"/>
    <n v="-243.55"/>
    <x v="0"/>
  </r>
  <r>
    <x v="0"/>
    <x v="0"/>
    <x v="6"/>
    <x v="0"/>
    <x v="0"/>
    <x v="0"/>
    <s v="24"/>
    <x v="0"/>
    <x v="1"/>
    <x v="5"/>
    <n v="-1051023.98"/>
    <x v="0"/>
  </r>
  <r>
    <x v="0"/>
    <x v="0"/>
    <x v="6"/>
    <x v="0"/>
    <x v="0"/>
    <x v="0"/>
    <s v="24"/>
    <x v="0"/>
    <x v="1"/>
    <x v="7"/>
    <n v="20836882.399999999"/>
    <x v="0"/>
  </r>
  <r>
    <x v="0"/>
    <x v="0"/>
    <x v="6"/>
    <x v="0"/>
    <x v="0"/>
    <x v="0"/>
    <s v="24"/>
    <x v="0"/>
    <x v="1"/>
    <x v="2"/>
    <n v="-52587.46"/>
    <x v="0"/>
  </r>
  <r>
    <x v="0"/>
    <x v="0"/>
    <x v="6"/>
    <x v="0"/>
    <x v="0"/>
    <x v="0"/>
    <s v="24"/>
    <x v="0"/>
    <x v="2"/>
    <x v="7"/>
    <n v="18123476.57"/>
    <x v="0"/>
  </r>
  <r>
    <x v="0"/>
    <x v="0"/>
    <x v="6"/>
    <x v="0"/>
    <x v="0"/>
    <x v="0"/>
    <s v="24"/>
    <x v="0"/>
    <x v="2"/>
    <x v="2"/>
    <n v="-37743.15"/>
    <x v="0"/>
  </r>
  <r>
    <x v="0"/>
    <x v="0"/>
    <x v="6"/>
    <x v="0"/>
    <x v="0"/>
    <x v="0"/>
    <s v="99"/>
    <x v="0"/>
    <x v="1"/>
    <x v="11"/>
    <n v="-90"/>
    <x v="0"/>
  </r>
  <r>
    <x v="0"/>
    <x v="0"/>
    <x v="6"/>
    <x v="0"/>
    <x v="0"/>
    <x v="0"/>
    <s v="99"/>
    <x v="0"/>
    <x v="1"/>
    <x v="8"/>
    <n v="728984.55"/>
    <x v="0"/>
  </r>
  <r>
    <x v="0"/>
    <x v="0"/>
    <x v="6"/>
    <x v="0"/>
    <x v="0"/>
    <x v="0"/>
    <s v="99"/>
    <x v="0"/>
    <x v="1"/>
    <x v="0"/>
    <n v="-117963.41"/>
    <x v="0"/>
  </r>
  <r>
    <x v="0"/>
    <x v="0"/>
    <x v="6"/>
    <x v="0"/>
    <x v="0"/>
    <x v="0"/>
    <s v="99"/>
    <x v="0"/>
    <x v="2"/>
    <x v="0"/>
    <n v="254252.45"/>
    <x v="0"/>
  </r>
  <r>
    <x v="0"/>
    <x v="0"/>
    <x v="6"/>
    <x v="0"/>
    <x v="0"/>
    <x v="1"/>
    <s v="21"/>
    <x v="0"/>
    <x v="1"/>
    <x v="6"/>
    <n v="36850"/>
    <x v="0"/>
  </r>
  <r>
    <x v="0"/>
    <x v="0"/>
    <x v="6"/>
    <x v="0"/>
    <x v="0"/>
    <x v="1"/>
    <s v="21"/>
    <x v="0"/>
    <x v="1"/>
    <x v="11"/>
    <n v="28168.58"/>
    <x v="0"/>
  </r>
  <r>
    <x v="0"/>
    <x v="0"/>
    <x v="6"/>
    <x v="0"/>
    <x v="0"/>
    <x v="1"/>
    <s v="21"/>
    <x v="0"/>
    <x v="1"/>
    <x v="8"/>
    <n v="13981.46"/>
    <x v="0"/>
  </r>
  <r>
    <x v="0"/>
    <x v="0"/>
    <x v="6"/>
    <x v="0"/>
    <x v="0"/>
    <x v="1"/>
    <s v="21"/>
    <x v="0"/>
    <x v="2"/>
    <x v="11"/>
    <n v="350"/>
    <x v="0"/>
  </r>
  <r>
    <x v="0"/>
    <x v="0"/>
    <x v="6"/>
    <x v="0"/>
    <x v="0"/>
    <x v="1"/>
    <s v="22"/>
    <x v="0"/>
    <x v="1"/>
    <x v="9"/>
    <n v="130725.39"/>
    <x v="0"/>
  </r>
  <r>
    <x v="0"/>
    <x v="0"/>
    <x v="6"/>
    <x v="0"/>
    <x v="0"/>
    <x v="1"/>
    <s v="22"/>
    <x v="0"/>
    <x v="1"/>
    <x v="10"/>
    <n v="-3483"/>
    <x v="0"/>
  </r>
  <r>
    <x v="0"/>
    <x v="0"/>
    <x v="6"/>
    <x v="0"/>
    <x v="0"/>
    <x v="1"/>
    <s v="22"/>
    <x v="0"/>
    <x v="2"/>
    <x v="1"/>
    <n v="-653549"/>
    <x v="0"/>
  </r>
  <r>
    <x v="0"/>
    <x v="0"/>
    <x v="6"/>
    <x v="0"/>
    <x v="0"/>
    <x v="1"/>
    <s v="22"/>
    <x v="0"/>
    <x v="2"/>
    <x v="9"/>
    <n v="-2242"/>
    <x v="0"/>
  </r>
  <r>
    <x v="0"/>
    <x v="0"/>
    <x v="6"/>
    <x v="0"/>
    <x v="0"/>
    <x v="5"/>
    <s v="15"/>
    <x v="0"/>
    <x v="1"/>
    <x v="0"/>
    <n v="0"/>
    <x v="2"/>
  </r>
  <r>
    <x v="0"/>
    <x v="0"/>
    <x v="6"/>
    <x v="0"/>
    <x v="0"/>
    <x v="0"/>
    <s v="02"/>
    <x v="0"/>
    <x v="2"/>
    <x v="9"/>
    <n v="24671.25"/>
    <x v="0"/>
  </r>
  <r>
    <x v="0"/>
    <x v="0"/>
    <x v="6"/>
    <x v="0"/>
    <x v="0"/>
    <x v="0"/>
    <s v="02"/>
    <x v="0"/>
    <x v="2"/>
    <x v="10"/>
    <n v="-24671.25"/>
    <x v="0"/>
  </r>
  <r>
    <x v="0"/>
    <x v="0"/>
    <x v="6"/>
    <x v="0"/>
    <x v="0"/>
    <x v="0"/>
    <s v="20"/>
    <x v="0"/>
    <x v="1"/>
    <x v="1"/>
    <n v="-58.13"/>
    <x v="0"/>
  </r>
  <r>
    <x v="0"/>
    <x v="0"/>
    <x v="6"/>
    <x v="0"/>
    <x v="0"/>
    <x v="0"/>
    <s v="20"/>
    <x v="0"/>
    <x v="2"/>
    <x v="1"/>
    <n v="15"/>
    <x v="0"/>
  </r>
  <r>
    <x v="0"/>
    <x v="0"/>
    <x v="6"/>
    <x v="0"/>
    <x v="0"/>
    <x v="0"/>
    <s v="24"/>
    <x v="0"/>
    <x v="1"/>
    <x v="3"/>
    <n v="-20795.77"/>
    <x v="0"/>
  </r>
  <r>
    <x v="0"/>
    <x v="0"/>
    <x v="6"/>
    <x v="0"/>
    <x v="0"/>
    <x v="0"/>
    <s v="24"/>
    <x v="0"/>
    <x v="1"/>
    <x v="4"/>
    <n v="-11141.04"/>
    <x v="0"/>
  </r>
  <r>
    <x v="0"/>
    <x v="0"/>
    <x v="6"/>
    <x v="0"/>
    <x v="0"/>
    <x v="0"/>
    <s v="24"/>
    <x v="0"/>
    <x v="1"/>
    <x v="6"/>
    <n v="-111900.2"/>
    <x v="0"/>
  </r>
  <r>
    <x v="0"/>
    <x v="0"/>
    <x v="6"/>
    <x v="0"/>
    <x v="0"/>
    <x v="0"/>
    <s v="24"/>
    <x v="0"/>
    <x v="2"/>
    <x v="3"/>
    <n v="-5028.2700000000004"/>
    <x v="0"/>
  </r>
  <r>
    <x v="0"/>
    <x v="0"/>
    <x v="6"/>
    <x v="0"/>
    <x v="0"/>
    <x v="0"/>
    <s v="24"/>
    <x v="0"/>
    <x v="2"/>
    <x v="4"/>
    <n v="-35495.800000000003"/>
    <x v="0"/>
  </r>
  <r>
    <x v="0"/>
    <x v="0"/>
    <x v="6"/>
    <x v="0"/>
    <x v="0"/>
    <x v="0"/>
    <s v="24"/>
    <x v="0"/>
    <x v="2"/>
    <x v="6"/>
    <n v="-100712.77"/>
    <x v="0"/>
  </r>
  <r>
    <x v="0"/>
    <x v="0"/>
    <x v="6"/>
    <x v="0"/>
    <x v="0"/>
    <x v="0"/>
    <s v="24"/>
    <x v="0"/>
    <x v="2"/>
    <x v="11"/>
    <n v="-52339.17"/>
    <x v="0"/>
  </r>
  <r>
    <x v="0"/>
    <x v="0"/>
    <x v="6"/>
    <x v="0"/>
    <x v="0"/>
    <x v="0"/>
    <s v="99"/>
    <x v="0"/>
    <x v="1"/>
    <x v="1"/>
    <n v="90"/>
    <x v="0"/>
  </r>
  <r>
    <x v="0"/>
    <x v="0"/>
    <x v="6"/>
    <x v="0"/>
    <x v="0"/>
    <x v="0"/>
    <s v="99"/>
    <x v="0"/>
    <x v="2"/>
    <x v="1"/>
    <n v="-438174.33"/>
    <x v="0"/>
  </r>
  <r>
    <x v="0"/>
    <x v="0"/>
    <x v="6"/>
    <x v="0"/>
    <x v="0"/>
    <x v="0"/>
    <s v="99"/>
    <x v="0"/>
    <x v="2"/>
    <x v="9"/>
    <n v="587634.30000000005"/>
    <x v="0"/>
  </r>
  <r>
    <x v="0"/>
    <x v="0"/>
    <x v="6"/>
    <x v="0"/>
    <x v="0"/>
    <x v="3"/>
    <s v="41"/>
    <x v="0"/>
    <x v="2"/>
    <x v="6"/>
    <n v="703.29"/>
    <x v="1"/>
  </r>
  <r>
    <x v="0"/>
    <x v="0"/>
    <x v="6"/>
    <x v="0"/>
    <x v="0"/>
    <x v="1"/>
    <s v="21"/>
    <x v="0"/>
    <x v="1"/>
    <x v="2"/>
    <n v="11228.34"/>
    <x v="0"/>
  </r>
  <r>
    <x v="0"/>
    <x v="0"/>
    <x v="6"/>
    <x v="0"/>
    <x v="0"/>
    <x v="1"/>
    <s v="21"/>
    <x v="0"/>
    <x v="2"/>
    <x v="1"/>
    <n v="400"/>
    <x v="0"/>
  </r>
  <r>
    <x v="0"/>
    <x v="0"/>
    <x v="6"/>
    <x v="0"/>
    <x v="0"/>
    <x v="1"/>
    <s v="21"/>
    <x v="0"/>
    <x v="2"/>
    <x v="9"/>
    <n v="33301.07"/>
    <x v="0"/>
  </r>
  <r>
    <x v="0"/>
    <x v="0"/>
    <x v="6"/>
    <x v="0"/>
    <x v="0"/>
    <x v="1"/>
    <s v="22"/>
    <x v="0"/>
    <x v="1"/>
    <x v="0"/>
    <n v="-1043960.94"/>
    <x v="0"/>
  </r>
  <r>
    <x v="0"/>
    <x v="0"/>
    <x v="6"/>
    <x v="0"/>
    <x v="0"/>
    <x v="1"/>
    <s v="22"/>
    <x v="0"/>
    <x v="2"/>
    <x v="5"/>
    <n v="-1307098"/>
    <x v="0"/>
  </r>
  <r>
    <x v="0"/>
    <x v="0"/>
    <x v="6"/>
    <x v="0"/>
    <x v="0"/>
    <x v="1"/>
    <s v="22"/>
    <x v="0"/>
    <x v="2"/>
    <x v="0"/>
    <n v="-904758"/>
    <x v="0"/>
  </r>
  <r>
    <x v="0"/>
    <x v="0"/>
    <x v="6"/>
    <x v="0"/>
    <x v="0"/>
    <x v="1"/>
    <s v="23"/>
    <x v="0"/>
    <x v="1"/>
    <x v="7"/>
    <n v="107445.39"/>
    <x v="0"/>
  </r>
  <r>
    <x v="0"/>
    <x v="0"/>
    <x v="6"/>
    <x v="0"/>
    <x v="0"/>
    <x v="0"/>
    <s v="02"/>
    <x v="0"/>
    <x v="2"/>
    <x v="2"/>
    <n v="7830"/>
    <x v="0"/>
  </r>
  <r>
    <x v="0"/>
    <x v="0"/>
    <x v="6"/>
    <x v="0"/>
    <x v="0"/>
    <x v="0"/>
    <s v="05"/>
    <x v="0"/>
    <x v="1"/>
    <x v="5"/>
    <n v="461.72"/>
    <x v="0"/>
  </r>
  <r>
    <x v="0"/>
    <x v="0"/>
    <x v="6"/>
    <x v="0"/>
    <x v="0"/>
    <x v="0"/>
    <s v="16"/>
    <x v="0"/>
    <x v="1"/>
    <x v="7"/>
    <n v="7.17"/>
    <x v="0"/>
  </r>
  <r>
    <x v="0"/>
    <x v="0"/>
    <x v="6"/>
    <x v="0"/>
    <x v="0"/>
    <x v="0"/>
    <s v="20"/>
    <x v="0"/>
    <x v="1"/>
    <x v="7"/>
    <n v="25"/>
    <x v="0"/>
  </r>
  <r>
    <x v="0"/>
    <x v="0"/>
    <x v="6"/>
    <x v="0"/>
    <x v="0"/>
    <x v="0"/>
    <s v="20"/>
    <x v="0"/>
    <x v="2"/>
    <x v="7"/>
    <n v="25"/>
    <x v="0"/>
  </r>
  <r>
    <x v="0"/>
    <x v="0"/>
    <x v="6"/>
    <x v="0"/>
    <x v="0"/>
    <x v="0"/>
    <s v="20"/>
    <x v="0"/>
    <x v="2"/>
    <x v="2"/>
    <n v="25"/>
    <x v="0"/>
  </r>
  <r>
    <x v="0"/>
    <x v="0"/>
    <x v="6"/>
    <x v="0"/>
    <x v="0"/>
    <x v="0"/>
    <s v="24"/>
    <x v="0"/>
    <x v="1"/>
    <x v="1"/>
    <n v="22552982.870000001"/>
    <x v="0"/>
  </r>
  <r>
    <x v="0"/>
    <x v="0"/>
    <x v="6"/>
    <x v="0"/>
    <x v="0"/>
    <x v="0"/>
    <s v="24"/>
    <x v="0"/>
    <x v="1"/>
    <x v="9"/>
    <n v="-34166.9"/>
    <x v="0"/>
  </r>
  <r>
    <x v="0"/>
    <x v="0"/>
    <x v="6"/>
    <x v="0"/>
    <x v="0"/>
    <x v="0"/>
    <s v="24"/>
    <x v="0"/>
    <x v="1"/>
    <x v="10"/>
    <n v="19802545.579999998"/>
    <x v="0"/>
  </r>
  <r>
    <x v="0"/>
    <x v="0"/>
    <x v="6"/>
    <x v="0"/>
    <x v="0"/>
    <x v="0"/>
    <s v="24"/>
    <x v="0"/>
    <x v="2"/>
    <x v="1"/>
    <n v="19314283.140000001"/>
    <x v="0"/>
  </r>
  <r>
    <x v="0"/>
    <x v="0"/>
    <x v="6"/>
    <x v="0"/>
    <x v="0"/>
    <x v="0"/>
    <s v="24"/>
    <x v="0"/>
    <x v="2"/>
    <x v="9"/>
    <n v="-21640.53"/>
    <x v="0"/>
  </r>
  <r>
    <x v="0"/>
    <x v="0"/>
    <x v="6"/>
    <x v="0"/>
    <x v="0"/>
    <x v="0"/>
    <s v="24"/>
    <x v="0"/>
    <x v="2"/>
    <x v="10"/>
    <n v="-3155512.33"/>
    <x v="0"/>
  </r>
  <r>
    <x v="0"/>
    <x v="0"/>
    <x v="6"/>
    <x v="0"/>
    <x v="0"/>
    <x v="0"/>
    <s v="40"/>
    <x v="0"/>
    <x v="2"/>
    <x v="5"/>
    <n v="559"/>
    <x v="0"/>
  </r>
  <r>
    <x v="0"/>
    <x v="0"/>
    <x v="6"/>
    <x v="0"/>
    <x v="0"/>
    <x v="0"/>
    <s v="99"/>
    <x v="0"/>
    <x v="1"/>
    <x v="2"/>
    <n v="65023.29"/>
    <x v="0"/>
  </r>
  <r>
    <x v="0"/>
    <x v="0"/>
    <x v="6"/>
    <x v="0"/>
    <x v="0"/>
    <x v="3"/>
    <s v="41"/>
    <x v="0"/>
    <x v="2"/>
    <x v="10"/>
    <n v="-703.29"/>
    <x v="1"/>
  </r>
  <r>
    <x v="0"/>
    <x v="0"/>
    <x v="6"/>
    <x v="0"/>
    <x v="0"/>
    <x v="1"/>
    <s v="21"/>
    <x v="0"/>
    <x v="1"/>
    <x v="7"/>
    <n v="51112.04"/>
    <x v="0"/>
  </r>
  <r>
    <x v="0"/>
    <x v="0"/>
    <x v="6"/>
    <x v="0"/>
    <x v="0"/>
    <x v="1"/>
    <s v="21"/>
    <x v="0"/>
    <x v="1"/>
    <x v="0"/>
    <n v="377088.98"/>
    <x v="0"/>
  </r>
  <r>
    <x v="0"/>
    <x v="0"/>
    <x v="6"/>
    <x v="0"/>
    <x v="0"/>
    <x v="1"/>
    <s v="21"/>
    <x v="0"/>
    <x v="2"/>
    <x v="7"/>
    <n v="-349.69"/>
    <x v="0"/>
  </r>
  <r>
    <x v="0"/>
    <x v="0"/>
    <x v="6"/>
    <x v="0"/>
    <x v="0"/>
    <x v="1"/>
    <s v="21"/>
    <x v="0"/>
    <x v="2"/>
    <x v="0"/>
    <n v="489994.72"/>
    <x v="0"/>
  </r>
  <r>
    <x v="0"/>
    <x v="0"/>
    <x v="6"/>
    <x v="0"/>
    <x v="0"/>
    <x v="1"/>
    <s v="22"/>
    <x v="0"/>
    <x v="1"/>
    <x v="6"/>
    <n v="-33280"/>
    <x v="0"/>
  </r>
  <r>
    <x v="0"/>
    <x v="0"/>
    <x v="6"/>
    <x v="0"/>
    <x v="0"/>
    <x v="1"/>
    <s v="22"/>
    <x v="0"/>
    <x v="2"/>
    <x v="11"/>
    <n v="1308940"/>
    <x v="0"/>
  </r>
  <r>
    <x v="0"/>
    <x v="0"/>
    <x v="6"/>
    <x v="0"/>
    <x v="0"/>
    <x v="1"/>
    <s v="23"/>
    <x v="0"/>
    <x v="1"/>
    <x v="5"/>
    <n v="-107445.39"/>
    <x v="0"/>
  </r>
  <r>
    <x v="0"/>
    <x v="0"/>
    <x v="2"/>
    <x v="0"/>
    <x v="0"/>
    <x v="0"/>
    <s v="02"/>
    <x v="0"/>
    <x v="1"/>
    <x v="3"/>
    <n v="500"/>
    <x v="0"/>
  </r>
  <r>
    <x v="0"/>
    <x v="0"/>
    <x v="2"/>
    <x v="0"/>
    <x v="0"/>
    <x v="0"/>
    <s v="02"/>
    <x v="0"/>
    <x v="1"/>
    <x v="6"/>
    <n v="-500"/>
    <x v="0"/>
  </r>
  <r>
    <x v="0"/>
    <x v="0"/>
    <x v="2"/>
    <x v="0"/>
    <x v="0"/>
    <x v="0"/>
    <s v="09"/>
    <x v="0"/>
    <x v="2"/>
    <x v="0"/>
    <n v="32199.46"/>
    <x v="0"/>
  </r>
  <r>
    <x v="0"/>
    <x v="0"/>
    <x v="2"/>
    <x v="0"/>
    <x v="0"/>
    <x v="0"/>
    <s v="24"/>
    <x v="0"/>
    <x v="1"/>
    <x v="5"/>
    <n v="-287815.46999999997"/>
    <x v="0"/>
  </r>
  <r>
    <x v="0"/>
    <x v="0"/>
    <x v="2"/>
    <x v="0"/>
    <x v="0"/>
    <x v="0"/>
    <s v="24"/>
    <x v="0"/>
    <x v="1"/>
    <x v="7"/>
    <n v="182457.65"/>
    <x v="0"/>
  </r>
  <r>
    <x v="0"/>
    <x v="0"/>
    <x v="2"/>
    <x v="0"/>
    <x v="0"/>
    <x v="0"/>
    <s v="24"/>
    <x v="0"/>
    <x v="1"/>
    <x v="2"/>
    <n v="40151.800000000003"/>
    <x v="0"/>
  </r>
  <r>
    <x v="0"/>
    <x v="0"/>
    <x v="2"/>
    <x v="0"/>
    <x v="0"/>
    <x v="0"/>
    <s v="24"/>
    <x v="0"/>
    <x v="1"/>
    <x v="0"/>
    <n v="-313728.39"/>
    <x v="0"/>
  </r>
  <r>
    <x v="0"/>
    <x v="0"/>
    <x v="2"/>
    <x v="0"/>
    <x v="0"/>
    <x v="0"/>
    <s v="24"/>
    <x v="0"/>
    <x v="2"/>
    <x v="5"/>
    <n v="-227151.32"/>
    <x v="0"/>
  </r>
  <r>
    <x v="0"/>
    <x v="0"/>
    <x v="2"/>
    <x v="0"/>
    <x v="0"/>
    <x v="0"/>
    <s v="24"/>
    <x v="0"/>
    <x v="2"/>
    <x v="7"/>
    <n v="-1404427.93"/>
    <x v="0"/>
  </r>
  <r>
    <x v="0"/>
    <x v="0"/>
    <x v="2"/>
    <x v="0"/>
    <x v="0"/>
    <x v="0"/>
    <s v="24"/>
    <x v="0"/>
    <x v="2"/>
    <x v="2"/>
    <n v="225510.52"/>
    <x v="0"/>
  </r>
  <r>
    <x v="0"/>
    <x v="0"/>
    <x v="2"/>
    <x v="0"/>
    <x v="0"/>
    <x v="1"/>
    <s v="22"/>
    <x v="0"/>
    <x v="2"/>
    <x v="1"/>
    <n v="-782085.53"/>
    <x v="0"/>
  </r>
  <r>
    <x v="0"/>
    <x v="0"/>
    <x v="2"/>
    <x v="0"/>
    <x v="0"/>
    <x v="1"/>
    <s v="22"/>
    <x v="0"/>
    <x v="2"/>
    <x v="10"/>
    <n v="-350000"/>
    <x v="0"/>
  </r>
  <r>
    <x v="0"/>
    <x v="0"/>
    <x v="2"/>
    <x v="0"/>
    <x v="0"/>
    <x v="4"/>
    <s v="20"/>
    <x v="0"/>
    <x v="2"/>
    <x v="1"/>
    <n v="-1180"/>
    <x v="0"/>
  </r>
  <r>
    <x v="0"/>
    <x v="0"/>
    <x v="2"/>
    <x v="0"/>
    <x v="0"/>
    <x v="4"/>
    <s v="20"/>
    <x v="0"/>
    <x v="2"/>
    <x v="10"/>
    <n v="0"/>
    <x v="0"/>
  </r>
  <r>
    <x v="0"/>
    <x v="0"/>
    <x v="2"/>
    <x v="0"/>
    <x v="0"/>
    <x v="4"/>
    <s v="40"/>
    <x v="0"/>
    <x v="2"/>
    <x v="1"/>
    <n v="0"/>
    <x v="0"/>
  </r>
  <r>
    <x v="0"/>
    <x v="0"/>
    <x v="2"/>
    <x v="0"/>
    <x v="0"/>
    <x v="0"/>
    <s v="01"/>
    <x v="0"/>
    <x v="1"/>
    <x v="0"/>
    <n v="20859.73"/>
    <x v="0"/>
  </r>
  <r>
    <x v="0"/>
    <x v="0"/>
    <x v="2"/>
    <x v="0"/>
    <x v="0"/>
    <x v="0"/>
    <s v="02"/>
    <x v="0"/>
    <x v="1"/>
    <x v="5"/>
    <n v="-500"/>
    <x v="0"/>
  </r>
  <r>
    <x v="0"/>
    <x v="0"/>
    <x v="2"/>
    <x v="0"/>
    <x v="0"/>
    <x v="0"/>
    <s v="02"/>
    <x v="0"/>
    <x v="2"/>
    <x v="0"/>
    <n v="0"/>
    <x v="0"/>
  </r>
  <r>
    <x v="0"/>
    <x v="0"/>
    <x v="2"/>
    <x v="0"/>
    <x v="0"/>
    <x v="0"/>
    <s v="16"/>
    <x v="0"/>
    <x v="2"/>
    <x v="7"/>
    <n v="610.61"/>
    <x v="0"/>
  </r>
  <r>
    <x v="0"/>
    <x v="0"/>
    <x v="2"/>
    <x v="0"/>
    <x v="0"/>
    <x v="0"/>
    <s v="16"/>
    <x v="0"/>
    <x v="2"/>
    <x v="2"/>
    <n v="-610.61"/>
    <x v="0"/>
  </r>
  <r>
    <x v="0"/>
    <x v="0"/>
    <x v="2"/>
    <x v="0"/>
    <x v="0"/>
    <x v="0"/>
    <s v="20"/>
    <x v="0"/>
    <x v="1"/>
    <x v="5"/>
    <n v="-224"/>
    <x v="0"/>
  </r>
  <r>
    <x v="0"/>
    <x v="0"/>
    <x v="2"/>
    <x v="0"/>
    <x v="0"/>
    <x v="0"/>
    <s v="24"/>
    <x v="0"/>
    <x v="1"/>
    <x v="1"/>
    <n v="-1297373.3500000001"/>
    <x v="0"/>
  </r>
  <r>
    <x v="0"/>
    <x v="0"/>
    <x v="2"/>
    <x v="0"/>
    <x v="0"/>
    <x v="0"/>
    <s v="24"/>
    <x v="0"/>
    <x v="1"/>
    <x v="9"/>
    <n v="10369155.529999999"/>
    <x v="0"/>
  </r>
  <r>
    <x v="0"/>
    <x v="0"/>
    <x v="2"/>
    <x v="0"/>
    <x v="0"/>
    <x v="0"/>
    <s v="24"/>
    <x v="0"/>
    <x v="2"/>
    <x v="1"/>
    <n v="-1672034.91"/>
    <x v="0"/>
  </r>
  <r>
    <x v="0"/>
    <x v="0"/>
    <x v="2"/>
    <x v="0"/>
    <x v="0"/>
    <x v="0"/>
    <s v="24"/>
    <x v="0"/>
    <x v="2"/>
    <x v="9"/>
    <n v="11268578.609999999"/>
    <x v="0"/>
  </r>
  <r>
    <x v="0"/>
    <x v="0"/>
    <x v="2"/>
    <x v="0"/>
    <x v="0"/>
    <x v="0"/>
    <s v="24"/>
    <x v="0"/>
    <x v="2"/>
    <x v="10"/>
    <n v="9139323.8699999992"/>
    <x v="0"/>
  </r>
  <r>
    <x v="0"/>
    <x v="0"/>
    <x v="2"/>
    <x v="0"/>
    <x v="0"/>
    <x v="0"/>
    <s v="90"/>
    <x v="0"/>
    <x v="1"/>
    <x v="3"/>
    <n v="-8"/>
    <x v="0"/>
  </r>
  <r>
    <x v="0"/>
    <x v="0"/>
    <x v="2"/>
    <x v="0"/>
    <x v="0"/>
    <x v="0"/>
    <s v="90"/>
    <x v="0"/>
    <x v="2"/>
    <x v="0"/>
    <n v="150"/>
    <x v="0"/>
  </r>
  <r>
    <x v="0"/>
    <x v="0"/>
    <x v="2"/>
    <x v="0"/>
    <x v="0"/>
    <x v="1"/>
    <s v="21"/>
    <x v="0"/>
    <x v="1"/>
    <x v="5"/>
    <n v="549036"/>
    <x v="0"/>
  </r>
  <r>
    <x v="0"/>
    <x v="0"/>
    <x v="2"/>
    <x v="0"/>
    <x v="0"/>
    <x v="4"/>
    <s v="20"/>
    <x v="0"/>
    <x v="2"/>
    <x v="4"/>
    <n v="1180"/>
    <x v="0"/>
  </r>
  <r>
    <x v="0"/>
    <x v="0"/>
    <x v="2"/>
    <x v="0"/>
    <x v="0"/>
    <x v="4"/>
    <s v="40"/>
    <x v="0"/>
    <x v="1"/>
    <x v="4"/>
    <n v="-8"/>
    <x v="0"/>
  </r>
  <r>
    <x v="0"/>
    <x v="0"/>
    <x v="2"/>
    <x v="0"/>
    <x v="0"/>
    <x v="4"/>
    <s v="40"/>
    <x v="0"/>
    <x v="1"/>
    <x v="8"/>
    <n v="0"/>
    <x v="0"/>
  </r>
  <r>
    <x v="0"/>
    <x v="0"/>
    <x v="2"/>
    <x v="0"/>
    <x v="0"/>
    <x v="4"/>
    <s v="40"/>
    <x v="0"/>
    <x v="2"/>
    <x v="6"/>
    <n v="0"/>
    <x v="0"/>
  </r>
  <r>
    <x v="0"/>
    <x v="0"/>
    <x v="2"/>
    <x v="0"/>
    <x v="0"/>
    <x v="0"/>
    <s v="02"/>
    <x v="0"/>
    <x v="1"/>
    <x v="10"/>
    <n v="500"/>
    <x v="0"/>
  </r>
  <r>
    <x v="0"/>
    <x v="0"/>
    <x v="2"/>
    <x v="0"/>
    <x v="0"/>
    <x v="0"/>
    <s v="24"/>
    <x v="0"/>
    <x v="1"/>
    <x v="3"/>
    <n v="-5639.01"/>
    <x v="0"/>
  </r>
  <r>
    <x v="0"/>
    <x v="0"/>
    <x v="2"/>
    <x v="0"/>
    <x v="0"/>
    <x v="0"/>
    <s v="24"/>
    <x v="0"/>
    <x v="1"/>
    <x v="6"/>
    <n v="-114968.11"/>
    <x v="0"/>
  </r>
  <r>
    <x v="0"/>
    <x v="0"/>
    <x v="2"/>
    <x v="0"/>
    <x v="0"/>
    <x v="0"/>
    <s v="24"/>
    <x v="0"/>
    <x v="1"/>
    <x v="11"/>
    <n v="-58867.41"/>
    <x v="0"/>
  </r>
  <r>
    <x v="0"/>
    <x v="0"/>
    <x v="2"/>
    <x v="0"/>
    <x v="0"/>
    <x v="0"/>
    <s v="24"/>
    <x v="0"/>
    <x v="1"/>
    <x v="8"/>
    <n v="-71661.27"/>
    <x v="0"/>
  </r>
  <r>
    <x v="0"/>
    <x v="0"/>
    <x v="2"/>
    <x v="0"/>
    <x v="0"/>
    <x v="0"/>
    <s v="24"/>
    <x v="0"/>
    <x v="2"/>
    <x v="11"/>
    <n v="-121416.57"/>
    <x v="0"/>
  </r>
  <r>
    <x v="0"/>
    <x v="0"/>
    <x v="2"/>
    <x v="0"/>
    <x v="0"/>
    <x v="0"/>
    <s v="24"/>
    <x v="0"/>
    <x v="2"/>
    <x v="8"/>
    <n v="53978.62"/>
    <x v="0"/>
  </r>
  <r>
    <x v="0"/>
    <x v="0"/>
    <x v="2"/>
    <x v="0"/>
    <x v="0"/>
    <x v="0"/>
    <s v="24"/>
    <x v="0"/>
    <x v="2"/>
    <x v="0"/>
    <n v="-2137.1999999999998"/>
    <x v="0"/>
  </r>
  <r>
    <x v="0"/>
    <x v="0"/>
    <x v="2"/>
    <x v="0"/>
    <x v="0"/>
    <x v="1"/>
    <s v="22"/>
    <x v="0"/>
    <x v="1"/>
    <x v="5"/>
    <n v="-274518"/>
    <x v="0"/>
  </r>
  <r>
    <x v="0"/>
    <x v="0"/>
    <x v="2"/>
    <x v="0"/>
    <x v="0"/>
    <x v="1"/>
    <s v="22"/>
    <x v="0"/>
    <x v="1"/>
    <x v="0"/>
    <n v="274518"/>
    <x v="0"/>
  </r>
  <r>
    <x v="0"/>
    <x v="0"/>
    <x v="2"/>
    <x v="0"/>
    <x v="0"/>
    <x v="4"/>
    <s v="20"/>
    <x v="0"/>
    <x v="1"/>
    <x v="5"/>
    <n v="0"/>
    <x v="0"/>
  </r>
  <r>
    <x v="0"/>
    <x v="0"/>
    <x v="2"/>
    <x v="0"/>
    <x v="0"/>
    <x v="4"/>
    <s v="20"/>
    <x v="0"/>
    <x v="1"/>
    <x v="2"/>
    <n v="0"/>
    <x v="0"/>
  </r>
  <r>
    <x v="0"/>
    <x v="0"/>
    <x v="2"/>
    <x v="0"/>
    <x v="0"/>
    <x v="4"/>
    <s v="20"/>
    <x v="0"/>
    <x v="1"/>
    <x v="0"/>
    <n v="0"/>
    <x v="0"/>
  </r>
  <r>
    <x v="0"/>
    <x v="0"/>
    <x v="2"/>
    <x v="0"/>
    <x v="0"/>
    <x v="4"/>
    <s v="40"/>
    <x v="0"/>
    <x v="1"/>
    <x v="5"/>
    <n v="0"/>
    <x v="0"/>
  </r>
  <r>
    <x v="0"/>
    <x v="0"/>
    <x v="2"/>
    <x v="0"/>
    <x v="0"/>
    <x v="4"/>
    <s v="40"/>
    <x v="0"/>
    <x v="2"/>
    <x v="7"/>
    <n v="0"/>
    <x v="0"/>
  </r>
  <r>
    <x v="0"/>
    <x v="1"/>
    <x v="3"/>
    <x v="0"/>
    <x v="0"/>
    <x v="0"/>
    <s v="09"/>
    <x v="0"/>
    <x v="3"/>
    <x v="10"/>
    <n v="-70.45"/>
    <x v="0"/>
  </r>
  <r>
    <x v="0"/>
    <x v="1"/>
    <x v="3"/>
    <x v="0"/>
    <x v="0"/>
    <x v="0"/>
    <s v="20"/>
    <x v="0"/>
    <x v="4"/>
    <x v="5"/>
    <n v="-571.47"/>
    <x v="0"/>
  </r>
  <r>
    <x v="0"/>
    <x v="1"/>
    <x v="3"/>
    <x v="0"/>
    <x v="0"/>
    <x v="0"/>
    <s v="24"/>
    <x v="0"/>
    <x v="3"/>
    <x v="1"/>
    <n v="22980.12"/>
    <x v="0"/>
  </r>
  <r>
    <x v="0"/>
    <x v="1"/>
    <x v="3"/>
    <x v="0"/>
    <x v="0"/>
    <x v="0"/>
    <s v="24"/>
    <x v="0"/>
    <x v="3"/>
    <x v="9"/>
    <n v="109838.71"/>
    <x v="0"/>
  </r>
  <r>
    <x v="0"/>
    <x v="1"/>
    <x v="3"/>
    <x v="0"/>
    <x v="0"/>
    <x v="0"/>
    <s v="24"/>
    <x v="0"/>
    <x v="3"/>
    <x v="10"/>
    <n v="109154.42"/>
    <x v="0"/>
  </r>
  <r>
    <x v="0"/>
    <x v="1"/>
    <x v="3"/>
    <x v="0"/>
    <x v="0"/>
    <x v="0"/>
    <s v="24"/>
    <x v="0"/>
    <x v="4"/>
    <x v="1"/>
    <n v="60743.42"/>
    <x v="0"/>
  </r>
  <r>
    <x v="0"/>
    <x v="1"/>
    <x v="3"/>
    <x v="0"/>
    <x v="0"/>
    <x v="0"/>
    <s v="24"/>
    <x v="0"/>
    <x v="4"/>
    <x v="9"/>
    <n v="57697.19"/>
    <x v="0"/>
  </r>
  <r>
    <x v="0"/>
    <x v="1"/>
    <x v="3"/>
    <x v="0"/>
    <x v="0"/>
    <x v="0"/>
    <s v="24"/>
    <x v="0"/>
    <x v="4"/>
    <x v="10"/>
    <n v="85569.32"/>
    <x v="0"/>
  </r>
  <r>
    <x v="0"/>
    <x v="1"/>
    <x v="3"/>
    <x v="0"/>
    <x v="0"/>
    <x v="0"/>
    <s v="30"/>
    <x v="0"/>
    <x v="4"/>
    <x v="6"/>
    <n v="181698.51"/>
    <x v="0"/>
  </r>
  <r>
    <x v="0"/>
    <x v="1"/>
    <x v="3"/>
    <x v="0"/>
    <x v="0"/>
    <x v="0"/>
    <s v="30"/>
    <x v="0"/>
    <x v="4"/>
    <x v="11"/>
    <n v="31.5"/>
    <x v="0"/>
  </r>
  <r>
    <x v="0"/>
    <x v="1"/>
    <x v="3"/>
    <x v="0"/>
    <x v="0"/>
    <x v="0"/>
    <s v="30"/>
    <x v="0"/>
    <x v="4"/>
    <x v="0"/>
    <n v="-181723.51"/>
    <x v="0"/>
  </r>
  <r>
    <x v="0"/>
    <x v="1"/>
    <x v="3"/>
    <x v="0"/>
    <x v="0"/>
    <x v="0"/>
    <s v="41"/>
    <x v="0"/>
    <x v="3"/>
    <x v="3"/>
    <n v="-36733.769999999997"/>
    <x v="0"/>
  </r>
  <r>
    <x v="0"/>
    <x v="1"/>
    <x v="3"/>
    <x v="0"/>
    <x v="0"/>
    <x v="0"/>
    <s v="41"/>
    <x v="0"/>
    <x v="3"/>
    <x v="4"/>
    <n v="36733.769999999997"/>
    <x v="0"/>
  </r>
  <r>
    <x v="0"/>
    <x v="1"/>
    <x v="3"/>
    <x v="0"/>
    <x v="0"/>
    <x v="0"/>
    <s v="41"/>
    <x v="0"/>
    <x v="3"/>
    <x v="8"/>
    <n v="121837.84"/>
    <x v="0"/>
  </r>
  <r>
    <x v="0"/>
    <x v="1"/>
    <x v="3"/>
    <x v="0"/>
    <x v="0"/>
    <x v="0"/>
    <s v="41"/>
    <x v="0"/>
    <x v="3"/>
    <x v="0"/>
    <n v="168999.63"/>
    <x v="0"/>
  </r>
  <r>
    <x v="0"/>
    <x v="1"/>
    <x v="3"/>
    <x v="0"/>
    <x v="0"/>
    <x v="0"/>
    <s v="41"/>
    <x v="0"/>
    <x v="4"/>
    <x v="3"/>
    <n v="-168999.63"/>
    <x v="0"/>
  </r>
  <r>
    <x v="0"/>
    <x v="1"/>
    <x v="3"/>
    <x v="0"/>
    <x v="0"/>
    <x v="0"/>
    <s v="41"/>
    <x v="0"/>
    <x v="4"/>
    <x v="0"/>
    <n v="47339.34"/>
    <x v="0"/>
  </r>
  <r>
    <x v="0"/>
    <x v="1"/>
    <x v="3"/>
    <x v="0"/>
    <x v="0"/>
    <x v="0"/>
    <s v="85"/>
    <x v="0"/>
    <x v="3"/>
    <x v="0"/>
    <n v="42252.7"/>
    <x v="0"/>
  </r>
  <r>
    <x v="0"/>
    <x v="1"/>
    <x v="3"/>
    <x v="0"/>
    <x v="0"/>
    <x v="0"/>
    <s v="99"/>
    <x v="0"/>
    <x v="3"/>
    <x v="7"/>
    <n v="-500"/>
    <x v="0"/>
  </r>
  <r>
    <x v="0"/>
    <x v="1"/>
    <x v="3"/>
    <x v="0"/>
    <x v="0"/>
    <x v="3"/>
    <s v="41"/>
    <x v="0"/>
    <x v="3"/>
    <x v="6"/>
    <n v="480.45"/>
    <x v="1"/>
  </r>
  <r>
    <x v="0"/>
    <x v="1"/>
    <x v="3"/>
    <x v="0"/>
    <x v="0"/>
    <x v="0"/>
    <s v="01"/>
    <x v="0"/>
    <x v="3"/>
    <x v="3"/>
    <n v="-20954.41"/>
    <x v="0"/>
  </r>
  <r>
    <x v="0"/>
    <x v="1"/>
    <x v="3"/>
    <x v="0"/>
    <x v="0"/>
    <x v="0"/>
    <s v="01"/>
    <x v="0"/>
    <x v="3"/>
    <x v="0"/>
    <n v="17164.900000000001"/>
    <x v="0"/>
  </r>
  <r>
    <x v="0"/>
    <x v="1"/>
    <x v="3"/>
    <x v="0"/>
    <x v="0"/>
    <x v="0"/>
    <s v="01"/>
    <x v="0"/>
    <x v="4"/>
    <x v="3"/>
    <n v="-16651.05"/>
    <x v="0"/>
  </r>
  <r>
    <x v="0"/>
    <x v="1"/>
    <x v="3"/>
    <x v="0"/>
    <x v="0"/>
    <x v="0"/>
    <s v="01"/>
    <x v="0"/>
    <x v="4"/>
    <x v="0"/>
    <n v="7063.15"/>
    <x v="0"/>
  </r>
  <r>
    <x v="0"/>
    <x v="0"/>
    <x v="4"/>
    <x v="0"/>
    <x v="0"/>
    <x v="0"/>
    <s v="01"/>
    <x v="0"/>
    <x v="1"/>
    <x v="7"/>
    <n v="16019.01"/>
    <x v="0"/>
  </r>
  <r>
    <x v="0"/>
    <x v="0"/>
    <x v="4"/>
    <x v="0"/>
    <x v="0"/>
    <x v="0"/>
    <s v="01"/>
    <x v="0"/>
    <x v="2"/>
    <x v="1"/>
    <n v="19924.330000000002"/>
    <x v="0"/>
  </r>
  <r>
    <x v="0"/>
    <x v="0"/>
    <x v="4"/>
    <x v="0"/>
    <x v="0"/>
    <x v="0"/>
    <s v="20"/>
    <x v="0"/>
    <x v="1"/>
    <x v="1"/>
    <n v="-6"/>
    <x v="0"/>
  </r>
  <r>
    <x v="0"/>
    <x v="0"/>
    <x v="4"/>
    <x v="0"/>
    <x v="0"/>
    <x v="0"/>
    <s v="20"/>
    <x v="0"/>
    <x v="2"/>
    <x v="9"/>
    <n v="702.98"/>
    <x v="0"/>
  </r>
  <r>
    <x v="0"/>
    <x v="0"/>
    <x v="4"/>
    <x v="0"/>
    <x v="0"/>
    <x v="0"/>
    <s v="24"/>
    <x v="0"/>
    <x v="1"/>
    <x v="4"/>
    <n v="33238257.530000001"/>
    <x v="0"/>
  </r>
  <r>
    <x v="0"/>
    <x v="0"/>
    <x v="4"/>
    <x v="0"/>
    <x v="0"/>
    <x v="0"/>
    <s v="24"/>
    <x v="0"/>
    <x v="1"/>
    <x v="10"/>
    <n v="3488063.68"/>
    <x v="0"/>
  </r>
  <r>
    <x v="0"/>
    <x v="0"/>
    <x v="4"/>
    <x v="0"/>
    <x v="0"/>
    <x v="0"/>
    <s v="24"/>
    <x v="0"/>
    <x v="1"/>
    <x v="8"/>
    <n v="-331780.46999999997"/>
    <x v="0"/>
  </r>
  <r>
    <x v="0"/>
    <x v="0"/>
    <x v="4"/>
    <x v="0"/>
    <x v="0"/>
    <x v="0"/>
    <s v="24"/>
    <x v="0"/>
    <x v="2"/>
    <x v="3"/>
    <n v="202578.59"/>
    <x v="0"/>
  </r>
  <r>
    <x v="0"/>
    <x v="0"/>
    <x v="4"/>
    <x v="0"/>
    <x v="0"/>
    <x v="0"/>
    <s v="24"/>
    <x v="0"/>
    <x v="2"/>
    <x v="4"/>
    <n v="31924893.449999999"/>
    <x v="0"/>
  </r>
  <r>
    <x v="0"/>
    <x v="0"/>
    <x v="4"/>
    <x v="0"/>
    <x v="0"/>
    <x v="0"/>
    <s v="24"/>
    <x v="0"/>
    <x v="2"/>
    <x v="6"/>
    <n v="30911945.359999999"/>
    <x v="0"/>
  </r>
  <r>
    <x v="0"/>
    <x v="0"/>
    <x v="4"/>
    <x v="0"/>
    <x v="0"/>
    <x v="0"/>
    <s v="24"/>
    <x v="0"/>
    <x v="2"/>
    <x v="8"/>
    <n v="-373671.65"/>
    <x v="0"/>
  </r>
  <r>
    <x v="0"/>
    <x v="0"/>
    <x v="4"/>
    <x v="0"/>
    <x v="0"/>
    <x v="0"/>
    <s v="24"/>
    <x v="0"/>
    <x v="2"/>
    <x v="0"/>
    <n v="-160906.35999999999"/>
    <x v="0"/>
  </r>
  <r>
    <x v="0"/>
    <x v="0"/>
    <x v="4"/>
    <x v="0"/>
    <x v="0"/>
    <x v="1"/>
    <s v="22"/>
    <x v="0"/>
    <x v="1"/>
    <x v="6"/>
    <n v="-29200"/>
    <x v="0"/>
  </r>
  <r>
    <x v="0"/>
    <x v="0"/>
    <x v="4"/>
    <x v="0"/>
    <x v="0"/>
    <x v="1"/>
    <s v="22"/>
    <x v="0"/>
    <x v="1"/>
    <x v="0"/>
    <n v="-1000965.74"/>
    <x v="0"/>
  </r>
  <r>
    <x v="0"/>
    <x v="0"/>
    <x v="4"/>
    <x v="0"/>
    <x v="0"/>
    <x v="1"/>
    <s v="22"/>
    <x v="0"/>
    <x v="2"/>
    <x v="11"/>
    <n v="-22300.31"/>
    <x v="0"/>
  </r>
  <r>
    <x v="0"/>
    <x v="0"/>
    <x v="3"/>
    <x v="0"/>
    <x v="0"/>
    <x v="0"/>
    <s v="01"/>
    <x v="0"/>
    <x v="1"/>
    <x v="3"/>
    <n v="44198.68"/>
    <x v="0"/>
  </r>
  <r>
    <x v="0"/>
    <x v="0"/>
    <x v="3"/>
    <x v="0"/>
    <x v="0"/>
    <x v="0"/>
    <s v="01"/>
    <x v="0"/>
    <x v="1"/>
    <x v="4"/>
    <n v="105870.58"/>
    <x v="0"/>
  </r>
  <r>
    <x v="0"/>
    <x v="0"/>
    <x v="3"/>
    <x v="0"/>
    <x v="0"/>
    <x v="0"/>
    <s v="01"/>
    <x v="0"/>
    <x v="1"/>
    <x v="6"/>
    <n v="81537.960000000006"/>
    <x v="0"/>
  </r>
  <r>
    <x v="0"/>
    <x v="0"/>
    <x v="3"/>
    <x v="0"/>
    <x v="0"/>
    <x v="0"/>
    <s v="01"/>
    <x v="0"/>
    <x v="1"/>
    <x v="8"/>
    <n v="150349.56"/>
    <x v="0"/>
  </r>
  <r>
    <x v="0"/>
    <x v="0"/>
    <x v="3"/>
    <x v="0"/>
    <x v="0"/>
    <x v="0"/>
    <s v="01"/>
    <x v="0"/>
    <x v="1"/>
    <x v="0"/>
    <n v="322343.32"/>
    <x v="0"/>
  </r>
  <r>
    <x v="0"/>
    <x v="0"/>
    <x v="3"/>
    <x v="0"/>
    <x v="0"/>
    <x v="0"/>
    <s v="01"/>
    <x v="0"/>
    <x v="2"/>
    <x v="3"/>
    <n v="26531.19"/>
    <x v="0"/>
  </r>
  <r>
    <x v="0"/>
    <x v="0"/>
    <x v="3"/>
    <x v="0"/>
    <x v="0"/>
    <x v="0"/>
    <s v="01"/>
    <x v="0"/>
    <x v="2"/>
    <x v="4"/>
    <n v="42847.66"/>
    <x v="0"/>
  </r>
  <r>
    <x v="0"/>
    <x v="0"/>
    <x v="3"/>
    <x v="0"/>
    <x v="0"/>
    <x v="0"/>
    <s v="01"/>
    <x v="0"/>
    <x v="2"/>
    <x v="6"/>
    <n v="46950.53"/>
    <x v="0"/>
  </r>
  <r>
    <x v="0"/>
    <x v="0"/>
    <x v="3"/>
    <x v="0"/>
    <x v="0"/>
    <x v="0"/>
    <s v="01"/>
    <x v="0"/>
    <x v="2"/>
    <x v="11"/>
    <n v="54374.64"/>
    <x v="0"/>
  </r>
  <r>
    <x v="0"/>
    <x v="0"/>
    <x v="3"/>
    <x v="0"/>
    <x v="0"/>
    <x v="0"/>
    <s v="01"/>
    <x v="0"/>
    <x v="2"/>
    <x v="8"/>
    <n v="92091.26"/>
    <x v="0"/>
  </r>
  <r>
    <x v="0"/>
    <x v="0"/>
    <x v="3"/>
    <x v="0"/>
    <x v="0"/>
    <x v="0"/>
    <s v="01"/>
    <x v="0"/>
    <x v="2"/>
    <x v="0"/>
    <n v="392183.98"/>
    <x v="0"/>
  </r>
  <r>
    <x v="0"/>
    <x v="0"/>
    <x v="3"/>
    <x v="0"/>
    <x v="0"/>
    <x v="0"/>
    <s v="09"/>
    <x v="0"/>
    <x v="1"/>
    <x v="11"/>
    <n v="6780.47"/>
    <x v="0"/>
  </r>
  <r>
    <x v="0"/>
    <x v="0"/>
    <x v="3"/>
    <x v="0"/>
    <x v="0"/>
    <x v="0"/>
    <s v="09"/>
    <x v="0"/>
    <x v="1"/>
    <x v="2"/>
    <n v="10259.69"/>
    <x v="0"/>
  </r>
  <r>
    <x v="0"/>
    <x v="0"/>
    <x v="3"/>
    <x v="0"/>
    <x v="0"/>
    <x v="0"/>
    <s v="09"/>
    <x v="0"/>
    <x v="2"/>
    <x v="5"/>
    <n v="-2660.23"/>
    <x v="0"/>
  </r>
  <r>
    <x v="0"/>
    <x v="0"/>
    <x v="3"/>
    <x v="0"/>
    <x v="0"/>
    <x v="0"/>
    <s v="09"/>
    <x v="0"/>
    <x v="2"/>
    <x v="2"/>
    <n v="8612.89"/>
    <x v="0"/>
  </r>
  <r>
    <x v="0"/>
    <x v="0"/>
    <x v="3"/>
    <x v="0"/>
    <x v="0"/>
    <x v="0"/>
    <s v="20"/>
    <x v="0"/>
    <x v="1"/>
    <x v="4"/>
    <n v="672"/>
    <x v="0"/>
  </r>
  <r>
    <x v="0"/>
    <x v="0"/>
    <x v="3"/>
    <x v="0"/>
    <x v="0"/>
    <x v="0"/>
    <s v="23"/>
    <x v="0"/>
    <x v="1"/>
    <x v="0"/>
    <n v="-442.32"/>
    <x v="0"/>
  </r>
  <r>
    <x v="0"/>
    <x v="0"/>
    <x v="3"/>
    <x v="0"/>
    <x v="0"/>
    <x v="0"/>
    <s v="24"/>
    <x v="0"/>
    <x v="1"/>
    <x v="5"/>
    <n v="7886018.0099999998"/>
    <x v="0"/>
  </r>
  <r>
    <x v="0"/>
    <x v="0"/>
    <x v="3"/>
    <x v="0"/>
    <x v="0"/>
    <x v="0"/>
    <s v="24"/>
    <x v="0"/>
    <x v="1"/>
    <x v="7"/>
    <n v="14548552.550000001"/>
    <x v="0"/>
  </r>
  <r>
    <x v="0"/>
    <x v="0"/>
    <x v="3"/>
    <x v="0"/>
    <x v="0"/>
    <x v="0"/>
    <s v="24"/>
    <x v="0"/>
    <x v="1"/>
    <x v="0"/>
    <n v="44257231.869999997"/>
    <x v="0"/>
  </r>
  <r>
    <x v="0"/>
    <x v="0"/>
    <x v="3"/>
    <x v="0"/>
    <x v="0"/>
    <x v="0"/>
    <s v="24"/>
    <x v="0"/>
    <x v="2"/>
    <x v="5"/>
    <n v="8057668.1399999997"/>
    <x v="0"/>
  </r>
  <r>
    <x v="0"/>
    <x v="0"/>
    <x v="3"/>
    <x v="0"/>
    <x v="0"/>
    <x v="0"/>
    <s v="24"/>
    <x v="0"/>
    <x v="2"/>
    <x v="7"/>
    <n v="24996034.109999999"/>
    <x v="0"/>
  </r>
  <r>
    <x v="0"/>
    <x v="0"/>
    <x v="3"/>
    <x v="0"/>
    <x v="0"/>
    <x v="0"/>
    <s v="24"/>
    <x v="0"/>
    <x v="2"/>
    <x v="2"/>
    <n v="7795120.2199999997"/>
    <x v="0"/>
  </r>
  <r>
    <x v="0"/>
    <x v="0"/>
    <x v="3"/>
    <x v="0"/>
    <x v="0"/>
    <x v="0"/>
    <s v="30"/>
    <x v="0"/>
    <x v="1"/>
    <x v="7"/>
    <n v="115.75"/>
    <x v="0"/>
  </r>
  <r>
    <x v="0"/>
    <x v="0"/>
    <x v="3"/>
    <x v="0"/>
    <x v="0"/>
    <x v="0"/>
    <s v="30"/>
    <x v="0"/>
    <x v="2"/>
    <x v="7"/>
    <n v="-214"/>
    <x v="0"/>
  </r>
  <r>
    <x v="0"/>
    <x v="0"/>
    <x v="3"/>
    <x v="0"/>
    <x v="0"/>
    <x v="0"/>
    <s v="40"/>
    <x v="0"/>
    <x v="2"/>
    <x v="0"/>
    <n v="-57587.98"/>
    <x v="0"/>
  </r>
  <r>
    <x v="0"/>
    <x v="0"/>
    <x v="3"/>
    <x v="0"/>
    <x v="0"/>
    <x v="0"/>
    <s v="99"/>
    <x v="0"/>
    <x v="1"/>
    <x v="3"/>
    <n v="1826.28"/>
    <x v="0"/>
  </r>
  <r>
    <x v="0"/>
    <x v="0"/>
    <x v="3"/>
    <x v="0"/>
    <x v="0"/>
    <x v="0"/>
    <s v="99"/>
    <x v="0"/>
    <x v="1"/>
    <x v="4"/>
    <n v="-2951.36"/>
    <x v="0"/>
  </r>
  <r>
    <x v="0"/>
    <x v="0"/>
    <x v="3"/>
    <x v="0"/>
    <x v="0"/>
    <x v="0"/>
    <s v="99"/>
    <x v="0"/>
    <x v="1"/>
    <x v="6"/>
    <n v="37.35"/>
    <x v="0"/>
  </r>
  <r>
    <x v="0"/>
    <x v="0"/>
    <x v="3"/>
    <x v="0"/>
    <x v="0"/>
    <x v="0"/>
    <s v="99"/>
    <x v="0"/>
    <x v="1"/>
    <x v="8"/>
    <n v="1242.8900000000001"/>
    <x v="0"/>
  </r>
  <r>
    <x v="0"/>
    <x v="0"/>
    <x v="3"/>
    <x v="0"/>
    <x v="0"/>
    <x v="0"/>
    <s v="99"/>
    <x v="0"/>
    <x v="1"/>
    <x v="0"/>
    <n v="-29891.22"/>
    <x v="0"/>
  </r>
  <r>
    <x v="0"/>
    <x v="0"/>
    <x v="3"/>
    <x v="0"/>
    <x v="0"/>
    <x v="0"/>
    <s v="99"/>
    <x v="0"/>
    <x v="2"/>
    <x v="3"/>
    <n v="66.760000000000005"/>
    <x v="0"/>
  </r>
  <r>
    <x v="0"/>
    <x v="0"/>
    <x v="3"/>
    <x v="0"/>
    <x v="0"/>
    <x v="0"/>
    <s v="99"/>
    <x v="0"/>
    <x v="2"/>
    <x v="4"/>
    <n v="2205.1799999999998"/>
    <x v="0"/>
  </r>
  <r>
    <x v="0"/>
    <x v="0"/>
    <x v="3"/>
    <x v="0"/>
    <x v="0"/>
    <x v="0"/>
    <s v="99"/>
    <x v="0"/>
    <x v="2"/>
    <x v="6"/>
    <n v="-2158.2600000000002"/>
    <x v="0"/>
  </r>
  <r>
    <x v="0"/>
    <x v="0"/>
    <x v="3"/>
    <x v="0"/>
    <x v="0"/>
    <x v="0"/>
    <s v="99"/>
    <x v="0"/>
    <x v="2"/>
    <x v="8"/>
    <n v="-490.41"/>
    <x v="0"/>
  </r>
  <r>
    <x v="0"/>
    <x v="0"/>
    <x v="3"/>
    <x v="0"/>
    <x v="0"/>
    <x v="0"/>
    <s v="99"/>
    <x v="0"/>
    <x v="2"/>
    <x v="0"/>
    <n v="-25519.19"/>
    <x v="0"/>
  </r>
  <r>
    <x v="0"/>
    <x v="0"/>
    <x v="3"/>
    <x v="0"/>
    <x v="0"/>
    <x v="3"/>
    <s v="41"/>
    <x v="0"/>
    <x v="1"/>
    <x v="1"/>
    <n v="6900"/>
    <x v="1"/>
  </r>
  <r>
    <x v="0"/>
    <x v="0"/>
    <x v="3"/>
    <x v="0"/>
    <x v="0"/>
    <x v="3"/>
    <s v="41"/>
    <x v="0"/>
    <x v="1"/>
    <x v="10"/>
    <n v="450"/>
    <x v="1"/>
  </r>
  <r>
    <x v="0"/>
    <x v="0"/>
    <x v="3"/>
    <x v="0"/>
    <x v="0"/>
    <x v="3"/>
    <s v="41"/>
    <x v="0"/>
    <x v="2"/>
    <x v="1"/>
    <n v="-3000"/>
    <x v="1"/>
  </r>
  <r>
    <x v="0"/>
    <x v="0"/>
    <x v="3"/>
    <x v="0"/>
    <x v="0"/>
    <x v="3"/>
    <s v="41"/>
    <x v="0"/>
    <x v="2"/>
    <x v="9"/>
    <n v="-638"/>
    <x v="1"/>
  </r>
  <r>
    <x v="0"/>
    <x v="0"/>
    <x v="3"/>
    <x v="0"/>
    <x v="0"/>
    <x v="3"/>
    <s v="41"/>
    <x v="0"/>
    <x v="2"/>
    <x v="10"/>
    <n v="117.18"/>
    <x v="1"/>
  </r>
  <r>
    <x v="0"/>
    <x v="0"/>
    <x v="3"/>
    <x v="0"/>
    <x v="0"/>
    <x v="1"/>
    <s v="21"/>
    <x v="0"/>
    <x v="1"/>
    <x v="11"/>
    <n v="-1500"/>
    <x v="0"/>
  </r>
  <r>
    <x v="0"/>
    <x v="0"/>
    <x v="3"/>
    <x v="0"/>
    <x v="0"/>
    <x v="1"/>
    <s v="21"/>
    <x v="0"/>
    <x v="2"/>
    <x v="6"/>
    <n v="175970"/>
    <x v="0"/>
  </r>
  <r>
    <x v="0"/>
    <x v="0"/>
    <x v="3"/>
    <x v="0"/>
    <x v="0"/>
    <x v="1"/>
    <s v="22"/>
    <x v="0"/>
    <x v="1"/>
    <x v="2"/>
    <n v="-1926363"/>
    <x v="0"/>
  </r>
  <r>
    <x v="0"/>
    <x v="0"/>
    <x v="3"/>
    <x v="0"/>
    <x v="0"/>
    <x v="1"/>
    <s v="22"/>
    <x v="0"/>
    <x v="2"/>
    <x v="10"/>
    <n v="-3500000"/>
    <x v="0"/>
  </r>
  <r>
    <x v="0"/>
    <x v="0"/>
    <x v="3"/>
    <x v="0"/>
    <x v="0"/>
    <x v="2"/>
    <s v="52"/>
    <x v="0"/>
    <x v="1"/>
    <x v="8"/>
    <n v="-41377.15"/>
    <x v="0"/>
  </r>
  <r>
    <x v="0"/>
    <x v="0"/>
    <x v="3"/>
    <x v="0"/>
    <x v="0"/>
    <x v="0"/>
    <s v="01"/>
    <x v="0"/>
    <x v="1"/>
    <x v="1"/>
    <n v="54005.84"/>
    <x v="0"/>
  </r>
  <r>
    <x v="0"/>
    <x v="0"/>
    <x v="3"/>
    <x v="0"/>
    <x v="0"/>
    <x v="0"/>
    <s v="01"/>
    <x v="0"/>
    <x v="1"/>
    <x v="9"/>
    <n v="67368.39"/>
    <x v="0"/>
  </r>
  <r>
    <x v="0"/>
    <x v="0"/>
    <x v="3"/>
    <x v="0"/>
    <x v="0"/>
    <x v="0"/>
    <s v="01"/>
    <x v="0"/>
    <x v="1"/>
    <x v="10"/>
    <n v="89354.5"/>
    <x v="0"/>
  </r>
  <r>
    <x v="0"/>
    <x v="0"/>
    <x v="3"/>
    <x v="0"/>
    <x v="0"/>
    <x v="0"/>
    <s v="01"/>
    <x v="0"/>
    <x v="2"/>
    <x v="9"/>
    <n v="15293.51"/>
    <x v="0"/>
  </r>
  <r>
    <x v="0"/>
    <x v="0"/>
    <x v="3"/>
    <x v="0"/>
    <x v="0"/>
    <x v="0"/>
    <s v="01"/>
    <x v="0"/>
    <x v="2"/>
    <x v="10"/>
    <n v="184709.36"/>
    <x v="0"/>
  </r>
  <r>
    <x v="0"/>
    <x v="0"/>
    <x v="3"/>
    <x v="0"/>
    <x v="0"/>
    <x v="0"/>
    <s v="02"/>
    <x v="0"/>
    <x v="2"/>
    <x v="8"/>
    <n v="228"/>
    <x v="0"/>
  </r>
  <r>
    <x v="0"/>
    <x v="0"/>
    <x v="3"/>
    <x v="0"/>
    <x v="0"/>
    <x v="0"/>
    <s v="09"/>
    <x v="0"/>
    <x v="1"/>
    <x v="3"/>
    <n v="1660.84"/>
    <x v="0"/>
  </r>
  <r>
    <x v="0"/>
    <x v="0"/>
    <x v="3"/>
    <x v="0"/>
    <x v="0"/>
    <x v="0"/>
    <s v="09"/>
    <x v="0"/>
    <x v="1"/>
    <x v="4"/>
    <n v="6100.69"/>
    <x v="0"/>
  </r>
  <r>
    <x v="0"/>
    <x v="0"/>
    <x v="3"/>
    <x v="0"/>
    <x v="0"/>
    <x v="0"/>
    <s v="09"/>
    <x v="0"/>
    <x v="1"/>
    <x v="6"/>
    <n v="5764.53"/>
    <x v="0"/>
  </r>
  <r>
    <x v="0"/>
    <x v="0"/>
    <x v="3"/>
    <x v="0"/>
    <x v="0"/>
    <x v="0"/>
    <s v="09"/>
    <x v="0"/>
    <x v="1"/>
    <x v="8"/>
    <n v="5787.82"/>
    <x v="0"/>
  </r>
  <r>
    <x v="0"/>
    <x v="0"/>
    <x v="3"/>
    <x v="0"/>
    <x v="0"/>
    <x v="0"/>
    <s v="09"/>
    <x v="0"/>
    <x v="1"/>
    <x v="0"/>
    <n v="257.48"/>
    <x v="0"/>
  </r>
  <r>
    <x v="0"/>
    <x v="0"/>
    <x v="3"/>
    <x v="0"/>
    <x v="0"/>
    <x v="0"/>
    <s v="09"/>
    <x v="0"/>
    <x v="2"/>
    <x v="3"/>
    <n v="2107.81"/>
    <x v="0"/>
  </r>
  <r>
    <x v="0"/>
    <x v="0"/>
    <x v="3"/>
    <x v="0"/>
    <x v="0"/>
    <x v="0"/>
    <s v="09"/>
    <x v="0"/>
    <x v="2"/>
    <x v="4"/>
    <n v="7930.54"/>
    <x v="0"/>
  </r>
  <r>
    <x v="0"/>
    <x v="0"/>
    <x v="3"/>
    <x v="0"/>
    <x v="0"/>
    <x v="0"/>
    <s v="09"/>
    <x v="0"/>
    <x v="2"/>
    <x v="6"/>
    <n v="8347.51"/>
    <x v="0"/>
  </r>
  <r>
    <x v="0"/>
    <x v="0"/>
    <x v="3"/>
    <x v="0"/>
    <x v="0"/>
    <x v="0"/>
    <s v="09"/>
    <x v="0"/>
    <x v="2"/>
    <x v="11"/>
    <n v="8160.5"/>
    <x v="0"/>
  </r>
  <r>
    <x v="0"/>
    <x v="0"/>
    <x v="3"/>
    <x v="0"/>
    <x v="0"/>
    <x v="0"/>
    <s v="09"/>
    <x v="0"/>
    <x v="2"/>
    <x v="8"/>
    <n v="1588.04"/>
    <x v="0"/>
  </r>
  <r>
    <x v="0"/>
    <x v="0"/>
    <x v="3"/>
    <x v="0"/>
    <x v="0"/>
    <x v="0"/>
    <s v="09"/>
    <x v="0"/>
    <x v="2"/>
    <x v="0"/>
    <n v="151.49"/>
    <x v="0"/>
  </r>
  <r>
    <x v="0"/>
    <x v="0"/>
    <x v="3"/>
    <x v="0"/>
    <x v="0"/>
    <x v="0"/>
    <s v="24"/>
    <x v="0"/>
    <x v="1"/>
    <x v="3"/>
    <n v="36074039.130000003"/>
    <x v="0"/>
  </r>
  <r>
    <x v="0"/>
    <x v="0"/>
    <x v="3"/>
    <x v="0"/>
    <x v="0"/>
    <x v="0"/>
    <s v="24"/>
    <x v="0"/>
    <x v="1"/>
    <x v="6"/>
    <n v="20469738.93"/>
    <x v="0"/>
  </r>
  <r>
    <x v="0"/>
    <x v="0"/>
    <x v="3"/>
    <x v="0"/>
    <x v="0"/>
    <x v="0"/>
    <s v="24"/>
    <x v="0"/>
    <x v="1"/>
    <x v="11"/>
    <n v="15753284.27"/>
    <x v="0"/>
  </r>
  <r>
    <x v="0"/>
    <x v="0"/>
    <x v="3"/>
    <x v="0"/>
    <x v="0"/>
    <x v="0"/>
    <s v="24"/>
    <x v="0"/>
    <x v="1"/>
    <x v="8"/>
    <n v="12868682.560000001"/>
    <x v="0"/>
  </r>
  <r>
    <x v="0"/>
    <x v="0"/>
    <x v="3"/>
    <x v="0"/>
    <x v="0"/>
    <x v="0"/>
    <s v="24"/>
    <x v="0"/>
    <x v="2"/>
    <x v="11"/>
    <n v="3483594.13"/>
    <x v="0"/>
  </r>
  <r>
    <x v="0"/>
    <x v="0"/>
    <x v="3"/>
    <x v="0"/>
    <x v="0"/>
    <x v="0"/>
    <s v="24"/>
    <x v="0"/>
    <x v="2"/>
    <x v="8"/>
    <n v="12982930.73"/>
    <x v="0"/>
  </r>
  <r>
    <x v="0"/>
    <x v="0"/>
    <x v="3"/>
    <x v="0"/>
    <x v="0"/>
    <x v="0"/>
    <s v="24"/>
    <x v="0"/>
    <x v="2"/>
    <x v="0"/>
    <n v="60861252.469999999"/>
    <x v="0"/>
  </r>
  <r>
    <x v="0"/>
    <x v="0"/>
    <x v="3"/>
    <x v="0"/>
    <x v="0"/>
    <x v="0"/>
    <s v="30"/>
    <x v="0"/>
    <x v="1"/>
    <x v="11"/>
    <n v="-115.75"/>
    <x v="0"/>
  </r>
  <r>
    <x v="0"/>
    <x v="0"/>
    <x v="3"/>
    <x v="0"/>
    <x v="0"/>
    <x v="0"/>
    <s v="30"/>
    <x v="0"/>
    <x v="2"/>
    <x v="11"/>
    <n v="-264.8"/>
    <x v="0"/>
  </r>
  <r>
    <x v="0"/>
    <x v="0"/>
    <x v="3"/>
    <x v="0"/>
    <x v="0"/>
    <x v="0"/>
    <s v="30"/>
    <x v="0"/>
    <x v="2"/>
    <x v="2"/>
    <n v="-7.5"/>
    <x v="0"/>
  </r>
  <r>
    <x v="0"/>
    <x v="0"/>
    <x v="3"/>
    <x v="0"/>
    <x v="0"/>
    <x v="0"/>
    <s v="41"/>
    <x v="0"/>
    <x v="1"/>
    <x v="0"/>
    <n v="-409712"/>
    <x v="0"/>
  </r>
  <r>
    <x v="0"/>
    <x v="0"/>
    <x v="3"/>
    <x v="0"/>
    <x v="0"/>
    <x v="0"/>
    <s v="41"/>
    <x v="0"/>
    <x v="2"/>
    <x v="5"/>
    <n v="101586.78"/>
    <x v="0"/>
  </r>
  <r>
    <x v="0"/>
    <x v="0"/>
    <x v="3"/>
    <x v="0"/>
    <x v="0"/>
    <x v="0"/>
    <s v="41"/>
    <x v="0"/>
    <x v="2"/>
    <x v="7"/>
    <n v="105897.06"/>
    <x v="0"/>
  </r>
  <r>
    <x v="0"/>
    <x v="0"/>
    <x v="3"/>
    <x v="0"/>
    <x v="0"/>
    <x v="0"/>
    <s v="99"/>
    <x v="0"/>
    <x v="1"/>
    <x v="9"/>
    <n v="19872.650000000001"/>
    <x v="0"/>
  </r>
  <r>
    <x v="0"/>
    <x v="0"/>
    <x v="3"/>
    <x v="0"/>
    <x v="0"/>
    <x v="0"/>
    <s v="99"/>
    <x v="0"/>
    <x v="1"/>
    <x v="10"/>
    <n v="-315"/>
    <x v="0"/>
  </r>
  <r>
    <x v="0"/>
    <x v="0"/>
    <x v="3"/>
    <x v="0"/>
    <x v="0"/>
    <x v="0"/>
    <s v="99"/>
    <x v="0"/>
    <x v="2"/>
    <x v="1"/>
    <n v="666.49"/>
    <x v="0"/>
  </r>
  <r>
    <x v="0"/>
    <x v="0"/>
    <x v="3"/>
    <x v="0"/>
    <x v="0"/>
    <x v="0"/>
    <s v="99"/>
    <x v="0"/>
    <x v="2"/>
    <x v="9"/>
    <n v="2792.48"/>
    <x v="0"/>
  </r>
  <r>
    <x v="0"/>
    <x v="0"/>
    <x v="3"/>
    <x v="0"/>
    <x v="0"/>
    <x v="0"/>
    <s v="99"/>
    <x v="0"/>
    <x v="2"/>
    <x v="10"/>
    <n v="19762.5"/>
    <x v="0"/>
  </r>
  <r>
    <x v="0"/>
    <x v="0"/>
    <x v="3"/>
    <x v="0"/>
    <x v="0"/>
    <x v="3"/>
    <s v="41"/>
    <x v="0"/>
    <x v="1"/>
    <x v="5"/>
    <n v="-7000"/>
    <x v="1"/>
  </r>
  <r>
    <x v="0"/>
    <x v="0"/>
    <x v="3"/>
    <x v="0"/>
    <x v="0"/>
    <x v="3"/>
    <s v="41"/>
    <x v="0"/>
    <x v="1"/>
    <x v="2"/>
    <n v="-25"/>
    <x v="1"/>
  </r>
  <r>
    <x v="0"/>
    <x v="0"/>
    <x v="3"/>
    <x v="0"/>
    <x v="0"/>
    <x v="3"/>
    <s v="41"/>
    <x v="0"/>
    <x v="2"/>
    <x v="7"/>
    <n v="-200"/>
    <x v="1"/>
  </r>
  <r>
    <x v="0"/>
    <x v="0"/>
    <x v="3"/>
    <x v="0"/>
    <x v="0"/>
    <x v="3"/>
    <s v="41"/>
    <x v="0"/>
    <x v="2"/>
    <x v="2"/>
    <n v="3765.64"/>
    <x v="1"/>
  </r>
  <r>
    <x v="0"/>
    <x v="0"/>
    <x v="3"/>
    <x v="0"/>
    <x v="0"/>
    <x v="1"/>
    <s v="22"/>
    <x v="0"/>
    <x v="1"/>
    <x v="0"/>
    <n v="1926363"/>
    <x v="0"/>
  </r>
  <r>
    <x v="0"/>
    <x v="0"/>
    <x v="3"/>
    <x v="0"/>
    <x v="0"/>
    <x v="0"/>
    <s v="01"/>
    <x v="0"/>
    <x v="1"/>
    <x v="5"/>
    <n v="55324.41"/>
    <x v="0"/>
  </r>
  <r>
    <x v="0"/>
    <x v="0"/>
    <x v="3"/>
    <x v="0"/>
    <x v="0"/>
    <x v="0"/>
    <s v="01"/>
    <x v="0"/>
    <x v="1"/>
    <x v="7"/>
    <n v="-50983.27"/>
    <x v="0"/>
  </r>
  <r>
    <x v="0"/>
    <x v="0"/>
    <x v="3"/>
    <x v="0"/>
    <x v="0"/>
    <x v="0"/>
    <s v="01"/>
    <x v="0"/>
    <x v="2"/>
    <x v="1"/>
    <n v="51539.91"/>
    <x v="0"/>
  </r>
  <r>
    <x v="0"/>
    <x v="0"/>
    <x v="3"/>
    <x v="0"/>
    <x v="0"/>
    <x v="0"/>
    <s v="01"/>
    <x v="0"/>
    <x v="2"/>
    <x v="7"/>
    <n v="70516.52"/>
    <x v="0"/>
  </r>
  <r>
    <x v="0"/>
    <x v="0"/>
    <x v="3"/>
    <x v="0"/>
    <x v="0"/>
    <x v="0"/>
    <s v="09"/>
    <x v="0"/>
    <x v="1"/>
    <x v="1"/>
    <n v="1661.87"/>
    <x v="0"/>
  </r>
  <r>
    <x v="0"/>
    <x v="0"/>
    <x v="3"/>
    <x v="0"/>
    <x v="0"/>
    <x v="0"/>
    <s v="09"/>
    <x v="0"/>
    <x v="1"/>
    <x v="9"/>
    <n v="487.4"/>
    <x v="0"/>
  </r>
  <r>
    <x v="0"/>
    <x v="0"/>
    <x v="3"/>
    <x v="0"/>
    <x v="0"/>
    <x v="0"/>
    <s v="09"/>
    <x v="0"/>
    <x v="1"/>
    <x v="10"/>
    <n v="936.9"/>
    <x v="0"/>
  </r>
  <r>
    <x v="0"/>
    <x v="0"/>
    <x v="3"/>
    <x v="0"/>
    <x v="0"/>
    <x v="0"/>
    <s v="09"/>
    <x v="0"/>
    <x v="2"/>
    <x v="1"/>
    <n v="461.09"/>
    <x v="0"/>
  </r>
  <r>
    <x v="0"/>
    <x v="0"/>
    <x v="3"/>
    <x v="0"/>
    <x v="0"/>
    <x v="0"/>
    <s v="09"/>
    <x v="0"/>
    <x v="2"/>
    <x v="9"/>
    <n v="1148.3499999999999"/>
    <x v="0"/>
  </r>
  <r>
    <x v="0"/>
    <x v="0"/>
    <x v="3"/>
    <x v="0"/>
    <x v="0"/>
    <x v="0"/>
    <s v="09"/>
    <x v="0"/>
    <x v="2"/>
    <x v="10"/>
    <n v="8785.35"/>
    <x v="0"/>
  </r>
  <r>
    <x v="0"/>
    <x v="0"/>
    <x v="3"/>
    <x v="0"/>
    <x v="0"/>
    <x v="0"/>
    <s v="20"/>
    <x v="0"/>
    <x v="1"/>
    <x v="2"/>
    <n v="935.9"/>
    <x v="0"/>
  </r>
  <r>
    <x v="0"/>
    <x v="0"/>
    <x v="3"/>
    <x v="0"/>
    <x v="0"/>
    <x v="0"/>
    <s v="24"/>
    <x v="0"/>
    <x v="1"/>
    <x v="4"/>
    <n v="37487370.390000001"/>
    <x v="0"/>
  </r>
  <r>
    <x v="0"/>
    <x v="0"/>
    <x v="3"/>
    <x v="0"/>
    <x v="0"/>
    <x v="0"/>
    <s v="24"/>
    <x v="0"/>
    <x v="1"/>
    <x v="10"/>
    <n v="57155810.840000004"/>
    <x v="0"/>
  </r>
  <r>
    <x v="0"/>
    <x v="0"/>
    <x v="3"/>
    <x v="0"/>
    <x v="0"/>
    <x v="0"/>
    <s v="24"/>
    <x v="0"/>
    <x v="2"/>
    <x v="3"/>
    <n v="28683870.809999999"/>
    <x v="0"/>
  </r>
  <r>
    <x v="0"/>
    <x v="0"/>
    <x v="3"/>
    <x v="0"/>
    <x v="0"/>
    <x v="0"/>
    <s v="24"/>
    <x v="0"/>
    <x v="2"/>
    <x v="4"/>
    <n v="36388363.390000001"/>
    <x v="0"/>
  </r>
  <r>
    <x v="0"/>
    <x v="0"/>
    <x v="3"/>
    <x v="0"/>
    <x v="0"/>
    <x v="0"/>
    <s v="24"/>
    <x v="0"/>
    <x v="2"/>
    <x v="6"/>
    <n v="20574555.359999999"/>
    <x v="0"/>
  </r>
  <r>
    <x v="0"/>
    <x v="0"/>
    <x v="3"/>
    <x v="0"/>
    <x v="0"/>
    <x v="0"/>
    <s v="30"/>
    <x v="0"/>
    <x v="2"/>
    <x v="8"/>
    <n v="213.8"/>
    <x v="0"/>
  </r>
  <r>
    <x v="0"/>
    <x v="0"/>
    <x v="3"/>
    <x v="0"/>
    <x v="0"/>
    <x v="0"/>
    <s v="40"/>
    <x v="0"/>
    <x v="2"/>
    <x v="10"/>
    <n v="57587.98"/>
    <x v="0"/>
  </r>
  <r>
    <x v="0"/>
    <x v="0"/>
    <x v="3"/>
    <x v="0"/>
    <x v="0"/>
    <x v="0"/>
    <s v="41"/>
    <x v="0"/>
    <x v="1"/>
    <x v="6"/>
    <n v="88409.22"/>
    <x v="0"/>
  </r>
  <r>
    <x v="0"/>
    <x v="0"/>
    <x v="3"/>
    <x v="0"/>
    <x v="0"/>
    <x v="0"/>
    <s v="41"/>
    <x v="0"/>
    <x v="1"/>
    <x v="11"/>
    <n v="113025.69"/>
    <x v="0"/>
  </r>
  <r>
    <x v="0"/>
    <x v="0"/>
    <x v="3"/>
    <x v="0"/>
    <x v="0"/>
    <x v="0"/>
    <s v="41"/>
    <x v="0"/>
    <x v="1"/>
    <x v="8"/>
    <n v="109867.47"/>
    <x v="0"/>
  </r>
  <r>
    <x v="0"/>
    <x v="0"/>
    <x v="3"/>
    <x v="0"/>
    <x v="0"/>
    <x v="0"/>
    <s v="41"/>
    <x v="0"/>
    <x v="2"/>
    <x v="8"/>
    <n v="132368.17000000001"/>
    <x v="0"/>
  </r>
  <r>
    <x v="0"/>
    <x v="0"/>
    <x v="3"/>
    <x v="0"/>
    <x v="0"/>
    <x v="0"/>
    <s v="41"/>
    <x v="0"/>
    <x v="2"/>
    <x v="0"/>
    <n v="-438261.63"/>
    <x v="0"/>
  </r>
  <r>
    <x v="0"/>
    <x v="0"/>
    <x v="3"/>
    <x v="0"/>
    <x v="0"/>
    <x v="0"/>
    <s v="90"/>
    <x v="0"/>
    <x v="2"/>
    <x v="5"/>
    <n v="19"/>
    <x v="0"/>
  </r>
  <r>
    <x v="0"/>
    <x v="0"/>
    <x v="3"/>
    <x v="0"/>
    <x v="0"/>
    <x v="0"/>
    <s v="99"/>
    <x v="0"/>
    <x v="1"/>
    <x v="5"/>
    <n v="1419.88"/>
    <x v="0"/>
  </r>
  <r>
    <x v="0"/>
    <x v="0"/>
    <x v="3"/>
    <x v="0"/>
    <x v="0"/>
    <x v="0"/>
    <s v="99"/>
    <x v="0"/>
    <x v="1"/>
    <x v="7"/>
    <n v="-20184.5"/>
    <x v="0"/>
  </r>
  <r>
    <x v="0"/>
    <x v="0"/>
    <x v="3"/>
    <x v="0"/>
    <x v="0"/>
    <x v="3"/>
    <s v="41"/>
    <x v="0"/>
    <x v="1"/>
    <x v="11"/>
    <n v="128.55000000000001"/>
    <x v="1"/>
  </r>
  <r>
    <x v="0"/>
    <x v="0"/>
    <x v="3"/>
    <x v="0"/>
    <x v="0"/>
    <x v="3"/>
    <s v="41"/>
    <x v="0"/>
    <x v="1"/>
    <x v="8"/>
    <n v="-425"/>
    <x v="1"/>
  </r>
  <r>
    <x v="0"/>
    <x v="0"/>
    <x v="3"/>
    <x v="0"/>
    <x v="0"/>
    <x v="3"/>
    <s v="41"/>
    <x v="0"/>
    <x v="1"/>
    <x v="0"/>
    <n v="430.25"/>
    <x v="1"/>
  </r>
  <r>
    <x v="0"/>
    <x v="0"/>
    <x v="3"/>
    <x v="0"/>
    <x v="0"/>
    <x v="3"/>
    <s v="41"/>
    <x v="0"/>
    <x v="2"/>
    <x v="5"/>
    <n v="57.96"/>
    <x v="1"/>
  </r>
  <r>
    <x v="0"/>
    <x v="0"/>
    <x v="3"/>
    <x v="0"/>
    <x v="0"/>
    <x v="3"/>
    <s v="41"/>
    <x v="0"/>
    <x v="2"/>
    <x v="0"/>
    <n v="-3882.82"/>
    <x v="1"/>
  </r>
  <r>
    <x v="0"/>
    <x v="0"/>
    <x v="3"/>
    <x v="0"/>
    <x v="0"/>
    <x v="1"/>
    <s v="21"/>
    <x v="0"/>
    <x v="1"/>
    <x v="7"/>
    <n v="1500"/>
    <x v="0"/>
  </r>
  <r>
    <x v="0"/>
    <x v="0"/>
    <x v="3"/>
    <x v="0"/>
    <x v="0"/>
    <x v="1"/>
    <s v="21"/>
    <x v="0"/>
    <x v="1"/>
    <x v="2"/>
    <n v="1926363"/>
    <x v="0"/>
  </r>
  <r>
    <x v="0"/>
    <x v="0"/>
    <x v="3"/>
    <x v="0"/>
    <x v="0"/>
    <x v="1"/>
    <s v="21"/>
    <x v="0"/>
    <x v="2"/>
    <x v="1"/>
    <n v="564925.5"/>
    <x v="0"/>
  </r>
  <r>
    <x v="0"/>
    <x v="0"/>
    <x v="3"/>
    <x v="0"/>
    <x v="0"/>
    <x v="1"/>
    <s v="22"/>
    <x v="0"/>
    <x v="1"/>
    <x v="8"/>
    <n v="1715.09"/>
    <x v="0"/>
  </r>
  <r>
    <x v="0"/>
    <x v="0"/>
    <x v="3"/>
    <x v="0"/>
    <x v="0"/>
    <x v="1"/>
    <s v="22"/>
    <x v="0"/>
    <x v="2"/>
    <x v="8"/>
    <n v="3500000"/>
    <x v="0"/>
  </r>
  <r>
    <x v="0"/>
    <x v="0"/>
    <x v="3"/>
    <x v="0"/>
    <x v="0"/>
    <x v="1"/>
    <s v="22"/>
    <x v="0"/>
    <x v="2"/>
    <x v="0"/>
    <n v="175970"/>
    <x v="0"/>
  </r>
  <r>
    <x v="0"/>
    <x v="0"/>
    <x v="3"/>
    <x v="0"/>
    <x v="0"/>
    <x v="2"/>
    <s v="54"/>
    <x v="0"/>
    <x v="1"/>
    <x v="8"/>
    <n v="7805000"/>
    <x v="0"/>
  </r>
  <r>
    <x v="0"/>
    <x v="0"/>
    <x v="3"/>
    <x v="0"/>
    <x v="0"/>
    <x v="0"/>
    <s v="01"/>
    <x v="0"/>
    <x v="1"/>
    <x v="11"/>
    <n v="234597.24"/>
    <x v="0"/>
  </r>
  <r>
    <x v="0"/>
    <x v="0"/>
    <x v="3"/>
    <x v="0"/>
    <x v="0"/>
    <x v="0"/>
    <s v="01"/>
    <x v="0"/>
    <x v="1"/>
    <x v="2"/>
    <n v="92359.39"/>
    <x v="0"/>
  </r>
  <r>
    <x v="0"/>
    <x v="0"/>
    <x v="3"/>
    <x v="0"/>
    <x v="0"/>
    <x v="0"/>
    <s v="01"/>
    <x v="0"/>
    <x v="2"/>
    <x v="5"/>
    <n v="55691.32"/>
    <x v="0"/>
  </r>
  <r>
    <x v="0"/>
    <x v="0"/>
    <x v="3"/>
    <x v="0"/>
    <x v="0"/>
    <x v="0"/>
    <s v="01"/>
    <x v="0"/>
    <x v="2"/>
    <x v="2"/>
    <n v="-16238.9"/>
    <x v="0"/>
  </r>
  <r>
    <x v="0"/>
    <x v="0"/>
    <x v="3"/>
    <x v="0"/>
    <x v="0"/>
    <x v="0"/>
    <s v="02"/>
    <x v="0"/>
    <x v="2"/>
    <x v="2"/>
    <n v="-228"/>
    <x v="0"/>
  </r>
  <r>
    <x v="0"/>
    <x v="0"/>
    <x v="3"/>
    <x v="0"/>
    <x v="0"/>
    <x v="0"/>
    <s v="09"/>
    <x v="0"/>
    <x v="1"/>
    <x v="5"/>
    <n v="409.5"/>
    <x v="0"/>
  </r>
  <r>
    <x v="0"/>
    <x v="0"/>
    <x v="3"/>
    <x v="0"/>
    <x v="0"/>
    <x v="0"/>
    <s v="09"/>
    <x v="0"/>
    <x v="1"/>
    <x v="7"/>
    <n v="1100.3800000000001"/>
    <x v="0"/>
  </r>
  <r>
    <x v="0"/>
    <x v="0"/>
    <x v="3"/>
    <x v="0"/>
    <x v="0"/>
    <x v="0"/>
    <s v="09"/>
    <x v="0"/>
    <x v="2"/>
    <x v="7"/>
    <n v="107.87"/>
    <x v="0"/>
  </r>
  <r>
    <x v="0"/>
    <x v="0"/>
    <x v="3"/>
    <x v="0"/>
    <x v="0"/>
    <x v="0"/>
    <s v="20"/>
    <x v="0"/>
    <x v="1"/>
    <x v="5"/>
    <n v="-672"/>
    <x v="0"/>
  </r>
  <r>
    <x v="0"/>
    <x v="0"/>
    <x v="3"/>
    <x v="0"/>
    <x v="0"/>
    <x v="0"/>
    <s v="20"/>
    <x v="0"/>
    <x v="1"/>
    <x v="8"/>
    <n v="-935.9"/>
    <x v="0"/>
  </r>
  <r>
    <x v="0"/>
    <x v="0"/>
    <x v="3"/>
    <x v="0"/>
    <x v="0"/>
    <x v="0"/>
    <s v="24"/>
    <x v="0"/>
    <x v="1"/>
    <x v="1"/>
    <n v="41953185.619999997"/>
    <x v="0"/>
  </r>
  <r>
    <x v="0"/>
    <x v="0"/>
    <x v="3"/>
    <x v="0"/>
    <x v="0"/>
    <x v="0"/>
    <s v="24"/>
    <x v="0"/>
    <x v="1"/>
    <x v="9"/>
    <n v="50521441.719999999"/>
    <x v="0"/>
  </r>
  <r>
    <x v="0"/>
    <x v="0"/>
    <x v="3"/>
    <x v="0"/>
    <x v="0"/>
    <x v="0"/>
    <s v="24"/>
    <x v="0"/>
    <x v="1"/>
    <x v="2"/>
    <n v="6164792.0999999996"/>
    <x v="0"/>
  </r>
  <r>
    <x v="0"/>
    <x v="0"/>
    <x v="3"/>
    <x v="0"/>
    <x v="0"/>
    <x v="0"/>
    <s v="24"/>
    <x v="0"/>
    <x v="2"/>
    <x v="1"/>
    <n v="38811509.369999997"/>
    <x v="0"/>
  </r>
  <r>
    <x v="0"/>
    <x v="0"/>
    <x v="3"/>
    <x v="0"/>
    <x v="0"/>
    <x v="0"/>
    <s v="24"/>
    <x v="0"/>
    <x v="2"/>
    <x v="9"/>
    <n v="44724051.659999996"/>
    <x v="0"/>
  </r>
  <r>
    <x v="0"/>
    <x v="0"/>
    <x v="3"/>
    <x v="0"/>
    <x v="0"/>
    <x v="0"/>
    <s v="24"/>
    <x v="0"/>
    <x v="2"/>
    <x v="10"/>
    <n v="56068253.240000002"/>
    <x v="0"/>
  </r>
  <r>
    <x v="0"/>
    <x v="0"/>
    <x v="3"/>
    <x v="0"/>
    <x v="0"/>
    <x v="0"/>
    <s v="30"/>
    <x v="0"/>
    <x v="2"/>
    <x v="10"/>
    <n v="272.5"/>
    <x v="0"/>
  </r>
  <r>
    <x v="0"/>
    <x v="0"/>
    <x v="3"/>
    <x v="0"/>
    <x v="0"/>
    <x v="0"/>
    <s v="41"/>
    <x v="0"/>
    <x v="2"/>
    <x v="4"/>
    <n v="98409.62"/>
    <x v="0"/>
  </r>
  <r>
    <x v="0"/>
    <x v="0"/>
    <x v="3"/>
    <x v="0"/>
    <x v="0"/>
    <x v="0"/>
    <s v="90"/>
    <x v="0"/>
    <x v="2"/>
    <x v="0"/>
    <n v="-19"/>
    <x v="0"/>
  </r>
  <r>
    <x v="0"/>
    <x v="0"/>
    <x v="3"/>
    <x v="0"/>
    <x v="0"/>
    <x v="0"/>
    <s v="99"/>
    <x v="0"/>
    <x v="1"/>
    <x v="11"/>
    <n v="315"/>
    <x v="0"/>
  </r>
  <r>
    <x v="0"/>
    <x v="0"/>
    <x v="3"/>
    <x v="0"/>
    <x v="0"/>
    <x v="0"/>
    <s v="99"/>
    <x v="0"/>
    <x v="1"/>
    <x v="2"/>
    <n v="-2132.5700000000002"/>
    <x v="0"/>
  </r>
  <r>
    <x v="0"/>
    <x v="0"/>
    <x v="3"/>
    <x v="0"/>
    <x v="0"/>
    <x v="0"/>
    <s v="99"/>
    <x v="0"/>
    <x v="2"/>
    <x v="5"/>
    <n v="-669.87"/>
    <x v="0"/>
  </r>
  <r>
    <x v="0"/>
    <x v="0"/>
    <x v="3"/>
    <x v="0"/>
    <x v="0"/>
    <x v="0"/>
    <s v="99"/>
    <x v="0"/>
    <x v="2"/>
    <x v="2"/>
    <n v="-14"/>
    <x v="0"/>
  </r>
  <r>
    <x v="0"/>
    <x v="0"/>
    <x v="3"/>
    <x v="0"/>
    <x v="0"/>
    <x v="3"/>
    <s v="41"/>
    <x v="0"/>
    <x v="1"/>
    <x v="4"/>
    <n v="100"/>
    <x v="1"/>
  </r>
  <r>
    <x v="0"/>
    <x v="0"/>
    <x v="3"/>
    <x v="0"/>
    <x v="0"/>
    <x v="3"/>
    <s v="41"/>
    <x v="0"/>
    <x v="2"/>
    <x v="3"/>
    <n v="456.92"/>
    <x v="1"/>
  </r>
  <r>
    <x v="0"/>
    <x v="0"/>
    <x v="3"/>
    <x v="0"/>
    <x v="0"/>
    <x v="3"/>
    <s v="41"/>
    <x v="0"/>
    <x v="2"/>
    <x v="4"/>
    <n v="3000"/>
    <x v="1"/>
  </r>
  <r>
    <x v="0"/>
    <x v="0"/>
    <x v="3"/>
    <x v="0"/>
    <x v="0"/>
    <x v="3"/>
    <s v="41"/>
    <x v="0"/>
    <x v="2"/>
    <x v="6"/>
    <n v="451.67"/>
    <x v="1"/>
  </r>
  <r>
    <x v="0"/>
    <x v="0"/>
    <x v="3"/>
    <x v="0"/>
    <x v="0"/>
    <x v="1"/>
    <s v="21"/>
    <x v="0"/>
    <x v="1"/>
    <x v="0"/>
    <n v="-1926363"/>
    <x v="0"/>
  </r>
  <r>
    <x v="0"/>
    <x v="0"/>
    <x v="3"/>
    <x v="0"/>
    <x v="0"/>
    <x v="1"/>
    <s v="21"/>
    <x v="0"/>
    <x v="2"/>
    <x v="5"/>
    <n v="-564925.5"/>
    <x v="0"/>
  </r>
  <r>
    <x v="0"/>
    <x v="0"/>
    <x v="3"/>
    <x v="0"/>
    <x v="0"/>
    <x v="1"/>
    <s v="21"/>
    <x v="0"/>
    <x v="2"/>
    <x v="0"/>
    <n v="-175970"/>
    <x v="0"/>
  </r>
  <r>
    <x v="0"/>
    <x v="0"/>
    <x v="3"/>
    <x v="0"/>
    <x v="0"/>
    <x v="1"/>
    <s v="22"/>
    <x v="0"/>
    <x v="1"/>
    <x v="10"/>
    <n v="-1715.09"/>
    <x v="0"/>
  </r>
  <r>
    <x v="0"/>
    <x v="0"/>
    <x v="3"/>
    <x v="0"/>
    <x v="0"/>
    <x v="1"/>
    <s v="22"/>
    <x v="0"/>
    <x v="2"/>
    <x v="6"/>
    <n v="-1375970"/>
    <x v="0"/>
  </r>
  <r>
    <x v="0"/>
    <x v="0"/>
    <x v="3"/>
    <x v="0"/>
    <x v="0"/>
    <x v="2"/>
    <s v="50"/>
    <x v="0"/>
    <x v="1"/>
    <x v="8"/>
    <n v="-10067250"/>
    <x v="0"/>
  </r>
  <r>
    <x v="0"/>
    <x v="0"/>
    <x v="3"/>
    <x v="0"/>
    <x v="0"/>
    <x v="2"/>
    <s v="53"/>
    <x v="0"/>
    <x v="1"/>
    <x v="8"/>
    <n v="1371500.6"/>
    <x v="0"/>
  </r>
  <r>
    <x v="0"/>
    <x v="0"/>
    <x v="1"/>
    <x v="0"/>
    <x v="0"/>
    <x v="0"/>
    <s v="09"/>
    <x v="0"/>
    <x v="3"/>
    <x v="5"/>
    <n v="142433.88"/>
    <x v="0"/>
  </r>
  <r>
    <x v="0"/>
    <x v="0"/>
    <x v="1"/>
    <x v="0"/>
    <x v="0"/>
    <x v="0"/>
    <s v="09"/>
    <x v="0"/>
    <x v="3"/>
    <x v="2"/>
    <n v="232299.69"/>
    <x v="0"/>
  </r>
  <r>
    <x v="0"/>
    <x v="0"/>
    <x v="1"/>
    <x v="0"/>
    <x v="0"/>
    <x v="0"/>
    <s v="09"/>
    <x v="0"/>
    <x v="4"/>
    <x v="2"/>
    <n v="411440.13"/>
    <x v="0"/>
  </r>
  <r>
    <x v="0"/>
    <x v="0"/>
    <x v="1"/>
    <x v="0"/>
    <x v="0"/>
    <x v="0"/>
    <s v="13"/>
    <x v="0"/>
    <x v="3"/>
    <x v="10"/>
    <n v="516.48"/>
    <x v="0"/>
  </r>
  <r>
    <x v="0"/>
    <x v="0"/>
    <x v="1"/>
    <x v="0"/>
    <x v="0"/>
    <x v="0"/>
    <s v="13"/>
    <x v="0"/>
    <x v="4"/>
    <x v="10"/>
    <n v="528.07000000000005"/>
    <x v="0"/>
  </r>
  <r>
    <x v="0"/>
    <x v="0"/>
    <x v="1"/>
    <x v="0"/>
    <x v="0"/>
    <x v="0"/>
    <s v="16"/>
    <x v="0"/>
    <x v="3"/>
    <x v="5"/>
    <n v="19839.849999999999"/>
    <x v="0"/>
  </r>
  <r>
    <x v="0"/>
    <x v="0"/>
    <x v="1"/>
    <x v="0"/>
    <x v="0"/>
    <x v="0"/>
    <s v="20"/>
    <x v="0"/>
    <x v="3"/>
    <x v="6"/>
    <n v="3436.3"/>
    <x v="0"/>
  </r>
  <r>
    <x v="0"/>
    <x v="0"/>
    <x v="1"/>
    <x v="0"/>
    <x v="0"/>
    <x v="0"/>
    <s v="24"/>
    <x v="0"/>
    <x v="3"/>
    <x v="5"/>
    <n v="2852305.82"/>
    <x v="0"/>
  </r>
  <r>
    <x v="0"/>
    <x v="0"/>
    <x v="1"/>
    <x v="0"/>
    <x v="0"/>
    <x v="0"/>
    <s v="24"/>
    <x v="0"/>
    <x v="3"/>
    <x v="7"/>
    <n v="40934098.5"/>
    <x v="0"/>
  </r>
  <r>
    <x v="0"/>
    <x v="0"/>
    <x v="1"/>
    <x v="0"/>
    <x v="0"/>
    <x v="0"/>
    <s v="24"/>
    <x v="0"/>
    <x v="4"/>
    <x v="7"/>
    <n v="40987326.200000003"/>
    <x v="0"/>
  </r>
  <r>
    <x v="0"/>
    <x v="0"/>
    <x v="1"/>
    <x v="0"/>
    <x v="0"/>
    <x v="0"/>
    <s v="73"/>
    <x v="0"/>
    <x v="3"/>
    <x v="5"/>
    <n v="-37668.76"/>
    <x v="0"/>
  </r>
  <r>
    <x v="0"/>
    <x v="0"/>
    <x v="1"/>
    <x v="0"/>
    <x v="0"/>
    <x v="0"/>
    <s v="73"/>
    <x v="0"/>
    <x v="4"/>
    <x v="7"/>
    <n v="-12850.86"/>
    <x v="0"/>
  </r>
  <r>
    <x v="0"/>
    <x v="0"/>
    <x v="1"/>
    <x v="0"/>
    <x v="0"/>
    <x v="3"/>
    <s v="41"/>
    <x v="0"/>
    <x v="3"/>
    <x v="10"/>
    <n v="-7945"/>
    <x v="1"/>
  </r>
  <r>
    <x v="0"/>
    <x v="0"/>
    <x v="1"/>
    <x v="0"/>
    <x v="0"/>
    <x v="1"/>
    <s v="21"/>
    <x v="0"/>
    <x v="3"/>
    <x v="0"/>
    <n v="60"/>
    <x v="0"/>
  </r>
  <r>
    <x v="0"/>
    <x v="0"/>
    <x v="1"/>
    <x v="0"/>
    <x v="0"/>
    <x v="1"/>
    <s v="22"/>
    <x v="0"/>
    <x v="3"/>
    <x v="1"/>
    <n v="-155132.42000000001"/>
    <x v="0"/>
  </r>
  <r>
    <x v="0"/>
    <x v="0"/>
    <x v="1"/>
    <x v="0"/>
    <x v="0"/>
    <x v="1"/>
    <s v="22"/>
    <x v="0"/>
    <x v="3"/>
    <x v="10"/>
    <n v="-2238850"/>
    <x v="0"/>
  </r>
  <r>
    <x v="0"/>
    <x v="0"/>
    <x v="1"/>
    <x v="0"/>
    <x v="0"/>
    <x v="1"/>
    <s v="22"/>
    <x v="0"/>
    <x v="4"/>
    <x v="1"/>
    <n v="-1106650"/>
    <x v="0"/>
  </r>
  <r>
    <x v="0"/>
    <x v="0"/>
    <x v="1"/>
    <x v="0"/>
    <x v="0"/>
    <x v="1"/>
    <s v="22"/>
    <x v="0"/>
    <x v="4"/>
    <x v="10"/>
    <n v="-2708172.19"/>
    <x v="0"/>
  </r>
  <r>
    <x v="0"/>
    <x v="0"/>
    <x v="1"/>
    <x v="0"/>
    <x v="0"/>
    <x v="4"/>
    <s v="20"/>
    <x v="0"/>
    <x v="4"/>
    <x v="9"/>
    <n v="-16516.439999999999"/>
    <x v="0"/>
  </r>
  <r>
    <x v="0"/>
    <x v="0"/>
    <x v="1"/>
    <x v="0"/>
    <x v="0"/>
    <x v="0"/>
    <s v="13"/>
    <x v="0"/>
    <x v="3"/>
    <x v="8"/>
    <n v="-516.48"/>
    <x v="0"/>
  </r>
  <r>
    <x v="0"/>
    <x v="0"/>
    <x v="1"/>
    <x v="0"/>
    <x v="0"/>
    <x v="0"/>
    <s v="13"/>
    <x v="0"/>
    <x v="4"/>
    <x v="8"/>
    <n v="-528.07000000000005"/>
    <x v="0"/>
  </r>
  <r>
    <x v="0"/>
    <x v="0"/>
    <x v="1"/>
    <x v="0"/>
    <x v="0"/>
    <x v="0"/>
    <s v="20"/>
    <x v="0"/>
    <x v="3"/>
    <x v="7"/>
    <n v="-5195.22"/>
    <x v="0"/>
  </r>
  <r>
    <x v="0"/>
    <x v="0"/>
    <x v="1"/>
    <x v="0"/>
    <x v="0"/>
    <x v="0"/>
    <s v="20"/>
    <x v="0"/>
    <x v="4"/>
    <x v="5"/>
    <n v="262.16000000000003"/>
    <x v="0"/>
  </r>
  <r>
    <x v="0"/>
    <x v="0"/>
    <x v="1"/>
    <x v="0"/>
    <x v="0"/>
    <x v="0"/>
    <s v="20"/>
    <x v="0"/>
    <x v="4"/>
    <x v="7"/>
    <n v="46.6"/>
    <x v="0"/>
  </r>
  <r>
    <x v="0"/>
    <x v="0"/>
    <x v="1"/>
    <x v="0"/>
    <x v="0"/>
    <x v="0"/>
    <s v="24"/>
    <x v="0"/>
    <x v="3"/>
    <x v="1"/>
    <n v="16852608.539999999"/>
    <x v="0"/>
  </r>
  <r>
    <x v="0"/>
    <x v="0"/>
    <x v="1"/>
    <x v="0"/>
    <x v="0"/>
    <x v="0"/>
    <s v="24"/>
    <x v="0"/>
    <x v="3"/>
    <x v="9"/>
    <n v="73866345.609999999"/>
    <x v="0"/>
  </r>
  <r>
    <x v="0"/>
    <x v="0"/>
    <x v="1"/>
    <x v="0"/>
    <x v="0"/>
    <x v="0"/>
    <s v="24"/>
    <x v="0"/>
    <x v="3"/>
    <x v="10"/>
    <n v="1257681.03"/>
    <x v="0"/>
  </r>
  <r>
    <x v="0"/>
    <x v="0"/>
    <x v="1"/>
    <x v="0"/>
    <x v="0"/>
    <x v="0"/>
    <s v="24"/>
    <x v="0"/>
    <x v="4"/>
    <x v="1"/>
    <n v="14551270.83"/>
    <x v="0"/>
  </r>
  <r>
    <x v="0"/>
    <x v="0"/>
    <x v="1"/>
    <x v="0"/>
    <x v="0"/>
    <x v="0"/>
    <s v="24"/>
    <x v="0"/>
    <x v="4"/>
    <x v="9"/>
    <n v="78806460.769999996"/>
    <x v="0"/>
  </r>
  <r>
    <x v="0"/>
    <x v="0"/>
    <x v="1"/>
    <x v="0"/>
    <x v="0"/>
    <x v="0"/>
    <s v="24"/>
    <x v="0"/>
    <x v="4"/>
    <x v="10"/>
    <n v="3450791.68"/>
    <x v="0"/>
  </r>
  <r>
    <x v="0"/>
    <x v="0"/>
    <x v="1"/>
    <x v="0"/>
    <x v="0"/>
    <x v="0"/>
    <s v="40"/>
    <x v="0"/>
    <x v="4"/>
    <x v="10"/>
    <n v="-390"/>
    <x v="0"/>
  </r>
  <r>
    <x v="0"/>
    <x v="0"/>
    <x v="1"/>
    <x v="0"/>
    <x v="0"/>
    <x v="1"/>
    <s v="22"/>
    <x v="0"/>
    <x v="3"/>
    <x v="3"/>
    <n v="-1267250"/>
    <x v="0"/>
  </r>
  <r>
    <x v="0"/>
    <x v="0"/>
    <x v="1"/>
    <x v="0"/>
    <x v="0"/>
    <x v="1"/>
    <s v="22"/>
    <x v="0"/>
    <x v="3"/>
    <x v="4"/>
    <n v="-973717.58"/>
    <x v="0"/>
  </r>
  <r>
    <x v="0"/>
    <x v="0"/>
    <x v="1"/>
    <x v="0"/>
    <x v="0"/>
    <x v="1"/>
    <s v="22"/>
    <x v="0"/>
    <x v="3"/>
    <x v="6"/>
    <n v="-1375"/>
    <x v="0"/>
  </r>
  <r>
    <x v="0"/>
    <x v="0"/>
    <x v="1"/>
    <x v="0"/>
    <x v="0"/>
    <x v="1"/>
    <s v="22"/>
    <x v="0"/>
    <x v="4"/>
    <x v="3"/>
    <n v="-1298435"/>
    <x v="0"/>
  </r>
  <r>
    <x v="0"/>
    <x v="0"/>
    <x v="1"/>
    <x v="0"/>
    <x v="0"/>
    <x v="1"/>
    <s v="22"/>
    <x v="0"/>
    <x v="4"/>
    <x v="4"/>
    <n v="-10000"/>
    <x v="0"/>
  </r>
  <r>
    <x v="0"/>
    <x v="0"/>
    <x v="1"/>
    <x v="0"/>
    <x v="0"/>
    <x v="4"/>
    <s v="20"/>
    <x v="0"/>
    <x v="3"/>
    <x v="3"/>
    <n v="-1351.45"/>
    <x v="0"/>
  </r>
  <r>
    <x v="0"/>
    <x v="0"/>
    <x v="1"/>
    <x v="0"/>
    <x v="0"/>
    <x v="4"/>
    <s v="20"/>
    <x v="0"/>
    <x v="3"/>
    <x v="4"/>
    <n v="-90.91"/>
    <x v="0"/>
  </r>
  <r>
    <x v="0"/>
    <x v="0"/>
    <x v="1"/>
    <x v="0"/>
    <x v="0"/>
    <x v="4"/>
    <s v="20"/>
    <x v="0"/>
    <x v="3"/>
    <x v="6"/>
    <n v="705.76"/>
    <x v="0"/>
  </r>
  <r>
    <x v="0"/>
    <x v="0"/>
    <x v="1"/>
    <x v="0"/>
    <x v="0"/>
    <x v="4"/>
    <s v="20"/>
    <x v="0"/>
    <x v="3"/>
    <x v="8"/>
    <n v="3384"/>
    <x v="0"/>
  </r>
  <r>
    <x v="0"/>
    <x v="0"/>
    <x v="1"/>
    <x v="0"/>
    <x v="0"/>
    <x v="4"/>
    <s v="20"/>
    <x v="0"/>
    <x v="4"/>
    <x v="11"/>
    <n v="-4179.8900000000003"/>
    <x v="0"/>
  </r>
  <r>
    <x v="0"/>
    <x v="0"/>
    <x v="1"/>
    <x v="0"/>
    <x v="0"/>
    <x v="0"/>
    <s v="16"/>
    <x v="0"/>
    <x v="3"/>
    <x v="9"/>
    <n v="-19839.849999999999"/>
    <x v="0"/>
  </r>
  <r>
    <x v="0"/>
    <x v="0"/>
    <x v="1"/>
    <x v="0"/>
    <x v="0"/>
    <x v="0"/>
    <s v="20"/>
    <x v="0"/>
    <x v="3"/>
    <x v="1"/>
    <n v="1084.6600000000001"/>
    <x v="0"/>
  </r>
  <r>
    <x v="0"/>
    <x v="0"/>
    <x v="1"/>
    <x v="0"/>
    <x v="0"/>
    <x v="0"/>
    <s v="20"/>
    <x v="0"/>
    <x v="3"/>
    <x v="9"/>
    <n v="-300"/>
    <x v="0"/>
  </r>
  <r>
    <x v="0"/>
    <x v="0"/>
    <x v="1"/>
    <x v="0"/>
    <x v="0"/>
    <x v="0"/>
    <s v="20"/>
    <x v="0"/>
    <x v="4"/>
    <x v="1"/>
    <n v="-42056.69"/>
    <x v="0"/>
  </r>
  <r>
    <x v="0"/>
    <x v="0"/>
    <x v="1"/>
    <x v="0"/>
    <x v="0"/>
    <x v="0"/>
    <s v="24"/>
    <x v="0"/>
    <x v="3"/>
    <x v="3"/>
    <n v="2033194.11"/>
    <x v="0"/>
  </r>
  <r>
    <x v="0"/>
    <x v="0"/>
    <x v="1"/>
    <x v="0"/>
    <x v="0"/>
    <x v="0"/>
    <s v="24"/>
    <x v="0"/>
    <x v="3"/>
    <x v="4"/>
    <n v="105327354.29000001"/>
    <x v="0"/>
  </r>
  <r>
    <x v="0"/>
    <x v="0"/>
    <x v="1"/>
    <x v="0"/>
    <x v="0"/>
    <x v="0"/>
    <s v="24"/>
    <x v="0"/>
    <x v="3"/>
    <x v="6"/>
    <n v="2625687.44"/>
    <x v="0"/>
  </r>
  <r>
    <x v="0"/>
    <x v="0"/>
    <x v="1"/>
    <x v="0"/>
    <x v="0"/>
    <x v="0"/>
    <s v="24"/>
    <x v="0"/>
    <x v="3"/>
    <x v="8"/>
    <n v="601815.89"/>
    <x v="0"/>
  </r>
  <r>
    <x v="0"/>
    <x v="0"/>
    <x v="1"/>
    <x v="0"/>
    <x v="0"/>
    <x v="0"/>
    <s v="24"/>
    <x v="0"/>
    <x v="3"/>
    <x v="0"/>
    <n v="-2315734.17"/>
    <x v="0"/>
  </r>
  <r>
    <x v="0"/>
    <x v="0"/>
    <x v="1"/>
    <x v="0"/>
    <x v="0"/>
    <x v="0"/>
    <s v="24"/>
    <x v="0"/>
    <x v="4"/>
    <x v="3"/>
    <n v="3468425.56"/>
    <x v="0"/>
  </r>
  <r>
    <x v="0"/>
    <x v="0"/>
    <x v="1"/>
    <x v="0"/>
    <x v="0"/>
    <x v="0"/>
    <s v="24"/>
    <x v="0"/>
    <x v="4"/>
    <x v="4"/>
    <n v="111378345.77"/>
    <x v="0"/>
  </r>
  <r>
    <x v="0"/>
    <x v="0"/>
    <x v="1"/>
    <x v="0"/>
    <x v="0"/>
    <x v="0"/>
    <s v="24"/>
    <x v="0"/>
    <x v="4"/>
    <x v="6"/>
    <n v="2941680.45"/>
    <x v="0"/>
  </r>
  <r>
    <x v="0"/>
    <x v="0"/>
    <x v="1"/>
    <x v="0"/>
    <x v="0"/>
    <x v="0"/>
    <s v="24"/>
    <x v="0"/>
    <x v="4"/>
    <x v="11"/>
    <n v="2837938.97"/>
    <x v="0"/>
  </r>
  <r>
    <x v="0"/>
    <x v="0"/>
    <x v="1"/>
    <x v="0"/>
    <x v="0"/>
    <x v="0"/>
    <s v="24"/>
    <x v="0"/>
    <x v="4"/>
    <x v="8"/>
    <n v="652129.81000000006"/>
    <x v="0"/>
  </r>
  <r>
    <x v="0"/>
    <x v="0"/>
    <x v="1"/>
    <x v="0"/>
    <x v="0"/>
    <x v="0"/>
    <s v="24"/>
    <x v="0"/>
    <x v="4"/>
    <x v="0"/>
    <n v="908018.21"/>
    <x v="0"/>
  </r>
  <r>
    <x v="0"/>
    <x v="0"/>
    <x v="1"/>
    <x v="0"/>
    <x v="0"/>
    <x v="0"/>
    <s v="73"/>
    <x v="0"/>
    <x v="3"/>
    <x v="3"/>
    <n v="-3985.06"/>
    <x v="0"/>
  </r>
  <r>
    <x v="0"/>
    <x v="0"/>
    <x v="1"/>
    <x v="0"/>
    <x v="0"/>
    <x v="0"/>
    <s v="73"/>
    <x v="0"/>
    <x v="3"/>
    <x v="0"/>
    <n v="-27042.19"/>
    <x v="0"/>
  </r>
  <r>
    <x v="0"/>
    <x v="0"/>
    <x v="1"/>
    <x v="0"/>
    <x v="0"/>
    <x v="0"/>
    <s v="73"/>
    <x v="0"/>
    <x v="4"/>
    <x v="3"/>
    <n v="-7734.9"/>
    <x v="0"/>
  </r>
  <r>
    <x v="0"/>
    <x v="0"/>
    <x v="1"/>
    <x v="0"/>
    <x v="0"/>
    <x v="0"/>
    <s v="73"/>
    <x v="0"/>
    <x v="4"/>
    <x v="6"/>
    <n v="-52334.34"/>
    <x v="0"/>
  </r>
  <r>
    <x v="0"/>
    <x v="0"/>
    <x v="1"/>
    <x v="0"/>
    <x v="0"/>
    <x v="0"/>
    <s v="73"/>
    <x v="0"/>
    <x v="4"/>
    <x v="11"/>
    <n v="-29484.18"/>
    <x v="0"/>
  </r>
  <r>
    <x v="0"/>
    <x v="0"/>
    <x v="1"/>
    <x v="0"/>
    <x v="0"/>
    <x v="0"/>
    <s v="73"/>
    <x v="0"/>
    <x v="4"/>
    <x v="0"/>
    <n v="-37698.49"/>
    <x v="0"/>
  </r>
  <r>
    <x v="0"/>
    <x v="0"/>
    <x v="1"/>
    <x v="0"/>
    <x v="0"/>
    <x v="3"/>
    <s v="41"/>
    <x v="0"/>
    <x v="3"/>
    <x v="7"/>
    <n v="7945"/>
    <x v="1"/>
  </r>
  <r>
    <x v="0"/>
    <x v="0"/>
    <x v="1"/>
    <x v="0"/>
    <x v="0"/>
    <x v="1"/>
    <s v="21"/>
    <x v="0"/>
    <x v="4"/>
    <x v="1"/>
    <n v="10000"/>
    <x v="0"/>
  </r>
  <r>
    <x v="0"/>
    <x v="0"/>
    <x v="1"/>
    <x v="0"/>
    <x v="0"/>
    <x v="1"/>
    <s v="22"/>
    <x v="0"/>
    <x v="3"/>
    <x v="2"/>
    <n v="-51375"/>
    <x v="0"/>
  </r>
  <r>
    <x v="0"/>
    <x v="0"/>
    <x v="1"/>
    <x v="0"/>
    <x v="0"/>
    <x v="4"/>
    <s v="20"/>
    <x v="0"/>
    <x v="3"/>
    <x v="11"/>
    <n v="-3384"/>
    <x v="0"/>
  </r>
  <r>
    <x v="0"/>
    <x v="0"/>
    <x v="1"/>
    <x v="0"/>
    <x v="0"/>
    <x v="0"/>
    <s v="09"/>
    <x v="0"/>
    <x v="3"/>
    <x v="3"/>
    <n v="7580.62"/>
    <x v="0"/>
  </r>
  <r>
    <x v="0"/>
    <x v="0"/>
    <x v="1"/>
    <x v="0"/>
    <x v="0"/>
    <x v="0"/>
    <s v="09"/>
    <x v="0"/>
    <x v="3"/>
    <x v="11"/>
    <n v="216321.14"/>
    <x v="0"/>
  </r>
  <r>
    <x v="0"/>
    <x v="0"/>
    <x v="1"/>
    <x v="0"/>
    <x v="0"/>
    <x v="0"/>
    <s v="09"/>
    <x v="0"/>
    <x v="3"/>
    <x v="0"/>
    <n v="108882"/>
    <x v="0"/>
  </r>
  <r>
    <x v="0"/>
    <x v="0"/>
    <x v="1"/>
    <x v="0"/>
    <x v="0"/>
    <x v="0"/>
    <s v="09"/>
    <x v="0"/>
    <x v="4"/>
    <x v="3"/>
    <n v="21288.02"/>
    <x v="0"/>
  </r>
  <r>
    <x v="0"/>
    <x v="0"/>
    <x v="1"/>
    <x v="0"/>
    <x v="0"/>
    <x v="0"/>
    <s v="09"/>
    <x v="0"/>
    <x v="4"/>
    <x v="6"/>
    <n v="244698.6"/>
    <x v="0"/>
  </r>
  <r>
    <x v="0"/>
    <x v="0"/>
    <x v="1"/>
    <x v="0"/>
    <x v="0"/>
    <x v="0"/>
    <s v="09"/>
    <x v="0"/>
    <x v="4"/>
    <x v="11"/>
    <n v="190119.94"/>
    <x v="0"/>
  </r>
  <r>
    <x v="0"/>
    <x v="0"/>
    <x v="1"/>
    <x v="0"/>
    <x v="0"/>
    <x v="0"/>
    <s v="09"/>
    <x v="0"/>
    <x v="4"/>
    <x v="0"/>
    <n v="200887.93"/>
    <x v="0"/>
  </r>
  <r>
    <x v="0"/>
    <x v="0"/>
    <x v="1"/>
    <x v="0"/>
    <x v="0"/>
    <x v="0"/>
    <s v="20"/>
    <x v="0"/>
    <x v="3"/>
    <x v="4"/>
    <n v="974.26"/>
    <x v="0"/>
  </r>
  <r>
    <x v="0"/>
    <x v="0"/>
    <x v="1"/>
    <x v="0"/>
    <x v="0"/>
    <x v="0"/>
    <s v="20"/>
    <x v="0"/>
    <x v="4"/>
    <x v="3"/>
    <n v="18.399999999999999"/>
    <x v="0"/>
  </r>
  <r>
    <x v="0"/>
    <x v="0"/>
    <x v="1"/>
    <x v="0"/>
    <x v="0"/>
    <x v="0"/>
    <s v="20"/>
    <x v="0"/>
    <x v="4"/>
    <x v="4"/>
    <n v="41991.69"/>
    <x v="0"/>
  </r>
  <r>
    <x v="0"/>
    <x v="0"/>
    <x v="1"/>
    <x v="0"/>
    <x v="0"/>
    <x v="0"/>
    <s v="20"/>
    <x v="0"/>
    <x v="4"/>
    <x v="6"/>
    <n v="-262.16000000000003"/>
    <x v="0"/>
  </r>
  <r>
    <x v="0"/>
    <x v="0"/>
    <x v="1"/>
    <x v="0"/>
    <x v="0"/>
    <x v="0"/>
    <s v="20"/>
    <x v="0"/>
    <x v="4"/>
    <x v="0"/>
    <n v="35.200000000000003"/>
    <x v="0"/>
  </r>
  <r>
    <x v="0"/>
    <x v="0"/>
    <x v="1"/>
    <x v="0"/>
    <x v="0"/>
    <x v="0"/>
    <s v="24"/>
    <x v="0"/>
    <x v="3"/>
    <x v="11"/>
    <n v="3615138.38"/>
    <x v="0"/>
  </r>
  <r>
    <x v="0"/>
    <x v="0"/>
    <x v="2"/>
    <x v="0"/>
    <x v="0"/>
    <x v="0"/>
    <s v="24"/>
    <x v="0"/>
    <x v="0"/>
    <x v="10"/>
    <n v="9410681.4800000004"/>
    <x v="0"/>
  </r>
  <r>
    <x v="0"/>
    <x v="0"/>
    <x v="2"/>
    <x v="0"/>
    <x v="0"/>
    <x v="0"/>
    <s v="24"/>
    <x v="0"/>
    <x v="0"/>
    <x v="0"/>
    <n v="-3767.85"/>
    <x v="0"/>
  </r>
  <r>
    <x v="0"/>
    <x v="0"/>
    <x v="2"/>
    <x v="0"/>
    <x v="0"/>
    <x v="3"/>
    <s v="41"/>
    <x v="0"/>
    <x v="0"/>
    <x v="0"/>
    <n v="-500"/>
    <x v="1"/>
  </r>
  <r>
    <x v="0"/>
    <x v="0"/>
    <x v="2"/>
    <x v="0"/>
    <x v="0"/>
    <x v="1"/>
    <s v="21"/>
    <x v="0"/>
    <x v="0"/>
    <x v="5"/>
    <n v="45000"/>
    <x v="0"/>
  </r>
  <r>
    <x v="0"/>
    <x v="0"/>
    <x v="2"/>
    <x v="0"/>
    <x v="0"/>
    <x v="1"/>
    <s v="21"/>
    <x v="0"/>
    <x v="0"/>
    <x v="6"/>
    <n v="-45000"/>
    <x v="0"/>
  </r>
  <r>
    <x v="0"/>
    <x v="0"/>
    <x v="2"/>
    <x v="0"/>
    <x v="0"/>
    <x v="1"/>
    <s v="22"/>
    <x v="0"/>
    <x v="0"/>
    <x v="6"/>
    <n v="45000"/>
    <x v="0"/>
  </r>
  <r>
    <x v="0"/>
    <x v="0"/>
    <x v="2"/>
    <x v="0"/>
    <x v="0"/>
    <x v="4"/>
    <s v="40"/>
    <x v="0"/>
    <x v="0"/>
    <x v="8"/>
    <n v="0"/>
    <x v="0"/>
  </r>
  <r>
    <x v="0"/>
    <x v="0"/>
    <x v="2"/>
    <x v="0"/>
    <x v="0"/>
    <x v="4"/>
    <s v="40"/>
    <x v="0"/>
    <x v="0"/>
    <x v="0"/>
    <n v="0"/>
    <x v="0"/>
  </r>
  <r>
    <x v="0"/>
    <x v="0"/>
    <x v="4"/>
    <x v="0"/>
    <x v="0"/>
    <x v="0"/>
    <s v="01"/>
    <x v="0"/>
    <x v="0"/>
    <x v="4"/>
    <n v="8192.2000000000007"/>
    <x v="0"/>
  </r>
  <r>
    <x v="0"/>
    <x v="0"/>
    <x v="4"/>
    <x v="0"/>
    <x v="0"/>
    <x v="0"/>
    <s v="01"/>
    <x v="0"/>
    <x v="0"/>
    <x v="5"/>
    <n v="9986.5300000000007"/>
    <x v="0"/>
  </r>
  <r>
    <x v="0"/>
    <x v="0"/>
    <x v="4"/>
    <x v="0"/>
    <x v="0"/>
    <x v="0"/>
    <s v="01"/>
    <x v="0"/>
    <x v="0"/>
    <x v="6"/>
    <n v="12026.04"/>
    <x v="0"/>
  </r>
  <r>
    <x v="0"/>
    <x v="0"/>
    <x v="4"/>
    <x v="0"/>
    <x v="0"/>
    <x v="0"/>
    <s v="01"/>
    <x v="0"/>
    <x v="0"/>
    <x v="7"/>
    <n v="11658.14"/>
    <x v="0"/>
  </r>
  <r>
    <x v="0"/>
    <x v="0"/>
    <x v="4"/>
    <x v="0"/>
    <x v="0"/>
    <x v="0"/>
    <s v="01"/>
    <x v="0"/>
    <x v="0"/>
    <x v="8"/>
    <n v="14091.73"/>
    <x v="0"/>
  </r>
  <r>
    <x v="0"/>
    <x v="0"/>
    <x v="4"/>
    <x v="0"/>
    <x v="0"/>
    <x v="0"/>
    <s v="01"/>
    <x v="0"/>
    <x v="0"/>
    <x v="0"/>
    <n v="28938.37"/>
    <x v="0"/>
  </r>
  <r>
    <x v="0"/>
    <x v="0"/>
    <x v="4"/>
    <x v="0"/>
    <x v="0"/>
    <x v="0"/>
    <s v="20"/>
    <x v="0"/>
    <x v="0"/>
    <x v="6"/>
    <n v="36"/>
    <x v="0"/>
  </r>
  <r>
    <x v="0"/>
    <x v="0"/>
    <x v="4"/>
    <x v="0"/>
    <x v="0"/>
    <x v="0"/>
    <s v="20"/>
    <x v="0"/>
    <x v="0"/>
    <x v="0"/>
    <n v="-176.64"/>
    <x v="0"/>
  </r>
  <r>
    <x v="0"/>
    <x v="0"/>
    <x v="4"/>
    <x v="0"/>
    <x v="0"/>
    <x v="0"/>
    <s v="24"/>
    <x v="0"/>
    <x v="0"/>
    <x v="5"/>
    <n v="-3683551.48"/>
    <x v="0"/>
  </r>
  <r>
    <x v="0"/>
    <x v="0"/>
    <x v="4"/>
    <x v="0"/>
    <x v="0"/>
    <x v="0"/>
    <s v="24"/>
    <x v="0"/>
    <x v="0"/>
    <x v="9"/>
    <n v="3333432.35"/>
    <x v="0"/>
  </r>
  <r>
    <x v="0"/>
    <x v="0"/>
    <x v="4"/>
    <x v="0"/>
    <x v="0"/>
    <x v="0"/>
    <s v="24"/>
    <x v="0"/>
    <x v="0"/>
    <x v="7"/>
    <n v="-5941778.3099999996"/>
    <x v="0"/>
  </r>
  <r>
    <x v="0"/>
    <x v="0"/>
    <x v="4"/>
    <x v="0"/>
    <x v="0"/>
    <x v="0"/>
    <s v="24"/>
    <x v="0"/>
    <x v="0"/>
    <x v="10"/>
    <n v="6633434.6699999999"/>
    <x v="0"/>
  </r>
  <r>
    <x v="0"/>
    <x v="0"/>
    <x v="4"/>
    <x v="0"/>
    <x v="0"/>
    <x v="0"/>
    <s v="24"/>
    <x v="0"/>
    <x v="0"/>
    <x v="8"/>
    <n v="-314403.09000000003"/>
    <x v="0"/>
  </r>
  <r>
    <x v="0"/>
    <x v="0"/>
    <x v="4"/>
    <x v="0"/>
    <x v="0"/>
    <x v="0"/>
    <s v="24"/>
    <x v="0"/>
    <x v="0"/>
    <x v="2"/>
    <n v="81345.25"/>
    <x v="0"/>
  </r>
  <r>
    <x v="0"/>
    <x v="0"/>
    <x v="4"/>
    <x v="0"/>
    <x v="0"/>
    <x v="0"/>
    <s v="99"/>
    <x v="0"/>
    <x v="0"/>
    <x v="4"/>
    <n v="50"/>
    <x v="0"/>
  </r>
  <r>
    <x v="0"/>
    <x v="0"/>
    <x v="4"/>
    <x v="0"/>
    <x v="0"/>
    <x v="0"/>
    <s v="99"/>
    <x v="0"/>
    <x v="0"/>
    <x v="5"/>
    <n v="-50"/>
    <x v="0"/>
  </r>
  <r>
    <x v="0"/>
    <x v="0"/>
    <x v="4"/>
    <x v="0"/>
    <x v="0"/>
    <x v="1"/>
    <s v="21"/>
    <x v="0"/>
    <x v="0"/>
    <x v="7"/>
    <n v="20000"/>
    <x v="0"/>
  </r>
  <r>
    <x v="0"/>
    <x v="0"/>
    <x v="4"/>
    <x v="0"/>
    <x v="0"/>
    <x v="1"/>
    <s v="22"/>
    <x v="0"/>
    <x v="0"/>
    <x v="6"/>
    <n v="-108366"/>
    <x v="0"/>
  </r>
  <r>
    <x v="0"/>
    <x v="0"/>
    <x v="4"/>
    <x v="0"/>
    <x v="0"/>
    <x v="1"/>
    <s v="22"/>
    <x v="0"/>
    <x v="0"/>
    <x v="0"/>
    <n v="-487548.29"/>
    <x v="0"/>
  </r>
  <r>
    <x v="0"/>
    <x v="0"/>
    <x v="0"/>
    <x v="0"/>
    <x v="0"/>
    <x v="0"/>
    <s v="02"/>
    <x v="0"/>
    <x v="3"/>
    <x v="5"/>
    <n v="177613.69"/>
    <x v="0"/>
  </r>
  <r>
    <x v="0"/>
    <x v="0"/>
    <x v="0"/>
    <x v="0"/>
    <x v="0"/>
    <x v="0"/>
    <s v="02"/>
    <x v="0"/>
    <x v="4"/>
    <x v="5"/>
    <n v="-401.64"/>
    <x v="0"/>
  </r>
  <r>
    <x v="0"/>
    <x v="0"/>
    <x v="0"/>
    <x v="0"/>
    <x v="0"/>
    <x v="0"/>
    <s v="20"/>
    <x v="0"/>
    <x v="3"/>
    <x v="5"/>
    <n v="290.93"/>
    <x v="0"/>
  </r>
  <r>
    <x v="0"/>
    <x v="0"/>
    <x v="0"/>
    <x v="0"/>
    <x v="0"/>
    <x v="0"/>
    <s v="20"/>
    <x v="0"/>
    <x v="3"/>
    <x v="7"/>
    <n v="13.35"/>
    <x v="0"/>
  </r>
  <r>
    <x v="0"/>
    <x v="0"/>
    <x v="0"/>
    <x v="0"/>
    <x v="0"/>
    <x v="0"/>
    <s v="20"/>
    <x v="0"/>
    <x v="3"/>
    <x v="2"/>
    <n v="100"/>
    <x v="0"/>
  </r>
  <r>
    <x v="0"/>
    <x v="0"/>
    <x v="0"/>
    <x v="0"/>
    <x v="0"/>
    <x v="0"/>
    <s v="20"/>
    <x v="0"/>
    <x v="4"/>
    <x v="7"/>
    <n v="-554.5"/>
    <x v="0"/>
  </r>
  <r>
    <x v="0"/>
    <x v="0"/>
    <x v="0"/>
    <x v="0"/>
    <x v="0"/>
    <x v="0"/>
    <s v="24"/>
    <x v="0"/>
    <x v="3"/>
    <x v="1"/>
    <n v="-68614.83"/>
    <x v="0"/>
  </r>
  <r>
    <x v="0"/>
    <x v="0"/>
    <x v="0"/>
    <x v="0"/>
    <x v="0"/>
    <x v="0"/>
    <s v="24"/>
    <x v="0"/>
    <x v="3"/>
    <x v="9"/>
    <n v="229739435.69999999"/>
    <x v="0"/>
  </r>
  <r>
    <x v="0"/>
    <x v="0"/>
    <x v="0"/>
    <x v="0"/>
    <x v="0"/>
    <x v="0"/>
    <s v="24"/>
    <x v="0"/>
    <x v="4"/>
    <x v="1"/>
    <n v="-4558149.42"/>
    <x v="0"/>
  </r>
  <r>
    <x v="0"/>
    <x v="0"/>
    <x v="0"/>
    <x v="0"/>
    <x v="0"/>
    <x v="0"/>
    <s v="24"/>
    <x v="0"/>
    <x v="4"/>
    <x v="9"/>
    <n v="243227460.97999999"/>
    <x v="0"/>
  </r>
  <r>
    <x v="0"/>
    <x v="0"/>
    <x v="0"/>
    <x v="0"/>
    <x v="0"/>
    <x v="0"/>
    <s v="24"/>
    <x v="0"/>
    <x v="4"/>
    <x v="10"/>
    <n v="235387740.19999999"/>
    <x v="0"/>
  </r>
  <r>
    <x v="0"/>
    <x v="0"/>
    <x v="0"/>
    <x v="0"/>
    <x v="0"/>
    <x v="0"/>
    <s v="30"/>
    <x v="0"/>
    <x v="3"/>
    <x v="8"/>
    <n v="-35"/>
    <x v="0"/>
  </r>
  <r>
    <x v="0"/>
    <x v="0"/>
    <x v="0"/>
    <x v="0"/>
    <x v="0"/>
    <x v="0"/>
    <s v="30"/>
    <x v="0"/>
    <x v="3"/>
    <x v="0"/>
    <n v="-880.49"/>
    <x v="0"/>
  </r>
  <r>
    <x v="0"/>
    <x v="0"/>
    <x v="0"/>
    <x v="0"/>
    <x v="0"/>
    <x v="0"/>
    <s v="30"/>
    <x v="0"/>
    <x v="4"/>
    <x v="3"/>
    <n v="34"/>
    <x v="0"/>
  </r>
  <r>
    <x v="0"/>
    <x v="0"/>
    <x v="0"/>
    <x v="0"/>
    <x v="0"/>
    <x v="0"/>
    <s v="30"/>
    <x v="0"/>
    <x v="4"/>
    <x v="4"/>
    <n v="-34"/>
    <x v="0"/>
  </r>
  <r>
    <x v="0"/>
    <x v="0"/>
    <x v="0"/>
    <x v="0"/>
    <x v="0"/>
    <x v="0"/>
    <s v="30"/>
    <x v="0"/>
    <x v="4"/>
    <x v="8"/>
    <n v="-1167"/>
    <x v="0"/>
  </r>
  <r>
    <x v="0"/>
    <x v="0"/>
    <x v="0"/>
    <x v="0"/>
    <x v="0"/>
    <x v="0"/>
    <s v="30"/>
    <x v="0"/>
    <x v="4"/>
    <x v="0"/>
    <n v="160"/>
    <x v="0"/>
  </r>
  <r>
    <x v="0"/>
    <x v="0"/>
    <x v="0"/>
    <x v="0"/>
    <x v="0"/>
    <x v="0"/>
    <s v="99"/>
    <x v="0"/>
    <x v="3"/>
    <x v="7"/>
    <n v="-13335.21"/>
    <x v="0"/>
  </r>
  <r>
    <x v="0"/>
    <x v="0"/>
    <x v="0"/>
    <x v="0"/>
    <x v="0"/>
    <x v="0"/>
    <s v="99"/>
    <x v="0"/>
    <x v="3"/>
    <x v="2"/>
    <n v="-90"/>
    <x v="0"/>
  </r>
  <r>
    <x v="0"/>
    <x v="0"/>
    <x v="0"/>
    <x v="0"/>
    <x v="0"/>
    <x v="0"/>
    <s v="99"/>
    <x v="0"/>
    <x v="4"/>
    <x v="1"/>
    <n v="220"/>
    <x v="0"/>
  </r>
  <r>
    <x v="0"/>
    <x v="0"/>
    <x v="0"/>
    <x v="0"/>
    <x v="0"/>
    <x v="0"/>
    <s v="99"/>
    <x v="0"/>
    <x v="4"/>
    <x v="2"/>
    <n v="-73.08"/>
    <x v="0"/>
  </r>
  <r>
    <x v="0"/>
    <x v="0"/>
    <x v="0"/>
    <x v="0"/>
    <x v="0"/>
    <x v="1"/>
    <s v="21"/>
    <x v="0"/>
    <x v="3"/>
    <x v="5"/>
    <n v="15500"/>
    <x v="0"/>
  </r>
  <r>
    <x v="0"/>
    <x v="0"/>
    <x v="0"/>
    <x v="0"/>
    <x v="0"/>
    <x v="1"/>
    <s v="21"/>
    <x v="0"/>
    <x v="3"/>
    <x v="2"/>
    <n v="254007"/>
    <x v="0"/>
  </r>
  <r>
    <x v="0"/>
    <x v="0"/>
    <x v="0"/>
    <x v="0"/>
    <x v="0"/>
    <x v="1"/>
    <s v="21"/>
    <x v="0"/>
    <x v="4"/>
    <x v="5"/>
    <n v="45473.01"/>
    <x v="0"/>
  </r>
  <r>
    <x v="0"/>
    <x v="0"/>
    <x v="0"/>
    <x v="0"/>
    <x v="0"/>
    <x v="1"/>
    <s v="21"/>
    <x v="0"/>
    <x v="4"/>
    <x v="7"/>
    <n v="10500"/>
    <x v="0"/>
  </r>
  <r>
    <x v="0"/>
    <x v="0"/>
    <x v="0"/>
    <x v="0"/>
    <x v="0"/>
    <x v="1"/>
    <s v="22"/>
    <x v="0"/>
    <x v="3"/>
    <x v="10"/>
    <n v="-2751196.62"/>
    <x v="0"/>
  </r>
  <r>
    <x v="0"/>
    <x v="0"/>
    <x v="0"/>
    <x v="0"/>
    <x v="0"/>
    <x v="1"/>
    <s v="22"/>
    <x v="0"/>
    <x v="3"/>
    <x v="8"/>
    <n v="-21387993"/>
    <x v="0"/>
  </r>
  <r>
    <x v="0"/>
    <x v="0"/>
    <x v="0"/>
    <x v="0"/>
    <x v="0"/>
    <x v="1"/>
    <s v="22"/>
    <x v="0"/>
    <x v="4"/>
    <x v="3"/>
    <n v="-43239"/>
    <x v="0"/>
  </r>
  <r>
    <x v="0"/>
    <x v="0"/>
    <x v="0"/>
    <x v="0"/>
    <x v="0"/>
    <x v="1"/>
    <s v="22"/>
    <x v="0"/>
    <x v="4"/>
    <x v="6"/>
    <n v="-2817097"/>
    <x v="0"/>
  </r>
  <r>
    <x v="0"/>
    <x v="0"/>
    <x v="0"/>
    <x v="0"/>
    <x v="0"/>
    <x v="1"/>
    <s v="22"/>
    <x v="0"/>
    <x v="4"/>
    <x v="0"/>
    <n v="-10764453.9"/>
    <x v="0"/>
  </r>
  <r>
    <x v="0"/>
    <x v="0"/>
    <x v="0"/>
    <x v="0"/>
    <x v="0"/>
    <x v="1"/>
    <s v="88"/>
    <x v="0"/>
    <x v="3"/>
    <x v="5"/>
    <n v="-539540.21"/>
    <x v="0"/>
  </r>
  <r>
    <x v="0"/>
    <x v="0"/>
    <x v="0"/>
    <x v="0"/>
    <x v="0"/>
    <x v="1"/>
    <s v="88"/>
    <x v="0"/>
    <x v="3"/>
    <x v="7"/>
    <n v="-1417511.63"/>
    <x v="0"/>
  </r>
  <r>
    <x v="0"/>
    <x v="0"/>
    <x v="0"/>
    <x v="0"/>
    <x v="0"/>
    <x v="1"/>
    <s v="88"/>
    <x v="0"/>
    <x v="4"/>
    <x v="1"/>
    <n v="-563969.54"/>
    <x v="0"/>
  </r>
  <r>
    <x v="0"/>
    <x v="0"/>
    <x v="0"/>
    <x v="0"/>
    <x v="0"/>
    <x v="1"/>
    <s v="88"/>
    <x v="0"/>
    <x v="4"/>
    <x v="7"/>
    <n v="-602742.09"/>
    <x v="0"/>
  </r>
  <r>
    <x v="0"/>
    <x v="0"/>
    <x v="0"/>
    <x v="0"/>
    <x v="0"/>
    <x v="1"/>
    <s v="94"/>
    <x v="0"/>
    <x v="3"/>
    <x v="0"/>
    <n v="-2859589.58"/>
    <x v="0"/>
  </r>
  <r>
    <x v="0"/>
    <x v="0"/>
    <x v="0"/>
    <x v="0"/>
    <x v="0"/>
    <x v="1"/>
    <s v="94"/>
    <x v="0"/>
    <x v="4"/>
    <x v="0"/>
    <n v="-237354.13"/>
    <x v="0"/>
  </r>
  <r>
    <x v="0"/>
    <x v="0"/>
    <x v="0"/>
    <x v="0"/>
    <x v="0"/>
    <x v="0"/>
    <s v="02"/>
    <x v="0"/>
    <x v="3"/>
    <x v="11"/>
    <n v="-177613.69"/>
    <x v="0"/>
  </r>
  <r>
    <x v="0"/>
    <x v="0"/>
    <x v="0"/>
    <x v="0"/>
    <x v="0"/>
    <x v="0"/>
    <s v="20"/>
    <x v="0"/>
    <x v="3"/>
    <x v="6"/>
    <n v="2100"/>
    <x v="0"/>
  </r>
  <r>
    <x v="0"/>
    <x v="0"/>
    <x v="0"/>
    <x v="0"/>
    <x v="0"/>
    <x v="0"/>
    <s v="20"/>
    <x v="0"/>
    <x v="3"/>
    <x v="11"/>
    <n v="-65.930000000000007"/>
    <x v="0"/>
  </r>
  <r>
    <x v="0"/>
    <x v="0"/>
    <x v="0"/>
    <x v="0"/>
    <x v="0"/>
    <x v="0"/>
    <s v="20"/>
    <x v="0"/>
    <x v="3"/>
    <x v="0"/>
    <n v="-302.35000000000002"/>
    <x v="0"/>
  </r>
  <r>
    <x v="0"/>
    <x v="0"/>
    <x v="0"/>
    <x v="0"/>
    <x v="0"/>
    <x v="0"/>
    <s v="20"/>
    <x v="0"/>
    <x v="4"/>
    <x v="2"/>
    <n v="259655"/>
    <x v="0"/>
  </r>
  <r>
    <x v="0"/>
    <x v="0"/>
    <x v="0"/>
    <x v="0"/>
    <x v="0"/>
    <x v="0"/>
    <s v="24"/>
    <x v="0"/>
    <x v="3"/>
    <x v="5"/>
    <n v="236903342.36000001"/>
    <x v="0"/>
  </r>
  <r>
    <x v="0"/>
    <x v="0"/>
    <x v="0"/>
    <x v="0"/>
    <x v="0"/>
    <x v="0"/>
    <s v="24"/>
    <x v="0"/>
    <x v="3"/>
    <x v="7"/>
    <n v="-915262.12"/>
    <x v="0"/>
  </r>
  <r>
    <x v="0"/>
    <x v="0"/>
    <x v="0"/>
    <x v="0"/>
    <x v="0"/>
    <x v="0"/>
    <s v="24"/>
    <x v="0"/>
    <x v="4"/>
    <x v="5"/>
    <n v="-7641122.3099999996"/>
    <x v="0"/>
  </r>
  <r>
    <x v="0"/>
    <x v="0"/>
    <x v="0"/>
    <x v="0"/>
    <x v="0"/>
    <x v="0"/>
    <s v="24"/>
    <x v="0"/>
    <x v="4"/>
    <x v="7"/>
    <n v="-450395.71"/>
    <x v="0"/>
  </r>
  <r>
    <x v="0"/>
    <x v="0"/>
    <x v="0"/>
    <x v="0"/>
    <x v="0"/>
    <x v="0"/>
    <s v="30"/>
    <x v="0"/>
    <x v="3"/>
    <x v="10"/>
    <n v="910"/>
    <x v="0"/>
  </r>
  <r>
    <x v="0"/>
    <x v="0"/>
    <x v="0"/>
    <x v="0"/>
    <x v="0"/>
    <x v="0"/>
    <s v="30"/>
    <x v="0"/>
    <x v="4"/>
    <x v="9"/>
    <n v="3075"/>
    <x v="0"/>
  </r>
  <r>
    <x v="0"/>
    <x v="0"/>
    <x v="0"/>
    <x v="0"/>
    <x v="0"/>
    <x v="0"/>
    <s v="30"/>
    <x v="0"/>
    <x v="4"/>
    <x v="10"/>
    <n v="3063"/>
    <x v="0"/>
  </r>
  <r>
    <x v="0"/>
    <x v="0"/>
    <x v="0"/>
    <x v="0"/>
    <x v="0"/>
    <x v="0"/>
    <s v="99"/>
    <x v="0"/>
    <x v="3"/>
    <x v="5"/>
    <n v="-2722.44"/>
    <x v="0"/>
  </r>
  <r>
    <x v="0"/>
    <x v="0"/>
    <x v="0"/>
    <x v="0"/>
    <x v="0"/>
    <x v="0"/>
    <s v="99"/>
    <x v="0"/>
    <x v="3"/>
    <x v="11"/>
    <n v="-2453.5"/>
    <x v="0"/>
  </r>
  <r>
    <x v="0"/>
    <x v="0"/>
    <x v="0"/>
    <x v="0"/>
    <x v="0"/>
    <x v="0"/>
    <s v="99"/>
    <x v="0"/>
    <x v="3"/>
    <x v="8"/>
    <n v="25"/>
    <x v="0"/>
  </r>
  <r>
    <x v="0"/>
    <x v="0"/>
    <x v="0"/>
    <x v="0"/>
    <x v="0"/>
    <x v="0"/>
    <s v="99"/>
    <x v="0"/>
    <x v="3"/>
    <x v="0"/>
    <n v="2990.26"/>
    <x v="0"/>
  </r>
  <r>
    <x v="0"/>
    <x v="0"/>
    <x v="0"/>
    <x v="0"/>
    <x v="0"/>
    <x v="0"/>
    <s v="99"/>
    <x v="0"/>
    <x v="4"/>
    <x v="5"/>
    <n v="-1117.4000000000001"/>
    <x v="0"/>
  </r>
  <r>
    <x v="0"/>
    <x v="0"/>
    <x v="0"/>
    <x v="0"/>
    <x v="0"/>
    <x v="0"/>
    <s v="99"/>
    <x v="0"/>
    <x v="4"/>
    <x v="7"/>
    <n v="-4973.8"/>
    <x v="0"/>
  </r>
  <r>
    <x v="0"/>
    <x v="0"/>
    <x v="0"/>
    <x v="0"/>
    <x v="0"/>
    <x v="0"/>
    <s v="99"/>
    <x v="0"/>
    <x v="4"/>
    <x v="8"/>
    <n v="35.76"/>
    <x v="0"/>
  </r>
  <r>
    <x v="0"/>
    <x v="0"/>
    <x v="0"/>
    <x v="0"/>
    <x v="0"/>
    <x v="0"/>
    <s v="99"/>
    <x v="0"/>
    <x v="4"/>
    <x v="0"/>
    <n v="-300"/>
    <x v="0"/>
  </r>
  <r>
    <x v="0"/>
    <x v="0"/>
    <x v="0"/>
    <x v="0"/>
    <x v="0"/>
    <x v="1"/>
    <s v="21"/>
    <x v="0"/>
    <x v="3"/>
    <x v="6"/>
    <n v="250"/>
    <x v="0"/>
  </r>
  <r>
    <x v="0"/>
    <x v="1"/>
    <x v="3"/>
    <x v="0"/>
    <x v="0"/>
    <x v="0"/>
    <s v="24"/>
    <x v="0"/>
    <x v="1"/>
    <x v="8"/>
    <n v="-33248.53"/>
    <x v="0"/>
  </r>
  <r>
    <x v="0"/>
    <x v="1"/>
    <x v="3"/>
    <x v="0"/>
    <x v="0"/>
    <x v="0"/>
    <s v="24"/>
    <x v="0"/>
    <x v="1"/>
    <x v="0"/>
    <n v="-710599"/>
    <x v="0"/>
  </r>
  <r>
    <x v="0"/>
    <x v="1"/>
    <x v="3"/>
    <x v="0"/>
    <x v="0"/>
    <x v="0"/>
    <s v="24"/>
    <x v="0"/>
    <x v="2"/>
    <x v="3"/>
    <n v="304212.51"/>
    <x v="0"/>
  </r>
  <r>
    <x v="0"/>
    <x v="1"/>
    <x v="3"/>
    <x v="0"/>
    <x v="0"/>
    <x v="0"/>
    <s v="24"/>
    <x v="0"/>
    <x v="2"/>
    <x v="6"/>
    <n v="-145357"/>
    <x v="0"/>
  </r>
  <r>
    <x v="0"/>
    <x v="1"/>
    <x v="3"/>
    <x v="0"/>
    <x v="0"/>
    <x v="0"/>
    <s v="24"/>
    <x v="0"/>
    <x v="2"/>
    <x v="11"/>
    <n v="-47379.24"/>
    <x v="0"/>
  </r>
  <r>
    <x v="0"/>
    <x v="1"/>
    <x v="3"/>
    <x v="0"/>
    <x v="0"/>
    <x v="0"/>
    <s v="24"/>
    <x v="0"/>
    <x v="2"/>
    <x v="2"/>
    <n v="-113893.55"/>
    <x v="0"/>
  </r>
  <r>
    <x v="0"/>
    <x v="1"/>
    <x v="3"/>
    <x v="0"/>
    <x v="0"/>
    <x v="0"/>
    <s v="24"/>
    <x v="0"/>
    <x v="2"/>
    <x v="0"/>
    <n v="-637768.68999999994"/>
    <x v="0"/>
  </r>
  <r>
    <x v="0"/>
    <x v="1"/>
    <x v="3"/>
    <x v="0"/>
    <x v="0"/>
    <x v="0"/>
    <s v="30"/>
    <x v="0"/>
    <x v="2"/>
    <x v="7"/>
    <n v="-5786"/>
    <x v="0"/>
  </r>
  <r>
    <x v="0"/>
    <x v="1"/>
    <x v="3"/>
    <x v="0"/>
    <x v="0"/>
    <x v="0"/>
    <s v="41"/>
    <x v="0"/>
    <x v="1"/>
    <x v="5"/>
    <n v="88409.22"/>
    <x v="0"/>
  </r>
  <r>
    <x v="0"/>
    <x v="1"/>
    <x v="3"/>
    <x v="0"/>
    <x v="0"/>
    <x v="0"/>
    <s v="41"/>
    <x v="0"/>
    <x v="1"/>
    <x v="7"/>
    <n v="113025.69"/>
    <x v="0"/>
  </r>
  <r>
    <x v="0"/>
    <x v="1"/>
    <x v="3"/>
    <x v="0"/>
    <x v="0"/>
    <x v="0"/>
    <s v="99"/>
    <x v="0"/>
    <x v="1"/>
    <x v="4"/>
    <n v="7427.3"/>
    <x v="0"/>
  </r>
  <r>
    <x v="0"/>
    <x v="1"/>
    <x v="3"/>
    <x v="0"/>
    <x v="0"/>
    <x v="0"/>
    <s v="99"/>
    <x v="0"/>
    <x v="1"/>
    <x v="10"/>
    <n v="-6485"/>
    <x v="0"/>
  </r>
  <r>
    <x v="0"/>
    <x v="1"/>
    <x v="3"/>
    <x v="0"/>
    <x v="0"/>
    <x v="0"/>
    <s v="99"/>
    <x v="0"/>
    <x v="1"/>
    <x v="8"/>
    <n v="84.8"/>
    <x v="0"/>
  </r>
  <r>
    <x v="0"/>
    <x v="1"/>
    <x v="3"/>
    <x v="0"/>
    <x v="0"/>
    <x v="0"/>
    <s v="99"/>
    <x v="0"/>
    <x v="2"/>
    <x v="3"/>
    <n v="-63.38"/>
    <x v="0"/>
  </r>
  <r>
    <x v="0"/>
    <x v="1"/>
    <x v="3"/>
    <x v="0"/>
    <x v="0"/>
    <x v="0"/>
    <s v="99"/>
    <x v="0"/>
    <x v="2"/>
    <x v="4"/>
    <n v="-2205.1799999999998"/>
    <x v="0"/>
  </r>
  <r>
    <x v="0"/>
    <x v="1"/>
    <x v="3"/>
    <x v="0"/>
    <x v="0"/>
    <x v="0"/>
    <s v="99"/>
    <x v="0"/>
    <x v="2"/>
    <x v="6"/>
    <n v="3672.79"/>
    <x v="0"/>
  </r>
  <r>
    <x v="0"/>
    <x v="1"/>
    <x v="3"/>
    <x v="0"/>
    <x v="0"/>
    <x v="0"/>
    <s v="99"/>
    <x v="0"/>
    <x v="2"/>
    <x v="0"/>
    <n v="4098.25"/>
    <x v="0"/>
  </r>
  <r>
    <x v="0"/>
    <x v="1"/>
    <x v="3"/>
    <x v="0"/>
    <x v="0"/>
    <x v="3"/>
    <s v="41"/>
    <x v="0"/>
    <x v="2"/>
    <x v="7"/>
    <n v="-1388.45"/>
    <x v="1"/>
  </r>
  <r>
    <x v="0"/>
    <x v="1"/>
    <x v="3"/>
    <x v="0"/>
    <x v="0"/>
    <x v="0"/>
    <s v="01"/>
    <x v="0"/>
    <x v="1"/>
    <x v="3"/>
    <n v="-13424.44"/>
    <x v="0"/>
  </r>
  <r>
    <x v="0"/>
    <x v="1"/>
    <x v="3"/>
    <x v="0"/>
    <x v="0"/>
    <x v="0"/>
    <s v="01"/>
    <x v="0"/>
    <x v="1"/>
    <x v="11"/>
    <n v="-480.19"/>
    <x v="0"/>
  </r>
  <r>
    <x v="0"/>
    <x v="1"/>
    <x v="3"/>
    <x v="0"/>
    <x v="0"/>
    <x v="0"/>
    <s v="01"/>
    <x v="0"/>
    <x v="1"/>
    <x v="8"/>
    <n v="-963.25"/>
    <x v="0"/>
  </r>
  <r>
    <x v="0"/>
    <x v="1"/>
    <x v="3"/>
    <x v="0"/>
    <x v="0"/>
    <x v="0"/>
    <s v="01"/>
    <x v="0"/>
    <x v="1"/>
    <x v="0"/>
    <n v="25562.92"/>
    <x v="0"/>
  </r>
  <r>
    <x v="0"/>
    <x v="1"/>
    <x v="3"/>
    <x v="0"/>
    <x v="0"/>
    <x v="0"/>
    <s v="01"/>
    <x v="0"/>
    <x v="2"/>
    <x v="3"/>
    <n v="-12868.42"/>
    <x v="0"/>
  </r>
  <r>
    <x v="0"/>
    <x v="1"/>
    <x v="3"/>
    <x v="0"/>
    <x v="0"/>
    <x v="0"/>
    <s v="01"/>
    <x v="0"/>
    <x v="2"/>
    <x v="5"/>
    <n v="-279.26"/>
    <x v="0"/>
  </r>
  <r>
    <x v="0"/>
    <x v="1"/>
    <x v="3"/>
    <x v="0"/>
    <x v="0"/>
    <x v="0"/>
    <s v="01"/>
    <x v="0"/>
    <x v="2"/>
    <x v="0"/>
    <n v="25916.35"/>
    <x v="0"/>
  </r>
  <r>
    <x v="0"/>
    <x v="1"/>
    <x v="3"/>
    <x v="0"/>
    <x v="0"/>
    <x v="0"/>
    <s v="24"/>
    <x v="0"/>
    <x v="1"/>
    <x v="5"/>
    <n v="57206.239999999998"/>
    <x v="0"/>
  </r>
  <r>
    <x v="0"/>
    <x v="1"/>
    <x v="3"/>
    <x v="0"/>
    <x v="0"/>
    <x v="0"/>
    <s v="24"/>
    <x v="0"/>
    <x v="1"/>
    <x v="7"/>
    <n v="208718.15"/>
    <x v="0"/>
  </r>
  <r>
    <x v="0"/>
    <x v="1"/>
    <x v="3"/>
    <x v="0"/>
    <x v="0"/>
    <x v="0"/>
    <s v="24"/>
    <x v="0"/>
    <x v="1"/>
    <x v="2"/>
    <n v="-142595.15"/>
    <x v="0"/>
  </r>
  <r>
    <x v="0"/>
    <x v="1"/>
    <x v="3"/>
    <x v="0"/>
    <x v="0"/>
    <x v="0"/>
    <s v="24"/>
    <x v="0"/>
    <x v="2"/>
    <x v="5"/>
    <n v="8775.9"/>
    <x v="0"/>
  </r>
  <r>
    <x v="0"/>
    <x v="1"/>
    <x v="3"/>
    <x v="0"/>
    <x v="0"/>
    <x v="0"/>
    <s v="24"/>
    <x v="0"/>
    <x v="2"/>
    <x v="7"/>
    <n v="35125.699999999997"/>
    <x v="0"/>
  </r>
  <r>
    <x v="0"/>
    <x v="1"/>
    <x v="3"/>
    <x v="0"/>
    <x v="0"/>
    <x v="0"/>
    <s v="30"/>
    <x v="0"/>
    <x v="2"/>
    <x v="9"/>
    <n v="6000"/>
    <x v="0"/>
  </r>
  <r>
    <x v="0"/>
    <x v="1"/>
    <x v="3"/>
    <x v="0"/>
    <x v="0"/>
    <x v="0"/>
    <s v="99"/>
    <x v="0"/>
    <x v="1"/>
    <x v="3"/>
    <n v="-1926.53"/>
    <x v="0"/>
  </r>
  <r>
    <x v="0"/>
    <x v="1"/>
    <x v="3"/>
    <x v="0"/>
    <x v="0"/>
    <x v="0"/>
    <s v="99"/>
    <x v="0"/>
    <x v="1"/>
    <x v="6"/>
    <n v="2.4"/>
    <x v="0"/>
  </r>
  <r>
    <x v="0"/>
    <x v="1"/>
    <x v="3"/>
    <x v="0"/>
    <x v="0"/>
    <x v="0"/>
    <s v="99"/>
    <x v="0"/>
    <x v="1"/>
    <x v="11"/>
    <n v="6360"/>
    <x v="0"/>
  </r>
  <r>
    <x v="0"/>
    <x v="1"/>
    <x v="3"/>
    <x v="0"/>
    <x v="0"/>
    <x v="0"/>
    <s v="99"/>
    <x v="0"/>
    <x v="1"/>
    <x v="2"/>
    <n v="889.68"/>
    <x v="0"/>
  </r>
  <r>
    <x v="0"/>
    <x v="1"/>
    <x v="3"/>
    <x v="0"/>
    <x v="0"/>
    <x v="0"/>
    <s v="99"/>
    <x v="0"/>
    <x v="1"/>
    <x v="0"/>
    <n v="29.85"/>
    <x v="0"/>
  </r>
  <r>
    <x v="0"/>
    <x v="1"/>
    <x v="3"/>
    <x v="0"/>
    <x v="0"/>
    <x v="0"/>
    <s v="99"/>
    <x v="0"/>
    <x v="2"/>
    <x v="2"/>
    <n v="14"/>
    <x v="0"/>
  </r>
  <r>
    <x v="0"/>
    <x v="1"/>
    <x v="3"/>
    <x v="0"/>
    <x v="0"/>
    <x v="3"/>
    <s v="41"/>
    <x v="0"/>
    <x v="2"/>
    <x v="9"/>
    <n v="1388.45"/>
    <x v="1"/>
  </r>
  <r>
    <x v="0"/>
    <x v="1"/>
    <x v="3"/>
    <x v="0"/>
    <x v="0"/>
    <x v="3"/>
    <s v="41"/>
    <x v="0"/>
    <x v="2"/>
    <x v="10"/>
    <n v="712.91"/>
    <x v="1"/>
  </r>
  <r>
    <x v="0"/>
    <x v="1"/>
    <x v="1"/>
    <x v="0"/>
    <x v="0"/>
    <x v="0"/>
    <s v="20"/>
    <x v="0"/>
    <x v="3"/>
    <x v="0"/>
    <n v="2215"/>
    <x v="0"/>
  </r>
  <r>
    <x v="0"/>
    <x v="1"/>
    <x v="1"/>
    <x v="0"/>
    <x v="0"/>
    <x v="0"/>
    <s v="09"/>
    <x v="0"/>
    <x v="3"/>
    <x v="3"/>
    <n v="-7580.62"/>
    <x v="0"/>
  </r>
  <r>
    <x v="0"/>
    <x v="1"/>
    <x v="1"/>
    <x v="0"/>
    <x v="0"/>
    <x v="0"/>
    <s v="09"/>
    <x v="0"/>
    <x v="3"/>
    <x v="0"/>
    <n v="21288.02"/>
    <x v="0"/>
  </r>
  <r>
    <x v="0"/>
    <x v="1"/>
    <x v="1"/>
    <x v="0"/>
    <x v="0"/>
    <x v="0"/>
    <s v="09"/>
    <x v="0"/>
    <x v="4"/>
    <x v="3"/>
    <n v="-21288.02"/>
    <x v="0"/>
  </r>
  <r>
    <x v="0"/>
    <x v="1"/>
    <x v="1"/>
    <x v="0"/>
    <x v="0"/>
    <x v="0"/>
    <s v="09"/>
    <x v="0"/>
    <x v="4"/>
    <x v="0"/>
    <n v="91790.95"/>
    <x v="0"/>
  </r>
  <r>
    <x v="0"/>
    <x v="1"/>
    <x v="1"/>
    <x v="0"/>
    <x v="0"/>
    <x v="0"/>
    <s v="20"/>
    <x v="0"/>
    <x v="3"/>
    <x v="4"/>
    <n v="-1500"/>
    <x v="0"/>
  </r>
  <r>
    <x v="0"/>
    <x v="1"/>
    <x v="1"/>
    <x v="0"/>
    <x v="0"/>
    <x v="0"/>
    <s v="20"/>
    <x v="0"/>
    <x v="4"/>
    <x v="3"/>
    <n v="-2215"/>
    <x v="0"/>
  </r>
  <r>
    <x v="0"/>
    <x v="1"/>
    <x v="1"/>
    <x v="0"/>
    <x v="0"/>
    <x v="0"/>
    <s v="20"/>
    <x v="0"/>
    <x v="4"/>
    <x v="0"/>
    <n v="54.8"/>
    <x v="0"/>
  </r>
  <r>
    <x v="0"/>
    <x v="1"/>
    <x v="1"/>
    <x v="0"/>
    <x v="0"/>
    <x v="0"/>
    <s v="73"/>
    <x v="0"/>
    <x v="3"/>
    <x v="3"/>
    <n v="3985.06"/>
    <x v="0"/>
  </r>
  <r>
    <x v="0"/>
    <x v="1"/>
    <x v="1"/>
    <x v="0"/>
    <x v="0"/>
    <x v="0"/>
    <s v="73"/>
    <x v="0"/>
    <x v="3"/>
    <x v="0"/>
    <n v="-7734.9"/>
    <x v="0"/>
  </r>
  <r>
    <x v="0"/>
    <x v="1"/>
    <x v="1"/>
    <x v="0"/>
    <x v="0"/>
    <x v="0"/>
    <s v="73"/>
    <x v="0"/>
    <x v="4"/>
    <x v="3"/>
    <n v="7734.9"/>
    <x v="0"/>
  </r>
  <r>
    <x v="0"/>
    <x v="1"/>
    <x v="1"/>
    <x v="0"/>
    <x v="0"/>
    <x v="0"/>
    <s v="73"/>
    <x v="0"/>
    <x v="4"/>
    <x v="0"/>
    <n v="-15185.02"/>
    <x v="0"/>
  </r>
  <r>
    <x v="0"/>
    <x v="1"/>
    <x v="1"/>
    <x v="0"/>
    <x v="0"/>
    <x v="0"/>
    <s v="24"/>
    <x v="0"/>
    <x v="3"/>
    <x v="3"/>
    <n v="-7622611.5499999998"/>
    <x v="0"/>
  </r>
  <r>
    <x v="0"/>
    <x v="1"/>
    <x v="1"/>
    <x v="0"/>
    <x v="0"/>
    <x v="0"/>
    <s v="24"/>
    <x v="0"/>
    <x v="3"/>
    <x v="0"/>
    <n v="7616880.8899999997"/>
    <x v="0"/>
  </r>
  <r>
    <x v="0"/>
    <x v="1"/>
    <x v="1"/>
    <x v="0"/>
    <x v="0"/>
    <x v="0"/>
    <s v="24"/>
    <x v="0"/>
    <x v="4"/>
    <x v="3"/>
    <n v="-7458237.8300000001"/>
    <x v="0"/>
  </r>
  <r>
    <x v="0"/>
    <x v="1"/>
    <x v="1"/>
    <x v="0"/>
    <x v="0"/>
    <x v="0"/>
    <s v="24"/>
    <x v="0"/>
    <x v="4"/>
    <x v="0"/>
    <n v="7519867.1799999997"/>
    <x v="0"/>
  </r>
  <r>
    <x v="0"/>
    <x v="1"/>
    <x v="1"/>
    <x v="0"/>
    <x v="0"/>
    <x v="1"/>
    <s v="22"/>
    <x v="0"/>
    <x v="3"/>
    <x v="0"/>
    <n v="-60"/>
    <x v="0"/>
  </r>
  <r>
    <x v="0"/>
    <x v="1"/>
    <x v="1"/>
    <x v="0"/>
    <x v="0"/>
    <x v="1"/>
    <s v="22"/>
    <x v="0"/>
    <x v="4"/>
    <x v="3"/>
    <n v="60"/>
    <x v="0"/>
  </r>
  <r>
    <x v="0"/>
    <x v="1"/>
    <x v="1"/>
    <x v="0"/>
    <x v="0"/>
    <x v="4"/>
    <s v="20"/>
    <x v="0"/>
    <x v="3"/>
    <x v="3"/>
    <n v="198.15"/>
    <x v="0"/>
  </r>
  <r>
    <x v="0"/>
    <x v="1"/>
    <x v="6"/>
    <x v="0"/>
    <x v="0"/>
    <x v="0"/>
    <s v="85"/>
    <x v="0"/>
    <x v="4"/>
    <x v="0"/>
    <n v="5878916.7999999998"/>
    <x v="0"/>
  </r>
  <r>
    <x v="0"/>
    <x v="0"/>
    <x v="3"/>
    <x v="0"/>
    <x v="0"/>
    <x v="0"/>
    <s v="01"/>
    <x v="0"/>
    <x v="3"/>
    <x v="3"/>
    <n v="25632.29"/>
    <x v="0"/>
  </r>
  <r>
    <x v="0"/>
    <x v="0"/>
    <x v="3"/>
    <x v="0"/>
    <x v="0"/>
    <x v="0"/>
    <s v="01"/>
    <x v="0"/>
    <x v="3"/>
    <x v="6"/>
    <n v="143552.07999999999"/>
    <x v="0"/>
  </r>
  <r>
    <x v="0"/>
    <x v="0"/>
    <x v="3"/>
    <x v="0"/>
    <x v="0"/>
    <x v="0"/>
    <s v="01"/>
    <x v="0"/>
    <x v="3"/>
    <x v="11"/>
    <n v="235425.89"/>
    <x v="0"/>
  </r>
  <r>
    <x v="0"/>
    <x v="0"/>
    <x v="3"/>
    <x v="0"/>
    <x v="0"/>
    <x v="0"/>
    <s v="01"/>
    <x v="0"/>
    <x v="3"/>
    <x v="0"/>
    <n v="860763.46"/>
    <x v="0"/>
  </r>
  <r>
    <x v="0"/>
    <x v="0"/>
    <x v="3"/>
    <x v="0"/>
    <x v="0"/>
    <x v="0"/>
    <s v="01"/>
    <x v="0"/>
    <x v="4"/>
    <x v="11"/>
    <n v="245016.57"/>
    <x v="0"/>
  </r>
  <r>
    <x v="0"/>
    <x v="0"/>
    <x v="3"/>
    <x v="0"/>
    <x v="0"/>
    <x v="0"/>
    <s v="01"/>
    <x v="0"/>
    <x v="4"/>
    <x v="2"/>
    <n v="370334.9"/>
    <x v="0"/>
  </r>
  <r>
    <x v="0"/>
    <x v="0"/>
    <x v="3"/>
    <x v="0"/>
    <x v="0"/>
    <x v="0"/>
    <s v="02"/>
    <x v="0"/>
    <x v="4"/>
    <x v="11"/>
    <n v="-1005"/>
    <x v="0"/>
  </r>
  <r>
    <x v="0"/>
    <x v="0"/>
    <x v="3"/>
    <x v="0"/>
    <x v="0"/>
    <x v="0"/>
    <s v="05"/>
    <x v="0"/>
    <x v="3"/>
    <x v="6"/>
    <n v="-15"/>
    <x v="0"/>
  </r>
  <r>
    <x v="0"/>
    <x v="0"/>
    <x v="3"/>
    <x v="0"/>
    <x v="0"/>
    <x v="0"/>
    <s v="09"/>
    <x v="0"/>
    <x v="3"/>
    <x v="5"/>
    <n v="9.35"/>
    <x v="0"/>
  </r>
  <r>
    <x v="0"/>
    <x v="0"/>
    <x v="3"/>
    <x v="0"/>
    <x v="0"/>
    <x v="0"/>
    <s v="09"/>
    <x v="0"/>
    <x v="3"/>
    <x v="7"/>
    <n v="1681.5"/>
    <x v="0"/>
  </r>
  <r>
    <x v="0"/>
    <x v="0"/>
    <x v="3"/>
    <x v="0"/>
    <x v="0"/>
    <x v="0"/>
    <s v="09"/>
    <x v="0"/>
    <x v="3"/>
    <x v="2"/>
    <n v="8686.7800000000007"/>
    <x v="0"/>
  </r>
  <r>
    <x v="0"/>
    <x v="0"/>
    <x v="3"/>
    <x v="0"/>
    <x v="0"/>
    <x v="0"/>
    <s v="09"/>
    <x v="0"/>
    <x v="4"/>
    <x v="5"/>
    <n v="248.09"/>
    <x v="0"/>
  </r>
  <r>
    <x v="0"/>
    <x v="0"/>
    <x v="3"/>
    <x v="0"/>
    <x v="0"/>
    <x v="0"/>
    <s v="09"/>
    <x v="0"/>
    <x v="4"/>
    <x v="7"/>
    <n v="2898.8"/>
    <x v="0"/>
  </r>
  <r>
    <x v="0"/>
    <x v="0"/>
    <x v="3"/>
    <x v="0"/>
    <x v="0"/>
    <x v="0"/>
    <s v="16"/>
    <x v="0"/>
    <x v="3"/>
    <x v="0"/>
    <n v="-30"/>
    <x v="0"/>
  </r>
  <r>
    <x v="0"/>
    <x v="0"/>
    <x v="3"/>
    <x v="0"/>
    <x v="0"/>
    <x v="0"/>
    <s v="20"/>
    <x v="0"/>
    <x v="3"/>
    <x v="8"/>
    <n v="-565.85"/>
    <x v="0"/>
  </r>
  <r>
    <x v="0"/>
    <x v="0"/>
    <x v="3"/>
    <x v="0"/>
    <x v="0"/>
    <x v="0"/>
    <s v="20"/>
    <x v="0"/>
    <x v="4"/>
    <x v="5"/>
    <n v="-2749.79"/>
    <x v="0"/>
  </r>
  <r>
    <x v="0"/>
    <x v="0"/>
    <x v="3"/>
    <x v="0"/>
    <x v="0"/>
    <x v="0"/>
    <s v="24"/>
    <x v="0"/>
    <x v="3"/>
    <x v="7"/>
    <n v="16677195.15"/>
    <x v="0"/>
  </r>
  <r>
    <x v="0"/>
    <x v="0"/>
    <x v="3"/>
    <x v="0"/>
    <x v="0"/>
    <x v="0"/>
    <s v="24"/>
    <x v="0"/>
    <x v="3"/>
    <x v="2"/>
    <n v="11922541.640000001"/>
    <x v="0"/>
  </r>
  <r>
    <x v="0"/>
    <x v="0"/>
    <x v="3"/>
    <x v="0"/>
    <x v="0"/>
    <x v="0"/>
    <s v="24"/>
    <x v="0"/>
    <x v="4"/>
    <x v="1"/>
    <n v="42610541.810000002"/>
    <x v="0"/>
  </r>
  <r>
    <x v="0"/>
    <x v="0"/>
    <x v="3"/>
    <x v="0"/>
    <x v="0"/>
    <x v="0"/>
    <s v="24"/>
    <x v="0"/>
    <x v="4"/>
    <x v="2"/>
    <n v="9355735.8100000005"/>
    <x v="0"/>
  </r>
  <r>
    <x v="0"/>
    <x v="0"/>
    <x v="3"/>
    <x v="0"/>
    <x v="0"/>
    <x v="0"/>
    <s v="30"/>
    <x v="0"/>
    <x v="3"/>
    <x v="7"/>
    <n v="810"/>
    <x v="0"/>
  </r>
  <r>
    <x v="0"/>
    <x v="0"/>
    <x v="3"/>
    <x v="0"/>
    <x v="0"/>
    <x v="0"/>
    <s v="30"/>
    <x v="0"/>
    <x v="4"/>
    <x v="1"/>
    <n v="739"/>
    <x v="0"/>
  </r>
  <r>
    <x v="0"/>
    <x v="0"/>
    <x v="3"/>
    <x v="0"/>
    <x v="0"/>
    <x v="0"/>
    <s v="40"/>
    <x v="0"/>
    <x v="3"/>
    <x v="5"/>
    <n v="-16605.73"/>
    <x v="0"/>
  </r>
  <r>
    <x v="0"/>
    <x v="0"/>
    <x v="3"/>
    <x v="0"/>
    <x v="0"/>
    <x v="0"/>
    <s v="90"/>
    <x v="0"/>
    <x v="4"/>
    <x v="0"/>
    <n v="1.97"/>
    <x v="0"/>
  </r>
  <r>
    <x v="0"/>
    <x v="0"/>
    <x v="3"/>
    <x v="0"/>
    <x v="0"/>
    <x v="0"/>
    <s v="99"/>
    <x v="0"/>
    <x v="3"/>
    <x v="3"/>
    <n v="3586.79"/>
    <x v="0"/>
  </r>
  <r>
    <x v="0"/>
    <x v="0"/>
    <x v="0"/>
    <x v="0"/>
    <x v="0"/>
    <x v="1"/>
    <s v="21"/>
    <x v="0"/>
    <x v="3"/>
    <x v="11"/>
    <n v="154014.92000000001"/>
    <x v="0"/>
  </r>
  <r>
    <x v="0"/>
    <x v="0"/>
    <x v="0"/>
    <x v="0"/>
    <x v="0"/>
    <x v="1"/>
    <s v="21"/>
    <x v="0"/>
    <x v="3"/>
    <x v="8"/>
    <n v="100"/>
    <x v="0"/>
  </r>
  <r>
    <x v="0"/>
    <x v="0"/>
    <x v="0"/>
    <x v="0"/>
    <x v="0"/>
    <x v="1"/>
    <s v="21"/>
    <x v="0"/>
    <x v="3"/>
    <x v="0"/>
    <n v="6321004.4000000004"/>
    <x v="0"/>
  </r>
  <r>
    <x v="0"/>
    <x v="0"/>
    <x v="0"/>
    <x v="0"/>
    <x v="0"/>
    <x v="1"/>
    <s v="21"/>
    <x v="0"/>
    <x v="4"/>
    <x v="6"/>
    <n v="525549"/>
    <x v="0"/>
  </r>
  <r>
    <x v="0"/>
    <x v="0"/>
    <x v="0"/>
    <x v="0"/>
    <x v="0"/>
    <x v="1"/>
    <s v="21"/>
    <x v="0"/>
    <x v="4"/>
    <x v="11"/>
    <n v="10000"/>
    <x v="0"/>
  </r>
  <r>
    <x v="0"/>
    <x v="0"/>
    <x v="0"/>
    <x v="0"/>
    <x v="0"/>
    <x v="1"/>
    <s v="21"/>
    <x v="0"/>
    <x v="4"/>
    <x v="0"/>
    <n v="7549579.2000000002"/>
    <x v="0"/>
  </r>
  <r>
    <x v="0"/>
    <x v="0"/>
    <x v="0"/>
    <x v="0"/>
    <x v="0"/>
    <x v="1"/>
    <s v="22"/>
    <x v="0"/>
    <x v="3"/>
    <x v="9"/>
    <n v="-707114"/>
    <x v="0"/>
  </r>
  <r>
    <x v="0"/>
    <x v="0"/>
    <x v="0"/>
    <x v="0"/>
    <x v="0"/>
    <x v="1"/>
    <s v="22"/>
    <x v="0"/>
    <x v="4"/>
    <x v="1"/>
    <n v="-50"/>
    <x v="0"/>
  </r>
  <r>
    <x v="0"/>
    <x v="0"/>
    <x v="0"/>
    <x v="0"/>
    <x v="0"/>
    <x v="1"/>
    <s v="22"/>
    <x v="0"/>
    <x v="4"/>
    <x v="9"/>
    <n v="-189236.69"/>
    <x v="0"/>
  </r>
  <r>
    <x v="0"/>
    <x v="0"/>
    <x v="0"/>
    <x v="0"/>
    <x v="0"/>
    <x v="1"/>
    <s v="22"/>
    <x v="0"/>
    <x v="4"/>
    <x v="10"/>
    <n v="-7773"/>
    <x v="0"/>
  </r>
  <r>
    <x v="0"/>
    <x v="0"/>
    <x v="0"/>
    <x v="0"/>
    <x v="0"/>
    <x v="1"/>
    <s v="88"/>
    <x v="0"/>
    <x v="3"/>
    <x v="11"/>
    <n v="-525459.12"/>
    <x v="0"/>
  </r>
  <r>
    <x v="0"/>
    <x v="0"/>
    <x v="0"/>
    <x v="0"/>
    <x v="0"/>
    <x v="1"/>
    <s v="88"/>
    <x v="0"/>
    <x v="3"/>
    <x v="2"/>
    <n v="-546947.68999999994"/>
    <x v="0"/>
  </r>
  <r>
    <x v="0"/>
    <x v="0"/>
    <x v="0"/>
    <x v="0"/>
    <x v="0"/>
    <x v="1"/>
    <s v="88"/>
    <x v="0"/>
    <x v="4"/>
    <x v="5"/>
    <n v="-577315.75"/>
    <x v="0"/>
  </r>
  <r>
    <x v="0"/>
    <x v="0"/>
    <x v="0"/>
    <x v="0"/>
    <x v="0"/>
    <x v="1"/>
    <s v="88"/>
    <x v="0"/>
    <x v="4"/>
    <x v="2"/>
    <n v="-611708.17000000004"/>
    <x v="0"/>
  </r>
  <r>
    <x v="0"/>
    <x v="0"/>
    <x v="0"/>
    <x v="0"/>
    <x v="0"/>
    <x v="0"/>
    <s v="20"/>
    <x v="0"/>
    <x v="3"/>
    <x v="9"/>
    <n v="-1811"/>
    <x v="0"/>
  </r>
  <r>
    <x v="0"/>
    <x v="0"/>
    <x v="0"/>
    <x v="0"/>
    <x v="0"/>
    <x v="0"/>
    <s v="20"/>
    <x v="0"/>
    <x v="3"/>
    <x v="10"/>
    <n v="-225"/>
    <x v="0"/>
  </r>
  <r>
    <x v="0"/>
    <x v="0"/>
    <x v="0"/>
    <x v="0"/>
    <x v="0"/>
    <x v="0"/>
    <s v="20"/>
    <x v="0"/>
    <x v="4"/>
    <x v="3"/>
    <n v="1586.65"/>
    <x v="0"/>
  </r>
  <r>
    <x v="0"/>
    <x v="0"/>
    <x v="0"/>
    <x v="0"/>
    <x v="0"/>
    <x v="0"/>
    <s v="20"/>
    <x v="0"/>
    <x v="4"/>
    <x v="10"/>
    <n v="-250"/>
    <x v="0"/>
  </r>
  <r>
    <x v="0"/>
    <x v="0"/>
    <x v="0"/>
    <x v="0"/>
    <x v="0"/>
    <x v="0"/>
    <s v="20"/>
    <x v="0"/>
    <x v="4"/>
    <x v="0"/>
    <n v="-250560.4"/>
    <x v="0"/>
  </r>
  <r>
    <x v="0"/>
    <x v="0"/>
    <x v="0"/>
    <x v="0"/>
    <x v="0"/>
    <x v="0"/>
    <s v="24"/>
    <x v="0"/>
    <x v="3"/>
    <x v="3"/>
    <n v="-68614.83"/>
    <x v="0"/>
  </r>
  <r>
    <x v="0"/>
    <x v="0"/>
    <x v="0"/>
    <x v="0"/>
    <x v="0"/>
    <x v="0"/>
    <s v="24"/>
    <x v="0"/>
    <x v="3"/>
    <x v="6"/>
    <n v="-646736.66"/>
    <x v="0"/>
  </r>
  <r>
    <x v="0"/>
    <x v="0"/>
    <x v="0"/>
    <x v="0"/>
    <x v="0"/>
    <x v="0"/>
    <s v="24"/>
    <x v="0"/>
    <x v="3"/>
    <x v="11"/>
    <n v="-897070.47"/>
    <x v="0"/>
  </r>
  <r>
    <x v="0"/>
    <x v="0"/>
    <x v="0"/>
    <x v="0"/>
    <x v="0"/>
    <x v="0"/>
    <s v="24"/>
    <x v="0"/>
    <x v="3"/>
    <x v="2"/>
    <n v="-995626.38"/>
    <x v="0"/>
  </r>
  <r>
    <x v="0"/>
    <x v="0"/>
    <x v="0"/>
    <x v="0"/>
    <x v="0"/>
    <x v="0"/>
    <s v="24"/>
    <x v="0"/>
    <x v="3"/>
    <x v="0"/>
    <n v="-730364.58"/>
    <x v="0"/>
  </r>
  <r>
    <x v="0"/>
    <x v="0"/>
    <x v="0"/>
    <x v="0"/>
    <x v="0"/>
    <x v="0"/>
    <s v="24"/>
    <x v="0"/>
    <x v="4"/>
    <x v="11"/>
    <n v="-502489.95"/>
    <x v="0"/>
  </r>
  <r>
    <x v="0"/>
    <x v="0"/>
    <x v="0"/>
    <x v="0"/>
    <x v="0"/>
    <x v="0"/>
    <s v="24"/>
    <x v="0"/>
    <x v="4"/>
    <x v="2"/>
    <n v="-949395.56"/>
    <x v="0"/>
  </r>
  <r>
    <x v="0"/>
    <x v="0"/>
    <x v="0"/>
    <x v="0"/>
    <x v="0"/>
    <x v="0"/>
    <s v="30"/>
    <x v="0"/>
    <x v="4"/>
    <x v="7"/>
    <n v="-1535"/>
    <x v="0"/>
  </r>
  <r>
    <x v="0"/>
    <x v="0"/>
    <x v="0"/>
    <x v="0"/>
    <x v="0"/>
    <x v="0"/>
    <s v="99"/>
    <x v="0"/>
    <x v="3"/>
    <x v="3"/>
    <n v="2610"/>
    <x v="0"/>
  </r>
  <r>
    <x v="0"/>
    <x v="0"/>
    <x v="0"/>
    <x v="0"/>
    <x v="0"/>
    <x v="0"/>
    <s v="99"/>
    <x v="0"/>
    <x v="3"/>
    <x v="4"/>
    <n v="2610"/>
    <x v="0"/>
  </r>
  <r>
    <x v="0"/>
    <x v="0"/>
    <x v="0"/>
    <x v="0"/>
    <x v="0"/>
    <x v="0"/>
    <s v="99"/>
    <x v="0"/>
    <x v="3"/>
    <x v="6"/>
    <n v="8381.6200000000008"/>
    <x v="0"/>
  </r>
  <r>
    <x v="0"/>
    <x v="0"/>
    <x v="0"/>
    <x v="0"/>
    <x v="0"/>
    <x v="0"/>
    <s v="99"/>
    <x v="0"/>
    <x v="4"/>
    <x v="3"/>
    <n v="20"/>
    <x v="0"/>
  </r>
  <r>
    <x v="0"/>
    <x v="0"/>
    <x v="0"/>
    <x v="0"/>
    <x v="0"/>
    <x v="0"/>
    <s v="99"/>
    <x v="0"/>
    <x v="4"/>
    <x v="4"/>
    <n v="1800.4"/>
    <x v="0"/>
  </r>
  <r>
    <x v="0"/>
    <x v="0"/>
    <x v="0"/>
    <x v="0"/>
    <x v="0"/>
    <x v="0"/>
    <s v="99"/>
    <x v="0"/>
    <x v="4"/>
    <x v="6"/>
    <n v="175"/>
    <x v="0"/>
  </r>
  <r>
    <x v="0"/>
    <x v="0"/>
    <x v="0"/>
    <x v="0"/>
    <x v="0"/>
    <x v="0"/>
    <s v="99"/>
    <x v="0"/>
    <x v="4"/>
    <x v="11"/>
    <n v="9541.8799999999992"/>
    <x v="0"/>
  </r>
  <r>
    <x v="0"/>
    <x v="0"/>
    <x v="0"/>
    <x v="0"/>
    <x v="0"/>
    <x v="1"/>
    <s v="21"/>
    <x v="0"/>
    <x v="4"/>
    <x v="9"/>
    <n v="250"/>
    <x v="0"/>
  </r>
  <r>
    <x v="0"/>
    <x v="0"/>
    <x v="0"/>
    <x v="0"/>
    <x v="0"/>
    <x v="1"/>
    <s v="21"/>
    <x v="0"/>
    <x v="4"/>
    <x v="10"/>
    <n v="5"/>
    <x v="0"/>
  </r>
  <r>
    <x v="0"/>
    <x v="0"/>
    <x v="0"/>
    <x v="0"/>
    <x v="0"/>
    <x v="1"/>
    <s v="21"/>
    <x v="0"/>
    <x v="4"/>
    <x v="8"/>
    <n v="459.6"/>
    <x v="0"/>
  </r>
  <r>
    <x v="0"/>
    <x v="0"/>
    <x v="0"/>
    <x v="0"/>
    <x v="0"/>
    <x v="1"/>
    <s v="22"/>
    <x v="0"/>
    <x v="3"/>
    <x v="5"/>
    <n v="-673228.92"/>
    <x v="0"/>
  </r>
  <r>
    <x v="0"/>
    <x v="0"/>
    <x v="0"/>
    <x v="0"/>
    <x v="0"/>
    <x v="1"/>
    <s v="22"/>
    <x v="0"/>
    <x v="3"/>
    <x v="7"/>
    <n v="-250"/>
    <x v="0"/>
  </r>
  <r>
    <x v="0"/>
    <x v="0"/>
    <x v="0"/>
    <x v="0"/>
    <x v="0"/>
    <x v="1"/>
    <s v="22"/>
    <x v="0"/>
    <x v="4"/>
    <x v="5"/>
    <n v="-32381"/>
    <x v="0"/>
  </r>
  <r>
    <x v="0"/>
    <x v="0"/>
    <x v="0"/>
    <x v="0"/>
    <x v="0"/>
    <x v="1"/>
    <s v="22"/>
    <x v="0"/>
    <x v="4"/>
    <x v="7"/>
    <n v="-2620939.25"/>
    <x v="0"/>
  </r>
  <r>
    <x v="0"/>
    <x v="0"/>
    <x v="0"/>
    <x v="0"/>
    <x v="0"/>
    <x v="1"/>
    <s v="88"/>
    <x v="0"/>
    <x v="3"/>
    <x v="3"/>
    <n v="-110281.01"/>
    <x v="0"/>
  </r>
  <r>
    <x v="0"/>
    <x v="0"/>
    <x v="0"/>
    <x v="0"/>
    <x v="0"/>
    <x v="1"/>
    <s v="88"/>
    <x v="0"/>
    <x v="3"/>
    <x v="4"/>
    <n v="-110281.01"/>
    <x v="0"/>
  </r>
  <r>
    <x v="0"/>
    <x v="0"/>
    <x v="0"/>
    <x v="0"/>
    <x v="0"/>
    <x v="1"/>
    <s v="88"/>
    <x v="0"/>
    <x v="3"/>
    <x v="6"/>
    <n v="-353225.13"/>
    <x v="0"/>
  </r>
  <r>
    <x v="0"/>
    <x v="0"/>
    <x v="0"/>
    <x v="0"/>
    <x v="0"/>
    <x v="1"/>
    <s v="88"/>
    <x v="0"/>
    <x v="3"/>
    <x v="8"/>
    <n v="-547189.42000000004"/>
    <x v="0"/>
  </r>
  <r>
    <x v="0"/>
    <x v="0"/>
    <x v="0"/>
    <x v="0"/>
    <x v="0"/>
    <x v="1"/>
    <s v="88"/>
    <x v="0"/>
    <x v="3"/>
    <x v="0"/>
    <n v="5193530.47"/>
    <x v="0"/>
  </r>
  <r>
    <x v="0"/>
    <x v="0"/>
    <x v="0"/>
    <x v="0"/>
    <x v="0"/>
    <x v="1"/>
    <s v="88"/>
    <x v="0"/>
    <x v="4"/>
    <x v="3"/>
    <n v="-173223.65"/>
    <x v="0"/>
  </r>
  <r>
    <x v="0"/>
    <x v="0"/>
    <x v="0"/>
    <x v="0"/>
    <x v="0"/>
    <x v="1"/>
    <s v="88"/>
    <x v="0"/>
    <x v="4"/>
    <x v="4"/>
    <n v="-537603.81999999995"/>
    <x v="0"/>
  </r>
  <r>
    <x v="0"/>
    <x v="0"/>
    <x v="0"/>
    <x v="0"/>
    <x v="0"/>
    <x v="1"/>
    <s v="88"/>
    <x v="0"/>
    <x v="4"/>
    <x v="6"/>
    <n v="-590994.16"/>
    <x v="0"/>
  </r>
  <r>
    <x v="0"/>
    <x v="0"/>
    <x v="0"/>
    <x v="0"/>
    <x v="0"/>
    <x v="1"/>
    <s v="88"/>
    <x v="0"/>
    <x v="4"/>
    <x v="11"/>
    <n v="-607864.35"/>
    <x v="0"/>
  </r>
  <r>
    <x v="0"/>
    <x v="0"/>
    <x v="0"/>
    <x v="0"/>
    <x v="0"/>
    <x v="1"/>
    <s v="88"/>
    <x v="0"/>
    <x v="4"/>
    <x v="8"/>
    <n v="-595097.07999999996"/>
    <x v="0"/>
  </r>
  <r>
    <x v="0"/>
    <x v="0"/>
    <x v="0"/>
    <x v="0"/>
    <x v="0"/>
    <x v="1"/>
    <s v="88"/>
    <x v="0"/>
    <x v="4"/>
    <x v="0"/>
    <n v="6078954.7300000004"/>
    <x v="0"/>
  </r>
  <r>
    <x v="0"/>
    <x v="0"/>
    <x v="0"/>
    <x v="0"/>
    <x v="0"/>
    <x v="4"/>
    <s v="01"/>
    <x v="0"/>
    <x v="3"/>
    <x v="2"/>
    <n v="372"/>
    <x v="0"/>
  </r>
  <r>
    <x v="0"/>
    <x v="0"/>
    <x v="0"/>
    <x v="0"/>
    <x v="0"/>
    <x v="0"/>
    <s v="02"/>
    <x v="0"/>
    <x v="4"/>
    <x v="1"/>
    <n v="119738.1"/>
    <x v="0"/>
  </r>
  <r>
    <x v="0"/>
    <x v="0"/>
    <x v="0"/>
    <x v="0"/>
    <x v="0"/>
    <x v="0"/>
    <s v="02"/>
    <x v="0"/>
    <x v="4"/>
    <x v="9"/>
    <n v="-119336.46"/>
    <x v="0"/>
  </r>
  <r>
    <x v="0"/>
    <x v="0"/>
    <x v="0"/>
    <x v="0"/>
    <x v="0"/>
    <x v="0"/>
    <s v="20"/>
    <x v="0"/>
    <x v="4"/>
    <x v="1"/>
    <n v="617.5"/>
    <x v="0"/>
  </r>
  <r>
    <x v="0"/>
    <x v="0"/>
    <x v="0"/>
    <x v="0"/>
    <x v="0"/>
    <x v="0"/>
    <s v="20"/>
    <x v="0"/>
    <x v="4"/>
    <x v="9"/>
    <n v="-1600"/>
    <x v="0"/>
  </r>
  <r>
    <x v="0"/>
    <x v="0"/>
    <x v="0"/>
    <x v="0"/>
    <x v="0"/>
    <x v="0"/>
    <s v="24"/>
    <x v="0"/>
    <x v="3"/>
    <x v="4"/>
    <n v="-68614.83"/>
    <x v="0"/>
  </r>
  <r>
    <x v="0"/>
    <x v="0"/>
    <x v="0"/>
    <x v="0"/>
    <x v="0"/>
    <x v="0"/>
    <s v="24"/>
    <x v="0"/>
    <x v="3"/>
    <x v="10"/>
    <n v="221336555.22999999"/>
    <x v="0"/>
  </r>
  <r>
    <x v="0"/>
    <x v="0"/>
    <x v="0"/>
    <x v="0"/>
    <x v="0"/>
    <x v="0"/>
    <s v="24"/>
    <x v="0"/>
    <x v="3"/>
    <x v="8"/>
    <n v="-3034097.47"/>
    <x v="0"/>
  </r>
  <r>
    <x v="0"/>
    <x v="0"/>
    <x v="0"/>
    <x v="0"/>
    <x v="0"/>
    <x v="0"/>
    <s v="24"/>
    <x v="0"/>
    <x v="4"/>
    <x v="3"/>
    <n v="-67479.02"/>
    <x v="0"/>
  </r>
  <r>
    <x v="0"/>
    <x v="0"/>
    <x v="0"/>
    <x v="0"/>
    <x v="0"/>
    <x v="0"/>
    <s v="24"/>
    <x v="0"/>
    <x v="4"/>
    <x v="4"/>
    <n v="261785814.49000001"/>
    <x v="0"/>
  </r>
  <r>
    <x v="0"/>
    <x v="0"/>
    <x v="0"/>
    <x v="0"/>
    <x v="0"/>
    <x v="0"/>
    <s v="24"/>
    <x v="0"/>
    <x v="4"/>
    <x v="6"/>
    <n v="-684852.52"/>
    <x v="0"/>
  </r>
  <r>
    <x v="0"/>
    <x v="0"/>
    <x v="0"/>
    <x v="0"/>
    <x v="0"/>
    <x v="0"/>
    <s v="24"/>
    <x v="0"/>
    <x v="4"/>
    <x v="8"/>
    <n v="-5788473.3799999999"/>
    <x v="0"/>
  </r>
  <r>
    <x v="0"/>
    <x v="0"/>
    <x v="0"/>
    <x v="0"/>
    <x v="0"/>
    <x v="0"/>
    <s v="24"/>
    <x v="0"/>
    <x v="4"/>
    <x v="0"/>
    <n v="-800268.75"/>
    <x v="0"/>
  </r>
  <r>
    <x v="0"/>
    <x v="0"/>
    <x v="0"/>
    <x v="0"/>
    <x v="0"/>
    <x v="0"/>
    <s v="30"/>
    <x v="0"/>
    <x v="3"/>
    <x v="2"/>
    <n v="5.49"/>
    <x v="0"/>
  </r>
  <r>
    <x v="0"/>
    <x v="0"/>
    <x v="0"/>
    <x v="0"/>
    <x v="0"/>
    <x v="0"/>
    <s v="30"/>
    <x v="0"/>
    <x v="4"/>
    <x v="2"/>
    <n v="-2056"/>
    <x v="0"/>
  </r>
  <r>
    <x v="0"/>
    <x v="0"/>
    <x v="0"/>
    <x v="0"/>
    <x v="0"/>
    <x v="0"/>
    <s v="99"/>
    <x v="0"/>
    <x v="3"/>
    <x v="1"/>
    <n v="2610"/>
    <x v="0"/>
  </r>
  <r>
    <x v="0"/>
    <x v="0"/>
    <x v="0"/>
    <x v="0"/>
    <x v="0"/>
    <x v="0"/>
    <s v="99"/>
    <x v="0"/>
    <x v="3"/>
    <x v="9"/>
    <n v="120.79"/>
    <x v="0"/>
  </r>
  <r>
    <x v="0"/>
    <x v="0"/>
    <x v="0"/>
    <x v="0"/>
    <x v="0"/>
    <x v="0"/>
    <s v="99"/>
    <x v="0"/>
    <x v="3"/>
    <x v="10"/>
    <n v="-108.92"/>
    <x v="0"/>
  </r>
  <r>
    <x v="0"/>
    <x v="0"/>
    <x v="0"/>
    <x v="0"/>
    <x v="0"/>
    <x v="0"/>
    <s v="99"/>
    <x v="0"/>
    <x v="4"/>
    <x v="9"/>
    <n v="-175"/>
    <x v="0"/>
  </r>
  <r>
    <x v="0"/>
    <x v="0"/>
    <x v="0"/>
    <x v="0"/>
    <x v="0"/>
    <x v="0"/>
    <s v="99"/>
    <x v="0"/>
    <x v="4"/>
    <x v="10"/>
    <n v="759.24"/>
    <x v="0"/>
  </r>
  <r>
    <x v="0"/>
    <x v="0"/>
    <x v="0"/>
    <x v="0"/>
    <x v="0"/>
    <x v="1"/>
    <s v="21"/>
    <x v="0"/>
    <x v="3"/>
    <x v="7"/>
    <n v="472016.92"/>
    <x v="0"/>
  </r>
  <r>
    <x v="0"/>
    <x v="0"/>
    <x v="0"/>
    <x v="0"/>
    <x v="0"/>
    <x v="1"/>
    <s v="21"/>
    <x v="0"/>
    <x v="4"/>
    <x v="1"/>
    <n v="53752.639999999999"/>
    <x v="0"/>
  </r>
  <r>
    <x v="0"/>
    <x v="0"/>
    <x v="0"/>
    <x v="0"/>
    <x v="0"/>
    <x v="1"/>
    <s v="22"/>
    <x v="0"/>
    <x v="3"/>
    <x v="6"/>
    <n v="-135500"/>
    <x v="0"/>
  </r>
  <r>
    <x v="0"/>
    <x v="0"/>
    <x v="0"/>
    <x v="0"/>
    <x v="0"/>
    <x v="1"/>
    <s v="22"/>
    <x v="0"/>
    <x v="3"/>
    <x v="11"/>
    <n v="-155828"/>
    <x v="0"/>
  </r>
  <r>
    <x v="0"/>
    <x v="0"/>
    <x v="0"/>
    <x v="0"/>
    <x v="0"/>
    <x v="1"/>
    <s v="22"/>
    <x v="0"/>
    <x v="3"/>
    <x v="2"/>
    <n v="-7087493"/>
    <x v="0"/>
  </r>
  <r>
    <x v="0"/>
    <x v="0"/>
    <x v="0"/>
    <x v="0"/>
    <x v="0"/>
    <x v="1"/>
    <s v="22"/>
    <x v="0"/>
    <x v="3"/>
    <x v="0"/>
    <n v="-17737565.09"/>
    <x v="0"/>
  </r>
  <r>
    <x v="0"/>
    <x v="0"/>
    <x v="0"/>
    <x v="0"/>
    <x v="0"/>
    <x v="1"/>
    <s v="22"/>
    <x v="0"/>
    <x v="4"/>
    <x v="11"/>
    <n v="-31190940"/>
    <x v="0"/>
  </r>
  <r>
    <x v="0"/>
    <x v="0"/>
    <x v="0"/>
    <x v="0"/>
    <x v="0"/>
    <x v="1"/>
    <s v="22"/>
    <x v="0"/>
    <x v="4"/>
    <x v="2"/>
    <n v="-459.6"/>
    <x v="0"/>
  </r>
  <r>
    <x v="0"/>
    <x v="0"/>
    <x v="0"/>
    <x v="0"/>
    <x v="0"/>
    <x v="1"/>
    <s v="88"/>
    <x v="0"/>
    <x v="3"/>
    <x v="1"/>
    <n v="-110281.01"/>
    <x v="0"/>
  </r>
  <r>
    <x v="0"/>
    <x v="0"/>
    <x v="0"/>
    <x v="0"/>
    <x v="0"/>
    <x v="1"/>
    <s v="88"/>
    <x v="0"/>
    <x v="3"/>
    <x v="9"/>
    <n v="-385383.98"/>
    <x v="0"/>
  </r>
  <r>
    <x v="0"/>
    <x v="0"/>
    <x v="0"/>
    <x v="0"/>
    <x v="0"/>
    <x v="1"/>
    <s v="88"/>
    <x v="0"/>
    <x v="3"/>
    <x v="10"/>
    <n v="-547430.26"/>
    <x v="0"/>
  </r>
  <r>
    <x v="0"/>
    <x v="0"/>
    <x v="0"/>
    <x v="0"/>
    <x v="0"/>
    <x v="1"/>
    <s v="88"/>
    <x v="0"/>
    <x v="4"/>
    <x v="9"/>
    <n v="-602991.16"/>
    <x v="0"/>
  </r>
  <r>
    <x v="0"/>
    <x v="0"/>
    <x v="1"/>
    <x v="0"/>
    <x v="0"/>
    <x v="0"/>
    <s v="24"/>
    <x v="0"/>
    <x v="3"/>
    <x v="2"/>
    <n v="308693.78999999998"/>
    <x v="0"/>
  </r>
  <r>
    <x v="0"/>
    <x v="0"/>
    <x v="1"/>
    <x v="0"/>
    <x v="0"/>
    <x v="0"/>
    <s v="24"/>
    <x v="0"/>
    <x v="4"/>
    <x v="5"/>
    <n v="3673477.34"/>
    <x v="0"/>
  </r>
  <r>
    <x v="0"/>
    <x v="0"/>
    <x v="1"/>
    <x v="0"/>
    <x v="0"/>
    <x v="0"/>
    <s v="24"/>
    <x v="0"/>
    <x v="4"/>
    <x v="2"/>
    <n v="221133.06"/>
    <x v="0"/>
  </r>
  <r>
    <x v="0"/>
    <x v="0"/>
    <x v="1"/>
    <x v="0"/>
    <x v="0"/>
    <x v="0"/>
    <s v="40"/>
    <x v="0"/>
    <x v="4"/>
    <x v="11"/>
    <n v="390"/>
    <x v="0"/>
  </r>
  <r>
    <x v="0"/>
    <x v="0"/>
    <x v="1"/>
    <x v="0"/>
    <x v="0"/>
    <x v="0"/>
    <s v="73"/>
    <x v="0"/>
    <x v="3"/>
    <x v="11"/>
    <n v="-68369.84"/>
    <x v="0"/>
  </r>
  <r>
    <x v="0"/>
    <x v="0"/>
    <x v="1"/>
    <x v="0"/>
    <x v="0"/>
    <x v="0"/>
    <s v="73"/>
    <x v="0"/>
    <x v="3"/>
    <x v="2"/>
    <n v="-60892.23"/>
    <x v="0"/>
  </r>
  <r>
    <x v="0"/>
    <x v="0"/>
    <x v="1"/>
    <x v="0"/>
    <x v="0"/>
    <x v="0"/>
    <s v="73"/>
    <x v="0"/>
    <x v="4"/>
    <x v="2"/>
    <n v="-77288.37"/>
    <x v="0"/>
  </r>
  <r>
    <x v="0"/>
    <x v="0"/>
    <x v="1"/>
    <x v="0"/>
    <x v="0"/>
    <x v="1"/>
    <s v="22"/>
    <x v="0"/>
    <x v="3"/>
    <x v="7"/>
    <n v="-83375"/>
    <x v="0"/>
  </r>
  <r>
    <x v="0"/>
    <x v="0"/>
    <x v="1"/>
    <x v="0"/>
    <x v="0"/>
    <x v="1"/>
    <s v="22"/>
    <x v="0"/>
    <x v="4"/>
    <x v="7"/>
    <n v="-54125"/>
    <x v="0"/>
  </r>
  <r>
    <x v="0"/>
    <x v="0"/>
    <x v="1"/>
    <x v="0"/>
    <x v="0"/>
    <x v="4"/>
    <s v="20"/>
    <x v="0"/>
    <x v="3"/>
    <x v="7"/>
    <n v="538.45000000000005"/>
    <x v="0"/>
  </r>
  <r>
    <x v="0"/>
    <x v="0"/>
    <x v="1"/>
    <x v="0"/>
    <x v="0"/>
    <x v="4"/>
    <s v="20"/>
    <x v="0"/>
    <x v="4"/>
    <x v="7"/>
    <n v="20696.330000000002"/>
    <x v="0"/>
  </r>
  <r>
    <x v="0"/>
    <x v="0"/>
    <x v="5"/>
    <x v="0"/>
    <x v="0"/>
    <x v="0"/>
    <s v="02"/>
    <x v="0"/>
    <x v="4"/>
    <x v="11"/>
    <n v="-15724.62"/>
    <x v="0"/>
  </r>
  <r>
    <x v="0"/>
    <x v="0"/>
    <x v="5"/>
    <x v="0"/>
    <x v="0"/>
    <x v="0"/>
    <s v="09"/>
    <x v="0"/>
    <x v="3"/>
    <x v="3"/>
    <n v="-106894.8"/>
    <x v="0"/>
  </r>
  <r>
    <x v="0"/>
    <x v="0"/>
    <x v="5"/>
    <x v="0"/>
    <x v="0"/>
    <x v="0"/>
    <s v="09"/>
    <x v="0"/>
    <x v="4"/>
    <x v="0"/>
    <n v="887307"/>
    <x v="0"/>
  </r>
  <r>
    <x v="0"/>
    <x v="0"/>
    <x v="5"/>
    <x v="0"/>
    <x v="0"/>
    <x v="0"/>
    <s v="24"/>
    <x v="0"/>
    <x v="3"/>
    <x v="5"/>
    <n v="-85540.160000000003"/>
    <x v="0"/>
  </r>
  <r>
    <x v="0"/>
    <x v="0"/>
    <x v="5"/>
    <x v="0"/>
    <x v="0"/>
    <x v="0"/>
    <s v="24"/>
    <x v="0"/>
    <x v="3"/>
    <x v="7"/>
    <n v="-1075441.5900000001"/>
    <x v="0"/>
  </r>
  <r>
    <x v="0"/>
    <x v="0"/>
    <x v="5"/>
    <x v="0"/>
    <x v="0"/>
    <x v="0"/>
    <s v="24"/>
    <x v="0"/>
    <x v="3"/>
    <x v="8"/>
    <n v="751950.17"/>
    <x v="0"/>
  </r>
  <r>
    <x v="0"/>
    <x v="0"/>
    <x v="5"/>
    <x v="0"/>
    <x v="0"/>
    <x v="0"/>
    <s v="24"/>
    <x v="0"/>
    <x v="3"/>
    <x v="0"/>
    <n v="-292406.03000000003"/>
    <x v="0"/>
  </r>
  <r>
    <x v="0"/>
    <x v="0"/>
    <x v="5"/>
    <x v="0"/>
    <x v="0"/>
    <x v="0"/>
    <s v="24"/>
    <x v="0"/>
    <x v="4"/>
    <x v="5"/>
    <n v="-52347.44"/>
    <x v="0"/>
  </r>
  <r>
    <x v="0"/>
    <x v="0"/>
    <x v="5"/>
    <x v="0"/>
    <x v="0"/>
    <x v="0"/>
    <s v="24"/>
    <x v="0"/>
    <x v="4"/>
    <x v="7"/>
    <n v="-2062031.49"/>
    <x v="0"/>
  </r>
  <r>
    <x v="0"/>
    <x v="0"/>
    <x v="5"/>
    <x v="0"/>
    <x v="0"/>
    <x v="0"/>
    <s v="24"/>
    <x v="0"/>
    <x v="4"/>
    <x v="0"/>
    <n v="-292880.12"/>
    <x v="0"/>
  </r>
  <r>
    <x v="0"/>
    <x v="0"/>
    <x v="5"/>
    <x v="0"/>
    <x v="0"/>
    <x v="0"/>
    <s v="30"/>
    <x v="0"/>
    <x v="4"/>
    <x v="5"/>
    <n v="910"/>
    <x v="0"/>
  </r>
  <r>
    <x v="0"/>
    <x v="0"/>
    <x v="5"/>
    <x v="0"/>
    <x v="0"/>
    <x v="0"/>
    <s v="30"/>
    <x v="0"/>
    <x v="4"/>
    <x v="7"/>
    <n v="910"/>
    <x v="0"/>
  </r>
  <r>
    <x v="0"/>
    <x v="0"/>
    <x v="5"/>
    <x v="0"/>
    <x v="0"/>
    <x v="0"/>
    <s v="99"/>
    <x v="0"/>
    <x v="3"/>
    <x v="8"/>
    <n v="1525.82"/>
    <x v="0"/>
  </r>
  <r>
    <x v="0"/>
    <x v="0"/>
    <x v="5"/>
    <x v="0"/>
    <x v="0"/>
    <x v="0"/>
    <s v="99"/>
    <x v="0"/>
    <x v="4"/>
    <x v="8"/>
    <n v="413"/>
    <x v="0"/>
  </r>
  <r>
    <x v="0"/>
    <x v="0"/>
    <x v="5"/>
    <x v="0"/>
    <x v="0"/>
    <x v="3"/>
    <s v="41"/>
    <x v="0"/>
    <x v="3"/>
    <x v="5"/>
    <n v="100"/>
    <x v="1"/>
  </r>
  <r>
    <x v="0"/>
    <x v="0"/>
    <x v="5"/>
    <x v="0"/>
    <x v="0"/>
    <x v="3"/>
    <s v="41"/>
    <x v="0"/>
    <x v="3"/>
    <x v="7"/>
    <n v="-100"/>
    <x v="1"/>
  </r>
  <r>
    <x v="0"/>
    <x v="0"/>
    <x v="5"/>
    <x v="0"/>
    <x v="0"/>
    <x v="0"/>
    <s v="02"/>
    <x v="0"/>
    <x v="4"/>
    <x v="8"/>
    <n v="15724.62"/>
    <x v="0"/>
  </r>
  <r>
    <x v="0"/>
    <x v="0"/>
    <x v="5"/>
    <x v="0"/>
    <x v="0"/>
    <x v="0"/>
    <s v="02"/>
    <x v="0"/>
    <x v="4"/>
    <x v="0"/>
    <n v="15724.62"/>
    <x v="0"/>
  </r>
  <r>
    <x v="0"/>
    <x v="0"/>
    <x v="5"/>
    <x v="0"/>
    <x v="0"/>
    <x v="0"/>
    <s v="09"/>
    <x v="0"/>
    <x v="3"/>
    <x v="0"/>
    <n v="584982"/>
    <x v="0"/>
  </r>
  <r>
    <x v="0"/>
    <x v="0"/>
    <x v="5"/>
    <x v="0"/>
    <x v="0"/>
    <x v="0"/>
    <s v="24"/>
    <x v="0"/>
    <x v="3"/>
    <x v="1"/>
    <n v="-1481145.1"/>
    <x v="0"/>
  </r>
  <r>
    <x v="0"/>
    <x v="0"/>
    <x v="5"/>
    <x v="0"/>
    <x v="0"/>
    <x v="0"/>
    <s v="24"/>
    <x v="0"/>
    <x v="3"/>
    <x v="2"/>
    <n v="-150750.79999999999"/>
    <x v="0"/>
  </r>
  <r>
    <x v="0"/>
    <x v="0"/>
    <x v="5"/>
    <x v="0"/>
    <x v="0"/>
    <x v="0"/>
    <s v="24"/>
    <x v="0"/>
    <x v="4"/>
    <x v="1"/>
    <n v="-1868721.12"/>
    <x v="0"/>
  </r>
  <r>
    <x v="0"/>
    <x v="0"/>
    <x v="5"/>
    <x v="0"/>
    <x v="0"/>
    <x v="0"/>
    <s v="24"/>
    <x v="0"/>
    <x v="4"/>
    <x v="9"/>
    <n v="22202019.460000001"/>
    <x v="0"/>
  </r>
  <r>
    <x v="0"/>
    <x v="0"/>
    <x v="5"/>
    <x v="0"/>
    <x v="0"/>
    <x v="0"/>
    <s v="24"/>
    <x v="0"/>
    <x v="4"/>
    <x v="2"/>
    <n v="-4013.83"/>
    <x v="0"/>
  </r>
  <r>
    <x v="0"/>
    <x v="0"/>
    <x v="5"/>
    <x v="0"/>
    <x v="0"/>
    <x v="0"/>
    <s v="99"/>
    <x v="0"/>
    <x v="3"/>
    <x v="0"/>
    <n v="-1525.82"/>
    <x v="0"/>
  </r>
  <r>
    <x v="0"/>
    <x v="0"/>
    <x v="5"/>
    <x v="0"/>
    <x v="0"/>
    <x v="0"/>
    <s v="02"/>
    <x v="0"/>
    <x v="4"/>
    <x v="7"/>
    <n v="15724.62"/>
    <x v="0"/>
  </r>
  <r>
    <x v="0"/>
    <x v="0"/>
    <x v="5"/>
    <x v="0"/>
    <x v="0"/>
    <x v="0"/>
    <s v="02"/>
    <x v="0"/>
    <x v="4"/>
    <x v="2"/>
    <n v="15724.62"/>
    <x v="0"/>
  </r>
  <r>
    <x v="0"/>
    <x v="0"/>
    <x v="5"/>
    <x v="0"/>
    <x v="0"/>
    <x v="0"/>
    <s v="13"/>
    <x v="0"/>
    <x v="3"/>
    <x v="4"/>
    <n v="-800"/>
    <x v="0"/>
  </r>
  <r>
    <x v="0"/>
    <x v="0"/>
    <x v="5"/>
    <x v="0"/>
    <x v="0"/>
    <x v="0"/>
    <s v="13"/>
    <x v="0"/>
    <x v="4"/>
    <x v="3"/>
    <n v="313500"/>
    <x v="0"/>
  </r>
  <r>
    <x v="0"/>
    <x v="0"/>
    <x v="5"/>
    <x v="0"/>
    <x v="0"/>
    <x v="0"/>
    <s v="13"/>
    <x v="0"/>
    <x v="4"/>
    <x v="0"/>
    <n v="-313500"/>
    <x v="0"/>
  </r>
  <r>
    <x v="0"/>
    <x v="0"/>
    <x v="5"/>
    <x v="0"/>
    <x v="0"/>
    <x v="0"/>
    <s v="24"/>
    <x v="0"/>
    <x v="3"/>
    <x v="9"/>
    <n v="21987705.48"/>
    <x v="0"/>
  </r>
  <r>
    <x v="0"/>
    <x v="0"/>
    <x v="5"/>
    <x v="0"/>
    <x v="0"/>
    <x v="0"/>
    <s v="24"/>
    <x v="0"/>
    <x v="3"/>
    <x v="10"/>
    <n v="17857059.989999998"/>
    <x v="0"/>
  </r>
  <r>
    <x v="0"/>
    <x v="0"/>
    <x v="5"/>
    <x v="0"/>
    <x v="0"/>
    <x v="0"/>
    <s v="24"/>
    <x v="0"/>
    <x v="4"/>
    <x v="4"/>
    <n v="23904617.629999999"/>
    <x v="0"/>
  </r>
  <r>
    <x v="0"/>
    <x v="0"/>
    <x v="5"/>
    <x v="0"/>
    <x v="0"/>
    <x v="0"/>
    <s v="24"/>
    <x v="0"/>
    <x v="4"/>
    <x v="10"/>
    <n v="17448000.219999999"/>
    <x v="0"/>
  </r>
  <r>
    <x v="0"/>
    <x v="0"/>
    <x v="5"/>
    <x v="0"/>
    <x v="0"/>
    <x v="0"/>
    <s v="30"/>
    <x v="0"/>
    <x v="4"/>
    <x v="10"/>
    <n v="235"/>
    <x v="0"/>
  </r>
  <r>
    <x v="0"/>
    <x v="0"/>
    <x v="5"/>
    <x v="0"/>
    <x v="0"/>
    <x v="0"/>
    <s v="30"/>
    <x v="0"/>
    <x v="4"/>
    <x v="8"/>
    <n v="650"/>
    <x v="0"/>
  </r>
  <r>
    <x v="0"/>
    <x v="0"/>
    <x v="5"/>
    <x v="0"/>
    <x v="0"/>
    <x v="0"/>
    <s v="02"/>
    <x v="0"/>
    <x v="4"/>
    <x v="10"/>
    <n v="47173.86"/>
    <x v="0"/>
  </r>
  <r>
    <x v="0"/>
    <x v="0"/>
    <x v="5"/>
    <x v="0"/>
    <x v="0"/>
    <x v="0"/>
    <s v="09"/>
    <x v="0"/>
    <x v="4"/>
    <x v="3"/>
    <n v="-99000"/>
    <x v="0"/>
  </r>
  <r>
    <x v="0"/>
    <x v="0"/>
    <x v="5"/>
    <x v="0"/>
    <x v="0"/>
    <x v="0"/>
    <s v="13"/>
    <x v="0"/>
    <x v="3"/>
    <x v="3"/>
    <n v="46900"/>
    <x v="0"/>
  </r>
  <r>
    <x v="0"/>
    <x v="0"/>
    <x v="5"/>
    <x v="0"/>
    <x v="0"/>
    <x v="0"/>
    <s v="13"/>
    <x v="0"/>
    <x v="3"/>
    <x v="0"/>
    <n v="-46100"/>
    <x v="0"/>
  </r>
  <r>
    <x v="0"/>
    <x v="0"/>
    <x v="5"/>
    <x v="0"/>
    <x v="0"/>
    <x v="0"/>
    <s v="24"/>
    <x v="0"/>
    <x v="3"/>
    <x v="3"/>
    <n v="-25634.32"/>
    <x v="0"/>
  </r>
  <r>
    <x v="0"/>
    <x v="0"/>
    <x v="5"/>
    <x v="0"/>
    <x v="0"/>
    <x v="0"/>
    <s v="24"/>
    <x v="0"/>
    <x v="3"/>
    <x v="4"/>
    <n v="23875518.609999999"/>
    <x v="0"/>
  </r>
  <r>
    <x v="0"/>
    <x v="0"/>
    <x v="5"/>
    <x v="0"/>
    <x v="0"/>
    <x v="0"/>
    <s v="24"/>
    <x v="0"/>
    <x v="3"/>
    <x v="6"/>
    <n v="-65966.960000000006"/>
    <x v="0"/>
  </r>
  <r>
    <x v="0"/>
    <x v="0"/>
    <x v="5"/>
    <x v="0"/>
    <x v="0"/>
    <x v="0"/>
    <s v="24"/>
    <x v="0"/>
    <x v="3"/>
    <x v="11"/>
    <n v="-73307.73"/>
    <x v="0"/>
  </r>
  <r>
    <x v="0"/>
    <x v="0"/>
    <x v="5"/>
    <x v="0"/>
    <x v="0"/>
    <x v="0"/>
    <s v="24"/>
    <x v="0"/>
    <x v="4"/>
    <x v="3"/>
    <n v="2931.58"/>
    <x v="0"/>
  </r>
  <r>
    <x v="0"/>
    <x v="0"/>
    <x v="5"/>
    <x v="0"/>
    <x v="0"/>
    <x v="0"/>
    <s v="24"/>
    <x v="0"/>
    <x v="4"/>
    <x v="6"/>
    <n v="-171565.35"/>
    <x v="0"/>
  </r>
  <r>
    <x v="0"/>
    <x v="0"/>
    <x v="5"/>
    <x v="0"/>
    <x v="0"/>
    <x v="0"/>
    <s v="24"/>
    <x v="0"/>
    <x v="4"/>
    <x v="11"/>
    <n v="-2581.11"/>
    <x v="0"/>
  </r>
  <r>
    <x v="0"/>
    <x v="0"/>
    <x v="5"/>
    <x v="0"/>
    <x v="0"/>
    <x v="0"/>
    <s v="24"/>
    <x v="0"/>
    <x v="4"/>
    <x v="8"/>
    <n v="514541.95"/>
    <x v="0"/>
  </r>
  <r>
    <x v="0"/>
    <x v="0"/>
    <x v="5"/>
    <x v="0"/>
    <x v="0"/>
    <x v="0"/>
    <s v="30"/>
    <x v="0"/>
    <x v="4"/>
    <x v="11"/>
    <n v="5"/>
    <x v="0"/>
  </r>
  <r>
    <x v="0"/>
    <x v="0"/>
    <x v="6"/>
    <x v="0"/>
    <x v="0"/>
    <x v="0"/>
    <s v="20"/>
    <x v="0"/>
    <x v="4"/>
    <x v="6"/>
    <n v="50"/>
    <x v="0"/>
  </r>
  <r>
    <x v="0"/>
    <x v="0"/>
    <x v="6"/>
    <x v="0"/>
    <x v="0"/>
    <x v="0"/>
    <s v="20"/>
    <x v="0"/>
    <x v="4"/>
    <x v="11"/>
    <n v="1506"/>
    <x v="0"/>
  </r>
  <r>
    <x v="0"/>
    <x v="0"/>
    <x v="6"/>
    <x v="0"/>
    <x v="0"/>
    <x v="0"/>
    <s v="24"/>
    <x v="0"/>
    <x v="3"/>
    <x v="5"/>
    <n v="-409700.13"/>
    <x v="0"/>
  </r>
  <r>
    <x v="0"/>
    <x v="0"/>
    <x v="6"/>
    <x v="0"/>
    <x v="0"/>
    <x v="0"/>
    <s v="24"/>
    <x v="0"/>
    <x v="3"/>
    <x v="7"/>
    <n v="18824561.23"/>
    <x v="0"/>
  </r>
  <r>
    <x v="0"/>
    <x v="0"/>
    <x v="6"/>
    <x v="0"/>
    <x v="0"/>
    <x v="0"/>
    <s v="24"/>
    <x v="0"/>
    <x v="3"/>
    <x v="0"/>
    <n v="-22036.13"/>
    <x v="0"/>
  </r>
  <r>
    <x v="0"/>
    <x v="0"/>
    <x v="6"/>
    <x v="0"/>
    <x v="0"/>
    <x v="0"/>
    <s v="24"/>
    <x v="0"/>
    <x v="4"/>
    <x v="5"/>
    <n v="-496236.35"/>
    <x v="0"/>
  </r>
  <r>
    <x v="0"/>
    <x v="0"/>
    <x v="6"/>
    <x v="0"/>
    <x v="0"/>
    <x v="0"/>
    <s v="24"/>
    <x v="0"/>
    <x v="4"/>
    <x v="7"/>
    <n v="19205315.670000002"/>
    <x v="0"/>
  </r>
  <r>
    <x v="0"/>
    <x v="0"/>
    <x v="6"/>
    <x v="0"/>
    <x v="0"/>
    <x v="0"/>
    <s v="24"/>
    <x v="0"/>
    <x v="4"/>
    <x v="2"/>
    <n v="-20352.150000000001"/>
    <x v="0"/>
  </r>
  <r>
    <x v="0"/>
    <x v="0"/>
    <x v="6"/>
    <x v="0"/>
    <x v="0"/>
    <x v="0"/>
    <s v="40"/>
    <x v="0"/>
    <x v="3"/>
    <x v="8"/>
    <n v="6011.92"/>
    <x v="0"/>
  </r>
  <r>
    <x v="0"/>
    <x v="0"/>
    <x v="6"/>
    <x v="0"/>
    <x v="0"/>
    <x v="0"/>
    <s v="99"/>
    <x v="0"/>
    <x v="3"/>
    <x v="4"/>
    <n v="11785.87"/>
    <x v="0"/>
  </r>
  <r>
    <x v="0"/>
    <x v="0"/>
    <x v="6"/>
    <x v="0"/>
    <x v="0"/>
    <x v="0"/>
    <s v="99"/>
    <x v="0"/>
    <x v="3"/>
    <x v="6"/>
    <n v="-41984.480000000003"/>
    <x v="0"/>
  </r>
  <r>
    <x v="0"/>
    <x v="0"/>
    <x v="6"/>
    <x v="0"/>
    <x v="0"/>
    <x v="0"/>
    <s v="99"/>
    <x v="0"/>
    <x v="3"/>
    <x v="0"/>
    <n v="-156153.01999999999"/>
    <x v="0"/>
  </r>
  <r>
    <x v="0"/>
    <x v="0"/>
    <x v="6"/>
    <x v="0"/>
    <x v="0"/>
    <x v="0"/>
    <s v="99"/>
    <x v="0"/>
    <x v="4"/>
    <x v="4"/>
    <n v="13186.67"/>
    <x v="0"/>
  </r>
  <r>
    <x v="0"/>
    <x v="0"/>
    <x v="6"/>
    <x v="0"/>
    <x v="0"/>
    <x v="0"/>
    <s v="99"/>
    <x v="0"/>
    <x v="4"/>
    <x v="11"/>
    <n v="-39642.559999999998"/>
    <x v="0"/>
  </r>
  <r>
    <x v="0"/>
    <x v="0"/>
    <x v="6"/>
    <x v="0"/>
    <x v="0"/>
    <x v="0"/>
    <s v="99"/>
    <x v="0"/>
    <x v="4"/>
    <x v="0"/>
    <n v="34855.589999999997"/>
    <x v="0"/>
  </r>
  <r>
    <x v="0"/>
    <x v="0"/>
    <x v="6"/>
    <x v="0"/>
    <x v="0"/>
    <x v="1"/>
    <s v="21"/>
    <x v="0"/>
    <x v="4"/>
    <x v="6"/>
    <n v="494352"/>
    <x v="0"/>
  </r>
  <r>
    <x v="0"/>
    <x v="0"/>
    <x v="6"/>
    <x v="0"/>
    <x v="0"/>
    <x v="1"/>
    <s v="21"/>
    <x v="0"/>
    <x v="4"/>
    <x v="11"/>
    <n v="202612"/>
    <x v="0"/>
  </r>
  <r>
    <x v="0"/>
    <x v="0"/>
    <x v="6"/>
    <x v="0"/>
    <x v="0"/>
    <x v="1"/>
    <s v="22"/>
    <x v="0"/>
    <x v="4"/>
    <x v="1"/>
    <n v="-573460.68999999994"/>
    <x v="0"/>
  </r>
  <r>
    <x v="0"/>
    <x v="0"/>
    <x v="6"/>
    <x v="0"/>
    <x v="0"/>
    <x v="0"/>
    <s v="20"/>
    <x v="0"/>
    <x v="4"/>
    <x v="9"/>
    <n v="-50"/>
    <x v="0"/>
  </r>
  <r>
    <x v="0"/>
    <x v="0"/>
    <x v="6"/>
    <x v="0"/>
    <x v="0"/>
    <x v="0"/>
    <s v="24"/>
    <x v="0"/>
    <x v="3"/>
    <x v="3"/>
    <n v="-2507.2800000000002"/>
    <x v="0"/>
  </r>
  <r>
    <x v="0"/>
    <x v="0"/>
    <x v="6"/>
    <x v="0"/>
    <x v="0"/>
    <x v="0"/>
    <s v="24"/>
    <x v="0"/>
    <x v="3"/>
    <x v="4"/>
    <n v="-19574.73"/>
    <x v="0"/>
  </r>
  <r>
    <x v="0"/>
    <x v="0"/>
    <x v="6"/>
    <x v="0"/>
    <x v="0"/>
    <x v="0"/>
    <s v="24"/>
    <x v="0"/>
    <x v="3"/>
    <x v="6"/>
    <n v="-106555.34"/>
    <x v="0"/>
  </r>
  <r>
    <x v="0"/>
    <x v="0"/>
    <x v="6"/>
    <x v="0"/>
    <x v="0"/>
    <x v="0"/>
    <s v="24"/>
    <x v="0"/>
    <x v="3"/>
    <x v="11"/>
    <n v="-85034.84"/>
    <x v="0"/>
  </r>
  <r>
    <x v="0"/>
    <x v="0"/>
    <x v="6"/>
    <x v="0"/>
    <x v="0"/>
    <x v="0"/>
    <s v="24"/>
    <x v="0"/>
    <x v="3"/>
    <x v="8"/>
    <n v="-474754.63"/>
    <x v="0"/>
  </r>
  <r>
    <x v="0"/>
    <x v="0"/>
    <x v="3"/>
    <x v="0"/>
    <x v="0"/>
    <x v="0"/>
    <s v="99"/>
    <x v="0"/>
    <x v="3"/>
    <x v="4"/>
    <n v="5535.24"/>
    <x v="0"/>
  </r>
  <r>
    <x v="0"/>
    <x v="0"/>
    <x v="3"/>
    <x v="0"/>
    <x v="0"/>
    <x v="0"/>
    <s v="99"/>
    <x v="0"/>
    <x v="3"/>
    <x v="6"/>
    <n v="-832.93"/>
    <x v="0"/>
  </r>
  <r>
    <x v="0"/>
    <x v="0"/>
    <x v="3"/>
    <x v="0"/>
    <x v="0"/>
    <x v="0"/>
    <s v="99"/>
    <x v="0"/>
    <x v="3"/>
    <x v="11"/>
    <n v="-5988.15"/>
    <x v="0"/>
  </r>
  <r>
    <x v="0"/>
    <x v="0"/>
    <x v="3"/>
    <x v="0"/>
    <x v="0"/>
    <x v="0"/>
    <s v="99"/>
    <x v="0"/>
    <x v="3"/>
    <x v="8"/>
    <n v="30.4"/>
    <x v="0"/>
  </r>
  <r>
    <x v="0"/>
    <x v="0"/>
    <x v="3"/>
    <x v="0"/>
    <x v="0"/>
    <x v="0"/>
    <s v="99"/>
    <x v="0"/>
    <x v="3"/>
    <x v="0"/>
    <n v="2494.79"/>
    <x v="0"/>
  </r>
  <r>
    <x v="0"/>
    <x v="0"/>
    <x v="3"/>
    <x v="0"/>
    <x v="0"/>
    <x v="0"/>
    <s v="99"/>
    <x v="0"/>
    <x v="4"/>
    <x v="3"/>
    <n v="391.62"/>
    <x v="0"/>
  </r>
  <r>
    <x v="0"/>
    <x v="0"/>
    <x v="3"/>
    <x v="0"/>
    <x v="0"/>
    <x v="0"/>
    <s v="99"/>
    <x v="0"/>
    <x v="4"/>
    <x v="6"/>
    <n v="11516.08"/>
    <x v="0"/>
  </r>
  <r>
    <x v="0"/>
    <x v="0"/>
    <x v="3"/>
    <x v="0"/>
    <x v="0"/>
    <x v="0"/>
    <s v="99"/>
    <x v="0"/>
    <x v="4"/>
    <x v="11"/>
    <n v="1723.72"/>
    <x v="0"/>
  </r>
  <r>
    <x v="0"/>
    <x v="0"/>
    <x v="3"/>
    <x v="0"/>
    <x v="0"/>
    <x v="0"/>
    <s v="99"/>
    <x v="0"/>
    <x v="4"/>
    <x v="0"/>
    <n v="241108.7"/>
    <x v="0"/>
  </r>
  <r>
    <x v="0"/>
    <x v="0"/>
    <x v="3"/>
    <x v="0"/>
    <x v="0"/>
    <x v="3"/>
    <s v="41"/>
    <x v="0"/>
    <x v="3"/>
    <x v="10"/>
    <n v="600"/>
    <x v="1"/>
  </r>
  <r>
    <x v="0"/>
    <x v="0"/>
    <x v="3"/>
    <x v="0"/>
    <x v="0"/>
    <x v="3"/>
    <s v="41"/>
    <x v="0"/>
    <x v="4"/>
    <x v="4"/>
    <n v="0.4"/>
    <x v="1"/>
  </r>
  <r>
    <x v="0"/>
    <x v="0"/>
    <x v="3"/>
    <x v="0"/>
    <x v="0"/>
    <x v="1"/>
    <s v="21"/>
    <x v="0"/>
    <x v="4"/>
    <x v="8"/>
    <n v="100.24"/>
    <x v="0"/>
  </r>
  <r>
    <x v="0"/>
    <x v="0"/>
    <x v="3"/>
    <x v="0"/>
    <x v="0"/>
    <x v="1"/>
    <s v="21"/>
    <x v="0"/>
    <x v="4"/>
    <x v="0"/>
    <n v="8510.5300000000007"/>
    <x v="0"/>
  </r>
  <r>
    <x v="0"/>
    <x v="0"/>
    <x v="3"/>
    <x v="0"/>
    <x v="0"/>
    <x v="1"/>
    <s v="22"/>
    <x v="0"/>
    <x v="3"/>
    <x v="10"/>
    <n v="75000"/>
    <x v="0"/>
  </r>
  <r>
    <x v="0"/>
    <x v="0"/>
    <x v="3"/>
    <x v="0"/>
    <x v="0"/>
    <x v="1"/>
    <s v="22"/>
    <x v="0"/>
    <x v="4"/>
    <x v="10"/>
    <n v="-93952.19"/>
    <x v="0"/>
  </r>
  <r>
    <x v="0"/>
    <x v="0"/>
    <x v="3"/>
    <x v="0"/>
    <x v="0"/>
    <x v="4"/>
    <s v="20"/>
    <x v="0"/>
    <x v="3"/>
    <x v="10"/>
    <n v="-150.49"/>
    <x v="0"/>
  </r>
  <r>
    <x v="0"/>
    <x v="0"/>
    <x v="3"/>
    <x v="0"/>
    <x v="0"/>
    <x v="0"/>
    <s v="01"/>
    <x v="0"/>
    <x v="3"/>
    <x v="5"/>
    <n v="82834.399999999994"/>
    <x v="0"/>
  </r>
  <r>
    <x v="0"/>
    <x v="0"/>
    <x v="3"/>
    <x v="0"/>
    <x v="0"/>
    <x v="0"/>
    <s v="01"/>
    <x v="0"/>
    <x v="3"/>
    <x v="7"/>
    <n v="64332.54"/>
    <x v="0"/>
  </r>
  <r>
    <x v="0"/>
    <x v="0"/>
    <x v="3"/>
    <x v="0"/>
    <x v="0"/>
    <x v="0"/>
    <s v="01"/>
    <x v="0"/>
    <x v="3"/>
    <x v="2"/>
    <n v="122828.91"/>
    <x v="0"/>
  </r>
  <r>
    <x v="0"/>
    <x v="0"/>
    <x v="3"/>
    <x v="0"/>
    <x v="0"/>
    <x v="0"/>
    <s v="01"/>
    <x v="0"/>
    <x v="4"/>
    <x v="5"/>
    <n v="115488.35"/>
    <x v="0"/>
  </r>
  <r>
    <x v="0"/>
    <x v="0"/>
    <x v="3"/>
    <x v="0"/>
    <x v="0"/>
    <x v="0"/>
    <s v="01"/>
    <x v="0"/>
    <x v="4"/>
    <x v="7"/>
    <n v="-40917.980000000003"/>
    <x v="0"/>
  </r>
  <r>
    <x v="0"/>
    <x v="0"/>
    <x v="3"/>
    <x v="0"/>
    <x v="0"/>
    <x v="0"/>
    <s v="02"/>
    <x v="0"/>
    <x v="4"/>
    <x v="7"/>
    <n v="1005"/>
    <x v="0"/>
  </r>
  <r>
    <x v="0"/>
    <x v="0"/>
    <x v="3"/>
    <x v="0"/>
    <x v="0"/>
    <x v="0"/>
    <s v="09"/>
    <x v="0"/>
    <x v="3"/>
    <x v="1"/>
    <n v="234.01"/>
    <x v="0"/>
  </r>
  <r>
    <x v="0"/>
    <x v="0"/>
    <x v="3"/>
    <x v="0"/>
    <x v="0"/>
    <x v="0"/>
    <s v="09"/>
    <x v="0"/>
    <x v="4"/>
    <x v="1"/>
    <n v="1322.05"/>
    <x v="0"/>
  </r>
  <r>
    <x v="0"/>
    <x v="0"/>
    <x v="3"/>
    <x v="0"/>
    <x v="0"/>
    <x v="0"/>
    <s v="09"/>
    <x v="0"/>
    <x v="4"/>
    <x v="9"/>
    <n v="191.34"/>
    <x v="0"/>
  </r>
  <r>
    <x v="0"/>
    <x v="0"/>
    <x v="3"/>
    <x v="0"/>
    <x v="0"/>
    <x v="0"/>
    <s v="16"/>
    <x v="0"/>
    <x v="3"/>
    <x v="2"/>
    <n v="30"/>
    <x v="0"/>
  </r>
  <r>
    <x v="0"/>
    <x v="0"/>
    <x v="3"/>
    <x v="0"/>
    <x v="0"/>
    <x v="0"/>
    <s v="20"/>
    <x v="0"/>
    <x v="4"/>
    <x v="7"/>
    <n v="-1205.7"/>
    <x v="0"/>
  </r>
  <r>
    <x v="0"/>
    <x v="0"/>
    <x v="3"/>
    <x v="0"/>
    <x v="0"/>
    <x v="0"/>
    <s v="24"/>
    <x v="0"/>
    <x v="3"/>
    <x v="1"/>
    <n v="46979490.340000004"/>
    <x v="0"/>
  </r>
  <r>
    <x v="0"/>
    <x v="0"/>
    <x v="3"/>
    <x v="0"/>
    <x v="0"/>
    <x v="0"/>
    <s v="24"/>
    <x v="0"/>
    <x v="3"/>
    <x v="9"/>
    <n v="47118049.630000003"/>
    <x v="0"/>
  </r>
  <r>
    <x v="0"/>
    <x v="0"/>
    <x v="3"/>
    <x v="0"/>
    <x v="0"/>
    <x v="0"/>
    <s v="24"/>
    <x v="0"/>
    <x v="3"/>
    <x v="10"/>
    <n v="54963062.07"/>
    <x v="0"/>
  </r>
  <r>
    <x v="0"/>
    <x v="0"/>
    <x v="3"/>
    <x v="0"/>
    <x v="0"/>
    <x v="0"/>
    <s v="24"/>
    <x v="0"/>
    <x v="4"/>
    <x v="9"/>
    <n v="47785586.460000001"/>
    <x v="0"/>
  </r>
  <r>
    <x v="0"/>
    <x v="0"/>
    <x v="3"/>
    <x v="0"/>
    <x v="0"/>
    <x v="0"/>
    <s v="24"/>
    <x v="0"/>
    <x v="4"/>
    <x v="10"/>
    <n v="48514037.219999999"/>
    <x v="0"/>
  </r>
  <r>
    <x v="0"/>
    <x v="0"/>
    <x v="3"/>
    <x v="0"/>
    <x v="0"/>
    <x v="0"/>
    <s v="30"/>
    <x v="0"/>
    <x v="3"/>
    <x v="9"/>
    <n v="530"/>
    <x v="0"/>
  </r>
  <r>
    <x v="0"/>
    <x v="0"/>
    <x v="3"/>
    <x v="0"/>
    <x v="0"/>
    <x v="0"/>
    <s v="30"/>
    <x v="0"/>
    <x v="3"/>
    <x v="10"/>
    <n v="130"/>
    <x v="0"/>
  </r>
  <r>
    <x v="0"/>
    <x v="0"/>
    <x v="3"/>
    <x v="0"/>
    <x v="0"/>
    <x v="0"/>
    <s v="30"/>
    <x v="0"/>
    <x v="4"/>
    <x v="9"/>
    <n v="350.4"/>
    <x v="0"/>
  </r>
  <r>
    <x v="0"/>
    <x v="0"/>
    <x v="3"/>
    <x v="0"/>
    <x v="0"/>
    <x v="0"/>
    <s v="30"/>
    <x v="0"/>
    <x v="4"/>
    <x v="10"/>
    <n v="972"/>
    <x v="0"/>
  </r>
  <r>
    <x v="0"/>
    <x v="0"/>
    <x v="3"/>
    <x v="0"/>
    <x v="0"/>
    <x v="0"/>
    <s v="40"/>
    <x v="0"/>
    <x v="3"/>
    <x v="9"/>
    <n v="18755.97"/>
    <x v="0"/>
  </r>
  <r>
    <x v="0"/>
    <x v="0"/>
    <x v="3"/>
    <x v="0"/>
    <x v="0"/>
    <x v="0"/>
    <s v="41"/>
    <x v="0"/>
    <x v="3"/>
    <x v="3"/>
    <n v="36733.769999999997"/>
    <x v="0"/>
  </r>
  <r>
    <x v="0"/>
    <x v="0"/>
    <x v="3"/>
    <x v="0"/>
    <x v="0"/>
    <x v="0"/>
    <s v="41"/>
    <x v="0"/>
    <x v="3"/>
    <x v="4"/>
    <n v="-36733.769999999997"/>
    <x v="0"/>
  </r>
  <r>
    <x v="0"/>
    <x v="0"/>
    <x v="3"/>
    <x v="0"/>
    <x v="0"/>
    <x v="0"/>
    <s v="41"/>
    <x v="0"/>
    <x v="4"/>
    <x v="3"/>
    <n v="168999.63"/>
    <x v="0"/>
  </r>
  <r>
    <x v="0"/>
    <x v="0"/>
    <x v="3"/>
    <x v="0"/>
    <x v="0"/>
    <x v="0"/>
    <s v="89"/>
    <x v="0"/>
    <x v="4"/>
    <x v="0"/>
    <n v="-24.3"/>
    <x v="0"/>
  </r>
  <r>
    <x v="0"/>
    <x v="0"/>
    <x v="3"/>
    <x v="0"/>
    <x v="0"/>
    <x v="0"/>
    <s v="90"/>
    <x v="0"/>
    <x v="4"/>
    <x v="2"/>
    <n v="-1.97"/>
    <x v="0"/>
  </r>
  <r>
    <x v="0"/>
    <x v="0"/>
    <x v="3"/>
    <x v="0"/>
    <x v="0"/>
    <x v="0"/>
    <s v="99"/>
    <x v="0"/>
    <x v="3"/>
    <x v="5"/>
    <n v="-5535.24"/>
    <x v="0"/>
  </r>
  <r>
    <x v="0"/>
    <x v="0"/>
    <x v="3"/>
    <x v="0"/>
    <x v="0"/>
    <x v="0"/>
    <s v="99"/>
    <x v="0"/>
    <x v="3"/>
    <x v="7"/>
    <n v="-200"/>
    <x v="0"/>
  </r>
  <r>
    <x v="0"/>
    <x v="0"/>
    <x v="3"/>
    <x v="0"/>
    <x v="0"/>
    <x v="0"/>
    <s v="99"/>
    <x v="0"/>
    <x v="3"/>
    <x v="2"/>
    <n v="-959.29"/>
    <x v="0"/>
  </r>
  <r>
    <x v="0"/>
    <x v="0"/>
    <x v="3"/>
    <x v="0"/>
    <x v="0"/>
    <x v="0"/>
    <s v="99"/>
    <x v="0"/>
    <x v="4"/>
    <x v="5"/>
    <n v="54.83"/>
    <x v="0"/>
  </r>
  <r>
    <x v="0"/>
    <x v="0"/>
    <x v="3"/>
    <x v="0"/>
    <x v="0"/>
    <x v="0"/>
    <s v="99"/>
    <x v="0"/>
    <x v="4"/>
    <x v="7"/>
    <n v="-4.29"/>
    <x v="0"/>
  </r>
  <r>
    <x v="0"/>
    <x v="0"/>
    <x v="3"/>
    <x v="0"/>
    <x v="0"/>
    <x v="0"/>
    <s v="99"/>
    <x v="0"/>
    <x v="4"/>
    <x v="2"/>
    <n v="-75683.94"/>
    <x v="0"/>
  </r>
  <r>
    <x v="0"/>
    <x v="0"/>
    <x v="3"/>
    <x v="0"/>
    <x v="0"/>
    <x v="3"/>
    <s v="41"/>
    <x v="0"/>
    <x v="4"/>
    <x v="11"/>
    <n v="1056.32"/>
    <x v="1"/>
  </r>
  <r>
    <x v="0"/>
    <x v="0"/>
    <x v="3"/>
    <x v="0"/>
    <x v="0"/>
    <x v="1"/>
    <s v="21"/>
    <x v="0"/>
    <x v="3"/>
    <x v="5"/>
    <n v="-4076.52"/>
    <x v="0"/>
  </r>
  <r>
    <x v="0"/>
    <x v="0"/>
    <x v="3"/>
    <x v="0"/>
    <x v="0"/>
    <x v="1"/>
    <s v="21"/>
    <x v="0"/>
    <x v="4"/>
    <x v="2"/>
    <n v="-100.24"/>
    <x v="0"/>
  </r>
  <r>
    <x v="0"/>
    <x v="0"/>
    <x v="3"/>
    <x v="0"/>
    <x v="0"/>
    <x v="1"/>
    <s v="22"/>
    <x v="0"/>
    <x v="3"/>
    <x v="4"/>
    <n v="-3792.9"/>
    <x v="0"/>
  </r>
  <r>
    <x v="0"/>
    <x v="0"/>
    <x v="3"/>
    <x v="0"/>
    <x v="0"/>
    <x v="4"/>
    <s v="20"/>
    <x v="0"/>
    <x v="4"/>
    <x v="11"/>
    <n v="-170.34"/>
    <x v="0"/>
  </r>
  <r>
    <x v="0"/>
    <x v="0"/>
    <x v="3"/>
    <x v="0"/>
    <x v="0"/>
    <x v="0"/>
    <s v="01"/>
    <x v="0"/>
    <x v="3"/>
    <x v="4"/>
    <n v="172294.91"/>
    <x v="0"/>
  </r>
  <r>
    <x v="0"/>
    <x v="0"/>
    <x v="3"/>
    <x v="0"/>
    <x v="0"/>
    <x v="0"/>
    <s v="01"/>
    <x v="0"/>
    <x v="3"/>
    <x v="9"/>
    <n v="109123.75"/>
    <x v="0"/>
  </r>
  <r>
    <x v="0"/>
    <x v="0"/>
    <x v="3"/>
    <x v="0"/>
    <x v="0"/>
    <x v="0"/>
    <s v="01"/>
    <x v="0"/>
    <x v="3"/>
    <x v="10"/>
    <n v="-131310.09"/>
    <x v="0"/>
  </r>
  <r>
    <x v="0"/>
    <x v="0"/>
    <x v="3"/>
    <x v="0"/>
    <x v="0"/>
    <x v="0"/>
    <s v="01"/>
    <x v="0"/>
    <x v="3"/>
    <x v="8"/>
    <n v="70804.03"/>
    <x v="0"/>
  </r>
  <r>
    <x v="0"/>
    <x v="0"/>
    <x v="3"/>
    <x v="0"/>
    <x v="0"/>
    <x v="0"/>
    <s v="01"/>
    <x v="0"/>
    <x v="4"/>
    <x v="3"/>
    <n v="55950.080000000002"/>
    <x v="0"/>
  </r>
  <r>
    <x v="0"/>
    <x v="0"/>
    <x v="3"/>
    <x v="0"/>
    <x v="0"/>
    <x v="0"/>
    <s v="01"/>
    <x v="0"/>
    <x v="4"/>
    <x v="4"/>
    <n v="-8618.82"/>
    <x v="0"/>
  </r>
  <r>
    <x v="0"/>
    <x v="0"/>
    <x v="3"/>
    <x v="0"/>
    <x v="0"/>
    <x v="0"/>
    <s v="01"/>
    <x v="0"/>
    <x v="4"/>
    <x v="6"/>
    <n v="202704.29"/>
    <x v="0"/>
  </r>
  <r>
    <x v="0"/>
    <x v="0"/>
    <x v="3"/>
    <x v="0"/>
    <x v="0"/>
    <x v="0"/>
    <s v="01"/>
    <x v="0"/>
    <x v="4"/>
    <x v="10"/>
    <n v="5940.94"/>
    <x v="0"/>
  </r>
  <r>
    <x v="0"/>
    <x v="0"/>
    <x v="3"/>
    <x v="0"/>
    <x v="0"/>
    <x v="0"/>
    <s v="01"/>
    <x v="0"/>
    <x v="4"/>
    <x v="8"/>
    <n v="54017.4"/>
    <x v="0"/>
  </r>
  <r>
    <x v="0"/>
    <x v="0"/>
    <x v="3"/>
    <x v="0"/>
    <x v="0"/>
    <x v="0"/>
    <s v="01"/>
    <x v="0"/>
    <x v="4"/>
    <x v="0"/>
    <n v="162878.94"/>
    <x v="0"/>
  </r>
  <r>
    <x v="0"/>
    <x v="0"/>
    <x v="3"/>
    <x v="0"/>
    <x v="0"/>
    <x v="0"/>
    <s v="02"/>
    <x v="0"/>
    <x v="3"/>
    <x v="4"/>
    <n v="1200"/>
    <x v="0"/>
  </r>
  <r>
    <x v="0"/>
    <x v="0"/>
    <x v="3"/>
    <x v="0"/>
    <x v="0"/>
    <x v="0"/>
    <s v="02"/>
    <x v="0"/>
    <x v="3"/>
    <x v="10"/>
    <n v="-4094.1"/>
    <x v="0"/>
  </r>
  <r>
    <x v="0"/>
    <x v="0"/>
    <x v="3"/>
    <x v="0"/>
    <x v="0"/>
    <x v="0"/>
    <s v="02"/>
    <x v="0"/>
    <x v="4"/>
    <x v="0"/>
    <n v="77.680000000000007"/>
    <x v="0"/>
  </r>
  <r>
    <x v="0"/>
    <x v="0"/>
    <x v="3"/>
    <x v="0"/>
    <x v="0"/>
    <x v="0"/>
    <s v="05"/>
    <x v="0"/>
    <x v="3"/>
    <x v="9"/>
    <n v="30"/>
    <x v="0"/>
  </r>
  <r>
    <x v="0"/>
    <x v="0"/>
    <x v="3"/>
    <x v="0"/>
    <x v="0"/>
    <x v="0"/>
    <s v="09"/>
    <x v="0"/>
    <x v="3"/>
    <x v="3"/>
    <n v="256.62"/>
    <x v="0"/>
  </r>
  <r>
    <x v="0"/>
    <x v="0"/>
    <x v="3"/>
    <x v="0"/>
    <x v="0"/>
    <x v="0"/>
    <s v="09"/>
    <x v="0"/>
    <x v="3"/>
    <x v="4"/>
    <n v="8086.59"/>
    <x v="0"/>
  </r>
  <r>
    <x v="0"/>
    <x v="0"/>
    <x v="3"/>
    <x v="0"/>
    <x v="0"/>
    <x v="0"/>
    <s v="09"/>
    <x v="0"/>
    <x v="3"/>
    <x v="6"/>
    <n v="8651.2199999999993"/>
    <x v="0"/>
  </r>
  <r>
    <x v="0"/>
    <x v="0"/>
    <x v="3"/>
    <x v="0"/>
    <x v="0"/>
    <x v="0"/>
    <s v="09"/>
    <x v="0"/>
    <x v="3"/>
    <x v="11"/>
    <n v="7412.05"/>
    <x v="0"/>
  </r>
  <r>
    <x v="0"/>
    <x v="0"/>
    <x v="3"/>
    <x v="0"/>
    <x v="0"/>
    <x v="0"/>
    <s v="09"/>
    <x v="0"/>
    <x v="3"/>
    <x v="0"/>
    <n v="2355.46"/>
    <x v="0"/>
  </r>
  <r>
    <x v="0"/>
    <x v="0"/>
    <x v="3"/>
    <x v="0"/>
    <x v="0"/>
    <x v="0"/>
    <s v="09"/>
    <x v="0"/>
    <x v="4"/>
    <x v="3"/>
    <n v="151.62"/>
    <x v="0"/>
  </r>
  <r>
    <x v="0"/>
    <x v="0"/>
    <x v="3"/>
    <x v="0"/>
    <x v="0"/>
    <x v="0"/>
    <s v="09"/>
    <x v="0"/>
    <x v="4"/>
    <x v="6"/>
    <n v="7803.28"/>
    <x v="0"/>
  </r>
  <r>
    <x v="0"/>
    <x v="0"/>
    <x v="3"/>
    <x v="0"/>
    <x v="0"/>
    <x v="0"/>
    <s v="09"/>
    <x v="0"/>
    <x v="4"/>
    <x v="11"/>
    <n v="7866.39"/>
    <x v="0"/>
  </r>
  <r>
    <x v="0"/>
    <x v="0"/>
    <x v="3"/>
    <x v="0"/>
    <x v="0"/>
    <x v="0"/>
    <s v="09"/>
    <x v="0"/>
    <x v="4"/>
    <x v="2"/>
    <n v="7057.26"/>
    <x v="0"/>
  </r>
  <r>
    <x v="0"/>
    <x v="0"/>
    <x v="3"/>
    <x v="0"/>
    <x v="0"/>
    <x v="0"/>
    <s v="09"/>
    <x v="0"/>
    <x v="4"/>
    <x v="0"/>
    <n v="155263.72"/>
    <x v="0"/>
  </r>
  <r>
    <x v="0"/>
    <x v="0"/>
    <x v="3"/>
    <x v="0"/>
    <x v="0"/>
    <x v="0"/>
    <s v="16"/>
    <x v="0"/>
    <x v="4"/>
    <x v="6"/>
    <n v="-34.200000000000003"/>
    <x v="0"/>
  </r>
  <r>
    <x v="0"/>
    <x v="0"/>
    <x v="3"/>
    <x v="0"/>
    <x v="0"/>
    <x v="0"/>
    <s v="20"/>
    <x v="0"/>
    <x v="3"/>
    <x v="6"/>
    <n v="7.95"/>
    <x v="0"/>
  </r>
  <r>
    <x v="0"/>
    <x v="0"/>
    <x v="3"/>
    <x v="0"/>
    <x v="0"/>
    <x v="0"/>
    <s v="20"/>
    <x v="0"/>
    <x v="4"/>
    <x v="3"/>
    <n v="3225"/>
    <x v="0"/>
  </r>
  <r>
    <x v="0"/>
    <x v="0"/>
    <x v="3"/>
    <x v="0"/>
    <x v="0"/>
    <x v="0"/>
    <s v="20"/>
    <x v="0"/>
    <x v="4"/>
    <x v="4"/>
    <n v="660"/>
    <x v="0"/>
  </r>
  <r>
    <x v="0"/>
    <x v="0"/>
    <x v="3"/>
    <x v="0"/>
    <x v="0"/>
    <x v="0"/>
    <s v="20"/>
    <x v="0"/>
    <x v="4"/>
    <x v="6"/>
    <n v="-122"/>
    <x v="0"/>
  </r>
  <r>
    <x v="0"/>
    <x v="0"/>
    <x v="3"/>
    <x v="0"/>
    <x v="0"/>
    <x v="0"/>
    <s v="20"/>
    <x v="0"/>
    <x v="4"/>
    <x v="11"/>
    <n v="-35.1"/>
    <x v="0"/>
  </r>
  <r>
    <x v="0"/>
    <x v="0"/>
    <x v="3"/>
    <x v="0"/>
    <x v="0"/>
    <x v="0"/>
    <s v="24"/>
    <x v="0"/>
    <x v="3"/>
    <x v="5"/>
    <n v="8308508.8099999996"/>
    <x v="0"/>
  </r>
  <r>
    <x v="0"/>
    <x v="0"/>
    <x v="6"/>
    <x v="0"/>
    <x v="0"/>
    <x v="0"/>
    <s v="24"/>
    <x v="0"/>
    <x v="4"/>
    <x v="6"/>
    <n v="-140917.12"/>
    <x v="0"/>
  </r>
  <r>
    <x v="0"/>
    <x v="0"/>
    <x v="6"/>
    <x v="0"/>
    <x v="0"/>
    <x v="0"/>
    <s v="24"/>
    <x v="0"/>
    <x v="4"/>
    <x v="11"/>
    <n v="-85710.2"/>
    <x v="0"/>
  </r>
  <r>
    <x v="0"/>
    <x v="0"/>
    <x v="6"/>
    <x v="0"/>
    <x v="0"/>
    <x v="0"/>
    <s v="24"/>
    <x v="0"/>
    <x v="4"/>
    <x v="8"/>
    <n v="-82024.91"/>
    <x v="0"/>
  </r>
  <r>
    <x v="0"/>
    <x v="0"/>
    <x v="6"/>
    <x v="0"/>
    <x v="0"/>
    <x v="0"/>
    <s v="24"/>
    <x v="0"/>
    <x v="4"/>
    <x v="0"/>
    <n v="-333026.08"/>
    <x v="0"/>
  </r>
  <r>
    <x v="0"/>
    <x v="0"/>
    <x v="6"/>
    <x v="0"/>
    <x v="0"/>
    <x v="1"/>
    <s v="21"/>
    <x v="0"/>
    <x v="4"/>
    <x v="1"/>
    <n v="573460.68999999994"/>
    <x v="0"/>
  </r>
  <r>
    <x v="0"/>
    <x v="0"/>
    <x v="6"/>
    <x v="0"/>
    <x v="0"/>
    <x v="1"/>
    <s v="22"/>
    <x v="0"/>
    <x v="3"/>
    <x v="5"/>
    <n v="-106219.83"/>
    <x v="0"/>
  </r>
  <r>
    <x v="0"/>
    <x v="0"/>
    <x v="6"/>
    <x v="0"/>
    <x v="0"/>
    <x v="1"/>
    <s v="22"/>
    <x v="0"/>
    <x v="3"/>
    <x v="0"/>
    <n v="-64598.67"/>
    <x v="0"/>
  </r>
  <r>
    <x v="0"/>
    <x v="0"/>
    <x v="6"/>
    <x v="0"/>
    <x v="0"/>
    <x v="1"/>
    <s v="22"/>
    <x v="0"/>
    <x v="4"/>
    <x v="5"/>
    <n v="-230673.12"/>
    <x v="0"/>
  </r>
  <r>
    <x v="0"/>
    <x v="0"/>
    <x v="6"/>
    <x v="0"/>
    <x v="0"/>
    <x v="1"/>
    <s v="22"/>
    <x v="0"/>
    <x v="4"/>
    <x v="0"/>
    <n v="-7186401.9699999997"/>
    <x v="0"/>
  </r>
  <r>
    <x v="0"/>
    <x v="0"/>
    <x v="6"/>
    <x v="0"/>
    <x v="0"/>
    <x v="0"/>
    <s v="24"/>
    <x v="0"/>
    <x v="3"/>
    <x v="9"/>
    <n v="-15873.39"/>
    <x v="0"/>
  </r>
  <r>
    <x v="0"/>
    <x v="0"/>
    <x v="6"/>
    <x v="0"/>
    <x v="0"/>
    <x v="0"/>
    <s v="24"/>
    <x v="0"/>
    <x v="3"/>
    <x v="10"/>
    <n v="18398968.870000001"/>
    <x v="0"/>
  </r>
  <r>
    <x v="0"/>
    <x v="0"/>
    <x v="6"/>
    <x v="0"/>
    <x v="0"/>
    <x v="0"/>
    <s v="24"/>
    <x v="0"/>
    <x v="4"/>
    <x v="3"/>
    <n v="6840.91"/>
    <x v="0"/>
  </r>
  <r>
    <x v="0"/>
    <x v="0"/>
    <x v="6"/>
    <x v="0"/>
    <x v="0"/>
    <x v="0"/>
    <s v="24"/>
    <x v="0"/>
    <x v="4"/>
    <x v="4"/>
    <n v="-14636.45"/>
    <x v="0"/>
  </r>
  <r>
    <x v="0"/>
    <x v="0"/>
    <x v="6"/>
    <x v="0"/>
    <x v="0"/>
    <x v="0"/>
    <s v="24"/>
    <x v="0"/>
    <x v="4"/>
    <x v="10"/>
    <n v="18307031.539999999"/>
    <x v="0"/>
  </r>
  <r>
    <x v="0"/>
    <x v="0"/>
    <x v="6"/>
    <x v="0"/>
    <x v="0"/>
    <x v="1"/>
    <s v="21"/>
    <x v="0"/>
    <x v="3"/>
    <x v="2"/>
    <n v="6161.21"/>
    <x v="0"/>
  </r>
  <r>
    <x v="0"/>
    <x v="0"/>
    <x v="6"/>
    <x v="0"/>
    <x v="0"/>
    <x v="1"/>
    <s v="21"/>
    <x v="0"/>
    <x v="4"/>
    <x v="7"/>
    <n v="75000"/>
    <x v="0"/>
  </r>
  <r>
    <x v="0"/>
    <x v="0"/>
    <x v="6"/>
    <x v="0"/>
    <x v="0"/>
    <x v="1"/>
    <s v="22"/>
    <x v="0"/>
    <x v="4"/>
    <x v="6"/>
    <n v="-494352"/>
    <x v="0"/>
  </r>
  <r>
    <x v="0"/>
    <x v="0"/>
    <x v="6"/>
    <x v="0"/>
    <x v="0"/>
    <x v="1"/>
    <s v="22"/>
    <x v="0"/>
    <x v="4"/>
    <x v="11"/>
    <n v="-60612"/>
    <x v="0"/>
  </r>
  <r>
    <x v="0"/>
    <x v="0"/>
    <x v="6"/>
    <x v="0"/>
    <x v="0"/>
    <x v="0"/>
    <s v="24"/>
    <x v="0"/>
    <x v="3"/>
    <x v="1"/>
    <n v="20198656.949999999"/>
    <x v="0"/>
  </r>
  <r>
    <x v="0"/>
    <x v="0"/>
    <x v="6"/>
    <x v="0"/>
    <x v="0"/>
    <x v="0"/>
    <s v="24"/>
    <x v="0"/>
    <x v="3"/>
    <x v="2"/>
    <n v="-27938.15"/>
    <x v="0"/>
  </r>
  <r>
    <x v="0"/>
    <x v="0"/>
    <x v="6"/>
    <x v="0"/>
    <x v="0"/>
    <x v="0"/>
    <s v="24"/>
    <x v="0"/>
    <x v="4"/>
    <x v="1"/>
    <n v="20793105.32"/>
    <x v="0"/>
  </r>
  <r>
    <x v="0"/>
    <x v="0"/>
    <x v="6"/>
    <x v="0"/>
    <x v="0"/>
    <x v="0"/>
    <s v="24"/>
    <x v="0"/>
    <x v="4"/>
    <x v="9"/>
    <n v="-42833.31"/>
    <x v="0"/>
  </r>
  <r>
    <x v="0"/>
    <x v="0"/>
    <x v="6"/>
    <x v="0"/>
    <x v="0"/>
    <x v="0"/>
    <s v="99"/>
    <x v="0"/>
    <x v="3"/>
    <x v="11"/>
    <n v="25187.49"/>
    <x v="0"/>
  </r>
  <r>
    <x v="0"/>
    <x v="0"/>
    <x v="6"/>
    <x v="0"/>
    <x v="0"/>
    <x v="0"/>
    <s v="99"/>
    <x v="0"/>
    <x v="3"/>
    <x v="2"/>
    <n v="14501.95"/>
    <x v="0"/>
  </r>
  <r>
    <x v="0"/>
    <x v="0"/>
    <x v="6"/>
    <x v="0"/>
    <x v="0"/>
    <x v="1"/>
    <s v="21"/>
    <x v="0"/>
    <x v="3"/>
    <x v="0"/>
    <n v="58437.46"/>
    <x v="0"/>
  </r>
  <r>
    <x v="0"/>
    <x v="0"/>
    <x v="6"/>
    <x v="0"/>
    <x v="0"/>
    <x v="1"/>
    <s v="21"/>
    <x v="0"/>
    <x v="4"/>
    <x v="5"/>
    <n v="230673.12"/>
    <x v="0"/>
  </r>
  <r>
    <x v="0"/>
    <x v="0"/>
    <x v="6"/>
    <x v="0"/>
    <x v="0"/>
    <x v="1"/>
    <s v="21"/>
    <x v="0"/>
    <x v="4"/>
    <x v="0"/>
    <n v="7186401.9699999997"/>
    <x v="0"/>
  </r>
  <r>
    <x v="0"/>
    <x v="0"/>
    <x v="6"/>
    <x v="0"/>
    <x v="0"/>
    <x v="1"/>
    <s v="22"/>
    <x v="0"/>
    <x v="3"/>
    <x v="9"/>
    <n v="106219.83"/>
    <x v="0"/>
  </r>
  <r>
    <x v="0"/>
    <x v="0"/>
    <x v="6"/>
    <x v="0"/>
    <x v="0"/>
    <x v="1"/>
    <s v="22"/>
    <x v="0"/>
    <x v="4"/>
    <x v="10"/>
    <n v="-242043"/>
    <x v="0"/>
  </r>
  <r>
    <x v="0"/>
    <x v="0"/>
    <x v="2"/>
    <x v="0"/>
    <x v="0"/>
    <x v="0"/>
    <s v="02"/>
    <x v="0"/>
    <x v="3"/>
    <x v="3"/>
    <n v="-400"/>
    <x v="0"/>
  </r>
  <r>
    <x v="0"/>
    <x v="0"/>
    <x v="2"/>
    <x v="0"/>
    <x v="0"/>
    <x v="0"/>
    <s v="02"/>
    <x v="0"/>
    <x v="3"/>
    <x v="6"/>
    <n v="400"/>
    <x v="0"/>
  </r>
  <r>
    <x v="0"/>
    <x v="0"/>
    <x v="2"/>
    <x v="0"/>
    <x v="0"/>
    <x v="0"/>
    <s v="16"/>
    <x v="0"/>
    <x v="3"/>
    <x v="8"/>
    <n v="2000"/>
    <x v="0"/>
  </r>
  <r>
    <x v="0"/>
    <x v="0"/>
    <x v="2"/>
    <x v="0"/>
    <x v="0"/>
    <x v="0"/>
    <s v="16"/>
    <x v="0"/>
    <x v="4"/>
    <x v="0"/>
    <n v="0"/>
    <x v="0"/>
  </r>
  <r>
    <x v="0"/>
    <x v="0"/>
    <x v="2"/>
    <x v="0"/>
    <x v="0"/>
    <x v="0"/>
    <s v="24"/>
    <x v="0"/>
    <x v="3"/>
    <x v="5"/>
    <n v="-342850.83"/>
    <x v="0"/>
  </r>
  <r>
    <x v="0"/>
    <x v="0"/>
    <x v="2"/>
    <x v="0"/>
    <x v="0"/>
    <x v="0"/>
    <s v="24"/>
    <x v="0"/>
    <x v="3"/>
    <x v="8"/>
    <n v="201374.79"/>
    <x v="0"/>
  </r>
  <r>
    <x v="0"/>
    <x v="0"/>
    <x v="2"/>
    <x v="0"/>
    <x v="0"/>
    <x v="0"/>
    <s v="24"/>
    <x v="0"/>
    <x v="3"/>
    <x v="0"/>
    <n v="317556.92"/>
    <x v="0"/>
  </r>
  <r>
    <x v="0"/>
    <x v="0"/>
    <x v="2"/>
    <x v="0"/>
    <x v="0"/>
    <x v="0"/>
    <s v="24"/>
    <x v="0"/>
    <x v="4"/>
    <x v="5"/>
    <n v="-203935.73"/>
    <x v="0"/>
  </r>
  <r>
    <x v="0"/>
    <x v="0"/>
    <x v="2"/>
    <x v="0"/>
    <x v="0"/>
    <x v="0"/>
    <s v="24"/>
    <x v="0"/>
    <x v="4"/>
    <x v="7"/>
    <n v="-1097522.51"/>
    <x v="0"/>
  </r>
  <r>
    <x v="0"/>
    <x v="0"/>
    <x v="2"/>
    <x v="0"/>
    <x v="0"/>
    <x v="0"/>
    <s v="24"/>
    <x v="0"/>
    <x v="4"/>
    <x v="0"/>
    <n v="618341.71"/>
    <x v="0"/>
  </r>
  <r>
    <x v="0"/>
    <x v="0"/>
    <x v="2"/>
    <x v="0"/>
    <x v="0"/>
    <x v="0"/>
    <s v="30"/>
    <x v="0"/>
    <x v="3"/>
    <x v="5"/>
    <n v="-75"/>
    <x v="0"/>
  </r>
  <r>
    <x v="0"/>
    <x v="0"/>
    <x v="2"/>
    <x v="0"/>
    <x v="0"/>
    <x v="3"/>
    <s v="41"/>
    <x v="0"/>
    <x v="4"/>
    <x v="5"/>
    <n v="-2000"/>
    <x v="1"/>
  </r>
  <r>
    <x v="0"/>
    <x v="0"/>
    <x v="2"/>
    <x v="0"/>
    <x v="0"/>
    <x v="1"/>
    <s v="22"/>
    <x v="0"/>
    <x v="3"/>
    <x v="2"/>
    <n v="0.9"/>
    <x v="0"/>
  </r>
  <r>
    <x v="0"/>
    <x v="0"/>
    <x v="2"/>
    <x v="0"/>
    <x v="0"/>
    <x v="4"/>
    <s v="40"/>
    <x v="0"/>
    <x v="3"/>
    <x v="7"/>
    <n v="0"/>
    <x v="0"/>
  </r>
  <r>
    <x v="0"/>
    <x v="0"/>
    <x v="2"/>
    <x v="0"/>
    <x v="0"/>
    <x v="0"/>
    <s v="01"/>
    <x v="0"/>
    <x v="4"/>
    <x v="0"/>
    <n v="173512.82"/>
    <x v="0"/>
  </r>
  <r>
    <x v="0"/>
    <x v="0"/>
    <x v="2"/>
    <x v="0"/>
    <x v="0"/>
    <x v="0"/>
    <s v="02"/>
    <x v="0"/>
    <x v="3"/>
    <x v="8"/>
    <n v="500"/>
    <x v="0"/>
  </r>
  <r>
    <x v="0"/>
    <x v="0"/>
    <x v="2"/>
    <x v="0"/>
    <x v="0"/>
    <x v="0"/>
    <s v="09"/>
    <x v="0"/>
    <x v="3"/>
    <x v="0"/>
    <n v="22147.49"/>
    <x v="0"/>
  </r>
  <r>
    <x v="0"/>
    <x v="0"/>
    <x v="2"/>
    <x v="0"/>
    <x v="0"/>
    <x v="0"/>
    <s v="16"/>
    <x v="0"/>
    <x v="3"/>
    <x v="0"/>
    <n v="-2000"/>
    <x v="0"/>
  </r>
  <r>
    <x v="0"/>
    <x v="0"/>
    <x v="2"/>
    <x v="0"/>
    <x v="0"/>
    <x v="0"/>
    <s v="24"/>
    <x v="0"/>
    <x v="3"/>
    <x v="7"/>
    <n v="-827321.57"/>
    <x v="0"/>
  </r>
  <r>
    <x v="0"/>
    <x v="0"/>
    <x v="2"/>
    <x v="0"/>
    <x v="0"/>
    <x v="0"/>
    <s v="24"/>
    <x v="0"/>
    <x v="3"/>
    <x v="2"/>
    <n v="-33397.64"/>
    <x v="0"/>
  </r>
  <r>
    <x v="0"/>
    <x v="0"/>
    <x v="2"/>
    <x v="0"/>
    <x v="0"/>
    <x v="0"/>
    <s v="24"/>
    <x v="0"/>
    <x v="4"/>
    <x v="1"/>
    <n v="-924015.8"/>
    <x v="0"/>
  </r>
  <r>
    <x v="0"/>
    <x v="0"/>
    <x v="2"/>
    <x v="0"/>
    <x v="0"/>
    <x v="0"/>
    <s v="24"/>
    <x v="0"/>
    <x v="4"/>
    <x v="2"/>
    <n v="-6402.52"/>
    <x v="0"/>
  </r>
  <r>
    <x v="0"/>
    <x v="0"/>
    <x v="2"/>
    <x v="0"/>
    <x v="0"/>
    <x v="1"/>
    <s v="22"/>
    <x v="0"/>
    <x v="3"/>
    <x v="1"/>
    <n v="-0.9"/>
    <x v="0"/>
  </r>
  <r>
    <x v="0"/>
    <x v="0"/>
    <x v="2"/>
    <x v="0"/>
    <x v="0"/>
    <x v="1"/>
    <s v="22"/>
    <x v="0"/>
    <x v="4"/>
    <x v="9"/>
    <n v="-201037.5"/>
    <x v="0"/>
  </r>
  <r>
    <x v="0"/>
    <x v="0"/>
    <x v="2"/>
    <x v="0"/>
    <x v="0"/>
    <x v="4"/>
    <s v="40"/>
    <x v="0"/>
    <x v="3"/>
    <x v="1"/>
    <n v="0"/>
    <x v="0"/>
  </r>
  <r>
    <x v="0"/>
    <x v="0"/>
    <x v="2"/>
    <x v="0"/>
    <x v="0"/>
    <x v="0"/>
    <s v="01"/>
    <x v="0"/>
    <x v="3"/>
    <x v="0"/>
    <n v="19838.54"/>
    <x v="0"/>
  </r>
  <r>
    <x v="0"/>
    <x v="0"/>
    <x v="2"/>
    <x v="0"/>
    <x v="0"/>
    <x v="0"/>
    <s v="24"/>
    <x v="0"/>
    <x v="3"/>
    <x v="1"/>
    <n v="-1333030.73"/>
    <x v="0"/>
  </r>
  <r>
    <x v="0"/>
    <x v="0"/>
    <x v="2"/>
    <x v="0"/>
    <x v="0"/>
    <x v="0"/>
    <s v="24"/>
    <x v="0"/>
    <x v="3"/>
    <x v="9"/>
    <n v="9768693.2400000002"/>
    <x v="0"/>
  </r>
  <r>
    <x v="0"/>
    <x v="0"/>
    <x v="2"/>
    <x v="0"/>
    <x v="0"/>
    <x v="0"/>
    <s v="24"/>
    <x v="0"/>
    <x v="3"/>
    <x v="10"/>
    <n v="8009687.2300000004"/>
    <x v="0"/>
  </r>
  <r>
    <x v="0"/>
    <x v="0"/>
    <x v="2"/>
    <x v="0"/>
    <x v="0"/>
    <x v="0"/>
    <s v="24"/>
    <x v="0"/>
    <x v="4"/>
    <x v="9"/>
    <n v="8532948.8900000006"/>
    <x v="0"/>
  </r>
  <r>
    <x v="0"/>
    <x v="0"/>
    <x v="2"/>
    <x v="0"/>
    <x v="0"/>
    <x v="0"/>
    <s v="24"/>
    <x v="0"/>
    <x v="4"/>
    <x v="10"/>
    <n v="6691402.1500000004"/>
    <x v="0"/>
  </r>
  <r>
    <x v="0"/>
    <x v="0"/>
    <x v="2"/>
    <x v="0"/>
    <x v="0"/>
    <x v="3"/>
    <s v="41"/>
    <x v="0"/>
    <x v="4"/>
    <x v="0"/>
    <n v="-459808.8"/>
    <x v="1"/>
  </r>
  <r>
    <x v="0"/>
    <x v="0"/>
    <x v="2"/>
    <x v="0"/>
    <x v="0"/>
    <x v="1"/>
    <s v="21"/>
    <x v="0"/>
    <x v="3"/>
    <x v="0"/>
    <n v="580965.35"/>
    <x v="0"/>
  </r>
  <r>
    <x v="0"/>
    <x v="0"/>
    <x v="2"/>
    <x v="0"/>
    <x v="0"/>
    <x v="4"/>
    <s v="40"/>
    <x v="0"/>
    <x v="3"/>
    <x v="4"/>
    <n v="0"/>
    <x v="0"/>
  </r>
  <r>
    <x v="0"/>
    <x v="0"/>
    <x v="2"/>
    <x v="0"/>
    <x v="0"/>
    <x v="4"/>
    <s v="40"/>
    <x v="0"/>
    <x v="4"/>
    <x v="11"/>
    <n v="0"/>
    <x v="0"/>
  </r>
  <r>
    <x v="0"/>
    <x v="0"/>
    <x v="2"/>
    <x v="0"/>
    <x v="0"/>
    <x v="4"/>
    <s v="40"/>
    <x v="0"/>
    <x v="4"/>
    <x v="0"/>
    <n v="0"/>
    <x v="0"/>
  </r>
  <r>
    <x v="0"/>
    <x v="0"/>
    <x v="2"/>
    <x v="0"/>
    <x v="0"/>
    <x v="0"/>
    <s v="24"/>
    <x v="0"/>
    <x v="3"/>
    <x v="3"/>
    <n v="873.83"/>
    <x v="0"/>
  </r>
  <r>
    <x v="0"/>
    <x v="0"/>
    <x v="2"/>
    <x v="0"/>
    <x v="0"/>
    <x v="0"/>
    <s v="24"/>
    <x v="0"/>
    <x v="3"/>
    <x v="4"/>
    <n v="11107562.029999999"/>
    <x v="0"/>
  </r>
  <r>
    <x v="0"/>
    <x v="0"/>
    <x v="2"/>
    <x v="0"/>
    <x v="0"/>
    <x v="0"/>
    <s v="24"/>
    <x v="0"/>
    <x v="3"/>
    <x v="6"/>
    <n v="-63612.51"/>
    <x v="0"/>
  </r>
  <r>
    <x v="0"/>
    <x v="0"/>
    <x v="2"/>
    <x v="0"/>
    <x v="0"/>
    <x v="0"/>
    <s v="24"/>
    <x v="0"/>
    <x v="3"/>
    <x v="11"/>
    <n v="-55650.14"/>
    <x v="0"/>
  </r>
  <r>
    <x v="0"/>
    <x v="0"/>
    <x v="2"/>
    <x v="0"/>
    <x v="0"/>
    <x v="0"/>
    <s v="24"/>
    <x v="0"/>
    <x v="4"/>
    <x v="3"/>
    <n v="-15267.82"/>
    <x v="0"/>
  </r>
  <r>
    <x v="0"/>
    <x v="0"/>
    <x v="2"/>
    <x v="0"/>
    <x v="0"/>
    <x v="0"/>
    <s v="24"/>
    <x v="0"/>
    <x v="4"/>
    <x v="4"/>
    <n v="9249638.6500000004"/>
    <x v="0"/>
  </r>
  <r>
    <x v="0"/>
    <x v="0"/>
    <x v="2"/>
    <x v="0"/>
    <x v="0"/>
    <x v="0"/>
    <s v="24"/>
    <x v="0"/>
    <x v="4"/>
    <x v="6"/>
    <n v="-68495.399999999994"/>
    <x v="0"/>
  </r>
  <r>
    <x v="0"/>
    <x v="0"/>
    <x v="2"/>
    <x v="0"/>
    <x v="0"/>
    <x v="0"/>
    <s v="24"/>
    <x v="0"/>
    <x v="4"/>
    <x v="11"/>
    <n v="-101040.7"/>
    <x v="0"/>
  </r>
  <r>
    <x v="0"/>
    <x v="0"/>
    <x v="2"/>
    <x v="0"/>
    <x v="0"/>
    <x v="0"/>
    <s v="24"/>
    <x v="0"/>
    <x v="4"/>
    <x v="8"/>
    <n v="114465.15"/>
    <x v="0"/>
  </r>
  <r>
    <x v="0"/>
    <x v="0"/>
    <x v="2"/>
    <x v="0"/>
    <x v="0"/>
    <x v="0"/>
    <s v="30"/>
    <x v="0"/>
    <x v="3"/>
    <x v="6"/>
    <n v="75"/>
    <x v="0"/>
  </r>
  <r>
    <x v="0"/>
    <x v="0"/>
    <x v="2"/>
    <x v="0"/>
    <x v="0"/>
    <x v="1"/>
    <s v="22"/>
    <x v="0"/>
    <x v="3"/>
    <x v="0"/>
    <n v="-786875"/>
    <x v="0"/>
  </r>
  <r>
    <x v="0"/>
    <x v="0"/>
    <x v="2"/>
    <x v="0"/>
    <x v="0"/>
    <x v="1"/>
    <s v="22"/>
    <x v="0"/>
    <x v="4"/>
    <x v="0"/>
    <n v="-787075"/>
    <x v="0"/>
  </r>
  <r>
    <x v="0"/>
    <x v="0"/>
    <x v="4"/>
    <x v="0"/>
    <x v="0"/>
    <x v="0"/>
    <s v="01"/>
    <x v="0"/>
    <x v="3"/>
    <x v="6"/>
    <n v="33275.15"/>
    <x v="0"/>
  </r>
  <r>
    <x v="0"/>
    <x v="0"/>
    <x v="4"/>
    <x v="0"/>
    <x v="0"/>
    <x v="0"/>
    <s v="01"/>
    <x v="0"/>
    <x v="3"/>
    <x v="11"/>
    <n v="30407.87"/>
    <x v="0"/>
  </r>
  <r>
    <x v="0"/>
    <x v="0"/>
    <x v="4"/>
    <x v="0"/>
    <x v="0"/>
    <x v="0"/>
    <s v="01"/>
    <x v="0"/>
    <x v="3"/>
    <x v="0"/>
    <n v="70699.16"/>
    <x v="0"/>
  </r>
  <r>
    <x v="0"/>
    <x v="0"/>
    <x v="4"/>
    <x v="0"/>
    <x v="0"/>
    <x v="0"/>
    <s v="01"/>
    <x v="0"/>
    <x v="4"/>
    <x v="11"/>
    <n v="45934.31"/>
    <x v="0"/>
  </r>
  <r>
    <x v="0"/>
    <x v="0"/>
    <x v="4"/>
    <x v="0"/>
    <x v="0"/>
    <x v="0"/>
    <s v="01"/>
    <x v="0"/>
    <x v="4"/>
    <x v="2"/>
    <n v="52715.97"/>
    <x v="0"/>
  </r>
  <r>
    <x v="0"/>
    <x v="0"/>
    <x v="4"/>
    <x v="0"/>
    <x v="0"/>
    <x v="0"/>
    <s v="20"/>
    <x v="0"/>
    <x v="3"/>
    <x v="11"/>
    <n v="800"/>
    <x v="0"/>
  </r>
  <r>
    <x v="0"/>
    <x v="0"/>
    <x v="4"/>
    <x v="0"/>
    <x v="0"/>
    <x v="0"/>
    <s v="20"/>
    <x v="0"/>
    <x v="3"/>
    <x v="2"/>
    <n v="7.01"/>
    <x v="0"/>
  </r>
  <r>
    <x v="0"/>
    <x v="0"/>
    <x v="0"/>
    <x v="0"/>
    <x v="0"/>
    <x v="1"/>
    <s v="88"/>
    <x v="0"/>
    <x v="4"/>
    <x v="10"/>
    <n v="-615444.96"/>
    <x v="0"/>
  </r>
  <r>
    <x v="0"/>
    <x v="0"/>
    <x v="0"/>
    <x v="0"/>
    <x v="0"/>
    <x v="2"/>
    <s v="60"/>
    <x v="0"/>
    <x v="3"/>
    <x v="0"/>
    <n v="85022307.920000002"/>
    <x v="0"/>
  </r>
  <r>
    <x v="0"/>
    <x v="0"/>
    <x v="0"/>
    <x v="0"/>
    <x v="0"/>
    <x v="2"/>
    <s v="60"/>
    <x v="0"/>
    <x v="4"/>
    <x v="0"/>
    <n v="22081981.59"/>
    <x v="0"/>
  </r>
  <r>
    <x v="0"/>
    <x v="0"/>
    <x v="0"/>
    <x v="0"/>
    <x v="0"/>
    <x v="4"/>
    <s v="01"/>
    <x v="0"/>
    <x v="3"/>
    <x v="0"/>
    <n v="-372"/>
    <x v="0"/>
  </r>
  <r>
    <x v="0"/>
    <x v="1"/>
    <x v="1"/>
    <x v="0"/>
    <x v="0"/>
    <x v="0"/>
    <s v="20"/>
    <x v="0"/>
    <x v="5"/>
    <x v="3"/>
    <n v="-2874.8"/>
    <x v="0"/>
  </r>
  <r>
    <x v="0"/>
    <x v="1"/>
    <x v="1"/>
    <x v="0"/>
    <x v="0"/>
    <x v="0"/>
    <s v="09"/>
    <x v="0"/>
    <x v="5"/>
    <x v="3"/>
    <n v="-91790.95"/>
    <x v="0"/>
  </r>
  <r>
    <x v="0"/>
    <x v="1"/>
    <x v="1"/>
    <x v="0"/>
    <x v="0"/>
    <x v="0"/>
    <s v="20"/>
    <x v="0"/>
    <x v="5"/>
    <x v="0"/>
    <n v="-869.58"/>
    <x v="0"/>
  </r>
  <r>
    <x v="0"/>
    <x v="1"/>
    <x v="1"/>
    <x v="0"/>
    <x v="0"/>
    <x v="0"/>
    <s v="09"/>
    <x v="0"/>
    <x v="5"/>
    <x v="0"/>
    <n v="43744"/>
    <x v="0"/>
  </r>
  <r>
    <x v="0"/>
    <x v="1"/>
    <x v="1"/>
    <x v="0"/>
    <x v="0"/>
    <x v="0"/>
    <s v="09"/>
    <x v="0"/>
    <x v="6"/>
    <x v="3"/>
    <n v="-43744"/>
    <x v="0"/>
  </r>
  <r>
    <x v="0"/>
    <x v="1"/>
    <x v="1"/>
    <x v="0"/>
    <x v="0"/>
    <x v="0"/>
    <s v="24"/>
    <x v="0"/>
    <x v="6"/>
    <x v="3"/>
    <n v="-8802889.6899999995"/>
    <x v="0"/>
  </r>
  <r>
    <x v="0"/>
    <x v="1"/>
    <x v="1"/>
    <x v="0"/>
    <x v="0"/>
    <x v="0"/>
    <s v="24"/>
    <x v="0"/>
    <x v="5"/>
    <x v="3"/>
    <n v="-8305219.1600000001"/>
    <x v="0"/>
  </r>
  <r>
    <x v="0"/>
    <x v="1"/>
    <x v="1"/>
    <x v="0"/>
    <x v="0"/>
    <x v="0"/>
    <s v="20"/>
    <x v="0"/>
    <x v="6"/>
    <x v="3"/>
    <n v="869.58"/>
    <x v="0"/>
  </r>
  <r>
    <x v="0"/>
    <x v="1"/>
    <x v="1"/>
    <x v="0"/>
    <x v="0"/>
    <x v="0"/>
    <s v="24"/>
    <x v="0"/>
    <x v="6"/>
    <x v="0"/>
    <n v="5039912.8099999996"/>
    <x v="0"/>
  </r>
  <r>
    <x v="0"/>
    <x v="1"/>
    <x v="1"/>
    <x v="0"/>
    <x v="0"/>
    <x v="0"/>
    <s v="20"/>
    <x v="0"/>
    <x v="5"/>
    <x v="1"/>
    <n v="2820"/>
    <x v="0"/>
  </r>
  <r>
    <x v="0"/>
    <x v="1"/>
    <x v="1"/>
    <x v="0"/>
    <x v="0"/>
    <x v="0"/>
    <s v="24"/>
    <x v="0"/>
    <x v="5"/>
    <x v="0"/>
    <n v="8462428.0700000003"/>
    <x v="0"/>
  </r>
  <r>
    <x v="0"/>
    <x v="1"/>
    <x v="1"/>
    <x v="0"/>
    <x v="0"/>
    <x v="0"/>
    <s v="20"/>
    <x v="0"/>
    <x v="6"/>
    <x v="0"/>
    <n v="3260"/>
    <x v="0"/>
  </r>
  <r>
    <x v="0"/>
    <x v="1"/>
    <x v="1"/>
    <x v="0"/>
    <x v="0"/>
    <x v="0"/>
    <s v="73"/>
    <x v="0"/>
    <x v="5"/>
    <x v="0"/>
    <n v="-12887.5"/>
    <x v="0"/>
  </r>
  <r>
    <x v="0"/>
    <x v="1"/>
    <x v="1"/>
    <x v="0"/>
    <x v="0"/>
    <x v="0"/>
    <s v="73"/>
    <x v="0"/>
    <x v="5"/>
    <x v="3"/>
    <n v="15185.02"/>
    <x v="0"/>
  </r>
  <r>
    <x v="0"/>
    <x v="1"/>
    <x v="1"/>
    <x v="0"/>
    <x v="0"/>
    <x v="0"/>
    <s v="73"/>
    <x v="0"/>
    <x v="6"/>
    <x v="3"/>
    <n v="12887.5"/>
    <x v="0"/>
  </r>
  <r>
    <x v="0"/>
    <x v="1"/>
    <x v="6"/>
    <x v="0"/>
    <x v="0"/>
    <x v="0"/>
    <s v="85"/>
    <x v="0"/>
    <x v="5"/>
    <x v="2"/>
    <n v="-739004.39"/>
    <x v="0"/>
  </r>
  <r>
    <x v="0"/>
    <x v="1"/>
    <x v="2"/>
    <x v="0"/>
    <x v="0"/>
    <x v="0"/>
    <s v="30"/>
    <x v="0"/>
    <x v="5"/>
    <x v="10"/>
    <n v="-550"/>
    <x v="0"/>
  </r>
  <r>
    <x v="0"/>
    <x v="1"/>
    <x v="2"/>
    <x v="0"/>
    <x v="0"/>
    <x v="0"/>
    <s v="05"/>
    <x v="0"/>
    <x v="5"/>
    <x v="2"/>
    <n v="-65"/>
    <x v="0"/>
  </r>
  <r>
    <x v="0"/>
    <x v="1"/>
    <x v="2"/>
    <x v="0"/>
    <x v="0"/>
    <x v="0"/>
    <s v="30"/>
    <x v="0"/>
    <x v="5"/>
    <x v="6"/>
    <n v="-50"/>
    <x v="0"/>
  </r>
  <r>
    <x v="0"/>
    <x v="1"/>
    <x v="2"/>
    <x v="0"/>
    <x v="0"/>
    <x v="0"/>
    <s v="30"/>
    <x v="0"/>
    <x v="6"/>
    <x v="9"/>
    <n v="-50"/>
    <x v="0"/>
  </r>
  <r>
    <x v="0"/>
    <x v="1"/>
    <x v="2"/>
    <x v="0"/>
    <x v="0"/>
    <x v="0"/>
    <s v="90"/>
    <x v="0"/>
    <x v="5"/>
    <x v="7"/>
    <n v="-80"/>
    <x v="0"/>
  </r>
  <r>
    <x v="0"/>
    <x v="1"/>
    <x v="2"/>
    <x v="0"/>
    <x v="0"/>
    <x v="0"/>
    <s v="02"/>
    <x v="0"/>
    <x v="5"/>
    <x v="8"/>
    <n v="-530.23"/>
    <x v="0"/>
  </r>
  <r>
    <x v="0"/>
    <x v="1"/>
    <x v="3"/>
    <x v="0"/>
    <x v="0"/>
    <x v="0"/>
    <s v="24"/>
    <x v="0"/>
    <x v="5"/>
    <x v="1"/>
    <n v="23132.07"/>
    <x v="0"/>
  </r>
  <r>
    <x v="0"/>
    <x v="1"/>
    <x v="3"/>
    <x v="0"/>
    <x v="0"/>
    <x v="0"/>
    <s v="24"/>
    <x v="0"/>
    <x v="5"/>
    <x v="9"/>
    <n v="57690.92"/>
    <x v="0"/>
  </r>
  <r>
    <x v="0"/>
    <x v="1"/>
    <x v="3"/>
    <x v="0"/>
    <x v="0"/>
    <x v="0"/>
    <s v="24"/>
    <x v="0"/>
    <x v="5"/>
    <x v="10"/>
    <n v="39463.410000000003"/>
    <x v="0"/>
  </r>
  <r>
    <x v="0"/>
    <x v="1"/>
    <x v="3"/>
    <x v="0"/>
    <x v="0"/>
    <x v="0"/>
    <s v="24"/>
    <x v="0"/>
    <x v="5"/>
    <x v="3"/>
    <n v="317019.13"/>
    <x v="0"/>
  </r>
  <r>
    <x v="0"/>
    <x v="1"/>
    <x v="3"/>
    <x v="0"/>
    <x v="0"/>
    <x v="0"/>
    <s v="01"/>
    <x v="0"/>
    <x v="5"/>
    <x v="0"/>
    <n v="-14801"/>
    <x v="0"/>
  </r>
  <r>
    <x v="0"/>
    <x v="1"/>
    <x v="3"/>
    <x v="0"/>
    <x v="0"/>
    <x v="0"/>
    <s v="24"/>
    <x v="0"/>
    <x v="6"/>
    <x v="5"/>
    <n v="62767.71"/>
    <x v="0"/>
  </r>
  <r>
    <x v="0"/>
    <x v="1"/>
    <x v="3"/>
    <x v="0"/>
    <x v="0"/>
    <x v="0"/>
    <s v="24"/>
    <x v="0"/>
    <x v="5"/>
    <x v="4"/>
    <n v="197631.67"/>
    <x v="0"/>
  </r>
  <r>
    <x v="0"/>
    <x v="1"/>
    <x v="3"/>
    <x v="0"/>
    <x v="0"/>
    <x v="0"/>
    <s v="20"/>
    <x v="0"/>
    <x v="5"/>
    <x v="11"/>
    <n v="283.45"/>
    <x v="0"/>
  </r>
  <r>
    <x v="0"/>
    <x v="1"/>
    <x v="3"/>
    <x v="0"/>
    <x v="0"/>
    <x v="0"/>
    <s v="20"/>
    <x v="0"/>
    <x v="5"/>
    <x v="10"/>
    <n v="-283.45"/>
    <x v="0"/>
  </r>
  <r>
    <x v="0"/>
    <x v="1"/>
    <x v="3"/>
    <x v="0"/>
    <x v="0"/>
    <x v="0"/>
    <s v="24"/>
    <x v="0"/>
    <x v="6"/>
    <x v="2"/>
    <n v="-35159.83"/>
    <x v="0"/>
  </r>
  <r>
    <x v="0"/>
    <x v="1"/>
    <x v="3"/>
    <x v="0"/>
    <x v="0"/>
    <x v="0"/>
    <s v="24"/>
    <x v="0"/>
    <x v="5"/>
    <x v="6"/>
    <n v="-134253.37"/>
    <x v="0"/>
  </r>
  <r>
    <x v="0"/>
    <x v="1"/>
    <x v="3"/>
    <x v="0"/>
    <x v="0"/>
    <x v="0"/>
    <s v="24"/>
    <x v="0"/>
    <x v="5"/>
    <x v="5"/>
    <n v="-58504.41"/>
    <x v="0"/>
  </r>
  <r>
    <x v="0"/>
    <x v="1"/>
    <x v="3"/>
    <x v="0"/>
    <x v="0"/>
    <x v="0"/>
    <s v="24"/>
    <x v="0"/>
    <x v="5"/>
    <x v="11"/>
    <n v="-138255.91"/>
    <x v="0"/>
  </r>
  <r>
    <x v="0"/>
    <x v="1"/>
    <x v="3"/>
    <x v="0"/>
    <x v="0"/>
    <x v="0"/>
    <s v="30"/>
    <x v="0"/>
    <x v="5"/>
    <x v="3"/>
    <n v="23"/>
    <x v="0"/>
  </r>
  <r>
    <x v="0"/>
    <x v="1"/>
    <x v="3"/>
    <x v="0"/>
    <x v="0"/>
    <x v="0"/>
    <s v="24"/>
    <x v="0"/>
    <x v="5"/>
    <x v="8"/>
    <n v="-52870.8"/>
    <x v="0"/>
  </r>
  <r>
    <x v="0"/>
    <x v="1"/>
    <x v="3"/>
    <x v="0"/>
    <x v="0"/>
    <x v="0"/>
    <s v="24"/>
    <x v="0"/>
    <x v="5"/>
    <x v="7"/>
    <n v="140556.65"/>
    <x v="0"/>
  </r>
  <r>
    <x v="0"/>
    <x v="1"/>
    <x v="3"/>
    <x v="0"/>
    <x v="0"/>
    <x v="0"/>
    <s v="24"/>
    <x v="0"/>
    <x v="5"/>
    <x v="2"/>
    <n v="-39815.93"/>
    <x v="0"/>
  </r>
  <r>
    <x v="0"/>
    <x v="1"/>
    <x v="3"/>
    <x v="0"/>
    <x v="0"/>
    <x v="0"/>
    <s v="30"/>
    <x v="0"/>
    <x v="5"/>
    <x v="4"/>
    <n v="13"/>
    <x v="0"/>
  </r>
  <r>
    <x v="0"/>
    <x v="1"/>
    <x v="3"/>
    <x v="0"/>
    <x v="0"/>
    <x v="0"/>
    <s v="24"/>
    <x v="0"/>
    <x v="5"/>
    <x v="0"/>
    <n v="-856330.21"/>
    <x v="0"/>
  </r>
  <r>
    <x v="0"/>
    <x v="1"/>
    <x v="3"/>
    <x v="0"/>
    <x v="0"/>
    <x v="0"/>
    <s v="24"/>
    <x v="0"/>
    <x v="6"/>
    <x v="3"/>
    <n v="92639.86"/>
    <x v="0"/>
  </r>
  <r>
    <x v="0"/>
    <x v="1"/>
    <x v="3"/>
    <x v="0"/>
    <x v="0"/>
    <x v="0"/>
    <s v="24"/>
    <x v="0"/>
    <x v="6"/>
    <x v="9"/>
    <n v="51329.24"/>
    <x v="0"/>
  </r>
  <r>
    <x v="0"/>
    <x v="1"/>
    <x v="3"/>
    <x v="0"/>
    <x v="0"/>
    <x v="0"/>
    <s v="30"/>
    <x v="0"/>
    <x v="5"/>
    <x v="6"/>
    <n v="3750.44"/>
    <x v="0"/>
  </r>
  <r>
    <x v="0"/>
    <x v="1"/>
    <x v="3"/>
    <x v="0"/>
    <x v="0"/>
    <x v="0"/>
    <s v="24"/>
    <x v="0"/>
    <x v="6"/>
    <x v="1"/>
    <n v="50436.160000000003"/>
    <x v="0"/>
  </r>
  <r>
    <x v="0"/>
    <x v="1"/>
    <x v="3"/>
    <x v="0"/>
    <x v="0"/>
    <x v="0"/>
    <s v="24"/>
    <x v="0"/>
    <x v="6"/>
    <x v="4"/>
    <n v="12831.51"/>
    <x v="0"/>
  </r>
  <r>
    <x v="0"/>
    <x v="1"/>
    <x v="3"/>
    <x v="0"/>
    <x v="0"/>
    <x v="0"/>
    <s v="24"/>
    <x v="0"/>
    <x v="6"/>
    <x v="10"/>
    <n v="4242.5600000000004"/>
    <x v="0"/>
  </r>
  <r>
    <x v="0"/>
    <x v="1"/>
    <x v="3"/>
    <x v="0"/>
    <x v="0"/>
    <x v="0"/>
    <s v="30"/>
    <x v="0"/>
    <x v="5"/>
    <x v="8"/>
    <n v="23"/>
    <x v="0"/>
  </r>
  <r>
    <x v="0"/>
    <x v="1"/>
    <x v="3"/>
    <x v="0"/>
    <x v="0"/>
    <x v="0"/>
    <s v="30"/>
    <x v="0"/>
    <x v="5"/>
    <x v="11"/>
    <n v="-30.26"/>
    <x v="0"/>
  </r>
  <r>
    <x v="0"/>
    <x v="1"/>
    <x v="3"/>
    <x v="0"/>
    <x v="0"/>
    <x v="0"/>
    <s v="24"/>
    <x v="0"/>
    <x v="6"/>
    <x v="6"/>
    <n v="-190610.27"/>
    <x v="0"/>
  </r>
  <r>
    <x v="0"/>
    <x v="1"/>
    <x v="3"/>
    <x v="0"/>
    <x v="0"/>
    <x v="0"/>
    <s v="30"/>
    <x v="0"/>
    <x v="5"/>
    <x v="5"/>
    <n v="-23"/>
    <x v="0"/>
  </r>
  <r>
    <x v="0"/>
    <x v="1"/>
    <x v="3"/>
    <x v="0"/>
    <x v="0"/>
    <x v="0"/>
    <s v="41"/>
    <x v="0"/>
    <x v="5"/>
    <x v="8"/>
    <n v="203509.55"/>
    <x v="0"/>
  </r>
  <r>
    <x v="0"/>
    <x v="1"/>
    <x v="3"/>
    <x v="0"/>
    <x v="0"/>
    <x v="0"/>
    <s v="30"/>
    <x v="0"/>
    <x v="5"/>
    <x v="2"/>
    <n v="-23"/>
    <x v="0"/>
  </r>
  <r>
    <x v="0"/>
    <x v="1"/>
    <x v="3"/>
    <x v="0"/>
    <x v="0"/>
    <x v="0"/>
    <s v="24"/>
    <x v="0"/>
    <x v="6"/>
    <x v="11"/>
    <n v="127558.48"/>
    <x v="0"/>
  </r>
  <r>
    <x v="0"/>
    <x v="1"/>
    <x v="3"/>
    <x v="0"/>
    <x v="0"/>
    <x v="0"/>
    <s v="30"/>
    <x v="0"/>
    <x v="5"/>
    <x v="7"/>
    <n v="7.26"/>
    <x v="0"/>
  </r>
  <r>
    <x v="0"/>
    <x v="1"/>
    <x v="3"/>
    <x v="0"/>
    <x v="0"/>
    <x v="0"/>
    <s v="99"/>
    <x v="0"/>
    <x v="6"/>
    <x v="3"/>
    <n v="101.97"/>
    <x v="0"/>
  </r>
  <r>
    <x v="0"/>
    <x v="1"/>
    <x v="3"/>
    <x v="0"/>
    <x v="0"/>
    <x v="0"/>
    <s v="30"/>
    <x v="0"/>
    <x v="6"/>
    <x v="10"/>
    <n v="-54.5"/>
    <x v="0"/>
  </r>
  <r>
    <x v="0"/>
    <x v="1"/>
    <x v="3"/>
    <x v="0"/>
    <x v="0"/>
    <x v="0"/>
    <s v="24"/>
    <x v="0"/>
    <x v="6"/>
    <x v="8"/>
    <n v="88313.15"/>
    <x v="0"/>
  </r>
  <r>
    <x v="0"/>
    <x v="1"/>
    <x v="3"/>
    <x v="0"/>
    <x v="0"/>
    <x v="0"/>
    <s v="41"/>
    <x v="0"/>
    <x v="5"/>
    <x v="7"/>
    <n v="156197.53"/>
    <x v="0"/>
  </r>
  <r>
    <x v="0"/>
    <x v="1"/>
    <x v="3"/>
    <x v="0"/>
    <x v="0"/>
    <x v="0"/>
    <s v="99"/>
    <x v="0"/>
    <x v="6"/>
    <x v="6"/>
    <n v="-8967.77"/>
    <x v="0"/>
  </r>
  <r>
    <x v="0"/>
    <x v="1"/>
    <x v="3"/>
    <x v="0"/>
    <x v="0"/>
    <x v="0"/>
    <s v="41"/>
    <x v="0"/>
    <x v="5"/>
    <x v="11"/>
    <n v="-156197.53"/>
    <x v="0"/>
  </r>
  <r>
    <x v="0"/>
    <x v="1"/>
    <x v="3"/>
    <x v="0"/>
    <x v="0"/>
    <x v="0"/>
    <s v="24"/>
    <x v="0"/>
    <x v="6"/>
    <x v="0"/>
    <n v="-142892.35999999999"/>
    <x v="0"/>
  </r>
  <r>
    <x v="0"/>
    <x v="1"/>
    <x v="3"/>
    <x v="0"/>
    <x v="0"/>
    <x v="0"/>
    <s v="41"/>
    <x v="0"/>
    <x v="6"/>
    <x v="4"/>
    <n v="-110273.76"/>
    <x v="0"/>
  </r>
  <r>
    <x v="0"/>
    <x v="1"/>
    <x v="3"/>
    <x v="0"/>
    <x v="0"/>
    <x v="0"/>
    <s v="99"/>
    <x v="0"/>
    <x v="6"/>
    <x v="11"/>
    <n v="-31.2"/>
    <x v="0"/>
  </r>
  <r>
    <x v="0"/>
    <x v="1"/>
    <x v="3"/>
    <x v="0"/>
    <x v="0"/>
    <x v="0"/>
    <s v="41"/>
    <x v="0"/>
    <x v="5"/>
    <x v="2"/>
    <n v="-203509.55"/>
    <x v="0"/>
  </r>
  <r>
    <x v="0"/>
    <x v="1"/>
    <x v="3"/>
    <x v="0"/>
    <x v="0"/>
    <x v="0"/>
    <s v="30"/>
    <x v="0"/>
    <x v="5"/>
    <x v="1"/>
    <n v="10"/>
    <x v="0"/>
  </r>
  <r>
    <x v="0"/>
    <x v="1"/>
    <x v="3"/>
    <x v="0"/>
    <x v="0"/>
    <x v="0"/>
    <s v="41"/>
    <x v="0"/>
    <x v="6"/>
    <x v="6"/>
    <n v="-86108.89"/>
    <x v="0"/>
  </r>
  <r>
    <x v="0"/>
    <x v="1"/>
    <x v="3"/>
    <x v="0"/>
    <x v="0"/>
    <x v="0"/>
    <s v="99"/>
    <x v="0"/>
    <x v="6"/>
    <x v="2"/>
    <n v="13.64"/>
    <x v="0"/>
  </r>
  <r>
    <x v="0"/>
    <x v="1"/>
    <x v="3"/>
    <x v="0"/>
    <x v="0"/>
    <x v="0"/>
    <s v="41"/>
    <x v="0"/>
    <x v="5"/>
    <x v="0"/>
    <n v="110273.76"/>
    <x v="0"/>
  </r>
  <r>
    <x v="0"/>
    <x v="1"/>
    <x v="3"/>
    <x v="0"/>
    <x v="0"/>
    <x v="0"/>
    <s v="30"/>
    <x v="0"/>
    <x v="5"/>
    <x v="9"/>
    <n v="-3727.44"/>
    <x v="0"/>
  </r>
  <r>
    <x v="0"/>
    <x v="1"/>
    <x v="3"/>
    <x v="0"/>
    <x v="0"/>
    <x v="0"/>
    <s v="41"/>
    <x v="0"/>
    <x v="6"/>
    <x v="8"/>
    <n v="158508.34"/>
    <x v="0"/>
  </r>
  <r>
    <x v="0"/>
    <x v="1"/>
    <x v="3"/>
    <x v="0"/>
    <x v="0"/>
    <x v="0"/>
    <s v="99"/>
    <x v="0"/>
    <x v="6"/>
    <x v="0"/>
    <n v="134.38999999999999"/>
    <x v="0"/>
  </r>
  <r>
    <x v="0"/>
    <x v="1"/>
    <x v="3"/>
    <x v="0"/>
    <x v="0"/>
    <x v="0"/>
    <s v="99"/>
    <x v="0"/>
    <x v="5"/>
    <x v="1"/>
    <n v="520"/>
    <x v="0"/>
  </r>
  <r>
    <x v="0"/>
    <x v="1"/>
    <x v="3"/>
    <x v="0"/>
    <x v="0"/>
    <x v="0"/>
    <s v="41"/>
    <x v="0"/>
    <x v="6"/>
    <x v="5"/>
    <n v="86108.89"/>
    <x v="0"/>
  </r>
  <r>
    <x v="0"/>
    <x v="1"/>
    <x v="3"/>
    <x v="0"/>
    <x v="0"/>
    <x v="0"/>
    <s v="99"/>
    <x v="0"/>
    <x v="5"/>
    <x v="3"/>
    <n v="-45"/>
    <x v="0"/>
  </r>
  <r>
    <x v="0"/>
    <x v="1"/>
    <x v="3"/>
    <x v="0"/>
    <x v="0"/>
    <x v="3"/>
    <s v="46"/>
    <x v="0"/>
    <x v="6"/>
    <x v="1"/>
    <n v="4750"/>
    <x v="1"/>
  </r>
  <r>
    <x v="0"/>
    <x v="1"/>
    <x v="3"/>
    <x v="0"/>
    <x v="0"/>
    <x v="0"/>
    <s v="99"/>
    <x v="0"/>
    <x v="5"/>
    <x v="9"/>
    <n v="15"/>
    <x v="0"/>
  </r>
  <r>
    <x v="0"/>
    <x v="1"/>
    <x v="3"/>
    <x v="0"/>
    <x v="0"/>
    <x v="0"/>
    <s v="41"/>
    <x v="0"/>
    <x v="6"/>
    <x v="2"/>
    <n v="-158508.34"/>
    <x v="0"/>
  </r>
  <r>
    <x v="0"/>
    <x v="1"/>
    <x v="3"/>
    <x v="0"/>
    <x v="0"/>
    <x v="0"/>
    <s v="99"/>
    <x v="0"/>
    <x v="5"/>
    <x v="4"/>
    <n v="-460"/>
    <x v="0"/>
  </r>
  <r>
    <x v="0"/>
    <x v="1"/>
    <x v="3"/>
    <x v="0"/>
    <x v="0"/>
    <x v="0"/>
    <s v="99"/>
    <x v="0"/>
    <x v="6"/>
    <x v="5"/>
    <n v="8967.77"/>
    <x v="0"/>
  </r>
  <r>
    <x v="0"/>
    <x v="0"/>
    <x v="3"/>
    <x v="0"/>
    <x v="0"/>
    <x v="0"/>
    <s v="24"/>
    <x v="0"/>
    <x v="3"/>
    <x v="8"/>
    <n v="13375530.609999999"/>
    <x v="0"/>
  </r>
  <r>
    <x v="0"/>
    <x v="0"/>
    <x v="3"/>
    <x v="0"/>
    <x v="0"/>
    <x v="0"/>
    <s v="24"/>
    <x v="0"/>
    <x v="3"/>
    <x v="0"/>
    <n v="51730015.439999998"/>
    <x v="0"/>
  </r>
  <r>
    <x v="0"/>
    <x v="0"/>
    <x v="3"/>
    <x v="0"/>
    <x v="0"/>
    <x v="0"/>
    <s v="24"/>
    <x v="0"/>
    <x v="4"/>
    <x v="5"/>
    <n v="12744455.99"/>
    <x v="0"/>
  </r>
  <r>
    <x v="0"/>
    <x v="0"/>
    <x v="3"/>
    <x v="0"/>
    <x v="0"/>
    <x v="0"/>
    <s v="24"/>
    <x v="0"/>
    <x v="4"/>
    <x v="7"/>
    <n v="17197098.829999998"/>
    <x v="0"/>
  </r>
  <r>
    <x v="0"/>
    <x v="0"/>
    <x v="3"/>
    <x v="0"/>
    <x v="0"/>
    <x v="0"/>
    <s v="24"/>
    <x v="0"/>
    <x v="4"/>
    <x v="8"/>
    <n v="23769493.440000001"/>
    <x v="0"/>
  </r>
  <r>
    <x v="0"/>
    <x v="0"/>
    <x v="3"/>
    <x v="0"/>
    <x v="0"/>
    <x v="0"/>
    <s v="24"/>
    <x v="0"/>
    <x v="4"/>
    <x v="0"/>
    <n v="13045594.560000001"/>
    <x v="0"/>
  </r>
  <r>
    <x v="0"/>
    <x v="0"/>
    <x v="3"/>
    <x v="0"/>
    <x v="0"/>
    <x v="0"/>
    <s v="30"/>
    <x v="0"/>
    <x v="3"/>
    <x v="2"/>
    <n v="41"/>
    <x v="0"/>
  </r>
  <r>
    <x v="0"/>
    <x v="0"/>
    <x v="3"/>
    <x v="0"/>
    <x v="0"/>
    <x v="0"/>
    <s v="30"/>
    <x v="0"/>
    <x v="4"/>
    <x v="5"/>
    <n v="643"/>
    <x v="0"/>
  </r>
  <r>
    <x v="0"/>
    <x v="0"/>
    <x v="3"/>
    <x v="0"/>
    <x v="0"/>
    <x v="0"/>
    <s v="30"/>
    <x v="0"/>
    <x v="4"/>
    <x v="7"/>
    <n v="63332.58"/>
    <x v="0"/>
  </r>
  <r>
    <x v="0"/>
    <x v="0"/>
    <x v="3"/>
    <x v="0"/>
    <x v="0"/>
    <x v="0"/>
    <s v="30"/>
    <x v="0"/>
    <x v="4"/>
    <x v="2"/>
    <n v="429.5"/>
    <x v="0"/>
  </r>
  <r>
    <x v="0"/>
    <x v="0"/>
    <x v="3"/>
    <x v="0"/>
    <x v="0"/>
    <x v="0"/>
    <s v="40"/>
    <x v="0"/>
    <x v="3"/>
    <x v="11"/>
    <n v="-18755.97"/>
    <x v="0"/>
  </r>
  <r>
    <x v="0"/>
    <x v="0"/>
    <x v="3"/>
    <x v="0"/>
    <x v="0"/>
    <x v="0"/>
    <s v="40"/>
    <x v="0"/>
    <x v="4"/>
    <x v="0"/>
    <n v="25820.77"/>
    <x v="0"/>
  </r>
  <r>
    <x v="0"/>
    <x v="0"/>
    <x v="3"/>
    <x v="0"/>
    <x v="0"/>
    <x v="0"/>
    <s v="41"/>
    <x v="0"/>
    <x v="3"/>
    <x v="5"/>
    <n v="65516.08"/>
    <x v="0"/>
  </r>
  <r>
    <x v="0"/>
    <x v="0"/>
    <x v="3"/>
    <x v="0"/>
    <x v="0"/>
    <x v="0"/>
    <s v="41"/>
    <x v="0"/>
    <x v="3"/>
    <x v="7"/>
    <n v="151590.45000000001"/>
    <x v="0"/>
  </r>
  <r>
    <x v="0"/>
    <x v="0"/>
    <x v="3"/>
    <x v="0"/>
    <x v="0"/>
    <x v="0"/>
    <s v="41"/>
    <x v="0"/>
    <x v="3"/>
    <x v="2"/>
    <n v="121837.84"/>
    <x v="0"/>
  </r>
  <r>
    <x v="0"/>
    <x v="0"/>
    <x v="3"/>
    <x v="0"/>
    <x v="0"/>
    <x v="0"/>
    <s v="41"/>
    <x v="0"/>
    <x v="4"/>
    <x v="7"/>
    <n v="145288.74"/>
    <x v="0"/>
  </r>
  <r>
    <x v="0"/>
    <x v="0"/>
    <x v="3"/>
    <x v="0"/>
    <x v="0"/>
    <x v="0"/>
    <s v="99"/>
    <x v="0"/>
    <x v="3"/>
    <x v="9"/>
    <n v="6261.67"/>
    <x v="0"/>
  </r>
  <r>
    <x v="0"/>
    <x v="0"/>
    <x v="3"/>
    <x v="0"/>
    <x v="0"/>
    <x v="0"/>
    <s v="99"/>
    <x v="0"/>
    <x v="3"/>
    <x v="10"/>
    <n v="-91.5"/>
    <x v="0"/>
  </r>
  <r>
    <x v="0"/>
    <x v="0"/>
    <x v="3"/>
    <x v="0"/>
    <x v="0"/>
    <x v="0"/>
    <s v="99"/>
    <x v="0"/>
    <x v="4"/>
    <x v="4"/>
    <n v="918.34"/>
    <x v="0"/>
  </r>
  <r>
    <x v="0"/>
    <x v="0"/>
    <x v="3"/>
    <x v="0"/>
    <x v="0"/>
    <x v="0"/>
    <s v="99"/>
    <x v="0"/>
    <x v="4"/>
    <x v="10"/>
    <n v="7.28"/>
    <x v="0"/>
  </r>
  <r>
    <x v="0"/>
    <x v="0"/>
    <x v="3"/>
    <x v="0"/>
    <x v="0"/>
    <x v="0"/>
    <s v="99"/>
    <x v="0"/>
    <x v="4"/>
    <x v="8"/>
    <n v="106.4"/>
    <x v="0"/>
  </r>
  <r>
    <x v="0"/>
    <x v="0"/>
    <x v="3"/>
    <x v="0"/>
    <x v="0"/>
    <x v="3"/>
    <s v="41"/>
    <x v="0"/>
    <x v="3"/>
    <x v="2"/>
    <n v="-373.75"/>
    <x v="1"/>
  </r>
  <r>
    <x v="0"/>
    <x v="0"/>
    <x v="3"/>
    <x v="0"/>
    <x v="0"/>
    <x v="3"/>
    <s v="41"/>
    <x v="0"/>
    <x v="4"/>
    <x v="1"/>
    <n v="692.1"/>
    <x v="1"/>
  </r>
  <r>
    <x v="0"/>
    <x v="0"/>
    <x v="3"/>
    <x v="0"/>
    <x v="0"/>
    <x v="3"/>
    <s v="41"/>
    <x v="0"/>
    <x v="4"/>
    <x v="9"/>
    <n v="1047.57"/>
    <x v="1"/>
  </r>
  <r>
    <x v="0"/>
    <x v="0"/>
    <x v="3"/>
    <x v="0"/>
    <x v="0"/>
    <x v="1"/>
    <s v="21"/>
    <x v="0"/>
    <x v="3"/>
    <x v="4"/>
    <n v="283.62"/>
    <x v="0"/>
  </r>
  <r>
    <x v="0"/>
    <x v="0"/>
    <x v="3"/>
    <x v="0"/>
    <x v="0"/>
    <x v="1"/>
    <s v="21"/>
    <x v="0"/>
    <x v="3"/>
    <x v="10"/>
    <n v="-75000"/>
    <x v="0"/>
  </r>
  <r>
    <x v="0"/>
    <x v="0"/>
    <x v="3"/>
    <x v="0"/>
    <x v="0"/>
    <x v="1"/>
    <s v="22"/>
    <x v="0"/>
    <x v="4"/>
    <x v="2"/>
    <n v="200.48"/>
    <x v="0"/>
  </r>
  <r>
    <x v="0"/>
    <x v="0"/>
    <x v="3"/>
    <x v="0"/>
    <x v="0"/>
    <x v="4"/>
    <s v="20"/>
    <x v="0"/>
    <x v="3"/>
    <x v="2"/>
    <n v="150.49"/>
    <x v="0"/>
  </r>
  <r>
    <x v="0"/>
    <x v="0"/>
    <x v="3"/>
    <x v="0"/>
    <x v="0"/>
    <x v="0"/>
    <s v="01"/>
    <x v="0"/>
    <x v="3"/>
    <x v="1"/>
    <n v="75693.45"/>
    <x v="0"/>
  </r>
  <r>
    <x v="0"/>
    <x v="0"/>
    <x v="3"/>
    <x v="0"/>
    <x v="0"/>
    <x v="0"/>
    <s v="01"/>
    <x v="0"/>
    <x v="4"/>
    <x v="1"/>
    <n v="304142.19"/>
    <x v="0"/>
  </r>
  <r>
    <x v="0"/>
    <x v="0"/>
    <x v="3"/>
    <x v="0"/>
    <x v="0"/>
    <x v="0"/>
    <s v="01"/>
    <x v="0"/>
    <x v="4"/>
    <x v="9"/>
    <n v="102369.78"/>
    <x v="0"/>
  </r>
  <r>
    <x v="0"/>
    <x v="0"/>
    <x v="3"/>
    <x v="0"/>
    <x v="0"/>
    <x v="0"/>
    <s v="02"/>
    <x v="0"/>
    <x v="3"/>
    <x v="9"/>
    <n v="2894.1"/>
    <x v="0"/>
  </r>
  <r>
    <x v="0"/>
    <x v="0"/>
    <x v="3"/>
    <x v="0"/>
    <x v="0"/>
    <x v="0"/>
    <s v="05"/>
    <x v="0"/>
    <x v="3"/>
    <x v="1"/>
    <n v="-15"/>
    <x v="0"/>
  </r>
  <r>
    <x v="0"/>
    <x v="0"/>
    <x v="3"/>
    <x v="0"/>
    <x v="0"/>
    <x v="0"/>
    <s v="05"/>
    <x v="0"/>
    <x v="4"/>
    <x v="1"/>
    <n v="10"/>
    <x v="0"/>
  </r>
  <r>
    <x v="0"/>
    <x v="0"/>
    <x v="3"/>
    <x v="0"/>
    <x v="0"/>
    <x v="0"/>
    <s v="09"/>
    <x v="0"/>
    <x v="3"/>
    <x v="9"/>
    <n v="30.9"/>
    <x v="0"/>
  </r>
  <r>
    <x v="0"/>
    <x v="0"/>
    <x v="3"/>
    <x v="0"/>
    <x v="0"/>
    <x v="0"/>
    <s v="09"/>
    <x v="0"/>
    <x v="3"/>
    <x v="10"/>
    <n v="700.73"/>
    <x v="0"/>
  </r>
  <r>
    <x v="0"/>
    <x v="0"/>
    <x v="3"/>
    <x v="0"/>
    <x v="0"/>
    <x v="0"/>
    <s v="09"/>
    <x v="0"/>
    <x v="3"/>
    <x v="8"/>
    <n v="8352.18"/>
    <x v="0"/>
  </r>
  <r>
    <x v="0"/>
    <x v="0"/>
    <x v="3"/>
    <x v="0"/>
    <x v="0"/>
    <x v="0"/>
    <s v="09"/>
    <x v="0"/>
    <x v="4"/>
    <x v="4"/>
    <n v="7619.75"/>
    <x v="0"/>
  </r>
  <r>
    <x v="0"/>
    <x v="0"/>
    <x v="3"/>
    <x v="0"/>
    <x v="0"/>
    <x v="0"/>
    <s v="09"/>
    <x v="0"/>
    <x v="4"/>
    <x v="10"/>
    <n v="8573.84"/>
    <x v="0"/>
  </r>
  <r>
    <x v="0"/>
    <x v="0"/>
    <x v="3"/>
    <x v="0"/>
    <x v="0"/>
    <x v="0"/>
    <s v="09"/>
    <x v="0"/>
    <x v="4"/>
    <x v="8"/>
    <n v="1391.66"/>
    <x v="0"/>
  </r>
  <r>
    <x v="0"/>
    <x v="0"/>
    <x v="3"/>
    <x v="0"/>
    <x v="0"/>
    <x v="0"/>
    <s v="16"/>
    <x v="0"/>
    <x v="4"/>
    <x v="4"/>
    <n v="34.200000000000003"/>
    <x v="0"/>
  </r>
  <r>
    <x v="0"/>
    <x v="0"/>
    <x v="3"/>
    <x v="0"/>
    <x v="0"/>
    <x v="0"/>
    <s v="20"/>
    <x v="0"/>
    <x v="3"/>
    <x v="9"/>
    <n v="-7.95"/>
    <x v="0"/>
  </r>
  <r>
    <x v="0"/>
    <x v="0"/>
    <x v="3"/>
    <x v="0"/>
    <x v="0"/>
    <x v="0"/>
    <s v="20"/>
    <x v="0"/>
    <x v="3"/>
    <x v="10"/>
    <n v="565.85"/>
    <x v="0"/>
  </r>
  <r>
    <x v="0"/>
    <x v="0"/>
    <x v="3"/>
    <x v="0"/>
    <x v="0"/>
    <x v="0"/>
    <s v="20"/>
    <x v="0"/>
    <x v="4"/>
    <x v="1"/>
    <n v="126.79"/>
    <x v="0"/>
  </r>
  <r>
    <x v="0"/>
    <x v="0"/>
    <x v="3"/>
    <x v="0"/>
    <x v="0"/>
    <x v="0"/>
    <s v="20"/>
    <x v="0"/>
    <x v="4"/>
    <x v="9"/>
    <n v="100.8"/>
    <x v="0"/>
  </r>
  <r>
    <x v="0"/>
    <x v="0"/>
    <x v="3"/>
    <x v="0"/>
    <x v="0"/>
    <x v="0"/>
    <s v="24"/>
    <x v="0"/>
    <x v="3"/>
    <x v="3"/>
    <n v="25176721.469999999"/>
    <x v="0"/>
  </r>
  <r>
    <x v="0"/>
    <x v="0"/>
    <x v="3"/>
    <x v="0"/>
    <x v="0"/>
    <x v="0"/>
    <s v="24"/>
    <x v="0"/>
    <x v="3"/>
    <x v="4"/>
    <n v="31758819.48"/>
    <x v="0"/>
  </r>
  <r>
    <x v="0"/>
    <x v="0"/>
    <x v="3"/>
    <x v="0"/>
    <x v="0"/>
    <x v="0"/>
    <s v="24"/>
    <x v="0"/>
    <x v="3"/>
    <x v="6"/>
    <n v="19813567.859999999"/>
    <x v="0"/>
  </r>
  <r>
    <x v="0"/>
    <x v="0"/>
    <x v="3"/>
    <x v="0"/>
    <x v="0"/>
    <x v="0"/>
    <s v="24"/>
    <x v="0"/>
    <x v="3"/>
    <x v="11"/>
    <n v="13646184.119999999"/>
    <x v="0"/>
  </r>
  <r>
    <x v="0"/>
    <x v="0"/>
    <x v="3"/>
    <x v="0"/>
    <x v="0"/>
    <x v="0"/>
    <s v="24"/>
    <x v="0"/>
    <x v="4"/>
    <x v="3"/>
    <n v="37185276.07"/>
    <x v="0"/>
  </r>
  <r>
    <x v="0"/>
    <x v="0"/>
    <x v="3"/>
    <x v="0"/>
    <x v="0"/>
    <x v="0"/>
    <s v="24"/>
    <x v="0"/>
    <x v="4"/>
    <x v="4"/>
    <n v="39600444.450000003"/>
    <x v="0"/>
  </r>
  <r>
    <x v="0"/>
    <x v="0"/>
    <x v="3"/>
    <x v="0"/>
    <x v="0"/>
    <x v="0"/>
    <s v="24"/>
    <x v="0"/>
    <x v="4"/>
    <x v="6"/>
    <n v="27196768.66"/>
    <x v="0"/>
  </r>
  <r>
    <x v="0"/>
    <x v="0"/>
    <x v="3"/>
    <x v="0"/>
    <x v="0"/>
    <x v="0"/>
    <s v="24"/>
    <x v="0"/>
    <x v="4"/>
    <x v="11"/>
    <n v="12052675.02"/>
    <x v="0"/>
  </r>
  <r>
    <x v="0"/>
    <x v="0"/>
    <x v="3"/>
    <x v="0"/>
    <x v="0"/>
    <x v="0"/>
    <s v="30"/>
    <x v="0"/>
    <x v="3"/>
    <x v="6"/>
    <n v="2230"/>
    <x v="0"/>
  </r>
  <r>
    <x v="0"/>
    <x v="0"/>
    <x v="3"/>
    <x v="0"/>
    <x v="0"/>
    <x v="0"/>
    <s v="30"/>
    <x v="0"/>
    <x v="3"/>
    <x v="11"/>
    <n v="105"/>
    <x v="0"/>
  </r>
  <r>
    <x v="0"/>
    <x v="0"/>
    <x v="3"/>
    <x v="0"/>
    <x v="0"/>
    <x v="0"/>
    <s v="30"/>
    <x v="0"/>
    <x v="3"/>
    <x v="8"/>
    <n v="288.5"/>
    <x v="0"/>
  </r>
  <r>
    <x v="0"/>
    <x v="0"/>
    <x v="3"/>
    <x v="0"/>
    <x v="0"/>
    <x v="0"/>
    <s v="30"/>
    <x v="0"/>
    <x v="3"/>
    <x v="0"/>
    <n v="305"/>
    <x v="0"/>
  </r>
  <r>
    <x v="0"/>
    <x v="0"/>
    <x v="3"/>
    <x v="0"/>
    <x v="0"/>
    <x v="0"/>
    <s v="30"/>
    <x v="0"/>
    <x v="4"/>
    <x v="3"/>
    <n v="167.8"/>
    <x v="0"/>
  </r>
  <r>
    <x v="0"/>
    <x v="0"/>
    <x v="3"/>
    <x v="0"/>
    <x v="0"/>
    <x v="0"/>
    <s v="30"/>
    <x v="0"/>
    <x v="4"/>
    <x v="4"/>
    <n v="1048.4000000000001"/>
    <x v="0"/>
  </r>
  <r>
    <x v="0"/>
    <x v="0"/>
    <x v="3"/>
    <x v="0"/>
    <x v="0"/>
    <x v="0"/>
    <s v="30"/>
    <x v="0"/>
    <x v="4"/>
    <x v="6"/>
    <n v="-61588.24"/>
    <x v="0"/>
  </r>
  <r>
    <x v="0"/>
    <x v="0"/>
    <x v="3"/>
    <x v="0"/>
    <x v="0"/>
    <x v="0"/>
    <s v="30"/>
    <x v="0"/>
    <x v="4"/>
    <x v="11"/>
    <n v="544.5"/>
    <x v="0"/>
  </r>
  <r>
    <x v="0"/>
    <x v="0"/>
    <x v="3"/>
    <x v="0"/>
    <x v="0"/>
    <x v="0"/>
    <s v="30"/>
    <x v="0"/>
    <x v="4"/>
    <x v="8"/>
    <n v="1111.3399999999999"/>
    <x v="0"/>
  </r>
  <r>
    <x v="0"/>
    <x v="0"/>
    <x v="3"/>
    <x v="0"/>
    <x v="0"/>
    <x v="0"/>
    <s v="30"/>
    <x v="0"/>
    <x v="4"/>
    <x v="0"/>
    <n v="-2166.6799999999998"/>
    <x v="0"/>
  </r>
  <r>
    <x v="0"/>
    <x v="0"/>
    <x v="3"/>
    <x v="0"/>
    <x v="0"/>
    <x v="0"/>
    <s v="40"/>
    <x v="0"/>
    <x v="3"/>
    <x v="4"/>
    <n v="16605.73"/>
    <x v="0"/>
  </r>
  <r>
    <x v="0"/>
    <x v="0"/>
    <x v="3"/>
    <x v="0"/>
    <x v="0"/>
    <x v="0"/>
    <s v="41"/>
    <x v="0"/>
    <x v="3"/>
    <x v="0"/>
    <n v="-507944"/>
    <x v="0"/>
  </r>
  <r>
    <x v="0"/>
    <x v="0"/>
    <x v="3"/>
    <x v="0"/>
    <x v="0"/>
    <x v="0"/>
    <s v="41"/>
    <x v="0"/>
    <x v="4"/>
    <x v="5"/>
    <n v="110060.61"/>
    <x v="0"/>
  </r>
  <r>
    <x v="0"/>
    <x v="0"/>
    <x v="3"/>
    <x v="0"/>
    <x v="0"/>
    <x v="0"/>
    <s v="41"/>
    <x v="0"/>
    <x v="4"/>
    <x v="8"/>
    <n v="165024.31"/>
    <x v="0"/>
  </r>
  <r>
    <x v="0"/>
    <x v="0"/>
    <x v="3"/>
    <x v="0"/>
    <x v="0"/>
    <x v="0"/>
    <s v="41"/>
    <x v="0"/>
    <x v="4"/>
    <x v="0"/>
    <n v="-467713"/>
    <x v="0"/>
  </r>
  <r>
    <x v="0"/>
    <x v="0"/>
    <x v="3"/>
    <x v="0"/>
    <x v="0"/>
    <x v="0"/>
    <s v="89"/>
    <x v="0"/>
    <x v="4"/>
    <x v="7"/>
    <n v="24.3"/>
    <x v="0"/>
  </r>
  <r>
    <x v="0"/>
    <x v="0"/>
    <x v="3"/>
    <x v="0"/>
    <x v="0"/>
    <x v="0"/>
    <s v="99"/>
    <x v="0"/>
    <x v="4"/>
    <x v="1"/>
    <n v="-10551.45"/>
    <x v="0"/>
  </r>
  <r>
    <x v="0"/>
    <x v="0"/>
    <x v="3"/>
    <x v="0"/>
    <x v="0"/>
    <x v="0"/>
    <s v="99"/>
    <x v="0"/>
    <x v="4"/>
    <x v="9"/>
    <n v="-812.77"/>
    <x v="0"/>
  </r>
  <r>
    <x v="0"/>
    <x v="0"/>
    <x v="3"/>
    <x v="0"/>
    <x v="0"/>
    <x v="3"/>
    <s v="41"/>
    <x v="0"/>
    <x v="3"/>
    <x v="8"/>
    <n v="-226.25"/>
    <x v="1"/>
  </r>
  <r>
    <x v="0"/>
    <x v="0"/>
    <x v="3"/>
    <x v="0"/>
    <x v="0"/>
    <x v="3"/>
    <s v="41"/>
    <x v="0"/>
    <x v="4"/>
    <x v="5"/>
    <n v="-5227.5"/>
    <x v="1"/>
  </r>
  <r>
    <x v="0"/>
    <x v="0"/>
    <x v="3"/>
    <x v="0"/>
    <x v="0"/>
    <x v="3"/>
    <s v="41"/>
    <x v="0"/>
    <x v="4"/>
    <x v="7"/>
    <n v="-1047.57"/>
    <x v="1"/>
  </r>
  <r>
    <x v="0"/>
    <x v="0"/>
    <x v="3"/>
    <x v="0"/>
    <x v="0"/>
    <x v="3"/>
    <s v="41"/>
    <x v="0"/>
    <x v="4"/>
    <x v="2"/>
    <n v="1500"/>
    <x v="1"/>
  </r>
  <r>
    <x v="0"/>
    <x v="0"/>
    <x v="3"/>
    <x v="0"/>
    <x v="0"/>
    <x v="3"/>
    <s v="41"/>
    <x v="0"/>
    <x v="4"/>
    <x v="0"/>
    <n v="-2556.3200000000002"/>
    <x v="1"/>
  </r>
  <r>
    <x v="0"/>
    <x v="0"/>
    <x v="3"/>
    <x v="0"/>
    <x v="0"/>
    <x v="1"/>
    <s v="21"/>
    <x v="0"/>
    <x v="3"/>
    <x v="1"/>
    <n v="75000"/>
    <x v="0"/>
  </r>
  <r>
    <x v="0"/>
    <x v="0"/>
    <x v="3"/>
    <x v="0"/>
    <x v="0"/>
    <x v="1"/>
    <s v="21"/>
    <x v="0"/>
    <x v="3"/>
    <x v="9"/>
    <n v="3792.9"/>
    <x v="0"/>
  </r>
  <r>
    <x v="0"/>
    <x v="0"/>
    <x v="3"/>
    <x v="0"/>
    <x v="0"/>
    <x v="1"/>
    <s v="22"/>
    <x v="0"/>
    <x v="3"/>
    <x v="5"/>
    <n v="-71207.100000000006"/>
    <x v="0"/>
  </r>
  <r>
    <x v="0"/>
    <x v="0"/>
    <x v="3"/>
    <x v="0"/>
    <x v="0"/>
    <x v="1"/>
    <s v="22"/>
    <x v="0"/>
    <x v="3"/>
    <x v="0"/>
    <n v="-309740.96999999997"/>
    <x v="0"/>
  </r>
  <r>
    <x v="0"/>
    <x v="0"/>
    <x v="3"/>
    <x v="0"/>
    <x v="0"/>
    <x v="1"/>
    <s v="22"/>
    <x v="0"/>
    <x v="4"/>
    <x v="8"/>
    <n v="354.03"/>
    <x v="0"/>
  </r>
  <r>
    <x v="0"/>
    <x v="0"/>
    <x v="3"/>
    <x v="0"/>
    <x v="0"/>
    <x v="1"/>
    <s v="22"/>
    <x v="0"/>
    <x v="4"/>
    <x v="0"/>
    <n v="93397.68"/>
    <x v="0"/>
  </r>
  <r>
    <x v="0"/>
    <x v="0"/>
    <x v="3"/>
    <x v="0"/>
    <x v="0"/>
    <x v="4"/>
    <s v="20"/>
    <x v="0"/>
    <x v="4"/>
    <x v="7"/>
    <n v="170.34"/>
    <x v="0"/>
  </r>
  <r>
    <x v="0"/>
    <x v="0"/>
    <x v="2"/>
    <x v="0"/>
    <x v="0"/>
    <x v="0"/>
    <s v="20"/>
    <x v="0"/>
    <x v="5"/>
    <x v="9"/>
    <n v="34720"/>
    <x v="0"/>
  </r>
  <r>
    <x v="0"/>
    <x v="1"/>
    <x v="3"/>
    <x v="0"/>
    <x v="0"/>
    <x v="0"/>
    <s v="02"/>
    <x v="0"/>
    <x v="3"/>
    <x v="5"/>
    <n v="-1200"/>
    <x v="0"/>
  </r>
  <r>
    <x v="0"/>
    <x v="1"/>
    <x v="3"/>
    <x v="0"/>
    <x v="0"/>
    <x v="0"/>
    <s v="02"/>
    <x v="0"/>
    <x v="3"/>
    <x v="7"/>
    <n v="1440"/>
    <x v="0"/>
  </r>
  <r>
    <x v="0"/>
    <x v="1"/>
    <x v="3"/>
    <x v="0"/>
    <x v="0"/>
    <x v="0"/>
    <s v="02"/>
    <x v="0"/>
    <x v="3"/>
    <x v="0"/>
    <n v="-11558.34"/>
    <x v="0"/>
  </r>
  <r>
    <x v="0"/>
    <x v="1"/>
    <x v="3"/>
    <x v="0"/>
    <x v="0"/>
    <x v="0"/>
    <s v="02"/>
    <x v="0"/>
    <x v="4"/>
    <x v="5"/>
    <n v="12104.81"/>
    <x v="0"/>
  </r>
  <r>
    <x v="0"/>
    <x v="1"/>
    <x v="3"/>
    <x v="0"/>
    <x v="0"/>
    <x v="0"/>
    <s v="24"/>
    <x v="0"/>
    <x v="3"/>
    <x v="5"/>
    <n v="69610.92"/>
    <x v="0"/>
  </r>
  <r>
    <x v="0"/>
    <x v="1"/>
    <x v="3"/>
    <x v="0"/>
    <x v="0"/>
    <x v="0"/>
    <s v="24"/>
    <x v="0"/>
    <x v="3"/>
    <x v="7"/>
    <n v="-7809.96"/>
    <x v="0"/>
  </r>
  <r>
    <x v="0"/>
    <x v="1"/>
    <x v="3"/>
    <x v="0"/>
    <x v="0"/>
    <x v="0"/>
    <s v="24"/>
    <x v="0"/>
    <x v="4"/>
    <x v="7"/>
    <n v="42861.62"/>
    <x v="0"/>
  </r>
  <r>
    <x v="0"/>
    <x v="1"/>
    <x v="3"/>
    <x v="0"/>
    <x v="0"/>
    <x v="0"/>
    <s v="30"/>
    <x v="0"/>
    <x v="4"/>
    <x v="9"/>
    <n v="31.5"/>
    <x v="0"/>
  </r>
  <r>
    <x v="0"/>
    <x v="1"/>
    <x v="3"/>
    <x v="0"/>
    <x v="0"/>
    <x v="0"/>
    <s v="30"/>
    <x v="0"/>
    <x v="4"/>
    <x v="10"/>
    <n v="-31.5"/>
    <x v="0"/>
  </r>
  <r>
    <x v="0"/>
    <x v="1"/>
    <x v="3"/>
    <x v="0"/>
    <x v="0"/>
    <x v="0"/>
    <s v="99"/>
    <x v="0"/>
    <x v="3"/>
    <x v="5"/>
    <n v="-30"/>
    <x v="0"/>
  </r>
  <r>
    <x v="0"/>
    <x v="1"/>
    <x v="3"/>
    <x v="0"/>
    <x v="0"/>
    <x v="0"/>
    <s v="99"/>
    <x v="0"/>
    <x v="3"/>
    <x v="2"/>
    <n v="1035"/>
    <x v="0"/>
  </r>
  <r>
    <x v="0"/>
    <x v="1"/>
    <x v="3"/>
    <x v="0"/>
    <x v="0"/>
    <x v="0"/>
    <s v="99"/>
    <x v="0"/>
    <x v="4"/>
    <x v="7"/>
    <n v="5"/>
    <x v="0"/>
  </r>
  <r>
    <x v="0"/>
    <x v="1"/>
    <x v="3"/>
    <x v="0"/>
    <x v="0"/>
    <x v="0"/>
    <s v="99"/>
    <x v="0"/>
    <x v="4"/>
    <x v="2"/>
    <n v="187.14"/>
    <x v="0"/>
  </r>
  <r>
    <x v="0"/>
    <x v="1"/>
    <x v="3"/>
    <x v="0"/>
    <x v="0"/>
    <x v="3"/>
    <s v="41"/>
    <x v="0"/>
    <x v="3"/>
    <x v="9"/>
    <n v="-480.45"/>
    <x v="1"/>
  </r>
  <r>
    <x v="0"/>
    <x v="1"/>
    <x v="3"/>
    <x v="0"/>
    <x v="0"/>
    <x v="0"/>
    <s v="02"/>
    <x v="0"/>
    <x v="3"/>
    <x v="10"/>
    <n v="1200"/>
    <x v="0"/>
  </r>
  <r>
    <x v="0"/>
    <x v="1"/>
    <x v="3"/>
    <x v="0"/>
    <x v="0"/>
    <x v="0"/>
    <s v="02"/>
    <x v="0"/>
    <x v="4"/>
    <x v="4"/>
    <n v="-546.47"/>
    <x v="0"/>
  </r>
  <r>
    <x v="0"/>
    <x v="1"/>
    <x v="3"/>
    <x v="0"/>
    <x v="0"/>
    <x v="0"/>
    <s v="24"/>
    <x v="0"/>
    <x v="3"/>
    <x v="3"/>
    <n v="410041.75"/>
    <x v="0"/>
  </r>
  <r>
    <x v="0"/>
    <x v="1"/>
    <x v="3"/>
    <x v="0"/>
    <x v="0"/>
    <x v="0"/>
    <s v="24"/>
    <x v="0"/>
    <x v="3"/>
    <x v="4"/>
    <n v="226332.25"/>
    <x v="0"/>
  </r>
  <r>
    <x v="0"/>
    <x v="1"/>
    <x v="3"/>
    <x v="0"/>
    <x v="0"/>
    <x v="0"/>
    <s v="24"/>
    <x v="0"/>
    <x v="3"/>
    <x v="6"/>
    <n v="-31980.07"/>
    <x v="0"/>
  </r>
  <r>
    <x v="0"/>
    <x v="1"/>
    <x v="3"/>
    <x v="0"/>
    <x v="0"/>
    <x v="0"/>
    <s v="24"/>
    <x v="0"/>
    <x v="3"/>
    <x v="8"/>
    <n v="63448.85"/>
    <x v="0"/>
  </r>
  <r>
    <x v="0"/>
    <x v="1"/>
    <x v="3"/>
    <x v="0"/>
    <x v="0"/>
    <x v="0"/>
    <s v="24"/>
    <x v="0"/>
    <x v="3"/>
    <x v="0"/>
    <n v="-418517.56"/>
    <x v="0"/>
  </r>
  <r>
    <x v="0"/>
    <x v="1"/>
    <x v="3"/>
    <x v="0"/>
    <x v="0"/>
    <x v="0"/>
    <s v="24"/>
    <x v="0"/>
    <x v="4"/>
    <x v="3"/>
    <n v="252428.78"/>
    <x v="0"/>
  </r>
  <r>
    <x v="0"/>
    <x v="1"/>
    <x v="3"/>
    <x v="0"/>
    <x v="0"/>
    <x v="0"/>
    <s v="24"/>
    <x v="0"/>
    <x v="4"/>
    <x v="4"/>
    <n v="43905.37"/>
    <x v="0"/>
  </r>
  <r>
    <x v="0"/>
    <x v="1"/>
    <x v="3"/>
    <x v="0"/>
    <x v="0"/>
    <x v="0"/>
    <s v="24"/>
    <x v="0"/>
    <x v="4"/>
    <x v="6"/>
    <n v="-59917.26"/>
    <x v="0"/>
  </r>
  <r>
    <x v="0"/>
    <x v="1"/>
    <x v="3"/>
    <x v="0"/>
    <x v="0"/>
    <x v="0"/>
    <s v="24"/>
    <x v="0"/>
    <x v="4"/>
    <x v="11"/>
    <n v="-140905"/>
    <x v="0"/>
  </r>
  <r>
    <x v="0"/>
    <x v="1"/>
    <x v="3"/>
    <x v="0"/>
    <x v="0"/>
    <x v="0"/>
    <s v="24"/>
    <x v="0"/>
    <x v="4"/>
    <x v="8"/>
    <n v="56535.64"/>
    <x v="0"/>
  </r>
  <r>
    <x v="0"/>
    <x v="1"/>
    <x v="3"/>
    <x v="0"/>
    <x v="0"/>
    <x v="0"/>
    <s v="24"/>
    <x v="0"/>
    <x v="4"/>
    <x v="0"/>
    <n v="-47419.72"/>
    <x v="0"/>
  </r>
  <r>
    <x v="0"/>
    <x v="1"/>
    <x v="3"/>
    <x v="0"/>
    <x v="0"/>
    <x v="0"/>
    <s v="30"/>
    <x v="0"/>
    <x v="4"/>
    <x v="2"/>
    <n v="25"/>
    <x v="0"/>
  </r>
  <r>
    <x v="0"/>
    <x v="1"/>
    <x v="3"/>
    <x v="0"/>
    <x v="0"/>
    <x v="0"/>
    <s v="41"/>
    <x v="0"/>
    <x v="3"/>
    <x v="2"/>
    <n v="-121837.84"/>
    <x v="0"/>
  </r>
  <r>
    <x v="0"/>
    <x v="1"/>
    <x v="3"/>
    <x v="0"/>
    <x v="0"/>
    <x v="0"/>
    <s v="85"/>
    <x v="0"/>
    <x v="3"/>
    <x v="11"/>
    <n v="-91490.48"/>
    <x v="0"/>
  </r>
  <r>
    <x v="0"/>
    <x v="1"/>
    <x v="3"/>
    <x v="0"/>
    <x v="0"/>
    <x v="0"/>
    <s v="99"/>
    <x v="0"/>
    <x v="3"/>
    <x v="1"/>
    <n v="30"/>
    <x v="0"/>
  </r>
  <r>
    <x v="0"/>
    <x v="1"/>
    <x v="3"/>
    <x v="0"/>
    <x v="0"/>
    <x v="0"/>
    <s v="99"/>
    <x v="0"/>
    <x v="3"/>
    <x v="9"/>
    <n v="-50"/>
    <x v="0"/>
  </r>
  <r>
    <x v="0"/>
    <x v="1"/>
    <x v="3"/>
    <x v="0"/>
    <x v="0"/>
    <x v="0"/>
    <s v="99"/>
    <x v="0"/>
    <x v="3"/>
    <x v="10"/>
    <n v="107.25"/>
    <x v="0"/>
  </r>
  <r>
    <x v="0"/>
    <x v="1"/>
    <x v="3"/>
    <x v="0"/>
    <x v="0"/>
    <x v="0"/>
    <s v="99"/>
    <x v="0"/>
    <x v="4"/>
    <x v="10"/>
    <n v="-5"/>
    <x v="0"/>
  </r>
  <r>
    <x v="0"/>
    <x v="1"/>
    <x v="3"/>
    <x v="0"/>
    <x v="0"/>
    <x v="3"/>
    <s v="41"/>
    <x v="0"/>
    <x v="4"/>
    <x v="7"/>
    <n v="-2698.91"/>
    <x v="1"/>
  </r>
  <r>
    <x v="0"/>
    <x v="1"/>
    <x v="3"/>
    <x v="0"/>
    <x v="0"/>
    <x v="0"/>
    <s v="02"/>
    <x v="0"/>
    <x v="3"/>
    <x v="11"/>
    <n v="-1440"/>
    <x v="0"/>
  </r>
  <r>
    <x v="0"/>
    <x v="1"/>
    <x v="3"/>
    <x v="0"/>
    <x v="0"/>
    <x v="0"/>
    <s v="20"/>
    <x v="0"/>
    <x v="4"/>
    <x v="3"/>
    <n v="25"/>
    <x v="0"/>
  </r>
  <r>
    <x v="0"/>
    <x v="1"/>
    <x v="3"/>
    <x v="0"/>
    <x v="0"/>
    <x v="0"/>
    <s v="20"/>
    <x v="0"/>
    <x v="4"/>
    <x v="4"/>
    <n v="546.47"/>
    <x v="0"/>
  </r>
  <r>
    <x v="0"/>
    <x v="1"/>
    <x v="3"/>
    <x v="0"/>
    <x v="0"/>
    <x v="0"/>
    <s v="24"/>
    <x v="0"/>
    <x v="3"/>
    <x v="11"/>
    <n v="-105733"/>
    <x v="0"/>
  </r>
  <r>
    <x v="0"/>
    <x v="1"/>
    <x v="3"/>
    <x v="0"/>
    <x v="0"/>
    <x v="0"/>
    <s v="24"/>
    <x v="0"/>
    <x v="3"/>
    <x v="2"/>
    <n v="-160694.14000000001"/>
    <x v="0"/>
  </r>
  <r>
    <x v="0"/>
    <x v="1"/>
    <x v="3"/>
    <x v="0"/>
    <x v="0"/>
    <x v="0"/>
    <s v="24"/>
    <x v="0"/>
    <x v="4"/>
    <x v="5"/>
    <n v="-48254.41"/>
    <x v="0"/>
  </r>
  <r>
    <x v="0"/>
    <x v="1"/>
    <x v="3"/>
    <x v="0"/>
    <x v="0"/>
    <x v="0"/>
    <s v="24"/>
    <x v="0"/>
    <x v="4"/>
    <x v="2"/>
    <n v="-129037.51"/>
    <x v="0"/>
  </r>
  <r>
    <x v="0"/>
    <x v="1"/>
    <x v="3"/>
    <x v="0"/>
    <x v="0"/>
    <x v="0"/>
    <s v="85"/>
    <x v="0"/>
    <x v="3"/>
    <x v="7"/>
    <n v="46145.24"/>
    <x v="0"/>
  </r>
  <r>
    <x v="0"/>
    <x v="1"/>
    <x v="3"/>
    <x v="0"/>
    <x v="0"/>
    <x v="0"/>
    <s v="99"/>
    <x v="0"/>
    <x v="3"/>
    <x v="3"/>
    <n v="-3378.62"/>
    <x v="0"/>
  </r>
  <r>
    <x v="0"/>
    <x v="1"/>
    <x v="3"/>
    <x v="0"/>
    <x v="0"/>
    <x v="0"/>
    <s v="99"/>
    <x v="0"/>
    <x v="3"/>
    <x v="6"/>
    <n v="682.93"/>
    <x v="0"/>
  </r>
  <r>
    <x v="0"/>
    <x v="1"/>
    <x v="3"/>
    <x v="0"/>
    <x v="0"/>
    <x v="0"/>
    <s v="99"/>
    <x v="0"/>
    <x v="3"/>
    <x v="11"/>
    <n v="513.25"/>
    <x v="0"/>
  </r>
  <r>
    <x v="0"/>
    <x v="1"/>
    <x v="3"/>
    <x v="0"/>
    <x v="0"/>
    <x v="0"/>
    <s v="99"/>
    <x v="0"/>
    <x v="3"/>
    <x v="8"/>
    <n v="-4585.3999999999996"/>
    <x v="0"/>
  </r>
  <r>
    <x v="0"/>
    <x v="1"/>
    <x v="3"/>
    <x v="0"/>
    <x v="0"/>
    <x v="0"/>
    <s v="99"/>
    <x v="0"/>
    <x v="3"/>
    <x v="0"/>
    <n v="8027.9"/>
    <x v="0"/>
  </r>
  <r>
    <x v="0"/>
    <x v="1"/>
    <x v="3"/>
    <x v="0"/>
    <x v="0"/>
    <x v="0"/>
    <s v="99"/>
    <x v="0"/>
    <x v="4"/>
    <x v="0"/>
    <n v="-187.14"/>
    <x v="0"/>
  </r>
  <r>
    <x v="0"/>
    <x v="1"/>
    <x v="3"/>
    <x v="0"/>
    <x v="0"/>
    <x v="3"/>
    <s v="41"/>
    <x v="0"/>
    <x v="4"/>
    <x v="9"/>
    <n v="2698.91"/>
    <x v="1"/>
  </r>
  <r>
    <x v="0"/>
    <x v="0"/>
    <x v="0"/>
    <x v="0"/>
    <x v="0"/>
    <x v="0"/>
    <s v="02"/>
    <x v="0"/>
    <x v="5"/>
    <x v="2"/>
    <n v="-6854.69"/>
    <x v="0"/>
  </r>
  <r>
    <x v="0"/>
    <x v="0"/>
    <x v="0"/>
    <x v="0"/>
    <x v="0"/>
    <x v="0"/>
    <s v="02"/>
    <x v="0"/>
    <x v="5"/>
    <x v="9"/>
    <n v="-5000"/>
    <x v="0"/>
  </r>
  <r>
    <x v="0"/>
    <x v="0"/>
    <x v="0"/>
    <x v="0"/>
    <x v="0"/>
    <x v="0"/>
    <s v="20"/>
    <x v="0"/>
    <x v="5"/>
    <x v="5"/>
    <n v="-314.39"/>
    <x v="0"/>
  </r>
  <r>
    <x v="0"/>
    <x v="0"/>
    <x v="0"/>
    <x v="0"/>
    <x v="0"/>
    <x v="0"/>
    <s v="20"/>
    <x v="0"/>
    <x v="5"/>
    <x v="1"/>
    <n v="-5146.01"/>
    <x v="0"/>
  </r>
  <r>
    <x v="0"/>
    <x v="0"/>
    <x v="0"/>
    <x v="0"/>
    <x v="0"/>
    <x v="0"/>
    <s v="02"/>
    <x v="0"/>
    <x v="5"/>
    <x v="10"/>
    <n v="-2500"/>
    <x v="0"/>
  </r>
  <r>
    <x v="0"/>
    <x v="0"/>
    <x v="0"/>
    <x v="0"/>
    <x v="0"/>
    <x v="0"/>
    <s v="20"/>
    <x v="0"/>
    <x v="6"/>
    <x v="8"/>
    <n v="50"/>
    <x v="0"/>
  </r>
  <r>
    <x v="0"/>
    <x v="0"/>
    <x v="0"/>
    <x v="0"/>
    <x v="0"/>
    <x v="0"/>
    <s v="20"/>
    <x v="0"/>
    <x v="6"/>
    <x v="2"/>
    <n v="-50"/>
    <x v="0"/>
  </r>
  <r>
    <x v="0"/>
    <x v="0"/>
    <x v="0"/>
    <x v="0"/>
    <x v="0"/>
    <x v="0"/>
    <s v="02"/>
    <x v="0"/>
    <x v="6"/>
    <x v="7"/>
    <n v="-12671"/>
    <x v="0"/>
  </r>
  <r>
    <x v="0"/>
    <x v="0"/>
    <x v="0"/>
    <x v="0"/>
    <x v="0"/>
    <x v="0"/>
    <s v="24"/>
    <x v="0"/>
    <x v="5"/>
    <x v="1"/>
    <n v="-3391564.07"/>
    <x v="0"/>
  </r>
  <r>
    <x v="0"/>
    <x v="0"/>
    <x v="0"/>
    <x v="0"/>
    <x v="0"/>
    <x v="0"/>
    <s v="24"/>
    <x v="0"/>
    <x v="5"/>
    <x v="4"/>
    <n v="268469940.36000001"/>
    <x v="0"/>
  </r>
  <r>
    <x v="0"/>
    <x v="0"/>
    <x v="0"/>
    <x v="0"/>
    <x v="0"/>
    <x v="0"/>
    <s v="24"/>
    <x v="0"/>
    <x v="5"/>
    <x v="3"/>
    <n v="-115381.9"/>
    <x v="0"/>
  </r>
  <r>
    <x v="0"/>
    <x v="0"/>
    <x v="0"/>
    <x v="0"/>
    <x v="0"/>
    <x v="0"/>
    <s v="24"/>
    <x v="0"/>
    <x v="5"/>
    <x v="9"/>
    <n v="268626288.58999997"/>
    <x v="0"/>
  </r>
  <r>
    <x v="0"/>
    <x v="0"/>
    <x v="0"/>
    <x v="0"/>
    <x v="0"/>
    <x v="0"/>
    <s v="24"/>
    <x v="0"/>
    <x v="5"/>
    <x v="10"/>
    <n v="241059024.46000001"/>
    <x v="0"/>
  </r>
  <r>
    <x v="0"/>
    <x v="0"/>
    <x v="0"/>
    <x v="0"/>
    <x v="0"/>
    <x v="0"/>
    <s v="24"/>
    <x v="0"/>
    <x v="5"/>
    <x v="6"/>
    <n v="-689636.65"/>
    <x v="0"/>
  </r>
  <r>
    <x v="0"/>
    <x v="0"/>
    <x v="0"/>
    <x v="0"/>
    <x v="0"/>
    <x v="0"/>
    <s v="24"/>
    <x v="0"/>
    <x v="6"/>
    <x v="5"/>
    <n v="-7830388.75"/>
    <x v="0"/>
  </r>
  <r>
    <x v="0"/>
    <x v="0"/>
    <x v="0"/>
    <x v="0"/>
    <x v="0"/>
    <x v="0"/>
    <s v="24"/>
    <x v="0"/>
    <x v="5"/>
    <x v="8"/>
    <n v="-3482628.81"/>
    <x v="0"/>
  </r>
  <r>
    <x v="0"/>
    <x v="0"/>
    <x v="0"/>
    <x v="0"/>
    <x v="0"/>
    <x v="0"/>
    <s v="02"/>
    <x v="0"/>
    <x v="5"/>
    <x v="6"/>
    <n v="7500"/>
    <x v="0"/>
  </r>
  <r>
    <x v="0"/>
    <x v="0"/>
    <x v="0"/>
    <x v="0"/>
    <x v="0"/>
    <x v="0"/>
    <s v="24"/>
    <x v="0"/>
    <x v="5"/>
    <x v="11"/>
    <n v="-521181.42"/>
    <x v="0"/>
  </r>
  <r>
    <x v="0"/>
    <x v="0"/>
    <x v="0"/>
    <x v="0"/>
    <x v="0"/>
    <x v="0"/>
    <s v="24"/>
    <x v="0"/>
    <x v="6"/>
    <x v="2"/>
    <n v="-630195.30000000005"/>
    <x v="0"/>
  </r>
  <r>
    <x v="0"/>
    <x v="0"/>
    <x v="0"/>
    <x v="0"/>
    <x v="0"/>
    <x v="0"/>
    <s v="24"/>
    <x v="0"/>
    <x v="6"/>
    <x v="7"/>
    <n v="-4837245.28"/>
    <x v="0"/>
  </r>
  <r>
    <x v="0"/>
    <x v="0"/>
    <x v="0"/>
    <x v="0"/>
    <x v="0"/>
    <x v="0"/>
    <s v="02"/>
    <x v="0"/>
    <x v="5"/>
    <x v="8"/>
    <n v="6854.69"/>
    <x v="0"/>
  </r>
  <r>
    <x v="0"/>
    <x v="0"/>
    <x v="0"/>
    <x v="0"/>
    <x v="0"/>
    <x v="0"/>
    <s v="24"/>
    <x v="0"/>
    <x v="5"/>
    <x v="0"/>
    <n v="-1220972.18"/>
    <x v="0"/>
  </r>
  <r>
    <x v="0"/>
    <x v="0"/>
    <x v="0"/>
    <x v="0"/>
    <x v="0"/>
    <x v="0"/>
    <s v="30"/>
    <x v="0"/>
    <x v="5"/>
    <x v="10"/>
    <n v="1562"/>
    <x v="0"/>
  </r>
  <r>
    <x v="0"/>
    <x v="0"/>
    <x v="0"/>
    <x v="0"/>
    <x v="0"/>
    <x v="0"/>
    <s v="30"/>
    <x v="0"/>
    <x v="5"/>
    <x v="11"/>
    <n v="-4380"/>
    <x v="0"/>
  </r>
  <r>
    <x v="0"/>
    <x v="0"/>
    <x v="0"/>
    <x v="0"/>
    <x v="0"/>
    <x v="0"/>
    <s v="02"/>
    <x v="0"/>
    <x v="6"/>
    <x v="1"/>
    <n v="777700"/>
    <x v="0"/>
  </r>
  <r>
    <x v="0"/>
    <x v="0"/>
    <x v="0"/>
    <x v="0"/>
    <x v="0"/>
    <x v="0"/>
    <s v="24"/>
    <x v="0"/>
    <x v="6"/>
    <x v="1"/>
    <n v="277359741.63999999"/>
    <x v="0"/>
  </r>
  <r>
    <x v="0"/>
    <x v="0"/>
    <x v="0"/>
    <x v="0"/>
    <x v="0"/>
    <x v="0"/>
    <s v="30"/>
    <x v="0"/>
    <x v="5"/>
    <x v="8"/>
    <n v="-1562"/>
    <x v="0"/>
  </r>
  <r>
    <x v="0"/>
    <x v="0"/>
    <x v="0"/>
    <x v="0"/>
    <x v="0"/>
    <x v="0"/>
    <s v="30"/>
    <x v="0"/>
    <x v="6"/>
    <x v="9"/>
    <n v="2274.16"/>
    <x v="0"/>
  </r>
  <r>
    <x v="0"/>
    <x v="0"/>
    <x v="0"/>
    <x v="0"/>
    <x v="0"/>
    <x v="0"/>
    <s v="02"/>
    <x v="0"/>
    <x v="6"/>
    <x v="9"/>
    <n v="12671"/>
    <x v="0"/>
  </r>
  <r>
    <x v="0"/>
    <x v="0"/>
    <x v="0"/>
    <x v="0"/>
    <x v="0"/>
    <x v="0"/>
    <s v="24"/>
    <x v="0"/>
    <x v="6"/>
    <x v="9"/>
    <n v="261781710.15000001"/>
    <x v="0"/>
  </r>
  <r>
    <x v="0"/>
    <x v="0"/>
    <x v="0"/>
    <x v="0"/>
    <x v="0"/>
    <x v="0"/>
    <s v="30"/>
    <x v="0"/>
    <x v="6"/>
    <x v="7"/>
    <n v="-2676"/>
    <x v="0"/>
  </r>
  <r>
    <x v="0"/>
    <x v="0"/>
    <x v="0"/>
    <x v="0"/>
    <x v="0"/>
    <x v="0"/>
    <s v="30"/>
    <x v="0"/>
    <x v="6"/>
    <x v="10"/>
    <n v="416.84"/>
    <x v="0"/>
  </r>
  <r>
    <x v="0"/>
    <x v="0"/>
    <x v="0"/>
    <x v="0"/>
    <x v="0"/>
    <x v="0"/>
    <s v="02"/>
    <x v="0"/>
    <x v="6"/>
    <x v="10"/>
    <n v="-777700"/>
    <x v="0"/>
  </r>
  <r>
    <x v="0"/>
    <x v="0"/>
    <x v="0"/>
    <x v="0"/>
    <x v="0"/>
    <x v="0"/>
    <s v="24"/>
    <x v="0"/>
    <x v="6"/>
    <x v="10"/>
    <n v="244013164.05000001"/>
    <x v="0"/>
  </r>
  <r>
    <x v="0"/>
    <x v="0"/>
    <x v="2"/>
    <x v="0"/>
    <x v="0"/>
    <x v="0"/>
    <s v="20"/>
    <x v="0"/>
    <x v="6"/>
    <x v="5"/>
    <n v="17360"/>
    <x v="0"/>
  </r>
  <r>
    <x v="0"/>
    <x v="0"/>
    <x v="2"/>
    <x v="0"/>
    <x v="0"/>
    <x v="0"/>
    <s v="01"/>
    <x v="0"/>
    <x v="5"/>
    <x v="8"/>
    <n v="13021.34"/>
    <x v="0"/>
  </r>
  <r>
    <x v="0"/>
    <x v="0"/>
    <x v="2"/>
    <x v="0"/>
    <x v="0"/>
    <x v="0"/>
    <s v="20"/>
    <x v="0"/>
    <x v="6"/>
    <x v="7"/>
    <n v="17360"/>
    <x v="0"/>
  </r>
  <r>
    <x v="0"/>
    <x v="0"/>
    <x v="2"/>
    <x v="0"/>
    <x v="0"/>
    <x v="0"/>
    <s v="01"/>
    <x v="0"/>
    <x v="5"/>
    <x v="0"/>
    <n v="375.92"/>
    <x v="0"/>
  </r>
  <r>
    <x v="0"/>
    <x v="0"/>
    <x v="2"/>
    <x v="0"/>
    <x v="0"/>
    <x v="0"/>
    <s v="05"/>
    <x v="0"/>
    <x v="5"/>
    <x v="2"/>
    <n v="65"/>
    <x v="0"/>
  </r>
  <r>
    <x v="0"/>
    <x v="0"/>
    <x v="2"/>
    <x v="0"/>
    <x v="0"/>
    <x v="0"/>
    <s v="02"/>
    <x v="0"/>
    <x v="5"/>
    <x v="0"/>
    <n v="-596412.5"/>
    <x v="0"/>
  </r>
  <r>
    <x v="0"/>
    <x v="0"/>
    <x v="2"/>
    <x v="0"/>
    <x v="0"/>
    <x v="0"/>
    <s v="20"/>
    <x v="0"/>
    <x v="6"/>
    <x v="0"/>
    <n v="-190960"/>
    <x v="0"/>
  </r>
  <r>
    <x v="0"/>
    <x v="0"/>
    <x v="2"/>
    <x v="0"/>
    <x v="0"/>
    <x v="0"/>
    <s v="02"/>
    <x v="0"/>
    <x v="5"/>
    <x v="2"/>
    <n v="530.23"/>
    <x v="0"/>
  </r>
  <r>
    <x v="0"/>
    <x v="0"/>
    <x v="2"/>
    <x v="0"/>
    <x v="0"/>
    <x v="0"/>
    <s v="20"/>
    <x v="0"/>
    <x v="5"/>
    <x v="5"/>
    <n v="69440"/>
    <x v="0"/>
  </r>
  <r>
    <x v="0"/>
    <x v="0"/>
    <x v="2"/>
    <x v="0"/>
    <x v="0"/>
    <x v="0"/>
    <s v="20"/>
    <x v="0"/>
    <x v="5"/>
    <x v="6"/>
    <n v="17360"/>
    <x v="0"/>
  </r>
  <r>
    <x v="0"/>
    <x v="0"/>
    <x v="2"/>
    <x v="0"/>
    <x v="0"/>
    <x v="0"/>
    <s v="24"/>
    <x v="0"/>
    <x v="5"/>
    <x v="3"/>
    <n v="-17419.25"/>
    <x v="0"/>
  </r>
  <r>
    <x v="0"/>
    <x v="0"/>
    <x v="2"/>
    <x v="0"/>
    <x v="0"/>
    <x v="0"/>
    <s v="20"/>
    <x v="0"/>
    <x v="5"/>
    <x v="11"/>
    <n v="34720"/>
    <x v="0"/>
  </r>
  <r>
    <x v="0"/>
    <x v="0"/>
    <x v="2"/>
    <x v="0"/>
    <x v="0"/>
    <x v="0"/>
    <s v="20"/>
    <x v="0"/>
    <x v="5"/>
    <x v="7"/>
    <n v="17360"/>
    <x v="0"/>
  </r>
  <r>
    <x v="0"/>
    <x v="0"/>
    <x v="2"/>
    <x v="0"/>
    <x v="0"/>
    <x v="0"/>
    <s v="20"/>
    <x v="0"/>
    <x v="6"/>
    <x v="1"/>
    <n v="17360"/>
    <x v="0"/>
  </r>
  <r>
    <x v="0"/>
    <x v="0"/>
    <x v="2"/>
    <x v="0"/>
    <x v="0"/>
    <x v="0"/>
    <s v="24"/>
    <x v="0"/>
    <x v="5"/>
    <x v="4"/>
    <n v="7598940.6799999997"/>
    <x v="0"/>
  </r>
  <r>
    <x v="0"/>
    <x v="0"/>
    <x v="2"/>
    <x v="0"/>
    <x v="0"/>
    <x v="0"/>
    <s v="20"/>
    <x v="0"/>
    <x v="5"/>
    <x v="8"/>
    <n v="34720"/>
    <x v="0"/>
  </r>
  <r>
    <x v="0"/>
    <x v="0"/>
    <x v="2"/>
    <x v="0"/>
    <x v="0"/>
    <x v="0"/>
    <s v="20"/>
    <x v="0"/>
    <x v="5"/>
    <x v="2"/>
    <n v="17360"/>
    <x v="0"/>
  </r>
  <r>
    <x v="0"/>
    <x v="0"/>
    <x v="2"/>
    <x v="0"/>
    <x v="0"/>
    <x v="0"/>
    <s v="20"/>
    <x v="0"/>
    <x v="6"/>
    <x v="2"/>
    <n v="17360"/>
    <x v="0"/>
  </r>
  <r>
    <x v="0"/>
    <x v="0"/>
    <x v="2"/>
    <x v="0"/>
    <x v="0"/>
    <x v="0"/>
    <s v="24"/>
    <x v="0"/>
    <x v="5"/>
    <x v="6"/>
    <n v="-73672.53"/>
    <x v="0"/>
  </r>
  <r>
    <x v="0"/>
    <x v="0"/>
    <x v="2"/>
    <x v="0"/>
    <x v="0"/>
    <x v="0"/>
    <s v="20"/>
    <x v="0"/>
    <x v="5"/>
    <x v="0"/>
    <n v="-190960"/>
    <x v="0"/>
  </r>
  <r>
    <x v="0"/>
    <x v="0"/>
    <x v="2"/>
    <x v="0"/>
    <x v="0"/>
    <x v="0"/>
    <s v="20"/>
    <x v="0"/>
    <x v="6"/>
    <x v="4"/>
    <n v="34720"/>
    <x v="0"/>
  </r>
  <r>
    <x v="0"/>
    <x v="0"/>
    <x v="2"/>
    <x v="0"/>
    <x v="0"/>
    <x v="0"/>
    <s v="24"/>
    <x v="0"/>
    <x v="5"/>
    <x v="5"/>
    <n v="-320115.15999999997"/>
    <x v="0"/>
  </r>
  <r>
    <x v="0"/>
    <x v="0"/>
    <x v="2"/>
    <x v="0"/>
    <x v="0"/>
    <x v="0"/>
    <s v="24"/>
    <x v="0"/>
    <x v="5"/>
    <x v="11"/>
    <n v="-485882.44"/>
    <x v="0"/>
  </r>
  <r>
    <x v="0"/>
    <x v="0"/>
    <x v="2"/>
    <x v="0"/>
    <x v="0"/>
    <x v="0"/>
    <s v="20"/>
    <x v="0"/>
    <x v="6"/>
    <x v="9"/>
    <n v="17360"/>
    <x v="0"/>
  </r>
  <r>
    <x v="0"/>
    <x v="0"/>
    <x v="2"/>
    <x v="0"/>
    <x v="0"/>
    <x v="0"/>
    <s v="20"/>
    <x v="0"/>
    <x v="6"/>
    <x v="11"/>
    <n v="17360"/>
    <x v="0"/>
  </r>
  <r>
    <x v="0"/>
    <x v="0"/>
    <x v="2"/>
    <x v="0"/>
    <x v="0"/>
    <x v="0"/>
    <s v="24"/>
    <x v="0"/>
    <x v="5"/>
    <x v="8"/>
    <n v="144827.35999999999"/>
    <x v="0"/>
  </r>
  <r>
    <x v="0"/>
    <x v="0"/>
    <x v="2"/>
    <x v="0"/>
    <x v="0"/>
    <x v="0"/>
    <s v="24"/>
    <x v="0"/>
    <x v="6"/>
    <x v="1"/>
    <n v="5526100.6200000001"/>
    <x v="0"/>
  </r>
  <r>
    <x v="0"/>
    <x v="0"/>
    <x v="2"/>
    <x v="0"/>
    <x v="0"/>
    <x v="0"/>
    <s v="20"/>
    <x v="0"/>
    <x v="6"/>
    <x v="10"/>
    <n v="17360"/>
    <x v="0"/>
  </r>
  <r>
    <x v="0"/>
    <x v="0"/>
    <x v="2"/>
    <x v="0"/>
    <x v="0"/>
    <x v="0"/>
    <s v="20"/>
    <x v="0"/>
    <x v="6"/>
    <x v="8"/>
    <n v="17360"/>
    <x v="0"/>
  </r>
  <r>
    <x v="0"/>
    <x v="0"/>
    <x v="2"/>
    <x v="0"/>
    <x v="0"/>
    <x v="0"/>
    <s v="24"/>
    <x v="0"/>
    <x v="5"/>
    <x v="0"/>
    <n v="572468.14"/>
    <x v="0"/>
  </r>
  <r>
    <x v="0"/>
    <x v="0"/>
    <x v="2"/>
    <x v="0"/>
    <x v="0"/>
    <x v="0"/>
    <s v="24"/>
    <x v="0"/>
    <x v="6"/>
    <x v="9"/>
    <n v="-2084659.62"/>
    <x v="0"/>
  </r>
  <r>
    <x v="0"/>
    <x v="0"/>
    <x v="2"/>
    <x v="0"/>
    <x v="0"/>
    <x v="0"/>
    <s v="24"/>
    <x v="0"/>
    <x v="5"/>
    <x v="7"/>
    <n v="-7426823.8499999996"/>
    <x v="0"/>
  </r>
  <r>
    <x v="0"/>
    <x v="0"/>
    <x v="2"/>
    <x v="0"/>
    <x v="0"/>
    <x v="0"/>
    <s v="24"/>
    <x v="0"/>
    <x v="5"/>
    <x v="1"/>
    <n v="-596388.98"/>
    <x v="0"/>
  </r>
  <r>
    <x v="0"/>
    <x v="0"/>
    <x v="2"/>
    <x v="0"/>
    <x v="0"/>
    <x v="0"/>
    <s v="24"/>
    <x v="0"/>
    <x v="6"/>
    <x v="4"/>
    <n v="-67424.42"/>
    <x v="0"/>
  </r>
  <r>
    <x v="0"/>
    <x v="0"/>
    <x v="2"/>
    <x v="0"/>
    <x v="0"/>
    <x v="0"/>
    <s v="24"/>
    <x v="0"/>
    <x v="6"/>
    <x v="2"/>
    <n v="6885479.8799999999"/>
    <x v="0"/>
  </r>
  <r>
    <x v="0"/>
    <x v="0"/>
    <x v="2"/>
    <x v="0"/>
    <x v="0"/>
    <x v="0"/>
    <s v="24"/>
    <x v="0"/>
    <x v="5"/>
    <x v="2"/>
    <n v="-69079.009999999995"/>
    <x v="0"/>
  </r>
  <r>
    <x v="0"/>
    <x v="0"/>
    <x v="2"/>
    <x v="0"/>
    <x v="0"/>
    <x v="0"/>
    <s v="24"/>
    <x v="0"/>
    <x v="5"/>
    <x v="9"/>
    <n v="13964742.9"/>
    <x v="0"/>
  </r>
  <r>
    <x v="0"/>
    <x v="0"/>
    <x v="2"/>
    <x v="0"/>
    <x v="0"/>
    <x v="0"/>
    <s v="24"/>
    <x v="0"/>
    <x v="6"/>
    <x v="10"/>
    <n v="4376382.88"/>
    <x v="0"/>
  </r>
  <r>
    <x v="0"/>
    <x v="0"/>
    <x v="2"/>
    <x v="0"/>
    <x v="0"/>
    <x v="0"/>
    <s v="90"/>
    <x v="0"/>
    <x v="5"/>
    <x v="7"/>
    <n v="80"/>
    <x v="0"/>
  </r>
  <r>
    <x v="0"/>
    <x v="0"/>
    <x v="2"/>
    <x v="0"/>
    <x v="0"/>
    <x v="0"/>
    <s v="24"/>
    <x v="0"/>
    <x v="6"/>
    <x v="3"/>
    <n v="-26601.4"/>
    <x v="0"/>
  </r>
  <r>
    <x v="0"/>
    <x v="0"/>
    <x v="2"/>
    <x v="0"/>
    <x v="0"/>
    <x v="0"/>
    <s v="24"/>
    <x v="0"/>
    <x v="5"/>
    <x v="10"/>
    <n v="5862575.3799999999"/>
    <x v="0"/>
  </r>
  <r>
    <x v="0"/>
    <x v="0"/>
    <x v="2"/>
    <x v="0"/>
    <x v="0"/>
    <x v="0"/>
    <s v="30"/>
    <x v="0"/>
    <x v="5"/>
    <x v="2"/>
    <n v="-7415"/>
    <x v="0"/>
  </r>
  <r>
    <x v="0"/>
    <x v="0"/>
    <x v="2"/>
    <x v="0"/>
    <x v="0"/>
    <x v="3"/>
    <s v="41"/>
    <x v="0"/>
    <x v="5"/>
    <x v="0"/>
    <n v="-12890.22"/>
    <x v="1"/>
  </r>
  <r>
    <x v="0"/>
    <x v="0"/>
    <x v="2"/>
    <x v="0"/>
    <x v="0"/>
    <x v="0"/>
    <s v="24"/>
    <x v="0"/>
    <x v="6"/>
    <x v="6"/>
    <n v="-68314.64"/>
    <x v="0"/>
  </r>
  <r>
    <x v="0"/>
    <x v="0"/>
    <x v="2"/>
    <x v="0"/>
    <x v="0"/>
    <x v="0"/>
    <s v="24"/>
    <x v="0"/>
    <x v="6"/>
    <x v="5"/>
    <n v="-285788.73"/>
    <x v="0"/>
  </r>
  <r>
    <x v="0"/>
    <x v="0"/>
    <x v="2"/>
    <x v="0"/>
    <x v="0"/>
    <x v="0"/>
    <s v="30"/>
    <x v="0"/>
    <x v="6"/>
    <x v="0"/>
    <n v="-54900"/>
    <x v="0"/>
  </r>
  <r>
    <x v="0"/>
    <x v="0"/>
    <x v="2"/>
    <x v="0"/>
    <x v="0"/>
    <x v="4"/>
    <s v="20"/>
    <x v="0"/>
    <x v="5"/>
    <x v="8"/>
    <n v="19537.14"/>
    <x v="0"/>
  </r>
  <r>
    <x v="0"/>
    <x v="0"/>
    <x v="2"/>
    <x v="0"/>
    <x v="0"/>
    <x v="0"/>
    <s v="24"/>
    <x v="0"/>
    <x v="6"/>
    <x v="11"/>
    <n v="-71204.399999999994"/>
    <x v="0"/>
  </r>
  <r>
    <x v="0"/>
    <x v="0"/>
    <x v="2"/>
    <x v="0"/>
    <x v="0"/>
    <x v="0"/>
    <s v="24"/>
    <x v="0"/>
    <x v="6"/>
    <x v="7"/>
    <n v="-108263.99"/>
    <x v="0"/>
  </r>
  <r>
    <x v="0"/>
    <x v="0"/>
    <x v="2"/>
    <x v="0"/>
    <x v="0"/>
    <x v="4"/>
    <s v="20"/>
    <x v="0"/>
    <x v="5"/>
    <x v="0"/>
    <n v="-19537.14"/>
    <x v="0"/>
  </r>
  <r>
    <x v="0"/>
    <x v="0"/>
    <x v="2"/>
    <x v="0"/>
    <x v="0"/>
    <x v="0"/>
    <s v="24"/>
    <x v="0"/>
    <x v="6"/>
    <x v="8"/>
    <n v="3176.77"/>
    <x v="0"/>
  </r>
  <r>
    <x v="0"/>
    <x v="0"/>
    <x v="2"/>
    <x v="0"/>
    <x v="0"/>
    <x v="0"/>
    <s v="24"/>
    <x v="0"/>
    <x v="6"/>
    <x v="0"/>
    <n v="25812.2"/>
    <x v="0"/>
  </r>
  <r>
    <x v="0"/>
    <x v="0"/>
    <x v="2"/>
    <x v="0"/>
    <x v="0"/>
    <x v="1"/>
    <s v="22"/>
    <x v="0"/>
    <x v="5"/>
    <x v="6"/>
    <n v="-389332.57"/>
    <x v="0"/>
  </r>
  <r>
    <x v="0"/>
    <x v="0"/>
    <x v="4"/>
    <x v="0"/>
    <x v="0"/>
    <x v="0"/>
    <s v="01"/>
    <x v="0"/>
    <x v="5"/>
    <x v="9"/>
    <n v="29556.53"/>
    <x v="0"/>
  </r>
  <r>
    <x v="0"/>
    <x v="0"/>
    <x v="4"/>
    <x v="0"/>
    <x v="0"/>
    <x v="0"/>
    <s v="01"/>
    <x v="0"/>
    <x v="5"/>
    <x v="10"/>
    <n v="32276.36"/>
    <x v="0"/>
  </r>
  <r>
    <x v="0"/>
    <x v="0"/>
    <x v="4"/>
    <x v="0"/>
    <x v="0"/>
    <x v="0"/>
    <s v="01"/>
    <x v="0"/>
    <x v="5"/>
    <x v="5"/>
    <n v="24847.279999999999"/>
    <x v="0"/>
  </r>
  <r>
    <x v="0"/>
    <x v="0"/>
    <x v="4"/>
    <x v="0"/>
    <x v="0"/>
    <x v="0"/>
    <s v="01"/>
    <x v="0"/>
    <x v="5"/>
    <x v="4"/>
    <n v="25052.89"/>
    <x v="0"/>
  </r>
  <r>
    <x v="0"/>
    <x v="0"/>
    <x v="4"/>
    <x v="0"/>
    <x v="0"/>
    <x v="0"/>
    <s v="01"/>
    <x v="0"/>
    <x v="5"/>
    <x v="1"/>
    <n v="28479.07"/>
    <x v="0"/>
  </r>
  <r>
    <x v="0"/>
    <x v="0"/>
    <x v="4"/>
    <x v="0"/>
    <x v="0"/>
    <x v="0"/>
    <s v="01"/>
    <x v="0"/>
    <x v="5"/>
    <x v="8"/>
    <n v="35096.58"/>
    <x v="0"/>
  </r>
  <r>
    <x v="0"/>
    <x v="0"/>
    <x v="4"/>
    <x v="0"/>
    <x v="0"/>
    <x v="0"/>
    <s v="01"/>
    <x v="0"/>
    <x v="5"/>
    <x v="7"/>
    <n v="28217.38"/>
    <x v="0"/>
  </r>
  <r>
    <x v="0"/>
    <x v="0"/>
    <x v="4"/>
    <x v="0"/>
    <x v="0"/>
    <x v="0"/>
    <s v="01"/>
    <x v="0"/>
    <x v="5"/>
    <x v="6"/>
    <n v="39639.67"/>
    <x v="0"/>
  </r>
  <r>
    <x v="0"/>
    <x v="0"/>
    <x v="4"/>
    <x v="0"/>
    <x v="0"/>
    <x v="0"/>
    <s v="01"/>
    <x v="0"/>
    <x v="6"/>
    <x v="5"/>
    <n v="35465.25"/>
    <x v="0"/>
  </r>
  <r>
    <x v="0"/>
    <x v="0"/>
    <x v="4"/>
    <x v="0"/>
    <x v="0"/>
    <x v="0"/>
    <s v="01"/>
    <x v="0"/>
    <x v="6"/>
    <x v="7"/>
    <n v="16905.55"/>
    <x v="0"/>
  </r>
  <r>
    <x v="0"/>
    <x v="0"/>
    <x v="4"/>
    <x v="0"/>
    <x v="0"/>
    <x v="0"/>
    <s v="01"/>
    <x v="0"/>
    <x v="5"/>
    <x v="2"/>
    <n v="30574.26"/>
    <x v="0"/>
  </r>
  <r>
    <x v="0"/>
    <x v="0"/>
    <x v="4"/>
    <x v="0"/>
    <x v="0"/>
    <x v="0"/>
    <s v="01"/>
    <x v="0"/>
    <x v="5"/>
    <x v="11"/>
    <n v="36212.129999999997"/>
    <x v="0"/>
  </r>
  <r>
    <x v="0"/>
    <x v="0"/>
    <x v="4"/>
    <x v="0"/>
    <x v="0"/>
    <x v="0"/>
    <s v="01"/>
    <x v="0"/>
    <x v="6"/>
    <x v="2"/>
    <n v="15719.4"/>
    <x v="0"/>
  </r>
  <r>
    <x v="0"/>
    <x v="0"/>
    <x v="4"/>
    <x v="0"/>
    <x v="0"/>
    <x v="0"/>
    <s v="20"/>
    <x v="0"/>
    <x v="5"/>
    <x v="3"/>
    <n v="6000"/>
    <x v="0"/>
  </r>
  <r>
    <x v="0"/>
    <x v="0"/>
    <x v="4"/>
    <x v="0"/>
    <x v="0"/>
    <x v="0"/>
    <s v="01"/>
    <x v="0"/>
    <x v="6"/>
    <x v="6"/>
    <n v="21217.14"/>
    <x v="0"/>
  </r>
  <r>
    <x v="0"/>
    <x v="0"/>
    <x v="4"/>
    <x v="0"/>
    <x v="0"/>
    <x v="0"/>
    <s v="01"/>
    <x v="0"/>
    <x v="5"/>
    <x v="0"/>
    <n v="50704.13"/>
    <x v="0"/>
  </r>
  <r>
    <x v="0"/>
    <x v="0"/>
    <x v="4"/>
    <x v="0"/>
    <x v="0"/>
    <x v="0"/>
    <s v="20"/>
    <x v="0"/>
    <x v="5"/>
    <x v="1"/>
    <n v="2500"/>
    <x v="0"/>
  </r>
  <r>
    <x v="0"/>
    <x v="0"/>
    <x v="4"/>
    <x v="0"/>
    <x v="0"/>
    <x v="0"/>
    <s v="20"/>
    <x v="0"/>
    <x v="5"/>
    <x v="4"/>
    <n v="0"/>
    <x v="0"/>
  </r>
  <r>
    <x v="0"/>
    <x v="0"/>
    <x v="4"/>
    <x v="0"/>
    <x v="0"/>
    <x v="0"/>
    <s v="01"/>
    <x v="0"/>
    <x v="6"/>
    <x v="11"/>
    <n v="18019.669999999998"/>
    <x v="0"/>
  </r>
  <r>
    <x v="0"/>
    <x v="0"/>
    <x v="4"/>
    <x v="0"/>
    <x v="0"/>
    <x v="0"/>
    <s v="01"/>
    <x v="0"/>
    <x v="6"/>
    <x v="1"/>
    <n v="40952.47"/>
    <x v="0"/>
  </r>
  <r>
    <x v="0"/>
    <x v="0"/>
    <x v="4"/>
    <x v="0"/>
    <x v="0"/>
    <x v="0"/>
    <s v="20"/>
    <x v="0"/>
    <x v="6"/>
    <x v="5"/>
    <n v="0"/>
    <x v="0"/>
  </r>
  <r>
    <x v="0"/>
    <x v="0"/>
    <x v="4"/>
    <x v="0"/>
    <x v="0"/>
    <x v="0"/>
    <s v="20"/>
    <x v="0"/>
    <x v="5"/>
    <x v="6"/>
    <n v="-4620.8100000000004"/>
    <x v="0"/>
  </r>
  <r>
    <x v="0"/>
    <x v="0"/>
    <x v="4"/>
    <x v="0"/>
    <x v="0"/>
    <x v="0"/>
    <s v="01"/>
    <x v="0"/>
    <x v="6"/>
    <x v="8"/>
    <n v="15270.05"/>
    <x v="0"/>
  </r>
  <r>
    <x v="0"/>
    <x v="0"/>
    <x v="4"/>
    <x v="0"/>
    <x v="0"/>
    <x v="0"/>
    <s v="01"/>
    <x v="0"/>
    <x v="6"/>
    <x v="9"/>
    <n v="16217.9"/>
    <x v="0"/>
  </r>
  <r>
    <x v="0"/>
    <x v="0"/>
    <x v="4"/>
    <x v="0"/>
    <x v="0"/>
    <x v="0"/>
    <s v="20"/>
    <x v="0"/>
    <x v="6"/>
    <x v="7"/>
    <n v="0"/>
    <x v="0"/>
  </r>
  <r>
    <x v="0"/>
    <x v="0"/>
    <x v="4"/>
    <x v="0"/>
    <x v="0"/>
    <x v="0"/>
    <s v="20"/>
    <x v="0"/>
    <x v="5"/>
    <x v="8"/>
    <n v="0"/>
    <x v="0"/>
  </r>
  <r>
    <x v="0"/>
    <x v="0"/>
    <x v="4"/>
    <x v="0"/>
    <x v="0"/>
    <x v="0"/>
    <s v="01"/>
    <x v="0"/>
    <x v="6"/>
    <x v="0"/>
    <n v="28715.71"/>
    <x v="0"/>
  </r>
  <r>
    <x v="0"/>
    <x v="0"/>
    <x v="4"/>
    <x v="0"/>
    <x v="0"/>
    <x v="0"/>
    <s v="01"/>
    <x v="0"/>
    <x v="6"/>
    <x v="10"/>
    <n v="17314.09"/>
    <x v="0"/>
  </r>
  <r>
    <x v="0"/>
    <x v="0"/>
    <x v="4"/>
    <x v="0"/>
    <x v="0"/>
    <x v="0"/>
    <s v="24"/>
    <x v="0"/>
    <x v="5"/>
    <x v="3"/>
    <n v="2403561.27"/>
    <x v="0"/>
  </r>
  <r>
    <x v="0"/>
    <x v="0"/>
    <x v="4"/>
    <x v="0"/>
    <x v="0"/>
    <x v="0"/>
    <s v="20"/>
    <x v="0"/>
    <x v="5"/>
    <x v="0"/>
    <n v="244000"/>
    <x v="0"/>
  </r>
  <r>
    <x v="0"/>
    <x v="0"/>
    <x v="4"/>
    <x v="0"/>
    <x v="0"/>
    <x v="0"/>
    <s v="20"/>
    <x v="0"/>
    <x v="5"/>
    <x v="5"/>
    <n v="-247879.19"/>
    <x v="0"/>
  </r>
  <r>
    <x v="0"/>
    <x v="1"/>
    <x v="3"/>
    <x v="0"/>
    <x v="0"/>
    <x v="0"/>
    <s v="99"/>
    <x v="0"/>
    <x v="6"/>
    <x v="8"/>
    <n v="31.2"/>
    <x v="0"/>
  </r>
  <r>
    <x v="0"/>
    <x v="1"/>
    <x v="3"/>
    <x v="0"/>
    <x v="0"/>
    <x v="0"/>
    <s v="99"/>
    <x v="0"/>
    <x v="5"/>
    <x v="6"/>
    <n v="-30"/>
    <x v="0"/>
  </r>
  <r>
    <x v="0"/>
    <x v="1"/>
    <x v="3"/>
    <x v="0"/>
    <x v="0"/>
    <x v="0"/>
    <s v="99"/>
    <x v="0"/>
    <x v="5"/>
    <x v="0"/>
    <n v="25559.17"/>
    <x v="0"/>
  </r>
  <r>
    <x v="0"/>
    <x v="1"/>
    <x v="3"/>
    <x v="0"/>
    <x v="0"/>
    <x v="0"/>
    <s v="99"/>
    <x v="0"/>
    <x v="6"/>
    <x v="1"/>
    <n v="-250"/>
    <x v="0"/>
  </r>
  <r>
    <x v="0"/>
    <x v="1"/>
    <x v="3"/>
    <x v="0"/>
    <x v="0"/>
    <x v="3"/>
    <s v="46"/>
    <x v="0"/>
    <x v="6"/>
    <x v="5"/>
    <n v="-4750"/>
    <x v="1"/>
  </r>
  <r>
    <x v="0"/>
    <x v="1"/>
    <x v="1"/>
    <x v="0"/>
    <x v="0"/>
    <x v="0"/>
    <s v="20"/>
    <x v="0"/>
    <x v="7"/>
    <x v="4"/>
    <n v="3260"/>
    <x v="0"/>
  </r>
  <r>
    <x v="0"/>
    <x v="1"/>
    <x v="1"/>
    <x v="0"/>
    <x v="0"/>
    <x v="0"/>
    <s v="24"/>
    <x v="0"/>
    <x v="8"/>
    <x v="0"/>
    <n v="-693515.05"/>
    <x v="0"/>
  </r>
  <r>
    <x v="0"/>
    <x v="1"/>
    <x v="1"/>
    <x v="0"/>
    <x v="0"/>
    <x v="0"/>
    <s v="24"/>
    <x v="0"/>
    <x v="7"/>
    <x v="4"/>
    <n v="-5456990.2199999997"/>
    <x v="0"/>
  </r>
  <r>
    <x v="0"/>
    <x v="1"/>
    <x v="1"/>
    <x v="0"/>
    <x v="0"/>
    <x v="0"/>
    <s v="20"/>
    <x v="0"/>
    <x v="8"/>
    <x v="0"/>
    <n v="13201.1"/>
    <x v="0"/>
  </r>
  <r>
    <x v="0"/>
    <x v="1"/>
    <x v="1"/>
    <x v="0"/>
    <x v="0"/>
    <x v="0"/>
    <s v="24"/>
    <x v="0"/>
    <x v="7"/>
    <x v="0"/>
    <n v="4014070.01"/>
    <x v="0"/>
  </r>
  <r>
    <x v="0"/>
    <x v="1"/>
    <x v="2"/>
    <x v="0"/>
    <x v="0"/>
    <x v="0"/>
    <s v="85"/>
    <x v="0"/>
    <x v="7"/>
    <x v="0"/>
    <n v="277160.98"/>
    <x v="0"/>
  </r>
  <r>
    <x v="0"/>
    <x v="1"/>
    <x v="2"/>
    <x v="0"/>
    <x v="0"/>
    <x v="0"/>
    <s v="05"/>
    <x v="0"/>
    <x v="7"/>
    <x v="0"/>
    <n v="-105.99"/>
    <x v="0"/>
  </r>
  <r>
    <x v="0"/>
    <x v="1"/>
    <x v="3"/>
    <x v="0"/>
    <x v="0"/>
    <x v="0"/>
    <s v="02"/>
    <x v="0"/>
    <x v="7"/>
    <x v="11"/>
    <n v="-1500"/>
    <x v="0"/>
  </r>
  <r>
    <x v="0"/>
    <x v="1"/>
    <x v="3"/>
    <x v="0"/>
    <x v="0"/>
    <x v="0"/>
    <s v="02"/>
    <x v="0"/>
    <x v="7"/>
    <x v="8"/>
    <n v="529"/>
    <x v="0"/>
  </r>
  <r>
    <x v="0"/>
    <x v="1"/>
    <x v="3"/>
    <x v="0"/>
    <x v="0"/>
    <x v="0"/>
    <s v="02"/>
    <x v="0"/>
    <x v="7"/>
    <x v="4"/>
    <n v="1021.45"/>
    <x v="0"/>
  </r>
  <r>
    <x v="0"/>
    <x v="1"/>
    <x v="3"/>
    <x v="0"/>
    <x v="0"/>
    <x v="0"/>
    <s v="05"/>
    <x v="0"/>
    <x v="7"/>
    <x v="6"/>
    <n v="-80"/>
    <x v="0"/>
  </r>
  <r>
    <x v="0"/>
    <x v="1"/>
    <x v="3"/>
    <x v="0"/>
    <x v="0"/>
    <x v="0"/>
    <s v="20"/>
    <x v="0"/>
    <x v="7"/>
    <x v="10"/>
    <n v="240.49"/>
    <x v="0"/>
  </r>
  <r>
    <x v="0"/>
    <x v="1"/>
    <x v="3"/>
    <x v="0"/>
    <x v="0"/>
    <x v="0"/>
    <s v="20"/>
    <x v="0"/>
    <x v="7"/>
    <x v="4"/>
    <n v="-0.02"/>
    <x v="0"/>
  </r>
  <r>
    <x v="0"/>
    <x v="1"/>
    <x v="3"/>
    <x v="0"/>
    <x v="0"/>
    <x v="0"/>
    <s v="24"/>
    <x v="0"/>
    <x v="7"/>
    <x v="3"/>
    <n v="34889.370000000003"/>
    <x v="0"/>
  </r>
  <r>
    <x v="0"/>
    <x v="1"/>
    <x v="3"/>
    <x v="0"/>
    <x v="0"/>
    <x v="0"/>
    <s v="20"/>
    <x v="0"/>
    <x v="7"/>
    <x v="8"/>
    <n v="-240.49"/>
    <x v="0"/>
  </r>
  <r>
    <x v="0"/>
    <x v="1"/>
    <x v="3"/>
    <x v="0"/>
    <x v="0"/>
    <x v="0"/>
    <s v="02"/>
    <x v="0"/>
    <x v="7"/>
    <x v="7"/>
    <n v="478.55"/>
    <x v="0"/>
  </r>
  <r>
    <x v="0"/>
    <x v="1"/>
    <x v="3"/>
    <x v="0"/>
    <x v="0"/>
    <x v="0"/>
    <s v="24"/>
    <x v="0"/>
    <x v="7"/>
    <x v="4"/>
    <n v="240195"/>
    <x v="0"/>
  </r>
  <r>
    <x v="0"/>
    <x v="1"/>
    <x v="3"/>
    <x v="0"/>
    <x v="0"/>
    <x v="0"/>
    <s v="24"/>
    <x v="0"/>
    <x v="7"/>
    <x v="5"/>
    <n v="2112.58"/>
    <x v="0"/>
  </r>
  <r>
    <x v="0"/>
    <x v="1"/>
    <x v="3"/>
    <x v="0"/>
    <x v="0"/>
    <x v="0"/>
    <s v="24"/>
    <x v="0"/>
    <x v="7"/>
    <x v="1"/>
    <n v="88004.05"/>
    <x v="0"/>
  </r>
  <r>
    <x v="0"/>
    <x v="1"/>
    <x v="3"/>
    <x v="0"/>
    <x v="0"/>
    <x v="0"/>
    <s v="24"/>
    <x v="0"/>
    <x v="7"/>
    <x v="7"/>
    <n v="110676.87"/>
    <x v="0"/>
  </r>
  <r>
    <x v="0"/>
    <x v="1"/>
    <x v="3"/>
    <x v="0"/>
    <x v="0"/>
    <x v="0"/>
    <s v="24"/>
    <x v="0"/>
    <x v="7"/>
    <x v="6"/>
    <n v="64014.19"/>
    <x v="0"/>
  </r>
  <r>
    <x v="0"/>
    <x v="1"/>
    <x v="3"/>
    <x v="0"/>
    <x v="0"/>
    <x v="0"/>
    <s v="30"/>
    <x v="0"/>
    <x v="7"/>
    <x v="7"/>
    <n v="23"/>
    <x v="0"/>
  </r>
  <r>
    <x v="0"/>
    <x v="1"/>
    <x v="3"/>
    <x v="0"/>
    <x v="0"/>
    <x v="0"/>
    <s v="24"/>
    <x v="0"/>
    <x v="7"/>
    <x v="9"/>
    <n v="-6915.56"/>
    <x v="0"/>
  </r>
  <r>
    <x v="0"/>
    <x v="1"/>
    <x v="3"/>
    <x v="0"/>
    <x v="0"/>
    <x v="0"/>
    <s v="99"/>
    <x v="0"/>
    <x v="7"/>
    <x v="5"/>
    <n v="64.3"/>
    <x v="0"/>
  </r>
  <r>
    <x v="0"/>
    <x v="1"/>
    <x v="3"/>
    <x v="0"/>
    <x v="0"/>
    <x v="0"/>
    <s v="24"/>
    <x v="0"/>
    <x v="7"/>
    <x v="11"/>
    <n v="66902.98"/>
    <x v="0"/>
  </r>
  <r>
    <x v="0"/>
    <x v="1"/>
    <x v="3"/>
    <x v="0"/>
    <x v="0"/>
    <x v="0"/>
    <s v="99"/>
    <x v="0"/>
    <x v="7"/>
    <x v="3"/>
    <n v="-116.31"/>
    <x v="0"/>
  </r>
  <r>
    <x v="0"/>
    <x v="1"/>
    <x v="3"/>
    <x v="0"/>
    <x v="0"/>
    <x v="0"/>
    <s v="24"/>
    <x v="0"/>
    <x v="7"/>
    <x v="10"/>
    <n v="-40528.370000000003"/>
    <x v="0"/>
  </r>
  <r>
    <x v="0"/>
    <x v="1"/>
    <x v="3"/>
    <x v="0"/>
    <x v="0"/>
    <x v="0"/>
    <s v="24"/>
    <x v="0"/>
    <x v="7"/>
    <x v="8"/>
    <n v="-101072.71"/>
    <x v="0"/>
  </r>
  <r>
    <x v="0"/>
    <x v="1"/>
    <x v="3"/>
    <x v="0"/>
    <x v="0"/>
    <x v="0"/>
    <s v="99"/>
    <x v="0"/>
    <x v="7"/>
    <x v="4"/>
    <n v="-25.85"/>
    <x v="0"/>
  </r>
  <r>
    <x v="0"/>
    <x v="1"/>
    <x v="3"/>
    <x v="0"/>
    <x v="0"/>
    <x v="0"/>
    <s v="30"/>
    <x v="0"/>
    <x v="7"/>
    <x v="6"/>
    <n v="-166.3"/>
    <x v="0"/>
  </r>
  <r>
    <x v="0"/>
    <x v="1"/>
    <x v="3"/>
    <x v="0"/>
    <x v="0"/>
    <x v="0"/>
    <s v="99"/>
    <x v="0"/>
    <x v="7"/>
    <x v="6"/>
    <n v="-56"/>
    <x v="0"/>
  </r>
  <r>
    <x v="0"/>
    <x v="1"/>
    <x v="3"/>
    <x v="0"/>
    <x v="0"/>
    <x v="0"/>
    <s v="30"/>
    <x v="0"/>
    <x v="7"/>
    <x v="11"/>
    <n v="-23"/>
    <x v="0"/>
  </r>
  <r>
    <x v="0"/>
    <x v="1"/>
    <x v="3"/>
    <x v="0"/>
    <x v="0"/>
    <x v="0"/>
    <s v="30"/>
    <x v="0"/>
    <x v="7"/>
    <x v="8"/>
    <n v="23"/>
    <x v="0"/>
  </r>
  <r>
    <x v="0"/>
    <x v="1"/>
    <x v="3"/>
    <x v="0"/>
    <x v="0"/>
    <x v="0"/>
    <s v="99"/>
    <x v="0"/>
    <x v="7"/>
    <x v="1"/>
    <n v="142.16"/>
    <x v="0"/>
  </r>
  <r>
    <x v="0"/>
    <x v="0"/>
    <x v="0"/>
    <x v="0"/>
    <x v="0"/>
    <x v="0"/>
    <s v="02"/>
    <x v="0"/>
    <x v="7"/>
    <x v="6"/>
    <n v="1467.75"/>
    <x v="0"/>
  </r>
  <r>
    <x v="0"/>
    <x v="0"/>
    <x v="0"/>
    <x v="0"/>
    <x v="0"/>
    <x v="0"/>
    <s v="02"/>
    <x v="0"/>
    <x v="7"/>
    <x v="0"/>
    <n v="-1104296.05"/>
    <x v="0"/>
  </r>
  <r>
    <x v="0"/>
    <x v="0"/>
    <x v="0"/>
    <x v="0"/>
    <x v="0"/>
    <x v="0"/>
    <s v="20"/>
    <x v="0"/>
    <x v="8"/>
    <x v="8"/>
    <n v="-2914.35"/>
    <x v="0"/>
  </r>
  <r>
    <x v="0"/>
    <x v="0"/>
    <x v="0"/>
    <x v="0"/>
    <x v="0"/>
    <x v="0"/>
    <s v="24"/>
    <x v="0"/>
    <x v="7"/>
    <x v="5"/>
    <n v="-6035285.9500000002"/>
    <x v="0"/>
  </r>
  <r>
    <x v="0"/>
    <x v="0"/>
    <x v="0"/>
    <x v="0"/>
    <x v="0"/>
    <x v="0"/>
    <s v="24"/>
    <x v="0"/>
    <x v="7"/>
    <x v="7"/>
    <n v="-1419860.89"/>
    <x v="0"/>
  </r>
  <r>
    <x v="0"/>
    <x v="0"/>
    <x v="0"/>
    <x v="0"/>
    <x v="0"/>
    <x v="0"/>
    <s v="02"/>
    <x v="0"/>
    <x v="7"/>
    <x v="5"/>
    <n v="29.5"/>
    <x v="0"/>
  </r>
  <r>
    <x v="0"/>
    <x v="0"/>
    <x v="0"/>
    <x v="0"/>
    <x v="0"/>
    <x v="0"/>
    <s v="02"/>
    <x v="0"/>
    <x v="7"/>
    <x v="9"/>
    <n v="-1497.25"/>
    <x v="0"/>
  </r>
  <r>
    <x v="0"/>
    <x v="0"/>
    <x v="0"/>
    <x v="0"/>
    <x v="0"/>
    <x v="0"/>
    <s v="24"/>
    <x v="0"/>
    <x v="8"/>
    <x v="3"/>
    <n v="-32207.42"/>
    <x v="0"/>
  </r>
  <r>
    <x v="0"/>
    <x v="0"/>
    <x v="0"/>
    <x v="0"/>
    <x v="0"/>
    <x v="0"/>
    <s v="02"/>
    <x v="0"/>
    <x v="8"/>
    <x v="0"/>
    <n v="-20830.48"/>
    <x v="0"/>
  </r>
  <r>
    <x v="0"/>
    <x v="0"/>
    <x v="0"/>
    <x v="0"/>
    <x v="0"/>
    <x v="0"/>
    <s v="20"/>
    <x v="0"/>
    <x v="7"/>
    <x v="1"/>
    <n v="230"/>
    <x v="0"/>
  </r>
  <r>
    <x v="0"/>
    <x v="0"/>
    <x v="0"/>
    <x v="0"/>
    <x v="0"/>
    <x v="0"/>
    <s v="24"/>
    <x v="0"/>
    <x v="8"/>
    <x v="6"/>
    <n v="-492465.85"/>
    <x v="0"/>
  </r>
  <r>
    <x v="0"/>
    <x v="0"/>
    <x v="0"/>
    <x v="0"/>
    <x v="0"/>
    <x v="0"/>
    <s v="20"/>
    <x v="0"/>
    <x v="7"/>
    <x v="5"/>
    <n v="-91527.3"/>
    <x v="0"/>
  </r>
  <r>
    <x v="0"/>
    <x v="0"/>
    <x v="0"/>
    <x v="0"/>
    <x v="0"/>
    <x v="0"/>
    <s v="20"/>
    <x v="0"/>
    <x v="7"/>
    <x v="9"/>
    <n v="-1458.49"/>
    <x v="0"/>
  </r>
  <r>
    <x v="0"/>
    <x v="0"/>
    <x v="0"/>
    <x v="0"/>
    <x v="0"/>
    <x v="0"/>
    <s v="24"/>
    <x v="0"/>
    <x v="8"/>
    <x v="11"/>
    <n v="-663063.54"/>
    <x v="0"/>
  </r>
  <r>
    <x v="0"/>
    <x v="0"/>
    <x v="0"/>
    <x v="0"/>
    <x v="0"/>
    <x v="0"/>
    <s v="20"/>
    <x v="0"/>
    <x v="7"/>
    <x v="7"/>
    <n v="-612.51"/>
    <x v="0"/>
  </r>
  <r>
    <x v="0"/>
    <x v="0"/>
    <x v="0"/>
    <x v="0"/>
    <x v="0"/>
    <x v="0"/>
    <s v="20"/>
    <x v="0"/>
    <x v="8"/>
    <x v="5"/>
    <n v="8325.2199999999993"/>
    <x v="0"/>
  </r>
  <r>
    <x v="0"/>
    <x v="0"/>
    <x v="0"/>
    <x v="0"/>
    <x v="0"/>
    <x v="0"/>
    <s v="24"/>
    <x v="0"/>
    <x v="8"/>
    <x v="2"/>
    <n v="-1353740.78"/>
    <x v="0"/>
  </r>
  <r>
    <x v="0"/>
    <x v="0"/>
    <x v="0"/>
    <x v="0"/>
    <x v="0"/>
    <x v="0"/>
    <s v="20"/>
    <x v="0"/>
    <x v="8"/>
    <x v="4"/>
    <n v="392"/>
    <x v="0"/>
  </r>
  <r>
    <x v="0"/>
    <x v="0"/>
    <x v="0"/>
    <x v="0"/>
    <x v="0"/>
    <x v="0"/>
    <s v="20"/>
    <x v="0"/>
    <x v="7"/>
    <x v="4"/>
    <n v="93368.3"/>
    <x v="0"/>
  </r>
  <r>
    <x v="0"/>
    <x v="0"/>
    <x v="0"/>
    <x v="0"/>
    <x v="0"/>
    <x v="0"/>
    <s v="20"/>
    <x v="0"/>
    <x v="8"/>
    <x v="2"/>
    <n v="-8325.2199999999993"/>
    <x v="0"/>
  </r>
  <r>
    <x v="0"/>
    <x v="0"/>
    <x v="0"/>
    <x v="0"/>
    <x v="0"/>
    <x v="0"/>
    <s v="24"/>
    <x v="0"/>
    <x v="8"/>
    <x v="0"/>
    <n v="-4286491.5599999996"/>
    <x v="0"/>
  </r>
  <r>
    <x v="0"/>
    <x v="0"/>
    <x v="0"/>
    <x v="0"/>
    <x v="0"/>
    <x v="0"/>
    <s v="20"/>
    <x v="0"/>
    <x v="8"/>
    <x v="11"/>
    <n v="2522.35"/>
    <x v="0"/>
  </r>
  <r>
    <x v="0"/>
    <x v="0"/>
    <x v="0"/>
    <x v="0"/>
    <x v="0"/>
    <x v="0"/>
    <s v="24"/>
    <x v="0"/>
    <x v="7"/>
    <x v="11"/>
    <n v="-1406194.99"/>
    <x v="0"/>
  </r>
  <r>
    <x v="0"/>
    <x v="0"/>
    <x v="0"/>
    <x v="0"/>
    <x v="0"/>
    <x v="0"/>
    <s v="24"/>
    <x v="0"/>
    <x v="7"/>
    <x v="3"/>
    <n v="-49075.13"/>
    <x v="0"/>
  </r>
  <r>
    <x v="0"/>
    <x v="0"/>
    <x v="0"/>
    <x v="0"/>
    <x v="0"/>
    <x v="0"/>
    <s v="30"/>
    <x v="0"/>
    <x v="7"/>
    <x v="10"/>
    <n v="1650"/>
    <x v="0"/>
  </r>
  <r>
    <x v="0"/>
    <x v="0"/>
    <x v="0"/>
    <x v="0"/>
    <x v="0"/>
    <x v="0"/>
    <s v="24"/>
    <x v="0"/>
    <x v="7"/>
    <x v="1"/>
    <n v="282727007.41000003"/>
    <x v="0"/>
  </r>
  <r>
    <x v="0"/>
    <x v="0"/>
    <x v="0"/>
    <x v="0"/>
    <x v="0"/>
    <x v="0"/>
    <s v="24"/>
    <x v="0"/>
    <x v="7"/>
    <x v="2"/>
    <n v="-1516947.21"/>
    <x v="0"/>
  </r>
  <r>
    <x v="0"/>
    <x v="0"/>
    <x v="0"/>
    <x v="0"/>
    <x v="0"/>
    <x v="0"/>
    <s v="24"/>
    <x v="0"/>
    <x v="7"/>
    <x v="4"/>
    <n v="-50462.07"/>
    <x v="0"/>
  </r>
  <r>
    <x v="0"/>
    <x v="0"/>
    <x v="0"/>
    <x v="0"/>
    <x v="0"/>
    <x v="0"/>
    <s v="30"/>
    <x v="0"/>
    <x v="8"/>
    <x v="5"/>
    <n v="65"/>
    <x v="0"/>
  </r>
  <r>
    <x v="0"/>
    <x v="0"/>
    <x v="0"/>
    <x v="0"/>
    <x v="0"/>
    <x v="0"/>
    <s v="24"/>
    <x v="0"/>
    <x v="7"/>
    <x v="9"/>
    <n v="267704901.55000001"/>
    <x v="0"/>
  </r>
  <r>
    <x v="0"/>
    <x v="0"/>
    <x v="0"/>
    <x v="0"/>
    <x v="0"/>
    <x v="0"/>
    <s v="24"/>
    <x v="0"/>
    <x v="8"/>
    <x v="4"/>
    <n v="293651109.74000001"/>
    <x v="0"/>
  </r>
  <r>
    <x v="0"/>
    <x v="0"/>
    <x v="0"/>
    <x v="0"/>
    <x v="0"/>
    <x v="0"/>
    <s v="24"/>
    <x v="0"/>
    <x v="7"/>
    <x v="6"/>
    <n v="-1030942.17"/>
    <x v="0"/>
  </r>
  <r>
    <x v="0"/>
    <x v="0"/>
    <x v="0"/>
    <x v="0"/>
    <x v="0"/>
    <x v="0"/>
    <s v="30"/>
    <x v="0"/>
    <x v="8"/>
    <x v="7"/>
    <n v="-480"/>
    <x v="0"/>
  </r>
  <r>
    <x v="0"/>
    <x v="0"/>
    <x v="0"/>
    <x v="0"/>
    <x v="0"/>
    <x v="0"/>
    <s v="24"/>
    <x v="0"/>
    <x v="7"/>
    <x v="10"/>
    <n v="254245797.19"/>
    <x v="0"/>
  </r>
  <r>
    <x v="0"/>
    <x v="0"/>
    <x v="0"/>
    <x v="0"/>
    <x v="0"/>
    <x v="0"/>
    <s v="24"/>
    <x v="0"/>
    <x v="8"/>
    <x v="10"/>
    <n v="259561324.59999999"/>
    <x v="0"/>
  </r>
  <r>
    <x v="0"/>
    <x v="0"/>
    <x v="0"/>
    <x v="0"/>
    <x v="0"/>
    <x v="0"/>
    <s v="24"/>
    <x v="0"/>
    <x v="7"/>
    <x v="8"/>
    <n v="-3577174.21"/>
    <x v="0"/>
  </r>
  <r>
    <x v="0"/>
    <x v="0"/>
    <x v="0"/>
    <x v="0"/>
    <x v="0"/>
    <x v="0"/>
    <s v="36"/>
    <x v="0"/>
    <x v="7"/>
    <x v="0"/>
    <n v="92754.240000000005"/>
    <x v="0"/>
  </r>
  <r>
    <x v="0"/>
    <x v="0"/>
    <x v="0"/>
    <x v="0"/>
    <x v="0"/>
    <x v="0"/>
    <s v="24"/>
    <x v="0"/>
    <x v="8"/>
    <x v="5"/>
    <n v="-5769525.0499999998"/>
    <x v="0"/>
  </r>
  <r>
    <x v="0"/>
    <x v="0"/>
    <x v="0"/>
    <x v="0"/>
    <x v="0"/>
    <x v="0"/>
    <s v="24"/>
    <x v="0"/>
    <x v="8"/>
    <x v="8"/>
    <n v="-2113311.2799999998"/>
    <x v="0"/>
  </r>
  <r>
    <x v="0"/>
    <x v="0"/>
    <x v="0"/>
    <x v="0"/>
    <x v="0"/>
    <x v="0"/>
    <s v="24"/>
    <x v="0"/>
    <x v="7"/>
    <x v="0"/>
    <n v="-907139.83"/>
    <x v="0"/>
  </r>
  <r>
    <x v="0"/>
    <x v="0"/>
    <x v="0"/>
    <x v="0"/>
    <x v="0"/>
    <x v="0"/>
    <s v="99"/>
    <x v="0"/>
    <x v="7"/>
    <x v="5"/>
    <n v="169"/>
    <x v="0"/>
  </r>
  <r>
    <x v="0"/>
    <x v="0"/>
    <x v="0"/>
    <x v="0"/>
    <x v="0"/>
    <x v="0"/>
    <s v="24"/>
    <x v="0"/>
    <x v="8"/>
    <x v="7"/>
    <n v="-3659819.58"/>
    <x v="0"/>
  </r>
  <r>
    <x v="0"/>
    <x v="0"/>
    <x v="0"/>
    <x v="0"/>
    <x v="0"/>
    <x v="0"/>
    <s v="30"/>
    <x v="0"/>
    <x v="8"/>
    <x v="2"/>
    <n v="285"/>
    <x v="0"/>
  </r>
  <r>
    <x v="0"/>
    <x v="0"/>
    <x v="0"/>
    <x v="0"/>
    <x v="0"/>
    <x v="0"/>
    <s v="24"/>
    <x v="0"/>
    <x v="8"/>
    <x v="1"/>
    <n v="-5842076.5700000003"/>
    <x v="0"/>
  </r>
  <r>
    <x v="0"/>
    <x v="0"/>
    <x v="0"/>
    <x v="0"/>
    <x v="0"/>
    <x v="0"/>
    <s v="99"/>
    <x v="0"/>
    <x v="7"/>
    <x v="2"/>
    <n v="0.31"/>
    <x v="0"/>
  </r>
  <r>
    <x v="0"/>
    <x v="0"/>
    <x v="0"/>
    <x v="0"/>
    <x v="0"/>
    <x v="0"/>
    <s v="99"/>
    <x v="0"/>
    <x v="5"/>
    <x v="5"/>
    <n v="7542.14"/>
    <x v="0"/>
  </r>
  <r>
    <x v="0"/>
    <x v="0"/>
    <x v="0"/>
    <x v="0"/>
    <x v="0"/>
    <x v="0"/>
    <s v="99"/>
    <x v="0"/>
    <x v="5"/>
    <x v="10"/>
    <n v="-9.9"/>
    <x v="0"/>
  </r>
  <r>
    <x v="0"/>
    <x v="0"/>
    <x v="0"/>
    <x v="0"/>
    <x v="0"/>
    <x v="0"/>
    <s v="20"/>
    <x v="0"/>
    <x v="5"/>
    <x v="4"/>
    <n v="2730.2"/>
    <x v="0"/>
  </r>
  <r>
    <x v="0"/>
    <x v="0"/>
    <x v="0"/>
    <x v="0"/>
    <x v="0"/>
    <x v="0"/>
    <s v="30"/>
    <x v="0"/>
    <x v="5"/>
    <x v="7"/>
    <n v="620"/>
    <x v="0"/>
  </r>
  <r>
    <x v="0"/>
    <x v="0"/>
    <x v="0"/>
    <x v="0"/>
    <x v="0"/>
    <x v="0"/>
    <s v="99"/>
    <x v="0"/>
    <x v="6"/>
    <x v="0"/>
    <n v="-0.02"/>
    <x v="0"/>
  </r>
  <r>
    <x v="0"/>
    <x v="0"/>
    <x v="0"/>
    <x v="0"/>
    <x v="0"/>
    <x v="0"/>
    <s v="99"/>
    <x v="0"/>
    <x v="6"/>
    <x v="5"/>
    <n v="1151.45"/>
    <x v="0"/>
  </r>
  <r>
    <x v="0"/>
    <x v="0"/>
    <x v="0"/>
    <x v="0"/>
    <x v="0"/>
    <x v="0"/>
    <s v="20"/>
    <x v="0"/>
    <x v="5"/>
    <x v="6"/>
    <n v="2730.2"/>
    <x v="0"/>
  </r>
  <r>
    <x v="0"/>
    <x v="0"/>
    <x v="0"/>
    <x v="0"/>
    <x v="0"/>
    <x v="0"/>
    <s v="30"/>
    <x v="0"/>
    <x v="6"/>
    <x v="11"/>
    <n v="-15"/>
    <x v="0"/>
  </r>
  <r>
    <x v="0"/>
    <x v="0"/>
    <x v="0"/>
    <x v="0"/>
    <x v="0"/>
    <x v="1"/>
    <s v="21"/>
    <x v="0"/>
    <x v="5"/>
    <x v="5"/>
    <n v="471908"/>
    <x v="0"/>
  </r>
  <r>
    <x v="0"/>
    <x v="0"/>
    <x v="0"/>
    <x v="0"/>
    <x v="0"/>
    <x v="0"/>
    <s v="99"/>
    <x v="0"/>
    <x v="6"/>
    <x v="7"/>
    <n v="-1151.45"/>
    <x v="0"/>
  </r>
  <r>
    <x v="0"/>
    <x v="0"/>
    <x v="0"/>
    <x v="0"/>
    <x v="0"/>
    <x v="0"/>
    <s v="24"/>
    <x v="0"/>
    <x v="5"/>
    <x v="5"/>
    <n v="-7259293.7300000004"/>
    <x v="0"/>
  </r>
  <r>
    <x v="0"/>
    <x v="0"/>
    <x v="0"/>
    <x v="0"/>
    <x v="0"/>
    <x v="0"/>
    <s v="99"/>
    <x v="0"/>
    <x v="5"/>
    <x v="6"/>
    <n v="-5825.82"/>
    <x v="0"/>
  </r>
  <r>
    <x v="0"/>
    <x v="0"/>
    <x v="0"/>
    <x v="0"/>
    <x v="0"/>
    <x v="1"/>
    <s v="21"/>
    <x v="0"/>
    <x v="5"/>
    <x v="2"/>
    <n v="300"/>
    <x v="0"/>
  </r>
  <r>
    <x v="0"/>
    <x v="0"/>
    <x v="0"/>
    <x v="0"/>
    <x v="0"/>
    <x v="1"/>
    <s v="21"/>
    <x v="0"/>
    <x v="5"/>
    <x v="7"/>
    <n v="391817"/>
    <x v="0"/>
  </r>
  <r>
    <x v="0"/>
    <x v="0"/>
    <x v="0"/>
    <x v="0"/>
    <x v="0"/>
    <x v="0"/>
    <s v="24"/>
    <x v="0"/>
    <x v="5"/>
    <x v="7"/>
    <n v="-18791158.98"/>
    <x v="0"/>
  </r>
  <r>
    <x v="0"/>
    <x v="0"/>
    <x v="0"/>
    <x v="0"/>
    <x v="0"/>
    <x v="0"/>
    <s v="99"/>
    <x v="0"/>
    <x v="5"/>
    <x v="0"/>
    <n v="2014.55"/>
    <x v="0"/>
  </r>
  <r>
    <x v="0"/>
    <x v="0"/>
    <x v="0"/>
    <x v="0"/>
    <x v="0"/>
    <x v="1"/>
    <s v="21"/>
    <x v="0"/>
    <x v="6"/>
    <x v="4"/>
    <n v="391817"/>
    <x v="0"/>
  </r>
  <r>
    <x v="0"/>
    <x v="0"/>
    <x v="0"/>
    <x v="0"/>
    <x v="0"/>
    <x v="1"/>
    <s v="21"/>
    <x v="0"/>
    <x v="6"/>
    <x v="3"/>
    <n v="30982.28"/>
    <x v="0"/>
  </r>
  <r>
    <x v="0"/>
    <x v="0"/>
    <x v="0"/>
    <x v="0"/>
    <x v="0"/>
    <x v="0"/>
    <s v="24"/>
    <x v="0"/>
    <x v="5"/>
    <x v="2"/>
    <n v="-854118.46"/>
    <x v="0"/>
  </r>
  <r>
    <x v="0"/>
    <x v="0"/>
    <x v="0"/>
    <x v="0"/>
    <x v="0"/>
    <x v="1"/>
    <s v="21"/>
    <x v="0"/>
    <x v="5"/>
    <x v="9"/>
    <n v="2726856"/>
    <x v="0"/>
  </r>
  <r>
    <x v="0"/>
    <x v="0"/>
    <x v="0"/>
    <x v="0"/>
    <x v="0"/>
    <x v="1"/>
    <s v="21"/>
    <x v="0"/>
    <x v="6"/>
    <x v="8"/>
    <n v="3000"/>
    <x v="0"/>
  </r>
  <r>
    <x v="0"/>
    <x v="0"/>
    <x v="0"/>
    <x v="0"/>
    <x v="0"/>
    <x v="1"/>
    <s v="21"/>
    <x v="0"/>
    <x v="6"/>
    <x v="6"/>
    <n v="500"/>
    <x v="0"/>
  </r>
  <r>
    <x v="0"/>
    <x v="0"/>
    <x v="0"/>
    <x v="0"/>
    <x v="0"/>
    <x v="0"/>
    <s v="24"/>
    <x v="0"/>
    <x v="6"/>
    <x v="3"/>
    <n v="-79252.7"/>
    <x v="0"/>
  </r>
  <r>
    <x v="0"/>
    <x v="0"/>
    <x v="0"/>
    <x v="0"/>
    <x v="0"/>
    <x v="1"/>
    <s v="21"/>
    <x v="0"/>
    <x v="6"/>
    <x v="5"/>
    <n v="212963.3"/>
    <x v="0"/>
  </r>
  <r>
    <x v="0"/>
    <x v="0"/>
    <x v="0"/>
    <x v="0"/>
    <x v="0"/>
    <x v="1"/>
    <s v="22"/>
    <x v="0"/>
    <x v="5"/>
    <x v="10"/>
    <n v="-5545853"/>
    <x v="0"/>
  </r>
  <r>
    <x v="0"/>
    <x v="0"/>
    <x v="0"/>
    <x v="0"/>
    <x v="0"/>
    <x v="1"/>
    <s v="21"/>
    <x v="0"/>
    <x v="6"/>
    <x v="2"/>
    <n v="1600"/>
    <x v="0"/>
  </r>
  <r>
    <x v="0"/>
    <x v="0"/>
    <x v="0"/>
    <x v="0"/>
    <x v="0"/>
    <x v="0"/>
    <s v="24"/>
    <x v="0"/>
    <x v="6"/>
    <x v="4"/>
    <n v="-22097.67"/>
    <x v="0"/>
  </r>
  <r>
    <x v="0"/>
    <x v="0"/>
    <x v="0"/>
    <x v="0"/>
    <x v="0"/>
    <x v="1"/>
    <s v="22"/>
    <x v="0"/>
    <x v="5"/>
    <x v="5"/>
    <n v="-6855456"/>
    <x v="0"/>
  </r>
  <r>
    <x v="0"/>
    <x v="0"/>
    <x v="0"/>
    <x v="0"/>
    <x v="0"/>
    <x v="1"/>
    <s v="22"/>
    <x v="0"/>
    <x v="6"/>
    <x v="7"/>
    <n v="-2025834"/>
    <x v="0"/>
  </r>
  <r>
    <x v="0"/>
    <x v="0"/>
    <x v="0"/>
    <x v="0"/>
    <x v="0"/>
    <x v="1"/>
    <s v="21"/>
    <x v="0"/>
    <x v="6"/>
    <x v="0"/>
    <n v="0.01"/>
    <x v="0"/>
  </r>
  <r>
    <x v="0"/>
    <x v="0"/>
    <x v="0"/>
    <x v="0"/>
    <x v="0"/>
    <x v="0"/>
    <s v="24"/>
    <x v="0"/>
    <x v="6"/>
    <x v="6"/>
    <n v="-941769.61"/>
    <x v="0"/>
  </r>
  <r>
    <x v="0"/>
    <x v="0"/>
    <x v="0"/>
    <x v="0"/>
    <x v="0"/>
    <x v="1"/>
    <s v="22"/>
    <x v="0"/>
    <x v="5"/>
    <x v="7"/>
    <n v="-414626"/>
    <x v="0"/>
  </r>
  <r>
    <x v="0"/>
    <x v="0"/>
    <x v="0"/>
    <x v="0"/>
    <x v="0"/>
    <x v="1"/>
    <s v="88"/>
    <x v="0"/>
    <x v="5"/>
    <x v="5"/>
    <n v="-611551.56000000006"/>
    <x v="0"/>
  </r>
  <r>
    <x v="0"/>
    <x v="0"/>
    <x v="0"/>
    <x v="0"/>
    <x v="0"/>
    <x v="1"/>
    <s v="22"/>
    <x v="0"/>
    <x v="5"/>
    <x v="6"/>
    <n v="-41955332.659999996"/>
    <x v="0"/>
  </r>
  <r>
    <x v="0"/>
    <x v="0"/>
    <x v="0"/>
    <x v="0"/>
    <x v="0"/>
    <x v="0"/>
    <s v="24"/>
    <x v="0"/>
    <x v="6"/>
    <x v="11"/>
    <n v="-916782.59"/>
    <x v="0"/>
  </r>
  <r>
    <x v="0"/>
    <x v="0"/>
    <x v="0"/>
    <x v="0"/>
    <x v="0"/>
    <x v="1"/>
    <s v="22"/>
    <x v="0"/>
    <x v="5"/>
    <x v="2"/>
    <n v="-182353.82"/>
    <x v="0"/>
  </r>
  <r>
    <x v="0"/>
    <x v="0"/>
    <x v="0"/>
    <x v="0"/>
    <x v="0"/>
    <x v="1"/>
    <s v="88"/>
    <x v="0"/>
    <x v="5"/>
    <x v="7"/>
    <n v="-608958.42000000004"/>
    <x v="0"/>
  </r>
  <r>
    <x v="0"/>
    <x v="0"/>
    <x v="0"/>
    <x v="0"/>
    <x v="0"/>
    <x v="1"/>
    <s v="22"/>
    <x v="0"/>
    <x v="5"/>
    <x v="11"/>
    <n v="-300"/>
    <x v="0"/>
  </r>
  <r>
    <x v="0"/>
    <x v="0"/>
    <x v="0"/>
    <x v="0"/>
    <x v="0"/>
    <x v="0"/>
    <s v="24"/>
    <x v="0"/>
    <x v="6"/>
    <x v="8"/>
    <n v="-2756627.09"/>
    <x v="0"/>
  </r>
  <r>
    <x v="0"/>
    <x v="0"/>
    <x v="0"/>
    <x v="0"/>
    <x v="0"/>
    <x v="1"/>
    <s v="22"/>
    <x v="0"/>
    <x v="6"/>
    <x v="4"/>
    <n v="-8862522"/>
    <x v="0"/>
  </r>
  <r>
    <x v="0"/>
    <x v="0"/>
    <x v="0"/>
    <x v="0"/>
    <x v="0"/>
    <x v="1"/>
    <s v="88"/>
    <x v="0"/>
    <x v="6"/>
    <x v="3"/>
    <n v="-571051.68000000005"/>
    <x v="0"/>
  </r>
  <r>
    <x v="0"/>
    <x v="0"/>
    <x v="0"/>
    <x v="0"/>
    <x v="0"/>
    <x v="1"/>
    <s v="22"/>
    <x v="0"/>
    <x v="5"/>
    <x v="0"/>
    <n v="-9965805.8300000001"/>
    <x v="0"/>
  </r>
  <r>
    <x v="0"/>
    <x v="0"/>
    <x v="0"/>
    <x v="0"/>
    <x v="0"/>
    <x v="0"/>
    <s v="24"/>
    <x v="0"/>
    <x v="6"/>
    <x v="0"/>
    <n v="-1338532.53"/>
    <x v="0"/>
  </r>
  <r>
    <x v="0"/>
    <x v="0"/>
    <x v="0"/>
    <x v="0"/>
    <x v="0"/>
    <x v="1"/>
    <s v="22"/>
    <x v="0"/>
    <x v="6"/>
    <x v="8"/>
    <n v="-19174"/>
    <x v="0"/>
  </r>
  <r>
    <x v="0"/>
    <x v="0"/>
    <x v="0"/>
    <x v="0"/>
    <x v="0"/>
    <x v="1"/>
    <s v="88"/>
    <x v="0"/>
    <x v="6"/>
    <x v="4"/>
    <n v="-575923.17000000004"/>
    <x v="0"/>
  </r>
  <r>
    <x v="0"/>
    <x v="0"/>
    <x v="0"/>
    <x v="0"/>
    <x v="0"/>
    <x v="1"/>
    <s v="22"/>
    <x v="0"/>
    <x v="6"/>
    <x v="1"/>
    <n v="-31347641.399999999"/>
    <x v="0"/>
  </r>
  <r>
    <x v="0"/>
    <x v="0"/>
    <x v="0"/>
    <x v="0"/>
    <x v="0"/>
    <x v="0"/>
    <s v="30"/>
    <x v="0"/>
    <x v="5"/>
    <x v="9"/>
    <n v="3760"/>
    <x v="0"/>
  </r>
  <r>
    <x v="0"/>
    <x v="0"/>
    <x v="0"/>
    <x v="0"/>
    <x v="0"/>
    <x v="1"/>
    <s v="22"/>
    <x v="0"/>
    <x v="6"/>
    <x v="0"/>
    <n v="-10027987.01"/>
    <x v="0"/>
  </r>
  <r>
    <x v="0"/>
    <x v="0"/>
    <x v="0"/>
    <x v="0"/>
    <x v="0"/>
    <x v="1"/>
    <s v="88"/>
    <x v="0"/>
    <x v="6"/>
    <x v="6"/>
    <n v="-639387.57999999996"/>
    <x v="0"/>
  </r>
  <r>
    <x v="0"/>
    <x v="0"/>
    <x v="0"/>
    <x v="0"/>
    <x v="0"/>
    <x v="1"/>
    <s v="22"/>
    <x v="0"/>
    <x v="6"/>
    <x v="9"/>
    <n v="-1505000"/>
    <x v="0"/>
  </r>
  <r>
    <x v="0"/>
    <x v="0"/>
    <x v="0"/>
    <x v="0"/>
    <x v="0"/>
    <x v="0"/>
    <s v="99"/>
    <x v="0"/>
    <x v="5"/>
    <x v="11"/>
    <n v="-1706.47"/>
    <x v="0"/>
  </r>
  <r>
    <x v="0"/>
    <x v="0"/>
    <x v="0"/>
    <x v="0"/>
    <x v="0"/>
    <x v="1"/>
    <s v="88"/>
    <x v="0"/>
    <x v="5"/>
    <x v="3"/>
    <n v="-238715.75"/>
    <x v="0"/>
  </r>
  <r>
    <x v="0"/>
    <x v="0"/>
    <x v="0"/>
    <x v="0"/>
    <x v="0"/>
    <x v="1"/>
    <s v="88"/>
    <x v="0"/>
    <x v="6"/>
    <x v="11"/>
    <n v="-654898.42000000004"/>
    <x v="0"/>
  </r>
  <r>
    <x v="0"/>
    <x v="0"/>
    <x v="0"/>
    <x v="0"/>
    <x v="0"/>
    <x v="1"/>
    <s v="22"/>
    <x v="0"/>
    <x v="6"/>
    <x v="10"/>
    <n v="-533762.80000000005"/>
    <x v="0"/>
  </r>
  <r>
    <x v="0"/>
    <x v="0"/>
    <x v="0"/>
    <x v="0"/>
    <x v="0"/>
    <x v="1"/>
    <s v="21"/>
    <x v="0"/>
    <x v="5"/>
    <x v="6"/>
    <n v="23574924"/>
    <x v="0"/>
  </r>
  <r>
    <x v="0"/>
    <x v="0"/>
    <x v="0"/>
    <x v="0"/>
    <x v="0"/>
    <x v="1"/>
    <s v="88"/>
    <x v="0"/>
    <x v="5"/>
    <x v="4"/>
    <n v="-988893.39"/>
    <x v="0"/>
  </r>
  <r>
    <x v="0"/>
    <x v="0"/>
    <x v="0"/>
    <x v="0"/>
    <x v="0"/>
    <x v="1"/>
    <s v="88"/>
    <x v="0"/>
    <x v="6"/>
    <x v="0"/>
    <n v="6969693.2400000002"/>
    <x v="0"/>
  </r>
  <r>
    <x v="0"/>
    <x v="0"/>
    <x v="0"/>
    <x v="0"/>
    <x v="0"/>
    <x v="1"/>
    <s v="88"/>
    <x v="0"/>
    <x v="5"/>
    <x v="1"/>
    <n v="-612409.5"/>
    <x v="0"/>
  </r>
  <r>
    <x v="0"/>
    <x v="0"/>
    <x v="0"/>
    <x v="0"/>
    <x v="0"/>
    <x v="1"/>
    <s v="21"/>
    <x v="0"/>
    <x v="5"/>
    <x v="0"/>
    <n v="27341.09"/>
    <x v="0"/>
  </r>
  <r>
    <x v="0"/>
    <x v="0"/>
    <x v="0"/>
    <x v="0"/>
    <x v="0"/>
    <x v="1"/>
    <s v="88"/>
    <x v="0"/>
    <x v="5"/>
    <x v="6"/>
    <n v="-610690.42000000004"/>
    <x v="0"/>
  </r>
  <r>
    <x v="0"/>
    <x v="0"/>
    <x v="0"/>
    <x v="0"/>
    <x v="0"/>
    <x v="1"/>
    <s v="94"/>
    <x v="0"/>
    <x v="5"/>
    <x v="0"/>
    <n v="-63979.199999999997"/>
    <x v="0"/>
  </r>
  <r>
    <x v="0"/>
    <x v="0"/>
    <x v="0"/>
    <x v="0"/>
    <x v="0"/>
    <x v="1"/>
    <s v="88"/>
    <x v="0"/>
    <x v="5"/>
    <x v="9"/>
    <n v="-609826.03"/>
    <x v="0"/>
  </r>
  <r>
    <x v="0"/>
    <x v="0"/>
    <x v="0"/>
    <x v="0"/>
    <x v="0"/>
    <x v="1"/>
    <s v="21"/>
    <x v="0"/>
    <x v="6"/>
    <x v="1"/>
    <n v="10291636"/>
    <x v="0"/>
  </r>
  <r>
    <x v="0"/>
    <x v="0"/>
    <x v="0"/>
    <x v="0"/>
    <x v="0"/>
    <x v="1"/>
    <s v="88"/>
    <x v="0"/>
    <x v="5"/>
    <x v="8"/>
    <n v="-606336"/>
    <x v="0"/>
  </r>
  <r>
    <x v="0"/>
    <x v="0"/>
    <x v="0"/>
    <x v="0"/>
    <x v="0"/>
    <x v="4"/>
    <s v="01"/>
    <x v="0"/>
    <x v="6"/>
    <x v="5"/>
    <n v="-2005"/>
    <x v="0"/>
  </r>
  <r>
    <x v="0"/>
    <x v="0"/>
    <x v="0"/>
    <x v="0"/>
    <x v="0"/>
    <x v="1"/>
    <s v="88"/>
    <x v="0"/>
    <x v="5"/>
    <x v="10"/>
    <n v="-607213.41"/>
    <x v="0"/>
  </r>
  <r>
    <x v="0"/>
    <x v="0"/>
    <x v="0"/>
    <x v="0"/>
    <x v="0"/>
    <x v="1"/>
    <s v="21"/>
    <x v="0"/>
    <x v="6"/>
    <x v="9"/>
    <n v="1045133"/>
    <x v="0"/>
  </r>
  <r>
    <x v="0"/>
    <x v="0"/>
    <x v="0"/>
    <x v="0"/>
    <x v="0"/>
    <x v="1"/>
    <s v="88"/>
    <x v="0"/>
    <x v="5"/>
    <x v="0"/>
    <n v="6675476.9400000004"/>
    <x v="0"/>
  </r>
  <r>
    <x v="0"/>
    <x v="0"/>
    <x v="0"/>
    <x v="0"/>
    <x v="0"/>
    <x v="4"/>
    <s v="02"/>
    <x v="0"/>
    <x v="5"/>
    <x v="10"/>
    <n v="2014.55"/>
    <x v="0"/>
  </r>
  <r>
    <x v="0"/>
    <x v="0"/>
    <x v="0"/>
    <x v="0"/>
    <x v="0"/>
    <x v="1"/>
    <s v="88"/>
    <x v="0"/>
    <x v="6"/>
    <x v="5"/>
    <n v="-648877.99"/>
    <x v="0"/>
  </r>
  <r>
    <x v="0"/>
    <x v="0"/>
    <x v="0"/>
    <x v="0"/>
    <x v="0"/>
    <x v="1"/>
    <s v="22"/>
    <x v="0"/>
    <x v="5"/>
    <x v="1"/>
    <n v="-136667"/>
    <x v="0"/>
  </r>
  <r>
    <x v="0"/>
    <x v="0"/>
    <x v="0"/>
    <x v="0"/>
    <x v="0"/>
    <x v="1"/>
    <s v="88"/>
    <x v="0"/>
    <x v="6"/>
    <x v="1"/>
    <n v="-613167.5"/>
    <x v="0"/>
  </r>
  <r>
    <x v="0"/>
    <x v="0"/>
    <x v="0"/>
    <x v="0"/>
    <x v="0"/>
    <x v="1"/>
    <s v="88"/>
    <x v="0"/>
    <x v="6"/>
    <x v="7"/>
    <n v="-651139.56000000006"/>
    <x v="0"/>
  </r>
  <r>
    <x v="0"/>
    <x v="0"/>
    <x v="0"/>
    <x v="0"/>
    <x v="0"/>
    <x v="1"/>
    <s v="22"/>
    <x v="0"/>
    <x v="6"/>
    <x v="5"/>
    <n v="-3388068.3"/>
    <x v="0"/>
  </r>
  <r>
    <x v="0"/>
    <x v="0"/>
    <x v="0"/>
    <x v="0"/>
    <x v="0"/>
    <x v="4"/>
    <s v="01"/>
    <x v="0"/>
    <x v="6"/>
    <x v="4"/>
    <n v="2005"/>
    <x v="0"/>
  </r>
  <r>
    <x v="0"/>
    <x v="0"/>
    <x v="0"/>
    <x v="0"/>
    <x v="0"/>
    <x v="1"/>
    <s v="88"/>
    <x v="0"/>
    <x v="6"/>
    <x v="2"/>
    <n v="-662850.67000000004"/>
    <x v="0"/>
  </r>
  <r>
    <x v="0"/>
    <x v="0"/>
    <x v="0"/>
    <x v="0"/>
    <x v="0"/>
    <x v="1"/>
    <s v="22"/>
    <x v="0"/>
    <x v="6"/>
    <x v="2"/>
    <n v="-3000"/>
    <x v="0"/>
  </r>
  <r>
    <x v="0"/>
    <x v="0"/>
    <x v="0"/>
    <x v="0"/>
    <x v="0"/>
    <x v="1"/>
    <s v="94"/>
    <x v="0"/>
    <x v="6"/>
    <x v="0"/>
    <n v="-65812.5"/>
    <x v="0"/>
  </r>
  <r>
    <x v="0"/>
    <x v="0"/>
    <x v="0"/>
    <x v="0"/>
    <x v="0"/>
    <x v="1"/>
    <s v="88"/>
    <x v="0"/>
    <x v="5"/>
    <x v="11"/>
    <n v="-608087.55000000005"/>
    <x v="0"/>
  </r>
  <r>
    <x v="0"/>
    <x v="0"/>
    <x v="0"/>
    <x v="0"/>
    <x v="0"/>
    <x v="2"/>
    <s v="60"/>
    <x v="0"/>
    <x v="5"/>
    <x v="0"/>
    <n v="5264659.13"/>
    <x v="0"/>
  </r>
  <r>
    <x v="0"/>
    <x v="0"/>
    <x v="0"/>
    <x v="0"/>
    <x v="0"/>
    <x v="1"/>
    <s v="88"/>
    <x v="0"/>
    <x v="5"/>
    <x v="2"/>
    <n v="-572794.91"/>
    <x v="0"/>
  </r>
  <r>
    <x v="0"/>
    <x v="0"/>
    <x v="0"/>
    <x v="0"/>
    <x v="0"/>
    <x v="4"/>
    <s v="02"/>
    <x v="0"/>
    <x v="5"/>
    <x v="0"/>
    <n v="-2014.55"/>
    <x v="0"/>
  </r>
  <r>
    <x v="0"/>
    <x v="0"/>
    <x v="0"/>
    <x v="0"/>
    <x v="0"/>
    <x v="1"/>
    <s v="88"/>
    <x v="0"/>
    <x v="6"/>
    <x v="9"/>
    <n v="-638550.52"/>
    <x v="0"/>
  </r>
  <r>
    <x v="0"/>
    <x v="0"/>
    <x v="0"/>
    <x v="0"/>
    <x v="0"/>
    <x v="1"/>
    <s v="88"/>
    <x v="0"/>
    <x v="6"/>
    <x v="10"/>
    <n v="-655001.30000000005"/>
    <x v="0"/>
  </r>
  <r>
    <x v="0"/>
    <x v="0"/>
    <x v="0"/>
    <x v="0"/>
    <x v="0"/>
    <x v="0"/>
    <s v="30"/>
    <x v="0"/>
    <x v="7"/>
    <x v="8"/>
    <n v="-15"/>
    <x v="0"/>
  </r>
  <r>
    <x v="0"/>
    <x v="0"/>
    <x v="0"/>
    <x v="0"/>
    <x v="0"/>
    <x v="0"/>
    <s v="99"/>
    <x v="0"/>
    <x v="7"/>
    <x v="4"/>
    <n v="-54.75"/>
    <x v="0"/>
  </r>
  <r>
    <x v="0"/>
    <x v="0"/>
    <x v="0"/>
    <x v="0"/>
    <x v="0"/>
    <x v="0"/>
    <s v="24"/>
    <x v="0"/>
    <x v="8"/>
    <x v="9"/>
    <n v="274521853.47000003"/>
    <x v="0"/>
  </r>
  <r>
    <x v="0"/>
    <x v="0"/>
    <x v="0"/>
    <x v="0"/>
    <x v="0"/>
    <x v="0"/>
    <s v="99"/>
    <x v="0"/>
    <x v="8"/>
    <x v="6"/>
    <n v="351.63"/>
    <x v="0"/>
  </r>
  <r>
    <x v="0"/>
    <x v="0"/>
    <x v="0"/>
    <x v="0"/>
    <x v="0"/>
    <x v="0"/>
    <s v="30"/>
    <x v="0"/>
    <x v="8"/>
    <x v="1"/>
    <n v="715"/>
    <x v="0"/>
  </r>
  <r>
    <x v="0"/>
    <x v="0"/>
    <x v="0"/>
    <x v="0"/>
    <x v="0"/>
    <x v="0"/>
    <s v="99"/>
    <x v="0"/>
    <x v="7"/>
    <x v="6"/>
    <n v="236.43"/>
    <x v="0"/>
  </r>
  <r>
    <x v="0"/>
    <x v="0"/>
    <x v="0"/>
    <x v="0"/>
    <x v="0"/>
    <x v="0"/>
    <s v="30"/>
    <x v="0"/>
    <x v="7"/>
    <x v="2"/>
    <n v="-1635"/>
    <x v="0"/>
  </r>
  <r>
    <x v="0"/>
    <x v="0"/>
    <x v="0"/>
    <x v="0"/>
    <x v="0"/>
    <x v="0"/>
    <s v="99"/>
    <x v="0"/>
    <x v="8"/>
    <x v="0"/>
    <n v="117819.56"/>
    <x v="0"/>
  </r>
  <r>
    <x v="0"/>
    <x v="0"/>
    <x v="0"/>
    <x v="0"/>
    <x v="0"/>
    <x v="0"/>
    <s v="30"/>
    <x v="0"/>
    <x v="8"/>
    <x v="9"/>
    <n v="480"/>
    <x v="0"/>
  </r>
  <r>
    <x v="0"/>
    <x v="0"/>
    <x v="0"/>
    <x v="0"/>
    <x v="0"/>
    <x v="0"/>
    <s v="99"/>
    <x v="0"/>
    <x v="7"/>
    <x v="11"/>
    <n v="1101.4000000000001"/>
    <x v="0"/>
  </r>
  <r>
    <x v="0"/>
    <x v="0"/>
    <x v="0"/>
    <x v="0"/>
    <x v="0"/>
    <x v="0"/>
    <s v="30"/>
    <x v="0"/>
    <x v="8"/>
    <x v="4"/>
    <n v="780"/>
    <x v="0"/>
  </r>
  <r>
    <x v="0"/>
    <x v="0"/>
    <x v="0"/>
    <x v="0"/>
    <x v="0"/>
    <x v="1"/>
    <s v="21"/>
    <x v="0"/>
    <x v="7"/>
    <x v="4"/>
    <n v="393339.61"/>
    <x v="0"/>
  </r>
  <r>
    <x v="0"/>
    <x v="0"/>
    <x v="0"/>
    <x v="0"/>
    <x v="0"/>
    <x v="0"/>
    <s v="99"/>
    <x v="0"/>
    <x v="7"/>
    <x v="7"/>
    <n v="-136.43"/>
    <x v="0"/>
  </r>
  <r>
    <x v="0"/>
    <x v="0"/>
    <x v="0"/>
    <x v="0"/>
    <x v="0"/>
    <x v="0"/>
    <s v="99"/>
    <x v="0"/>
    <x v="7"/>
    <x v="8"/>
    <n v="-1270.71"/>
    <x v="0"/>
  </r>
  <r>
    <x v="0"/>
    <x v="0"/>
    <x v="0"/>
    <x v="0"/>
    <x v="0"/>
    <x v="0"/>
    <s v="30"/>
    <x v="0"/>
    <x v="8"/>
    <x v="10"/>
    <n v="-1495"/>
    <x v="0"/>
  </r>
  <r>
    <x v="0"/>
    <x v="0"/>
    <x v="0"/>
    <x v="0"/>
    <x v="0"/>
    <x v="1"/>
    <s v="21"/>
    <x v="0"/>
    <x v="7"/>
    <x v="6"/>
    <n v="7050.53"/>
    <x v="0"/>
  </r>
  <r>
    <x v="0"/>
    <x v="0"/>
    <x v="0"/>
    <x v="0"/>
    <x v="0"/>
    <x v="0"/>
    <s v="99"/>
    <x v="0"/>
    <x v="8"/>
    <x v="11"/>
    <n v="-2300"/>
    <x v="0"/>
  </r>
  <r>
    <x v="0"/>
    <x v="0"/>
    <x v="0"/>
    <x v="0"/>
    <x v="0"/>
    <x v="0"/>
    <s v="99"/>
    <x v="0"/>
    <x v="7"/>
    <x v="0"/>
    <n v="-0.02"/>
    <x v="0"/>
  </r>
  <r>
    <x v="0"/>
    <x v="0"/>
    <x v="0"/>
    <x v="0"/>
    <x v="0"/>
    <x v="0"/>
    <s v="30"/>
    <x v="0"/>
    <x v="8"/>
    <x v="8"/>
    <n v="-350"/>
    <x v="0"/>
  </r>
  <r>
    <x v="0"/>
    <x v="0"/>
    <x v="0"/>
    <x v="0"/>
    <x v="0"/>
    <x v="1"/>
    <s v="21"/>
    <x v="0"/>
    <x v="7"/>
    <x v="11"/>
    <n v="350000"/>
    <x v="0"/>
  </r>
  <r>
    <x v="0"/>
    <x v="0"/>
    <x v="0"/>
    <x v="0"/>
    <x v="0"/>
    <x v="1"/>
    <s v="21"/>
    <x v="0"/>
    <x v="7"/>
    <x v="5"/>
    <n v="471908"/>
    <x v="0"/>
  </r>
  <r>
    <x v="0"/>
    <x v="0"/>
    <x v="0"/>
    <x v="0"/>
    <x v="0"/>
    <x v="0"/>
    <s v="99"/>
    <x v="0"/>
    <x v="8"/>
    <x v="1"/>
    <n v="1322.4"/>
    <x v="0"/>
  </r>
  <r>
    <x v="0"/>
    <x v="0"/>
    <x v="0"/>
    <x v="0"/>
    <x v="0"/>
    <x v="0"/>
    <s v="35"/>
    <x v="0"/>
    <x v="7"/>
    <x v="0"/>
    <n v="1122782.04"/>
    <x v="0"/>
  </r>
  <r>
    <x v="0"/>
    <x v="0"/>
    <x v="0"/>
    <x v="0"/>
    <x v="0"/>
    <x v="1"/>
    <s v="21"/>
    <x v="0"/>
    <x v="7"/>
    <x v="0"/>
    <n v="5101529.5"/>
    <x v="0"/>
  </r>
  <r>
    <x v="0"/>
    <x v="0"/>
    <x v="0"/>
    <x v="0"/>
    <x v="0"/>
    <x v="1"/>
    <s v="21"/>
    <x v="0"/>
    <x v="7"/>
    <x v="7"/>
    <n v="440204"/>
    <x v="0"/>
  </r>
  <r>
    <x v="0"/>
    <x v="0"/>
    <x v="0"/>
    <x v="0"/>
    <x v="0"/>
    <x v="0"/>
    <s v="99"/>
    <x v="0"/>
    <x v="8"/>
    <x v="9"/>
    <n v="-1683.06"/>
    <x v="0"/>
  </r>
  <r>
    <x v="0"/>
    <x v="0"/>
    <x v="0"/>
    <x v="0"/>
    <x v="0"/>
    <x v="0"/>
    <s v="99"/>
    <x v="0"/>
    <x v="7"/>
    <x v="9"/>
    <n v="-45.25"/>
    <x v="0"/>
  </r>
  <r>
    <x v="0"/>
    <x v="0"/>
    <x v="0"/>
    <x v="0"/>
    <x v="0"/>
    <x v="1"/>
    <s v="21"/>
    <x v="0"/>
    <x v="8"/>
    <x v="1"/>
    <n v="472283"/>
    <x v="0"/>
  </r>
  <r>
    <x v="0"/>
    <x v="0"/>
    <x v="0"/>
    <x v="0"/>
    <x v="0"/>
    <x v="1"/>
    <s v="21"/>
    <x v="0"/>
    <x v="7"/>
    <x v="2"/>
    <n v="1177736.57"/>
    <x v="0"/>
  </r>
  <r>
    <x v="0"/>
    <x v="0"/>
    <x v="0"/>
    <x v="0"/>
    <x v="0"/>
    <x v="0"/>
    <s v="99"/>
    <x v="0"/>
    <x v="8"/>
    <x v="10"/>
    <n v="-2300"/>
    <x v="0"/>
  </r>
  <r>
    <x v="0"/>
    <x v="0"/>
    <x v="0"/>
    <x v="0"/>
    <x v="0"/>
    <x v="0"/>
    <s v="99"/>
    <x v="0"/>
    <x v="8"/>
    <x v="7"/>
    <n v="2309.0300000000002"/>
    <x v="0"/>
  </r>
  <r>
    <x v="0"/>
    <x v="0"/>
    <x v="0"/>
    <x v="0"/>
    <x v="0"/>
    <x v="1"/>
    <s v="21"/>
    <x v="0"/>
    <x v="8"/>
    <x v="10"/>
    <n v="315324"/>
    <x v="0"/>
  </r>
  <r>
    <x v="0"/>
    <x v="0"/>
    <x v="0"/>
    <x v="0"/>
    <x v="0"/>
    <x v="1"/>
    <s v="21"/>
    <x v="0"/>
    <x v="8"/>
    <x v="3"/>
    <n v="233.5"/>
    <x v="0"/>
  </r>
  <r>
    <x v="0"/>
    <x v="0"/>
    <x v="0"/>
    <x v="0"/>
    <x v="0"/>
    <x v="1"/>
    <s v="21"/>
    <x v="0"/>
    <x v="7"/>
    <x v="8"/>
    <n v="100"/>
    <x v="0"/>
  </r>
  <r>
    <x v="0"/>
    <x v="0"/>
    <x v="0"/>
    <x v="0"/>
    <x v="0"/>
    <x v="1"/>
    <s v="21"/>
    <x v="0"/>
    <x v="7"/>
    <x v="1"/>
    <n v="9777201.5299999993"/>
    <x v="0"/>
  </r>
  <r>
    <x v="0"/>
    <x v="0"/>
    <x v="0"/>
    <x v="0"/>
    <x v="0"/>
    <x v="1"/>
    <s v="22"/>
    <x v="0"/>
    <x v="7"/>
    <x v="1"/>
    <n v="-33788380"/>
    <x v="0"/>
  </r>
  <r>
    <x v="0"/>
    <x v="0"/>
    <x v="0"/>
    <x v="0"/>
    <x v="0"/>
    <x v="1"/>
    <s v="21"/>
    <x v="0"/>
    <x v="8"/>
    <x v="4"/>
    <n v="1078087"/>
    <x v="0"/>
  </r>
  <r>
    <x v="0"/>
    <x v="0"/>
    <x v="0"/>
    <x v="0"/>
    <x v="0"/>
    <x v="1"/>
    <s v="21"/>
    <x v="0"/>
    <x v="8"/>
    <x v="7"/>
    <n v="667105"/>
    <x v="0"/>
  </r>
  <r>
    <x v="0"/>
    <x v="0"/>
    <x v="0"/>
    <x v="0"/>
    <x v="0"/>
    <x v="1"/>
    <s v="21"/>
    <x v="0"/>
    <x v="8"/>
    <x v="5"/>
    <n v="9750000"/>
    <x v="0"/>
  </r>
  <r>
    <x v="0"/>
    <x v="0"/>
    <x v="0"/>
    <x v="0"/>
    <x v="0"/>
    <x v="1"/>
    <s v="22"/>
    <x v="0"/>
    <x v="7"/>
    <x v="9"/>
    <n v="-372411.53"/>
    <x v="0"/>
  </r>
  <r>
    <x v="0"/>
    <x v="0"/>
    <x v="0"/>
    <x v="0"/>
    <x v="0"/>
    <x v="1"/>
    <s v="21"/>
    <x v="0"/>
    <x v="8"/>
    <x v="6"/>
    <n v="203951.29"/>
    <x v="0"/>
  </r>
  <r>
    <x v="0"/>
    <x v="0"/>
    <x v="0"/>
    <x v="0"/>
    <x v="0"/>
    <x v="1"/>
    <s v="22"/>
    <x v="0"/>
    <x v="7"/>
    <x v="5"/>
    <n v="-13345250"/>
    <x v="0"/>
  </r>
  <r>
    <x v="0"/>
    <x v="0"/>
    <x v="0"/>
    <x v="0"/>
    <x v="0"/>
    <x v="1"/>
    <s v="21"/>
    <x v="0"/>
    <x v="8"/>
    <x v="2"/>
    <n v="37065.199999999997"/>
    <x v="0"/>
  </r>
  <r>
    <x v="0"/>
    <x v="0"/>
    <x v="0"/>
    <x v="0"/>
    <x v="0"/>
    <x v="1"/>
    <s v="22"/>
    <x v="0"/>
    <x v="7"/>
    <x v="10"/>
    <n v="-2197222"/>
    <x v="0"/>
  </r>
  <r>
    <x v="0"/>
    <x v="0"/>
    <x v="0"/>
    <x v="0"/>
    <x v="0"/>
    <x v="1"/>
    <s v="21"/>
    <x v="0"/>
    <x v="8"/>
    <x v="11"/>
    <n v="392"/>
    <x v="0"/>
  </r>
  <r>
    <x v="0"/>
    <x v="0"/>
    <x v="0"/>
    <x v="0"/>
    <x v="0"/>
    <x v="1"/>
    <s v="22"/>
    <x v="0"/>
    <x v="8"/>
    <x v="3"/>
    <n v="-5044404.79"/>
    <x v="0"/>
  </r>
  <r>
    <x v="0"/>
    <x v="0"/>
    <x v="0"/>
    <x v="0"/>
    <x v="0"/>
    <x v="1"/>
    <s v="22"/>
    <x v="0"/>
    <x v="7"/>
    <x v="11"/>
    <n v="-30250"/>
    <x v="0"/>
  </r>
  <r>
    <x v="0"/>
    <x v="0"/>
    <x v="0"/>
    <x v="0"/>
    <x v="0"/>
    <x v="1"/>
    <s v="22"/>
    <x v="0"/>
    <x v="8"/>
    <x v="5"/>
    <n v="-31491688"/>
    <x v="0"/>
  </r>
  <r>
    <x v="0"/>
    <x v="0"/>
    <x v="0"/>
    <x v="0"/>
    <x v="0"/>
    <x v="1"/>
    <s v="21"/>
    <x v="0"/>
    <x v="8"/>
    <x v="8"/>
    <n v="40991.550000000003"/>
    <x v="0"/>
  </r>
  <r>
    <x v="0"/>
    <x v="0"/>
    <x v="0"/>
    <x v="0"/>
    <x v="0"/>
    <x v="1"/>
    <s v="22"/>
    <x v="0"/>
    <x v="8"/>
    <x v="6"/>
    <n v="-200000"/>
    <x v="0"/>
  </r>
  <r>
    <x v="0"/>
    <x v="0"/>
    <x v="0"/>
    <x v="0"/>
    <x v="0"/>
    <x v="1"/>
    <s v="22"/>
    <x v="0"/>
    <x v="7"/>
    <x v="2"/>
    <n v="-12310000"/>
    <x v="0"/>
  </r>
  <r>
    <x v="0"/>
    <x v="0"/>
    <x v="0"/>
    <x v="0"/>
    <x v="0"/>
    <x v="1"/>
    <s v="22"/>
    <x v="0"/>
    <x v="8"/>
    <x v="7"/>
    <n v="-1540652"/>
    <x v="0"/>
  </r>
  <r>
    <x v="0"/>
    <x v="0"/>
    <x v="0"/>
    <x v="0"/>
    <x v="0"/>
    <x v="1"/>
    <s v="21"/>
    <x v="0"/>
    <x v="8"/>
    <x v="0"/>
    <n v="550814.54"/>
    <x v="0"/>
  </r>
  <r>
    <x v="0"/>
    <x v="0"/>
    <x v="0"/>
    <x v="0"/>
    <x v="0"/>
    <x v="1"/>
    <s v="22"/>
    <x v="0"/>
    <x v="8"/>
    <x v="0"/>
    <n v="-12184390.890000001"/>
    <x v="0"/>
  </r>
  <r>
    <x v="0"/>
    <x v="0"/>
    <x v="0"/>
    <x v="0"/>
    <x v="0"/>
    <x v="1"/>
    <s v="22"/>
    <x v="0"/>
    <x v="8"/>
    <x v="4"/>
    <n v="-20532042"/>
    <x v="0"/>
  </r>
  <r>
    <x v="0"/>
    <x v="0"/>
    <x v="0"/>
    <x v="0"/>
    <x v="0"/>
    <x v="1"/>
    <s v="22"/>
    <x v="0"/>
    <x v="8"/>
    <x v="2"/>
    <n v="-125711.7"/>
    <x v="0"/>
  </r>
  <r>
    <x v="0"/>
    <x v="0"/>
    <x v="0"/>
    <x v="0"/>
    <x v="0"/>
    <x v="1"/>
    <s v="22"/>
    <x v="0"/>
    <x v="7"/>
    <x v="4"/>
    <n v="-6007588.6100000003"/>
    <x v="0"/>
  </r>
  <r>
    <x v="0"/>
    <x v="0"/>
    <x v="0"/>
    <x v="0"/>
    <x v="0"/>
    <x v="1"/>
    <s v="88"/>
    <x v="0"/>
    <x v="7"/>
    <x v="3"/>
    <n v="-664822.93000000005"/>
    <x v="0"/>
  </r>
  <r>
    <x v="0"/>
    <x v="0"/>
    <x v="0"/>
    <x v="0"/>
    <x v="0"/>
    <x v="1"/>
    <s v="22"/>
    <x v="0"/>
    <x v="8"/>
    <x v="10"/>
    <n v="-345525.29"/>
    <x v="0"/>
  </r>
  <r>
    <x v="0"/>
    <x v="0"/>
    <x v="0"/>
    <x v="0"/>
    <x v="0"/>
    <x v="1"/>
    <s v="88"/>
    <x v="0"/>
    <x v="7"/>
    <x v="5"/>
    <n v="-46879.63"/>
    <x v="0"/>
  </r>
  <r>
    <x v="0"/>
    <x v="0"/>
    <x v="0"/>
    <x v="0"/>
    <x v="0"/>
    <x v="1"/>
    <s v="22"/>
    <x v="0"/>
    <x v="7"/>
    <x v="6"/>
    <n v="-50000"/>
    <x v="0"/>
  </r>
  <r>
    <x v="0"/>
    <x v="0"/>
    <x v="0"/>
    <x v="0"/>
    <x v="0"/>
    <x v="1"/>
    <s v="88"/>
    <x v="0"/>
    <x v="7"/>
    <x v="4"/>
    <n v="-50910.080000000002"/>
    <x v="0"/>
  </r>
  <r>
    <x v="0"/>
    <x v="0"/>
    <x v="0"/>
    <x v="0"/>
    <x v="0"/>
    <x v="1"/>
    <s v="22"/>
    <x v="0"/>
    <x v="8"/>
    <x v="8"/>
    <n v="-2163680.2200000002"/>
    <x v="0"/>
  </r>
  <r>
    <x v="0"/>
    <x v="0"/>
    <x v="0"/>
    <x v="0"/>
    <x v="0"/>
    <x v="1"/>
    <s v="88"/>
    <x v="0"/>
    <x v="7"/>
    <x v="2"/>
    <n v="-49764.86"/>
    <x v="0"/>
  </r>
  <r>
    <x v="0"/>
    <x v="0"/>
    <x v="0"/>
    <x v="0"/>
    <x v="0"/>
    <x v="1"/>
    <s v="22"/>
    <x v="0"/>
    <x v="7"/>
    <x v="8"/>
    <n v="-200"/>
    <x v="0"/>
  </r>
  <r>
    <x v="0"/>
    <x v="0"/>
    <x v="0"/>
    <x v="0"/>
    <x v="0"/>
    <x v="1"/>
    <s v="88"/>
    <x v="0"/>
    <x v="7"/>
    <x v="6"/>
    <n v="-39726.33"/>
    <x v="0"/>
  </r>
  <r>
    <x v="0"/>
    <x v="0"/>
    <x v="0"/>
    <x v="0"/>
    <x v="0"/>
    <x v="1"/>
    <s v="88"/>
    <x v="0"/>
    <x v="7"/>
    <x v="1"/>
    <n v="-47708.57"/>
    <x v="0"/>
  </r>
  <r>
    <x v="0"/>
    <x v="0"/>
    <x v="0"/>
    <x v="0"/>
    <x v="0"/>
    <x v="1"/>
    <s v="88"/>
    <x v="0"/>
    <x v="8"/>
    <x v="3"/>
    <n v="-19664.71"/>
    <x v="0"/>
  </r>
  <r>
    <x v="0"/>
    <x v="0"/>
    <x v="0"/>
    <x v="0"/>
    <x v="0"/>
    <x v="1"/>
    <s v="22"/>
    <x v="0"/>
    <x v="7"/>
    <x v="0"/>
    <n v="-24383663.5"/>
    <x v="0"/>
  </r>
  <r>
    <x v="0"/>
    <x v="0"/>
    <x v="0"/>
    <x v="0"/>
    <x v="0"/>
    <x v="1"/>
    <s v="88"/>
    <x v="0"/>
    <x v="7"/>
    <x v="11"/>
    <n v="-39046.58"/>
    <x v="0"/>
  </r>
  <r>
    <x v="0"/>
    <x v="0"/>
    <x v="0"/>
    <x v="0"/>
    <x v="0"/>
    <x v="1"/>
    <s v="88"/>
    <x v="0"/>
    <x v="7"/>
    <x v="9"/>
    <n v="-33179.15"/>
    <x v="0"/>
  </r>
  <r>
    <x v="0"/>
    <x v="0"/>
    <x v="0"/>
    <x v="0"/>
    <x v="0"/>
    <x v="1"/>
    <s v="88"/>
    <x v="0"/>
    <x v="8"/>
    <x v="4"/>
    <n v="-14924.54"/>
    <x v="0"/>
  </r>
  <r>
    <x v="0"/>
    <x v="0"/>
    <x v="0"/>
    <x v="0"/>
    <x v="0"/>
    <x v="1"/>
    <s v="22"/>
    <x v="0"/>
    <x v="8"/>
    <x v="1"/>
    <n v="-2251740"/>
    <x v="0"/>
  </r>
  <r>
    <x v="0"/>
    <x v="0"/>
    <x v="0"/>
    <x v="0"/>
    <x v="0"/>
    <x v="1"/>
    <s v="88"/>
    <x v="0"/>
    <x v="7"/>
    <x v="8"/>
    <n v="-14686.53"/>
    <x v="0"/>
  </r>
  <r>
    <x v="0"/>
    <x v="0"/>
    <x v="0"/>
    <x v="0"/>
    <x v="0"/>
    <x v="1"/>
    <s v="88"/>
    <x v="0"/>
    <x v="7"/>
    <x v="10"/>
    <n v="-34355.980000000003"/>
    <x v="0"/>
  </r>
  <r>
    <x v="0"/>
    <x v="0"/>
    <x v="0"/>
    <x v="0"/>
    <x v="0"/>
    <x v="1"/>
    <s v="88"/>
    <x v="0"/>
    <x v="8"/>
    <x v="6"/>
    <n v="-5972.65"/>
    <x v="0"/>
  </r>
  <r>
    <x v="0"/>
    <x v="0"/>
    <x v="0"/>
    <x v="0"/>
    <x v="0"/>
    <x v="1"/>
    <s v="22"/>
    <x v="0"/>
    <x v="8"/>
    <x v="9"/>
    <n v="-900000"/>
    <x v="0"/>
  </r>
  <r>
    <x v="0"/>
    <x v="0"/>
    <x v="0"/>
    <x v="0"/>
    <x v="0"/>
    <x v="1"/>
    <s v="88"/>
    <x v="0"/>
    <x v="7"/>
    <x v="0"/>
    <n v="1056816.49"/>
    <x v="0"/>
  </r>
  <r>
    <x v="0"/>
    <x v="0"/>
    <x v="0"/>
    <x v="0"/>
    <x v="0"/>
    <x v="1"/>
    <s v="88"/>
    <x v="0"/>
    <x v="8"/>
    <x v="5"/>
    <n v="-9278.2099999999991"/>
    <x v="0"/>
  </r>
  <r>
    <x v="0"/>
    <x v="0"/>
    <x v="0"/>
    <x v="0"/>
    <x v="0"/>
    <x v="1"/>
    <s v="88"/>
    <x v="0"/>
    <x v="8"/>
    <x v="8"/>
    <n v="21747.73"/>
    <x v="0"/>
  </r>
  <r>
    <x v="0"/>
    <x v="0"/>
    <x v="0"/>
    <x v="0"/>
    <x v="0"/>
    <x v="1"/>
    <s v="88"/>
    <x v="0"/>
    <x v="7"/>
    <x v="7"/>
    <n v="-35735.85"/>
    <x v="0"/>
  </r>
  <r>
    <x v="0"/>
    <x v="0"/>
    <x v="0"/>
    <x v="0"/>
    <x v="0"/>
    <x v="1"/>
    <s v="88"/>
    <x v="0"/>
    <x v="8"/>
    <x v="1"/>
    <n v="-12572.8"/>
    <x v="0"/>
  </r>
  <r>
    <x v="0"/>
    <x v="0"/>
    <x v="0"/>
    <x v="0"/>
    <x v="0"/>
    <x v="1"/>
    <s v="88"/>
    <x v="0"/>
    <x v="8"/>
    <x v="7"/>
    <n v="9084.34"/>
    <x v="0"/>
  </r>
  <r>
    <x v="0"/>
    <x v="0"/>
    <x v="0"/>
    <x v="0"/>
    <x v="0"/>
    <x v="1"/>
    <s v="88"/>
    <x v="0"/>
    <x v="8"/>
    <x v="0"/>
    <n v="99392.89"/>
    <x v="0"/>
  </r>
  <r>
    <x v="0"/>
    <x v="0"/>
    <x v="4"/>
    <x v="0"/>
    <x v="0"/>
    <x v="0"/>
    <s v="20"/>
    <x v="0"/>
    <x v="6"/>
    <x v="8"/>
    <n v="0"/>
    <x v="0"/>
  </r>
  <r>
    <x v="0"/>
    <x v="0"/>
    <x v="4"/>
    <x v="0"/>
    <x v="0"/>
    <x v="0"/>
    <s v="24"/>
    <x v="0"/>
    <x v="5"/>
    <x v="4"/>
    <n v="35366345.710000001"/>
    <x v="0"/>
  </r>
  <r>
    <x v="0"/>
    <x v="0"/>
    <x v="4"/>
    <x v="0"/>
    <x v="0"/>
    <x v="0"/>
    <s v="20"/>
    <x v="0"/>
    <x v="6"/>
    <x v="1"/>
    <n v="-77527.27"/>
    <x v="0"/>
  </r>
  <r>
    <x v="0"/>
    <x v="0"/>
    <x v="4"/>
    <x v="0"/>
    <x v="0"/>
    <x v="0"/>
    <s v="20"/>
    <x v="0"/>
    <x v="5"/>
    <x v="7"/>
    <n v="0"/>
    <x v="0"/>
  </r>
  <r>
    <x v="0"/>
    <x v="0"/>
    <x v="4"/>
    <x v="0"/>
    <x v="0"/>
    <x v="0"/>
    <s v="24"/>
    <x v="0"/>
    <x v="5"/>
    <x v="7"/>
    <n v="-4871459.03"/>
    <x v="0"/>
  </r>
  <r>
    <x v="0"/>
    <x v="0"/>
    <x v="4"/>
    <x v="0"/>
    <x v="0"/>
    <x v="0"/>
    <s v="24"/>
    <x v="0"/>
    <x v="5"/>
    <x v="6"/>
    <n v="35281471.880000003"/>
    <x v="0"/>
  </r>
  <r>
    <x v="0"/>
    <x v="0"/>
    <x v="4"/>
    <x v="0"/>
    <x v="0"/>
    <x v="0"/>
    <s v="24"/>
    <x v="0"/>
    <x v="5"/>
    <x v="5"/>
    <n v="-414822.37"/>
    <x v="0"/>
  </r>
  <r>
    <x v="0"/>
    <x v="0"/>
    <x v="4"/>
    <x v="0"/>
    <x v="0"/>
    <x v="0"/>
    <s v="20"/>
    <x v="0"/>
    <x v="6"/>
    <x v="4"/>
    <n v="77527.27"/>
    <x v="0"/>
  </r>
  <r>
    <x v="0"/>
    <x v="0"/>
    <x v="4"/>
    <x v="0"/>
    <x v="0"/>
    <x v="0"/>
    <s v="24"/>
    <x v="0"/>
    <x v="6"/>
    <x v="3"/>
    <n v="2729234.07"/>
    <x v="0"/>
  </r>
  <r>
    <x v="0"/>
    <x v="0"/>
    <x v="4"/>
    <x v="0"/>
    <x v="0"/>
    <x v="0"/>
    <s v="24"/>
    <x v="0"/>
    <x v="5"/>
    <x v="11"/>
    <n v="19022630.140000001"/>
    <x v="0"/>
  </r>
  <r>
    <x v="0"/>
    <x v="0"/>
    <x v="4"/>
    <x v="0"/>
    <x v="0"/>
    <x v="0"/>
    <s v="24"/>
    <x v="0"/>
    <x v="5"/>
    <x v="2"/>
    <n v="-26599.5"/>
    <x v="0"/>
  </r>
  <r>
    <x v="0"/>
    <x v="0"/>
    <x v="4"/>
    <x v="0"/>
    <x v="0"/>
    <x v="0"/>
    <s v="20"/>
    <x v="0"/>
    <x v="6"/>
    <x v="0"/>
    <n v="39202.370000000003"/>
    <x v="0"/>
  </r>
  <r>
    <x v="0"/>
    <x v="0"/>
    <x v="4"/>
    <x v="0"/>
    <x v="0"/>
    <x v="0"/>
    <s v="24"/>
    <x v="0"/>
    <x v="6"/>
    <x v="6"/>
    <n v="31863241.66"/>
    <x v="0"/>
  </r>
  <r>
    <x v="0"/>
    <x v="0"/>
    <x v="4"/>
    <x v="0"/>
    <x v="0"/>
    <x v="0"/>
    <s v="24"/>
    <x v="0"/>
    <x v="5"/>
    <x v="8"/>
    <n v="-498657.51"/>
    <x v="0"/>
  </r>
  <r>
    <x v="0"/>
    <x v="0"/>
    <x v="4"/>
    <x v="0"/>
    <x v="0"/>
    <x v="0"/>
    <s v="24"/>
    <x v="0"/>
    <x v="6"/>
    <x v="4"/>
    <n v="31947332.07"/>
    <x v="0"/>
  </r>
  <r>
    <x v="0"/>
    <x v="0"/>
    <x v="4"/>
    <x v="0"/>
    <x v="0"/>
    <x v="0"/>
    <s v="24"/>
    <x v="0"/>
    <x v="5"/>
    <x v="1"/>
    <n v="-3786924.42"/>
    <x v="0"/>
  </r>
  <r>
    <x v="0"/>
    <x v="0"/>
    <x v="4"/>
    <x v="0"/>
    <x v="0"/>
    <x v="0"/>
    <s v="24"/>
    <x v="0"/>
    <x v="6"/>
    <x v="11"/>
    <n v="18137859.920000002"/>
    <x v="0"/>
  </r>
  <r>
    <x v="0"/>
    <x v="0"/>
    <x v="4"/>
    <x v="0"/>
    <x v="0"/>
    <x v="0"/>
    <s v="24"/>
    <x v="0"/>
    <x v="5"/>
    <x v="0"/>
    <n v="246597.37"/>
    <x v="0"/>
  </r>
  <r>
    <x v="0"/>
    <x v="0"/>
    <x v="4"/>
    <x v="0"/>
    <x v="0"/>
    <x v="0"/>
    <s v="24"/>
    <x v="0"/>
    <x v="6"/>
    <x v="10"/>
    <n v="9439735.4399999995"/>
    <x v="0"/>
  </r>
  <r>
    <x v="0"/>
    <x v="0"/>
    <x v="4"/>
    <x v="0"/>
    <x v="0"/>
    <x v="0"/>
    <s v="24"/>
    <x v="0"/>
    <x v="5"/>
    <x v="9"/>
    <n v="607944.67000000004"/>
    <x v="0"/>
  </r>
  <r>
    <x v="0"/>
    <x v="0"/>
    <x v="4"/>
    <x v="0"/>
    <x v="0"/>
    <x v="0"/>
    <s v="24"/>
    <x v="0"/>
    <x v="6"/>
    <x v="0"/>
    <n v="-189031.86"/>
    <x v="0"/>
  </r>
  <r>
    <x v="0"/>
    <x v="0"/>
    <x v="4"/>
    <x v="0"/>
    <x v="0"/>
    <x v="0"/>
    <s v="24"/>
    <x v="0"/>
    <x v="6"/>
    <x v="1"/>
    <n v="-2121158.56"/>
    <x v="0"/>
  </r>
  <r>
    <x v="0"/>
    <x v="0"/>
    <x v="4"/>
    <x v="0"/>
    <x v="0"/>
    <x v="0"/>
    <s v="24"/>
    <x v="0"/>
    <x v="6"/>
    <x v="8"/>
    <n v="-467046.59"/>
    <x v="0"/>
  </r>
  <r>
    <x v="0"/>
    <x v="0"/>
    <x v="4"/>
    <x v="0"/>
    <x v="0"/>
    <x v="0"/>
    <s v="24"/>
    <x v="0"/>
    <x v="5"/>
    <x v="10"/>
    <n v="9931702.4399999995"/>
    <x v="0"/>
  </r>
  <r>
    <x v="0"/>
    <x v="0"/>
    <x v="4"/>
    <x v="0"/>
    <x v="0"/>
    <x v="0"/>
    <s v="99"/>
    <x v="0"/>
    <x v="5"/>
    <x v="8"/>
    <n v="64074.58"/>
    <x v="0"/>
  </r>
  <r>
    <x v="0"/>
    <x v="0"/>
    <x v="4"/>
    <x v="0"/>
    <x v="0"/>
    <x v="0"/>
    <s v="24"/>
    <x v="0"/>
    <x v="6"/>
    <x v="9"/>
    <n v="1903403.55"/>
    <x v="0"/>
  </r>
  <r>
    <x v="0"/>
    <x v="0"/>
    <x v="4"/>
    <x v="0"/>
    <x v="0"/>
    <x v="1"/>
    <s v="22"/>
    <x v="0"/>
    <x v="5"/>
    <x v="7"/>
    <n v="-797364.35"/>
    <x v="0"/>
  </r>
  <r>
    <x v="0"/>
    <x v="0"/>
    <x v="4"/>
    <x v="0"/>
    <x v="0"/>
    <x v="0"/>
    <s v="24"/>
    <x v="0"/>
    <x v="6"/>
    <x v="5"/>
    <n v="-400822.93"/>
    <x v="0"/>
  </r>
  <r>
    <x v="0"/>
    <x v="0"/>
    <x v="4"/>
    <x v="0"/>
    <x v="0"/>
    <x v="1"/>
    <s v="21"/>
    <x v="0"/>
    <x v="5"/>
    <x v="11"/>
    <n v="304398"/>
    <x v="0"/>
  </r>
  <r>
    <x v="0"/>
    <x v="0"/>
    <x v="4"/>
    <x v="0"/>
    <x v="0"/>
    <x v="0"/>
    <s v="99"/>
    <x v="0"/>
    <x v="6"/>
    <x v="2"/>
    <n v="34.43"/>
    <x v="0"/>
  </r>
  <r>
    <x v="0"/>
    <x v="0"/>
    <x v="4"/>
    <x v="0"/>
    <x v="0"/>
    <x v="1"/>
    <s v="22"/>
    <x v="0"/>
    <x v="6"/>
    <x v="11"/>
    <n v="-174500"/>
    <x v="0"/>
  </r>
  <r>
    <x v="0"/>
    <x v="0"/>
    <x v="4"/>
    <x v="0"/>
    <x v="0"/>
    <x v="0"/>
    <s v="24"/>
    <x v="0"/>
    <x v="6"/>
    <x v="7"/>
    <n v="-4441077.49"/>
    <x v="0"/>
  </r>
  <r>
    <x v="0"/>
    <x v="0"/>
    <x v="4"/>
    <x v="0"/>
    <x v="0"/>
    <x v="1"/>
    <s v="21"/>
    <x v="0"/>
    <x v="5"/>
    <x v="0"/>
    <n v="251861.43"/>
    <x v="0"/>
  </r>
  <r>
    <x v="0"/>
    <x v="0"/>
    <x v="4"/>
    <x v="0"/>
    <x v="0"/>
    <x v="1"/>
    <s v="21"/>
    <x v="0"/>
    <x v="5"/>
    <x v="9"/>
    <n v="28750"/>
    <x v="0"/>
  </r>
  <r>
    <x v="0"/>
    <x v="0"/>
    <x v="4"/>
    <x v="0"/>
    <x v="0"/>
    <x v="1"/>
    <s v="22"/>
    <x v="0"/>
    <x v="6"/>
    <x v="0"/>
    <n v="-7159038.3200000003"/>
    <x v="0"/>
  </r>
  <r>
    <x v="0"/>
    <x v="0"/>
    <x v="4"/>
    <x v="0"/>
    <x v="0"/>
    <x v="0"/>
    <s v="24"/>
    <x v="0"/>
    <x v="6"/>
    <x v="2"/>
    <n v="104791.09"/>
    <x v="0"/>
  </r>
  <r>
    <x v="0"/>
    <x v="0"/>
    <x v="4"/>
    <x v="0"/>
    <x v="0"/>
    <x v="1"/>
    <s v="22"/>
    <x v="0"/>
    <x v="5"/>
    <x v="9"/>
    <n v="-28750"/>
    <x v="0"/>
  </r>
  <r>
    <x v="0"/>
    <x v="0"/>
    <x v="4"/>
    <x v="0"/>
    <x v="0"/>
    <x v="1"/>
    <s v="21"/>
    <x v="0"/>
    <x v="6"/>
    <x v="5"/>
    <n v="780876.62"/>
    <x v="0"/>
  </r>
  <r>
    <x v="0"/>
    <x v="0"/>
    <x v="4"/>
    <x v="0"/>
    <x v="0"/>
    <x v="0"/>
    <s v="99"/>
    <x v="0"/>
    <x v="6"/>
    <x v="0"/>
    <n v="-34.43"/>
    <x v="0"/>
  </r>
  <r>
    <x v="0"/>
    <x v="0"/>
    <x v="4"/>
    <x v="0"/>
    <x v="0"/>
    <x v="1"/>
    <s v="22"/>
    <x v="0"/>
    <x v="6"/>
    <x v="5"/>
    <n v="-221581.58"/>
    <x v="0"/>
  </r>
  <r>
    <x v="0"/>
    <x v="0"/>
    <x v="4"/>
    <x v="0"/>
    <x v="0"/>
    <x v="1"/>
    <s v="22"/>
    <x v="0"/>
    <x v="5"/>
    <x v="5"/>
    <n v="-698244.74"/>
    <x v="0"/>
  </r>
  <r>
    <x v="0"/>
    <x v="0"/>
    <x v="4"/>
    <x v="0"/>
    <x v="0"/>
    <x v="1"/>
    <s v="21"/>
    <x v="0"/>
    <x v="5"/>
    <x v="5"/>
    <n v="94917.3"/>
    <x v="0"/>
  </r>
  <r>
    <x v="0"/>
    <x v="0"/>
    <x v="4"/>
    <x v="0"/>
    <x v="0"/>
    <x v="1"/>
    <s v="22"/>
    <x v="0"/>
    <x v="6"/>
    <x v="7"/>
    <n v="-358694.26"/>
    <x v="0"/>
  </r>
  <r>
    <x v="0"/>
    <x v="0"/>
    <x v="4"/>
    <x v="0"/>
    <x v="0"/>
    <x v="1"/>
    <s v="22"/>
    <x v="0"/>
    <x v="6"/>
    <x v="4"/>
    <n v="-29200"/>
    <x v="0"/>
  </r>
  <r>
    <x v="0"/>
    <x v="0"/>
    <x v="4"/>
    <x v="0"/>
    <x v="0"/>
    <x v="1"/>
    <s v="21"/>
    <x v="0"/>
    <x v="6"/>
    <x v="11"/>
    <n v="414659"/>
    <x v="0"/>
  </r>
  <r>
    <x v="0"/>
    <x v="0"/>
    <x v="4"/>
    <x v="0"/>
    <x v="0"/>
    <x v="1"/>
    <s v="22"/>
    <x v="0"/>
    <x v="6"/>
    <x v="8"/>
    <n v="-32557.02"/>
    <x v="0"/>
  </r>
  <r>
    <x v="0"/>
    <x v="0"/>
    <x v="4"/>
    <x v="0"/>
    <x v="0"/>
    <x v="1"/>
    <s v="21"/>
    <x v="0"/>
    <x v="6"/>
    <x v="0"/>
    <n v="32332342.530000001"/>
    <x v="0"/>
  </r>
  <r>
    <x v="0"/>
    <x v="0"/>
    <x v="4"/>
    <x v="0"/>
    <x v="0"/>
    <x v="1"/>
    <s v="22"/>
    <x v="0"/>
    <x v="5"/>
    <x v="4"/>
    <n v="-115200"/>
    <x v="0"/>
  </r>
  <r>
    <x v="0"/>
    <x v="0"/>
    <x v="4"/>
    <x v="0"/>
    <x v="0"/>
    <x v="1"/>
    <s v="22"/>
    <x v="0"/>
    <x v="5"/>
    <x v="8"/>
    <n v="-216673.79"/>
    <x v="0"/>
  </r>
  <r>
    <x v="0"/>
    <x v="0"/>
    <x v="4"/>
    <x v="0"/>
    <x v="0"/>
    <x v="1"/>
    <s v="22"/>
    <x v="0"/>
    <x v="5"/>
    <x v="0"/>
    <n v="-544826.75"/>
    <x v="0"/>
  </r>
  <r>
    <x v="0"/>
    <x v="0"/>
    <x v="3"/>
    <x v="0"/>
    <x v="0"/>
    <x v="0"/>
    <s v="01"/>
    <x v="0"/>
    <x v="5"/>
    <x v="9"/>
    <n v="131233.69"/>
    <x v="0"/>
  </r>
  <r>
    <x v="0"/>
    <x v="0"/>
    <x v="3"/>
    <x v="0"/>
    <x v="0"/>
    <x v="0"/>
    <s v="01"/>
    <x v="0"/>
    <x v="5"/>
    <x v="10"/>
    <n v="59106.51"/>
    <x v="0"/>
  </r>
  <r>
    <x v="0"/>
    <x v="0"/>
    <x v="3"/>
    <x v="0"/>
    <x v="0"/>
    <x v="5"/>
    <s v="84"/>
    <x v="0"/>
    <x v="6"/>
    <x v="5"/>
    <n v="11198"/>
    <x v="2"/>
  </r>
  <r>
    <x v="0"/>
    <x v="0"/>
    <x v="3"/>
    <x v="0"/>
    <x v="0"/>
    <x v="0"/>
    <s v="01"/>
    <x v="0"/>
    <x v="5"/>
    <x v="5"/>
    <n v="40714.65"/>
    <x v="0"/>
  </r>
  <r>
    <x v="0"/>
    <x v="0"/>
    <x v="3"/>
    <x v="0"/>
    <x v="0"/>
    <x v="0"/>
    <s v="01"/>
    <x v="0"/>
    <x v="6"/>
    <x v="5"/>
    <n v="65275.360000000001"/>
    <x v="0"/>
  </r>
  <r>
    <x v="0"/>
    <x v="0"/>
    <x v="3"/>
    <x v="0"/>
    <x v="0"/>
    <x v="0"/>
    <s v="01"/>
    <x v="0"/>
    <x v="5"/>
    <x v="3"/>
    <n v="27665.94"/>
    <x v="0"/>
  </r>
  <r>
    <x v="0"/>
    <x v="0"/>
    <x v="3"/>
    <x v="0"/>
    <x v="0"/>
    <x v="0"/>
    <s v="01"/>
    <x v="0"/>
    <x v="5"/>
    <x v="7"/>
    <n v="166862.85"/>
    <x v="0"/>
  </r>
  <r>
    <x v="0"/>
    <x v="0"/>
    <x v="3"/>
    <x v="0"/>
    <x v="0"/>
    <x v="0"/>
    <s v="01"/>
    <x v="0"/>
    <x v="6"/>
    <x v="7"/>
    <n v="263.39999999999998"/>
    <x v="0"/>
  </r>
  <r>
    <x v="0"/>
    <x v="0"/>
    <x v="3"/>
    <x v="0"/>
    <x v="0"/>
    <x v="0"/>
    <s v="01"/>
    <x v="0"/>
    <x v="5"/>
    <x v="4"/>
    <n v="59838.8"/>
    <x v="0"/>
  </r>
  <r>
    <x v="0"/>
    <x v="0"/>
    <x v="3"/>
    <x v="0"/>
    <x v="0"/>
    <x v="5"/>
    <s v="84"/>
    <x v="0"/>
    <x v="6"/>
    <x v="6"/>
    <n v="-11198"/>
    <x v="2"/>
  </r>
  <r>
    <x v="0"/>
    <x v="0"/>
    <x v="3"/>
    <x v="0"/>
    <x v="0"/>
    <x v="0"/>
    <s v="01"/>
    <x v="0"/>
    <x v="5"/>
    <x v="2"/>
    <n v="51535.78"/>
    <x v="0"/>
  </r>
  <r>
    <x v="0"/>
    <x v="0"/>
    <x v="3"/>
    <x v="0"/>
    <x v="0"/>
    <x v="0"/>
    <s v="05"/>
    <x v="0"/>
    <x v="6"/>
    <x v="5"/>
    <n v="-22.44"/>
    <x v="0"/>
  </r>
  <r>
    <x v="0"/>
    <x v="0"/>
    <x v="3"/>
    <x v="0"/>
    <x v="0"/>
    <x v="0"/>
    <s v="01"/>
    <x v="0"/>
    <x v="5"/>
    <x v="6"/>
    <n v="58381.440000000002"/>
    <x v="0"/>
  </r>
  <r>
    <x v="0"/>
    <x v="0"/>
    <x v="3"/>
    <x v="0"/>
    <x v="0"/>
    <x v="0"/>
    <s v="01"/>
    <x v="0"/>
    <x v="5"/>
    <x v="1"/>
    <n v="90576.25"/>
    <x v="0"/>
  </r>
  <r>
    <x v="0"/>
    <x v="0"/>
    <x v="3"/>
    <x v="0"/>
    <x v="0"/>
    <x v="0"/>
    <s v="01"/>
    <x v="0"/>
    <x v="6"/>
    <x v="3"/>
    <n v="16629.95"/>
    <x v="0"/>
  </r>
  <r>
    <x v="0"/>
    <x v="0"/>
    <x v="3"/>
    <x v="0"/>
    <x v="0"/>
    <x v="0"/>
    <s v="09"/>
    <x v="0"/>
    <x v="5"/>
    <x v="3"/>
    <n v="200.42"/>
    <x v="0"/>
  </r>
  <r>
    <x v="0"/>
    <x v="0"/>
    <x v="3"/>
    <x v="0"/>
    <x v="0"/>
    <x v="0"/>
    <s v="01"/>
    <x v="0"/>
    <x v="5"/>
    <x v="11"/>
    <n v="58671.94"/>
    <x v="0"/>
  </r>
  <r>
    <x v="0"/>
    <x v="0"/>
    <x v="3"/>
    <x v="0"/>
    <x v="0"/>
    <x v="0"/>
    <s v="01"/>
    <x v="0"/>
    <x v="6"/>
    <x v="11"/>
    <n v="263386.32"/>
    <x v="0"/>
  </r>
  <r>
    <x v="0"/>
    <x v="0"/>
    <x v="3"/>
    <x v="0"/>
    <x v="0"/>
    <x v="0"/>
    <s v="01"/>
    <x v="0"/>
    <x v="6"/>
    <x v="4"/>
    <n v="40099.08"/>
    <x v="0"/>
  </r>
  <r>
    <x v="0"/>
    <x v="0"/>
    <x v="3"/>
    <x v="0"/>
    <x v="0"/>
    <x v="0"/>
    <s v="09"/>
    <x v="0"/>
    <x v="5"/>
    <x v="4"/>
    <n v="7367.92"/>
    <x v="0"/>
  </r>
  <r>
    <x v="0"/>
    <x v="0"/>
    <x v="3"/>
    <x v="0"/>
    <x v="0"/>
    <x v="0"/>
    <s v="01"/>
    <x v="0"/>
    <x v="5"/>
    <x v="8"/>
    <n v="103930.92"/>
    <x v="0"/>
  </r>
  <r>
    <x v="0"/>
    <x v="0"/>
    <x v="3"/>
    <x v="0"/>
    <x v="0"/>
    <x v="0"/>
    <s v="01"/>
    <x v="0"/>
    <x v="6"/>
    <x v="2"/>
    <n v="20733.71"/>
    <x v="0"/>
  </r>
  <r>
    <x v="0"/>
    <x v="0"/>
    <x v="3"/>
    <x v="0"/>
    <x v="0"/>
    <x v="0"/>
    <s v="01"/>
    <x v="0"/>
    <x v="6"/>
    <x v="6"/>
    <n v="52449.68"/>
    <x v="0"/>
  </r>
  <r>
    <x v="0"/>
    <x v="0"/>
    <x v="3"/>
    <x v="0"/>
    <x v="0"/>
    <x v="0"/>
    <s v="09"/>
    <x v="0"/>
    <x v="5"/>
    <x v="6"/>
    <n v="7698.67"/>
    <x v="0"/>
  </r>
  <r>
    <x v="0"/>
    <x v="0"/>
    <x v="3"/>
    <x v="0"/>
    <x v="0"/>
    <x v="0"/>
    <s v="01"/>
    <x v="0"/>
    <x v="5"/>
    <x v="0"/>
    <n v="626770.43000000005"/>
    <x v="0"/>
  </r>
  <r>
    <x v="0"/>
    <x v="0"/>
    <x v="3"/>
    <x v="0"/>
    <x v="0"/>
    <x v="0"/>
    <s v="05"/>
    <x v="0"/>
    <x v="5"/>
    <x v="1"/>
    <n v="70"/>
    <x v="0"/>
  </r>
  <r>
    <x v="0"/>
    <x v="0"/>
    <x v="3"/>
    <x v="0"/>
    <x v="0"/>
    <x v="0"/>
    <s v="01"/>
    <x v="0"/>
    <x v="6"/>
    <x v="8"/>
    <n v="6056.05"/>
    <x v="0"/>
  </r>
  <r>
    <x v="0"/>
    <x v="0"/>
    <x v="3"/>
    <x v="0"/>
    <x v="0"/>
    <x v="0"/>
    <s v="09"/>
    <x v="0"/>
    <x v="5"/>
    <x v="11"/>
    <n v="7586.4"/>
    <x v="0"/>
  </r>
  <r>
    <x v="0"/>
    <x v="0"/>
    <x v="3"/>
    <x v="0"/>
    <x v="0"/>
    <x v="0"/>
    <s v="01"/>
    <x v="0"/>
    <x v="6"/>
    <x v="1"/>
    <n v="15389.39"/>
    <x v="0"/>
  </r>
  <r>
    <x v="0"/>
    <x v="0"/>
    <x v="3"/>
    <x v="0"/>
    <x v="0"/>
    <x v="0"/>
    <s v="05"/>
    <x v="0"/>
    <x v="6"/>
    <x v="2"/>
    <n v="22.44"/>
    <x v="0"/>
  </r>
  <r>
    <x v="0"/>
    <x v="0"/>
    <x v="3"/>
    <x v="0"/>
    <x v="0"/>
    <x v="0"/>
    <s v="01"/>
    <x v="0"/>
    <x v="6"/>
    <x v="0"/>
    <n v="392794.72"/>
    <x v="0"/>
  </r>
  <r>
    <x v="0"/>
    <x v="0"/>
    <x v="3"/>
    <x v="0"/>
    <x v="0"/>
    <x v="0"/>
    <s v="09"/>
    <x v="0"/>
    <x v="5"/>
    <x v="8"/>
    <n v="236.84"/>
    <x v="0"/>
  </r>
  <r>
    <x v="0"/>
    <x v="0"/>
    <x v="3"/>
    <x v="0"/>
    <x v="0"/>
    <x v="0"/>
    <s v="01"/>
    <x v="0"/>
    <x v="6"/>
    <x v="9"/>
    <n v="14757.02"/>
    <x v="0"/>
  </r>
  <r>
    <x v="0"/>
    <x v="0"/>
    <x v="3"/>
    <x v="0"/>
    <x v="0"/>
    <x v="0"/>
    <s v="09"/>
    <x v="0"/>
    <x v="5"/>
    <x v="9"/>
    <n v="385.53"/>
    <x v="0"/>
  </r>
  <r>
    <x v="0"/>
    <x v="0"/>
    <x v="3"/>
    <x v="0"/>
    <x v="0"/>
    <x v="0"/>
    <s v="05"/>
    <x v="0"/>
    <x v="5"/>
    <x v="5"/>
    <n v="70"/>
    <x v="0"/>
  </r>
  <r>
    <x v="0"/>
    <x v="0"/>
    <x v="3"/>
    <x v="0"/>
    <x v="0"/>
    <x v="0"/>
    <s v="09"/>
    <x v="0"/>
    <x v="5"/>
    <x v="0"/>
    <n v="183892.92"/>
    <x v="0"/>
  </r>
  <r>
    <x v="0"/>
    <x v="0"/>
    <x v="3"/>
    <x v="0"/>
    <x v="0"/>
    <x v="0"/>
    <s v="01"/>
    <x v="0"/>
    <x v="6"/>
    <x v="10"/>
    <n v="4919.6000000000004"/>
    <x v="0"/>
  </r>
  <r>
    <x v="0"/>
    <x v="0"/>
    <x v="3"/>
    <x v="0"/>
    <x v="0"/>
    <x v="0"/>
    <s v="09"/>
    <x v="0"/>
    <x v="5"/>
    <x v="10"/>
    <n v="7508.29"/>
    <x v="0"/>
  </r>
  <r>
    <x v="0"/>
    <x v="0"/>
    <x v="3"/>
    <x v="0"/>
    <x v="0"/>
    <x v="0"/>
    <s v="09"/>
    <x v="0"/>
    <x v="5"/>
    <x v="1"/>
    <n v="1015.73"/>
    <x v="0"/>
  </r>
  <r>
    <x v="0"/>
    <x v="0"/>
    <x v="3"/>
    <x v="0"/>
    <x v="0"/>
    <x v="0"/>
    <s v="09"/>
    <x v="0"/>
    <x v="6"/>
    <x v="1"/>
    <n v="151.5"/>
    <x v="0"/>
  </r>
  <r>
    <x v="0"/>
    <x v="0"/>
    <x v="3"/>
    <x v="0"/>
    <x v="0"/>
    <x v="0"/>
    <s v="05"/>
    <x v="0"/>
    <x v="5"/>
    <x v="0"/>
    <n v="-70"/>
    <x v="0"/>
  </r>
  <r>
    <x v="0"/>
    <x v="0"/>
    <x v="3"/>
    <x v="0"/>
    <x v="0"/>
    <x v="0"/>
    <s v="09"/>
    <x v="0"/>
    <x v="6"/>
    <x v="5"/>
    <n v="16304.64"/>
    <x v="0"/>
  </r>
  <r>
    <x v="0"/>
    <x v="0"/>
    <x v="3"/>
    <x v="0"/>
    <x v="0"/>
    <x v="0"/>
    <s v="09"/>
    <x v="0"/>
    <x v="6"/>
    <x v="11"/>
    <n v="6858.79"/>
    <x v="0"/>
  </r>
  <r>
    <x v="0"/>
    <x v="0"/>
    <x v="3"/>
    <x v="0"/>
    <x v="0"/>
    <x v="0"/>
    <s v="09"/>
    <x v="0"/>
    <x v="6"/>
    <x v="9"/>
    <n v="4721"/>
    <x v="0"/>
  </r>
  <r>
    <x v="0"/>
    <x v="0"/>
    <x v="3"/>
    <x v="0"/>
    <x v="0"/>
    <x v="0"/>
    <s v="09"/>
    <x v="0"/>
    <x v="5"/>
    <x v="7"/>
    <n v="3321.66"/>
    <x v="0"/>
  </r>
  <r>
    <x v="0"/>
    <x v="0"/>
    <x v="3"/>
    <x v="0"/>
    <x v="0"/>
    <x v="0"/>
    <s v="09"/>
    <x v="0"/>
    <x v="6"/>
    <x v="7"/>
    <n v="24031.97"/>
    <x v="0"/>
  </r>
  <r>
    <x v="0"/>
    <x v="0"/>
    <x v="3"/>
    <x v="0"/>
    <x v="0"/>
    <x v="0"/>
    <s v="09"/>
    <x v="0"/>
    <x v="6"/>
    <x v="2"/>
    <n v="5537.7"/>
    <x v="0"/>
  </r>
  <r>
    <x v="0"/>
    <x v="0"/>
    <x v="3"/>
    <x v="0"/>
    <x v="0"/>
    <x v="0"/>
    <s v="09"/>
    <x v="0"/>
    <x v="6"/>
    <x v="10"/>
    <n v="9679.34"/>
    <x v="0"/>
  </r>
  <r>
    <x v="0"/>
    <x v="0"/>
    <x v="3"/>
    <x v="0"/>
    <x v="0"/>
    <x v="0"/>
    <s v="09"/>
    <x v="0"/>
    <x v="5"/>
    <x v="2"/>
    <n v="8292.2199999999993"/>
    <x v="0"/>
  </r>
  <r>
    <x v="0"/>
    <x v="0"/>
    <x v="3"/>
    <x v="0"/>
    <x v="0"/>
    <x v="0"/>
    <s v="20"/>
    <x v="0"/>
    <x v="6"/>
    <x v="5"/>
    <n v="1072.4000000000001"/>
    <x v="0"/>
  </r>
  <r>
    <x v="0"/>
    <x v="0"/>
    <x v="3"/>
    <x v="0"/>
    <x v="0"/>
    <x v="0"/>
    <s v="20"/>
    <x v="0"/>
    <x v="5"/>
    <x v="5"/>
    <n v="1285.2"/>
    <x v="0"/>
  </r>
  <r>
    <x v="0"/>
    <x v="0"/>
    <x v="3"/>
    <x v="0"/>
    <x v="0"/>
    <x v="0"/>
    <s v="16"/>
    <x v="0"/>
    <x v="5"/>
    <x v="3"/>
    <n v="500"/>
    <x v="0"/>
  </r>
  <r>
    <x v="0"/>
    <x v="0"/>
    <x v="3"/>
    <x v="0"/>
    <x v="0"/>
    <x v="0"/>
    <s v="09"/>
    <x v="0"/>
    <x v="6"/>
    <x v="3"/>
    <n v="826.6"/>
    <x v="0"/>
  </r>
  <r>
    <x v="0"/>
    <x v="0"/>
    <x v="3"/>
    <x v="0"/>
    <x v="0"/>
    <x v="0"/>
    <s v="20"/>
    <x v="0"/>
    <x v="6"/>
    <x v="2"/>
    <n v="-1241.3"/>
    <x v="0"/>
  </r>
  <r>
    <x v="0"/>
    <x v="0"/>
    <x v="3"/>
    <x v="0"/>
    <x v="0"/>
    <x v="0"/>
    <s v="20"/>
    <x v="0"/>
    <x v="6"/>
    <x v="6"/>
    <n v="-14.4"/>
    <x v="0"/>
  </r>
  <r>
    <x v="0"/>
    <x v="0"/>
    <x v="3"/>
    <x v="0"/>
    <x v="0"/>
    <x v="0"/>
    <s v="16"/>
    <x v="0"/>
    <x v="5"/>
    <x v="6"/>
    <n v="-500"/>
    <x v="0"/>
  </r>
  <r>
    <x v="0"/>
    <x v="0"/>
    <x v="3"/>
    <x v="0"/>
    <x v="0"/>
    <x v="0"/>
    <s v="09"/>
    <x v="0"/>
    <x v="6"/>
    <x v="4"/>
    <n v="739.02"/>
    <x v="0"/>
  </r>
  <r>
    <x v="0"/>
    <x v="0"/>
    <x v="3"/>
    <x v="0"/>
    <x v="0"/>
    <x v="0"/>
    <s v="23"/>
    <x v="0"/>
    <x v="5"/>
    <x v="4"/>
    <n v="60"/>
    <x v="0"/>
  </r>
  <r>
    <x v="0"/>
    <x v="0"/>
    <x v="3"/>
    <x v="0"/>
    <x v="0"/>
    <x v="0"/>
    <s v="20"/>
    <x v="0"/>
    <x v="6"/>
    <x v="11"/>
    <n v="-1058"/>
    <x v="0"/>
  </r>
  <r>
    <x v="0"/>
    <x v="0"/>
    <x v="3"/>
    <x v="0"/>
    <x v="0"/>
    <x v="0"/>
    <s v="16"/>
    <x v="0"/>
    <x v="6"/>
    <x v="1"/>
    <n v="675.7"/>
    <x v="0"/>
  </r>
  <r>
    <x v="0"/>
    <x v="0"/>
    <x v="3"/>
    <x v="0"/>
    <x v="0"/>
    <x v="0"/>
    <s v="09"/>
    <x v="0"/>
    <x v="6"/>
    <x v="6"/>
    <n v="1330.23"/>
    <x v="0"/>
  </r>
  <r>
    <x v="0"/>
    <x v="0"/>
    <x v="3"/>
    <x v="0"/>
    <x v="0"/>
    <x v="0"/>
    <s v="24"/>
    <x v="0"/>
    <x v="5"/>
    <x v="3"/>
    <n v="21793208.670000002"/>
    <x v="0"/>
  </r>
  <r>
    <x v="0"/>
    <x v="0"/>
    <x v="3"/>
    <x v="0"/>
    <x v="0"/>
    <x v="0"/>
    <s v="23"/>
    <x v="0"/>
    <x v="5"/>
    <x v="1"/>
    <n v="-60"/>
    <x v="0"/>
  </r>
  <r>
    <x v="0"/>
    <x v="0"/>
    <x v="3"/>
    <x v="0"/>
    <x v="0"/>
    <x v="0"/>
    <s v="16"/>
    <x v="0"/>
    <x v="6"/>
    <x v="9"/>
    <n v="-675.7"/>
    <x v="0"/>
  </r>
  <r>
    <x v="0"/>
    <x v="0"/>
    <x v="3"/>
    <x v="0"/>
    <x v="0"/>
    <x v="0"/>
    <s v="09"/>
    <x v="0"/>
    <x v="6"/>
    <x v="8"/>
    <n v="5559.11"/>
    <x v="0"/>
  </r>
  <r>
    <x v="0"/>
    <x v="0"/>
    <x v="3"/>
    <x v="0"/>
    <x v="0"/>
    <x v="0"/>
    <s v="24"/>
    <x v="0"/>
    <x v="5"/>
    <x v="4"/>
    <n v="33437460.489999998"/>
    <x v="0"/>
  </r>
  <r>
    <x v="0"/>
    <x v="0"/>
    <x v="3"/>
    <x v="0"/>
    <x v="0"/>
    <x v="0"/>
    <s v="24"/>
    <x v="0"/>
    <x v="5"/>
    <x v="1"/>
    <n v="50158899.640000001"/>
    <x v="0"/>
  </r>
  <r>
    <x v="0"/>
    <x v="0"/>
    <x v="3"/>
    <x v="0"/>
    <x v="0"/>
    <x v="0"/>
    <s v="20"/>
    <x v="0"/>
    <x v="5"/>
    <x v="10"/>
    <n v="-1285.2"/>
    <x v="0"/>
  </r>
  <r>
    <x v="0"/>
    <x v="0"/>
    <x v="3"/>
    <x v="0"/>
    <x v="0"/>
    <x v="0"/>
    <s v="09"/>
    <x v="0"/>
    <x v="6"/>
    <x v="0"/>
    <n v="581876.35"/>
    <x v="0"/>
  </r>
  <r>
    <x v="0"/>
    <x v="0"/>
    <x v="3"/>
    <x v="0"/>
    <x v="0"/>
    <x v="0"/>
    <s v="24"/>
    <x v="0"/>
    <x v="5"/>
    <x v="6"/>
    <n v="30805886.059999999"/>
    <x v="0"/>
  </r>
  <r>
    <x v="0"/>
    <x v="0"/>
    <x v="3"/>
    <x v="0"/>
    <x v="0"/>
    <x v="0"/>
    <s v="24"/>
    <x v="0"/>
    <x v="5"/>
    <x v="9"/>
    <n v="46843323.409999996"/>
    <x v="0"/>
  </r>
  <r>
    <x v="0"/>
    <x v="0"/>
    <x v="3"/>
    <x v="0"/>
    <x v="0"/>
    <x v="0"/>
    <s v="20"/>
    <x v="0"/>
    <x v="5"/>
    <x v="0"/>
    <n v="672.87"/>
    <x v="0"/>
  </r>
  <r>
    <x v="0"/>
    <x v="0"/>
    <x v="3"/>
    <x v="0"/>
    <x v="0"/>
    <x v="0"/>
    <s v="20"/>
    <x v="0"/>
    <x v="6"/>
    <x v="9"/>
    <n v="1241.3"/>
    <x v="0"/>
  </r>
  <r>
    <x v="0"/>
    <x v="0"/>
    <x v="3"/>
    <x v="0"/>
    <x v="0"/>
    <x v="0"/>
    <s v="24"/>
    <x v="0"/>
    <x v="5"/>
    <x v="8"/>
    <n v="23558699.43"/>
    <x v="0"/>
  </r>
  <r>
    <x v="0"/>
    <x v="0"/>
    <x v="3"/>
    <x v="0"/>
    <x v="0"/>
    <x v="0"/>
    <s v="24"/>
    <x v="0"/>
    <x v="5"/>
    <x v="10"/>
    <n v="37279448"/>
    <x v="0"/>
  </r>
  <r>
    <x v="0"/>
    <x v="0"/>
    <x v="3"/>
    <x v="0"/>
    <x v="0"/>
    <x v="0"/>
    <s v="24"/>
    <x v="0"/>
    <x v="5"/>
    <x v="11"/>
    <n v="21088122.98"/>
    <x v="0"/>
  </r>
  <r>
    <x v="0"/>
    <x v="0"/>
    <x v="3"/>
    <x v="0"/>
    <x v="0"/>
    <x v="0"/>
    <s v="24"/>
    <x v="0"/>
    <x v="5"/>
    <x v="5"/>
    <n v="10688577.58"/>
    <x v="0"/>
  </r>
  <r>
    <x v="0"/>
    <x v="0"/>
    <x v="3"/>
    <x v="0"/>
    <x v="0"/>
    <x v="0"/>
    <s v="24"/>
    <x v="0"/>
    <x v="5"/>
    <x v="0"/>
    <n v="17668585.760000002"/>
    <x v="0"/>
  </r>
  <r>
    <x v="0"/>
    <x v="0"/>
    <x v="3"/>
    <x v="0"/>
    <x v="0"/>
    <x v="0"/>
    <s v="24"/>
    <x v="0"/>
    <x v="6"/>
    <x v="5"/>
    <n v="34119045.740000002"/>
    <x v="0"/>
  </r>
  <r>
    <x v="0"/>
    <x v="0"/>
    <x v="3"/>
    <x v="0"/>
    <x v="0"/>
    <x v="0"/>
    <s v="24"/>
    <x v="0"/>
    <x v="5"/>
    <x v="2"/>
    <n v="9762054.3800000008"/>
    <x v="0"/>
  </r>
  <r>
    <x v="0"/>
    <x v="0"/>
    <x v="3"/>
    <x v="0"/>
    <x v="0"/>
    <x v="0"/>
    <s v="24"/>
    <x v="0"/>
    <x v="5"/>
    <x v="7"/>
    <n v="21034688.280000001"/>
    <x v="0"/>
  </r>
  <r>
    <x v="0"/>
    <x v="0"/>
    <x v="3"/>
    <x v="0"/>
    <x v="0"/>
    <x v="0"/>
    <s v="24"/>
    <x v="0"/>
    <x v="6"/>
    <x v="1"/>
    <n v="42045879.159999996"/>
    <x v="0"/>
  </r>
  <r>
    <x v="0"/>
    <x v="0"/>
    <x v="3"/>
    <x v="0"/>
    <x v="0"/>
    <x v="0"/>
    <s v="24"/>
    <x v="0"/>
    <x v="6"/>
    <x v="7"/>
    <n v="-463701.98"/>
    <x v="0"/>
  </r>
  <r>
    <x v="0"/>
    <x v="0"/>
    <x v="3"/>
    <x v="0"/>
    <x v="0"/>
    <x v="0"/>
    <s v="24"/>
    <x v="0"/>
    <x v="6"/>
    <x v="4"/>
    <n v="25828728.559999999"/>
    <x v="0"/>
  </r>
  <r>
    <x v="0"/>
    <x v="0"/>
    <x v="3"/>
    <x v="0"/>
    <x v="0"/>
    <x v="0"/>
    <s v="24"/>
    <x v="0"/>
    <x v="6"/>
    <x v="3"/>
    <n v="20631809.210000001"/>
    <x v="0"/>
  </r>
  <r>
    <x v="0"/>
    <x v="0"/>
    <x v="3"/>
    <x v="0"/>
    <x v="0"/>
    <x v="0"/>
    <s v="24"/>
    <x v="0"/>
    <x v="6"/>
    <x v="9"/>
    <n v="40495742.799999997"/>
    <x v="0"/>
  </r>
  <r>
    <x v="0"/>
    <x v="0"/>
    <x v="3"/>
    <x v="0"/>
    <x v="0"/>
    <x v="0"/>
    <s v="24"/>
    <x v="0"/>
    <x v="6"/>
    <x v="2"/>
    <n v="19922420.100000001"/>
    <x v="0"/>
  </r>
  <r>
    <x v="0"/>
    <x v="0"/>
    <x v="3"/>
    <x v="0"/>
    <x v="0"/>
    <x v="0"/>
    <s v="24"/>
    <x v="0"/>
    <x v="6"/>
    <x v="10"/>
    <n v="49322072.030000001"/>
    <x v="0"/>
  </r>
  <r>
    <x v="0"/>
    <x v="0"/>
    <x v="3"/>
    <x v="0"/>
    <x v="0"/>
    <x v="0"/>
    <s v="24"/>
    <x v="0"/>
    <x v="6"/>
    <x v="6"/>
    <n v="33601146.32"/>
    <x v="0"/>
  </r>
  <r>
    <x v="0"/>
    <x v="0"/>
    <x v="3"/>
    <x v="0"/>
    <x v="0"/>
    <x v="0"/>
    <s v="30"/>
    <x v="0"/>
    <x v="5"/>
    <x v="5"/>
    <n v="1590"/>
    <x v="0"/>
  </r>
  <r>
    <x v="0"/>
    <x v="0"/>
    <x v="3"/>
    <x v="0"/>
    <x v="0"/>
    <x v="0"/>
    <s v="30"/>
    <x v="0"/>
    <x v="5"/>
    <x v="3"/>
    <n v="495"/>
    <x v="0"/>
  </r>
  <r>
    <x v="0"/>
    <x v="0"/>
    <x v="3"/>
    <x v="0"/>
    <x v="0"/>
    <x v="0"/>
    <s v="24"/>
    <x v="0"/>
    <x v="6"/>
    <x v="8"/>
    <n v="13586060.33"/>
    <x v="0"/>
  </r>
  <r>
    <x v="0"/>
    <x v="0"/>
    <x v="3"/>
    <x v="0"/>
    <x v="0"/>
    <x v="0"/>
    <s v="24"/>
    <x v="0"/>
    <x v="6"/>
    <x v="11"/>
    <n v="39252680.770000003"/>
    <x v="0"/>
  </r>
  <r>
    <x v="0"/>
    <x v="0"/>
    <x v="3"/>
    <x v="0"/>
    <x v="0"/>
    <x v="0"/>
    <s v="30"/>
    <x v="0"/>
    <x v="5"/>
    <x v="8"/>
    <n v="-4231330.66"/>
    <x v="0"/>
  </r>
  <r>
    <x v="0"/>
    <x v="0"/>
    <x v="3"/>
    <x v="0"/>
    <x v="0"/>
    <x v="0"/>
    <s v="30"/>
    <x v="0"/>
    <x v="5"/>
    <x v="4"/>
    <n v="1292"/>
    <x v="0"/>
  </r>
  <r>
    <x v="0"/>
    <x v="0"/>
    <x v="3"/>
    <x v="0"/>
    <x v="0"/>
    <x v="0"/>
    <s v="30"/>
    <x v="0"/>
    <x v="5"/>
    <x v="7"/>
    <n v="146"/>
    <x v="0"/>
  </r>
  <r>
    <x v="0"/>
    <x v="0"/>
    <x v="3"/>
    <x v="0"/>
    <x v="0"/>
    <x v="0"/>
    <s v="24"/>
    <x v="0"/>
    <x v="6"/>
    <x v="0"/>
    <n v="-21508728.5"/>
    <x v="0"/>
  </r>
  <r>
    <x v="0"/>
    <x v="0"/>
    <x v="3"/>
    <x v="0"/>
    <x v="0"/>
    <x v="0"/>
    <s v="30"/>
    <x v="0"/>
    <x v="5"/>
    <x v="0"/>
    <n v="5234170.92"/>
    <x v="0"/>
  </r>
  <r>
    <x v="0"/>
    <x v="0"/>
    <x v="3"/>
    <x v="0"/>
    <x v="0"/>
    <x v="0"/>
    <s v="30"/>
    <x v="0"/>
    <x v="5"/>
    <x v="6"/>
    <n v="1246.52"/>
    <x v="0"/>
  </r>
  <r>
    <x v="0"/>
    <x v="0"/>
    <x v="3"/>
    <x v="0"/>
    <x v="0"/>
    <x v="0"/>
    <s v="30"/>
    <x v="0"/>
    <x v="5"/>
    <x v="2"/>
    <n v="-1003513.61"/>
    <x v="0"/>
  </r>
  <r>
    <x v="0"/>
    <x v="0"/>
    <x v="3"/>
    <x v="0"/>
    <x v="0"/>
    <x v="0"/>
    <s v="30"/>
    <x v="0"/>
    <x v="5"/>
    <x v="1"/>
    <n v="426.63"/>
    <x v="0"/>
  </r>
  <r>
    <x v="0"/>
    <x v="0"/>
    <x v="3"/>
    <x v="0"/>
    <x v="0"/>
    <x v="0"/>
    <s v="30"/>
    <x v="0"/>
    <x v="6"/>
    <x v="4"/>
    <n v="779"/>
    <x v="0"/>
  </r>
  <r>
    <x v="0"/>
    <x v="0"/>
    <x v="3"/>
    <x v="0"/>
    <x v="0"/>
    <x v="0"/>
    <s v="30"/>
    <x v="0"/>
    <x v="5"/>
    <x v="11"/>
    <n v="156"/>
    <x v="0"/>
  </r>
  <r>
    <x v="0"/>
    <x v="0"/>
    <x v="3"/>
    <x v="0"/>
    <x v="0"/>
    <x v="0"/>
    <s v="30"/>
    <x v="0"/>
    <x v="6"/>
    <x v="3"/>
    <n v="-5796889.6799999997"/>
    <x v="0"/>
  </r>
  <r>
    <x v="0"/>
    <x v="0"/>
    <x v="3"/>
    <x v="0"/>
    <x v="0"/>
    <x v="0"/>
    <s v="30"/>
    <x v="0"/>
    <x v="5"/>
    <x v="9"/>
    <n v="4676.4399999999996"/>
    <x v="0"/>
  </r>
  <r>
    <x v="0"/>
    <x v="0"/>
    <x v="3"/>
    <x v="0"/>
    <x v="0"/>
    <x v="0"/>
    <s v="30"/>
    <x v="0"/>
    <x v="6"/>
    <x v="10"/>
    <n v="60014.41"/>
    <x v="0"/>
  </r>
  <r>
    <x v="0"/>
    <x v="0"/>
    <x v="3"/>
    <x v="0"/>
    <x v="0"/>
    <x v="0"/>
    <s v="30"/>
    <x v="0"/>
    <x v="6"/>
    <x v="1"/>
    <n v="-20070.07"/>
    <x v="0"/>
  </r>
  <r>
    <x v="0"/>
    <x v="0"/>
    <x v="3"/>
    <x v="0"/>
    <x v="0"/>
    <x v="0"/>
    <s v="30"/>
    <x v="0"/>
    <x v="6"/>
    <x v="6"/>
    <n v="-29096.97"/>
    <x v="0"/>
  </r>
  <r>
    <x v="0"/>
    <x v="0"/>
    <x v="3"/>
    <x v="0"/>
    <x v="0"/>
    <x v="0"/>
    <s v="30"/>
    <x v="0"/>
    <x v="5"/>
    <x v="10"/>
    <n v="-3357.44"/>
    <x v="0"/>
  </r>
  <r>
    <x v="0"/>
    <x v="0"/>
    <x v="3"/>
    <x v="0"/>
    <x v="0"/>
    <x v="0"/>
    <s v="41"/>
    <x v="0"/>
    <x v="5"/>
    <x v="11"/>
    <n v="156197.53"/>
    <x v="0"/>
  </r>
  <r>
    <x v="0"/>
    <x v="0"/>
    <x v="3"/>
    <x v="0"/>
    <x v="0"/>
    <x v="0"/>
    <s v="30"/>
    <x v="0"/>
    <x v="6"/>
    <x v="9"/>
    <n v="1423.03"/>
    <x v="0"/>
  </r>
  <r>
    <x v="0"/>
    <x v="0"/>
    <x v="3"/>
    <x v="0"/>
    <x v="0"/>
    <x v="0"/>
    <s v="30"/>
    <x v="0"/>
    <x v="6"/>
    <x v="11"/>
    <n v="-29752.97"/>
    <x v="0"/>
  </r>
  <r>
    <x v="0"/>
    <x v="0"/>
    <x v="3"/>
    <x v="0"/>
    <x v="0"/>
    <x v="0"/>
    <s v="30"/>
    <x v="0"/>
    <x v="6"/>
    <x v="5"/>
    <n v="5818052.75"/>
    <x v="0"/>
  </r>
  <r>
    <x v="0"/>
    <x v="0"/>
    <x v="3"/>
    <x v="0"/>
    <x v="0"/>
    <x v="0"/>
    <s v="41"/>
    <x v="0"/>
    <x v="5"/>
    <x v="0"/>
    <n v="-540288"/>
    <x v="0"/>
  </r>
  <r>
    <x v="0"/>
    <x v="0"/>
    <x v="3"/>
    <x v="0"/>
    <x v="0"/>
    <x v="0"/>
    <s v="30"/>
    <x v="0"/>
    <x v="6"/>
    <x v="2"/>
    <n v="-2518766.75"/>
    <x v="0"/>
  </r>
  <r>
    <x v="0"/>
    <x v="0"/>
    <x v="3"/>
    <x v="0"/>
    <x v="0"/>
    <x v="0"/>
    <s v="30"/>
    <x v="0"/>
    <x v="6"/>
    <x v="8"/>
    <n v="-10207.049999999999"/>
    <x v="0"/>
  </r>
  <r>
    <x v="0"/>
    <x v="0"/>
    <x v="3"/>
    <x v="0"/>
    <x v="0"/>
    <x v="0"/>
    <s v="30"/>
    <x v="0"/>
    <x v="6"/>
    <x v="0"/>
    <n v="2528973.75"/>
    <x v="0"/>
  </r>
  <r>
    <x v="0"/>
    <x v="0"/>
    <x v="3"/>
    <x v="0"/>
    <x v="0"/>
    <x v="0"/>
    <s v="90"/>
    <x v="0"/>
    <x v="5"/>
    <x v="5"/>
    <n v="-25"/>
    <x v="0"/>
  </r>
  <r>
    <x v="0"/>
    <x v="0"/>
    <x v="0"/>
    <x v="0"/>
    <x v="0"/>
    <x v="1"/>
    <s v="88"/>
    <x v="0"/>
    <x v="8"/>
    <x v="11"/>
    <n v="27317.19"/>
    <x v="0"/>
  </r>
  <r>
    <x v="0"/>
    <x v="0"/>
    <x v="0"/>
    <x v="0"/>
    <x v="0"/>
    <x v="1"/>
    <s v="88"/>
    <x v="0"/>
    <x v="8"/>
    <x v="9"/>
    <n v="-2656.05"/>
    <x v="0"/>
  </r>
  <r>
    <x v="0"/>
    <x v="0"/>
    <x v="0"/>
    <x v="0"/>
    <x v="0"/>
    <x v="2"/>
    <s v="60"/>
    <x v="0"/>
    <x v="7"/>
    <x v="0"/>
    <n v="7016235.5499999998"/>
    <x v="0"/>
  </r>
  <r>
    <x v="0"/>
    <x v="0"/>
    <x v="0"/>
    <x v="0"/>
    <x v="0"/>
    <x v="1"/>
    <s v="94"/>
    <x v="0"/>
    <x v="7"/>
    <x v="0"/>
    <n v="-63250"/>
    <x v="0"/>
  </r>
  <r>
    <x v="0"/>
    <x v="0"/>
    <x v="0"/>
    <x v="0"/>
    <x v="0"/>
    <x v="1"/>
    <s v="88"/>
    <x v="0"/>
    <x v="8"/>
    <x v="2"/>
    <n v="26994.65"/>
    <x v="0"/>
  </r>
  <r>
    <x v="0"/>
    <x v="0"/>
    <x v="0"/>
    <x v="0"/>
    <x v="0"/>
    <x v="1"/>
    <s v="88"/>
    <x v="0"/>
    <x v="8"/>
    <x v="10"/>
    <n v="16439.419999999998"/>
    <x v="0"/>
  </r>
  <r>
    <x v="0"/>
    <x v="0"/>
    <x v="0"/>
    <x v="0"/>
    <x v="0"/>
    <x v="1"/>
    <s v="94"/>
    <x v="0"/>
    <x v="8"/>
    <x v="0"/>
    <n v="-5250"/>
    <x v="0"/>
  </r>
  <r>
    <x v="0"/>
    <x v="0"/>
    <x v="0"/>
    <x v="0"/>
    <x v="0"/>
    <x v="2"/>
    <s v="60"/>
    <x v="0"/>
    <x v="8"/>
    <x v="0"/>
    <n v="2444748"/>
    <x v="0"/>
  </r>
  <r>
    <x v="0"/>
    <x v="0"/>
    <x v="1"/>
    <x v="0"/>
    <x v="0"/>
    <x v="0"/>
    <s v="09"/>
    <x v="0"/>
    <x v="8"/>
    <x v="9"/>
    <n v="196287.98"/>
    <x v="0"/>
  </r>
  <r>
    <x v="0"/>
    <x v="0"/>
    <x v="1"/>
    <x v="0"/>
    <x v="0"/>
    <x v="0"/>
    <s v="09"/>
    <x v="0"/>
    <x v="8"/>
    <x v="10"/>
    <n v="264351.89"/>
    <x v="0"/>
  </r>
  <r>
    <x v="0"/>
    <x v="0"/>
    <x v="1"/>
    <x v="0"/>
    <x v="0"/>
    <x v="0"/>
    <s v="09"/>
    <x v="0"/>
    <x v="7"/>
    <x v="2"/>
    <n v="245333.91"/>
    <x v="0"/>
  </r>
  <r>
    <x v="0"/>
    <x v="0"/>
    <x v="1"/>
    <x v="0"/>
    <x v="0"/>
    <x v="0"/>
    <s v="24"/>
    <x v="0"/>
    <x v="7"/>
    <x v="5"/>
    <n v="2693702.31"/>
    <x v="0"/>
  </r>
  <r>
    <x v="0"/>
    <x v="0"/>
    <x v="1"/>
    <x v="0"/>
    <x v="0"/>
    <x v="0"/>
    <s v="09"/>
    <x v="0"/>
    <x v="8"/>
    <x v="8"/>
    <n v="373683.16"/>
    <x v="0"/>
  </r>
  <r>
    <x v="0"/>
    <x v="0"/>
    <x v="1"/>
    <x v="0"/>
    <x v="0"/>
    <x v="0"/>
    <s v="24"/>
    <x v="0"/>
    <x v="7"/>
    <x v="2"/>
    <n v="44137.17"/>
    <x v="0"/>
  </r>
  <r>
    <x v="0"/>
    <x v="0"/>
    <x v="1"/>
    <x v="0"/>
    <x v="0"/>
    <x v="0"/>
    <s v="24"/>
    <x v="0"/>
    <x v="7"/>
    <x v="7"/>
    <n v="-10993309.85"/>
    <x v="0"/>
  </r>
  <r>
    <x v="0"/>
    <x v="0"/>
    <x v="1"/>
    <x v="0"/>
    <x v="0"/>
    <x v="0"/>
    <s v="24"/>
    <x v="0"/>
    <x v="8"/>
    <x v="3"/>
    <n v="141018737.28"/>
    <x v="0"/>
  </r>
  <r>
    <x v="0"/>
    <x v="0"/>
    <x v="1"/>
    <x v="0"/>
    <x v="0"/>
    <x v="0"/>
    <s v="09"/>
    <x v="0"/>
    <x v="7"/>
    <x v="8"/>
    <n v="164690.23000000001"/>
    <x v="0"/>
  </r>
  <r>
    <x v="0"/>
    <x v="0"/>
    <x v="1"/>
    <x v="0"/>
    <x v="0"/>
    <x v="0"/>
    <s v="24"/>
    <x v="0"/>
    <x v="8"/>
    <x v="11"/>
    <n v="609398.02"/>
    <x v="0"/>
  </r>
  <r>
    <x v="0"/>
    <x v="0"/>
    <x v="1"/>
    <x v="0"/>
    <x v="0"/>
    <x v="0"/>
    <s v="24"/>
    <x v="0"/>
    <x v="8"/>
    <x v="4"/>
    <n v="-6158800.5099999998"/>
    <x v="0"/>
  </r>
  <r>
    <x v="0"/>
    <x v="0"/>
    <x v="1"/>
    <x v="0"/>
    <x v="0"/>
    <x v="0"/>
    <s v="24"/>
    <x v="0"/>
    <x v="7"/>
    <x v="3"/>
    <n v="146888373.52000001"/>
    <x v="0"/>
  </r>
  <r>
    <x v="0"/>
    <x v="0"/>
    <x v="1"/>
    <x v="0"/>
    <x v="0"/>
    <x v="0"/>
    <s v="24"/>
    <x v="0"/>
    <x v="8"/>
    <x v="2"/>
    <n v="-228127.02"/>
    <x v="0"/>
  </r>
  <r>
    <x v="0"/>
    <x v="0"/>
    <x v="1"/>
    <x v="0"/>
    <x v="0"/>
    <x v="0"/>
    <s v="24"/>
    <x v="0"/>
    <x v="8"/>
    <x v="6"/>
    <n v="2740820.89"/>
    <x v="0"/>
  </r>
  <r>
    <x v="0"/>
    <x v="0"/>
    <x v="1"/>
    <x v="0"/>
    <x v="0"/>
    <x v="0"/>
    <s v="24"/>
    <x v="0"/>
    <x v="7"/>
    <x v="4"/>
    <n v="-3314415.02"/>
    <x v="0"/>
  </r>
  <r>
    <x v="0"/>
    <x v="0"/>
    <x v="1"/>
    <x v="0"/>
    <x v="0"/>
    <x v="0"/>
    <s v="30"/>
    <x v="0"/>
    <x v="8"/>
    <x v="5"/>
    <n v="-26581"/>
    <x v="0"/>
  </r>
  <r>
    <x v="0"/>
    <x v="0"/>
    <x v="1"/>
    <x v="0"/>
    <x v="0"/>
    <x v="0"/>
    <s v="24"/>
    <x v="0"/>
    <x v="8"/>
    <x v="8"/>
    <n v="-232645.41"/>
    <x v="0"/>
  </r>
  <r>
    <x v="0"/>
    <x v="0"/>
    <x v="1"/>
    <x v="0"/>
    <x v="0"/>
    <x v="0"/>
    <s v="24"/>
    <x v="0"/>
    <x v="7"/>
    <x v="6"/>
    <n v="-115116.08"/>
    <x v="0"/>
  </r>
  <r>
    <x v="0"/>
    <x v="0"/>
    <x v="1"/>
    <x v="0"/>
    <x v="0"/>
    <x v="1"/>
    <s v="22"/>
    <x v="0"/>
    <x v="7"/>
    <x v="10"/>
    <n v="-2991935.25"/>
    <x v="0"/>
  </r>
  <r>
    <x v="0"/>
    <x v="0"/>
    <x v="1"/>
    <x v="0"/>
    <x v="0"/>
    <x v="0"/>
    <s v="24"/>
    <x v="0"/>
    <x v="8"/>
    <x v="0"/>
    <n v="-173639.54"/>
    <x v="0"/>
  </r>
  <r>
    <x v="0"/>
    <x v="0"/>
    <x v="1"/>
    <x v="0"/>
    <x v="0"/>
    <x v="0"/>
    <s v="24"/>
    <x v="0"/>
    <x v="7"/>
    <x v="11"/>
    <n v="442245.37"/>
    <x v="0"/>
  </r>
  <r>
    <x v="0"/>
    <x v="0"/>
    <x v="1"/>
    <x v="0"/>
    <x v="0"/>
    <x v="1"/>
    <s v="22"/>
    <x v="0"/>
    <x v="8"/>
    <x v="5"/>
    <n v="-33697686.57"/>
    <x v="0"/>
  </r>
  <r>
    <x v="0"/>
    <x v="0"/>
    <x v="1"/>
    <x v="0"/>
    <x v="0"/>
    <x v="0"/>
    <s v="20"/>
    <x v="0"/>
    <x v="8"/>
    <x v="0"/>
    <n v="483757.16"/>
    <x v="0"/>
  </r>
  <r>
    <x v="0"/>
    <x v="0"/>
    <x v="1"/>
    <x v="0"/>
    <x v="0"/>
    <x v="0"/>
    <s v="73"/>
    <x v="0"/>
    <x v="7"/>
    <x v="2"/>
    <n v="-105290"/>
    <x v="0"/>
  </r>
  <r>
    <x v="0"/>
    <x v="0"/>
    <x v="1"/>
    <x v="0"/>
    <x v="0"/>
    <x v="0"/>
    <s v="24"/>
    <x v="0"/>
    <x v="7"/>
    <x v="8"/>
    <n v="-212111.14"/>
    <x v="0"/>
  </r>
  <r>
    <x v="0"/>
    <x v="0"/>
    <x v="1"/>
    <x v="0"/>
    <x v="0"/>
    <x v="0"/>
    <s v="24"/>
    <x v="0"/>
    <x v="7"/>
    <x v="1"/>
    <n v="-5201900.79"/>
    <x v="0"/>
  </r>
  <r>
    <x v="0"/>
    <x v="0"/>
    <x v="1"/>
    <x v="0"/>
    <x v="0"/>
    <x v="0"/>
    <s v="73"/>
    <x v="0"/>
    <x v="8"/>
    <x v="8"/>
    <n v="-47320.75"/>
    <x v="0"/>
  </r>
  <r>
    <x v="0"/>
    <x v="0"/>
    <x v="1"/>
    <x v="0"/>
    <x v="0"/>
    <x v="0"/>
    <s v="24"/>
    <x v="0"/>
    <x v="7"/>
    <x v="0"/>
    <n v="39536.71"/>
    <x v="0"/>
  </r>
  <r>
    <x v="0"/>
    <x v="0"/>
    <x v="1"/>
    <x v="0"/>
    <x v="0"/>
    <x v="0"/>
    <s v="24"/>
    <x v="0"/>
    <x v="7"/>
    <x v="9"/>
    <n v="139000587.69999999"/>
    <x v="0"/>
  </r>
  <r>
    <x v="0"/>
    <x v="0"/>
    <x v="1"/>
    <x v="0"/>
    <x v="0"/>
    <x v="0"/>
    <s v="24"/>
    <x v="0"/>
    <x v="8"/>
    <x v="1"/>
    <n v="-4656416.01"/>
    <x v="0"/>
  </r>
  <r>
    <x v="0"/>
    <x v="0"/>
    <x v="1"/>
    <x v="0"/>
    <x v="0"/>
    <x v="0"/>
    <s v="24"/>
    <x v="0"/>
    <x v="7"/>
    <x v="10"/>
    <n v="-425679.13"/>
    <x v="0"/>
  </r>
  <r>
    <x v="0"/>
    <x v="0"/>
    <x v="1"/>
    <x v="0"/>
    <x v="0"/>
    <x v="0"/>
    <s v="24"/>
    <x v="0"/>
    <x v="8"/>
    <x v="9"/>
    <n v="133227325.81"/>
    <x v="0"/>
  </r>
  <r>
    <x v="0"/>
    <x v="0"/>
    <x v="1"/>
    <x v="0"/>
    <x v="0"/>
    <x v="0"/>
    <s v="24"/>
    <x v="0"/>
    <x v="8"/>
    <x v="5"/>
    <n v="1289247.57"/>
    <x v="0"/>
  </r>
  <r>
    <x v="0"/>
    <x v="0"/>
    <x v="1"/>
    <x v="0"/>
    <x v="0"/>
    <x v="0"/>
    <s v="24"/>
    <x v="0"/>
    <x v="8"/>
    <x v="10"/>
    <n v="-41589.22"/>
    <x v="0"/>
  </r>
  <r>
    <x v="0"/>
    <x v="0"/>
    <x v="1"/>
    <x v="0"/>
    <x v="0"/>
    <x v="0"/>
    <s v="24"/>
    <x v="0"/>
    <x v="8"/>
    <x v="7"/>
    <n v="-12122519.119999999"/>
    <x v="0"/>
  </r>
  <r>
    <x v="0"/>
    <x v="0"/>
    <x v="1"/>
    <x v="0"/>
    <x v="0"/>
    <x v="0"/>
    <s v="30"/>
    <x v="0"/>
    <x v="8"/>
    <x v="4"/>
    <n v="26581"/>
    <x v="0"/>
  </r>
  <r>
    <x v="0"/>
    <x v="0"/>
    <x v="1"/>
    <x v="0"/>
    <x v="0"/>
    <x v="1"/>
    <s v="22"/>
    <x v="0"/>
    <x v="7"/>
    <x v="11"/>
    <n v="-1656935.25"/>
    <x v="0"/>
  </r>
  <r>
    <x v="0"/>
    <x v="0"/>
    <x v="1"/>
    <x v="0"/>
    <x v="0"/>
    <x v="0"/>
    <s v="73"/>
    <x v="0"/>
    <x v="7"/>
    <x v="8"/>
    <n v="-49887.67"/>
    <x v="0"/>
  </r>
  <r>
    <x v="0"/>
    <x v="0"/>
    <x v="1"/>
    <x v="0"/>
    <x v="0"/>
    <x v="1"/>
    <s v="22"/>
    <x v="0"/>
    <x v="7"/>
    <x v="0"/>
    <n v="-271625"/>
    <x v="0"/>
  </r>
  <r>
    <x v="0"/>
    <x v="0"/>
    <x v="1"/>
    <x v="0"/>
    <x v="0"/>
    <x v="0"/>
    <s v="73"/>
    <x v="0"/>
    <x v="8"/>
    <x v="9"/>
    <n v="-34890.46"/>
    <x v="0"/>
  </r>
  <r>
    <x v="0"/>
    <x v="0"/>
    <x v="1"/>
    <x v="0"/>
    <x v="0"/>
    <x v="1"/>
    <s v="22"/>
    <x v="0"/>
    <x v="8"/>
    <x v="1"/>
    <n v="-1903560.25"/>
    <x v="0"/>
  </r>
  <r>
    <x v="0"/>
    <x v="0"/>
    <x v="1"/>
    <x v="0"/>
    <x v="0"/>
    <x v="0"/>
    <s v="73"/>
    <x v="0"/>
    <x v="8"/>
    <x v="10"/>
    <n v="-34357.839999999997"/>
    <x v="0"/>
  </r>
  <r>
    <x v="0"/>
    <x v="0"/>
    <x v="1"/>
    <x v="0"/>
    <x v="0"/>
    <x v="1"/>
    <s v="22"/>
    <x v="0"/>
    <x v="8"/>
    <x v="10"/>
    <n v="-3023856.25"/>
    <x v="0"/>
  </r>
  <r>
    <x v="0"/>
    <x v="0"/>
    <x v="1"/>
    <x v="0"/>
    <x v="0"/>
    <x v="1"/>
    <s v="21"/>
    <x v="0"/>
    <x v="8"/>
    <x v="5"/>
    <n v="33697686.57"/>
    <x v="0"/>
  </r>
  <r>
    <x v="0"/>
    <x v="0"/>
    <x v="5"/>
    <x v="0"/>
    <x v="0"/>
    <x v="0"/>
    <s v="13"/>
    <x v="0"/>
    <x v="8"/>
    <x v="0"/>
    <n v="-179600"/>
    <x v="0"/>
  </r>
  <r>
    <x v="0"/>
    <x v="0"/>
    <x v="5"/>
    <x v="0"/>
    <x v="0"/>
    <x v="0"/>
    <s v="20"/>
    <x v="0"/>
    <x v="8"/>
    <x v="9"/>
    <n v="16743.27"/>
    <x v="0"/>
  </r>
  <r>
    <x v="0"/>
    <x v="0"/>
    <x v="5"/>
    <x v="0"/>
    <x v="0"/>
    <x v="0"/>
    <s v="20"/>
    <x v="0"/>
    <x v="8"/>
    <x v="10"/>
    <n v="9062.8799999999992"/>
    <x v="0"/>
  </r>
  <r>
    <x v="0"/>
    <x v="0"/>
    <x v="5"/>
    <x v="0"/>
    <x v="0"/>
    <x v="0"/>
    <s v="09"/>
    <x v="0"/>
    <x v="7"/>
    <x v="4"/>
    <n v="-8600"/>
    <x v="0"/>
  </r>
  <r>
    <x v="0"/>
    <x v="0"/>
    <x v="5"/>
    <x v="0"/>
    <x v="0"/>
    <x v="0"/>
    <s v="24"/>
    <x v="0"/>
    <x v="7"/>
    <x v="5"/>
    <n v="-82026.53"/>
    <x v="0"/>
  </r>
  <r>
    <x v="0"/>
    <x v="0"/>
    <x v="5"/>
    <x v="0"/>
    <x v="0"/>
    <x v="0"/>
    <s v="24"/>
    <x v="0"/>
    <x v="7"/>
    <x v="4"/>
    <n v="19538097.09"/>
    <x v="0"/>
  </r>
  <r>
    <x v="0"/>
    <x v="0"/>
    <x v="5"/>
    <x v="0"/>
    <x v="0"/>
    <x v="0"/>
    <s v="09"/>
    <x v="0"/>
    <x v="7"/>
    <x v="0"/>
    <n v="227609.43"/>
    <x v="0"/>
  </r>
  <r>
    <x v="0"/>
    <x v="0"/>
    <x v="5"/>
    <x v="0"/>
    <x v="0"/>
    <x v="0"/>
    <s v="09"/>
    <x v="0"/>
    <x v="8"/>
    <x v="3"/>
    <n v="-28800"/>
    <x v="0"/>
  </r>
  <r>
    <x v="0"/>
    <x v="0"/>
    <x v="5"/>
    <x v="0"/>
    <x v="0"/>
    <x v="0"/>
    <s v="24"/>
    <x v="0"/>
    <x v="7"/>
    <x v="7"/>
    <n v="936877.78"/>
    <x v="0"/>
  </r>
  <r>
    <x v="0"/>
    <x v="0"/>
    <x v="5"/>
    <x v="0"/>
    <x v="0"/>
    <x v="0"/>
    <s v="24"/>
    <x v="0"/>
    <x v="7"/>
    <x v="10"/>
    <n v="14739405.42"/>
    <x v="0"/>
  </r>
  <r>
    <x v="0"/>
    <x v="0"/>
    <x v="5"/>
    <x v="0"/>
    <x v="0"/>
    <x v="0"/>
    <s v="13"/>
    <x v="0"/>
    <x v="7"/>
    <x v="0"/>
    <n v="18600"/>
    <x v="0"/>
  </r>
  <r>
    <x v="0"/>
    <x v="0"/>
    <x v="5"/>
    <x v="0"/>
    <x v="0"/>
    <x v="0"/>
    <s v="09"/>
    <x v="0"/>
    <x v="8"/>
    <x v="0"/>
    <n v="1577780.62"/>
    <x v="0"/>
  </r>
  <r>
    <x v="0"/>
    <x v="0"/>
    <x v="5"/>
    <x v="0"/>
    <x v="0"/>
    <x v="0"/>
    <s v="24"/>
    <x v="0"/>
    <x v="7"/>
    <x v="0"/>
    <n v="104654.88"/>
    <x v="0"/>
  </r>
  <r>
    <x v="0"/>
    <x v="0"/>
    <x v="5"/>
    <x v="0"/>
    <x v="0"/>
    <x v="0"/>
    <s v="24"/>
    <x v="0"/>
    <x v="8"/>
    <x v="1"/>
    <n v="1066227.52"/>
    <x v="0"/>
  </r>
  <r>
    <x v="0"/>
    <x v="0"/>
    <x v="5"/>
    <x v="0"/>
    <x v="0"/>
    <x v="0"/>
    <s v="13"/>
    <x v="0"/>
    <x v="8"/>
    <x v="3"/>
    <n v="179600"/>
    <x v="0"/>
  </r>
  <r>
    <x v="0"/>
    <x v="0"/>
    <x v="5"/>
    <x v="0"/>
    <x v="0"/>
    <x v="0"/>
    <s v="13"/>
    <x v="0"/>
    <x v="7"/>
    <x v="4"/>
    <n v="-18600"/>
    <x v="0"/>
  </r>
  <r>
    <x v="0"/>
    <x v="0"/>
    <x v="5"/>
    <x v="0"/>
    <x v="0"/>
    <x v="0"/>
    <s v="24"/>
    <x v="0"/>
    <x v="8"/>
    <x v="3"/>
    <n v="-6434.73"/>
    <x v="0"/>
  </r>
  <r>
    <x v="0"/>
    <x v="0"/>
    <x v="5"/>
    <x v="0"/>
    <x v="0"/>
    <x v="0"/>
    <s v="24"/>
    <x v="0"/>
    <x v="8"/>
    <x v="2"/>
    <n v="59460.51"/>
    <x v="0"/>
  </r>
  <r>
    <x v="0"/>
    <x v="0"/>
    <x v="5"/>
    <x v="0"/>
    <x v="0"/>
    <x v="0"/>
    <s v="24"/>
    <x v="0"/>
    <x v="7"/>
    <x v="3"/>
    <n v="-29373.29"/>
    <x v="0"/>
  </r>
  <r>
    <x v="0"/>
    <x v="0"/>
    <x v="5"/>
    <x v="0"/>
    <x v="0"/>
    <x v="0"/>
    <s v="24"/>
    <x v="0"/>
    <x v="7"/>
    <x v="1"/>
    <n v="587976.91"/>
    <x v="0"/>
  </r>
  <r>
    <x v="0"/>
    <x v="0"/>
    <x v="5"/>
    <x v="0"/>
    <x v="0"/>
    <x v="0"/>
    <s v="24"/>
    <x v="0"/>
    <x v="8"/>
    <x v="4"/>
    <n v="17516825.359999999"/>
    <x v="0"/>
  </r>
  <r>
    <x v="0"/>
    <x v="0"/>
    <x v="5"/>
    <x v="0"/>
    <x v="0"/>
    <x v="0"/>
    <s v="30"/>
    <x v="0"/>
    <x v="7"/>
    <x v="4"/>
    <n v="2367.5"/>
    <x v="0"/>
  </r>
  <r>
    <x v="0"/>
    <x v="0"/>
    <x v="5"/>
    <x v="0"/>
    <x v="0"/>
    <x v="0"/>
    <s v="24"/>
    <x v="0"/>
    <x v="7"/>
    <x v="6"/>
    <n v="-76497.240000000005"/>
    <x v="0"/>
  </r>
  <r>
    <x v="0"/>
    <x v="0"/>
    <x v="5"/>
    <x v="0"/>
    <x v="0"/>
    <x v="0"/>
    <s v="24"/>
    <x v="0"/>
    <x v="7"/>
    <x v="9"/>
    <n v="17614280.530000001"/>
    <x v="0"/>
  </r>
  <r>
    <x v="0"/>
    <x v="0"/>
    <x v="5"/>
    <x v="0"/>
    <x v="0"/>
    <x v="0"/>
    <s v="24"/>
    <x v="0"/>
    <x v="8"/>
    <x v="6"/>
    <n v="86271.82"/>
    <x v="0"/>
  </r>
  <r>
    <x v="0"/>
    <x v="0"/>
    <x v="5"/>
    <x v="0"/>
    <x v="0"/>
    <x v="0"/>
    <s v="30"/>
    <x v="0"/>
    <x v="7"/>
    <x v="10"/>
    <n v="-45"/>
    <x v="0"/>
  </r>
  <r>
    <x v="0"/>
    <x v="0"/>
    <x v="5"/>
    <x v="0"/>
    <x v="0"/>
    <x v="0"/>
    <s v="24"/>
    <x v="0"/>
    <x v="7"/>
    <x v="11"/>
    <n v="-40944.800000000003"/>
    <x v="0"/>
  </r>
  <r>
    <x v="0"/>
    <x v="0"/>
    <x v="5"/>
    <x v="0"/>
    <x v="0"/>
    <x v="0"/>
    <s v="24"/>
    <x v="0"/>
    <x v="8"/>
    <x v="5"/>
    <n v="-114867.93"/>
    <x v="0"/>
  </r>
  <r>
    <x v="0"/>
    <x v="0"/>
    <x v="5"/>
    <x v="0"/>
    <x v="0"/>
    <x v="0"/>
    <s v="24"/>
    <x v="0"/>
    <x v="8"/>
    <x v="11"/>
    <n v="-37205.910000000003"/>
    <x v="0"/>
  </r>
  <r>
    <x v="0"/>
    <x v="0"/>
    <x v="5"/>
    <x v="0"/>
    <x v="0"/>
    <x v="0"/>
    <s v="30"/>
    <x v="0"/>
    <x v="7"/>
    <x v="8"/>
    <n v="58167.55"/>
    <x v="0"/>
  </r>
  <r>
    <x v="0"/>
    <x v="0"/>
    <x v="5"/>
    <x v="0"/>
    <x v="0"/>
    <x v="0"/>
    <s v="24"/>
    <x v="0"/>
    <x v="7"/>
    <x v="8"/>
    <n v="576209.31000000006"/>
    <x v="0"/>
  </r>
  <r>
    <x v="0"/>
    <x v="0"/>
    <x v="5"/>
    <x v="0"/>
    <x v="0"/>
    <x v="0"/>
    <s v="24"/>
    <x v="0"/>
    <x v="8"/>
    <x v="7"/>
    <n v="580953.59999999998"/>
    <x v="0"/>
  </r>
  <r>
    <x v="0"/>
    <x v="0"/>
    <x v="3"/>
    <x v="0"/>
    <x v="0"/>
    <x v="0"/>
    <s v="41"/>
    <x v="0"/>
    <x v="6"/>
    <x v="2"/>
    <n v="158508.34"/>
    <x v="0"/>
  </r>
  <r>
    <x v="0"/>
    <x v="0"/>
    <x v="3"/>
    <x v="0"/>
    <x v="0"/>
    <x v="0"/>
    <s v="41"/>
    <x v="0"/>
    <x v="5"/>
    <x v="5"/>
    <n v="70307.16"/>
    <x v="0"/>
  </r>
  <r>
    <x v="0"/>
    <x v="0"/>
    <x v="3"/>
    <x v="0"/>
    <x v="0"/>
    <x v="0"/>
    <s v="41"/>
    <x v="0"/>
    <x v="6"/>
    <x v="0"/>
    <n v="-358999.03"/>
    <x v="0"/>
  </r>
  <r>
    <x v="0"/>
    <x v="0"/>
    <x v="3"/>
    <x v="0"/>
    <x v="0"/>
    <x v="0"/>
    <s v="90"/>
    <x v="0"/>
    <x v="6"/>
    <x v="3"/>
    <n v="-4.34"/>
    <x v="0"/>
  </r>
  <r>
    <x v="0"/>
    <x v="0"/>
    <x v="3"/>
    <x v="0"/>
    <x v="0"/>
    <x v="0"/>
    <s v="86"/>
    <x v="0"/>
    <x v="5"/>
    <x v="11"/>
    <n v="-288.39999999999998"/>
    <x v="0"/>
  </r>
  <r>
    <x v="0"/>
    <x v="0"/>
    <x v="3"/>
    <x v="0"/>
    <x v="0"/>
    <x v="0"/>
    <s v="41"/>
    <x v="0"/>
    <x v="5"/>
    <x v="2"/>
    <n v="203509.55"/>
    <x v="0"/>
  </r>
  <r>
    <x v="0"/>
    <x v="0"/>
    <x v="3"/>
    <x v="0"/>
    <x v="0"/>
    <x v="0"/>
    <s v="90"/>
    <x v="0"/>
    <x v="6"/>
    <x v="7"/>
    <n v="-1"/>
    <x v="0"/>
  </r>
  <r>
    <x v="0"/>
    <x v="0"/>
    <x v="3"/>
    <x v="0"/>
    <x v="0"/>
    <x v="0"/>
    <s v="90"/>
    <x v="0"/>
    <x v="6"/>
    <x v="0"/>
    <n v="1"/>
    <x v="0"/>
  </r>
  <r>
    <x v="0"/>
    <x v="0"/>
    <x v="3"/>
    <x v="0"/>
    <x v="0"/>
    <x v="0"/>
    <s v="86"/>
    <x v="0"/>
    <x v="5"/>
    <x v="8"/>
    <n v="288.39999999999998"/>
    <x v="0"/>
  </r>
  <r>
    <x v="0"/>
    <x v="0"/>
    <x v="3"/>
    <x v="0"/>
    <x v="0"/>
    <x v="0"/>
    <s v="41"/>
    <x v="0"/>
    <x v="6"/>
    <x v="4"/>
    <n v="110273.76"/>
    <x v="0"/>
  </r>
  <r>
    <x v="0"/>
    <x v="0"/>
    <x v="3"/>
    <x v="0"/>
    <x v="0"/>
    <x v="0"/>
    <s v="99"/>
    <x v="0"/>
    <x v="5"/>
    <x v="3"/>
    <n v="61.8"/>
    <x v="0"/>
  </r>
  <r>
    <x v="0"/>
    <x v="0"/>
    <x v="3"/>
    <x v="0"/>
    <x v="0"/>
    <x v="0"/>
    <s v="99"/>
    <x v="0"/>
    <x v="5"/>
    <x v="1"/>
    <n v="179.42"/>
    <x v="0"/>
  </r>
  <r>
    <x v="0"/>
    <x v="0"/>
    <x v="3"/>
    <x v="0"/>
    <x v="0"/>
    <x v="0"/>
    <s v="90"/>
    <x v="0"/>
    <x v="5"/>
    <x v="0"/>
    <n v="5500"/>
    <x v="0"/>
  </r>
  <r>
    <x v="0"/>
    <x v="0"/>
    <x v="3"/>
    <x v="0"/>
    <x v="0"/>
    <x v="0"/>
    <s v="41"/>
    <x v="0"/>
    <x v="6"/>
    <x v="6"/>
    <n v="86108.89"/>
    <x v="0"/>
  </r>
  <r>
    <x v="0"/>
    <x v="0"/>
    <x v="3"/>
    <x v="0"/>
    <x v="0"/>
    <x v="0"/>
    <s v="99"/>
    <x v="0"/>
    <x v="5"/>
    <x v="4"/>
    <n v="40"/>
    <x v="0"/>
  </r>
  <r>
    <x v="0"/>
    <x v="0"/>
    <x v="3"/>
    <x v="0"/>
    <x v="0"/>
    <x v="0"/>
    <s v="99"/>
    <x v="0"/>
    <x v="5"/>
    <x v="7"/>
    <n v="-693.7"/>
    <x v="0"/>
  </r>
  <r>
    <x v="0"/>
    <x v="0"/>
    <x v="3"/>
    <x v="0"/>
    <x v="0"/>
    <x v="0"/>
    <s v="99"/>
    <x v="0"/>
    <x v="5"/>
    <x v="5"/>
    <n v="-13825.46"/>
    <x v="0"/>
  </r>
  <r>
    <x v="0"/>
    <x v="0"/>
    <x v="3"/>
    <x v="0"/>
    <x v="0"/>
    <x v="0"/>
    <s v="41"/>
    <x v="0"/>
    <x v="6"/>
    <x v="11"/>
    <n v="114381.8"/>
    <x v="0"/>
  </r>
  <r>
    <x v="0"/>
    <x v="0"/>
    <x v="3"/>
    <x v="0"/>
    <x v="0"/>
    <x v="0"/>
    <s v="99"/>
    <x v="0"/>
    <x v="5"/>
    <x v="6"/>
    <n v="19575.740000000002"/>
    <x v="0"/>
  </r>
  <r>
    <x v="0"/>
    <x v="0"/>
    <x v="3"/>
    <x v="0"/>
    <x v="0"/>
    <x v="0"/>
    <s v="99"/>
    <x v="0"/>
    <x v="6"/>
    <x v="11"/>
    <n v="-1500.54"/>
    <x v="0"/>
  </r>
  <r>
    <x v="0"/>
    <x v="0"/>
    <x v="3"/>
    <x v="0"/>
    <x v="0"/>
    <x v="0"/>
    <s v="99"/>
    <x v="0"/>
    <x v="5"/>
    <x v="2"/>
    <n v="1981.14"/>
    <x v="0"/>
  </r>
  <r>
    <x v="0"/>
    <x v="0"/>
    <x v="3"/>
    <x v="0"/>
    <x v="0"/>
    <x v="0"/>
    <s v="90"/>
    <x v="0"/>
    <x v="5"/>
    <x v="1"/>
    <n v="25"/>
    <x v="0"/>
  </r>
  <r>
    <x v="0"/>
    <x v="0"/>
    <x v="3"/>
    <x v="0"/>
    <x v="0"/>
    <x v="0"/>
    <s v="99"/>
    <x v="0"/>
    <x v="5"/>
    <x v="11"/>
    <n v="650.14"/>
    <x v="0"/>
  </r>
  <r>
    <x v="0"/>
    <x v="0"/>
    <x v="3"/>
    <x v="0"/>
    <x v="0"/>
    <x v="0"/>
    <s v="99"/>
    <x v="0"/>
    <x v="6"/>
    <x v="2"/>
    <n v="-2807.55"/>
    <x v="0"/>
  </r>
  <r>
    <x v="0"/>
    <x v="0"/>
    <x v="3"/>
    <x v="0"/>
    <x v="0"/>
    <x v="0"/>
    <s v="99"/>
    <x v="0"/>
    <x v="6"/>
    <x v="3"/>
    <n v="2542.91"/>
    <x v="0"/>
  </r>
  <r>
    <x v="0"/>
    <x v="0"/>
    <x v="3"/>
    <x v="0"/>
    <x v="0"/>
    <x v="0"/>
    <s v="90"/>
    <x v="0"/>
    <x v="6"/>
    <x v="5"/>
    <n v="4.34"/>
    <x v="0"/>
  </r>
  <r>
    <x v="0"/>
    <x v="0"/>
    <x v="3"/>
    <x v="0"/>
    <x v="0"/>
    <x v="0"/>
    <s v="99"/>
    <x v="0"/>
    <x v="5"/>
    <x v="8"/>
    <n v="-6388.07"/>
    <x v="0"/>
  </r>
  <r>
    <x v="0"/>
    <x v="0"/>
    <x v="3"/>
    <x v="0"/>
    <x v="0"/>
    <x v="3"/>
    <s v="41"/>
    <x v="0"/>
    <x v="5"/>
    <x v="5"/>
    <n v="-462"/>
    <x v="1"/>
  </r>
  <r>
    <x v="0"/>
    <x v="0"/>
    <x v="3"/>
    <x v="0"/>
    <x v="0"/>
    <x v="0"/>
    <s v="99"/>
    <x v="0"/>
    <x v="6"/>
    <x v="6"/>
    <n v="25"/>
    <x v="0"/>
  </r>
  <r>
    <x v="0"/>
    <x v="0"/>
    <x v="3"/>
    <x v="0"/>
    <x v="0"/>
    <x v="0"/>
    <s v="99"/>
    <x v="0"/>
    <x v="5"/>
    <x v="9"/>
    <n v="121836.12"/>
    <x v="0"/>
  </r>
  <r>
    <x v="0"/>
    <x v="0"/>
    <x v="3"/>
    <x v="0"/>
    <x v="0"/>
    <x v="0"/>
    <s v="99"/>
    <x v="0"/>
    <x v="5"/>
    <x v="0"/>
    <n v="-57406.81"/>
    <x v="0"/>
  </r>
  <r>
    <x v="0"/>
    <x v="0"/>
    <x v="3"/>
    <x v="0"/>
    <x v="0"/>
    <x v="3"/>
    <s v="41"/>
    <x v="0"/>
    <x v="5"/>
    <x v="7"/>
    <n v="2000"/>
    <x v="1"/>
  </r>
  <r>
    <x v="0"/>
    <x v="0"/>
    <x v="3"/>
    <x v="0"/>
    <x v="0"/>
    <x v="0"/>
    <s v="99"/>
    <x v="0"/>
    <x v="6"/>
    <x v="0"/>
    <n v="4769.9399999999996"/>
    <x v="0"/>
  </r>
  <r>
    <x v="0"/>
    <x v="0"/>
    <x v="3"/>
    <x v="0"/>
    <x v="0"/>
    <x v="0"/>
    <s v="99"/>
    <x v="0"/>
    <x v="5"/>
    <x v="10"/>
    <n v="5013.1000000000004"/>
    <x v="0"/>
  </r>
  <r>
    <x v="0"/>
    <x v="0"/>
    <x v="3"/>
    <x v="0"/>
    <x v="0"/>
    <x v="0"/>
    <s v="99"/>
    <x v="0"/>
    <x v="6"/>
    <x v="1"/>
    <n v="4074.28"/>
    <x v="0"/>
  </r>
  <r>
    <x v="0"/>
    <x v="0"/>
    <x v="3"/>
    <x v="0"/>
    <x v="0"/>
    <x v="3"/>
    <s v="41"/>
    <x v="0"/>
    <x v="5"/>
    <x v="0"/>
    <n v="214"/>
    <x v="1"/>
  </r>
  <r>
    <x v="0"/>
    <x v="0"/>
    <x v="3"/>
    <x v="0"/>
    <x v="0"/>
    <x v="3"/>
    <s v="41"/>
    <x v="0"/>
    <x v="5"/>
    <x v="6"/>
    <n v="462"/>
    <x v="1"/>
  </r>
  <r>
    <x v="0"/>
    <x v="0"/>
    <x v="3"/>
    <x v="0"/>
    <x v="0"/>
    <x v="3"/>
    <s v="41"/>
    <x v="0"/>
    <x v="5"/>
    <x v="2"/>
    <n v="-980.1"/>
    <x v="1"/>
  </r>
  <r>
    <x v="0"/>
    <x v="0"/>
    <x v="3"/>
    <x v="0"/>
    <x v="0"/>
    <x v="0"/>
    <s v="99"/>
    <x v="0"/>
    <x v="6"/>
    <x v="9"/>
    <n v="3538.2"/>
    <x v="0"/>
  </r>
  <r>
    <x v="0"/>
    <x v="0"/>
    <x v="3"/>
    <x v="0"/>
    <x v="0"/>
    <x v="3"/>
    <s v="46"/>
    <x v="0"/>
    <x v="6"/>
    <x v="6"/>
    <n v="-4750"/>
    <x v="1"/>
  </r>
  <r>
    <x v="0"/>
    <x v="0"/>
    <x v="3"/>
    <x v="0"/>
    <x v="0"/>
    <x v="3"/>
    <s v="41"/>
    <x v="0"/>
    <x v="6"/>
    <x v="10"/>
    <n v="1712"/>
    <x v="1"/>
  </r>
  <r>
    <x v="0"/>
    <x v="0"/>
    <x v="3"/>
    <x v="0"/>
    <x v="0"/>
    <x v="3"/>
    <s v="41"/>
    <x v="0"/>
    <x v="6"/>
    <x v="11"/>
    <n v="-2815"/>
    <x v="1"/>
  </r>
  <r>
    <x v="0"/>
    <x v="0"/>
    <x v="3"/>
    <x v="0"/>
    <x v="0"/>
    <x v="0"/>
    <s v="99"/>
    <x v="0"/>
    <x v="6"/>
    <x v="10"/>
    <n v="3489.48"/>
    <x v="0"/>
  </r>
  <r>
    <x v="0"/>
    <x v="0"/>
    <x v="3"/>
    <x v="0"/>
    <x v="0"/>
    <x v="1"/>
    <s v="21"/>
    <x v="0"/>
    <x v="6"/>
    <x v="5"/>
    <n v="34417.56"/>
    <x v="0"/>
  </r>
  <r>
    <x v="0"/>
    <x v="0"/>
    <x v="3"/>
    <x v="0"/>
    <x v="0"/>
    <x v="1"/>
    <s v="21"/>
    <x v="0"/>
    <x v="6"/>
    <x v="6"/>
    <n v="-34417.56"/>
    <x v="0"/>
  </r>
  <r>
    <x v="0"/>
    <x v="0"/>
    <x v="3"/>
    <x v="0"/>
    <x v="0"/>
    <x v="3"/>
    <s v="46"/>
    <x v="0"/>
    <x v="6"/>
    <x v="5"/>
    <n v="4750"/>
    <x v="1"/>
  </r>
  <r>
    <x v="0"/>
    <x v="0"/>
    <x v="3"/>
    <x v="0"/>
    <x v="0"/>
    <x v="3"/>
    <s v="41"/>
    <x v="0"/>
    <x v="5"/>
    <x v="10"/>
    <n v="-777.9"/>
    <x v="1"/>
  </r>
  <r>
    <x v="0"/>
    <x v="0"/>
    <x v="3"/>
    <x v="0"/>
    <x v="0"/>
    <x v="1"/>
    <s v="21"/>
    <x v="0"/>
    <x v="6"/>
    <x v="2"/>
    <n v="1371819.33"/>
    <x v="0"/>
  </r>
  <r>
    <x v="0"/>
    <x v="0"/>
    <x v="3"/>
    <x v="0"/>
    <x v="0"/>
    <x v="1"/>
    <s v="21"/>
    <x v="0"/>
    <x v="6"/>
    <x v="11"/>
    <n v="48101.07"/>
    <x v="0"/>
  </r>
  <r>
    <x v="0"/>
    <x v="0"/>
    <x v="3"/>
    <x v="0"/>
    <x v="0"/>
    <x v="1"/>
    <s v="21"/>
    <x v="0"/>
    <x v="5"/>
    <x v="9"/>
    <n v="-7731.01"/>
    <x v="0"/>
  </r>
  <r>
    <x v="0"/>
    <x v="0"/>
    <x v="3"/>
    <x v="0"/>
    <x v="0"/>
    <x v="3"/>
    <s v="41"/>
    <x v="0"/>
    <x v="6"/>
    <x v="5"/>
    <n v="1103"/>
    <x v="1"/>
  </r>
  <r>
    <x v="0"/>
    <x v="0"/>
    <x v="3"/>
    <x v="0"/>
    <x v="0"/>
    <x v="1"/>
    <s v="21"/>
    <x v="0"/>
    <x v="6"/>
    <x v="8"/>
    <n v="2513294.91"/>
    <x v="0"/>
  </r>
  <r>
    <x v="0"/>
    <x v="0"/>
    <x v="3"/>
    <x v="0"/>
    <x v="0"/>
    <x v="1"/>
    <s v="21"/>
    <x v="0"/>
    <x v="5"/>
    <x v="8"/>
    <n v="7731.01"/>
    <x v="0"/>
  </r>
  <r>
    <x v="0"/>
    <x v="0"/>
    <x v="3"/>
    <x v="0"/>
    <x v="0"/>
    <x v="1"/>
    <s v="21"/>
    <x v="0"/>
    <x v="5"/>
    <x v="0"/>
    <n v="6373590.7599999998"/>
    <x v="0"/>
  </r>
  <r>
    <x v="0"/>
    <x v="0"/>
    <x v="3"/>
    <x v="0"/>
    <x v="0"/>
    <x v="1"/>
    <s v="21"/>
    <x v="0"/>
    <x v="6"/>
    <x v="0"/>
    <n v="16959734.390000001"/>
    <x v="0"/>
  </r>
  <r>
    <x v="0"/>
    <x v="0"/>
    <x v="3"/>
    <x v="0"/>
    <x v="0"/>
    <x v="1"/>
    <s v="22"/>
    <x v="0"/>
    <x v="6"/>
    <x v="11"/>
    <n v="-28000"/>
    <x v="0"/>
  </r>
  <r>
    <x v="0"/>
    <x v="0"/>
    <x v="3"/>
    <x v="0"/>
    <x v="0"/>
    <x v="1"/>
    <s v="22"/>
    <x v="0"/>
    <x v="6"/>
    <x v="5"/>
    <n v="-11575.31"/>
    <x v="0"/>
  </r>
  <r>
    <x v="0"/>
    <x v="0"/>
    <x v="3"/>
    <x v="0"/>
    <x v="0"/>
    <x v="1"/>
    <s v="22"/>
    <x v="0"/>
    <x v="5"/>
    <x v="0"/>
    <n v="-515885.18"/>
    <x v="0"/>
  </r>
  <r>
    <x v="0"/>
    <x v="0"/>
    <x v="3"/>
    <x v="0"/>
    <x v="0"/>
    <x v="1"/>
    <s v="22"/>
    <x v="0"/>
    <x v="6"/>
    <x v="0"/>
    <n v="-5615199.5999999996"/>
    <x v="0"/>
  </r>
  <r>
    <x v="0"/>
    <x v="0"/>
    <x v="3"/>
    <x v="0"/>
    <x v="0"/>
    <x v="1"/>
    <s v="22"/>
    <x v="0"/>
    <x v="6"/>
    <x v="2"/>
    <n v="5615199.5999999996"/>
    <x v="0"/>
  </r>
  <r>
    <x v="0"/>
    <x v="0"/>
    <x v="3"/>
    <x v="0"/>
    <x v="0"/>
    <x v="1"/>
    <s v="22"/>
    <x v="0"/>
    <x v="6"/>
    <x v="9"/>
    <n v="11575.31"/>
    <x v="0"/>
  </r>
  <r>
    <x v="0"/>
    <x v="0"/>
    <x v="3"/>
    <x v="0"/>
    <x v="0"/>
    <x v="4"/>
    <s v="20"/>
    <x v="0"/>
    <x v="6"/>
    <x v="11"/>
    <n v="-1500"/>
    <x v="0"/>
  </r>
  <r>
    <x v="0"/>
    <x v="0"/>
    <x v="3"/>
    <x v="0"/>
    <x v="0"/>
    <x v="4"/>
    <s v="20"/>
    <x v="0"/>
    <x v="6"/>
    <x v="5"/>
    <n v="1500"/>
    <x v="0"/>
  </r>
  <r>
    <x v="0"/>
    <x v="0"/>
    <x v="2"/>
    <x v="0"/>
    <x v="0"/>
    <x v="0"/>
    <s v="01"/>
    <x v="0"/>
    <x v="8"/>
    <x v="10"/>
    <n v="76390.36"/>
    <x v="0"/>
  </r>
  <r>
    <x v="0"/>
    <x v="0"/>
    <x v="2"/>
    <x v="0"/>
    <x v="0"/>
    <x v="0"/>
    <s v="01"/>
    <x v="0"/>
    <x v="8"/>
    <x v="0"/>
    <n v="0"/>
    <x v="0"/>
  </r>
  <r>
    <x v="0"/>
    <x v="0"/>
    <x v="2"/>
    <x v="0"/>
    <x v="0"/>
    <x v="0"/>
    <s v="01"/>
    <x v="0"/>
    <x v="8"/>
    <x v="8"/>
    <n v="92811.53"/>
    <x v="0"/>
  </r>
  <r>
    <x v="0"/>
    <x v="0"/>
    <x v="2"/>
    <x v="0"/>
    <x v="0"/>
    <x v="0"/>
    <s v="09"/>
    <x v="0"/>
    <x v="8"/>
    <x v="2"/>
    <n v="169201.89"/>
    <x v="0"/>
  </r>
  <r>
    <x v="0"/>
    <x v="0"/>
    <x v="2"/>
    <x v="0"/>
    <x v="0"/>
    <x v="0"/>
    <s v="01"/>
    <x v="0"/>
    <x v="8"/>
    <x v="2"/>
    <n v="-169201.89"/>
    <x v="0"/>
  </r>
  <r>
    <x v="0"/>
    <x v="0"/>
    <x v="2"/>
    <x v="0"/>
    <x v="0"/>
    <x v="0"/>
    <s v="09"/>
    <x v="0"/>
    <x v="8"/>
    <x v="0"/>
    <n v="123009.17"/>
    <x v="0"/>
  </r>
  <r>
    <x v="0"/>
    <x v="0"/>
    <x v="2"/>
    <x v="0"/>
    <x v="0"/>
    <x v="0"/>
    <s v="05"/>
    <x v="0"/>
    <x v="7"/>
    <x v="0"/>
    <n v="105.99"/>
    <x v="0"/>
  </r>
  <r>
    <x v="0"/>
    <x v="0"/>
    <x v="2"/>
    <x v="0"/>
    <x v="0"/>
    <x v="0"/>
    <s v="20"/>
    <x v="0"/>
    <x v="7"/>
    <x v="7"/>
    <n v="14616"/>
    <x v="0"/>
  </r>
  <r>
    <x v="0"/>
    <x v="0"/>
    <x v="2"/>
    <x v="0"/>
    <x v="0"/>
    <x v="0"/>
    <s v="09"/>
    <x v="0"/>
    <x v="7"/>
    <x v="0"/>
    <n v="2631.15"/>
    <x v="0"/>
  </r>
  <r>
    <x v="0"/>
    <x v="0"/>
    <x v="2"/>
    <x v="0"/>
    <x v="0"/>
    <x v="0"/>
    <s v="20"/>
    <x v="0"/>
    <x v="7"/>
    <x v="5"/>
    <n v="7308"/>
    <x v="0"/>
  </r>
  <r>
    <x v="0"/>
    <x v="0"/>
    <x v="2"/>
    <x v="0"/>
    <x v="0"/>
    <x v="0"/>
    <s v="20"/>
    <x v="0"/>
    <x v="7"/>
    <x v="6"/>
    <n v="7308"/>
    <x v="0"/>
  </r>
  <r>
    <x v="0"/>
    <x v="0"/>
    <x v="2"/>
    <x v="0"/>
    <x v="0"/>
    <x v="0"/>
    <s v="20"/>
    <x v="0"/>
    <x v="7"/>
    <x v="2"/>
    <n v="7308"/>
    <x v="0"/>
  </r>
  <r>
    <x v="0"/>
    <x v="0"/>
    <x v="2"/>
    <x v="0"/>
    <x v="0"/>
    <x v="0"/>
    <s v="20"/>
    <x v="0"/>
    <x v="7"/>
    <x v="10"/>
    <n v="7308"/>
    <x v="0"/>
  </r>
  <r>
    <x v="0"/>
    <x v="0"/>
    <x v="2"/>
    <x v="0"/>
    <x v="0"/>
    <x v="0"/>
    <s v="20"/>
    <x v="0"/>
    <x v="7"/>
    <x v="8"/>
    <n v="7308"/>
    <x v="0"/>
  </r>
  <r>
    <x v="0"/>
    <x v="0"/>
    <x v="2"/>
    <x v="0"/>
    <x v="0"/>
    <x v="0"/>
    <s v="20"/>
    <x v="0"/>
    <x v="7"/>
    <x v="11"/>
    <n v="7308"/>
    <x v="0"/>
  </r>
  <r>
    <x v="0"/>
    <x v="0"/>
    <x v="2"/>
    <x v="0"/>
    <x v="0"/>
    <x v="0"/>
    <s v="20"/>
    <x v="0"/>
    <x v="8"/>
    <x v="0"/>
    <n v="-952"/>
    <x v="0"/>
  </r>
  <r>
    <x v="0"/>
    <x v="0"/>
    <x v="2"/>
    <x v="0"/>
    <x v="0"/>
    <x v="0"/>
    <s v="20"/>
    <x v="0"/>
    <x v="8"/>
    <x v="7"/>
    <n v="728"/>
    <x v="0"/>
  </r>
  <r>
    <x v="0"/>
    <x v="0"/>
    <x v="2"/>
    <x v="0"/>
    <x v="0"/>
    <x v="0"/>
    <s v="20"/>
    <x v="0"/>
    <x v="7"/>
    <x v="0"/>
    <n v="-58464"/>
    <x v="0"/>
  </r>
  <r>
    <x v="0"/>
    <x v="0"/>
    <x v="2"/>
    <x v="0"/>
    <x v="0"/>
    <x v="0"/>
    <s v="20"/>
    <x v="0"/>
    <x v="8"/>
    <x v="1"/>
    <n v="112"/>
    <x v="0"/>
  </r>
  <r>
    <x v="0"/>
    <x v="0"/>
    <x v="2"/>
    <x v="0"/>
    <x v="0"/>
    <x v="0"/>
    <s v="24"/>
    <x v="0"/>
    <x v="7"/>
    <x v="9"/>
    <n v="4686743.01"/>
    <x v="0"/>
  </r>
  <r>
    <x v="0"/>
    <x v="0"/>
    <x v="2"/>
    <x v="0"/>
    <x v="0"/>
    <x v="0"/>
    <s v="20"/>
    <x v="0"/>
    <x v="8"/>
    <x v="2"/>
    <n v="224"/>
    <x v="0"/>
  </r>
  <r>
    <x v="0"/>
    <x v="0"/>
    <x v="0"/>
    <x v="0"/>
    <x v="0"/>
    <x v="1"/>
    <s v="88"/>
    <x v="0"/>
    <x v="6"/>
    <x v="8"/>
    <n v="-658844.85"/>
    <x v="0"/>
  </r>
  <r>
    <x v="0"/>
    <x v="0"/>
    <x v="0"/>
    <x v="0"/>
    <x v="0"/>
    <x v="2"/>
    <s v="60"/>
    <x v="0"/>
    <x v="6"/>
    <x v="0"/>
    <n v="24586088.27"/>
    <x v="0"/>
  </r>
  <r>
    <x v="0"/>
    <x v="0"/>
    <x v="1"/>
    <x v="0"/>
    <x v="0"/>
    <x v="0"/>
    <s v="02"/>
    <x v="0"/>
    <x v="6"/>
    <x v="5"/>
    <n v="-21405.4"/>
    <x v="0"/>
  </r>
  <r>
    <x v="0"/>
    <x v="0"/>
    <x v="1"/>
    <x v="0"/>
    <x v="0"/>
    <x v="0"/>
    <s v="02"/>
    <x v="0"/>
    <x v="5"/>
    <x v="6"/>
    <n v="-20985.69"/>
    <x v="0"/>
  </r>
  <r>
    <x v="0"/>
    <x v="0"/>
    <x v="1"/>
    <x v="0"/>
    <x v="0"/>
    <x v="0"/>
    <s v="16"/>
    <x v="0"/>
    <x v="5"/>
    <x v="1"/>
    <n v="-1256.46"/>
    <x v="0"/>
  </r>
  <r>
    <x v="0"/>
    <x v="0"/>
    <x v="1"/>
    <x v="0"/>
    <x v="0"/>
    <x v="0"/>
    <s v="09"/>
    <x v="0"/>
    <x v="5"/>
    <x v="3"/>
    <n v="91790.95"/>
    <x v="0"/>
  </r>
  <r>
    <x v="0"/>
    <x v="0"/>
    <x v="1"/>
    <x v="0"/>
    <x v="0"/>
    <x v="0"/>
    <s v="02"/>
    <x v="0"/>
    <x v="6"/>
    <x v="1"/>
    <n v="21405.4"/>
    <x v="0"/>
  </r>
  <r>
    <x v="0"/>
    <x v="0"/>
    <x v="1"/>
    <x v="0"/>
    <x v="0"/>
    <x v="0"/>
    <s v="20"/>
    <x v="0"/>
    <x v="5"/>
    <x v="9"/>
    <n v="297.2"/>
    <x v="0"/>
  </r>
  <r>
    <x v="0"/>
    <x v="0"/>
    <x v="1"/>
    <x v="0"/>
    <x v="0"/>
    <x v="0"/>
    <s v="09"/>
    <x v="0"/>
    <x v="5"/>
    <x v="6"/>
    <n v="362582.35"/>
    <x v="0"/>
  </r>
  <r>
    <x v="0"/>
    <x v="0"/>
    <x v="1"/>
    <x v="0"/>
    <x v="0"/>
    <x v="0"/>
    <s v="09"/>
    <x v="0"/>
    <x v="5"/>
    <x v="2"/>
    <n v="358005.48"/>
    <x v="0"/>
  </r>
  <r>
    <x v="0"/>
    <x v="0"/>
    <x v="1"/>
    <x v="0"/>
    <x v="0"/>
    <x v="0"/>
    <s v="20"/>
    <x v="0"/>
    <x v="6"/>
    <x v="5"/>
    <n v="-4600"/>
    <x v="0"/>
  </r>
  <r>
    <x v="0"/>
    <x v="0"/>
    <x v="1"/>
    <x v="0"/>
    <x v="0"/>
    <x v="0"/>
    <s v="09"/>
    <x v="0"/>
    <x v="5"/>
    <x v="0"/>
    <n v="130281.27"/>
    <x v="0"/>
  </r>
  <r>
    <x v="0"/>
    <x v="0"/>
    <x v="1"/>
    <x v="0"/>
    <x v="0"/>
    <x v="0"/>
    <s v="09"/>
    <x v="0"/>
    <x v="6"/>
    <x v="3"/>
    <n v="43744"/>
    <x v="0"/>
  </r>
  <r>
    <x v="0"/>
    <x v="0"/>
    <x v="1"/>
    <x v="0"/>
    <x v="0"/>
    <x v="0"/>
    <s v="24"/>
    <x v="0"/>
    <x v="5"/>
    <x v="3"/>
    <n v="4377282.12"/>
    <x v="0"/>
  </r>
  <r>
    <x v="0"/>
    <x v="0"/>
    <x v="1"/>
    <x v="0"/>
    <x v="0"/>
    <x v="0"/>
    <s v="16"/>
    <x v="0"/>
    <x v="5"/>
    <x v="4"/>
    <n v="1256.46"/>
    <x v="0"/>
  </r>
  <r>
    <x v="0"/>
    <x v="0"/>
    <x v="1"/>
    <x v="0"/>
    <x v="0"/>
    <x v="0"/>
    <s v="09"/>
    <x v="0"/>
    <x v="6"/>
    <x v="6"/>
    <n v="161778.34"/>
    <x v="0"/>
  </r>
  <r>
    <x v="0"/>
    <x v="0"/>
    <x v="1"/>
    <x v="0"/>
    <x v="0"/>
    <x v="0"/>
    <s v="24"/>
    <x v="0"/>
    <x v="5"/>
    <x v="4"/>
    <n v="116527145.12"/>
    <x v="0"/>
  </r>
  <r>
    <x v="0"/>
    <x v="0"/>
    <x v="1"/>
    <x v="0"/>
    <x v="0"/>
    <x v="0"/>
    <s v="24"/>
    <x v="0"/>
    <x v="5"/>
    <x v="11"/>
    <n v="5284899.4800000004"/>
    <x v="0"/>
  </r>
  <r>
    <x v="0"/>
    <x v="0"/>
    <x v="1"/>
    <x v="0"/>
    <x v="0"/>
    <x v="0"/>
    <s v="09"/>
    <x v="0"/>
    <x v="6"/>
    <x v="0"/>
    <n v="-178630.72"/>
    <x v="0"/>
  </r>
  <r>
    <x v="0"/>
    <x v="0"/>
    <x v="1"/>
    <x v="0"/>
    <x v="0"/>
    <x v="0"/>
    <s v="24"/>
    <x v="0"/>
    <x v="5"/>
    <x v="6"/>
    <n v="2661756.21"/>
    <x v="0"/>
  </r>
  <r>
    <x v="0"/>
    <x v="0"/>
    <x v="1"/>
    <x v="0"/>
    <x v="0"/>
    <x v="0"/>
    <s v="24"/>
    <x v="0"/>
    <x v="5"/>
    <x v="2"/>
    <n v="215385.07"/>
    <x v="0"/>
  </r>
  <r>
    <x v="0"/>
    <x v="0"/>
    <x v="1"/>
    <x v="0"/>
    <x v="0"/>
    <x v="0"/>
    <s v="20"/>
    <x v="0"/>
    <x v="5"/>
    <x v="3"/>
    <n v="-35.200000000000003"/>
    <x v="0"/>
  </r>
  <r>
    <x v="0"/>
    <x v="0"/>
    <x v="1"/>
    <x v="0"/>
    <x v="0"/>
    <x v="0"/>
    <s v="24"/>
    <x v="0"/>
    <x v="5"/>
    <x v="8"/>
    <n v="1206662.93"/>
    <x v="0"/>
  </r>
  <r>
    <x v="0"/>
    <x v="0"/>
    <x v="1"/>
    <x v="0"/>
    <x v="0"/>
    <x v="0"/>
    <s v="24"/>
    <x v="0"/>
    <x v="6"/>
    <x v="9"/>
    <n v="4988735.95"/>
    <x v="0"/>
  </r>
  <r>
    <x v="0"/>
    <x v="0"/>
    <x v="1"/>
    <x v="0"/>
    <x v="0"/>
    <x v="0"/>
    <s v="20"/>
    <x v="0"/>
    <x v="5"/>
    <x v="0"/>
    <n v="2001.58"/>
    <x v="0"/>
  </r>
  <r>
    <x v="0"/>
    <x v="0"/>
    <x v="1"/>
    <x v="0"/>
    <x v="0"/>
    <x v="0"/>
    <s v="24"/>
    <x v="0"/>
    <x v="5"/>
    <x v="0"/>
    <n v="741374.9"/>
    <x v="0"/>
  </r>
  <r>
    <x v="0"/>
    <x v="0"/>
    <x v="1"/>
    <x v="0"/>
    <x v="0"/>
    <x v="0"/>
    <s v="02"/>
    <x v="0"/>
    <x v="5"/>
    <x v="5"/>
    <n v="20985.69"/>
    <x v="0"/>
  </r>
  <r>
    <x v="0"/>
    <x v="0"/>
    <x v="1"/>
    <x v="0"/>
    <x v="0"/>
    <x v="0"/>
    <s v="73"/>
    <x v="0"/>
    <x v="5"/>
    <x v="2"/>
    <n v="-71403.520000000004"/>
    <x v="0"/>
  </r>
  <r>
    <x v="0"/>
    <x v="0"/>
    <x v="1"/>
    <x v="0"/>
    <x v="0"/>
    <x v="0"/>
    <s v="20"/>
    <x v="0"/>
    <x v="6"/>
    <x v="1"/>
    <n v="4600"/>
    <x v="0"/>
  </r>
  <r>
    <x v="0"/>
    <x v="0"/>
    <x v="1"/>
    <x v="0"/>
    <x v="0"/>
    <x v="0"/>
    <s v="24"/>
    <x v="0"/>
    <x v="6"/>
    <x v="1"/>
    <n v="21906664.460000001"/>
    <x v="0"/>
  </r>
  <r>
    <x v="0"/>
    <x v="0"/>
    <x v="1"/>
    <x v="0"/>
    <x v="0"/>
    <x v="0"/>
    <s v="09"/>
    <x v="0"/>
    <x v="5"/>
    <x v="7"/>
    <n v="270074.56"/>
    <x v="0"/>
  </r>
  <r>
    <x v="0"/>
    <x v="0"/>
    <x v="1"/>
    <x v="0"/>
    <x v="0"/>
    <x v="1"/>
    <s v="21"/>
    <x v="0"/>
    <x v="5"/>
    <x v="10"/>
    <n v="183779"/>
    <x v="0"/>
  </r>
  <r>
    <x v="0"/>
    <x v="0"/>
    <x v="1"/>
    <x v="0"/>
    <x v="0"/>
    <x v="0"/>
    <s v="20"/>
    <x v="0"/>
    <x v="6"/>
    <x v="9"/>
    <n v="-88.56"/>
    <x v="0"/>
  </r>
  <r>
    <x v="0"/>
    <x v="0"/>
    <x v="1"/>
    <x v="0"/>
    <x v="0"/>
    <x v="0"/>
    <s v="73"/>
    <x v="0"/>
    <x v="5"/>
    <x v="3"/>
    <n v="-15185.02"/>
    <x v="0"/>
  </r>
  <r>
    <x v="0"/>
    <x v="0"/>
    <x v="1"/>
    <x v="0"/>
    <x v="0"/>
    <x v="0"/>
    <s v="20"/>
    <x v="0"/>
    <x v="5"/>
    <x v="7"/>
    <n v="-297.2"/>
    <x v="0"/>
  </r>
  <r>
    <x v="0"/>
    <x v="0"/>
    <x v="1"/>
    <x v="0"/>
    <x v="0"/>
    <x v="1"/>
    <s v="22"/>
    <x v="0"/>
    <x v="5"/>
    <x v="7"/>
    <n v="-22375"/>
    <x v="0"/>
  </r>
  <r>
    <x v="0"/>
    <x v="0"/>
    <x v="1"/>
    <x v="0"/>
    <x v="0"/>
    <x v="0"/>
    <s v="24"/>
    <x v="0"/>
    <x v="5"/>
    <x v="5"/>
    <n v="2670292.4500000002"/>
    <x v="0"/>
  </r>
  <r>
    <x v="0"/>
    <x v="0"/>
    <x v="1"/>
    <x v="0"/>
    <x v="0"/>
    <x v="0"/>
    <s v="73"/>
    <x v="0"/>
    <x v="5"/>
    <x v="6"/>
    <n v="-56215.96"/>
    <x v="0"/>
  </r>
  <r>
    <x v="0"/>
    <x v="0"/>
    <x v="1"/>
    <x v="0"/>
    <x v="0"/>
    <x v="0"/>
    <s v="20"/>
    <x v="0"/>
    <x v="6"/>
    <x v="3"/>
    <n v="-2001.58"/>
    <x v="0"/>
  </r>
  <r>
    <x v="0"/>
    <x v="0"/>
    <x v="1"/>
    <x v="0"/>
    <x v="0"/>
    <x v="1"/>
    <s v="22"/>
    <x v="0"/>
    <x v="6"/>
    <x v="3"/>
    <n v="-652375"/>
    <x v="0"/>
  </r>
  <r>
    <x v="0"/>
    <x v="0"/>
    <x v="1"/>
    <x v="0"/>
    <x v="0"/>
    <x v="0"/>
    <s v="24"/>
    <x v="0"/>
    <x v="5"/>
    <x v="7"/>
    <n v="113626533.02"/>
    <x v="0"/>
  </r>
  <r>
    <x v="0"/>
    <x v="0"/>
    <x v="1"/>
    <x v="0"/>
    <x v="0"/>
    <x v="0"/>
    <s v="73"/>
    <x v="0"/>
    <x v="5"/>
    <x v="0"/>
    <n v="-31251.73"/>
    <x v="0"/>
  </r>
  <r>
    <x v="0"/>
    <x v="0"/>
    <x v="1"/>
    <x v="0"/>
    <x v="0"/>
    <x v="0"/>
    <s v="20"/>
    <x v="0"/>
    <x v="6"/>
    <x v="6"/>
    <n v="88.56"/>
    <x v="0"/>
  </r>
  <r>
    <x v="0"/>
    <x v="0"/>
    <x v="1"/>
    <x v="0"/>
    <x v="0"/>
    <x v="1"/>
    <s v="22"/>
    <x v="0"/>
    <x v="6"/>
    <x v="0"/>
    <n v="-2958685.25"/>
    <x v="0"/>
  </r>
  <r>
    <x v="0"/>
    <x v="0"/>
    <x v="1"/>
    <x v="0"/>
    <x v="0"/>
    <x v="0"/>
    <s v="24"/>
    <x v="0"/>
    <x v="6"/>
    <x v="3"/>
    <n v="390653.95"/>
    <x v="0"/>
  </r>
  <r>
    <x v="0"/>
    <x v="0"/>
    <x v="1"/>
    <x v="0"/>
    <x v="0"/>
    <x v="4"/>
    <s v="20"/>
    <x v="0"/>
    <x v="5"/>
    <x v="11"/>
    <n v="1127"/>
    <x v="0"/>
  </r>
  <r>
    <x v="0"/>
    <x v="0"/>
    <x v="1"/>
    <x v="0"/>
    <x v="0"/>
    <x v="0"/>
    <s v="24"/>
    <x v="0"/>
    <x v="5"/>
    <x v="1"/>
    <n v="13916503.619999999"/>
    <x v="0"/>
  </r>
  <r>
    <x v="0"/>
    <x v="0"/>
    <x v="1"/>
    <x v="0"/>
    <x v="0"/>
    <x v="4"/>
    <s v="20"/>
    <x v="0"/>
    <x v="5"/>
    <x v="7"/>
    <n v="-1127"/>
    <x v="0"/>
  </r>
  <r>
    <x v="0"/>
    <x v="0"/>
    <x v="1"/>
    <x v="0"/>
    <x v="0"/>
    <x v="0"/>
    <s v="24"/>
    <x v="0"/>
    <x v="6"/>
    <x v="4"/>
    <n v="108122218.31"/>
    <x v="0"/>
  </r>
  <r>
    <x v="0"/>
    <x v="0"/>
    <x v="1"/>
    <x v="0"/>
    <x v="0"/>
    <x v="0"/>
    <s v="24"/>
    <x v="0"/>
    <x v="5"/>
    <x v="9"/>
    <n v="7709385.5099999998"/>
    <x v="0"/>
  </r>
  <r>
    <x v="0"/>
    <x v="0"/>
    <x v="1"/>
    <x v="0"/>
    <x v="0"/>
    <x v="0"/>
    <s v="24"/>
    <x v="0"/>
    <x v="6"/>
    <x v="6"/>
    <n v="4201189.8099999996"/>
    <x v="0"/>
  </r>
  <r>
    <x v="0"/>
    <x v="0"/>
    <x v="1"/>
    <x v="0"/>
    <x v="0"/>
    <x v="0"/>
    <s v="24"/>
    <x v="0"/>
    <x v="5"/>
    <x v="10"/>
    <n v="3008173.63"/>
    <x v="0"/>
  </r>
  <r>
    <x v="0"/>
    <x v="0"/>
    <x v="1"/>
    <x v="0"/>
    <x v="0"/>
    <x v="0"/>
    <s v="24"/>
    <x v="0"/>
    <x v="6"/>
    <x v="0"/>
    <n v="130607132.91"/>
    <x v="0"/>
  </r>
  <r>
    <x v="0"/>
    <x v="0"/>
    <x v="1"/>
    <x v="0"/>
    <x v="0"/>
    <x v="0"/>
    <s v="24"/>
    <x v="0"/>
    <x v="6"/>
    <x v="5"/>
    <n v="6553253.25"/>
    <x v="0"/>
  </r>
  <r>
    <x v="0"/>
    <x v="0"/>
    <x v="1"/>
    <x v="0"/>
    <x v="0"/>
    <x v="0"/>
    <s v="73"/>
    <x v="0"/>
    <x v="5"/>
    <x v="7"/>
    <n v="-54009.15"/>
    <x v="0"/>
  </r>
  <r>
    <x v="0"/>
    <x v="0"/>
    <x v="1"/>
    <x v="0"/>
    <x v="0"/>
    <x v="1"/>
    <s v="21"/>
    <x v="0"/>
    <x v="6"/>
    <x v="6"/>
    <n v="2226.56"/>
    <x v="0"/>
  </r>
  <r>
    <x v="0"/>
    <x v="0"/>
    <x v="1"/>
    <x v="0"/>
    <x v="0"/>
    <x v="0"/>
    <s v="73"/>
    <x v="0"/>
    <x v="6"/>
    <x v="3"/>
    <n v="-12887.5"/>
    <x v="0"/>
  </r>
  <r>
    <x v="0"/>
    <x v="0"/>
    <x v="1"/>
    <x v="0"/>
    <x v="0"/>
    <x v="1"/>
    <s v="22"/>
    <x v="0"/>
    <x v="5"/>
    <x v="3"/>
    <n v="-1324125"/>
    <x v="0"/>
  </r>
  <r>
    <x v="0"/>
    <x v="0"/>
    <x v="1"/>
    <x v="0"/>
    <x v="0"/>
    <x v="0"/>
    <s v="73"/>
    <x v="0"/>
    <x v="6"/>
    <x v="6"/>
    <n v="-48274.86"/>
    <x v="0"/>
  </r>
  <r>
    <x v="0"/>
    <x v="0"/>
    <x v="1"/>
    <x v="0"/>
    <x v="0"/>
    <x v="1"/>
    <s v="22"/>
    <x v="0"/>
    <x v="5"/>
    <x v="8"/>
    <n v="-183779"/>
    <x v="0"/>
  </r>
  <r>
    <x v="0"/>
    <x v="0"/>
    <x v="1"/>
    <x v="0"/>
    <x v="0"/>
    <x v="0"/>
    <s v="73"/>
    <x v="0"/>
    <x v="6"/>
    <x v="0"/>
    <n v="-142297.07"/>
    <x v="0"/>
  </r>
  <r>
    <x v="0"/>
    <x v="0"/>
    <x v="1"/>
    <x v="0"/>
    <x v="0"/>
    <x v="1"/>
    <s v="22"/>
    <x v="0"/>
    <x v="6"/>
    <x v="1"/>
    <n v="-1553085.25"/>
    <x v="0"/>
  </r>
  <r>
    <x v="0"/>
    <x v="0"/>
    <x v="1"/>
    <x v="0"/>
    <x v="0"/>
    <x v="1"/>
    <s v="21"/>
    <x v="0"/>
    <x v="5"/>
    <x v="4"/>
    <n v="0.91"/>
    <x v="0"/>
  </r>
  <r>
    <x v="0"/>
    <x v="0"/>
    <x v="1"/>
    <x v="0"/>
    <x v="0"/>
    <x v="4"/>
    <s v="20"/>
    <x v="0"/>
    <x v="5"/>
    <x v="6"/>
    <n v="-8582.5"/>
    <x v="0"/>
  </r>
  <r>
    <x v="0"/>
    <x v="0"/>
    <x v="1"/>
    <x v="0"/>
    <x v="0"/>
    <x v="1"/>
    <s v="21"/>
    <x v="0"/>
    <x v="5"/>
    <x v="6"/>
    <n v="71799.820000000007"/>
    <x v="0"/>
  </r>
  <r>
    <x v="0"/>
    <x v="0"/>
    <x v="1"/>
    <x v="0"/>
    <x v="0"/>
    <x v="1"/>
    <s v="21"/>
    <x v="0"/>
    <x v="5"/>
    <x v="8"/>
    <n v="27975"/>
    <x v="0"/>
  </r>
  <r>
    <x v="0"/>
    <x v="0"/>
    <x v="1"/>
    <x v="0"/>
    <x v="0"/>
    <x v="1"/>
    <s v="21"/>
    <x v="0"/>
    <x v="6"/>
    <x v="9"/>
    <n v="-2226.56"/>
    <x v="0"/>
  </r>
  <r>
    <x v="0"/>
    <x v="0"/>
    <x v="1"/>
    <x v="0"/>
    <x v="0"/>
    <x v="1"/>
    <s v="22"/>
    <x v="0"/>
    <x v="5"/>
    <x v="1"/>
    <n v="-1304060.25"/>
    <x v="0"/>
  </r>
  <r>
    <x v="0"/>
    <x v="0"/>
    <x v="1"/>
    <x v="0"/>
    <x v="0"/>
    <x v="1"/>
    <s v="22"/>
    <x v="0"/>
    <x v="5"/>
    <x v="9"/>
    <n v="-71800.73"/>
    <x v="0"/>
  </r>
  <r>
    <x v="0"/>
    <x v="0"/>
    <x v="1"/>
    <x v="0"/>
    <x v="0"/>
    <x v="1"/>
    <s v="22"/>
    <x v="0"/>
    <x v="5"/>
    <x v="10"/>
    <n v="-2542035.25"/>
    <x v="0"/>
  </r>
  <r>
    <x v="0"/>
    <x v="0"/>
    <x v="1"/>
    <x v="0"/>
    <x v="0"/>
    <x v="4"/>
    <s v="20"/>
    <x v="0"/>
    <x v="5"/>
    <x v="9"/>
    <n v="8582.5"/>
    <x v="0"/>
  </r>
  <r>
    <x v="0"/>
    <x v="0"/>
    <x v="5"/>
    <x v="0"/>
    <x v="0"/>
    <x v="0"/>
    <s v="02"/>
    <x v="0"/>
    <x v="5"/>
    <x v="5"/>
    <n v="15724.62"/>
    <x v="0"/>
  </r>
  <r>
    <x v="0"/>
    <x v="0"/>
    <x v="5"/>
    <x v="0"/>
    <x v="0"/>
    <x v="0"/>
    <s v="13"/>
    <x v="0"/>
    <x v="5"/>
    <x v="3"/>
    <n v="-46500"/>
    <x v="0"/>
  </r>
  <r>
    <x v="0"/>
    <x v="0"/>
    <x v="5"/>
    <x v="0"/>
    <x v="0"/>
    <x v="0"/>
    <s v="02"/>
    <x v="0"/>
    <x v="5"/>
    <x v="1"/>
    <n v="15724.62"/>
    <x v="0"/>
  </r>
  <r>
    <x v="0"/>
    <x v="0"/>
    <x v="5"/>
    <x v="0"/>
    <x v="0"/>
    <x v="0"/>
    <s v="24"/>
    <x v="0"/>
    <x v="5"/>
    <x v="1"/>
    <n v="2078830.49"/>
    <x v="0"/>
  </r>
  <r>
    <x v="0"/>
    <x v="0"/>
    <x v="5"/>
    <x v="0"/>
    <x v="0"/>
    <x v="0"/>
    <s v="02"/>
    <x v="0"/>
    <x v="5"/>
    <x v="9"/>
    <n v="15724.62"/>
    <x v="0"/>
  </r>
  <r>
    <x v="0"/>
    <x v="0"/>
    <x v="5"/>
    <x v="0"/>
    <x v="0"/>
    <x v="0"/>
    <s v="24"/>
    <x v="0"/>
    <x v="5"/>
    <x v="9"/>
    <n v="20521488.23"/>
    <x v="0"/>
  </r>
  <r>
    <x v="0"/>
    <x v="0"/>
    <x v="5"/>
    <x v="0"/>
    <x v="0"/>
    <x v="0"/>
    <s v="02"/>
    <x v="0"/>
    <x v="5"/>
    <x v="3"/>
    <n v="15724.62"/>
    <x v="0"/>
  </r>
  <r>
    <x v="0"/>
    <x v="0"/>
    <x v="5"/>
    <x v="0"/>
    <x v="0"/>
    <x v="0"/>
    <s v="13"/>
    <x v="0"/>
    <x v="5"/>
    <x v="0"/>
    <n v="46500"/>
    <x v="0"/>
  </r>
  <r>
    <x v="0"/>
    <x v="0"/>
    <x v="5"/>
    <x v="0"/>
    <x v="0"/>
    <x v="0"/>
    <s v="24"/>
    <x v="0"/>
    <x v="5"/>
    <x v="10"/>
    <n v="19202577.280000001"/>
    <x v="0"/>
  </r>
  <r>
    <x v="0"/>
    <x v="0"/>
    <x v="5"/>
    <x v="0"/>
    <x v="0"/>
    <x v="0"/>
    <s v="02"/>
    <x v="0"/>
    <x v="5"/>
    <x v="4"/>
    <n v="15724.62"/>
    <x v="0"/>
  </r>
  <r>
    <x v="0"/>
    <x v="0"/>
    <x v="5"/>
    <x v="0"/>
    <x v="0"/>
    <x v="0"/>
    <s v="13"/>
    <x v="0"/>
    <x v="6"/>
    <x v="3"/>
    <n v="-176400"/>
    <x v="0"/>
  </r>
  <r>
    <x v="0"/>
    <x v="0"/>
    <x v="5"/>
    <x v="0"/>
    <x v="0"/>
    <x v="0"/>
    <s v="24"/>
    <x v="0"/>
    <x v="6"/>
    <x v="5"/>
    <n v="-193689.65"/>
    <x v="0"/>
  </r>
  <r>
    <x v="0"/>
    <x v="0"/>
    <x v="5"/>
    <x v="0"/>
    <x v="0"/>
    <x v="0"/>
    <s v="02"/>
    <x v="0"/>
    <x v="5"/>
    <x v="6"/>
    <n v="15724.62"/>
    <x v="0"/>
  </r>
  <r>
    <x v="0"/>
    <x v="0"/>
    <x v="5"/>
    <x v="0"/>
    <x v="0"/>
    <x v="0"/>
    <s v="30"/>
    <x v="0"/>
    <x v="7"/>
    <x v="5"/>
    <n v="1300.3699999999999"/>
    <x v="0"/>
  </r>
  <r>
    <x v="0"/>
    <x v="0"/>
    <x v="5"/>
    <x v="0"/>
    <x v="0"/>
    <x v="0"/>
    <s v="30"/>
    <x v="0"/>
    <x v="8"/>
    <x v="1"/>
    <n v="39991.120000000003"/>
    <x v="0"/>
  </r>
  <r>
    <x v="0"/>
    <x v="0"/>
    <x v="5"/>
    <x v="0"/>
    <x v="0"/>
    <x v="0"/>
    <s v="24"/>
    <x v="0"/>
    <x v="8"/>
    <x v="9"/>
    <n v="16578956.33"/>
    <x v="0"/>
  </r>
  <r>
    <x v="0"/>
    <x v="0"/>
    <x v="5"/>
    <x v="0"/>
    <x v="0"/>
    <x v="0"/>
    <s v="24"/>
    <x v="0"/>
    <x v="8"/>
    <x v="8"/>
    <n v="476029.46"/>
    <x v="0"/>
  </r>
  <r>
    <x v="0"/>
    <x v="0"/>
    <x v="5"/>
    <x v="0"/>
    <x v="0"/>
    <x v="0"/>
    <s v="30"/>
    <x v="0"/>
    <x v="7"/>
    <x v="7"/>
    <n v="270"/>
    <x v="0"/>
  </r>
  <r>
    <x v="0"/>
    <x v="0"/>
    <x v="5"/>
    <x v="0"/>
    <x v="0"/>
    <x v="1"/>
    <s v="21"/>
    <x v="0"/>
    <x v="8"/>
    <x v="0"/>
    <n v="5884238"/>
    <x v="0"/>
  </r>
  <r>
    <x v="0"/>
    <x v="0"/>
    <x v="5"/>
    <x v="0"/>
    <x v="0"/>
    <x v="0"/>
    <s v="24"/>
    <x v="0"/>
    <x v="8"/>
    <x v="10"/>
    <n v="13892016.109999999"/>
    <x v="0"/>
  </r>
  <r>
    <x v="0"/>
    <x v="0"/>
    <x v="5"/>
    <x v="0"/>
    <x v="0"/>
    <x v="0"/>
    <s v="24"/>
    <x v="0"/>
    <x v="8"/>
    <x v="0"/>
    <n v="-76099.7"/>
    <x v="0"/>
  </r>
  <r>
    <x v="0"/>
    <x v="0"/>
    <x v="5"/>
    <x v="0"/>
    <x v="0"/>
    <x v="0"/>
    <s v="30"/>
    <x v="0"/>
    <x v="8"/>
    <x v="3"/>
    <n v="1018.61"/>
    <x v="0"/>
  </r>
  <r>
    <x v="0"/>
    <x v="0"/>
    <x v="5"/>
    <x v="0"/>
    <x v="0"/>
    <x v="0"/>
    <s v="30"/>
    <x v="0"/>
    <x v="7"/>
    <x v="0"/>
    <n v="20104.439999999999"/>
    <x v="0"/>
  </r>
  <r>
    <x v="0"/>
    <x v="0"/>
    <x v="5"/>
    <x v="0"/>
    <x v="0"/>
    <x v="0"/>
    <s v="30"/>
    <x v="0"/>
    <x v="7"/>
    <x v="1"/>
    <n v="29341.46"/>
    <x v="0"/>
  </r>
  <r>
    <x v="0"/>
    <x v="0"/>
    <x v="5"/>
    <x v="0"/>
    <x v="0"/>
    <x v="0"/>
    <s v="30"/>
    <x v="0"/>
    <x v="8"/>
    <x v="4"/>
    <n v="4806.43"/>
    <x v="0"/>
  </r>
  <r>
    <x v="0"/>
    <x v="0"/>
    <x v="5"/>
    <x v="0"/>
    <x v="0"/>
    <x v="0"/>
    <s v="30"/>
    <x v="0"/>
    <x v="8"/>
    <x v="9"/>
    <n v="345"/>
    <x v="0"/>
  </r>
  <r>
    <x v="0"/>
    <x v="0"/>
    <x v="5"/>
    <x v="0"/>
    <x v="0"/>
    <x v="0"/>
    <s v="30"/>
    <x v="0"/>
    <x v="7"/>
    <x v="9"/>
    <n v="-150"/>
    <x v="0"/>
  </r>
  <r>
    <x v="0"/>
    <x v="0"/>
    <x v="5"/>
    <x v="0"/>
    <x v="0"/>
    <x v="0"/>
    <s v="30"/>
    <x v="0"/>
    <x v="8"/>
    <x v="8"/>
    <n v="57734.6"/>
    <x v="0"/>
  </r>
  <r>
    <x v="0"/>
    <x v="0"/>
    <x v="5"/>
    <x v="0"/>
    <x v="0"/>
    <x v="0"/>
    <s v="30"/>
    <x v="0"/>
    <x v="8"/>
    <x v="10"/>
    <n v="5328.55"/>
    <x v="0"/>
  </r>
  <r>
    <x v="0"/>
    <x v="0"/>
    <x v="5"/>
    <x v="0"/>
    <x v="0"/>
    <x v="0"/>
    <s v="30"/>
    <x v="0"/>
    <x v="8"/>
    <x v="5"/>
    <n v="5758.43"/>
    <x v="0"/>
  </r>
  <r>
    <x v="0"/>
    <x v="0"/>
    <x v="5"/>
    <x v="0"/>
    <x v="0"/>
    <x v="0"/>
    <s v="30"/>
    <x v="0"/>
    <x v="8"/>
    <x v="0"/>
    <n v="13525.77"/>
    <x v="0"/>
  </r>
  <r>
    <x v="0"/>
    <x v="0"/>
    <x v="5"/>
    <x v="0"/>
    <x v="0"/>
    <x v="0"/>
    <s v="30"/>
    <x v="0"/>
    <x v="8"/>
    <x v="7"/>
    <n v="71880.05"/>
    <x v="0"/>
  </r>
  <r>
    <x v="0"/>
    <x v="0"/>
    <x v="5"/>
    <x v="0"/>
    <x v="0"/>
    <x v="1"/>
    <s v="22"/>
    <x v="0"/>
    <x v="8"/>
    <x v="0"/>
    <n v="-2498096.14"/>
    <x v="0"/>
  </r>
  <r>
    <x v="0"/>
    <x v="0"/>
    <x v="5"/>
    <x v="0"/>
    <x v="0"/>
    <x v="0"/>
    <s v="30"/>
    <x v="0"/>
    <x v="8"/>
    <x v="2"/>
    <n v="425.03"/>
    <x v="0"/>
  </r>
  <r>
    <x v="0"/>
    <x v="0"/>
    <x v="5"/>
    <x v="0"/>
    <x v="0"/>
    <x v="1"/>
    <s v="21"/>
    <x v="0"/>
    <x v="7"/>
    <x v="0"/>
    <n v="10620806"/>
    <x v="0"/>
  </r>
  <r>
    <x v="0"/>
    <x v="0"/>
    <x v="6"/>
    <x v="0"/>
    <x v="0"/>
    <x v="0"/>
    <s v="02"/>
    <x v="0"/>
    <x v="7"/>
    <x v="11"/>
    <n v="265"/>
    <x v="0"/>
  </r>
  <r>
    <x v="0"/>
    <x v="0"/>
    <x v="6"/>
    <x v="0"/>
    <x v="0"/>
    <x v="0"/>
    <s v="02"/>
    <x v="0"/>
    <x v="7"/>
    <x v="10"/>
    <n v="-20.309999999999999"/>
    <x v="0"/>
  </r>
  <r>
    <x v="0"/>
    <x v="0"/>
    <x v="6"/>
    <x v="0"/>
    <x v="0"/>
    <x v="0"/>
    <s v="02"/>
    <x v="0"/>
    <x v="7"/>
    <x v="8"/>
    <n v="-283.47000000000003"/>
    <x v="0"/>
  </r>
  <r>
    <x v="0"/>
    <x v="0"/>
    <x v="6"/>
    <x v="0"/>
    <x v="0"/>
    <x v="0"/>
    <s v="24"/>
    <x v="0"/>
    <x v="7"/>
    <x v="3"/>
    <n v="-25799.35"/>
    <x v="0"/>
  </r>
  <r>
    <x v="0"/>
    <x v="0"/>
    <x v="6"/>
    <x v="0"/>
    <x v="0"/>
    <x v="0"/>
    <s v="02"/>
    <x v="0"/>
    <x v="7"/>
    <x v="1"/>
    <n v="20"/>
    <x v="0"/>
  </r>
  <r>
    <x v="0"/>
    <x v="0"/>
    <x v="6"/>
    <x v="0"/>
    <x v="0"/>
    <x v="0"/>
    <s v="16"/>
    <x v="0"/>
    <x v="7"/>
    <x v="8"/>
    <n v="-504.74"/>
    <x v="0"/>
  </r>
  <r>
    <x v="0"/>
    <x v="0"/>
    <x v="6"/>
    <x v="0"/>
    <x v="0"/>
    <x v="0"/>
    <s v="24"/>
    <x v="0"/>
    <x v="7"/>
    <x v="6"/>
    <n v="-87101.07"/>
    <x v="0"/>
  </r>
  <r>
    <x v="0"/>
    <x v="0"/>
    <x v="6"/>
    <x v="0"/>
    <x v="0"/>
    <x v="0"/>
    <s v="02"/>
    <x v="0"/>
    <x v="7"/>
    <x v="5"/>
    <n v="-1.53"/>
    <x v="0"/>
  </r>
  <r>
    <x v="0"/>
    <x v="0"/>
    <x v="6"/>
    <x v="0"/>
    <x v="0"/>
    <x v="0"/>
    <s v="16"/>
    <x v="0"/>
    <x v="7"/>
    <x v="10"/>
    <n v="6586"/>
    <x v="0"/>
  </r>
  <r>
    <x v="0"/>
    <x v="0"/>
    <x v="6"/>
    <x v="0"/>
    <x v="0"/>
    <x v="0"/>
    <s v="20"/>
    <x v="0"/>
    <x v="7"/>
    <x v="4"/>
    <n v="20000"/>
    <x v="0"/>
  </r>
  <r>
    <x v="0"/>
    <x v="0"/>
    <x v="6"/>
    <x v="0"/>
    <x v="0"/>
    <x v="0"/>
    <s v="24"/>
    <x v="0"/>
    <x v="7"/>
    <x v="11"/>
    <n v="4075007.44"/>
    <x v="0"/>
  </r>
  <r>
    <x v="0"/>
    <x v="0"/>
    <x v="6"/>
    <x v="0"/>
    <x v="0"/>
    <x v="0"/>
    <s v="02"/>
    <x v="0"/>
    <x v="7"/>
    <x v="2"/>
    <n v="21.97"/>
    <x v="0"/>
  </r>
  <r>
    <x v="0"/>
    <x v="0"/>
    <x v="6"/>
    <x v="0"/>
    <x v="0"/>
    <x v="0"/>
    <s v="20"/>
    <x v="0"/>
    <x v="7"/>
    <x v="1"/>
    <n v="4000"/>
    <x v="0"/>
  </r>
  <r>
    <x v="0"/>
    <x v="0"/>
    <x v="6"/>
    <x v="0"/>
    <x v="0"/>
    <x v="0"/>
    <s v="20"/>
    <x v="0"/>
    <x v="7"/>
    <x v="6"/>
    <n v="-24800"/>
    <x v="0"/>
  </r>
  <r>
    <x v="0"/>
    <x v="0"/>
    <x v="6"/>
    <x v="0"/>
    <x v="0"/>
    <x v="0"/>
    <s v="24"/>
    <x v="0"/>
    <x v="7"/>
    <x v="8"/>
    <n v="-4354734.5999999996"/>
    <x v="0"/>
  </r>
  <r>
    <x v="0"/>
    <x v="0"/>
    <x v="6"/>
    <x v="0"/>
    <x v="0"/>
    <x v="0"/>
    <s v="20"/>
    <x v="0"/>
    <x v="7"/>
    <x v="5"/>
    <n v="800"/>
    <x v="0"/>
  </r>
  <r>
    <x v="0"/>
    <x v="0"/>
    <x v="6"/>
    <x v="0"/>
    <x v="0"/>
    <x v="0"/>
    <s v="20"/>
    <x v="0"/>
    <x v="8"/>
    <x v="5"/>
    <n v="5170"/>
    <x v="0"/>
  </r>
  <r>
    <x v="0"/>
    <x v="0"/>
    <x v="6"/>
    <x v="0"/>
    <x v="0"/>
    <x v="0"/>
    <s v="20"/>
    <x v="0"/>
    <x v="7"/>
    <x v="11"/>
    <n v="4832"/>
    <x v="0"/>
  </r>
  <r>
    <x v="0"/>
    <x v="0"/>
    <x v="6"/>
    <x v="0"/>
    <x v="0"/>
    <x v="0"/>
    <s v="24"/>
    <x v="0"/>
    <x v="8"/>
    <x v="9"/>
    <n v="-1952862.82"/>
    <x v="0"/>
  </r>
  <r>
    <x v="0"/>
    <x v="0"/>
    <x v="6"/>
    <x v="0"/>
    <x v="0"/>
    <x v="0"/>
    <s v="20"/>
    <x v="0"/>
    <x v="7"/>
    <x v="0"/>
    <n v="333.22"/>
    <x v="0"/>
  </r>
  <r>
    <x v="0"/>
    <x v="0"/>
    <x v="6"/>
    <x v="0"/>
    <x v="0"/>
    <x v="0"/>
    <s v="20"/>
    <x v="0"/>
    <x v="8"/>
    <x v="0"/>
    <n v="-2540.2399999999998"/>
    <x v="0"/>
  </r>
  <r>
    <x v="0"/>
    <x v="0"/>
    <x v="6"/>
    <x v="0"/>
    <x v="0"/>
    <x v="0"/>
    <s v="20"/>
    <x v="0"/>
    <x v="7"/>
    <x v="8"/>
    <n v="-4832"/>
    <x v="0"/>
  </r>
  <r>
    <x v="0"/>
    <x v="0"/>
    <x v="6"/>
    <x v="0"/>
    <x v="0"/>
    <x v="0"/>
    <s v="24"/>
    <x v="0"/>
    <x v="8"/>
    <x v="10"/>
    <n v="15309761.220000001"/>
    <x v="0"/>
  </r>
  <r>
    <x v="0"/>
    <x v="0"/>
    <x v="6"/>
    <x v="0"/>
    <x v="0"/>
    <x v="0"/>
    <s v="20"/>
    <x v="0"/>
    <x v="8"/>
    <x v="11"/>
    <n v="960"/>
    <x v="0"/>
  </r>
  <r>
    <x v="0"/>
    <x v="0"/>
    <x v="6"/>
    <x v="0"/>
    <x v="0"/>
    <x v="0"/>
    <s v="24"/>
    <x v="0"/>
    <x v="7"/>
    <x v="4"/>
    <n v="-88145.19"/>
    <x v="0"/>
  </r>
  <r>
    <x v="0"/>
    <x v="0"/>
    <x v="6"/>
    <x v="0"/>
    <x v="0"/>
    <x v="0"/>
    <s v="24"/>
    <x v="0"/>
    <x v="7"/>
    <x v="5"/>
    <n v="-1168930.1000000001"/>
    <x v="0"/>
  </r>
  <r>
    <x v="0"/>
    <x v="0"/>
    <x v="6"/>
    <x v="0"/>
    <x v="0"/>
    <x v="1"/>
    <s v="21"/>
    <x v="0"/>
    <x v="7"/>
    <x v="1"/>
    <n v="94142.54"/>
    <x v="0"/>
  </r>
  <r>
    <x v="0"/>
    <x v="0"/>
    <x v="6"/>
    <x v="0"/>
    <x v="0"/>
    <x v="0"/>
    <s v="24"/>
    <x v="0"/>
    <x v="7"/>
    <x v="1"/>
    <n v="19817118.719999999"/>
    <x v="0"/>
  </r>
  <r>
    <x v="0"/>
    <x v="0"/>
    <x v="6"/>
    <x v="0"/>
    <x v="0"/>
    <x v="0"/>
    <s v="24"/>
    <x v="0"/>
    <x v="7"/>
    <x v="10"/>
    <n v="16754536.82"/>
    <x v="0"/>
  </r>
  <r>
    <x v="0"/>
    <x v="0"/>
    <x v="6"/>
    <x v="0"/>
    <x v="0"/>
    <x v="0"/>
    <s v="24"/>
    <x v="0"/>
    <x v="7"/>
    <x v="7"/>
    <n v="17721165.960000001"/>
    <x v="0"/>
  </r>
  <r>
    <x v="0"/>
    <x v="0"/>
    <x v="6"/>
    <x v="0"/>
    <x v="0"/>
    <x v="1"/>
    <s v="21"/>
    <x v="0"/>
    <x v="7"/>
    <x v="9"/>
    <n v="252618.89"/>
    <x v="0"/>
  </r>
  <r>
    <x v="0"/>
    <x v="0"/>
    <x v="6"/>
    <x v="0"/>
    <x v="0"/>
    <x v="0"/>
    <s v="24"/>
    <x v="0"/>
    <x v="7"/>
    <x v="9"/>
    <n v="-8677.7999999999993"/>
    <x v="0"/>
  </r>
  <r>
    <x v="0"/>
    <x v="0"/>
    <x v="6"/>
    <x v="0"/>
    <x v="0"/>
    <x v="0"/>
    <s v="24"/>
    <x v="0"/>
    <x v="8"/>
    <x v="1"/>
    <n v="17745708.77"/>
    <x v="0"/>
  </r>
  <r>
    <x v="0"/>
    <x v="0"/>
    <x v="6"/>
    <x v="0"/>
    <x v="0"/>
    <x v="0"/>
    <s v="24"/>
    <x v="0"/>
    <x v="7"/>
    <x v="0"/>
    <n v="-171887.09"/>
    <x v="0"/>
  </r>
  <r>
    <x v="0"/>
    <x v="0"/>
    <x v="6"/>
    <x v="0"/>
    <x v="0"/>
    <x v="1"/>
    <s v="21"/>
    <x v="0"/>
    <x v="8"/>
    <x v="5"/>
    <n v="64557355.68"/>
    <x v="0"/>
  </r>
  <r>
    <x v="0"/>
    <x v="0"/>
    <x v="6"/>
    <x v="0"/>
    <x v="0"/>
    <x v="0"/>
    <s v="24"/>
    <x v="0"/>
    <x v="7"/>
    <x v="2"/>
    <n v="-84179.97"/>
    <x v="0"/>
  </r>
  <r>
    <x v="0"/>
    <x v="0"/>
    <x v="6"/>
    <x v="0"/>
    <x v="0"/>
    <x v="0"/>
    <s v="24"/>
    <x v="0"/>
    <x v="8"/>
    <x v="2"/>
    <n v="634627.37"/>
    <x v="0"/>
  </r>
  <r>
    <x v="0"/>
    <x v="0"/>
    <x v="6"/>
    <x v="0"/>
    <x v="0"/>
    <x v="0"/>
    <s v="24"/>
    <x v="0"/>
    <x v="8"/>
    <x v="3"/>
    <n v="-81553.649999999994"/>
    <x v="0"/>
  </r>
  <r>
    <x v="0"/>
    <x v="0"/>
    <x v="6"/>
    <x v="0"/>
    <x v="0"/>
    <x v="1"/>
    <s v="21"/>
    <x v="0"/>
    <x v="8"/>
    <x v="7"/>
    <n v="402339"/>
    <x v="0"/>
  </r>
  <r>
    <x v="0"/>
    <x v="0"/>
    <x v="6"/>
    <x v="0"/>
    <x v="0"/>
    <x v="0"/>
    <s v="24"/>
    <x v="0"/>
    <x v="8"/>
    <x v="5"/>
    <n v="683654.47"/>
    <x v="0"/>
  </r>
  <r>
    <x v="0"/>
    <x v="0"/>
    <x v="6"/>
    <x v="0"/>
    <x v="0"/>
    <x v="1"/>
    <s v="21"/>
    <x v="0"/>
    <x v="7"/>
    <x v="7"/>
    <n v="1455.49"/>
    <x v="0"/>
  </r>
  <r>
    <x v="0"/>
    <x v="0"/>
    <x v="6"/>
    <x v="0"/>
    <x v="0"/>
    <x v="0"/>
    <s v="24"/>
    <x v="0"/>
    <x v="8"/>
    <x v="4"/>
    <n v="-8975.2000000000007"/>
    <x v="0"/>
  </r>
  <r>
    <x v="0"/>
    <x v="0"/>
    <x v="6"/>
    <x v="0"/>
    <x v="0"/>
    <x v="1"/>
    <s v="21"/>
    <x v="0"/>
    <x v="8"/>
    <x v="2"/>
    <n v="62867"/>
    <x v="0"/>
  </r>
  <r>
    <x v="0"/>
    <x v="0"/>
    <x v="6"/>
    <x v="0"/>
    <x v="0"/>
    <x v="0"/>
    <s v="24"/>
    <x v="0"/>
    <x v="8"/>
    <x v="7"/>
    <n v="18135277.66"/>
    <x v="0"/>
  </r>
  <r>
    <x v="0"/>
    <x v="0"/>
    <x v="6"/>
    <x v="0"/>
    <x v="0"/>
    <x v="1"/>
    <s v="21"/>
    <x v="0"/>
    <x v="7"/>
    <x v="2"/>
    <n v="40"/>
    <x v="0"/>
  </r>
  <r>
    <x v="0"/>
    <x v="0"/>
    <x v="6"/>
    <x v="0"/>
    <x v="0"/>
    <x v="0"/>
    <s v="24"/>
    <x v="0"/>
    <x v="8"/>
    <x v="6"/>
    <n v="-119447.09"/>
    <x v="0"/>
  </r>
  <r>
    <x v="0"/>
    <x v="0"/>
    <x v="6"/>
    <x v="0"/>
    <x v="0"/>
    <x v="1"/>
    <s v="22"/>
    <x v="0"/>
    <x v="7"/>
    <x v="0"/>
    <n v="-14244183.630000001"/>
    <x v="0"/>
  </r>
  <r>
    <x v="0"/>
    <x v="0"/>
    <x v="6"/>
    <x v="0"/>
    <x v="0"/>
    <x v="0"/>
    <s v="24"/>
    <x v="0"/>
    <x v="8"/>
    <x v="8"/>
    <n v="-196738.16"/>
    <x v="0"/>
  </r>
  <r>
    <x v="0"/>
    <x v="0"/>
    <x v="6"/>
    <x v="0"/>
    <x v="0"/>
    <x v="1"/>
    <s v="21"/>
    <x v="0"/>
    <x v="8"/>
    <x v="11"/>
    <n v="-346669.22"/>
    <x v="0"/>
  </r>
  <r>
    <x v="0"/>
    <x v="0"/>
    <x v="6"/>
    <x v="0"/>
    <x v="0"/>
    <x v="0"/>
    <s v="24"/>
    <x v="0"/>
    <x v="8"/>
    <x v="11"/>
    <n v="-181471.86"/>
    <x v="0"/>
  </r>
  <r>
    <x v="0"/>
    <x v="0"/>
    <x v="6"/>
    <x v="0"/>
    <x v="0"/>
    <x v="1"/>
    <s v="22"/>
    <x v="0"/>
    <x v="8"/>
    <x v="4"/>
    <n v="-948868"/>
    <x v="0"/>
  </r>
  <r>
    <x v="0"/>
    <x v="0"/>
    <x v="6"/>
    <x v="0"/>
    <x v="0"/>
    <x v="0"/>
    <s v="24"/>
    <x v="0"/>
    <x v="8"/>
    <x v="0"/>
    <n v="427226.56"/>
    <x v="0"/>
  </r>
  <r>
    <x v="0"/>
    <x v="0"/>
    <x v="6"/>
    <x v="0"/>
    <x v="0"/>
    <x v="1"/>
    <s v="21"/>
    <x v="0"/>
    <x v="8"/>
    <x v="8"/>
    <n v="21732.38"/>
    <x v="0"/>
  </r>
  <r>
    <x v="0"/>
    <x v="0"/>
    <x v="6"/>
    <x v="0"/>
    <x v="0"/>
    <x v="0"/>
    <s v="40"/>
    <x v="0"/>
    <x v="7"/>
    <x v="11"/>
    <n v="195.68"/>
    <x v="0"/>
  </r>
  <r>
    <x v="0"/>
    <x v="0"/>
    <x v="6"/>
    <x v="0"/>
    <x v="0"/>
    <x v="1"/>
    <s v="22"/>
    <x v="0"/>
    <x v="8"/>
    <x v="6"/>
    <n v="-137371.19"/>
    <x v="0"/>
  </r>
  <r>
    <x v="0"/>
    <x v="0"/>
    <x v="6"/>
    <x v="0"/>
    <x v="0"/>
    <x v="0"/>
    <s v="40"/>
    <x v="0"/>
    <x v="7"/>
    <x v="2"/>
    <n v="8555.33"/>
    <x v="0"/>
  </r>
  <r>
    <x v="0"/>
    <x v="0"/>
    <x v="6"/>
    <x v="0"/>
    <x v="0"/>
    <x v="1"/>
    <s v="21"/>
    <x v="0"/>
    <x v="8"/>
    <x v="0"/>
    <n v="9616403.5700000003"/>
    <x v="0"/>
  </r>
  <r>
    <x v="0"/>
    <x v="0"/>
    <x v="6"/>
    <x v="0"/>
    <x v="0"/>
    <x v="0"/>
    <s v="99"/>
    <x v="0"/>
    <x v="7"/>
    <x v="0"/>
    <n v="460.9"/>
    <x v="0"/>
  </r>
  <r>
    <x v="0"/>
    <x v="0"/>
    <x v="6"/>
    <x v="0"/>
    <x v="0"/>
    <x v="1"/>
    <s v="22"/>
    <x v="0"/>
    <x v="8"/>
    <x v="11"/>
    <n v="-453330.78"/>
    <x v="0"/>
  </r>
  <r>
    <x v="0"/>
    <x v="0"/>
    <x v="6"/>
    <x v="0"/>
    <x v="0"/>
    <x v="0"/>
    <s v="40"/>
    <x v="0"/>
    <x v="8"/>
    <x v="4"/>
    <n v="324.5"/>
    <x v="0"/>
  </r>
  <r>
    <x v="0"/>
    <x v="0"/>
    <x v="6"/>
    <x v="0"/>
    <x v="0"/>
    <x v="1"/>
    <s v="22"/>
    <x v="0"/>
    <x v="7"/>
    <x v="3"/>
    <n v="-0.22"/>
    <x v="0"/>
  </r>
  <r>
    <x v="0"/>
    <x v="0"/>
    <x v="6"/>
    <x v="0"/>
    <x v="0"/>
    <x v="1"/>
    <s v="21"/>
    <x v="0"/>
    <x v="7"/>
    <x v="3"/>
    <n v="0.22"/>
    <x v="0"/>
  </r>
  <r>
    <x v="0"/>
    <x v="0"/>
    <x v="2"/>
    <x v="0"/>
    <x v="0"/>
    <x v="0"/>
    <s v="20"/>
    <x v="0"/>
    <x v="8"/>
    <x v="6"/>
    <n v="-112"/>
    <x v="0"/>
  </r>
  <r>
    <x v="0"/>
    <x v="0"/>
    <x v="2"/>
    <x v="0"/>
    <x v="0"/>
    <x v="0"/>
    <s v="24"/>
    <x v="0"/>
    <x v="7"/>
    <x v="5"/>
    <n v="-216618.99"/>
    <x v="0"/>
  </r>
  <r>
    <x v="0"/>
    <x v="0"/>
    <x v="2"/>
    <x v="0"/>
    <x v="0"/>
    <x v="0"/>
    <s v="24"/>
    <x v="0"/>
    <x v="7"/>
    <x v="10"/>
    <n v="4336227.71"/>
    <x v="0"/>
  </r>
  <r>
    <x v="0"/>
    <x v="0"/>
    <x v="2"/>
    <x v="0"/>
    <x v="0"/>
    <x v="0"/>
    <s v="24"/>
    <x v="0"/>
    <x v="7"/>
    <x v="3"/>
    <n v="-8578.4"/>
    <x v="0"/>
  </r>
  <r>
    <x v="0"/>
    <x v="0"/>
    <x v="2"/>
    <x v="0"/>
    <x v="0"/>
    <x v="0"/>
    <s v="24"/>
    <x v="0"/>
    <x v="7"/>
    <x v="1"/>
    <n v="5183520.9000000004"/>
    <x v="0"/>
  </r>
  <r>
    <x v="0"/>
    <x v="0"/>
    <x v="2"/>
    <x v="0"/>
    <x v="0"/>
    <x v="0"/>
    <s v="24"/>
    <x v="0"/>
    <x v="7"/>
    <x v="7"/>
    <n v="136968.31"/>
    <x v="0"/>
  </r>
  <r>
    <x v="0"/>
    <x v="0"/>
    <x v="2"/>
    <x v="0"/>
    <x v="0"/>
    <x v="0"/>
    <s v="24"/>
    <x v="0"/>
    <x v="8"/>
    <x v="7"/>
    <n v="-918950.85"/>
    <x v="0"/>
  </r>
  <r>
    <x v="0"/>
    <x v="0"/>
    <x v="2"/>
    <x v="0"/>
    <x v="0"/>
    <x v="0"/>
    <s v="24"/>
    <x v="0"/>
    <x v="7"/>
    <x v="4"/>
    <n v="-20581.28"/>
    <x v="0"/>
  </r>
  <r>
    <x v="0"/>
    <x v="0"/>
    <x v="2"/>
    <x v="0"/>
    <x v="0"/>
    <x v="0"/>
    <s v="24"/>
    <x v="0"/>
    <x v="7"/>
    <x v="2"/>
    <n v="-53858.26"/>
    <x v="0"/>
  </r>
  <r>
    <x v="0"/>
    <x v="0"/>
    <x v="2"/>
    <x v="0"/>
    <x v="0"/>
    <x v="0"/>
    <s v="24"/>
    <x v="0"/>
    <x v="7"/>
    <x v="8"/>
    <n v="-27904.36"/>
    <x v="0"/>
  </r>
  <r>
    <x v="0"/>
    <x v="0"/>
    <x v="2"/>
    <x v="0"/>
    <x v="0"/>
    <x v="0"/>
    <s v="24"/>
    <x v="0"/>
    <x v="8"/>
    <x v="2"/>
    <n v="-38110.71"/>
    <x v="0"/>
  </r>
  <r>
    <x v="0"/>
    <x v="0"/>
    <x v="2"/>
    <x v="0"/>
    <x v="0"/>
    <x v="0"/>
    <s v="24"/>
    <x v="0"/>
    <x v="7"/>
    <x v="6"/>
    <n v="-315750.84999999998"/>
    <x v="0"/>
  </r>
  <r>
    <x v="0"/>
    <x v="0"/>
    <x v="2"/>
    <x v="0"/>
    <x v="0"/>
    <x v="0"/>
    <s v="24"/>
    <x v="0"/>
    <x v="8"/>
    <x v="5"/>
    <n v="-78423.56"/>
    <x v="0"/>
  </r>
  <r>
    <x v="0"/>
    <x v="0"/>
    <x v="2"/>
    <x v="0"/>
    <x v="0"/>
    <x v="0"/>
    <s v="24"/>
    <x v="0"/>
    <x v="7"/>
    <x v="0"/>
    <n v="-712607.62"/>
    <x v="0"/>
  </r>
  <r>
    <x v="0"/>
    <x v="0"/>
    <x v="2"/>
    <x v="0"/>
    <x v="0"/>
    <x v="1"/>
    <s v="21"/>
    <x v="0"/>
    <x v="7"/>
    <x v="2"/>
    <n v="2543199.09"/>
    <x v="0"/>
  </r>
  <r>
    <x v="0"/>
    <x v="0"/>
    <x v="2"/>
    <x v="0"/>
    <x v="0"/>
    <x v="0"/>
    <s v="24"/>
    <x v="0"/>
    <x v="7"/>
    <x v="11"/>
    <n v="-21569.41"/>
    <x v="0"/>
  </r>
  <r>
    <x v="0"/>
    <x v="0"/>
    <x v="2"/>
    <x v="0"/>
    <x v="0"/>
    <x v="0"/>
    <s v="24"/>
    <x v="0"/>
    <x v="8"/>
    <x v="8"/>
    <n v="48427.61"/>
    <x v="0"/>
  </r>
  <r>
    <x v="0"/>
    <x v="0"/>
    <x v="2"/>
    <x v="0"/>
    <x v="0"/>
    <x v="0"/>
    <s v="24"/>
    <x v="0"/>
    <x v="8"/>
    <x v="3"/>
    <n v="-23369.599999999999"/>
    <x v="0"/>
  </r>
  <r>
    <x v="0"/>
    <x v="0"/>
    <x v="2"/>
    <x v="0"/>
    <x v="0"/>
    <x v="1"/>
    <s v="21"/>
    <x v="0"/>
    <x v="8"/>
    <x v="11"/>
    <n v="6777.29"/>
    <x v="0"/>
  </r>
  <r>
    <x v="0"/>
    <x v="0"/>
    <x v="2"/>
    <x v="0"/>
    <x v="0"/>
    <x v="0"/>
    <s v="24"/>
    <x v="0"/>
    <x v="8"/>
    <x v="1"/>
    <n v="-966177.56"/>
    <x v="0"/>
  </r>
  <r>
    <x v="0"/>
    <x v="0"/>
    <x v="2"/>
    <x v="0"/>
    <x v="0"/>
    <x v="0"/>
    <s v="24"/>
    <x v="0"/>
    <x v="8"/>
    <x v="0"/>
    <n v="-36441.760000000002"/>
    <x v="0"/>
  </r>
  <r>
    <x v="0"/>
    <x v="0"/>
    <x v="2"/>
    <x v="0"/>
    <x v="0"/>
    <x v="0"/>
    <s v="24"/>
    <x v="0"/>
    <x v="8"/>
    <x v="4"/>
    <n v="6064681.2699999996"/>
    <x v="0"/>
  </r>
  <r>
    <x v="0"/>
    <x v="0"/>
    <x v="2"/>
    <x v="0"/>
    <x v="0"/>
    <x v="1"/>
    <s v="21"/>
    <x v="0"/>
    <x v="8"/>
    <x v="8"/>
    <n v="21253.81"/>
    <x v="0"/>
  </r>
  <r>
    <x v="0"/>
    <x v="0"/>
    <x v="2"/>
    <x v="0"/>
    <x v="0"/>
    <x v="0"/>
    <s v="24"/>
    <x v="0"/>
    <x v="8"/>
    <x v="9"/>
    <n v="5622795.7400000002"/>
    <x v="0"/>
  </r>
  <r>
    <x v="0"/>
    <x v="0"/>
    <x v="2"/>
    <x v="0"/>
    <x v="0"/>
    <x v="1"/>
    <s v="21"/>
    <x v="0"/>
    <x v="7"/>
    <x v="11"/>
    <n v="61298.94"/>
    <x v="0"/>
  </r>
  <r>
    <x v="0"/>
    <x v="0"/>
    <x v="2"/>
    <x v="0"/>
    <x v="0"/>
    <x v="0"/>
    <s v="24"/>
    <x v="0"/>
    <x v="8"/>
    <x v="6"/>
    <n v="-47043.03"/>
    <x v="0"/>
  </r>
  <r>
    <x v="0"/>
    <x v="0"/>
    <x v="2"/>
    <x v="0"/>
    <x v="0"/>
    <x v="1"/>
    <s v="22"/>
    <x v="0"/>
    <x v="8"/>
    <x v="9"/>
    <n v="-159537.5"/>
    <x v="0"/>
  </r>
  <r>
    <x v="0"/>
    <x v="0"/>
    <x v="2"/>
    <x v="0"/>
    <x v="0"/>
    <x v="0"/>
    <s v="24"/>
    <x v="0"/>
    <x v="8"/>
    <x v="10"/>
    <n v="4537605.25"/>
    <x v="0"/>
  </r>
  <r>
    <x v="0"/>
    <x v="0"/>
    <x v="2"/>
    <x v="0"/>
    <x v="0"/>
    <x v="1"/>
    <s v="21"/>
    <x v="0"/>
    <x v="7"/>
    <x v="8"/>
    <n v="18131.099999999999"/>
    <x v="0"/>
  </r>
  <r>
    <x v="0"/>
    <x v="0"/>
    <x v="2"/>
    <x v="0"/>
    <x v="0"/>
    <x v="0"/>
    <s v="24"/>
    <x v="0"/>
    <x v="8"/>
    <x v="11"/>
    <n v="-37952.76"/>
    <x v="0"/>
  </r>
  <r>
    <x v="0"/>
    <x v="0"/>
    <x v="2"/>
    <x v="0"/>
    <x v="0"/>
    <x v="0"/>
    <s v="30"/>
    <x v="0"/>
    <x v="8"/>
    <x v="9"/>
    <n v="-1200"/>
    <x v="0"/>
  </r>
  <r>
    <x v="0"/>
    <x v="0"/>
    <x v="2"/>
    <x v="0"/>
    <x v="0"/>
    <x v="1"/>
    <s v="21"/>
    <x v="0"/>
    <x v="7"/>
    <x v="0"/>
    <n v="2245542.91"/>
    <x v="0"/>
  </r>
  <r>
    <x v="0"/>
    <x v="0"/>
    <x v="2"/>
    <x v="0"/>
    <x v="0"/>
    <x v="0"/>
    <s v="30"/>
    <x v="0"/>
    <x v="8"/>
    <x v="6"/>
    <n v="1200"/>
    <x v="0"/>
  </r>
  <r>
    <x v="0"/>
    <x v="0"/>
    <x v="2"/>
    <x v="0"/>
    <x v="0"/>
    <x v="0"/>
    <s v="30"/>
    <x v="0"/>
    <x v="8"/>
    <x v="10"/>
    <n v="-1146.0999999999999"/>
    <x v="0"/>
  </r>
  <r>
    <x v="0"/>
    <x v="0"/>
    <x v="2"/>
    <x v="0"/>
    <x v="0"/>
    <x v="1"/>
    <s v="21"/>
    <x v="0"/>
    <x v="8"/>
    <x v="4"/>
    <n v="18138.28"/>
    <x v="0"/>
  </r>
  <r>
    <x v="0"/>
    <x v="0"/>
    <x v="2"/>
    <x v="0"/>
    <x v="0"/>
    <x v="0"/>
    <s v="30"/>
    <x v="0"/>
    <x v="8"/>
    <x v="0"/>
    <n v="1146.0999999999999"/>
    <x v="0"/>
  </r>
  <r>
    <x v="0"/>
    <x v="0"/>
    <x v="2"/>
    <x v="0"/>
    <x v="0"/>
    <x v="1"/>
    <s v="21"/>
    <x v="0"/>
    <x v="7"/>
    <x v="10"/>
    <n v="2126.54"/>
    <x v="0"/>
  </r>
  <r>
    <x v="0"/>
    <x v="0"/>
    <x v="2"/>
    <x v="0"/>
    <x v="0"/>
    <x v="1"/>
    <s v="21"/>
    <x v="0"/>
    <x v="8"/>
    <x v="10"/>
    <n v="40710.82"/>
    <x v="0"/>
  </r>
  <r>
    <x v="0"/>
    <x v="0"/>
    <x v="2"/>
    <x v="0"/>
    <x v="0"/>
    <x v="1"/>
    <s v="22"/>
    <x v="0"/>
    <x v="7"/>
    <x v="2"/>
    <n v="-2500268.77"/>
    <x v="0"/>
  </r>
  <r>
    <x v="0"/>
    <x v="0"/>
    <x v="2"/>
    <x v="0"/>
    <x v="0"/>
    <x v="1"/>
    <s v="21"/>
    <x v="0"/>
    <x v="8"/>
    <x v="5"/>
    <n v="43199.66"/>
    <x v="0"/>
  </r>
  <r>
    <x v="0"/>
    <x v="0"/>
    <x v="2"/>
    <x v="0"/>
    <x v="0"/>
    <x v="1"/>
    <s v="22"/>
    <x v="0"/>
    <x v="7"/>
    <x v="9"/>
    <n v="-170662.5"/>
    <x v="0"/>
  </r>
  <r>
    <x v="0"/>
    <x v="0"/>
    <x v="2"/>
    <x v="0"/>
    <x v="0"/>
    <x v="1"/>
    <s v="22"/>
    <x v="0"/>
    <x v="8"/>
    <x v="0"/>
    <n v="-629541.47"/>
    <x v="0"/>
  </r>
  <r>
    <x v="0"/>
    <x v="0"/>
    <x v="2"/>
    <x v="0"/>
    <x v="0"/>
    <x v="1"/>
    <s v="21"/>
    <x v="0"/>
    <x v="8"/>
    <x v="7"/>
    <n v="45137.5"/>
    <x v="0"/>
  </r>
  <r>
    <x v="0"/>
    <x v="0"/>
    <x v="2"/>
    <x v="0"/>
    <x v="0"/>
    <x v="1"/>
    <s v="22"/>
    <x v="0"/>
    <x v="8"/>
    <x v="7"/>
    <n v="-8125"/>
    <x v="0"/>
  </r>
  <r>
    <x v="0"/>
    <x v="0"/>
    <x v="2"/>
    <x v="0"/>
    <x v="0"/>
    <x v="1"/>
    <s v="21"/>
    <x v="0"/>
    <x v="8"/>
    <x v="2"/>
    <n v="99084.55"/>
    <x v="0"/>
  </r>
  <r>
    <x v="0"/>
    <x v="0"/>
    <x v="2"/>
    <x v="0"/>
    <x v="0"/>
    <x v="1"/>
    <s v="22"/>
    <x v="0"/>
    <x v="8"/>
    <x v="2"/>
    <n v="-100000"/>
    <x v="0"/>
  </r>
  <r>
    <x v="0"/>
    <x v="0"/>
    <x v="2"/>
    <x v="0"/>
    <x v="0"/>
    <x v="1"/>
    <s v="21"/>
    <x v="0"/>
    <x v="8"/>
    <x v="0"/>
    <n v="467692.43"/>
    <x v="0"/>
  </r>
  <r>
    <x v="0"/>
    <x v="0"/>
    <x v="2"/>
    <x v="0"/>
    <x v="0"/>
    <x v="1"/>
    <s v="22"/>
    <x v="0"/>
    <x v="7"/>
    <x v="0"/>
    <n v="-2756036.14"/>
    <x v="0"/>
  </r>
  <r>
    <x v="0"/>
    <x v="0"/>
    <x v="2"/>
    <x v="0"/>
    <x v="0"/>
    <x v="1"/>
    <s v="22"/>
    <x v="0"/>
    <x v="8"/>
    <x v="11"/>
    <n v="-2000"/>
    <x v="0"/>
  </r>
  <r>
    <x v="0"/>
    <x v="0"/>
    <x v="4"/>
    <x v="0"/>
    <x v="0"/>
    <x v="0"/>
    <s v="01"/>
    <x v="0"/>
    <x v="7"/>
    <x v="4"/>
    <n v="13250.98"/>
    <x v="0"/>
  </r>
  <r>
    <x v="0"/>
    <x v="0"/>
    <x v="4"/>
    <x v="0"/>
    <x v="0"/>
    <x v="0"/>
    <s v="01"/>
    <x v="0"/>
    <x v="7"/>
    <x v="1"/>
    <n v="8113.11"/>
    <x v="0"/>
  </r>
  <r>
    <x v="0"/>
    <x v="0"/>
    <x v="4"/>
    <x v="0"/>
    <x v="0"/>
    <x v="0"/>
    <s v="01"/>
    <x v="0"/>
    <x v="7"/>
    <x v="5"/>
    <n v="9186.4599999999991"/>
    <x v="0"/>
  </r>
  <r>
    <x v="0"/>
    <x v="0"/>
    <x v="4"/>
    <x v="0"/>
    <x v="0"/>
    <x v="0"/>
    <s v="01"/>
    <x v="0"/>
    <x v="7"/>
    <x v="6"/>
    <n v="9766.42"/>
    <x v="0"/>
  </r>
  <r>
    <x v="0"/>
    <x v="0"/>
    <x v="4"/>
    <x v="0"/>
    <x v="0"/>
    <x v="0"/>
    <s v="01"/>
    <x v="0"/>
    <x v="7"/>
    <x v="11"/>
    <n v="8652.23"/>
    <x v="0"/>
  </r>
  <r>
    <x v="0"/>
    <x v="0"/>
    <x v="4"/>
    <x v="0"/>
    <x v="0"/>
    <x v="0"/>
    <s v="01"/>
    <x v="0"/>
    <x v="7"/>
    <x v="9"/>
    <n v="9845.7000000000007"/>
    <x v="0"/>
  </r>
  <r>
    <x v="0"/>
    <x v="0"/>
    <x v="4"/>
    <x v="0"/>
    <x v="0"/>
    <x v="0"/>
    <s v="01"/>
    <x v="0"/>
    <x v="7"/>
    <x v="7"/>
    <n v="9158.7000000000007"/>
    <x v="0"/>
  </r>
  <r>
    <x v="0"/>
    <x v="0"/>
    <x v="4"/>
    <x v="0"/>
    <x v="0"/>
    <x v="0"/>
    <s v="01"/>
    <x v="0"/>
    <x v="7"/>
    <x v="8"/>
    <n v="11462.73"/>
    <x v="0"/>
  </r>
  <r>
    <x v="0"/>
    <x v="0"/>
    <x v="4"/>
    <x v="0"/>
    <x v="0"/>
    <x v="0"/>
    <s v="01"/>
    <x v="0"/>
    <x v="7"/>
    <x v="2"/>
    <n v="13293.15"/>
    <x v="0"/>
  </r>
  <r>
    <x v="0"/>
    <x v="0"/>
    <x v="4"/>
    <x v="0"/>
    <x v="0"/>
    <x v="0"/>
    <s v="01"/>
    <x v="0"/>
    <x v="7"/>
    <x v="10"/>
    <n v="9916.24"/>
    <x v="0"/>
  </r>
  <r>
    <x v="0"/>
    <x v="0"/>
    <x v="4"/>
    <x v="0"/>
    <x v="0"/>
    <x v="0"/>
    <s v="01"/>
    <x v="0"/>
    <x v="8"/>
    <x v="6"/>
    <n v="36199.9"/>
    <x v="0"/>
  </r>
  <r>
    <x v="0"/>
    <x v="0"/>
    <x v="4"/>
    <x v="0"/>
    <x v="0"/>
    <x v="0"/>
    <s v="01"/>
    <x v="0"/>
    <x v="7"/>
    <x v="0"/>
    <n v="37439.96"/>
    <x v="0"/>
  </r>
  <r>
    <x v="0"/>
    <x v="0"/>
    <x v="4"/>
    <x v="0"/>
    <x v="0"/>
    <x v="0"/>
    <s v="01"/>
    <x v="0"/>
    <x v="8"/>
    <x v="4"/>
    <n v="14117.78"/>
    <x v="0"/>
  </r>
  <r>
    <x v="0"/>
    <x v="0"/>
    <x v="4"/>
    <x v="0"/>
    <x v="0"/>
    <x v="0"/>
    <s v="01"/>
    <x v="0"/>
    <x v="8"/>
    <x v="5"/>
    <n v="18580.11"/>
    <x v="0"/>
  </r>
  <r>
    <x v="0"/>
    <x v="0"/>
    <x v="4"/>
    <x v="0"/>
    <x v="0"/>
    <x v="0"/>
    <s v="01"/>
    <x v="0"/>
    <x v="8"/>
    <x v="11"/>
    <n v="41164.46"/>
    <x v="0"/>
  </r>
  <r>
    <x v="0"/>
    <x v="0"/>
    <x v="4"/>
    <x v="0"/>
    <x v="0"/>
    <x v="0"/>
    <s v="01"/>
    <x v="0"/>
    <x v="8"/>
    <x v="1"/>
    <n v="12224.91"/>
    <x v="0"/>
  </r>
  <r>
    <x v="0"/>
    <x v="0"/>
    <x v="4"/>
    <x v="0"/>
    <x v="0"/>
    <x v="0"/>
    <s v="01"/>
    <x v="0"/>
    <x v="8"/>
    <x v="10"/>
    <n v="35983.39"/>
    <x v="0"/>
  </r>
  <r>
    <x v="0"/>
    <x v="0"/>
    <x v="4"/>
    <x v="0"/>
    <x v="0"/>
    <x v="0"/>
    <s v="01"/>
    <x v="0"/>
    <x v="8"/>
    <x v="7"/>
    <n v="20869.939999999999"/>
    <x v="0"/>
  </r>
  <r>
    <x v="0"/>
    <x v="0"/>
    <x v="4"/>
    <x v="0"/>
    <x v="0"/>
    <x v="0"/>
    <s v="01"/>
    <x v="0"/>
    <x v="8"/>
    <x v="0"/>
    <n v="97565.2"/>
    <x v="0"/>
  </r>
  <r>
    <x v="0"/>
    <x v="0"/>
    <x v="4"/>
    <x v="0"/>
    <x v="0"/>
    <x v="0"/>
    <s v="01"/>
    <x v="0"/>
    <x v="8"/>
    <x v="9"/>
    <n v="29376.49"/>
    <x v="0"/>
  </r>
  <r>
    <x v="0"/>
    <x v="0"/>
    <x v="4"/>
    <x v="0"/>
    <x v="0"/>
    <x v="0"/>
    <s v="01"/>
    <x v="0"/>
    <x v="8"/>
    <x v="8"/>
    <n v="36182.769999999997"/>
    <x v="0"/>
  </r>
  <r>
    <x v="0"/>
    <x v="0"/>
    <x v="4"/>
    <x v="0"/>
    <x v="0"/>
    <x v="0"/>
    <s v="01"/>
    <x v="0"/>
    <x v="8"/>
    <x v="2"/>
    <n v="54163.76"/>
    <x v="0"/>
  </r>
  <r>
    <x v="0"/>
    <x v="0"/>
    <x v="4"/>
    <x v="0"/>
    <x v="0"/>
    <x v="0"/>
    <s v="20"/>
    <x v="0"/>
    <x v="7"/>
    <x v="7"/>
    <n v="-748.36"/>
    <x v="0"/>
  </r>
  <r>
    <x v="0"/>
    <x v="0"/>
    <x v="4"/>
    <x v="0"/>
    <x v="0"/>
    <x v="0"/>
    <s v="20"/>
    <x v="0"/>
    <x v="7"/>
    <x v="3"/>
    <n v="3100"/>
    <x v="0"/>
  </r>
  <r>
    <x v="0"/>
    <x v="0"/>
    <x v="4"/>
    <x v="0"/>
    <x v="0"/>
    <x v="0"/>
    <s v="20"/>
    <x v="0"/>
    <x v="7"/>
    <x v="5"/>
    <n v="-1000"/>
    <x v="0"/>
  </r>
  <r>
    <x v="0"/>
    <x v="0"/>
    <x v="4"/>
    <x v="0"/>
    <x v="0"/>
    <x v="0"/>
    <s v="20"/>
    <x v="0"/>
    <x v="7"/>
    <x v="1"/>
    <n v="-61100"/>
    <x v="0"/>
  </r>
  <r>
    <x v="0"/>
    <x v="0"/>
    <x v="4"/>
    <x v="0"/>
    <x v="0"/>
    <x v="0"/>
    <s v="20"/>
    <x v="0"/>
    <x v="8"/>
    <x v="11"/>
    <n v="-3306.3"/>
    <x v="0"/>
  </r>
  <r>
    <x v="0"/>
    <x v="0"/>
    <x v="4"/>
    <x v="0"/>
    <x v="0"/>
    <x v="0"/>
    <s v="20"/>
    <x v="0"/>
    <x v="7"/>
    <x v="4"/>
    <n v="60748.36"/>
    <x v="0"/>
  </r>
  <r>
    <x v="0"/>
    <x v="0"/>
    <x v="4"/>
    <x v="0"/>
    <x v="0"/>
    <x v="0"/>
    <s v="20"/>
    <x v="0"/>
    <x v="7"/>
    <x v="2"/>
    <n v="3827.16"/>
    <x v="0"/>
  </r>
  <r>
    <x v="0"/>
    <x v="0"/>
    <x v="4"/>
    <x v="0"/>
    <x v="0"/>
    <x v="0"/>
    <s v="20"/>
    <x v="0"/>
    <x v="7"/>
    <x v="9"/>
    <n v="585"/>
    <x v="0"/>
  </r>
  <r>
    <x v="0"/>
    <x v="0"/>
    <x v="4"/>
    <x v="0"/>
    <x v="0"/>
    <x v="0"/>
    <s v="20"/>
    <x v="0"/>
    <x v="8"/>
    <x v="2"/>
    <n v="3970"/>
    <x v="0"/>
  </r>
  <r>
    <x v="0"/>
    <x v="0"/>
    <x v="4"/>
    <x v="0"/>
    <x v="0"/>
    <x v="0"/>
    <s v="20"/>
    <x v="0"/>
    <x v="7"/>
    <x v="8"/>
    <n v="-3515.16"/>
    <x v="0"/>
  </r>
  <r>
    <x v="0"/>
    <x v="0"/>
    <x v="4"/>
    <x v="0"/>
    <x v="0"/>
    <x v="0"/>
    <s v="20"/>
    <x v="0"/>
    <x v="8"/>
    <x v="4"/>
    <n v="112666.76"/>
    <x v="0"/>
  </r>
  <r>
    <x v="0"/>
    <x v="0"/>
    <x v="4"/>
    <x v="0"/>
    <x v="0"/>
    <x v="0"/>
    <s v="20"/>
    <x v="0"/>
    <x v="8"/>
    <x v="5"/>
    <n v="4975.5"/>
    <x v="0"/>
  </r>
  <r>
    <x v="0"/>
    <x v="0"/>
    <x v="4"/>
    <x v="0"/>
    <x v="0"/>
    <x v="0"/>
    <s v="24"/>
    <x v="0"/>
    <x v="7"/>
    <x v="9"/>
    <n v="1397414.36"/>
    <x v="0"/>
  </r>
  <r>
    <x v="0"/>
    <x v="0"/>
    <x v="5"/>
    <x v="0"/>
    <x v="0"/>
    <x v="0"/>
    <s v="24"/>
    <x v="0"/>
    <x v="5"/>
    <x v="3"/>
    <n v="1855647.47"/>
    <x v="0"/>
  </r>
  <r>
    <x v="0"/>
    <x v="0"/>
    <x v="5"/>
    <x v="0"/>
    <x v="0"/>
    <x v="0"/>
    <s v="24"/>
    <x v="0"/>
    <x v="6"/>
    <x v="7"/>
    <n v="663411.72"/>
    <x v="0"/>
  </r>
  <r>
    <x v="0"/>
    <x v="0"/>
    <x v="5"/>
    <x v="0"/>
    <x v="0"/>
    <x v="0"/>
    <s v="09"/>
    <x v="0"/>
    <x v="5"/>
    <x v="3"/>
    <n v="-60400"/>
    <x v="0"/>
  </r>
  <r>
    <x v="0"/>
    <x v="0"/>
    <x v="5"/>
    <x v="0"/>
    <x v="0"/>
    <x v="0"/>
    <s v="24"/>
    <x v="0"/>
    <x v="5"/>
    <x v="4"/>
    <n v="20970298.370000001"/>
    <x v="0"/>
  </r>
  <r>
    <x v="0"/>
    <x v="0"/>
    <x v="5"/>
    <x v="0"/>
    <x v="0"/>
    <x v="0"/>
    <s v="09"/>
    <x v="0"/>
    <x v="6"/>
    <x v="3"/>
    <n v="-44100"/>
    <x v="0"/>
  </r>
  <r>
    <x v="0"/>
    <x v="0"/>
    <x v="5"/>
    <x v="0"/>
    <x v="0"/>
    <x v="0"/>
    <s v="24"/>
    <x v="0"/>
    <x v="6"/>
    <x v="2"/>
    <n v="669113.81000000006"/>
    <x v="0"/>
  </r>
  <r>
    <x v="0"/>
    <x v="0"/>
    <x v="5"/>
    <x v="0"/>
    <x v="0"/>
    <x v="0"/>
    <s v="09"/>
    <x v="0"/>
    <x v="5"/>
    <x v="0"/>
    <n v="773926.71"/>
    <x v="0"/>
  </r>
  <r>
    <x v="0"/>
    <x v="0"/>
    <x v="5"/>
    <x v="0"/>
    <x v="0"/>
    <x v="0"/>
    <s v="24"/>
    <x v="0"/>
    <x v="5"/>
    <x v="6"/>
    <n v="1184209.01"/>
    <x v="0"/>
  </r>
  <r>
    <x v="0"/>
    <x v="0"/>
    <x v="5"/>
    <x v="0"/>
    <x v="0"/>
    <x v="0"/>
    <s v="09"/>
    <x v="0"/>
    <x v="6"/>
    <x v="0"/>
    <n v="251137.54"/>
    <x v="0"/>
  </r>
  <r>
    <x v="0"/>
    <x v="0"/>
    <x v="5"/>
    <x v="0"/>
    <x v="0"/>
    <x v="0"/>
    <s v="30"/>
    <x v="0"/>
    <x v="5"/>
    <x v="9"/>
    <n v="45"/>
    <x v="0"/>
  </r>
  <r>
    <x v="0"/>
    <x v="0"/>
    <x v="5"/>
    <x v="0"/>
    <x v="0"/>
    <x v="0"/>
    <s v="13"/>
    <x v="0"/>
    <x v="6"/>
    <x v="0"/>
    <n v="176400"/>
    <x v="0"/>
  </r>
  <r>
    <x v="0"/>
    <x v="0"/>
    <x v="5"/>
    <x v="0"/>
    <x v="0"/>
    <x v="0"/>
    <s v="24"/>
    <x v="0"/>
    <x v="5"/>
    <x v="11"/>
    <n v="-13740.57"/>
    <x v="0"/>
  </r>
  <r>
    <x v="0"/>
    <x v="0"/>
    <x v="5"/>
    <x v="0"/>
    <x v="0"/>
    <x v="0"/>
    <s v="24"/>
    <x v="0"/>
    <x v="5"/>
    <x v="7"/>
    <n v="2039897.43"/>
    <x v="0"/>
  </r>
  <r>
    <x v="0"/>
    <x v="0"/>
    <x v="5"/>
    <x v="0"/>
    <x v="0"/>
    <x v="0"/>
    <s v="30"/>
    <x v="0"/>
    <x v="5"/>
    <x v="10"/>
    <n v="-125"/>
    <x v="0"/>
  </r>
  <r>
    <x v="0"/>
    <x v="0"/>
    <x v="5"/>
    <x v="0"/>
    <x v="0"/>
    <x v="0"/>
    <s v="24"/>
    <x v="0"/>
    <x v="5"/>
    <x v="5"/>
    <n v="25491.16"/>
    <x v="0"/>
  </r>
  <r>
    <x v="0"/>
    <x v="0"/>
    <x v="5"/>
    <x v="0"/>
    <x v="0"/>
    <x v="0"/>
    <s v="24"/>
    <x v="0"/>
    <x v="6"/>
    <x v="1"/>
    <n v="1171145.29"/>
    <x v="0"/>
  </r>
  <r>
    <x v="0"/>
    <x v="0"/>
    <x v="5"/>
    <x v="0"/>
    <x v="0"/>
    <x v="0"/>
    <s v="24"/>
    <x v="0"/>
    <x v="5"/>
    <x v="2"/>
    <n v="-22823.17"/>
    <x v="0"/>
  </r>
  <r>
    <x v="0"/>
    <x v="0"/>
    <x v="5"/>
    <x v="0"/>
    <x v="0"/>
    <x v="0"/>
    <s v="30"/>
    <x v="0"/>
    <x v="6"/>
    <x v="5"/>
    <n v="17061.52"/>
    <x v="0"/>
  </r>
  <r>
    <x v="0"/>
    <x v="0"/>
    <x v="5"/>
    <x v="0"/>
    <x v="0"/>
    <x v="0"/>
    <s v="24"/>
    <x v="0"/>
    <x v="5"/>
    <x v="8"/>
    <n v="897545.96"/>
    <x v="0"/>
  </r>
  <r>
    <x v="0"/>
    <x v="0"/>
    <x v="5"/>
    <x v="0"/>
    <x v="0"/>
    <x v="0"/>
    <s v="24"/>
    <x v="0"/>
    <x v="6"/>
    <x v="9"/>
    <n v="18074009.719999999"/>
    <x v="0"/>
  </r>
  <r>
    <x v="0"/>
    <x v="0"/>
    <x v="5"/>
    <x v="0"/>
    <x v="0"/>
    <x v="0"/>
    <s v="24"/>
    <x v="0"/>
    <x v="6"/>
    <x v="11"/>
    <n v="-85919.21"/>
    <x v="0"/>
  </r>
  <r>
    <x v="0"/>
    <x v="0"/>
    <x v="5"/>
    <x v="0"/>
    <x v="0"/>
    <x v="0"/>
    <s v="30"/>
    <x v="0"/>
    <x v="6"/>
    <x v="7"/>
    <n v="32710.48"/>
    <x v="0"/>
  </r>
  <r>
    <x v="0"/>
    <x v="0"/>
    <x v="5"/>
    <x v="0"/>
    <x v="0"/>
    <x v="0"/>
    <s v="24"/>
    <x v="0"/>
    <x v="5"/>
    <x v="0"/>
    <n v="-195348.08"/>
    <x v="0"/>
  </r>
  <r>
    <x v="0"/>
    <x v="0"/>
    <x v="5"/>
    <x v="0"/>
    <x v="0"/>
    <x v="0"/>
    <s v="24"/>
    <x v="0"/>
    <x v="6"/>
    <x v="10"/>
    <n v="17695705.18"/>
    <x v="0"/>
  </r>
  <r>
    <x v="0"/>
    <x v="0"/>
    <x v="5"/>
    <x v="0"/>
    <x v="0"/>
    <x v="0"/>
    <s v="24"/>
    <x v="0"/>
    <x v="6"/>
    <x v="8"/>
    <n v="-24298.73"/>
    <x v="0"/>
  </r>
  <r>
    <x v="0"/>
    <x v="0"/>
    <x v="5"/>
    <x v="0"/>
    <x v="0"/>
    <x v="0"/>
    <s v="24"/>
    <x v="0"/>
    <x v="6"/>
    <x v="3"/>
    <n v="359.36"/>
    <x v="0"/>
  </r>
  <r>
    <x v="0"/>
    <x v="0"/>
    <x v="5"/>
    <x v="0"/>
    <x v="0"/>
    <x v="0"/>
    <s v="30"/>
    <x v="0"/>
    <x v="5"/>
    <x v="4"/>
    <n v="35"/>
    <x v="0"/>
  </r>
  <r>
    <x v="0"/>
    <x v="0"/>
    <x v="5"/>
    <x v="0"/>
    <x v="0"/>
    <x v="0"/>
    <s v="24"/>
    <x v="0"/>
    <x v="6"/>
    <x v="0"/>
    <n v="-138237.25"/>
    <x v="0"/>
  </r>
  <r>
    <x v="0"/>
    <x v="0"/>
    <x v="5"/>
    <x v="0"/>
    <x v="0"/>
    <x v="0"/>
    <s v="24"/>
    <x v="0"/>
    <x v="6"/>
    <x v="4"/>
    <n v="22125315.09"/>
    <x v="0"/>
  </r>
  <r>
    <x v="0"/>
    <x v="0"/>
    <x v="5"/>
    <x v="0"/>
    <x v="0"/>
    <x v="0"/>
    <s v="30"/>
    <x v="0"/>
    <x v="5"/>
    <x v="11"/>
    <n v="36230.559999999998"/>
    <x v="0"/>
  </r>
  <r>
    <x v="0"/>
    <x v="0"/>
    <x v="5"/>
    <x v="0"/>
    <x v="0"/>
    <x v="0"/>
    <s v="30"/>
    <x v="0"/>
    <x v="5"/>
    <x v="1"/>
    <n v="1020"/>
    <x v="0"/>
  </r>
  <r>
    <x v="0"/>
    <x v="0"/>
    <x v="5"/>
    <x v="0"/>
    <x v="0"/>
    <x v="0"/>
    <s v="24"/>
    <x v="0"/>
    <x v="6"/>
    <x v="6"/>
    <n v="2350305.0499999998"/>
    <x v="0"/>
  </r>
  <r>
    <x v="0"/>
    <x v="0"/>
    <x v="5"/>
    <x v="0"/>
    <x v="0"/>
    <x v="0"/>
    <s v="30"/>
    <x v="0"/>
    <x v="5"/>
    <x v="8"/>
    <n v="11020.45"/>
    <x v="0"/>
  </r>
  <r>
    <x v="0"/>
    <x v="0"/>
    <x v="5"/>
    <x v="0"/>
    <x v="0"/>
    <x v="0"/>
    <s v="30"/>
    <x v="0"/>
    <x v="6"/>
    <x v="2"/>
    <n v="155"/>
    <x v="0"/>
  </r>
  <r>
    <x v="0"/>
    <x v="0"/>
    <x v="5"/>
    <x v="0"/>
    <x v="0"/>
    <x v="0"/>
    <s v="30"/>
    <x v="0"/>
    <x v="5"/>
    <x v="5"/>
    <n v="75"/>
    <x v="0"/>
  </r>
  <r>
    <x v="0"/>
    <x v="0"/>
    <x v="5"/>
    <x v="0"/>
    <x v="0"/>
    <x v="0"/>
    <s v="30"/>
    <x v="0"/>
    <x v="5"/>
    <x v="0"/>
    <n v="4694.68"/>
    <x v="0"/>
  </r>
  <r>
    <x v="0"/>
    <x v="0"/>
    <x v="5"/>
    <x v="0"/>
    <x v="0"/>
    <x v="0"/>
    <s v="30"/>
    <x v="0"/>
    <x v="5"/>
    <x v="7"/>
    <n v="780"/>
    <x v="0"/>
  </r>
  <r>
    <x v="0"/>
    <x v="0"/>
    <x v="5"/>
    <x v="0"/>
    <x v="0"/>
    <x v="0"/>
    <s v="30"/>
    <x v="0"/>
    <x v="6"/>
    <x v="1"/>
    <n v="9713.82"/>
    <x v="0"/>
  </r>
  <r>
    <x v="0"/>
    <x v="0"/>
    <x v="5"/>
    <x v="0"/>
    <x v="0"/>
    <x v="0"/>
    <s v="30"/>
    <x v="0"/>
    <x v="5"/>
    <x v="2"/>
    <n v="500"/>
    <x v="0"/>
  </r>
  <r>
    <x v="0"/>
    <x v="0"/>
    <x v="5"/>
    <x v="0"/>
    <x v="0"/>
    <x v="0"/>
    <s v="30"/>
    <x v="0"/>
    <x v="6"/>
    <x v="9"/>
    <n v="175"/>
    <x v="0"/>
  </r>
  <r>
    <x v="0"/>
    <x v="0"/>
    <x v="5"/>
    <x v="0"/>
    <x v="0"/>
    <x v="0"/>
    <s v="30"/>
    <x v="0"/>
    <x v="6"/>
    <x v="8"/>
    <n v="1751.12"/>
    <x v="0"/>
  </r>
  <r>
    <x v="0"/>
    <x v="0"/>
    <x v="5"/>
    <x v="0"/>
    <x v="0"/>
    <x v="0"/>
    <s v="30"/>
    <x v="0"/>
    <x v="6"/>
    <x v="10"/>
    <n v="18604.79"/>
    <x v="0"/>
  </r>
  <r>
    <x v="0"/>
    <x v="0"/>
    <x v="5"/>
    <x v="0"/>
    <x v="0"/>
    <x v="0"/>
    <s v="30"/>
    <x v="0"/>
    <x v="6"/>
    <x v="0"/>
    <n v="3573.71"/>
    <x v="0"/>
  </r>
  <r>
    <x v="0"/>
    <x v="0"/>
    <x v="5"/>
    <x v="0"/>
    <x v="0"/>
    <x v="1"/>
    <s v="21"/>
    <x v="0"/>
    <x v="6"/>
    <x v="0"/>
    <n v="7632897"/>
    <x v="0"/>
  </r>
  <r>
    <x v="0"/>
    <x v="0"/>
    <x v="6"/>
    <x v="0"/>
    <x v="0"/>
    <x v="0"/>
    <s v="09"/>
    <x v="0"/>
    <x v="5"/>
    <x v="3"/>
    <n v="-29.56"/>
    <x v="0"/>
  </r>
  <r>
    <x v="0"/>
    <x v="0"/>
    <x v="6"/>
    <x v="0"/>
    <x v="0"/>
    <x v="0"/>
    <s v="16"/>
    <x v="0"/>
    <x v="6"/>
    <x v="2"/>
    <n v="5.67"/>
    <x v="0"/>
  </r>
  <r>
    <x v="0"/>
    <x v="0"/>
    <x v="6"/>
    <x v="0"/>
    <x v="0"/>
    <x v="0"/>
    <s v="09"/>
    <x v="0"/>
    <x v="6"/>
    <x v="10"/>
    <n v="5000"/>
    <x v="0"/>
  </r>
  <r>
    <x v="0"/>
    <x v="0"/>
    <x v="6"/>
    <x v="0"/>
    <x v="0"/>
    <x v="0"/>
    <s v="05"/>
    <x v="0"/>
    <x v="6"/>
    <x v="4"/>
    <n v="164"/>
    <x v="0"/>
  </r>
  <r>
    <x v="0"/>
    <x v="0"/>
    <x v="6"/>
    <x v="0"/>
    <x v="0"/>
    <x v="0"/>
    <s v="20"/>
    <x v="0"/>
    <x v="6"/>
    <x v="2"/>
    <n v="14200"/>
    <x v="0"/>
  </r>
  <r>
    <x v="0"/>
    <x v="0"/>
    <x v="6"/>
    <x v="0"/>
    <x v="0"/>
    <x v="0"/>
    <s v="20"/>
    <x v="0"/>
    <x v="5"/>
    <x v="0"/>
    <n v="249.65"/>
    <x v="0"/>
  </r>
  <r>
    <x v="0"/>
    <x v="0"/>
    <x v="6"/>
    <x v="0"/>
    <x v="0"/>
    <x v="0"/>
    <s v="24"/>
    <x v="0"/>
    <x v="5"/>
    <x v="5"/>
    <n v="-1419555.93"/>
    <x v="0"/>
  </r>
  <r>
    <x v="0"/>
    <x v="0"/>
    <x v="6"/>
    <x v="0"/>
    <x v="0"/>
    <x v="0"/>
    <s v="09"/>
    <x v="0"/>
    <x v="5"/>
    <x v="1"/>
    <n v="39.82"/>
    <x v="0"/>
  </r>
  <r>
    <x v="0"/>
    <x v="0"/>
    <x v="6"/>
    <x v="0"/>
    <x v="0"/>
    <x v="0"/>
    <s v="20"/>
    <x v="0"/>
    <x v="6"/>
    <x v="0"/>
    <n v="-14200"/>
    <x v="0"/>
  </r>
  <r>
    <x v="0"/>
    <x v="0"/>
    <x v="6"/>
    <x v="0"/>
    <x v="0"/>
    <x v="0"/>
    <s v="24"/>
    <x v="0"/>
    <x v="5"/>
    <x v="1"/>
    <n v="22586785.109999999"/>
    <x v="0"/>
  </r>
  <r>
    <x v="0"/>
    <x v="0"/>
    <x v="6"/>
    <x v="0"/>
    <x v="0"/>
    <x v="0"/>
    <s v="24"/>
    <x v="0"/>
    <x v="5"/>
    <x v="7"/>
    <n v="19834532.5"/>
    <x v="0"/>
  </r>
  <r>
    <x v="0"/>
    <x v="0"/>
    <x v="6"/>
    <x v="0"/>
    <x v="0"/>
    <x v="0"/>
    <s v="16"/>
    <x v="0"/>
    <x v="6"/>
    <x v="0"/>
    <n v="-5.67"/>
    <x v="0"/>
  </r>
  <r>
    <x v="0"/>
    <x v="0"/>
    <x v="6"/>
    <x v="0"/>
    <x v="0"/>
    <x v="0"/>
    <s v="24"/>
    <x v="0"/>
    <x v="5"/>
    <x v="3"/>
    <n v="-17679.8"/>
    <x v="0"/>
  </r>
  <r>
    <x v="0"/>
    <x v="0"/>
    <x v="6"/>
    <x v="0"/>
    <x v="0"/>
    <x v="0"/>
    <s v="24"/>
    <x v="0"/>
    <x v="5"/>
    <x v="2"/>
    <n v="-124002.73"/>
    <x v="0"/>
  </r>
  <r>
    <x v="0"/>
    <x v="0"/>
    <x v="6"/>
    <x v="0"/>
    <x v="0"/>
    <x v="0"/>
    <s v="24"/>
    <x v="0"/>
    <x v="5"/>
    <x v="8"/>
    <n v="-2344619.7400000002"/>
    <x v="0"/>
  </r>
  <r>
    <x v="0"/>
    <x v="0"/>
    <x v="6"/>
    <x v="0"/>
    <x v="0"/>
    <x v="0"/>
    <s v="24"/>
    <x v="0"/>
    <x v="5"/>
    <x v="9"/>
    <n v="-17985.09"/>
    <x v="0"/>
  </r>
  <r>
    <x v="0"/>
    <x v="0"/>
    <x v="6"/>
    <x v="0"/>
    <x v="0"/>
    <x v="0"/>
    <s v="24"/>
    <x v="0"/>
    <x v="5"/>
    <x v="4"/>
    <n v="-3187.33"/>
    <x v="0"/>
  </r>
  <r>
    <x v="0"/>
    <x v="0"/>
    <x v="6"/>
    <x v="0"/>
    <x v="0"/>
    <x v="0"/>
    <s v="24"/>
    <x v="0"/>
    <x v="6"/>
    <x v="11"/>
    <n v="-104258.97"/>
    <x v="0"/>
  </r>
  <r>
    <x v="0"/>
    <x v="0"/>
    <x v="6"/>
    <x v="0"/>
    <x v="0"/>
    <x v="0"/>
    <s v="24"/>
    <x v="0"/>
    <x v="5"/>
    <x v="0"/>
    <n v="23832.22"/>
    <x v="0"/>
  </r>
  <r>
    <x v="0"/>
    <x v="0"/>
    <x v="6"/>
    <x v="0"/>
    <x v="0"/>
    <x v="0"/>
    <s v="24"/>
    <x v="0"/>
    <x v="5"/>
    <x v="10"/>
    <n v="21188905.609999999"/>
    <x v="0"/>
  </r>
  <r>
    <x v="0"/>
    <x v="0"/>
    <x v="6"/>
    <x v="0"/>
    <x v="0"/>
    <x v="0"/>
    <s v="24"/>
    <x v="0"/>
    <x v="5"/>
    <x v="6"/>
    <n v="-208668.09"/>
    <x v="0"/>
  </r>
  <r>
    <x v="0"/>
    <x v="0"/>
    <x v="6"/>
    <x v="0"/>
    <x v="0"/>
    <x v="0"/>
    <s v="24"/>
    <x v="0"/>
    <x v="6"/>
    <x v="8"/>
    <n v="-177865.4"/>
    <x v="0"/>
  </r>
  <r>
    <x v="0"/>
    <x v="0"/>
    <x v="6"/>
    <x v="0"/>
    <x v="0"/>
    <x v="0"/>
    <s v="24"/>
    <x v="0"/>
    <x v="6"/>
    <x v="3"/>
    <n v="-65738.14"/>
    <x v="0"/>
  </r>
  <r>
    <x v="0"/>
    <x v="0"/>
    <x v="6"/>
    <x v="0"/>
    <x v="0"/>
    <x v="0"/>
    <s v="24"/>
    <x v="0"/>
    <x v="6"/>
    <x v="5"/>
    <n v="-252573.08"/>
    <x v="0"/>
  </r>
  <r>
    <x v="0"/>
    <x v="0"/>
    <x v="6"/>
    <x v="0"/>
    <x v="0"/>
    <x v="0"/>
    <s v="24"/>
    <x v="0"/>
    <x v="5"/>
    <x v="11"/>
    <n v="-114211.07"/>
    <x v="0"/>
  </r>
  <r>
    <x v="0"/>
    <x v="0"/>
    <x v="6"/>
    <x v="0"/>
    <x v="0"/>
    <x v="0"/>
    <s v="24"/>
    <x v="0"/>
    <x v="6"/>
    <x v="0"/>
    <n v="-3496857.53"/>
    <x v="0"/>
  </r>
  <r>
    <x v="0"/>
    <x v="0"/>
    <x v="6"/>
    <x v="0"/>
    <x v="0"/>
    <x v="0"/>
    <s v="24"/>
    <x v="0"/>
    <x v="6"/>
    <x v="4"/>
    <n v="-20489.82"/>
    <x v="0"/>
  </r>
  <r>
    <x v="0"/>
    <x v="0"/>
    <x v="6"/>
    <x v="0"/>
    <x v="0"/>
    <x v="0"/>
    <s v="24"/>
    <x v="0"/>
    <x v="6"/>
    <x v="7"/>
    <n v="19096057.859999999"/>
    <x v="0"/>
  </r>
  <r>
    <x v="0"/>
    <x v="0"/>
    <x v="6"/>
    <x v="0"/>
    <x v="0"/>
    <x v="0"/>
    <s v="24"/>
    <x v="0"/>
    <x v="6"/>
    <x v="1"/>
    <n v="20883481.140000001"/>
    <x v="0"/>
  </r>
  <r>
    <x v="0"/>
    <x v="0"/>
    <x v="6"/>
    <x v="0"/>
    <x v="0"/>
    <x v="0"/>
    <s v="40"/>
    <x v="0"/>
    <x v="6"/>
    <x v="10"/>
    <n v="124"/>
    <x v="0"/>
  </r>
  <r>
    <x v="0"/>
    <x v="0"/>
    <x v="6"/>
    <x v="0"/>
    <x v="0"/>
    <x v="0"/>
    <s v="24"/>
    <x v="0"/>
    <x v="6"/>
    <x v="6"/>
    <n v="-179386.26"/>
    <x v="0"/>
  </r>
  <r>
    <x v="0"/>
    <x v="0"/>
    <x v="6"/>
    <x v="0"/>
    <x v="0"/>
    <x v="0"/>
    <s v="24"/>
    <x v="0"/>
    <x v="6"/>
    <x v="2"/>
    <n v="-87872"/>
    <x v="0"/>
  </r>
  <r>
    <x v="0"/>
    <x v="0"/>
    <x v="6"/>
    <x v="0"/>
    <x v="0"/>
    <x v="0"/>
    <s v="24"/>
    <x v="0"/>
    <x v="6"/>
    <x v="9"/>
    <n v="-35688.6"/>
    <x v="0"/>
  </r>
  <r>
    <x v="0"/>
    <x v="0"/>
    <x v="6"/>
    <x v="0"/>
    <x v="0"/>
    <x v="0"/>
    <s v="99"/>
    <x v="0"/>
    <x v="5"/>
    <x v="6"/>
    <n v="2118"/>
    <x v="0"/>
  </r>
  <r>
    <x v="0"/>
    <x v="0"/>
    <x v="6"/>
    <x v="0"/>
    <x v="0"/>
    <x v="0"/>
    <s v="30"/>
    <x v="0"/>
    <x v="5"/>
    <x v="7"/>
    <n v="-76281.600000000006"/>
    <x v="0"/>
  </r>
  <r>
    <x v="0"/>
    <x v="0"/>
    <x v="6"/>
    <x v="0"/>
    <x v="0"/>
    <x v="0"/>
    <s v="30"/>
    <x v="0"/>
    <x v="5"/>
    <x v="9"/>
    <n v="76281.600000000006"/>
    <x v="0"/>
  </r>
  <r>
    <x v="0"/>
    <x v="0"/>
    <x v="6"/>
    <x v="0"/>
    <x v="0"/>
    <x v="0"/>
    <s v="24"/>
    <x v="0"/>
    <x v="6"/>
    <x v="10"/>
    <n v="18025864.329999998"/>
    <x v="0"/>
  </r>
  <r>
    <x v="0"/>
    <x v="0"/>
    <x v="6"/>
    <x v="0"/>
    <x v="0"/>
    <x v="0"/>
    <s v="99"/>
    <x v="0"/>
    <x v="5"/>
    <x v="0"/>
    <n v="441467.17"/>
    <x v="0"/>
  </r>
  <r>
    <x v="0"/>
    <x v="0"/>
    <x v="6"/>
    <x v="0"/>
    <x v="0"/>
    <x v="0"/>
    <s v="99"/>
    <x v="0"/>
    <x v="5"/>
    <x v="10"/>
    <n v="-86364.95"/>
    <x v="0"/>
  </r>
  <r>
    <x v="0"/>
    <x v="0"/>
    <x v="6"/>
    <x v="0"/>
    <x v="0"/>
    <x v="0"/>
    <s v="40"/>
    <x v="0"/>
    <x v="6"/>
    <x v="11"/>
    <n v="-124"/>
    <x v="0"/>
  </r>
  <r>
    <x v="0"/>
    <x v="0"/>
    <x v="4"/>
    <x v="0"/>
    <x v="0"/>
    <x v="0"/>
    <s v="20"/>
    <x v="0"/>
    <x v="7"/>
    <x v="0"/>
    <n v="-1897"/>
    <x v="0"/>
  </r>
  <r>
    <x v="0"/>
    <x v="0"/>
    <x v="4"/>
    <x v="0"/>
    <x v="0"/>
    <x v="0"/>
    <s v="20"/>
    <x v="0"/>
    <x v="8"/>
    <x v="6"/>
    <n v="-5398.75"/>
    <x v="0"/>
  </r>
  <r>
    <x v="0"/>
    <x v="0"/>
    <x v="4"/>
    <x v="0"/>
    <x v="0"/>
    <x v="0"/>
    <s v="20"/>
    <x v="0"/>
    <x v="8"/>
    <x v="7"/>
    <n v="-35700.15"/>
    <x v="0"/>
  </r>
  <r>
    <x v="0"/>
    <x v="0"/>
    <x v="4"/>
    <x v="0"/>
    <x v="0"/>
    <x v="0"/>
    <s v="24"/>
    <x v="0"/>
    <x v="7"/>
    <x v="10"/>
    <n v="7190410.7000000002"/>
    <x v="0"/>
  </r>
  <r>
    <x v="0"/>
    <x v="0"/>
    <x v="4"/>
    <x v="0"/>
    <x v="0"/>
    <x v="0"/>
    <s v="20"/>
    <x v="0"/>
    <x v="8"/>
    <x v="1"/>
    <n v="-112666.76"/>
    <x v="0"/>
  </r>
  <r>
    <x v="0"/>
    <x v="0"/>
    <x v="4"/>
    <x v="0"/>
    <x v="0"/>
    <x v="0"/>
    <s v="20"/>
    <x v="0"/>
    <x v="8"/>
    <x v="8"/>
    <n v="6956.3"/>
    <x v="0"/>
  </r>
  <r>
    <x v="0"/>
    <x v="0"/>
    <x v="4"/>
    <x v="0"/>
    <x v="0"/>
    <x v="0"/>
    <s v="24"/>
    <x v="0"/>
    <x v="7"/>
    <x v="3"/>
    <n v="3169291.94"/>
    <x v="0"/>
  </r>
  <r>
    <x v="0"/>
    <x v="0"/>
    <x v="4"/>
    <x v="0"/>
    <x v="0"/>
    <x v="0"/>
    <s v="24"/>
    <x v="0"/>
    <x v="8"/>
    <x v="7"/>
    <n v="-5201276.09"/>
    <x v="0"/>
  </r>
  <r>
    <x v="0"/>
    <x v="0"/>
    <x v="4"/>
    <x v="0"/>
    <x v="0"/>
    <x v="0"/>
    <s v="20"/>
    <x v="0"/>
    <x v="8"/>
    <x v="9"/>
    <n v="14177.65"/>
    <x v="0"/>
  </r>
  <r>
    <x v="0"/>
    <x v="0"/>
    <x v="4"/>
    <x v="0"/>
    <x v="0"/>
    <x v="0"/>
    <s v="20"/>
    <x v="0"/>
    <x v="8"/>
    <x v="0"/>
    <n v="-4603.57"/>
    <x v="0"/>
  </r>
  <r>
    <x v="0"/>
    <x v="0"/>
    <x v="4"/>
    <x v="0"/>
    <x v="0"/>
    <x v="0"/>
    <s v="24"/>
    <x v="0"/>
    <x v="7"/>
    <x v="4"/>
    <n v="35873891.93"/>
    <x v="0"/>
  </r>
  <r>
    <x v="0"/>
    <x v="0"/>
    <x v="4"/>
    <x v="0"/>
    <x v="0"/>
    <x v="0"/>
    <s v="86"/>
    <x v="0"/>
    <x v="7"/>
    <x v="11"/>
    <n v="50000"/>
    <x v="0"/>
  </r>
  <r>
    <x v="0"/>
    <x v="0"/>
    <x v="4"/>
    <x v="0"/>
    <x v="0"/>
    <x v="0"/>
    <s v="20"/>
    <x v="0"/>
    <x v="8"/>
    <x v="10"/>
    <n v="20642.490000000002"/>
    <x v="0"/>
  </r>
  <r>
    <x v="0"/>
    <x v="0"/>
    <x v="4"/>
    <x v="0"/>
    <x v="0"/>
    <x v="0"/>
    <s v="24"/>
    <x v="0"/>
    <x v="7"/>
    <x v="1"/>
    <n v="-4957521.18"/>
    <x v="0"/>
  </r>
  <r>
    <x v="0"/>
    <x v="0"/>
    <x v="4"/>
    <x v="0"/>
    <x v="0"/>
    <x v="0"/>
    <s v="24"/>
    <x v="0"/>
    <x v="7"/>
    <x v="6"/>
    <n v="34427645.770000003"/>
    <x v="0"/>
  </r>
  <r>
    <x v="0"/>
    <x v="0"/>
    <x v="4"/>
    <x v="0"/>
    <x v="0"/>
    <x v="0"/>
    <s v="99"/>
    <x v="0"/>
    <x v="8"/>
    <x v="3"/>
    <n v="3201.95"/>
    <x v="0"/>
  </r>
  <r>
    <x v="0"/>
    <x v="0"/>
    <x v="4"/>
    <x v="0"/>
    <x v="0"/>
    <x v="0"/>
    <s v="24"/>
    <x v="0"/>
    <x v="7"/>
    <x v="5"/>
    <n v="-458030.03"/>
    <x v="0"/>
  </r>
  <r>
    <x v="0"/>
    <x v="0"/>
    <x v="4"/>
    <x v="0"/>
    <x v="0"/>
    <x v="0"/>
    <s v="24"/>
    <x v="0"/>
    <x v="8"/>
    <x v="5"/>
    <n v="-721476.55"/>
    <x v="0"/>
  </r>
  <r>
    <x v="0"/>
    <x v="0"/>
    <x v="4"/>
    <x v="0"/>
    <x v="0"/>
    <x v="0"/>
    <s v="24"/>
    <x v="0"/>
    <x v="7"/>
    <x v="11"/>
    <n v="21757320.32"/>
    <x v="0"/>
  </r>
  <r>
    <x v="0"/>
    <x v="0"/>
    <x v="4"/>
    <x v="0"/>
    <x v="0"/>
    <x v="0"/>
    <s v="99"/>
    <x v="0"/>
    <x v="8"/>
    <x v="4"/>
    <n v="3201.95"/>
    <x v="0"/>
  </r>
  <r>
    <x v="0"/>
    <x v="0"/>
    <x v="4"/>
    <x v="0"/>
    <x v="0"/>
    <x v="0"/>
    <s v="24"/>
    <x v="0"/>
    <x v="7"/>
    <x v="7"/>
    <n v="-5194931"/>
    <x v="0"/>
  </r>
  <r>
    <x v="0"/>
    <x v="0"/>
    <x v="4"/>
    <x v="0"/>
    <x v="0"/>
    <x v="0"/>
    <s v="24"/>
    <x v="0"/>
    <x v="8"/>
    <x v="2"/>
    <n v="-6156.38"/>
    <x v="0"/>
  </r>
  <r>
    <x v="0"/>
    <x v="0"/>
    <x v="4"/>
    <x v="0"/>
    <x v="0"/>
    <x v="0"/>
    <s v="24"/>
    <x v="0"/>
    <x v="7"/>
    <x v="8"/>
    <n v="-699045.52"/>
    <x v="0"/>
  </r>
  <r>
    <x v="0"/>
    <x v="0"/>
    <x v="4"/>
    <x v="0"/>
    <x v="0"/>
    <x v="0"/>
    <s v="99"/>
    <x v="0"/>
    <x v="8"/>
    <x v="0"/>
    <n v="-4614.91"/>
    <x v="0"/>
  </r>
  <r>
    <x v="0"/>
    <x v="0"/>
    <x v="4"/>
    <x v="0"/>
    <x v="0"/>
    <x v="0"/>
    <s v="24"/>
    <x v="0"/>
    <x v="7"/>
    <x v="2"/>
    <n v="83028.34"/>
    <x v="0"/>
  </r>
  <r>
    <x v="0"/>
    <x v="0"/>
    <x v="4"/>
    <x v="0"/>
    <x v="0"/>
    <x v="1"/>
    <s v="21"/>
    <x v="0"/>
    <x v="7"/>
    <x v="2"/>
    <n v="319817.06"/>
    <x v="0"/>
  </r>
  <r>
    <x v="0"/>
    <x v="0"/>
    <x v="4"/>
    <x v="0"/>
    <x v="0"/>
    <x v="0"/>
    <s v="24"/>
    <x v="0"/>
    <x v="7"/>
    <x v="0"/>
    <n v="-126042.49"/>
    <x v="0"/>
  </r>
  <r>
    <x v="0"/>
    <x v="0"/>
    <x v="4"/>
    <x v="0"/>
    <x v="0"/>
    <x v="3"/>
    <s v="41"/>
    <x v="0"/>
    <x v="7"/>
    <x v="0"/>
    <n v="1000"/>
    <x v="1"/>
  </r>
  <r>
    <x v="0"/>
    <x v="0"/>
    <x v="4"/>
    <x v="0"/>
    <x v="0"/>
    <x v="0"/>
    <s v="24"/>
    <x v="0"/>
    <x v="8"/>
    <x v="3"/>
    <n v="3055576.98"/>
    <x v="0"/>
  </r>
  <r>
    <x v="0"/>
    <x v="0"/>
    <x v="4"/>
    <x v="0"/>
    <x v="0"/>
    <x v="1"/>
    <s v="22"/>
    <x v="0"/>
    <x v="7"/>
    <x v="9"/>
    <n v="-173375"/>
    <x v="0"/>
  </r>
  <r>
    <x v="0"/>
    <x v="0"/>
    <x v="4"/>
    <x v="0"/>
    <x v="0"/>
    <x v="0"/>
    <s v="24"/>
    <x v="0"/>
    <x v="8"/>
    <x v="1"/>
    <n v="-5016886.58"/>
    <x v="0"/>
  </r>
  <r>
    <x v="0"/>
    <x v="0"/>
    <x v="4"/>
    <x v="0"/>
    <x v="0"/>
    <x v="1"/>
    <s v="21"/>
    <x v="0"/>
    <x v="7"/>
    <x v="7"/>
    <n v="219549"/>
    <x v="0"/>
  </r>
  <r>
    <x v="0"/>
    <x v="0"/>
    <x v="4"/>
    <x v="0"/>
    <x v="0"/>
    <x v="0"/>
    <s v="24"/>
    <x v="0"/>
    <x v="8"/>
    <x v="4"/>
    <n v="35983987.960000001"/>
    <x v="0"/>
  </r>
  <r>
    <x v="0"/>
    <x v="0"/>
    <x v="4"/>
    <x v="0"/>
    <x v="0"/>
    <x v="1"/>
    <s v="22"/>
    <x v="0"/>
    <x v="8"/>
    <x v="7"/>
    <n v="-5885.49"/>
    <x v="0"/>
  </r>
  <r>
    <x v="0"/>
    <x v="0"/>
    <x v="4"/>
    <x v="0"/>
    <x v="0"/>
    <x v="0"/>
    <s v="24"/>
    <x v="0"/>
    <x v="8"/>
    <x v="9"/>
    <n v="895978.66"/>
    <x v="0"/>
  </r>
  <r>
    <x v="0"/>
    <x v="0"/>
    <x v="4"/>
    <x v="0"/>
    <x v="0"/>
    <x v="1"/>
    <s v="21"/>
    <x v="0"/>
    <x v="8"/>
    <x v="3"/>
    <n v="800000"/>
    <x v="0"/>
  </r>
  <r>
    <x v="0"/>
    <x v="0"/>
    <x v="4"/>
    <x v="0"/>
    <x v="0"/>
    <x v="0"/>
    <s v="24"/>
    <x v="0"/>
    <x v="8"/>
    <x v="6"/>
    <n v="35285982.960000001"/>
    <x v="0"/>
  </r>
  <r>
    <x v="0"/>
    <x v="0"/>
    <x v="4"/>
    <x v="0"/>
    <x v="0"/>
    <x v="0"/>
    <s v="24"/>
    <x v="0"/>
    <x v="8"/>
    <x v="10"/>
    <n v="8515466.5500000007"/>
    <x v="0"/>
  </r>
  <r>
    <x v="0"/>
    <x v="0"/>
    <x v="4"/>
    <x v="0"/>
    <x v="0"/>
    <x v="1"/>
    <s v="21"/>
    <x v="0"/>
    <x v="8"/>
    <x v="2"/>
    <n v="1570754.74"/>
    <x v="0"/>
  </r>
  <r>
    <x v="0"/>
    <x v="0"/>
    <x v="4"/>
    <x v="0"/>
    <x v="0"/>
    <x v="0"/>
    <s v="24"/>
    <x v="0"/>
    <x v="8"/>
    <x v="11"/>
    <n v="20611958.920000002"/>
    <x v="0"/>
  </r>
  <r>
    <x v="0"/>
    <x v="0"/>
    <x v="4"/>
    <x v="0"/>
    <x v="0"/>
    <x v="0"/>
    <s v="99"/>
    <x v="0"/>
    <x v="8"/>
    <x v="2"/>
    <n v="4614.91"/>
    <x v="0"/>
  </r>
  <r>
    <x v="0"/>
    <x v="0"/>
    <x v="4"/>
    <x v="0"/>
    <x v="0"/>
    <x v="1"/>
    <s v="21"/>
    <x v="0"/>
    <x v="8"/>
    <x v="0"/>
    <n v="1346953.36"/>
    <x v="0"/>
  </r>
  <r>
    <x v="0"/>
    <x v="0"/>
    <x v="4"/>
    <x v="0"/>
    <x v="0"/>
    <x v="0"/>
    <s v="24"/>
    <x v="0"/>
    <x v="8"/>
    <x v="8"/>
    <n v="-329452.17"/>
    <x v="0"/>
  </r>
  <r>
    <x v="0"/>
    <x v="0"/>
    <x v="4"/>
    <x v="0"/>
    <x v="0"/>
    <x v="1"/>
    <s v="21"/>
    <x v="0"/>
    <x v="7"/>
    <x v="9"/>
    <n v="173375"/>
    <x v="0"/>
  </r>
  <r>
    <x v="0"/>
    <x v="0"/>
    <x v="4"/>
    <x v="0"/>
    <x v="0"/>
    <x v="1"/>
    <s v="22"/>
    <x v="0"/>
    <x v="7"/>
    <x v="11"/>
    <n v="-82012.5"/>
    <x v="0"/>
  </r>
  <r>
    <x v="0"/>
    <x v="0"/>
    <x v="4"/>
    <x v="0"/>
    <x v="0"/>
    <x v="0"/>
    <s v="24"/>
    <x v="0"/>
    <x v="8"/>
    <x v="0"/>
    <n v="-123077.33"/>
    <x v="0"/>
  </r>
  <r>
    <x v="0"/>
    <x v="0"/>
    <x v="4"/>
    <x v="0"/>
    <x v="0"/>
    <x v="1"/>
    <s v="21"/>
    <x v="0"/>
    <x v="8"/>
    <x v="5"/>
    <n v="5080"/>
    <x v="0"/>
  </r>
  <r>
    <x v="0"/>
    <x v="0"/>
    <x v="4"/>
    <x v="0"/>
    <x v="0"/>
    <x v="1"/>
    <s v="22"/>
    <x v="0"/>
    <x v="7"/>
    <x v="8"/>
    <n v="429.33"/>
    <x v="0"/>
  </r>
  <r>
    <x v="0"/>
    <x v="0"/>
    <x v="4"/>
    <x v="0"/>
    <x v="0"/>
    <x v="0"/>
    <s v="99"/>
    <x v="0"/>
    <x v="8"/>
    <x v="1"/>
    <n v="-6403.9"/>
    <x v="0"/>
  </r>
  <r>
    <x v="0"/>
    <x v="0"/>
    <x v="4"/>
    <x v="0"/>
    <x v="0"/>
    <x v="1"/>
    <s v="21"/>
    <x v="0"/>
    <x v="8"/>
    <x v="7"/>
    <n v="125328"/>
    <x v="0"/>
  </r>
  <r>
    <x v="0"/>
    <x v="0"/>
    <x v="4"/>
    <x v="0"/>
    <x v="0"/>
    <x v="1"/>
    <s v="22"/>
    <x v="0"/>
    <x v="7"/>
    <x v="0"/>
    <n v="-450780.86"/>
    <x v="0"/>
  </r>
  <r>
    <x v="0"/>
    <x v="0"/>
    <x v="4"/>
    <x v="0"/>
    <x v="0"/>
    <x v="3"/>
    <s v="41"/>
    <x v="0"/>
    <x v="8"/>
    <x v="0"/>
    <n v="971.54"/>
    <x v="1"/>
  </r>
  <r>
    <x v="0"/>
    <x v="0"/>
    <x v="4"/>
    <x v="0"/>
    <x v="0"/>
    <x v="1"/>
    <s v="22"/>
    <x v="0"/>
    <x v="7"/>
    <x v="5"/>
    <n v="-16511.439999999999"/>
    <x v="0"/>
  </r>
  <r>
    <x v="0"/>
    <x v="0"/>
    <x v="4"/>
    <x v="0"/>
    <x v="0"/>
    <x v="1"/>
    <s v="22"/>
    <x v="0"/>
    <x v="8"/>
    <x v="1"/>
    <n v="-29200"/>
    <x v="0"/>
  </r>
  <r>
    <x v="0"/>
    <x v="0"/>
    <x v="4"/>
    <x v="0"/>
    <x v="0"/>
    <x v="1"/>
    <s v="21"/>
    <x v="0"/>
    <x v="7"/>
    <x v="0"/>
    <n v="1410000"/>
    <x v="0"/>
  </r>
  <r>
    <x v="0"/>
    <x v="0"/>
    <x v="4"/>
    <x v="0"/>
    <x v="0"/>
    <x v="1"/>
    <s v="22"/>
    <x v="0"/>
    <x v="7"/>
    <x v="7"/>
    <n v="-1079.44"/>
    <x v="0"/>
  </r>
  <r>
    <x v="0"/>
    <x v="0"/>
    <x v="4"/>
    <x v="0"/>
    <x v="0"/>
    <x v="1"/>
    <s v="22"/>
    <x v="0"/>
    <x v="8"/>
    <x v="9"/>
    <n v="-176875"/>
    <x v="0"/>
  </r>
  <r>
    <x v="0"/>
    <x v="0"/>
    <x v="4"/>
    <x v="0"/>
    <x v="0"/>
    <x v="1"/>
    <s v="21"/>
    <x v="0"/>
    <x v="8"/>
    <x v="9"/>
    <n v="176875"/>
    <x v="0"/>
  </r>
  <r>
    <x v="0"/>
    <x v="0"/>
    <x v="4"/>
    <x v="0"/>
    <x v="0"/>
    <x v="1"/>
    <s v="22"/>
    <x v="0"/>
    <x v="7"/>
    <x v="2"/>
    <n v="-152817.06"/>
    <x v="0"/>
  </r>
  <r>
    <x v="0"/>
    <x v="0"/>
    <x v="4"/>
    <x v="0"/>
    <x v="0"/>
    <x v="1"/>
    <s v="22"/>
    <x v="0"/>
    <x v="7"/>
    <x v="1"/>
    <n v="-115200"/>
    <x v="0"/>
  </r>
  <r>
    <x v="0"/>
    <x v="0"/>
    <x v="4"/>
    <x v="0"/>
    <x v="0"/>
    <x v="1"/>
    <s v="22"/>
    <x v="0"/>
    <x v="8"/>
    <x v="3"/>
    <n v="-822302.76"/>
    <x v="0"/>
  </r>
  <r>
    <x v="0"/>
    <x v="0"/>
    <x v="4"/>
    <x v="0"/>
    <x v="0"/>
    <x v="1"/>
    <s v="22"/>
    <x v="0"/>
    <x v="8"/>
    <x v="5"/>
    <n v="-86000"/>
    <x v="0"/>
  </r>
  <r>
    <x v="0"/>
    <x v="0"/>
    <x v="4"/>
    <x v="0"/>
    <x v="0"/>
    <x v="1"/>
    <s v="22"/>
    <x v="0"/>
    <x v="8"/>
    <x v="6"/>
    <n v="-211137.23"/>
    <x v="0"/>
  </r>
  <r>
    <x v="0"/>
    <x v="0"/>
    <x v="4"/>
    <x v="0"/>
    <x v="0"/>
    <x v="1"/>
    <s v="22"/>
    <x v="0"/>
    <x v="8"/>
    <x v="2"/>
    <n v="-400000"/>
    <x v="0"/>
  </r>
  <r>
    <x v="0"/>
    <x v="0"/>
    <x v="4"/>
    <x v="0"/>
    <x v="0"/>
    <x v="1"/>
    <s v="22"/>
    <x v="0"/>
    <x v="8"/>
    <x v="8"/>
    <n v="-56481.82"/>
    <x v="0"/>
  </r>
  <r>
    <x v="0"/>
    <x v="0"/>
    <x v="4"/>
    <x v="0"/>
    <x v="0"/>
    <x v="1"/>
    <s v="22"/>
    <x v="0"/>
    <x v="8"/>
    <x v="0"/>
    <n v="-418168.5"/>
    <x v="0"/>
  </r>
  <r>
    <x v="0"/>
    <x v="0"/>
    <x v="3"/>
    <x v="0"/>
    <x v="0"/>
    <x v="0"/>
    <s v="01"/>
    <x v="0"/>
    <x v="7"/>
    <x v="5"/>
    <n v="5926.68"/>
    <x v="0"/>
  </r>
  <r>
    <x v="0"/>
    <x v="0"/>
    <x v="3"/>
    <x v="0"/>
    <x v="0"/>
    <x v="0"/>
    <s v="01"/>
    <x v="0"/>
    <x v="7"/>
    <x v="7"/>
    <n v="47992.4"/>
    <x v="0"/>
  </r>
  <r>
    <x v="0"/>
    <x v="0"/>
    <x v="3"/>
    <x v="0"/>
    <x v="0"/>
    <x v="0"/>
    <s v="01"/>
    <x v="0"/>
    <x v="7"/>
    <x v="3"/>
    <n v="6779.8"/>
    <x v="0"/>
  </r>
  <r>
    <x v="0"/>
    <x v="0"/>
    <x v="3"/>
    <x v="0"/>
    <x v="0"/>
    <x v="0"/>
    <s v="01"/>
    <x v="0"/>
    <x v="8"/>
    <x v="4"/>
    <n v="57684.800000000003"/>
    <x v="0"/>
  </r>
  <r>
    <x v="0"/>
    <x v="0"/>
    <x v="3"/>
    <x v="0"/>
    <x v="0"/>
    <x v="0"/>
    <s v="01"/>
    <x v="0"/>
    <x v="7"/>
    <x v="6"/>
    <n v="3434.84"/>
    <x v="0"/>
  </r>
  <r>
    <x v="0"/>
    <x v="0"/>
    <x v="3"/>
    <x v="0"/>
    <x v="0"/>
    <x v="0"/>
    <s v="01"/>
    <x v="0"/>
    <x v="8"/>
    <x v="6"/>
    <n v="31483.119999999999"/>
    <x v="0"/>
  </r>
  <r>
    <x v="0"/>
    <x v="0"/>
    <x v="3"/>
    <x v="0"/>
    <x v="0"/>
    <x v="0"/>
    <s v="01"/>
    <x v="0"/>
    <x v="7"/>
    <x v="11"/>
    <n v="45164.79"/>
    <x v="0"/>
  </r>
  <r>
    <x v="0"/>
    <x v="0"/>
    <x v="3"/>
    <x v="0"/>
    <x v="0"/>
    <x v="0"/>
    <s v="01"/>
    <x v="0"/>
    <x v="8"/>
    <x v="11"/>
    <n v="38841.17"/>
    <x v="0"/>
  </r>
  <r>
    <x v="0"/>
    <x v="0"/>
    <x v="3"/>
    <x v="0"/>
    <x v="0"/>
    <x v="0"/>
    <s v="01"/>
    <x v="0"/>
    <x v="7"/>
    <x v="2"/>
    <n v="10309.209999999999"/>
    <x v="0"/>
  </r>
  <r>
    <x v="0"/>
    <x v="0"/>
    <x v="3"/>
    <x v="0"/>
    <x v="0"/>
    <x v="0"/>
    <s v="01"/>
    <x v="0"/>
    <x v="8"/>
    <x v="0"/>
    <n v="1294606.94"/>
    <x v="0"/>
  </r>
  <r>
    <x v="0"/>
    <x v="0"/>
    <x v="3"/>
    <x v="0"/>
    <x v="0"/>
    <x v="0"/>
    <s v="01"/>
    <x v="0"/>
    <x v="7"/>
    <x v="4"/>
    <n v="20954.509999999998"/>
    <x v="0"/>
  </r>
  <r>
    <x v="0"/>
    <x v="0"/>
    <x v="3"/>
    <x v="0"/>
    <x v="0"/>
    <x v="0"/>
    <s v="01"/>
    <x v="0"/>
    <x v="7"/>
    <x v="0"/>
    <n v="-792332.23"/>
    <x v="0"/>
  </r>
  <r>
    <x v="0"/>
    <x v="0"/>
    <x v="3"/>
    <x v="0"/>
    <x v="0"/>
    <x v="0"/>
    <s v="02"/>
    <x v="0"/>
    <x v="7"/>
    <x v="7"/>
    <n v="1021.45"/>
    <x v="0"/>
  </r>
  <r>
    <x v="0"/>
    <x v="0"/>
    <x v="3"/>
    <x v="0"/>
    <x v="0"/>
    <x v="0"/>
    <s v="01"/>
    <x v="0"/>
    <x v="7"/>
    <x v="10"/>
    <n v="9262.0499999999993"/>
    <x v="0"/>
  </r>
  <r>
    <x v="0"/>
    <x v="0"/>
    <x v="3"/>
    <x v="0"/>
    <x v="0"/>
    <x v="0"/>
    <s v="01"/>
    <x v="0"/>
    <x v="8"/>
    <x v="9"/>
    <n v="88145.02"/>
    <x v="0"/>
  </r>
  <r>
    <x v="0"/>
    <x v="0"/>
    <x v="3"/>
    <x v="0"/>
    <x v="0"/>
    <x v="0"/>
    <s v="09"/>
    <x v="0"/>
    <x v="7"/>
    <x v="1"/>
    <n v="498534.38"/>
    <x v="0"/>
  </r>
  <r>
    <x v="0"/>
    <x v="0"/>
    <x v="3"/>
    <x v="0"/>
    <x v="0"/>
    <x v="0"/>
    <s v="01"/>
    <x v="0"/>
    <x v="7"/>
    <x v="8"/>
    <n v="7783.38"/>
    <x v="0"/>
  </r>
  <r>
    <x v="0"/>
    <x v="0"/>
    <x v="3"/>
    <x v="0"/>
    <x v="0"/>
    <x v="0"/>
    <s v="01"/>
    <x v="0"/>
    <x v="8"/>
    <x v="10"/>
    <n v="14915.4"/>
    <x v="0"/>
  </r>
  <r>
    <x v="0"/>
    <x v="0"/>
    <x v="4"/>
    <x v="0"/>
    <x v="0"/>
    <x v="0"/>
    <s v="20"/>
    <x v="0"/>
    <x v="4"/>
    <x v="5"/>
    <n v="0"/>
    <x v="0"/>
  </r>
  <r>
    <x v="0"/>
    <x v="0"/>
    <x v="4"/>
    <x v="0"/>
    <x v="0"/>
    <x v="0"/>
    <s v="24"/>
    <x v="0"/>
    <x v="3"/>
    <x v="7"/>
    <n v="-4258341.09"/>
    <x v="0"/>
  </r>
  <r>
    <x v="0"/>
    <x v="0"/>
    <x v="4"/>
    <x v="0"/>
    <x v="0"/>
    <x v="0"/>
    <s v="24"/>
    <x v="0"/>
    <x v="4"/>
    <x v="1"/>
    <n v="-2900619.97"/>
    <x v="0"/>
  </r>
  <r>
    <x v="0"/>
    <x v="0"/>
    <x v="4"/>
    <x v="0"/>
    <x v="0"/>
    <x v="0"/>
    <s v="90"/>
    <x v="0"/>
    <x v="4"/>
    <x v="4"/>
    <n v="-0.5"/>
    <x v="0"/>
  </r>
  <r>
    <x v="0"/>
    <x v="0"/>
    <x v="4"/>
    <x v="0"/>
    <x v="0"/>
    <x v="0"/>
    <s v="90"/>
    <x v="0"/>
    <x v="4"/>
    <x v="6"/>
    <n v="-0.5"/>
    <x v="0"/>
  </r>
  <r>
    <x v="0"/>
    <x v="0"/>
    <x v="4"/>
    <x v="0"/>
    <x v="0"/>
    <x v="0"/>
    <s v="99"/>
    <x v="0"/>
    <x v="3"/>
    <x v="6"/>
    <n v="125994.52"/>
    <x v="0"/>
  </r>
  <r>
    <x v="0"/>
    <x v="0"/>
    <x v="4"/>
    <x v="0"/>
    <x v="0"/>
    <x v="1"/>
    <s v="21"/>
    <x v="0"/>
    <x v="3"/>
    <x v="6"/>
    <n v="33458"/>
    <x v="0"/>
  </r>
  <r>
    <x v="0"/>
    <x v="0"/>
    <x v="4"/>
    <x v="0"/>
    <x v="0"/>
    <x v="1"/>
    <s v="21"/>
    <x v="0"/>
    <x v="3"/>
    <x v="0"/>
    <n v="517670.74"/>
    <x v="0"/>
  </r>
  <r>
    <x v="0"/>
    <x v="0"/>
    <x v="4"/>
    <x v="0"/>
    <x v="0"/>
    <x v="1"/>
    <s v="22"/>
    <x v="0"/>
    <x v="3"/>
    <x v="1"/>
    <n v="-29200"/>
    <x v="0"/>
  </r>
  <r>
    <x v="0"/>
    <x v="0"/>
    <x v="4"/>
    <x v="0"/>
    <x v="0"/>
    <x v="1"/>
    <s v="22"/>
    <x v="0"/>
    <x v="3"/>
    <x v="9"/>
    <n v="-140000"/>
    <x v="0"/>
  </r>
  <r>
    <x v="0"/>
    <x v="0"/>
    <x v="4"/>
    <x v="0"/>
    <x v="0"/>
    <x v="1"/>
    <s v="22"/>
    <x v="0"/>
    <x v="4"/>
    <x v="8"/>
    <n v="-1317275.58"/>
    <x v="0"/>
  </r>
  <r>
    <x v="0"/>
    <x v="0"/>
    <x v="4"/>
    <x v="0"/>
    <x v="0"/>
    <x v="0"/>
    <s v="01"/>
    <x v="0"/>
    <x v="3"/>
    <x v="4"/>
    <n v="22010.61"/>
    <x v="0"/>
  </r>
  <r>
    <x v="0"/>
    <x v="0"/>
    <x v="4"/>
    <x v="0"/>
    <x v="0"/>
    <x v="0"/>
    <s v="01"/>
    <x v="0"/>
    <x v="3"/>
    <x v="10"/>
    <n v="31892.71"/>
    <x v="0"/>
  </r>
  <r>
    <x v="0"/>
    <x v="0"/>
    <x v="4"/>
    <x v="0"/>
    <x v="0"/>
    <x v="0"/>
    <s v="01"/>
    <x v="0"/>
    <x v="3"/>
    <x v="8"/>
    <n v="33140.14"/>
    <x v="0"/>
  </r>
  <r>
    <x v="0"/>
    <x v="0"/>
    <x v="4"/>
    <x v="0"/>
    <x v="0"/>
    <x v="0"/>
    <s v="01"/>
    <x v="0"/>
    <x v="4"/>
    <x v="4"/>
    <n v="27606.36"/>
    <x v="0"/>
  </r>
  <r>
    <x v="0"/>
    <x v="0"/>
    <x v="4"/>
    <x v="0"/>
    <x v="0"/>
    <x v="0"/>
    <s v="01"/>
    <x v="0"/>
    <x v="4"/>
    <x v="6"/>
    <n v="44742.48"/>
    <x v="0"/>
  </r>
  <r>
    <x v="0"/>
    <x v="0"/>
    <x v="4"/>
    <x v="0"/>
    <x v="0"/>
    <x v="0"/>
    <s v="01"/>
    <x v="0"/>
    <x v="4"/>
    <x v="8"/>
    <n v="30623.85"/>
    <x v="0"/>
  </r>
  <r>
    <x v="0"/>
    <x v="0"/>
    <x v="4"/>
    <x v="0"/>
    <x v="0"/>
    <x v="0"/>
    <s v="01"/>
    <x v="0"/>
    <x v="4"/>
    <x v="0"/>
    <n v="78459.509999999995"/>
    <x v="0"/>
  </r>
  <r>
    <x v="0"/>
    <x v="0"/>
    <x v="4"/>
    <x v="0"/>
    <x v="0"/>
    <x v="0"/>
    <s v="20"/>
    <x v="0"/>
    <x v="3"/>
    <x v="6"/>
    <n v="-660"/>
    <x v="0"/>
  </r>
  <r>
    <x v="0"/>
    <x v="0"/>
    <x v="4"/>
    <x v="0"/>
    <x v="0"/>
    <x v="0"/>
    <s v="20"/>
    <x v="0"/>
    <x v="3"/>
    <x v="8"/>
    <n v="0"/>
    <x v="0"/>
  </r>
  <r>
    <x v="0"/>
    <x v="0"/>
    <x v="4"/>
    <x v="0"/>
    <x v="0"/>
    <x v="0"/>
    <s v="20"/>
    <x v="0"/>
    <x v="3"/>
    <x v="0"/>
    <n v="-46726.01"/>
    <x v="0"/>
  </r>
  <r>
    <x v="0"/>
    <x v="0"/>
    <x v="4"/>
    <x v="0"/>
    <x v="0"/>
    <x v="0"/>
    <s v="20"/>
    <x v="0"/>
    <x v="4"/>
    <x v="11"/>
    <n v="-1402556"/>
    <x v="0"/>
  </r>
  <r>
    <x v="0"/>
    <x v="0"/>
    <x v="4"/>
    <x v="0"/>
    <x v="0"/>
    <x v="0"/>
    <s v="20"/>
    <x v="0"/>
    <x v="4"/>
    <x v="8"/>
    <n v="0"/>
    <x v="0"/>
  </r>
  <r>
    <x v="0"/>
    <x v="0"/>
    <x v="4"/>
    <x v="0"/>
    <x v="0"/>
    <x v="0"/>
    <s v="20"/>
    <x v="0"/>
    <x v="4"/>
    <x v="0"/>
    <n v="0"/>
    <x v="0"/>
  </r>
  <r>
    <x v="0"/>
    <x v="0"/>
    <x v="4"/>
    <x v="0"/>
    <x v="0"/>
    <x v="0"/>
    <s v="24"/>
    <x v="0"/>
    <x v="3"/>
    <x v="5"/>
    <n v="-875597.76"/>
    <x v="0"/>
  </r>
  <r>
    <x v="0"/>
    <x v="0"/>
    <x v="4"/>
    <x v="0"/>
    <x v="0"/>
    <x v="0"/>
    <s v="24"/>
    <x v="0"/>
    <x v="3"/>
    <x v="2"/>
    <n v="-75635.38"/>
    <x v="0"/>
  </r>
  <r>
    <x v="0"/>
    <x v="0"/>
    <x v="4"/>
    <x v="0"/>
    <x v="0"/>
    <x v="0"/>
    <s v="24"/>
    <x v="0"/>
    <x v="4"/>
    <x v="5"/>
    <n v="-743400.13"/>
    <x v="0"/>
  </r>
  <r>
    <x v="0"/>
    <x v="0"/>
    <x v="4"/>
    <x v="0"/>
    <x v="0"/>
    <x v="0"/>
    <s v="24"/>
    <x v="0"/>
    <x v="4"/>
    <x v="7"/>
    <n v="-4610372.53"/>
    <x v="0"/>
  </r>
  <r>
    <x v="0"/>
    <x v="0"/>
    <x v="4"/>
    <x v="0"/>
    <x v="0"/>
    <x v="0"/>
    <s v="24"/>
    <x v="0"/>
    <x v="4"/>
    <x v="2"/>
    <n v="97061.6"/>
    <x v="0"/>
  </r>
  <r>
    <x v="0"/>
    <x v="0"/>
    <x v="4"/>
    <x v="0"/>
    <x v="0"/>
    <x v="0"/>
    <s v="90"/>
    <x v="0"/>
    <x v="4"/>
    <x v="1"/>
    <n v="1"/>
    <x v="0"/>
  </r>
  <r>
    <x v="0"/>
    <x v="0"/>
    <x v="4"/>
    <x v="0"/>
    <x v="0"/>
    <x v="1"/>
    <s v="21"/>
    <x v="0"/>
    <x v="3"/>
    <x v="4"/>
    <n v="47327.19"/>
    <x v="0"/>
  </r>
  <r>
    <x v="0"/>
    <x v="0"/>
    <x v="4"/>
    <x v="0"/>
    <x v="0"/>
    <x v="1"/>
    <s v="21"/>
    <x v="0"/>
    <x v="4"/>
    <x v="0"/>
    <n v="3013590.75"/>
    <x v="0"/>
  </r>
  <r>
    <x v="0"/>
    <x v="0"/>
    <x v="4"/>
    <x v="0"/>
    <x v="0"/>
    <x v="1"/>
    <s v="22"/>
    <x v="0"/>
    <x v="3"/>
    <x v="7"/>
    <n v="-2995057.18"/>
    <x v="0"/>
  </r>
  <r>
    <x v="0"/>
    <x v="0"/>
    <x v="4"/>
    <x v="0"/>
    <x v="0"/>
    <x v="1"/>
    <s v="22"/>
    <x v="0"/>
    <x v="4"/>
    <x v="1"/>
    <n v="-86000"/>
    <x v="0"/>
  </r>
  <r>
    <x v="0"/>
    <x v="0"/>
    <x v="4"/>
    <x v="0"/>
    <x v="0"/>
    <x v="0"/>
    <s v="01"/>
    <x v="0"/>
    <x v="3"/>
    <x v="1"/>
    <n v="19853.96"/>
    <x v="0"/>
  </r>
  <r>
    <x v="0"/>
    <x v="0"/>
    <x v="4"/>
    <x v="0"/>
    <x v="0"/>
    <x v="0"/>
    <s v="01"/>
    <x v="0"/>
    <x v="3"/>
    <x v="9"/>
    <n v="25642.38"/>
    <x v="0"/>
  </r>
  <r>
    <x v="0"/>
    <x v="0"/>
    <x v="4"/>
    <x v="0"/>
    <x v="0"/>
    <x v="0"/>
    <s v="01"/>
    <x v="0"/>
    <x v="4"/>
    <x v="1"/>
    <n v="23725.45"/>
    <x v="0"/>
  </r>
  <r>
    <x v="0"/>
    <x v="0"/>
    <x v="4"/>
    <x v="0"/>
    <x v="0"/>
    <x v="0"/>
    <s v="01"/>
    <x v="0"/>
    <x v="4"/>
    <x v="9"/>
    <n v="35399.980000000003"/>
    <x v="0"/>
  </r>
  <r>
    <x v="0"/>
    <x v="0"/>
    <x v="4"/>
    <x v="0"/>
    <x v="0"/>
    <x v="0"/>
    <s v="01"/>
    <x v="0"/>
    <x v="4"/>
    <x v="10"/>
    <n v="36196.879999999997"/>
    <x v="0"/>
  </r>
  <r>
    <x v="0"/>
    <x v="0"/>
    <x v="4"/>
    <x v="0"/>
    <x v="0"/>
    <x v="0"/>
    <s v="20"/>
    <x v="0"/>
    <x v="3"/>
    <x v="9"/>
    <n v="862.04"/>
    <x v="0"/>
  </r>
  <r>
    <x v="0"/>
    <x v="0"/>
    <x v="4"/>
    <x v="0"/>
    <x v="0"/>
    <x v="0"/>
    <s v="20"/>
    <x v="0"/>
    <x v="3"/>
    <x v="10"/>
    <n v="-800"/>
    <x v="0"/>
  </r>
  <r>
    <x v="0"/>
    <x v="0"/>
    <x v="4"/>
    <x v="0"/>
    <x v="0"/>
    <x v="0"/>
    <s v="20"/>
    <x v="0"/>
    <x v="4"/>
    <x v="9"/>
    <n v="4053.46"/>
    <x v="0"/>
  </r>
  <r>
    <x v="0"/>
    <x v="0"/>
    <x v="4"/>
    <x v="0"/>
    <x v="0"/>
    <x v="0"/>
    <s v="24"/>
    <x v="0"/>
    <x v="3"/>
    <x v="3"/>
    <n v="270361.32"/>
    <x v="0"/>
  </r>
  <r>
    <x v="0"/>
    <x v="0"/>
    <x v="4"/>
    <x v="0"/>
    <x v="0"/>
    <x v="0"/>
    <s v="24"/>
    <x v="0"/>
    <x v="3"/>
    <x v="4"/>
    <n v="33336825.25"/>
    <x v="0"/>
  </r>
  <r>
    <x v="0"/>
    <x v="0"/>
    <x v="4"/>
    <x v="0"/>
    <x v="0"/>
    <x v="0"/>
    <s v="24"/>
    <x v="0"/>
    <x v="3"/>
    <x v="6"/>
    <n v="32312376.57"/>
    <x v="0"/>
  </r>
  <r>
    <x v="0"/>
    <x v="0"/>
    <x v="4"/>
    <x v="0"/>
    <x v="0"/>
    <x v="0"/>
    <s v="24"/>
    <x v="0"/>
    <x v="3"/>
    <x v="11"/>
    <n v="-99594.55"/>
    <x v="0"/>
  </r>
  <r>
    <x v="0"/>
    <x v="0"/>
    <x v="4"/>
    <x v="0"/>
    <x v="0"/>
    <x v="0"/>
    <s v="24"/>
    <x v="0"/>
    <x v="3"/>
    <x v="8"/>
    <n v="-292967.13"/>
    <x v="0"/>
  </r>
  <r>
    <x v="0"/>
    <x v="0"/>
    <x v="4"/>
    <x v="0"/>
    <x v="0"/>
    <x v="0"/>
    <s v="24"/>
    <x v="0"/>
    <x v="3"/>
    <x v="0"/>
    <n v="-83315.009999999995"/>
    <x v="0"/>
  </r>
  <r>
    <x v="0"/>
    <x v="0"/>
    <x v="4"/>
    <x v="0"/>
    <x v="0"/>
    <x v="0"/>
    <s v="24"/>
    <x v="0"/>
    <x v="4"/>
    <x v="3"/>
    <n v="138974.62"/>
    <x v="0"/>
  </r>
  <r>
    <x v="0"/>
    <x v="0"/>
    <x v="4"/>
    <x v="0"/>
    <x v="0"/>
    <x v="0"/>
    <s v="24"/>
    <x v="0"/>
    <x v="4"/>
    <x v="4"/>
    <n v="35815847.009999998"/>
    <x v="0"/>
  </r>
  <r>
    <x v="0"/>
    <x v="0"/>
    <x v="4"/>
    <x v="0"/>
    <x v="0"/>
    <x v="0"/>
    <s v="24"/>
    <x v="0"/>
    <x v="4"/>
    <x v="6"/>
    <n v="34198441.170000002"/>
    <x v="0"/>
  </r>
  <r>
    <x v="0"/>
    <x v="0"/>
    <x v="4"/>
    <x v="0"/>
    <x v="0"/>
    <x v="0"/>
    <s v="24"/>
    <x v="0"/>
    <x v="4"/>
    <x v="11"/>
    <n v="14821041.67"/>
    <x v="0"/>
  </r>
  <r>
    <x v="0"/>
    <x v="0"/>
    <x v="4"/>
    <x v="0"/>
    <x v="0"/>
    <x v="0"/>
    <s v="24"/>
    <x v="0"/>
    <x v="4"/>
    <x v="0"/>
    <n v="-150606.87"/>
    <x v="0"/>
  </r>
  <r>
    <x v="0"/>
    <x v="0"/>
    <x v="4"/>
    <x v="0"/>
    <x v="0"/>
    <x v="1"/>
    <s v="21"/>
    <x v="0"/>
    <x v="3"/>
    <x v="9"/>
    <n v="28210"/>
    <x v="0"/>
  </r>
  <r>
    <x v="0"/>
    <x v="0"/>
    <x v="4"/>
    <x v="0"/>
    <x v="0"/>
    <x v="1"/>
    <s v="21"/>
    <x v="0"/>
    <x v="4"/>
    <x v="1"/>
    <n v="2875396.76"/>
    <x v="0"/>
  </r>
  <r>
    <x v="0"/>
    <x v="0"/>
    <x v="4"/>
    <x v="0"/>
    <x v="0"/>
    <x v="1"/>
    <s v="21"/>
    <x v="0"/>
    <x v="4"/>
    <x v="9"/>
    <n v="-237.5"/>
    <x v="0"/>
  </r>
  <r>
    <x v="0"/>
    <x v="0"/>
    <x v="4"/>
    <x v="0"/>
    <x v="0"/>
    <x v="1"/>
    <s v="22"/>
    <x v="0"/>
    <x v="3"/>
    <x v="5"/>
    <n v="-761796.52"/>
    <x v="0"/>
  </r>
  <r>
    <x v="0"/>
    <x v="0"/>
    <x v="4"/>
    <x v="0"/>
    <x v="0"/>
    <x v="1"/>
    <s v="22"/>
    <x v="0"/>
    <x v="4"/>
    <x v="5"/>
    <n v="-134314.12"/>
    <x v="0"/>
  </r>
  <r>
    <x v="0"/>
    <x v="0"/>
    <x v="4"/>
    <x v="0"/>
    <x v="0"/>
    <x v="1"/>
    <s v="22"/>
    <x v="0"/>
    <x v="4"/>
    <x v="7"/>
    <n v="-476821.56"/>
    <x v="0"/>
  </r>
  <r>
    <x v="0"/>
    <x v="0"/>
    <x v="4"/>
    <x v="0"/>
    <x v="0"/>
    <x v="0"/>
    <s v="01"/>
    <x v="0"/>
    <x v="3"/>
    <x v="5"/>
    <n v="19766.919999999998"/>
    <x v="0"/>
  </r>
  <r>
    <x v="0"/>
    <x v="0"/>
    <x v="4"/>
    <x v="0"/>
    <x v="0"/>
    <x v="0"/>
    <s v="01"/>
    <x v="0"/>
    <x v="3"/>
    <x v="7"/>
    <n v="26558.54"/>
    <x v="0"/>
  </r>
  <r>
    <x v="0"/>
    <x v="0"/>
    <x v="4"/>
    <x v="0"/>
    <x v="0"/>
    <x v="0"/>
    <s v="01"/>
    <x v="0"/>
    <x v="3"/>
    <x v="2"/>
    <n v="39413.22"/>
    <x v="0"/>
  </r>
  <r>
    <x v="0"/>
    <x v="0"/>
    <x v="4"/>
    <x v="0"/>
    <x v="0"/>
    <x v="0"/>
    <s v="01"/>
    <x v="0"/>
    <x v="4"/>
    <x v="5"/>
    <n v="24875.42"/>
    <x v="0"/>
  </r>
  <r>
    <x v="0"/>
    <x v="0"/>
    <x v="4"/>
    <x v="0"/>
    <x v="0"/>
    <x v="0"/>
    <s v="01"/>
    <x v="0"/>
    <x v="4"/>
    <x v="7"/>
    <n v="31077.31"/>
    <x v="0"/>
  </r>
  <r>
    <x v="0"/>
    <x v="0"/>
    <x v="4"/>
    <x v="0"/>
    <x v="0"/>
    <x v="0"/>
    <s v="20"/>
    <x v="0"/>
    <x v="3"/>
    <x v="5"/>
    <n v="660"/>
    <x v="0"/>
  </r>
  <r>
    <x v="0"/>
    <x v="0"/>
    <x v="4"/>
    <x v="0"/>
    <x v="0"/>
    <x v="0"/>
    <s v="20"/>
    <x v="0"/>
    <x v="3"/>
    <x v="7"/>
    <n v="0"/>
    <x v="0"/>
  </r>
  <r>
    <x v="0"/>
    <x v="0"/>
    <x v="4"/>
    <x v="0"/>
    <x v="0"/>
    <x v="0"/>
    <s v="20"/>
    <x v="0"/>
    <x v="4"/>
    <x v="7"/>
    <n v="1398502.54"/>
    <x v="0"/>
  </r>
  <r>
    <x v="0"/>
    <x v="0"/>
    <x v="4"/>
    <x v="0"/>
    <x v="0"/>
    <x v="0"/>
    <s v="24"/>
    <x v="0"/>
    <x v="3"/>
    <x v="1"/>
    <n v="-1681547.45"/>
    <x v="0"/>
  </r>
  <r>
    <x v="0"/>
    <x v="0"/>
    <x v="4"/>
    <x v="0"/>
    <x v="0"/>
    <x v="0"/>
    <s v="24"/>
    <x v="0"/>
    <x v="3"/>
    <x v="9"/>
    <n v="1028387.69"/>
    <x v="0"/>
  </r>
  <r>
    <x v="0"/>
    <x v="0"/>
    <x v="4"/>
    <x v="0"/>
    <x v="0"/>
    <x v="0"/>
    <s v="24"/>
    <x v="0"/>
    <x v="3"/>
    <x v="10"/>
    <n v="27744327.370000001"/>
    <x v="0"/>
  </r>
  <r>
    <x v="0"/>
    <x v="0"/>
    <x v="4"/>
    <x v="0"/>
    <x v="0"/>
    <x v="0"/>
    <s v="24"/>
    <x v="0"/>
    <x v="4"/>
    <x v="9"/>
    <n v="947690.22"/>
    <x v="0"/>
  </r>
  <r>
    <x v="0"/>
    <x v="0"/>
    <x v="4"/>
    <x v="0"/>
    <x v="0"/>
    <x v="0"/>
    <s v="24"/>
    <x v="0"/>
    <x v="4"/>
    <x v="10"/>
    <n v="14036161.119999999"/>
    <x v="0"/>
  </r>
  <r>
    <x v="0"/>
    <x v="0"/>
    <x v="4"/>
    <x v="0"/>
    <x v="0"/>
    <x v="0"/>
    <s v="24"/>
    <x v="0"/>
    <x v="4"/>
    <x v="8"/>
    <n v="-359807.47"/>
    <x v="0"/>
  </r>
  <r>
    <x v="0"/>
    <x v="0"/>
    <x v="4"/>
    <x v="0"/>
    <x v="0"/>
    <x v="1"/>
    <s v="21"/>
    <x v="0"/>
    <x v="3"/>
    <x v="5"/>
    <n v="247847"/>
    <x v="0"/>
  </r>
  <r>
    <x v="0"/>
    <x v="0"/>
    <x v="4"/>
    <x v="0"/>
    <x v="0"/>
    <x v="1"/>
    <s v="21"/>
    <x v="0"/>
    <x v="4"/>
    <x v="5"/>
    <n v="1001312.31"/>
    <x v="0"/>
  </r>
  <r>
    <x v="0"/>
    <x v="0"/>
    <x v="4"/>
    <x v="0"/>
    <x v="0"/>
    <x v="1"/>
    <s v="21"/>
    <x v="0"/>
    <x v="4"/>
    <x v="7"/>
    <n v="32100"/>
    <x v="0"/>
  </r>
  <r>
    <x v="0"/>
    <x v="0"/>
    <x v="4"/>
    <x v="0"/>
    <x v="0"/>
    <x v="1"/>
    <s v="22"/>
    <x v="0"/>
    <x v="3"/>
    <x v="4"/>
    <n v="-86000"/>
    <x v="0"/>
  </r>
  <r>
    <x v="0"/>
    <x v="0"/>
    <x v="4"/>
    <x v="0"/>
    <x v="0"/>
    <x v="1"/>
    <s v="22"/>
    <x v="0"/>
    <x v="3"/>
    <x v="8"/>
    <n v="-437360.16"/>
    <x v="0"/>
  </r>
  <r>
    <x v="0"/>
    <x v="0"/>
    <x v="4"/>
    <x v="0"/>
    <x v="0"/>
    <x v="1"/>
    <s v="22"/>
    <x v="0"/>
    <x v="3"/>
    <x v="0"/>
    <n v="-4856051.37"/>
    <x v="0"/>
  </r>
  <r>
    <x v="0"/>
    <x v="0"/>
    <x v="4"/>
    <x v="0"/>
    <x v="0"/>
    <x v="1"/>
    <s v="22"/>
    <x v="0"/>
    <x v="4"/>
    <x v="4"/>
    <n v="-29200"/>
    <x v="0"/>
  </r>
  <r>
    <x v="0"/>
    <x v="0"/>
    <x v="4"/>
    <x v="0"/>
    <x v="0"/>
    <x v="1"/>
    <s v="22"/>
    <x v="0"/>
    <x v="4"/>
    <x v="6"/>
    <n v="-70000"/>
    <x v="0"/>
  </r>
  <r>
    <x v="0"/>
    <x v="0"/>
    <x v="4"/>
    <x v="0"/>
    <x v="0"/>
    <x v="1"/>
    <s v="22"/>
    <x v="0"/>
    <x v="4"/>
    <x v="0"/>
    <n v="-1530865.62"/>
    <x v="0"/>
  </r>
  <r>
    <x v="0"/>
    <x v="1"/>
    <x v="1"/>
    <x v="0"/>
    <x v="0"/>
    <x v="0"/>
    <s v="24"/>
    <x v="0"/>
    <x v="9"/>
    <x v="0"/>
    <n v="-584543.04"/>
    <x v="0"/>
  </r>
  <r>
    <x v="0"/>
    <x v="1"/>
    <x v="1"/>
    <x v="0"/>
    <x v="0"/>
    <x v="0"/>
    <s v="24"/>
    <x v="0"/>
    <x v="9"/>
    <x v="4"/>
    <n v="-5095.7700000000004"/>
    <x v="0"/>
  </r>
  <r>
    <x v="0"/>
    <x v="0"/>
    <x v="3"/>
    <x v="0"/>
    <x v="0"/>
    <x v="0"/>
    <s v="09"/>
    <x v="0"/>
    <x v="7"/>
    <x v="9"/>
    <n v="142485.54"/>
    <x v="0"/>
  </r>
  <r>
    <x v="0"/>
    <x v="0"/>
    <x v="3"/>
    <x v="0"/>
    <x v="0"/>
    <x v="0"/>
    <s v="01"/>
    <x v="0"/>
    <x v="8"/>
    <x v="1"/>
    <n v="6609.58"/>
    <x v="0"/>
  </r>
  <r>
    <x v="0"/>
    <x v="0"/>
    <x v="3"/>
    <x v="0"/>
    <x v="0"/>
    <x v="0"/>
    <s v="01"/>
    <x v="0"/>
    <x v="7"/>
    <x v="1"/>
    <n v="2279.9299999999998"/>
    <x v="0"/>
  </r>
  <r>
    <x v="0"/>
    <x v="0"/>
    <x v="3"/>
    <x v="0"/>
    <x v="0"/>
    <x v="0"/>
    <s v="01"/>
    <x v="0"/>
    <x v="8"/>
    <x v="8"/>
    <n v="398991.53"/>
    <x v="0"/>
  </r>
  <r>
    <x v="0"/>
    <x v="0"/>
    <x v="3"/>
    <x v="0"/>
    <x v="0"/>
    <x v="0"/>
    <s v="09"/>
    <x v="0"/>
    <x v="8"/>
    <x v="5"/>
    <n v="29064.89"/>
    <x v="0"/>
  </r>
  <r>
    <x v="0"/>
    <x v="0"/>
    <x v="3"/>
    <x v="0"/>
    <x v="0"/>
    <x v="0"/>
    <s v="02"/>
    <x v="0"/>
    <x v="7"/>
    <x v="8"/>
    <n v="584.91999999999996"/>
    <x v="0"/>
  </r>
  <r>
    <x v="0"/>
    <x v="0"/>
    <x v="3"/>
    <x v="0"/>
    <x v="0"/>
    <x v="0"/>
    <s v="01"/>
    <x v="0"/>
    <x v="7"/>
    <x v="9"/>
    <n v="18176.8"/>
    <x v="0"/>
  </r>
  <r>
    <x v="0"/>
    <x v="0"/>
    <x v="3"/>
    <x v="0"/>
    <x v="0"/>
    <x v="0"/>
    <s v="02"/>
    <x v="0"/>
    <x v="7"/>
    <x v="11"/>
    <n v="1500"/>
    <x v="0"/>
  </r>
  <r>
    <x v="0"/>
    <x v="0"/>
    <x v="3"/>
    <x v="0"/>
    <x v="0"/>
    <x v="0"/>
    <s v="09"/>
    <x v="0"/>
    <x v="8"/>
    <x v="7"/>
    <n v="44676.800000000003"/>
    <x v="0"/>
  </r>
  <r>
    <x v="0"/>
    <x v="0"/>
    <x v="3"/>
    <x v="0"/>
    <x v="0"/>
    <x v="0"/>
    <s v="09"/>
    <x v="0"/>
    <x v="7"/>
    <x v="3"/>
    <n v="432.88"/>
    <x v="0"/>
  </r>
  <r>
    <x v="0"/>
    <x v="0"/>
    <x v="3"/>
    <x v="0"/>
    <x v="0"/>
    <x v="0"/>
    <s v="01"/>
    <x v="0"/>
    <x v="8"/>
    <x v="5"/>
    <n v="-3462.36"/>
    <x v="0"/>
  </r>
  <r>
    <x v="0"/>
    <x v="0"/>
    <x v="3"/>
    <x v="0"/>
    <x v="0"/>
    <x v="0"/>
    <s v="05"/>
    <x v="0"/>
    <x v="7"/>
    <x v="6"/>
    <n v="80"/>
    <x v="0"/>
  </r>
  <r>
    <x v="0"/>
    <x v="0"/>
    <x v="3"/>
    <x v="0"/>
    <x v="0"/>
    <x v="0"/>
    <s v="09"/>
    <x v="0"/>
    <x v="8"/>
    <x v="2"/>
    <n v="12665.84"/>
    <x v="0"/>
  </r>
  <r>
    <x v="0"/>
    <x v="0"/>
    <x v="3"/>
    <x v="0"/>
    <x v="0"/>
    <x v="0"/>
    <s v="09"/>
    <x v="0"/>
    <x v="7"/>
    <x v="6"/>
    <n v="7293"/>
    <x v="0"/>
  </r>
  <r>
    <x v="0"/>
    <x v="0"/>
    <x v="3"/>
    <x v="0"/>
    <x v="0"/>
    <x v="0"/>
    <s v="01"/>
    <x v="0"/>
    <x v="8"/>
    <x v="7"/>
    <n v="20081.54"/>
    <x v="0"/>
  </r>
  <r>
    <x v="0"/>
    <x v="0"/>
    <x v="3"/>
    <x v="0"/>
    <x v="0"/>
    <x v="0"/>
    <s v="09"/>
    <x v="0"/>
    <x v="7"/>
    <x v="5"/>
    <n v="4929.12"/>
    <x v="0"/>
  </r>
  <r>
    <x v="0"/>
    <x v="0"/>
    <x v="3"/>
    <x v="0"/>
    <x v="0"/>
    <x v="0"/>
    <s v="20"/>
    <x v="0"/>
    <x v="7"/>
    <x v="7"/>
    <n v="1580.36"/>
    <x v="0"/>
  </r>
  <r>
    <x v="0"/>
    <x v="0"/>
    <x v="3"/>
    <x v="0"/>
    <x v="0"/>
    <x v="0"/>
    <s v="09"/>
    <x v="0"/>
    <x v="7"/>
    <x v="11"/>
    <n v="6294.47"/>
    <x v="0"/>
  </r>
  <r>
    <x v="0"/>
    <x v="0"/>
    <x v="3"/>
    <x v="0"/>
    <x v="0"/>
    <x v="0"/>
    <s v="01"/>
    <x v="0"/>
    <x v="8"/>
    <x v="2"/>
    <n v="77455.86"/>
    <x v="0"/>
  </r>
  <r>
    <x v="0"/>
    <x v="0"/>
    <x v="3"/>
    <x v="0"/>
    <x v="0"/>
    <x v="0"/>
    <s v="09"/>
    <x v="0"/>
    <x v="7"/>
    <x v="7"/>
    <n v="12325.37"/>
    <x v="0"/>
  </r>
  <r>
    <x v="0"/>
    <x v="0"/>
    <x v="3"/>
    <x v="0"/>
    <x v="0"/>
    <x v="0"/>
    <s v="24"/>
    <x v="0"/>
    <x v="7"/>
    <x v="9"/>
    <n v="37368194.159999996"/>
    <x v="0"/>
  </r>
  <r>
    <x v="0"/>
    <x v="0"/>
    <x v="3"/>
    <x v="0"/>
    <x v="0"/>
    <x v="0"/>
    <s v="09"/>
    <x v="0"/>
    <x v="7"/>
    <x v="0"/>
    <n v="155244.95000000001"/>
    <x v="0"/>
  </r>
  <r>
    <x v="0"/>
    <x v="0"/>
    <x v="3"/>
    <x v="0"/>
    <x v="0"/>
    <x v="0"/>
    <s v="09"/>
    <x v="0"/>
    <x v="7"/>
    <x v="4"/>
    <n v="74.38"/>
    <x v="0"/>
  </r>
  <r>
    <x v="0"/>
    <x v="0"/>
    <x v="3"/>
    <x v="0"/>
    <x v="0"/>
    <x v="0"/>
    <s v="09"/>
    <x v="0"/>
    <x v="7"/>
    <x v="2"/>
    <n v="13002.15"/>
    <x v="0"/>
  </r>
  <r>
    <x v="0"/>
    <x v="0"/>
    <x v="3"/>
    <x v="0"/>
    <x v="0"/>
    <x v="0"/>
    <s v="24"/>
    <x v="0"/>
    <x v="7"/>
    <x v="10"/>
    <n v="36395781.479999997"/>
    <x v="0"/>
  </r>
  <r>
    <x v="0"/>
    <x v="0"/>
    <x v="3"/>
    <x v="0"/>
    <x v="0"/>
    <x v="0"/>
    <s v="09"/>
    <x v="0"/>
    <x v="8"/>
    <x v="9"/>
    <n v="43106.720000000001"/>
    <x v="0"/>
  </r>
  <r>
    <x v="0"/>
    <x v="0"/>
    <x v="3"/>
    <x v="0"/>
    <x v="0"/>
    <x v="0"/>
    <s v="09"/>
    <x v="0"/>
    <x v="7"/>
    <x v="10"/>
    <n v="-469944.26"/>
    <x v="0"/>
  </r>
  <r>
    <x v="0"/>
    <x v="0"/>
    <x v="3"/>
    <x v="0"/>
    <x v="0"/>
    <x v="0"/>
    <s v="09"/>
    <x v="0"/>
    <x v="8"/>
    <x v="4"/>
    <n v="49017.1"/>
    <x v="0"/>
  </r>
  <r>
    <x v="0"/>
    <x v="0"/>
    <x v="3"/>
    <x v="0"/>
    <x v="0"/>
    <x v="0"/>
    <s v="24"/>
    <x v="0"/>
    <x v="8"/>
    <x v="7"/>
    <n v="453330.09"/>
    <x v="0"/>
  </r>
  <r>
    <x v="0"/>
    <x v="0"/>
    <x v="3"/>
    <x v="0"/>
    <x v="0"/>
    <x v="0"/>
    <s v="09"/>
    <x v="0"/>
    <x v="8"/>
    <x v="10"/>
    <n v="39545.949999999997"/>
    <x v="0"/>
  </r>
  <r>
    <x v="0"/>
    <x v="0"/>
    <x v="3"/>
    <x v="0"/>
    <x v="0"/>
    <x v="0"/>
    <s v="09"/>
    <x v="0"/>
    <x v="7"/>
    <x v="8"/>
    <n v="15544.67"/>
    <x v="0"/>
  </r>
  <r>
    <x v="0"/>
    <x v="0"/>
    <x v="3"/>
    <x v="0"/>
    <x v="0"/>
    <x v="0"/>
    <s v="09"/>
    <x v="0"/>
    <x v="8"/>
    <x v="6"/>
    <n v="44625.24"/>
    <x v="0"/>
  </r>
  <r>
    <x v="0"/>
    <x v="0"/>
    <x v="3"/>
    <x v="0"/>
    <x v="0"/>
    <x v="0"/>
    <s v="24"/>
    <x v="1"/>
    <x v="8"/>
    <x v="0"/>
    <n v="6521302.2999999998"/>
    <x v="0"/>
  </r>
  <r>
    <x v="0"/>
    <x v="0"/>
    <x v="3"/>
    <x v="0"/>
    <x v="0"/>
    <x v="0"/>
    <s v="24"/>
    <x v="0"/>
    <x v="7"/>
    <x v="5"/>
    <n v="2170091.17"/>
    <x v="0"/>
  </r>
  <r>
    <x v="0"/>
    <x v="0"/>
    <x v="3"/>
    <x v="0"/>
    <x v="0"/>
    <x v="0"/>
    <s v="09"/>
    <x v="0"/>
    <x v="8"/>
    <x v="1"/>
    <n v="20248.560000000001"/>
    <x v="0"/>
  </r>
  <r>
    <x v="0"/>
    <x v="0"/>
    <x v="3"/>
    <x v="0"/>
    <x v="0"/>
    <x v="0"/>
    <s v="09"/>
    <x v="0"/>
    <x v="8"/>
    <x v="11"/>
    <n v="44697.21"/>
    <x v="0"/>
  </r>
  <r>
    <x v="0"/>
    <x v="0"/>
    <x v="3"/>
    <x v="0"/>
    <x v="0"/>
    <x v="0"/>
    <s v="30"/>
    <x v="0"/>
    <x v="7"/>
    <x v="3"/>
    <n v="398"/>
    <x v="0"/>
  </r>
  <r>
    <x v="0"/>
    <x v="0"/>
    <x v="3"/>
    <x v="0"/>
    <x v="0"/>
    <x v="0"/>
    <s v="24"/>
    <x v="0"/>
    <x v="7"/>
    <x v="7"/>
    <n v="5493240.29"/>
    <x v="0"/>
  </r>
  <r>
    <x v="0"/>
    <x v="0"/>
    <x v="3"/>
    <x v="0"/>
    <x v="0"/>
    <x v="0"/>
    <s v="20"/>
    <x v="0"/>
    <x v="7"/>
    <x v="10"/>
    <n v="20"/>
    <x v="0"/>
  </r>
  <r>
    <x v="0"/>
    <x v="0"/>
    <x v="3"/>
    <x v="0"/>
    <x v="0"/>
    <x v="0"/>
    <s v="09"/>
    <x v="0"/>
    <x v="8"/>
    <x v="8"/>
    <n v="-268413.33"/>
    <x v="0"/>
  </r>
  <r>
    <x v="0"/>
    <x v="0"/>
    <x v="3"/>
    <x v="0"/>
    <x v="0"/>
    <x v="0"/>
    <s v="30"/>
    <x v="0"/>
    <x v="7"/>
    <x v="4"/>
    <n v="552"/>
    <x v="0"/>
  </r>
  <r>
    <x v="0"/>
    <x v="0"/>
    <x v="3"/>
    <x v="0"/>
    <x v="0"/>
    <x v="0"/>
    <s v="24"/>
    <x v="0"/>
    <x v="7"/>
    <x v="2"/>
    <n v="38003974.18"/>
    <x v="0"/>
  </r>
  <r>
    <x v="0"/>
    <x v="0"/>
    <x v="3"/>
    <x v="0"/>
    <x v="0"/>
    <x v="0"/>
    <s v="24"/>
    <x v="0"/>
    <x v="7"/>
    <x v="3"/>
    <n v="15021559.48"/>
    <x v="0"/>
  </r>
  <r>
    <x v="0"/>
    <x v="0"/>
    <x v="3"/>
    <x v="0"/>
    <x v="0"/>
    <x v="0"/>
    <s v="09"/>
    <x v="0"/>
    <x v="8"/>
    <x v="0"/>
    <n v="101012.33"/>
    <x v="0"/>
  </r>
  <r>
    <x v="0"/>
    <x v="0"/>
    <x v="3"/>
    <x v="0"/>
    <x v="0"/>
    <x v="0"/>
    <s v="30"/>
    <x v="0"/>
    <x v="7"/>
    <x v="6"/>
    <n v="1971541.77"/>
    <x v="0"/>
  </r>
  <r>
    <x v="0"/>
    <x v="0"/>
    <x v="3"/>
    <x v="0"/>
    <x v="0"/>
    <x v="0"/>
    <s v="24"/>
    <x v="0"/>
    <x v="8"/>
    <x v="4"/>
    <n v="103286708.29000001"/>
    <x v="0"/>
  </r>
  <r>
    <x v="0"/>
    <x v="0"/>
    <x v="3"/>
    <x v="0"/>
    <x v="0"/>
    <x v="0"/>
    <s v="24"/>
    <x v="0"/>
    <x v="7"/>
    <x v="4"/>
    <n v="15462074.91"/>
    <x v="0"/>
  </r>
  <r>
    <x v="0"/>
    <x v="0"/>
    <x v="3"/>
    <x v="0"/>
    <x v="0"/>
    <x v="0"/>
    <s v="20"/>
    <x v="0"/>
    <x v="7"/>
    <x v="2"/>
    <n v="-1580.36"/>
    <x v="0"/>
  </r>
  <r>
    <x v="0"/>
    <x v="0"/>
    <x v="3"/>
    <x v="0"/>
    <x v="0"/>
    <x v="0"/>
    <s v="30"/>
    <x v="0"/>
    <x v="7"/>
    <x v="11"/>
    <n v="109289.09"/>
    <x v="0"/>
  </r>
  <r>
    <x v="0"/>
    <x v="0"/>
    <x v="3"/>
    <x v="0"/>
    <x v="0"/>
    <x v="0"/>
    <s v="24"/>
    <x v="0"/>
    <x v="8"/>
    <x v="6"/>
    <n v="60409962.859999999"/>
    <x v="0"/>
  </r>
  <r>
    <x v="0"/>
    <x v="0"/>
    <x v="3"/>
    <x v="0"/>
    <x v="0"/>
    <x v="0"/>
    <s v="24"/>
    <x v="0"/>
    <x v="7"/>
    <x v="6"/>
    <n v="38808803.149999999"/>
    <x v="0"/>
  </r>
  <r>
    <x v="0"/>
    <x v="0"/>
    <x v="3"/>
    <x v="0"/>
    <x v="0"/>
    <x v="0"/>
    <s v="24"/>
    <x v="0"/>
    <x v="7"/>
    <x v="1"/>
    <n v="44536620.740000002"/>
    <x v="0"/>
  </r>
  <r>
    <x v="0"/>
    <x v="0"/>
    <x v="3"/>
    <x v="0"/>
    <x v="0"/>
    <x v="0"/>
    <s v="30"/>
    <x v="0"/>
    <x v="8"/>
    <x v="1"/>
    <n v="11555.31"/>
    <x v="0"/>
  </r>
  <r>
    <x v="0"/>
    <x v="0"/>
    <x v="3"/>
    <x v="0"/>
    <x v="0"/>
    <x v="0"/>
    <s v="24"/>
    <x v="0"/>
    <x v="8"/>
    <x v="11"/>
    <n v="38877335.799999997"/>
    <x v="0"/>
  </r>
  <r>
    <x v="0"/>
    <x v="0"/>
    <x v="3"/>
    <x v="0"/>
    <x v="0"/>
    <x v="0"/>
    <s v="24"/>
    <x v="0"/>
    <x v="7"/>
    <x v="11"/>
    <n v="36749808.020000003"/>
    <x v="0"/>
  </r>
  <r>
    <x v="0"/>
    <x v="0"/>
    <x v="3"/>
    <x v="0"/>
    <x v="0"/>
    <x v="0"/>
    <s v="24"/>
    <x v="0"/>
    <x v="8"/>
    <x v="5"/>
    <n v="1009305.16"/>
    <x v="0"/>
  </r>
  <r>
    <x v="0"/>
    <x v="0"/>
    <x v="3"/>
    <x v="0"/>
    <x v="0"/>
    <x v="0"/>
    <s v="30"/>
    <x v="0"/>
    <x v="8"/>
    <x v="9"/>
    <n v="3531.94"/>
    <x v="0"/>
  </r>
  <r>
    <x v="0"/>
    <x v="0"/>
    <x v="3"/>
    <x v="0"/>
    <x v="0"/>
    <x v="0"/>
    <s v="24"/>
    <x v="0"/>
    <x v="8"/>
    <x v="8"/>
    <n v="-490775.5"/>
    <x v="0"/>
  </r>
  <r>
    <x v="0"/>
    <x v="0"/>
    <x v="3"/>
    <x v="0"/>
    <x v="0"/>
    <x v="0"/>
    <s v="24"/>
    <x v="0"/>
    <x v="7"/>
    <x v="8"/>
    <n v="4878858.72"/>
    <x v="0"/>
  </r>
  <r>
    <x v="0"/>
    <x v="0"/>
    <x v="3"/>
    <x v="0"/>
    <x v="0"/>
    <x v="0"/>
    <s v="24"/>
    <x v="0"/>
    <x v="8"/>
    <x v="2"/>
    <n v="50670898.950000003"/>
    <x v="0"/>
  </r>
  <r>
    <x v="0"/>
    <x v="0"/>
    <x v="3"/>
    <x v="0"/>
    <x v="0"/>
    <x v="0"/>
    <s v="30"/>
    <x v="0"/>
    <x v="8"/>
    <x v="10"/>
    <n v="104829.65"/>
    <x v="0"/>
  </r>
  <r>
    <x v="0"/>
    <x v="0"/>
    <x v="3"/>
    <x v="0"/>
    <x v="0"/>
    <x v="0"/>
    <s v="24"/>
    <x v="0"/>
    <x v="8"/>
    <x v="0"/>
    <n v="-58159170.270000003"/>
    <x v="0"/>
  </r>
  <r>
    <x v="0"/>
    <x v="0"/>
    <x v="3"/>
    <x v="0"/>
    <x v="0"/>
    <x v="0"/>
    <s v="24"/>
    <x v="0"/>
    <x v="7"/>
    <x v="0"/>
    <n v="13868462.869999999"/>
    <x v="0"/>
  </r>
  <r>
    <x v="0"/>
    <x v="0"/>
    <x v="3"/>
    <x v="0"/>
    <x v="0"/>
    <x v="0"/>
    <s v="24"/>
    <x v="2"/>
    <x v="8"/>
    <x v="0"/>
    <n v="1392562.95"/>
    <x v="0"/>
  </r>
  <r>
    <x v="0"/>
    <x v="0"/>
    <x v="3"/>
    <x v="0"/>
    <x v="0"/>
    <x v="0"/>
    <s v="40"/>
    <x v="0"/>
    <x v="7"/>
    <x v="1"/>
    <n v="3879.71"/>
    <x v="0"/>
  </r>
  <r>
    <x v="0"/>
    <x v="0"/>
    <x v="3"/>
    <x v="0"/>
    <x v="0"/>
    <x v="0"/>
    <s v="24"/>
    <x v="2"/>
    <x v="7"/>
    <x v="0"/>
    <n v="24165.97"/>
    <x v="0"/>
  </r>
  <r>
    <x v="0"/>
    <x v="0"/>
    <x v="3"/>
    <x v="0"/>
    <x v="0"/>
    <x v="0"/>
    <s v="24"/>
    <x v="0"/>
    <x v="8"/>
    <x v="1"/>
    <n v="9244512.7799999993"/>
    <x v="0"/>
  </r>
  <r>
    <x v="0"/>
    <x v="0"/>
    <x v="3"/>
    <x v="0"/>
    <x v="0"/>
    <x v="0"/>
    <s v="24"/>
    <x v="1"/>
    <x v="7"/>
    <x v="0"/>
    <n v="197382.38"/>
    <x v="0"/>
  </r>
  <r>
    <x v="0"/>
    <x v="0"/>
    <x v="3"/>
    <x v="0"/>
    <x v="0"/>
    <x v="0"/>
    <s v="99"/>
    <x v="0"/>
    <x v="7"/>
    <x v="5"/>
    <n v="-64.3"/>
    <x v="0"/>
  </r>
  <r>
    <x v="0"/>
    <x v="0"/>
    <x v="3"/>
    <x v="0"/>
    <x v="0"/>
    <x v="0"/>
    <s v="30"/>
    <x v="0"/>
    <x v="7"/>
    <x v="1"/>
    <n v="-627.22"/>
    <x v="0"/>
  </r>
  <r>
    <x v="0"/>
    <x v="0"/>
    <x v="3"/>
    <x v="0"/>
    <x v="0"/>
    <x v="0"/>
    <s v="24"/>
    <x v="0"/>
    <x v="8"/>
    <x v="9"/>
    <n v="21350732.489999998"/>
    <x v="0"/>
  </r>
  <r>
    <x v="0"/>
    <x v="0"/>
    <x v="3"/>
    <x v="0"/>
    <x v="0"/>
    <x v="0"/>
    <s v="30"/>
    <x v="0"/>
    <x v="7"/>
    <x v="9"/>
    <n v="279.72000000000003"/>
    <x v="0"/>
  </r>
  <r>
    <x v="0"/>
    <x v="0"/>
    <x v="3"/>
    <x v="0"/>
    <x v="0"/>
    <x v="0"/>
    <s v="99"/>
    <x v="0"/>
    <x v="8"/>
    <x v="11"/>
    <n v="-67.900000000000006"/>
    <x v="0"/>
  </r>
  <r>
    <x v="0"/>
    <x v="0"/>
    <x v="3"/>
    <x v="0"/>
    <x v="0"/>
    <x v="0"/>
    <s v="30"/>
    <x v="0"/>
    <x v="7"/>
    <x v="2"/>
    <n v="2464.9"/>
    <x v="0"/>
  </r>
  <r>
    <x v="0"/>
    <x v="0"/>
    <x v="3"/>
    <x v="0"/>
    <x v="0"/>
    <x v="0"/>
    <s v="24"/>
    <x v="0"/>
    <x v="8"/>
    <x v="10"/>
    <n v="35714487.219999999"/>
    <x v="0"/>
  </r>
  <r>
    <x v="0"/>
    <x v="0"/>
    <x v="3"/>
    <x v="0"/>
    <x v="0"/>
    <x v="0"/>
    <s v="30"/>
    <x v="0"/>
    <x v="7"/>
    <x v="10"/>
    <n v="296.5"/>
    <x v="0"/>
  </r>
  <r>
    <x v="0"/>
    <x v="0"/>
    <x v="3"/>
    <x v="0"/>
    <x v="0"/>
    <x v="0"/>
    <s v="99"/>
    <x v="0"/>
    <x v="8"/>
    <x v="0"/>
    <n v="398369.84"/>
    <x v="0"/>
  </r>
  <r>
    <x v="0"/>
    <x v="0"/>
    <x v="3"/>
    <x v="0"/>
    <x v="0"/>
    <x v="0"/>
    <s v="30"/>
    <x v="0"/>
    <x v="8"/>
    <x v="5"/>
    <n v="-97299"/>
    <x v="0"/>
  </r>
  <r>
    <x v="0"/>
    <x v="0"/>
    <x v="3"/>
    <x v="0"/>
    <x v="0"/>
    <x v="0"/>
    <s v="30"/>
    <x v="0"/>
    <x v="7"/>
    <x v="5"/>
    <n v="-1971515.97"/>
    <x v="0"/>
  </r>
  <r>
    <x v="0"/>
    <x v="0"/>
    <x v="3"/>
    <x v="0"/>
    <x v="0"/>
    <x v="0"/>
    <s v="30"/>
    <x v="0"/>
    <x v="8"/>
    <x v="7"/>
    <n v="1583.77"/>
    <x v="0"/>
  </r>
  <r>
    <x v="0"/>
    <x v="0"/>
    <x v="3"/>
    <x v="0"/>
    <x v="0"/>
    <x v="0"/>
    <s v="99"/>
    <x v="1"/>
    <x v="7"/>
    <x v="0"/>
    <n v="403482.73"/>
    <x v="0"/>
  </r>
  <r>
    <x v="0"/>
    <x v="0"/>
    <x v="3"/>
    <x v="0"/>
    <x v="0"/>
    <x v="0"/>
    <s v="30"/>
    <x v="0"/>
    <x v="8"/>
    <x v="8"/>
    <n v="-5100.26"/>
    <x v="0"/>
  </r>
  <r>
    <x v="0"/>
    <x v="0"/>
    <x v="3"/>
    <x v="0"/>
    <x v="0"/>
    <x v="0"/>
    <s v="30"/>
    <x v="0"/>
    <x v="7"/>
    <x v="7"/>
    <n v="-1329.73"/>
    <x v="0"/>
  </r>
  <r>
    <x v="0"/>
    <x v="0"/>
    <x v="3"/>
    <x v="0"/>
    <x v="0"/>
    <x v="0"/>
    <s v="30"/>
    <x v="0"/>
    <x v="8"/>
    <x v="2"/>
    <n v="-8616.49"/>
    <x v="0"/>
  </r>
  <r>
    <x v="0"/>
    <x v="0"/>
    <x v="6"/>
    <x v="0"/>
    <x v="0"/>
    <x v="1"/>
    <s v="21"/>
    <x v="0"/>
    <x v="5"/>
    <x v="1"/>
    <n v="-150555.06"/>
    <x v="0"/>
  </r>
  <r>
    <x v="0"/>
    <x v="0"/>
    <x v="6"/>
    <x v="0"/>
    <x v="0"/>
    <x v="0"/>
    <s v="99"/>
    <x v="0"/>
    <x v="6"/>
    <x v="1"/>
    <n v="-457053.82"/>
    <x v="0"/>
  </r>
  <r>
    <x v="0"/>
    <x v="0"/>
    <x v="6"/>
    <x v="0"/>
    <x v="0"/>
    <x v="0"/>
    <s v="99"/>
    <x v="0"/>
    <x v="5"/>
    <x v="8"/>
    <n v="-297455.90999999997"/>
    <x v="0"/>
  </r>
  <r>
    <x v="0"/>
    <x v="0"/>
    <x v="6"/>
    <x v="0"/>
    <x v="0"/>
    <x v="0"/>
    <s v="99"/>
    <x v="0"/>
    <x v="5"/>
    <x v="7"/>
    <n v="31429.51"/>
    <x v="0"/>
  </r>
  <r>
    <x v="0"/>
    <x v="0"/>
    <x v="6"/>
    <x v="0"/>
    <x v="0"/>
    <x v="1"/>
    <s v="21"/>
    <x v="0"/>
    <x v="5"/>
    <x v="9"/>
    <n v="129543.76"/>
    <x v="0"/>
  </r>
  <r>
    <x v="0"/>
    <x v="0"/>
    <x v="6"/>
    <x v="0"/>
    <x v="0"/>
    <x v="1"/>
    <s v="21"/>
    <x v="0"/>
    <x v="5"/>
    <x v="0"/>
    <n v="8425665.3399999999"/>
    <x v="0"/>
  </r>
  <r>
    <x v="0"/>
    <x v="0"/>
    <x v="6"/>
    <x v="0"/>
    <x v="0"/>
    <x v="1"/>
    <s v="21"/>
    <x v="0"/>
    <x v="5"/>
    <x v="4"/>
    <n v="829302.83"/>
    <x v="0"/>
  </r>
  <r>
    <x v="0"/>
    <x v="0"/>
    <x v="6"/>
    <x v="0"/>
    <x v="0"/>
    <x v="0"/>
    <s v="99"/>
    <x v="0"/>
    <x v="6"/>
    <x v="11"/>
    <n v="251081.02"/>
    <x v="0"/>
  </r>
  <r>
    <x v="0"/>
    <x v="0"/>
    <x v="6"/>
    <x v="0"/>
    <x v="0"/>
    <x v="1"/>
    <s v="21"/>
    <x v="0"/>
    <x v="5"/>
    <x v="10"/>
    <n v="801.39"/>
    <x v="0"/>
  </r>
  <r>
    <x v="0"/>
    <x v="0"/>
    <x v="6"/>
    <x v="0"/>
    <x v="0"/>
    <x v="1"/>
    <s v="21"/>
    <x v="0"/>
    <x v="6"/>
    <x v="9"/>
    <n v="34000"/>
    <x v="0"/>
  </r>
  <r>
    <x v="0"/>
    <x v="0"/>
    <x v="6"/>
    <x v="0"/>
    <x v="0"/>
    <x v="1"/>
    <s v="21"/>
    <x v="0"/>
    <x v="5"/>
    <x v="6"/>
    <n v="76300"/>
    <x v="0"/>
  </r>
  <r>
    <x v="0"/>
    <x v="0"/>
    <x v="6"/>
    <x v="0"/>
    <x v="0"/>
    <x v="0"/>
    <s v="99"/>
    <x v="0"/>
    <x v="6"/>
    <x v="8"/>
    <n v="32093.47"/>
    <x v="0"/>
  </r>
  <r>
    <x v="0"/>
    <x v="0"/>
    <x v="6"/>
    <x v="0"/>
    <x v="0"/>
    <x v="1"/>
    <s v="21"/>
    <x v="0"/>
    <x v="6"/>
    <x v="5"/>
    <n v="1032836.03"/>
    <x v="0"/>
  </r>
  <r>
    <x v="0"/>
    <x v="0"/>
    <x v="6"/>
    <x v="0"/>
    <x v="0"/>
    <x v="1"/>
    <s v="22"/>
    <x v="0"/>
    <x v="5"/>
    <x v="9"/>
    <n v="-129543.76"/>
    <x v="0"/>
  </r>
  <r>
    <x v="0"/>
    <x v="0"/>
    <x v="6"/>
    <x v="0"/>
    <x v="0"/>
    <x v="1"/>
    <s v="21"/>
    <x v="0"/>
    <x v="6"/>
    <x v="1"/>
    <n v="358051"/>
    <x v="0"/>
  </r>
  <r>
    <x v="0"/>
    <x v="0"/>
    <x v="6"/>
    <x v="0"/>
    <x v="0"/>
    <x v="0"/>
    <s v="99"/>
    <x v="0"/>
    <x v="6"/>
    <x v="0"/>
    <n v="173879.33"/>
    <x v="0"/>
  </r>
  <r>
    <x v="0"/>
    <x v="0"/>
    <x v="6"/>
    <x v="0"/>
    <x v="0"/>
    <x v="1"/>
    <s v="21"/>
    <x v="0"/>
    <x v="6"/>
    <x v="0"/>
    <n v="12384367.710000001"/>
    <x v="0"/>
  </r>
  <r>
    <x v="0"/>
    <x v="0"/>
    <x v="6"/>
    <x v="0"/>
    <x v="0"/>
    <x v="1"/>
    <s v="22"/>
    <x v="0"/>
    <x v="6"/>
    <x v="5"/>
    <n v="-1031836.03"/>
    <x v="0"/>
  </r>
  <r>
    <x v="0"/>
    <x v="0"/>
    <x v="6"/>
    <x v="0"/>
    <x v="0"/>
    <x v="1"/>
    <s v="22"/>
    <x v="0"/>
    <x v="5"/>
    <x v="1"/>
    <n v="150555.06"/>
    <x v="0"/>
  </r>
  <r>
    <x v="0"/>
    <x v="0"/>
    <x v="6"/>
    <x v="0"/>
    <x v="0"/>
    <x v="1"/>
    <s v="21"/>
    <x v="0"/>
    <x v="5"/>
    <x v="5"/>
    <n v="111027.28"/>
    <x v="0"/>
  </r>
  <r>
    <x v="0"/>
    <x v="0"/>
    <x v="6"/>
    <x v="0"/>
    <x v="0"/>
    <x v="1"/>
    <s v="22"/>
    <x v="0"/>
    <x v="5"/>
    <x v="5"/>
    <n v="-111027.28"/>
    <x v="0"/>
  </r>
  <r>
    <x v="0"/>
    <x v="0"/>
    <x v="6"/>
    <x v="0"/>
    <x v="0"/>
    <x v="1"/>
    <s v="22"/>
    <x v="0"/>
    <x v="6"/>
    <x v="2"/>
    <n v="-7420.31"/>
    <x v="0"/>
  </r>
  <r>
    <x v="0"/>
    <x v="0"/>
    <x v="6"/>
    <x v="0"/>
    <x v="0"/>
    <x v="1"/>
    <s v="22"/>
    <x v="0"/>
    <x v="6"/>
    <x v="11"/>
    <n v="-50000"/>
    <x v="0"/>
  </r>
  <r>
    <x v="0"/>
    <x v="0"/>
    <x v="6"/>
    <x v="0"/>
    <x v="0"/>
    <x v="1"/>
    <s v="21"/>
    <x v="0"/>
    <x v="6"/>
    <x v="6"/>
    <n v="-36042.910000000003"/>
    <x v="0"/>
  </r>
  <r>
    <x v="0"/>
    <x v="0"/>
    <x v="6"/>
    <x v="0"/>
    <x v="0"/>
    <x v="1"/>
    <s v="22"/>
    <x v="0"/>
    <x v="5"/>
    <x v="7"/>
    <n v="-250"/>
    <x v="0"/>
  </r>
  <r>
    <x v="0"/>
    <x v="0"/>
    <x v="6"/>
    <x v="0"/>
    <x v="0"/>
    <x v="1"/>
    <s v="22"/>
    <x v="0"/>
    <x v="6"/>
    <x v="0"/>
    <n v="-11746150.210000001"/>
    <x v="0"/>
  </r>
  <r>
    <x v="0"/>
    <x v="0"/>
    <x v="6"/>
    <x v="0"/>
    <x v="0"/>
    <x v="1"/>
    <s v="21"/>
    <x v="0"/>
    <x v="6"/>
    <x v="11"/>
    <n v="50000"/>
    <x v="0"/>
  </r>
  <r>
    <x v="0"/>
    <x v="0"/>
    <x v="6"/>
    <x v="0"/>
    <x v="0"/>
    <x v="1"/>
    <s v="22"/>
    <x v="0"/>
    <x v="5"/>
    <x v="0"/>
    <n v="-8373067.21"/>
    <x v="0"/>
  </r>
  <r>
    <x v="0"/>
    <x v="0"/>
    <x v="6"/>
    <x v="0"/>
    <x v="0"/>
    <x v="1"/>
    <s v="22"/>
    <x v="0"/>
    <x v="5"/>
    <x v="4"/>
    <n v="-829302.83"/>
    <x v="0"/>
  </r>
  <r>
    <x v="0"/>
    <x v="0"/>
    <x v="6"/>
    <x v="0"/>
    <x v="0"/>
    <x v="1"/>
    <s v="22"/>
    <x v="0"/>
    <x v="6"/>
    <x v="6"/>
    <n v="-7957.09"/>
    <x v="0"/>
  </r>
  <r>
    <x v="0"/>
    <x v="0"/>
    <x v="6"/>
    <x v="0"/>
    <x v="0"/>
    <x v="1"/>
    <s v="22"/>
    <x v="0"/>
    <x v="5"/>
    <x v="6"/>
    <n v="-76300"/>
    <x v="0"/>
  </r>
  <r>
    <x v="0"/>
    <x v="0"/>
    <x v="6"/>
    <x v="0"/>
    <x v="0"/>
    <x v="1"/>
    <s v="22"/>
    <x v="0"/>
    <x v="6"/>
    <x v="1"/>
    <n v="-358051"/>
    <x v="0"/>
  </r>
  <r>
    <x v="0"/>
    <x v="0"/>
    <x v="6"/>
    <x v="0"/>
    <x v="0"/>
    <x v="1"/>
    <s v="22"/>
    <x v="0"/>
    <x v="6"/>
    <x v="9"/>
    <n v="-34000"/>
    <x v="0"/>
  </r>
  <r>
    <x v="0"/>
    <x v="0"/>
    <x v="0"/>
    <x v="0"/>
    <x v="0"/>
    <x v="6"/>
    <s v="01"/>
    <x v="0"/>
    <x v="9"/>
    <x v="6"/>
    <n v="36.799999999999997"/>
    <x v="0"/>
  </r>
  <r>
    <x v="0"/>
    <x v="0"/>
    <x v="0"/>
    <x v="0"/>
    <x v="0"/>
    <x v="5"/>
    <s v="84"/>
    <x v="0"/>
    <x v="9"/>
    <x v="9"/>
    <n v="11652.84"/>
    <x v="2"/>
  </r>
  <r>
    <x v="0"/>
    <x v="0"/>
    <x v="0"/>
    <x v="0"/>
    <x v="0"/>
    <x v="0"/>
    <s v="05"/>
    <x v="0"/>
    <x v="9"/>
    <x v="9"/>
    <n v="45345.26"/>
    <x v="0"/>
  </r>
  <r>
    <x v="0"/>
    <x v="0"/>
    <x v="0"/>
    <x v="0"/>
    <x v="0"/>
    <x v="0"/>
    <s v="05"/>
    <x v="0"/>
    <x v="9"/>
    <x v="10"/>
    <n v="208.66"/>
    <x v="0"/>
  </r>
  <r>
    <x v="0"/>
    <x v="0"/>
    <x v="0"/>
    <x v="0"/>
    <x v="0"/>
    <x v="0"/>
    <s v="20"/>
    <x v="0"/>
    <x v="9"/>
    <x v="9"/>
    <n v="2379805.2400000002"/>
    <x v="0"/>
  </r>
  <r>
    <x v="0"/>
    <x v="0"/>
    <x v="0"/>
    <x v="0"/>
    <x v="0"/>
    <x v="0"/>
    <s v="20"/>
    <x v="0"/>
    <x v="9"/>
    <x v="10"/>
    <n v="5276221.91"/>
    <x v="0"/>
  </r>
  <r>
    <x v="0"/>
    <x v="0"/>
    <x v="0"/>
    <x v="0"/>
    <x v="0"/>
    <x v="5"/>
    <s v="84"/>
    <x v="0"/>
    <x v="9"/>
    <x v="10"/>
    <n v="-67831.649999999994"/>
    <x v="2"/>
  </r>
  <r>
    <x v="0"/>
    <x v="0"/>
    <x v="0"/>
    <x v="0"/>
    <x v="0"/>
    <x v="0"/>
    <s v="05"/>
    <x v="0"/>
    <x v="9"/>
    <x v="8"/>
    <n v="320"/>
    <x v="0"/>
  </r>
  <r>
    <x v="0"/>
    <x v="0"/>
    <x v="0"/>
    <x v="0"/>
    <x v="0"/>
    <x v="0"/>
    <s v="23"/>
    <x v="0"/>
    <x v="9"/>
    <x v="6"/>
    <n v="773420.23"/>
    <x v="0"/>
  </r>
  <r>
    <x v="0"/>
    <x v="0"/>
    <x v="0"/>
    <x v="0"/>
    <x v="0"/>
    <x v="6"/>
    <s v="01"/>
    <x v="0"/>
    <x v="9"/>
    <x v="7"/>
    <n v="-36.799999999999997"/>
    <x v="0"/>
  </r>
  <r>
    <x v="0"/>
    <x v="0"/>
    <x v="0"/>
    <x v="0"/>
    <x v="0"/>
    <x v="0"/>
    <s v="05"/>
    <x v="0"/>
    <x v="9"/>
    <x v="0"/>
    <n v="-23557.09"/>
    <x v="0"/>
  </r>
  <r>
    <x v="0"/>
    <x v="0"/>
    <x v="0"/>
    <x v="0"/>
    <x v="0"/>
    <x v="0"/>
    <s v="23"/>
    <x v="0"/>
    <x v="9"/>
    <x v="11"/>
    <n v="557605.11"/>
    <x v="0"/>
  </r>
  <r>
    <x v="0"/>
    <x v="0"/>
    <x v="0"/>
    <x v="0"/>
    <x v="0"/>
    <x v="5"/>
    <s v="84"/>
    <x v="0"/>
    <x v="9"/>
    <x v="6"/>
    <n v="7847.2"/>
    <x v="2"/>
  </r>
  <r>
    <x v="0"/>
    <x v="0"/>
    <x v="0"/>
    <x v="0"/>
    <x v="0"/>
    <x v="0"/>
    <s v="20"/>
    <x v="0"/>
    <x v="9"/>
    <x v="6"/>
    <n v="5787996.1799999997"/>
    <x v="0"/>
  </r>
  <r>
    <x v="0"/>
    <x v="0"/>
    <x v="0"/>
    <x v="0"/>
    <x v="0"/>
    <x v="0"/>
    <s v="23"/>
    <x v="0"/>
    <x v="9"/>
    <x v="8"/>
    <n v="-594744.27"/>
    <x v="0"/>
  </r>
  <r>
    <x v="0"/>
    <x v="0"/>
    <x v="0"/>
    <x v="0"/>
    <x v="0"/>
    <x v="5"/>
    <s v="84"/>
    <x v="0"/>
    <x v="9"/>
    <x v="11"/>
    <n v="16223.66"/>
    <x v="2"/>
  </r>
  <r>
    <x v="0"/>
    <x v="0"/>
    <x v="0"/>
    <x v="0"/>
    <x v="0"/>
    <x v="0"/>
    <s v="20"/>
    <x v="0"/>
    <x v="9"/>
    <x v="11"/>
    <n v="6142981.2000000002"/>
    <x v="0"/>
  </r>
  <r>
    <x v="0"/>
    <x v="0"/>
    <x v="0"/>
    <x v="0"/>
    <x v="0"/>
    <x v="0"/>
    <s v="23"/>
    <x v="0"/>
    <x v="9"/>
    <x v="0"/>
    <n v="-1624987.39"/>
    <x v="0"/>
  </r>
  <r>
    <x v="0"/>
    <x v="0"/>
    <x v="0"/>
    <x v="0"/>
    <x v="0"/>
    <x v="0"/>
    <s v="20"/>
    <x v="0"/>
    <x v="9"/>
    <x v="8"/>
    <n v="8989284.8800000008"/>
    <x v="0"/>
  </r>
  <r>
    <x v="0"/>
    <x v="0"/>
    <x v="0"/>
    <x v="0"/>
    <x v="0"/>
    <x v="0"/>
    <s v="05"/>
    <x v="0"/>
    <x v="9"/>
    <x v="11"/>
    <n v="14.84"/>
    <x v="0"/>
  </r>
  <r>
    <x v="0"/>
    <x v="0"/>
    <x v="0"/>
    <x v="0"/>
    <x v="0"/>
    <x v="0"/>
    <s v="20"/>
    <x v="0"/>
    <x v="9"/>
    <x v="0"/>
    <n v="2206516.66"/>
    <x v="0"/>
  </r>
  <r>
    <x v="0"/>
    <x v="0"/>
    <x v="0"/>
    <x v="0"/>
    <x v="0"/>
    <x v="5"/>
    <s v="84"/>
    <x v="0"/>
    <x v="9"/>
    <x v="7"/>
    <n v="32107.95"/>
    <x v="2"/>
  </r>
  <r>
    <x v="0"/>
    <x v="0"/>
    <x v="0"/>
    <x v="0"/>
    <x v="0"/>
    <x v="0"/>
    <s v="24"/>
    <x v="0"/>
    <x v="9"/>
    <x v="6"/>
    <n v="319233177.99000001"/>
    <x v="0"/>
  </r>
  <r>
    <x v="0"/>
    <x v="0"/>
    <x v="0"/>
    <x v="0"/>
    <x v="0"/>
    <x v="0"/>
    <s v="07"/>
    <x v="0"/>
    <x v="9"/>
    <x v="9"/>
    <n v="3215.73"/>
    <x v="0"/>
  </r>
  <r>
    <x v="0"/>
    <x v="0"/>
    <x v="0"/>
    <x v="0"/>
    <x v="0"/>
    <x v="0"/>
    <s v="05"/>
    <x v="0"/>
    <x v="9"/>
    <x v="7"/>
    <n v="96"/>
    <x v="0"/>
  </r>
  <r>
    <x v="0"/>
    <x v="0"/>
    <x v="0"/>
    <x v="0"/>
    <x v="0"/>
    <x v="0"/>
    <s v="24"/>
    <x v="0"/>
    <x v="9"/>
    <x v="11"/>
    <n v="8010368.6299999999"/>
    <x v="0"/>
  </r>
  <r>
    <x v="0"/>
    <x v="0"/>
    <x v="0"/>
    <x v="0"/>
    <x v="0"/>
    <x v="0"/>
    <s v="07"/>
    <x v="0"/>
    <x v="9"/>
    <x v="10"/>
    <n v="0"/>
    <x v="0"/>
  </r>
  <r>
    <x v="0"/>
    <x v="0"/>
    <x v="0"/>
    <x v="0"/>
    <x v="0"/>
    <x v="0"/>
    <s v="07"/>
    <x v="0"/>
    <x v="9"/>
    <x v="0"/>
    <n v="-3215.73"/>
    <x v="0"/>
  </r>
  <r>
    <x v="0"/>
    <x v="0"/>
    <x v="0"/>
    <x v="0"/>
    <x v="0"/>
    <x v="0"/>
    <s v="24"/>
    <x v="0"/>
    <x v="9"/>
    <x v="0"/>
    <n v="-37851295.07"/>
    <x v="0"/>
  </r>
  <r>
    <x v="0"/>
    <x v="0"/>
    <x v="0"/>
    <x v="0"/>
    <x v="0"/>
    <x v="0"/>
    <s v="20"/>
    <x v="0"/>
    <x v="9"/>
    <x v="7"/>
    <n v="270730.93"/>
    <x v="0"/>
  </r>
  <r>
    <x v="0"/>
    <x v="0"/>
    <x v="0"/>
    <x v="0"/>
    <x v="0"/>
    <x v="0"/>
    <s v="24"/>
    <x v="0"/>
    <x v="9"/>
    <x v="7"/>
    <n v="-24420766.379999999"/>
    <x v="0"/>
  </r>
  <r>
    <x v="0"/>
    <x v="0"/>
    <x v="0"/>
    <x v="0"/>
    <x v="0"/>
    <x v="0"/>
    <s v="23"/>
    <x v="0"/>
    <x v="9"/>
    <x v="9"/>
    <n v="487101.58"/>
    <x v="0"/>
  </r>
  <r>
    <x v="0"/>
    <x v="0"/>
    <x v="0"/>
    <x v="0"/>
    <x v="0"/>
    <x v="0"/>
    <s v="30"/>
    <x v="0"/>
    <x v="9"/>
    <x v="7"/>
    <n v="131"/>
    <x v="0"/>
  </r>
  <r>
    <x v="0"/>
    <x v="0"/>
    <x v="0"/>
    <x v="0"/>
    <x v="0"/>
    <x v="0"/>
    <s v="23"/>
    <x v="0"/>
    <x v="9"/>
    <x v="7"/>
    <n v="1730999.84"/>
    <x v="0"/>
  </r>
  <r>
    <x v="0"/>
    <x v="0"/>
    <x v="0"/>
    <x v="0"/>
    <x v="0"/>
    <x v="0"/>
    <s v="23"/>
    <x v="0"/>
    <x v="9"/>
    <x v="10"/>
    <n v="-1236189.83"/>
    <x v="0"/>
  </r>
  <r>
    <x v="0"/>
    <x v="0"/>
    <x v="0"/>
    <x v="0"/>
    <x v="0"/>
    <x v="0"/>
    <s v="24"/>
    <x v="0"/>
    <x v="9"/>
    <x v="9"/>
    <n v="-595361.56999999995"/>
    <x v="0"/>
  </r>
  <r>
    <x v="0"/>
    <x v="0"/>
    <x v="0"/>
    <x v="0"/>
    <x v="0"/>
    <x v="0"/>
    <s v="30"/>
    <x v="0"/>
    <x v="9"/>
    <x v="10"/>
    <n v="-113"/>
    <x v="0"/>
  </r>
  <r>
    <x v="0"/>
    <x v="0"/>
    <x v="0"/>
    <x v="0"/>
    <x v="0"/>
    <x v="0"/>
    <s v="30"/>
    <x v="0"/>
    <x v="9"/>
    <x v="9"/>
    <n v="46008"/>
    <x v="0"/>
  </r>
  <r>
    <x v="0"/>
    <x v="0"/>
    <x v="0"/>
    <x v="0"/>
    <x v="0"/>
    <x v="0"/>
    <s v="24"/>
    <x v="0"/>
    <x v="9"/>
    <x v="10"/>
    <n v="334955221.61000001"/>
    <x v="0"/>
  </r>
  <r>
    <x v="0"/>
    <x v="0"/>
    <x v="0"/>
    <x v="0"/>
    <x v="0"/>
    <x v="0"/>
    <s v="35"/>
    <x v="0"/>
    <x v="9"/>
    <x v="8"/>
    <n v="863029.5"/>
    <x v="0"/>
  </r>
  <r>
    <x v="0"/>
    <x v="0"/>
    <x v="0"/>
    <x v="0"/>
    <x v="0"/>
    <x v="0"/>
    <s v="30"/>
    <x v="0"/>
    <x v="9"/>
    <x v="8"/>
    <n v="20241"/>
    <x v="0"/>
  </r>
  <r>
    <x v="0"/>
    <x v="0"/>
    <x v="0"/>
    <x v="0"/>
    <x v="0"/>
    <x v="0"/>
    <s v="24"/>
    <x v="0"/>
    <x v="9"/>
    <x v="8"/>
    <n v="301132328.19999999"/>
    <x v="0"/>
  </r>
  <r>
    <x v="0"/>
    <x v="0"/>
    <x v="0"/>
    <x v="0"/>
    <x v="0"/>
    <x v="0"/>
    <s v="35"/>
    <x v="0"/>
    <x v="9"/>
    <x v="0"/>
    <n v="691408.45"/>
    <x v="0"/>
  </r>
  <r>
    <x v="0"/>
    <x v="0"/>
    <x v="0"/>
    <x v="0"/>
    <x v="0"/>
    <x v="0"/>
    <s v="30"/>
    <x v="0"/>
    <x v="9"/>
    <x v="6"/>
    <n v="113"/>
    <x v="0"/>
  </r>
  <r>
    <x v="0"/>
    <x v="0"/>
    <x v="0"/>
    <x v="0"/>
    <x v="0"/>
    <x v="0"/>
    <s v="99"/>
    <x v="0"/>
    <x v="9"/>
    <x v="10"/>
    <n v="2362248.8199999998"/>
    <x v="0"/>
  </r>
  <r>
    <x v="0"/>
    <x v="0"/>
    <x v="0"/>
    <x v="0"/>
    <x v="0"/>
    <x v="0"/>
    <s v="36"/>
    <x v="0"/>
    <x v="9"/>
    <x v="8"/>
    <n v="47221.47"/>
    <x v="0"/>
  </r>
  <r>
    <x v="0"/>
    <x v="0"/>
    <x v="0"/>
    <x v="0"/>
    <x v="0"/>
    <x v="0"/>
    <s v="30"/>
    <x v="0"/>
    <x v="9"/>
    <x v="11"/>
    <n v="22162.95"/>
    <x v="0"/>
  </r>
  <r>
    <x v="0"/>
    <x v="0"/>
    <x v="0"/>
    <x v="0"/>
    <x v="0"/>
    <x v="0"/>
    <s v="99"/>
    <x v="0"/>
    <x v="9"/>
    <x v="8"/>
    <n v="1267032.72"/>
    <x v="0"/>
  </r>
  <r>
    <x v="0"/>
    <x v="0"/>
    <x v="0"/>
    <x v="0"/>
    <x v="0"/>
    <x v="0"/>
    <s v="99"/>
    <x v="0"/>
    <x v="9"/>
    <x v="7"/>
    <n v="6540298.7699999996"/>
    <x v="0"/>
  </r>
  <r>
    <x v="0"/>
    <x v="0"/>
    <x v="0"/>
    <x v="0"/>
    <x v="0"/>
    <x v="0"/>
    <s v="36"/>
    <x v="0"/>
    <x v="9"/>
    <x v="0"/>
    <n v="25893.32"/>
    <x v="0"/>
  </r>
  <r>
    <x v="0"/>
    <x v="0"/>
    <x v="0"/>
    <x v="0"/>
    <x v="0"/>
    <x v="0"/>
    <s v="30"/>
    <x v="0"/>
    <x v="9"/>
    <x v="0"/>
    <n v="148126.93"/>
    <x v="0"/>
  </r>
  <r>
    <x v="0"/>
    <x v="0"/>
    <x v="6"/>
    <x v="0"/>
    <x v="0"/>
    <x v="0"/>
    <s v="99"/>
    <x v="0"/>
    <x v="8"/>
    <x v="0"/>
    <n v="49359.75"/>
    <x v="0"/>
  </r>
  <r>
    <x v="0"/>
    <x v="0"/>
    <x v="6"/>
    <x v="0"/>
    <x v="0"/>
    <x v="1"/>
    <s v="22"/>
    <x v="0"/>
    <x v="7"/>
    <x v="6"/>
    <n v="-1573180"/>
    <x v="0"/>
  </r>
  <r>
    <x v="0"/>
    <x v="0"/>
    <x v="6"/>
    <x v="0"/>
    <x v="0"/>
    <x v="1"/>
    <s v="21"/>
    <x v="0"/>
    <x v="7"/>
    <x v="6"/>
    <n v="1579347.33"/>
    <x v="0"/>
  </r>
  <r>
    <x v="0"/>
    <x v="0"/>
    <x v="6"/>
    <x v="0"/>
    <x v="0"/>
    <x v="1"/>
    <s v="21"/>
    <x v="0"/>
    <x v="7"/>
    <x v="5"/>
    <n v="1948.97"/>
    <x v="0"/>
  </r>
  <r>
    <x v="0"/>
    <x v="0"/>
    <x v="6"/>
    <x v="0"/>
    <x v="0"/>
    <x v="1"/>
    <s v="22"/>
    <x v="0"/>
    <x v="7"/>
    <x v="11"/>
    <n v="-140269.68"/>
    <x v="0"/>
  </r>
  <r>
    <x v="0"/>
    <x v="0"/>
    <x v="6"/>
    <x v="0"/>
    <x v="0"/>
    <x v="1"/>
    <s v="21"/>
    <x v="0"/>
    <x v="7"/>
    <x v="11"/>
    <n v="140269.68"/>
    <x v="0"/>
  </r>
  <r>
    <x v="0"/>
    <x v="0"/>
    <x v="6"/>
    <x v="0"/>
    <x v="0"/>
    <x v="1"/>
    <s v="21"/>
    <x v="0"/>
    <x v="7"/>
    <x v="0"/>
    <n v="14158841.279999999"/>
    <x v="0"/>
  </r>
  <r>
    <x v="0"/>
    <x v="0"/>
    <x v="6"/>
    <x v="0"/>
    <x v="0"/>
    <x v="1"/>
    <s v="22"/>
    <x v="0"/>
    <x v="8"/>
    <x v="9"/>
    <n v="-6089"/>
    <x v="0"/>
  </r>
  <r>
    <x v="0"/>
    <x v="0"/>
    <x v="6"/>
    <x v="0"/>
    <x v="0"/>
    <x v="1"/>
    <s v="21"/>
    <x v="0"/>
    <x v="8"/>
    <x v="1"/>
    <n v="1573180"/>
    <x v="0"/>
  </r>
  <r>
    <x v="0"/>
    <x v="0"/>
    <x v="6"/>
    <x v="0"/>
    <x v="0"/>
    <x v="1"/>
    <s v="21"/>
    <x v="0"/>
    <x v="8"/>
    <x v="4"/>
    <n v="948868"/>
    <x v="0"/>
  </r>
  <r>
    <x v="0"/>
    <x v="0"/>
    <x v="6"/>
    <x v="0"/>
    <x v="0"/>
    <x v="1"/>
    <s v="22"/>
    <x v="0"/>
    <x v="8"/>
    <x v="10"/>
    <n v="-88473"/>
    <x v="0"/>
  </r>
  <r>
    <x v="0"/>
    <x v="0"/>
    <x v="6"/>
    <x v="0"/>
    <x v="0"/>
    <x v="1"/>
    <s v="21"/>
    <x v="0"/>
    <x v="8"/>
    <x v="9"/>
    <n v="6089"/>
    <x v="0"/>
  </r>
  <r>
    <x v="0"/>
    <x v="0"/>
    <x v="6"/>
    <x v="0"/>
    <x v="0"/>
    <x v="1"/>
    <s v="21"/>
    <x v="0"/>
    <x v="8"/>
    <x v="6"/>
    <n v="46105.33"/>
    <x v="0"/>
  </r>
  <r>
    <x v="0"/>
    <x v="0"/>
    <x v="6"/>
    <x v="0"/>
    <x v="0"/>
    <x v="1"/>
    <s v="21"/>
    <x v="0"/>
    <x v="8"/>
    <x v="10"/>
    <n v="92804.96"/>
    <x v="0"/>
  </r>
  <r>
    <x v="0"/>
    <x v="0"/>
    <x v="6"/>
    <x v="0"/>
    <x v="0"/>
    <x v="1"/>
    <s v="22"/>
    <x v="0"/>
    <x v="8"/>
    <x v="1"/>
    <n v="-1573180"/>
    <x v="0"/>
  </r>
  <r>
    <x v="0"/>
    <x v="0"/>
    <x v="6"/>
    <x v="0"/>
    <x v="0"/>
    <x v="1"/>
    <s v="22"/>
    <x v="0"/>
    <x v="7"/>
    <x v="1"/>
    <n v="-96091.51"/>
    <x v="0"/>
  </r>
  <r>
    <x v="0"/>
    <x v="0"/>
    <x v="6"/>
    <x v="0"/>
    <x v="0"/>
    <x v="1"/>
    <s v="22"/>
    <x v="0"/>
    <x v="8"/>
    <x v="2"/>
    <n v="-62867"/>
    <x v="0"/>
  </r>
  <r>
    <x v="0"/>
    <x v="0"/>
    <x v="6"/>
    <x v="0"/>
    <x v="0"/>
    <x v="1"/>
    <s v="22"/>
    <x v="0"/>
    <x v="7"/>
    <x v="9"/>
    <n v="-247000"/>
    <x v="0"/>
  </r>
  <r>
    <x v="0"/>
    <x v="0"/>
    <x v="6"/>
    <x v="0"/>
    <x v="0"/>
    <x v="1"/>
    <s v="22"/>
    <x v="0"/>
    <x v="8"/>
    <x v="5"/>
    <n v="-64438394"/>
    <x v="0"/>
  </r>
  <r>
    <x v="0"/>
    <x v="0"/>
    <x v="6"/>
    <x v="0"/>
    <x v="0"/>
    <x v="1"/>
    <s v="22"/>
    <x v="0"/>
    <x v="8"/>
    <x v="7"/>
    <n v="-2356"/>
    <x v="0"/>
  </r>
  <r>
    <x v="0"/>
    <x v="0"/>
    <x v="6"/>
    <x v="0"/>
    <x v="0"/>
    <x v="1"/>
    <s v="22"/>
    <x v="0"/>
    <x v="8"/>
    <x v="8"/>
    <n v="-1407"/>
    <x v="0"/>
  </r>
  <r>
    <x v="0"/>
    <x v="0"/>
    <x v="6"/>
    <x v="0"/>
    <x v="0"/>
    <x v="1"/>
    <s v="22"/>
    <x v="0"/>
    <x v="8"/>
    <x v="0"/>
    <n v="-9617003.5700000003"/>
    <x v="0"/>
  </r>
  <r>
    <x v="0"/>
    <x v="0"/>
    <x v="4"/>
    <x v="0"/>
    <x v="0"/>
    <x v="0"/>
    <s v="01"/>
    <x v="0"/>
    <x v="9"/>
    <x v="9"/>
    <n v="44672.71"/>
    <x v="0"/>
  </r>
  <r>
    <x v="0"/>
    <x v="0"/>
    <x v="4"/>
    <x v="0"/>
    <x v="0"/>
    <x v="0"/>
    <s v="01"/>
    <x v="0"/>
    <x v="9"/>
    <x v="1"/>
    <n v="24195.38"/>
    <x v="0"/>
  </r>
  <r>
    <x v="0"/>
    <x v="0"/>
    <x v="4"/>
    <x v="0"/>
    <x v="0"/>
    <x v="0"/>
    <s v="01"/>
    <x v="0"/>
    <x v="9"/>
    <x v="10"/>
    <n v="46318.84"/>
    <x v="0"/>
  </r>
  <r>
    <x v="0"/>
    <x v="0"/>
    <x v="4"/>
    <x v="0"/>
    <x v="0"/>
    <x v="0"/>
    <s v="01"/>
    <x v="0"/>
    <x v="9"/>
    <x v="5"/>
    <n v="26905.46"/>
    <x v="0"/>
  </r>
  <r>
    <x v="0"/>
    <x v="0"/>
    <x v="4"/>
    <x v="0"/>
    <x v="0"/>
    <x v="0"/>
    <s v="16"/>
    <x v="0"/>
    <x v="9"/>
    <x v="8"/>
    <n v="166"/>
    <x v="0"/>
  </r>
  <r>
    <x v="0"/>
    <x v="0"/>
    <x v="4"/>
    <x v="0"/>
    <x v="0"/>
    <x v="0"/>
    <s v="01"/>
    <x v="0"/>
    <x v="9"/>
    <x v="7"/>
    <n v="34309.19"/>
    <x v="0"/>
  </r>
  <r>
    <x v="0"/>
    <x v="0"/>
    <x v="4"/>
    <x v="0"/>
    <x v="0"/>
    <x v="0"/>
    <s v="24"/>
    <x v="0"/>
    <x v="9"/>
    <x v="3"/>
    <n v="3412654.79"/>
    <x v="0"/>
  </r>
  <r>
    <x v="0"/>
    <x v="0"/>
    <x v="4"/>
    <x v="0"/>
    <x v="0"/>
    <x v="0"/>
    <s v="01"/>
    <x v="0"/>
    <x v="9"/>
    <x v="4"/>
    <n v="35132.769999999997"/>
    <x v="0"/>
  </r>
  <r>
    <x v="0"/>
    <x v="0"/>
    <x v="4"/>
    <x v="0"/>
    <x v="0"/>
    <x v="0"/>
    <s v="20"/>
    <x v="0"/>
    <x v="9"/>
    <x v="10"/>
    <n v="100"/>
    <x v="0"/>
  </r>
  <r>
    <x v="0"/>
    <x v="0"/>
    <x v="4"/>
    <x v="0"/>
    <x v="0"/>
    <x v="0"/>
    <s v="01"/>
    <x v="0"/>
    <x v="9"/>
    <x v="2"/>
    <n v="77412.83"/>
    <x v="0"/>
  </r>
  <r>
    <x v="0"/>
    <x v="0"/>
    <x v="4"/>
    <x v="0"/>
    <x v="0"/>
    <x v="0"/>
    <s v="24"/>
    <x v="0"/>
    <x v="9"/>
    <x v="4"/>
    <n v="36965718.950000003"/>
    <x v="0"/>
  </r>
  <r>
    <x v="0"/>
    <x v="0"/>
    <x v="4"/>
    <x v="0"/>
    <x v="0"/>
    <x v="0"/>
    <s v="01"/>
    <x v="0"/>
    <x v="9"/>
    <x v="6"/>
    <n v="54441.2"/>
    <x v="0"/>
  </r>
  <r>
    <x v="0"/>
    <x v="0"/>
    <x v="4"/>
    <x v="0"/>
    <x v="0"/>
    <x v="0"/>
    <s v="20"/>
    <x v="0"/>
    <x v="9"/>
    <x v="8"/>
    <n v="-100"/>
    <x v="0"/>
  </r>
  <r>
    <x v="0"/>
    <x v="0"/>
    <x v="4"/>
    <x v="0"/>
    <x v="0"/>
    <x v="0"/>
    <s v="24"/>
    <x v="0"/>
    <x v="9"/>
    <x v="6"/>
    <n v="36786948.049999997"/>
    <x v="0"/>
  </r>
  <r>
    <x v="0"/>
    <x v="0"/>
    <x v="4"/>
    <x v="0"/>
    <x v="0"/>
    <x v="0"/>
    <s v="01"/>
    <x v="0"/>
    <x v="9"/>
    <x v="11"/>
    <n v="60946.03"/>
    <x v="0"/>
  </r>
  <r>
    <x v="0"/>
    <x v="0"/>
    <x v="4"/>
    <x v="0"/>
    <x v="0"/>
    <x v="0"/>
    <s v="24"/>
    <x v="0"/>
    <x v="9"/>
    <x v="11"/>
    <n v="12380007.029999999"/>
    <x v="0"/>
  </r>
  <r>
    <x v="0"/>
    <x v="0"/>
    <x v="4"/>
    <x v="0"/>
    <x v="0"/>
    <x v="0"/>
    <s v="20"/>
    <x v="0"/>
    <x v="9"/>
    <x v="5"/>
    <n v="0"/>
    <x v="0"/>
  </r>
  <r>
    <x v="0"/>
    <x v="0"/>
    <x v="4"/>
    <x v="0"/>
    <x v="0"/>
    <x v="0"/>
    <s v="24"/>
    <x v="0"/>
    <x v="9"/>
    <x v="8"/>
    <n v="-5620856.8700000001"/>
    <x v="0"/>
  </r>
  <r>
    <x v="0"/>
    <x v="0"/>
    <x v="4"/>
    <x v="0"/>
    <x v="0"/>
    <x v="0"/>
    <s v="01"/>
    <x v="0"/>
    <x v="9"/>
    <x v="8"/>
    <n v="46276.18"/>
    <x v="0"/>
  </r>
  <r>
    <x v="0"/>
    <x v="0"/>
    <x v="4"/>
    <x v="0"/>
    <x v="0"/>
    <x v="0"/>
    <s v="24"/>
    <x v="0"/>
    <x v="9"/>
    <x v="2"/>
    <n v="9019.7999999999993"/>
    <x v="0"/>
  </r>
  <r>
    <x v="0"/>
    <x v="0"/>
    <x v="4"/>
    <x v="0"/>
    <x v="0"/>
    <x v="0"/>
    <s v="20"/>
    <x v="0"/>
    <x v="9"/>
    <x v="7"/>
    <n v="0"/>
    <x v="0"/>
  </r>
  <r>
    <x v="0"/>
    <x v="0"/>
    <x v="4"/>
    <x v="0"/>
    <x v="0"/>
    <x v="0"/>
    <s v="24"/>
    <x v="0"/>
    <x v="9"/>
    <x v="0"/>
    <n v="-18785.64"/>
    <x v="0"/>
  </r>
  <r>
    <x v="0"/>
    <x v="0"/>
    <x v="4"/>
    <x v="0"/>
    <x v="0"/>
    <x v="0"/>
    <s v="01"/>
    <x v="0"/>
    <x v="9"/>
    <x v="0"/>
    <n v="135026.1"/>
    <x v="0"/>
  </r>
  <r>
    <x v="0"/>
    <x v="0"/>
    <x v="4"/>
    <x v="0"/>
    <x v="0"/>
    <x v="1"/>
    <s v="21"/>
    <x v="0"/>
    <x v="9"/>
    <x v="9"/>
    <n v="15750"/>
    <x v="0"/>
  </r>
  <r>
    <x v="0"/>
    <x v="0"/>
    <x v="4"/>
    <x v="0"/>
    <x v="0"/>
    <x v="3"/>
    <s v="41"/>
    <x v="0"/>
    <x v="9"/>
    <x v="7"/>
    <n v="-1004.61"/>
    <x v="1"/>
  </r>
  <r>
    <x v="0"/>
    <x v="0"/>
    <x v="4"/>
    <x v="0"/>
    <x v="0"/>
    <x v="0"/>
    <s v="16"/>
    <x v="0"/>
    <x v="9"/>
    <x v="2"/>
    <n v="-166"/>
    <x v="0"/>
  </r>
  <r>
    <x v="0"/>
    <x v="0"/>
    <x v="4"/>
    <x v="0"/>
    <x v="0"/>
    <x v="1"/>
    <s v="21"/>
    <x v="0"/>
    <x v="9"/>
    <x v="10"/>
    <n v="1150000"/>
    <x v="0"/>
  </r>
  <r>
    <x v="0"/>
    <x v="0"/>
    <x v="4"/>
    <x v="0"/>
    <x v="0"/>
    <x v="0"/>
    <s v="24"/>
    <x v="0"/>
    <x v="9"/>
    <x v="1"/>
    <n v="-5592527.0899999999"/>
    <x v="0"/>
  </r>
  <r>
    <x v="0"/>
    <x v="0"/>
    <x v="4"/>
    <x v="0"/>
    <x v="0"/>
    <x v="1"/>
    <s v="22"/>
    <x v="0"/>
    <x v="9"/>
    <x v="11"/>
    <n v="-16684.36"/>
    <x v="0"/>
  </r>
  <r>
    <x v="0"/>
    <x v="0"/>
    <x v="4"/>
    <x v="0"/>
    <x v="0"/>
    <x v="0"/>
    <s v="20"/>
    <x v="0"/>
    <x v="9"/>
    <x v="0"/>
    <n v="60"/>
    <x v="0"/>
  </r>
  <r>
    <x v="0"/>
    <x v="0"/>
    <x v="4"/>
    <x v="0"/>
    <x v="0"/>
    <x v="1"/>
    <s v="21"/>
    <x v="0"/>
    <x v="9"/>
    <x v="8"/>
    <n v="101782.02"/>
    <x v="0"/>
  </r>
  <r>
    <x v="0"/>
    <x v="0"/>
    <x v="4"/>
    <x v="0"/>
    <x v="0"/>
    <x v="0"/>
    <s v="24"/>
    <x v="0"/>
    <x v="9"/>
    <x v="9"/>
    <n v="930346.16"/>
    <x v="0"/>
  </r>
  <r>
    <x v="0"/>
    <x v="0"/>
    <x v="4"/>
    <x v="0"/>
    <x v="0"/>
    <x v="0"/>
    <s v="24"/>
    <x v="0"/>
    <x v="9"/>
    <x v="5"/>
    <n v="-554938.36"/>
    <x v="0"/>
  </r>
  <r>
    <x v="0"/>
    <x v="0"/>
    <x v="4"/>
    <x v="0"/>
    <x v="0"/>
    <x v="1"/>
    <s v="22"/>
    <x v="0"/>
    <x v="9"/>
    <x v="5"/>
    <n v="-306143.55"/>
    <x v="0"/>
  </r>
  <r>
    <x v="0"/>
    <x v="0"/>
    <x v="4"/>
    <x v="0"/>
    <x v="0"/>
    <x v="0"/>
    <s v="24"/>
    <x v="0"/>
    <x v="9"/>
    <x v="10"/>
    <n v="23038702.02"/>
    <x v="0"/>
  </r>
  <r>
    <x v="0"/>
    <x v="0"/>
    <x v="4"/>
    <x v="0"/>
    <x v="0"/>
    <x v="0"/>
    <s v="24"/>
    <x v="0"/>
    <x v="9"/>
    <x v="7"/>
    <n v="-5861599.2699999996"/>
    <x v="0"/>
  </r>
  <r>
    <x v="0"/>
    <x v="0"/>
    <x v="4"/>
    <x v="0"/>
    <x v="0"/>
    <x v="1"/>
    <s v="22"/>
    <x v="0"/>
    <x v="9"/>
    <x v="7"/>
    <n v="-145.06"/>
    <x v="0"/>
  </r>
  <r>
    <x v="0"/>
    <x v="0"/>
    <x v="4"/>
    <x v="0"/>
    <x v="0"/>
    <x v="1"/>
    <s v="21"/>
    <x v="0"/>
    <x v="9"/>
    <x v="5"/>
    <n v="300000"/>
    <x v="0"/>
  </r>
  <r>
    <x v="0"/>
    <x v="0"/>
    <x v="4"/>
    <x v="0"/>
    <x v="0"/>
    <x v="1"/>
    <s v="21"/>
    <x v="0"/>
    <x v="9"/>
    <x v="7"/>
    <n v="878.43"/>
    <x v="0"/>
  </r>
  <r>
    <x v="0"/>
    <x v="0"/>
    <x v="4"/>
    <x v="0"/>
    <x v="0"/>
    <x v="3"/>
    <s v="41"/>
    <x v="0"/>
    <x v="9"/>
    <x v="9"/>
    <n v="1004.61"/>
    <x v="1"/>
  </r>
  <r>
    <x v="0"/>
    <x v="0"/>
    <x v="4"/>
    <x v="0"/>
    <x v="0"/>
    <x v="1"/>
    <s v="21"/>
    <x v="0"/>
    <x v="9"/>
    <x v="2"/>
    <n v="5000"/>
    <x v="0"/>
  </r>
  <r>
    <x v="0"/>
    <x v="0"/>
    <x v="4"/>
    <x v="0"/>
    <x v="0"/>
    <x v="1"/>
    <s v="21"/>
    <x v="0"/>
    <x v="9"/>
    <x v="11"/>
    <n v="52792"/>
    <x v="0"/>
  </r>
  <r>
    <x v="0"/>
    <x v="0"/>
    <x v="4"/>
    <x v="0"/>
    <x v="0"/>
    <x v="1"/>
    <s v="22"/>
    <x v="0"/>
    <x v="9"/>
    <x v="8"/>
    <n v="-9519.5499999999993"/>
    <x v="0"/>
  </r>
  <r>
    <x v="0"/>
    <x v="0"/>
    <x v="4"/>
    <x v="0"/>
    <x v="0"/>
    <x v="1"/>
    <s v="21"/>
    <x v="0"/>
    <x v="9"/>
    <x v="0"/>
    <n v="2310722.4300000002"/>
    <x v="0"/>
  </r>
  <r>
    <x v="0"/>
    <x v="0"/>
    <x v="4"/>
    <x v="0"/>
    <x v="0"/>
    <x v="1"/>
    <s v="22"/>
    <x v="0"/>
    <x v="9"/>
    <x v="0"/>
    <n v="-403657"/>
    <x v="0"/>
  </r>
  <r>
    <x v="0"/>
    <x v="0"/>
    <x v="4"/>
    <x v="0"/>
    <x v="0"/>
    <x v="1"/>
    <s v="22"/>
    <x v="0"/>
    <x v="9"/>
    <x v="1"/>
    <n v="-29200"/>
    <x v="0"/>
  </r>
  <r>
    <x v="0"/>
    <x v="0"/>
    <x v="4"/>
    <x v="0"/>
    <x v="0"/>
    <x v="1"/>
    <s v="22"/>
    <x v="0"/>
    <x v="9"/>
    <x v="9"/>
    <n v="-295690.15000000002"/>
    <x v="0"/>
  </r>
  <r>
    <x v="0"/>
    <x v="0"/>
    <x v="4"/>
    <x v="0"/>
    <x v="0"/>
    <x v="1"/>
    <s v="22"/>
    <x v="0"/>
    <x v="9"/>
    <x v="10"/>
    <n v="-150000"/>
    <x v="0"/>
  </r>
  <r>
    <x v="0"/>
    <x v="0"/>
    <x v="3"/>
    <x v="0"/>
    <x v="0"/>
    <x v="0"/>
    <s v="01"/>
    <x v="0"/>
    <x v="9"/>
    <x v="3"/>
    <n v="77605"/>
    <x v="0"/>
  </r>
  <r>
    <x v="0"/>
    <x v="0"/>
    <x v="3"/>
    <x v="0"/>
    <x v="0"/>
    <x v="0"/>
    <s v="01"/>
    <x v="0"/>
    <x v="9"/>
    <x v="4"/>
    <n v="116919.61"/>
    <x v="0"/>
  </r>
  <r>
    <x v="0"/>
    <x v="0"/>
    <x v="3"/>
    <x v="0"/>
    <x v="0"/>
    <x v="0"/>
    <s v="01"/>
    <x v="0"/>
    <x v="9"/>
    <x v="5"/>
    <n v="100939.94"/>
    <x v="0"/>
  </r>
  <r>
    <x v="0"/>
    <x v="0"/>
    <x v="3"/>
    <x v="0"/>
    <x v="0"/>
    <x v="0"/>
    <s v="01"/>
    <x v="0"/>
    <x v="9"/>
    <x v="7"/>
    <n v="117665.13"/>
    <x v="0"/>
  </r>
  <r>
    <x v="0"/>
    <x v="0"/>
    <x v="3"/>
    <x v="0"/>
    <x v="0"/>
    <x v="0"/>
    <s v="01"/>
    <x v="0"/>
    <x v="9"/>
    <x v="6"/>
    <n v="96834.1"/>
    <x v="0"/>
  </r>
  <r>
    <x v="0"/>
    <x v="0"/>
    <x v="3"/>
    <x v="0"/>
    <x v="0"/>
    <x v="0"/>
    <s v="01"/>
    <x v="0"/>
    <x v="9"/>
    <x v="2"/>
    <n v="89340.15"/>
    <x v="0"/>
  </r>
  <r>
    <x v="0"/>
    <x v="0"/>
    <x v="3"/>
    <x v="0"/>
    <x v="0"/>
    <x v="0"/>
    <s v="09"/>
    <x v="0"/>
    <x v="9"/>
    <x v="1"/>
    <n v="13871.19"/>
    <x v="0"/>
  </r>
  <r>
    <x v="0"/>
    <x v="0"/>
    <x v="3"/>
    <x v="0"/>
    <x v="0"/>
    <x v="0"/>
    <s v="01"/>
    <x v="0"/>
    <x v="9"/>
    <x v="11"/>
    <n v="96778.13"/>
    <x v="0"/>
  </r>
  <r>
    <x v="0"/>
    <x v="0"/>
    <x v="3"/>
    <x v="0"/>
    <x v="0"/>
    <x v="0"/>
    <s v="09"/>
    <x v="0"/>
    <x v="9"/>
    <x v="10"/>
    <n v="11974.22"/>
    <x v="0"/>
  </r>
  <r>
    <x v="0"/>
    <x v="0"/>
    <x v="3"/>
    <x v="0"/>
    <x v="0"/>
    <x v="0"/>
    <s v="01"/>
    <x v="0"/>
    <x v="9"/>
    <x v="8"/>
    <n v="99547.39"/>
    <x v="0"/>
  </r>
  <r>
    <x v="0"/>
    <x v="0"/>
    <x v="3"/>
    <x v="0"/>
    <x v="0"/>
    <x v="0"/>
    <s v="01"/>
    <x v="0"/>
    <x v="9"/>
    <x v="0"/>
    <n v="467461.77"/>
    <x v="0"/>
  </r>
  <r>
    <x v="0"/>
    <x v="0"/>
    <x v="3"/>
    <x v="0"/>
    <x v="0"/>
    <x v="0"/>
    <s v="24"/>
    <x v="0"/>
    <x v="9"/>
    <x v="3"/>
    <n v="88688472.209999993"/>
    <x v="0"/>
  </r>
  <r>
    <x v="0"/>
    <x v="0"/>
    <x v="3"/>
    <x v="0"/>
    <x v="0"/>
    <x v="0"/>
    <s v="24"/>
    <x v="0"/>
    <x v="9"/>
    <x v="1"/>
    <n v="6168236.5800000001"/>
    <x v="0"/>
  </r>
  <r>
    <x v="0"/>
    <x v="0"/>
    <x v="3"/>
    <x v="0"/>
    <x v="0"/>
    <x v="0"/>
    <s v="24"/>
    <x v="0"/>
    <x v="9"/>
    <x v="4"/>
    <n v="31369475.23"/>
    <x v="0"/>
  </r>
  <r>
    <x v="0"/>
    <x v="0"/>
    <x v="0"/>
    <x v="0"/>
    <x v="0"/>
    <x v="0"/>
    <s v="99"/>
    <x v="0"/>
    <x v="9"/>
    <x v="0"/>
    <n v="-40487055.109999999"/>
    <x v="0"/>
  </r>
  <r>
    <x v="0"/>
    <x v="0"/>
    <x v="0"/>
    <x v="0"/>
    <x v="0"/>
    <x v="0"/>
    <s v="99"/>
    <x v="0"/>
    <x v="9"/>
    <x v="6"/>
    <n v="52510.8"/>
    <x v="0"/>
  </r>
  <r>
    <x v="0"/>
    <x v="0"/>
    <x v="0"/>
    <x v="0"/>
    <x v="0"/>
    <x v="0"/>
    <s v="41"/>
    <x v="0"/>
    <x v="9"/>
    <x v="0"/>
    <n v="3372.5"/>
    <x v="0"/>
  </r>
  <r>
    <x v="0"/>
    <x v="0"/>
    <x v="0"/>
    <x v="0"/>
    <x v="0"/>
    <x v="0"/>
    <s v="99"/>
    <x v="0"/>
    <x v="9"/>
    <x v="11"/>
    <n v="210231.65"/>
    <x v="0"/>
  </r>
  <r>
    <x v="0"/>
    <x v="0"/>
    <x v="0"/>
    <x v="0"/>
    <x v="0"/>
    <x v="0"/>
    <s v="99"/>
    <x v="0"/>
    <x v="9"/>
    <x v="9"/>
    <n v="29829.78"/>
    <x v="0"/>
  </r>
  <r>
    <x v="0"/>
    <x v="0"/>
    <x v="0"/>
    <x v="0"/>
    <x v="0"/>
    <x v="3"/>
    <s v="41"/>
    <x v="0"/>
    <x v="9"/>
    <x v="7"/>
    <n v="1542.83"/>
    <x v="1"/>
  </r>
  <r>
    <x v="0"/>
    <x v="0"/>
    <x v="0"/>
    <x v="0"/>
    <x v="0"/>
    <x v="3"/>
    <s v="41"/>
    <x v="0"/>
    <x v="9"/>
    <x v="6"/>
    <n v="1124.29"/>
    <x v="1"/>
  </r>
  <r>
    <x v="0"/>
    <x v="0"/>
    <x v="0"/>
    <x v="0"/>
    <x v="0"/>
    <x v="0"/>
    <s v="99"/>
    <x v="0"/>
    <x v="9"/>
    <x v="2"/>
    <n v="1076041.67"/>
    <x v="0"/>
  </r>
  <r>
    <x v="0"/>
    <x v="0"/>
    <x v="0"/>
    <x v="0"/>
    <x v="0"/>
    <x v="3"/>
    <s v="41"/>
    <x v="0"/>
    <x v="9"/>
    <x v="8"/>
    <n v="29850"/>
    <x v="1"/>
  </r>
  <r>
    <x v="0"/>
    <x v="0"/>
    <x v="0"/>
    <x v="0"/>
    <x v="0"/>
    <x v="3"/>
    <s v="41"/>
    <x v="0"/>
    <x v="9"/>
    <x v="9"/>
    <n v="283.23"/>
    <x v="1"/>
  </r>
  <r>
    <x v="0"/>
    <x v="0"/>
    <x v="0"/>
    <x v="0"/>
    <x v="0"/>
    <x v="3"/>
    <s v="41"/>
    <x v="0"/>
    <x v="9"/>
    <x v="11"/>
    <n v="2487.46"/>
    <x v="1"/>
  </r>
  <r>
    <x v="0"/>
    <x v="0"/>
    <x v="0"/>
    <x v="0"/>
    <x v="0"/>
    <x v="3"/>
    <s v="41"/>
    <x v="0"/>
    <x v="9"/>
    <x v="0"/>
    <n v="-2557.46"/>
    <x v="1"/>
  </r>
  <r>
    <x v="0"/>
    <x v="0"/>
    <x v="0"/>
    <x v="0"/>
    <x v="0"/>
    <x v="3"/>
    <s v="41"/>
    <x v="0"/>
    <x v="9"/>
    <x v="10"/>
    <n v="-1124.29"/>
    <x v="1"/>
  </r>
  <r>
    <x v="0"/>
    <x v="0"/>
    <x v="0"/>
    <x v="0"/>
    <x v="0"/>
    <x v="3"/>
    <s v="41"/>
    <x v="0"/>
    <x v="9"/>
    <x v="2"/>
    <n v="-68449"/>
    <x v="1"/>
  </r>
  <r>
    <x v="0"/>
    <x v="0"/>
    <x v="0"/>
    <x v="0"/>
    <x v="0"/>
    <x v="1"/>
    <s v="21"/>
    <x v="0"/>
    <x v="9"/>
    <x v="9"/>
    <n v="130342232.08"/>
    <x v="0"/>
  </r>
  <r>
    <x v="0"/>
    <x v="0"/>
    <x v="0"/>
    <x v="0"/>
    <x v="0"/>
    <x v="1"/>
    <s v="21"/>
    <x v="0"/>
    <x v="9"/>
    <x v="11"/>
    <n v="1270977624.9000001"/>
    <x v="0"/>
  </r>
  <r>
    <x v="0"/>
    <x v="0"/>
    <x v="0"/>
    <x v="0"/>
    <x v="0"/>
    <x v="1"/>
    <s v="21"/>
    <x v="0"/>
    <x v="9"/>
    <x v="7"/>
    <n v="150575201.03"/>
    <x v="0"/>
  </r>
  <r>
    <x v="0"/>
    <x v="0"/>
    <x v="0"/>
    <x v="0"/>
    <x v="0"/>
    <x v="1"/>
    <s v="21"/>
    <x v="0"/>
    <x v="9"/>
    <x v="10"/>
    <n v="18994102.940000001"/>
    <x v="0"/>
  </r>
  <r>
    <x v="0"/>
    <x v="0"/>
    <x v="0"/>
    <x v="0"/>
    <x v="0"/>
    <x v="1"/>
    <s v="22"/>
    <x v="0"/>
    <x v="9"/>
    <x v="9"/>
    <n v="-16629161.380000001"/>
    <x v="0"/>
  </r>
  <r>
    <x v="0"/>
    <x v="0"/>
    <x v="0"/>
    <x v="0"/>
    <x v="0"/>
    <x v="1"/>
    <s v="21"/>
    <x v="0"/>
    <x v="9"/>
    <x v="6"/>
    <n v="466450978.69999999"/>
    <x v="0"/>
  </r>
  <r>
    <x v="0"/>
    <x v="0"/>
    <x v="0"/>
    <x v="0"/>
    <x v="0"/>
    <x v="1"/>
    <s v="22"/>
    <x v="0"/>
    <x v="9"/>
    <x v="10"/>
    <n v="-731693000.72000003"/>
    <x v="0"/>
  </r>
  <r>
    <x v="0"/>
    <x v="0"/>
    <x v="0"/>
    <x v="0"/>
    <x v="0"/>
    <x v="1"/>
    <s v="21"/>
    <x v="0"/>
    <x v="9"/>
    <x v="8"/>
    <n v="173071755.55000001"/>
    <x v="0"/>
  </r>
  <r>
    <x v="0"/>
    <x v="0"/>
    <x v="0"/>
    <x v="0"/>
    <x v="0"/>
    <x v="1"/>
    <s v="22"/>
    <x v="0"/>
    <x v="9"/>
    <x v="7"/>
    <n v="-109114498.17"/>
    <x v="0"/>
  </r>
  <r>
    <x v="0"/>
    <x v="0"/>
    <x v="0"/>
    <x v="0"/>
    <x v="0"/>
    <x v="1"/>
    <s v="21"/>
    <x v="0"/>
    <x v="9"/>
    <x v="0"/>
    <n v="224547509.05000001"/>
    <x v="0"/>
  </r>
  <r>
    <x v="0"/>
    <x v="0"/>
    <x v="0"/>
    <x v="0"/>
    <x v="0"/>
    <x v="1"/>
    <s v="22"/>
    <x v="0"/>
    <x v="9"/>
    <x v="6"/>
    <n v="-184324.49"/>
    <x v="0"/>
  </r>
  <r>
    <x v="0"/>
    <x v="0"/>
    <x v="0"/>
    <x v="0"/>
    <x v="0"/>
    <x v="1"/>
    <s v="22"/>
    <x v="0"/>
    <x v="9"/>
    <x v="11"/>
    <n v="-1270443644.95"/>
    <x v="0"/>
  </r>
  <r>
    <x v="0"/>
    <x v="0"/>
    <x v="0"/>
    <x v="0"/>
    <x v="0"/>
    <x v="1"/>
    <s v="22"/>
    <x v="0"/>
    <x v="9"/>
    <x v="8"/>
    <n v="-99463286.870000005"/>
    <x v="0"/>
  </r>
  <r>
    <x v="0"/>
    <x v="0"/>
    <x v="0"/>
    <x v="0"/>
    <x v="0"/>
    <x v="1"/>
    <s v="22"/>
    <x v="0"/>
    <x v="9"/>
    <x v="0"/>
    <n v="-207431487.66999999"/>
    <x v="0"/>
  </r>
  <r>
    <x v="0"/>
    <x v="0"/>
    <x v="1"/>
    <x v="0"/>
    <x v="0"/>
    <x v="0"/>
    <s v="09"/>
    <x v="0"/>
    <x v="9"/>
    <x v="8"/>
    <n v="729301.43"/>
    <x v="0"/>
  </r>
  <r>
    <x v="0"/>
    <x v="0"/>
    <x v="1"/>
    <x v="0"/>
    <x v="0"/>
    <x v="0"/>
    <s v="09"/>
    <x v="0"/>
    <x v="9"/>
    <x v="5"/>
    <n v="699296.88"/>
    <x v="0"/>
  </r>
  <r>
    <x v="0"/>
    <x v="0"/>
    <x v="1"/>
    <x v="0"/>
    <x v="0"/>
    <x v="0"/>
    <s v="09"/>
    <x v="0"/>
    <x v="9"/>
    <x v="0"/>
    <n v="997354.29"/>
    <x v="0"/>
  </r>
  <r>
    <x v="0"/>
    <x v="0"/>
    <x v="1"/>
    <x v="0"/>
    <x v="0"/>
    <x v="0"/>
    <s v="24"/>
    <x v="0"/>
    <x v="9"/>
    <x v="5"/>
    <n v="48042.23"/>
    <x v="0"/>
  </r>
  <r>
    <x v="0"/>
    <x v="0"/>
    <x v="1"/>
    <x v="0"/>
    <x v="0"/>
    <x v="0"/>
    <s v="24"/>
    <x v="0"/>
    <x v="9"/>
    <x v="3"/>
    <n v="139941085.37"/>
    <x v="0"/>
  </r>
  <r>
    <x v="0"/>
    <x v="0"/>
    <x v="1"/>
    <x v="0"/>
    <x v="0"/>
    <x v="0"/>
    <s v="24"/>
    <x v="0"/>
    <x v="9"/>
    <x v="7"/>
    <n v="-13388889.25"/>
    <x v="0"/>
  </r>
  <r>
    <x v="0"/>
    <x v="0"/>
    <x v="1"/>
    <x v="0"/>
    <x v="0"/>
    <x v="0"/>
    <s v="24"/>
    <x v="0"/>
    <x v="9"/>
    <x v="6"/>
    <n v="3768385.78"/>
    <x v="0"/>
  </r>
  <r>
    <x v="0"/>
    <x v="0"/>
    <x v="1"/>
    <x v="0"/>
    <x v="0"/>
    <x v="0"/>
    <s v="24"/>
    <x v="0"/>
    <x v="9"/>
    <x v="2"/>
    <n v="-250089.42"/>
    <x v="0"/>
  </r>
  <r>
    <x v="0"/>
    <x v="0"/>
    <x v="1"/>
    <x v="0"/>
    <x v="0"/>
    <x v="0"/>
    <s v="24"/>
    <x v="0"/>
    <x v="9"/>
    <x v="11"/>
    <n v="729508.98"/>
    <x v="0"/>
  </r>
  <r>
    <x v="0"/>
    <x v="0"/>
    <x v="1"/>
    <x v="0"/>
    <x v="0"/>
    <x v="0"/>
    <s v="09"/>
    <x v="0"/>
    <x v="9"/>
    <x v="7"/>
    <n v="632069.42000000004"/>
    <x v="0"/>
  </r>
  <r>
    <x v="0"/>
    <x v="0"/>
    <x v="1"/>
    <x v="0"/>
    <x v="0"/>
    <x v="0"/>
    <s v="24"/>
    <x v="0"/>
    <x v="9"/>
    <x v="0"/>
    <n v="-148142.67000000001"/>
    <x v="0"/>
  </r>
  <r>
    <x v="0"/>
    <x v="0"/>
    <x v="1"/>
    <x v="0"/>
    <x v="0"/>
    <x v="0"/>
    <s v="24"/>
    <x v="0"/>
    <x v="9"/>
    <x v="1"/>
    <n v="-3921471.3"/>
    <x v="0"/>
  </r>
  <r>
    <x v="0"/>
    <x v="0"/>
    <x v="1"/>
    <x v="0"/>
    <x v="0"/>
    <x v="0"/>
    <s v="73"/>
    <x v="0"/>
    <x v="9"/>
    <x v="0"/>
    <n v="-45729.59"/>
    <x v="0"/>
  </r>
  <r>
    <x v="0"/>
    <x v="0"/>
    <x v="1"/>
    <x v="0"/>
    <x v="0"/>
    <x v="0"/>
    <s v="24"/>
    <x v="0"/>
    <x v="9"/>
    <x v="4"/>
    <n v="-7598241.96"/>
    <x v="0"/>
  </r>
  <r>
    <x v="0"/>
    <x v="0"/>
    <x v="1"/>
    <x v="0"/>
    <x v="0"/>
    <x v="0"/>
    <s v="24"/>
    <x v="0"/>
    <x v="9"/>
    <x v="9"/>
    <n v="130712205.72"/>
    <x v="0"/>
  </r>
  <r>
    <x v="0"/>
    <x v="0"/>
    <x v="1"/>
    <x v="0"/>
    <x v="0"/>
    <x v="0"/>
    <s v="24"/>
    <x v="0"/>
    <x v="9"/>
    <x v="10"/>
    <n v="89336.98"/>
    <x v="0"/>
  </r>
  <r>
    <x v="0"/>
    <x v="0"/>
    <x v="1"/>
    <x v="0"/>
    <x v="0"/>
    <x v="0"/>
    <s v="73"/>
    <x v="0"/>
    <x v="9"/>
    <x v="5"/>
    <n v="-52767.78"/>
    <x v="0"/>
  </r>
  <r>
    <x v="0"/>
    <x v="0"/>
    <x v="1"/>
    <x v="0"/>
    <x v="0"/>
    <x v="0"/>
    <s v="24"/>
    <x v="0"/>
    <x v="9"/>
    <x v="8"/>
    <n v="-11668.5"/>
    <x v="0"/>
  </r>
  <r>
    <x v="0"/>
    <x v="0"/>
    <x v="1"/>
    <x v="0"/>
    <x v="0"/>
    <x v="0"/>
    <s v="73"/>
    <x v="0"/>
    <x v="9"/>
    <x v="7"/>
    <n v="-48418.080000000002"/>
    <x v="0"/>
  </r>
  <r>
    <x v="0"/>
    <x v="0"/>
    <x v="1"/>
    <x v="0"/>
    <x v="0"/>
    <x v="1"/>
    <s v="22"/>
    <x v="0"/>
    <x v="9"/>
    <x v="1"/>
    <n v="-1874606.25"/>
    <x v="0"/>
  </r>
  <r>
    <x v="0"/>
    <x v="0"/>
    <x v="1"/>
    <x v="0"/>
    <x v="0"/>
    <x v="1"/>
    <s v="22"/>
    <x v="0"/>
    <x v="9"/>
    <x v="10"/>
    <n v="-3049589.25"/>
    <x v="0"/>
  </r>
  <r>
    <x v="0"/>
    <x v="0"/>
    <x v="1"/>
    <x v="0"/>
    <x v="0"/>
    <x v="0"/>
    <s v="73"/>
    <x v="0"/>
    <x v="9"/>
    <x v="8"/>
    <n v="-48700.62"/>
    <x v="0"/>
  </r>
  <r>
    <x v="0"/>
    <x v="0"/>
    <x v="5"/>
    <x v="0"/>
    <x v="0"/>
    <x v="0"/>
    <s v="13"/>
    <x v="0"/>
    <x v="9"/>
    <x v="4"/>
    <n v="-636610"/>
    <x v="0"/>
  </r>
  <r>
    <x v="0"/>
    <x v="0"/>
    <x v="5"/>
    <x v="0"/>
    <x v="0"/>
    <x v="0"/>
    <s v="20"/>
    <x v="0"/>
    <x v="9"/>
    <x v="7"/>
    <n v="30553.360000000001"/>
    <x v="0"/>
  </r>
  <r>
    <x v="0"/>
    <x v="0"/>
    <x v="5"/>
    <x v="0"/>
    <x v="0"/>
    <x v="0"/>
    <s v="13"/>
    <x v="0"/>
    <x v="9"/>
    <x v="0"/>
    <n v="636610"/>
    <x v="0"/>
  </r>
  <r>
    <x v="0"/>
    <x v="0"/>
    <x v="5"/>
    <x v="0"/>
    <x v="0"/>
    <x v="0"/>
    <s v="24"/>
    <x v="0"/>
    <x v="9"/>
    <x v="1"/>
    <n v="700321.63"/>
    <x v="0"/>
  </r>
  <r>
    <x v="0"/>
    <x v="0"/>
    <x v="5"/>
    <x v="0"/>
    <x v="0"/>
    <x v="0"/>
    <s v="24"/>
    <x v="0"/>
    <x v="9"/>
    <x v="9"/>
    <n v="16426771.609999999"/>
    <x v="0"/>
  </r>
  <r>
    <x v="0"/>
    <x v="0"/>
    <x v="5"/>
    <x v="0"/>
    <x v="0"/>
    <x v="0"/>
    <s v="24"/>
    <x v="0"/>
    <x v="9"/>
    <x v="10"/>
    <n v="13490283"/>
    <x v="0"/>
  </r>
  <r>
    <x v="0"/>
    <x v="0"/>
    <x v="5"/>
    <x v="0"/>
    <x v="0"/>
    <x v="0"/>
    <s v="24"/>
    <x v="0"/>
    <x v="9"/>
    <x v="3"/>
    <n v="1964713.53"/>
    <x v="0"/>
  </r>
  <r>
    <x v="0"/>
    <x v="0"/>
    <x v="5"/>
    <x v="0"/>
    <x v="0"/>
    <x v="0"/>
    <s v="24"/>
    <x v="0"/>
    <x v="9"/>
    <x v="4"/>
    <n v="14483396.26"/>
    <x v="0"/>
  </r>
  <r>
    <x v="0"/>
    <x v="0"/>
    <x v="5"/>
    <x v="0"/>
    <x v="0"/>
    <x v="0"/>
    <s v="30"/>
    <x v="0"/>
    <x v="9"/>
    <x v="1"/>
    <n v="49501.46"/>
    <x v="0"/>
  </r>
  <r>
    <x v="0"/>
    <x v="0"/>
    <x v="5"/>
    <x v="0"/>
    <x v="0"/>
    <x v="0"/>
    <s v="09"/>
    <x v="0"/>
    <x v="9"/>
    <x v="4"/>
    <n v="-77290"/>
    <x v="0"/>
  </r>
  <r>
    <x v="0"/>
    <x v="0"/>
    <x v="5"/>
    <x v="0"/>
    <x v="0"/>
    <x v="0"/>
    <s v="24"/>
    <x v="0"/>
    <x v="9"/>
    <x v="6"/>
    <n v="-43773.36"/>
    <x v="0"/>
  </r>
  <r>
    <x v="0"/>
    <x v="0"/>
    <x v="5"/>
    <x v="0"/>
    <x v="0"/>
    <x v="0"/>
    <s v="30"/>
    <x v="0"/>
    <x v="9"/>
    <x v="9"/>
    <n v="40"/>
    <x v="0"/>
  </r>
  <r>
    <x v="0"/>
    <x v="0"/>
    <x v="5"/>
    <x v="0"/>
    <x v="0"/>
    <x v="0"/>
    <s v="09"/>
    <x v="0"/>
    <x v="9"/>
    <x v="0"/>
    <n v="3260783"/>
    <x v="0"/>
  </r>
  <r>
    <x v="0"/>
    <x v="0"/>
    <x v="5"/>
    <x v="0"/>
    <x v="0"/>
    <x v="0"/>
    <s v="24"/>
    <x v="0"/>
    <x v="9"/>
    <x v="11"/>
    <n v="-29564.67"/>
    <x v="0"/>
  </r>
  <r>
    <x v="0"/>
    <x v="0"/>
    <x v="5"/>
    <x v="0"/>
    <x v="0"/>
    <x v="0"/>
    <s v="30"/>
    <x v="0"/>
    <x v="9"/>
    <x v="10"/>
    <n v="56906.96"/>
    <x v="0"/>
  </r>
  <r>
    <x v="0"/>
    <x v="0"/>
    <x v="5"/>
    <x v="0"/>
    <x v="0"/>
    <x v="0"/>
    <s v="20"/>
    <x v="0"/>
    <x v="9"/>
    <x v="8"/>
    <n v="7968"/>
    <x v="0"/>
  </r>
  <r>
    <x v="0"/>
    <x v="0"/>
    <x v="5"/>
    <x v="0"/>
    <x v="0"/>
    <x v="0"/>
    <s v="24"/>
    <x v="0"/>
    <x v="9"/>
    <x v="5"/>
    <n v="1128546.81"/>
    <x v="0"/>
  </r>
  <r>
    <x v="0"/>
    <x v="0"/>
    <x v="5"/>
    <x v="0"/>
    <x v="0"/>
    <x v="0"/>
    <s v="24"/>
    <x v="0"/>
    <x v="9"/>
    <x v="7"/>
    <n v="597303.19999999995"/>
    <x v="0"/>
  </r>
  <r>
    <x v="0"/>
    <x v="0"/>
    <x v="5"/>
    <x v="0"/>
    <x v="0"/>
    <x v="0"/>
    <s v="30"/>
    <x v="0"/>
    <x v="9"/>
    <x v="3"/>
    <n v="8741.36"/>
    <x v="0"/>
  </r>
  <r>
    <x v="0"/>
    <x v="0"/>
    <x v="5"/>
    <x v="0"/>
    <x v="0"/>
    <x v="0"/>
    <s v="99"/>
    <x v="0"/>
    <x v="9"/>
    <x v="5"/>
    <n v="1000"/>
    <x v="0"/>
  </r>
  <r>
    <x v="0"/>
    <x v="0"/>
    <x v="5"/>
    <x v="0"/>
    <x v="0"/>
    <x v="0"/>
    <s v="24"/>
    <x v="0"/>
    <x v="9"/>
    <x v="8"/>
    <n v="313860.47999999998"/>
    <x v="0"/>
  </r>
  <r>
    <x v="0"/>
    <x v="0"/>
    <x v="5"/>
    <x v="0"/>
    <x v="0"/>
    <x v="0"/>
    <s v="24"/>
    <x v="0"/>
    <x v="9"/>
    <x v="2"/>
    <n v="-50884.97"/>
    <x v="0"/>
  </r>
  <r>
    <x v="0"/>
    <x v="0"/>
    <x v="5"/>
    <x v="0"/>
    <x v="0"/>
    <x v="0"/>
    <s v="30"/>
    <x v="0"/>
    <x v="9"/>
    <x v="4"/>
    <n v="9855.6299999999992"/>
    <x v="0"/>
  </r>
  <r>
    <x v="0"/>
    <x v="0"/>
    <x v="5"/>
    <x v="0"/>
    <x v="0"/>
    <x v="0"/>
    <s v="99"/>
    <x v="0"/>
    <x v="9"/>
    <x v="2"/>
    <n v="-1000"/>
    <x v="0"/>
  </r>
  <r>
    <x v="0"/>
    <x v="0"/>
    <x v="5"/>
    <x v="0"/>
    <x v="0"/>
    <x v="0"/>
    <s v="24"/>
    <x v="0"/>
    <x v="9"/>
    <x v="0"/>
    <n v="-338331.45"/>
    <x v="0"/>
  </r>
  <r>
    <x v="0"/>
    <x v="0"/>
    <x v="5"/>
    <x v="0"/>
    <x v="0"/>
    <x v="0"/>
    <s v="30"/>
    <x v="0"/>
    <x v="9"/>
    <x v="7"/>
    <n v="93934.19"/>
    <x v="0"/>
  </r>
  <r>
    <x v="0"/>
    <x v="0"/>
    <x v="5"/>
    <x v="0"/>
    <x v="0"/>
    <x v="0"/>
    <s v="30"/>
    <x v="0"/>
    <x v="9"/>
    <x v="11"/>
    <n v="30"/>
    <x v="0"/>
  </r>
  <r>
    <x v="0"/>
    <x v="0"/>
    <x v="5"/>
    <x v="0"/>
    <x v="0"/>
    <x v="1"/>
    <s v="21"/>
    <x v="0"/>
    <x v="9"/>
    <x v="0"/>
    <n v="7564652.1399999997"/>
    <x v="0"/>
  </r>
  <r>
    <x v="0"/>
    <x v="0"/>
    <x v="5"/>
    <x v="0"/>
    <x v="0"/>
    <x v="0"/>
    <s v="30"/>
    <x v="0"/>
    <x v="9"/>
    <x v="8"/>
    <n v="230"/>
    <x v="0"/>
  </r>
  <r>
    <x v="0"/>
    <x v="0"/>
    <x v="5"/>
    <x v="0"/>
    <x v="0"/>
    <x v="0"/>
    <s v="30"/>
    <x v="0"/>
    <x v="9"/>
    <x v="0"/>
    <n v="38087.56"/>
    <x v="0"/>
  </r>
  <r>
    <x v="0"/>
    <x v="0"/>
    <x v="5"/>
    <x v="0"/>
    <x v="0"/>
    <x v="0"/>
    <s v="30"/>
    <x v="0"/>
    <x v="9"/>
    <x v="5"/>
    <n v="24120.400000000001"/>
    <x v="0"/>
  </r>
  <r>
    <x v="0"/>
    <x v="0"/>
    <x v="5"/>
    <x v="0"/>
    <x v="0"/>
    <x v="3"/>
    <s v="41"/>
    <x v="0"/>
    <x v="9"/>
    <x v="3"/>
    <n v="10000"/>
    <x v="1"/>
  </r>
  <r>
    <x v="0"/>
    <x v="0"/>
    <x v="5"/>
    <x v="0"/>
    <x v="0"/>
    <x v="3"/>
    <s v="41"/>
    <x v="0"/>
    <x v="9"/>
    <x v="8"/>
    <n v="2450"/>
    <x v="1"/>
  </r>
  <r>
    <x v="0"/>
    <x v="0"/>
    <x v="5"/>
    <x v="0"/>
    <x v="0"/>
    <x v="3"/>
    <s v="41"/>
    <x v="0"/>
    <x v="9"/>
    <x v="0"/>
    <n v="17457.509999999998"/>
    <x v="1"/>
  </r>
  <r>
    <x v="0"/>
    <x v="1"/>
    <x v="4"/>
    <x v="0"/>
    <x v="0"/>
    <x v="0"/>
    <s v="20"/>
    <x v="0"/>
    <x v="9"/>
    <x v="0"/>
    <n v="-60"/>
    <x v="0"/>
  </r>
  <r>
    <x v="0"/>
    <x v="0"/>
    <x v="3"/>
    <x v="0"/>
    <x v="0"/>
    <x v="0"/>
    <s v="09"/>
    <x v="0"/>
    <x v="9"/>
    <x v="2"/>
    <n v="351.03"/>
    <x v="0"/>
  </r>
  <r>
    <x v="0"/>
    <x v="0"/>
    <x v="3"/>
    <x v="0"/>
    <x v="0"/>
    <x v="0"/>
    <s v="24"/>
    <x v="0"/>
    <x v="9"/>
    <x v="9"/>
    <n v="18162471.940000001"/>
    <x v="0"/>
  </r>
  <r>
    <x v="0"/>
    <x v="0"/>
    <x v="3"/>
    <x v="0"/>
    <x v="0"/>
    <x v="0"/>
    <s v="24"/>
    <x v="0"/>
    <x v="9"/>
    <x v="6"/>
    <n v="74431111.049999997"/>
    <x v="0"/>
  </r>
  <r>
    <x v="0"/>
    <x v="0"/>
    <x v="3"/>
    <x v="0"/>
    <x v="0"/>
    <x v="0"/>
    <s v="24"/>
    <x v="0"/>
    <x v="9"/>
    <x v="10"/>
    <n v="26452623.059999999"/>
    <x v="0"/>
  </r>
  <r>
    <x v="0"/>
    <x v="0"/>
    <x v="3"/>
    <x v="0"/>
    <x v="0"/>
    <x v="0"/>
    <s v="24"/>
    <x v="0"/>
    <x v="9"/>
    <x v="8"/>
    <n v="-1497261.21"/>
    <x v="0"/>
  </r>
  <r>
    <x v="0"/>
    <x v="0"/>
    <x v="3"/>
    <x v="0"/>
    <x v="0"/>
    <x v="0"/>
    <s v="01"/>
    <x v="0"/>
    <x v="9"/>
    <x v="1"/>
    <n v="255997.67"/>
    <x v="0"/>
  </r>
  <r>
    <x v="0"/>
    <x v="0"/>
    <x v="3"/>
    <x v="0"/>
    <x v="0"/>
    <x v="0"/>
    <s v="24"/>
    <x v="0"/>
    <x v="9"/>
    <x v="0"/>
    <n v="-65476577.920000002"/>
    <x v="0"/>
  </r>
  <r>
    <x v="0"/>
    <x v="0"/>
    <x v="3"/>
    <x v="0"/>
    <x v="0"/>
    <x v="0"/>
    <s v="24"/>
    <x v="0"/>
    <x v="9"/>
    <x v="5"/>
    <n v="1053619.72"/>
    <x v="0"/>
  </r>
  <r>
    <x v="0"/>
    <x v="0"/>
    <x v="3"/>
    <x v="0"/>
    <x v="0"/>
    <x v="0"/>
    <s v="30"/>
    <x v="0"/>
    <x v="9"/>
    <x v="3"/>
    <n v="12456.67"/>
    <x v="0"/>
  </r>
  <r>
    <x v="0"/>
    <x v="0"/>
    <x v="3"/>
    <x v="0"/>
    <x v="0"/>
    <x v="0"/>
    <s v="01"/>
    <x v="0"/>
    <x v="9"/>
    <x v="9"/>
    <n v="-30211.46"/>
    <x v="0"/>
  </r>
  <r>
    <x v="0"/>
    <x v="0"/>
    <x v="3"/>
    <x v="0"/>
    <x v="0"/>
    <x v="0"/>
    <s v="24"/>
    <x v="0"/>
    <x v="9"/>
    <x v="7"/>
    <n v="1418932.64"/>
    <x v="0"/>
  </r>
  <r>
    <x v="0"/>
    <x v="0"/>
    <x v="3"/>
    <x v="0"/>
    <x v="0"/>
    <x v="0"/>
    <s v="30"/>
    <x v="0"/>
    <x v="9"/>
    <x v="4"/>
    <n v="-345.9"/>
    <x v="0"/>
  </r>
  <r>
    <x v="0"/>
    <x v="0"/>
    <x v="3"/>
    <x v="0"/>
    <x v="0"/>
    <x v="0"/>
    <s v="01"/>
    <x v="0"/>
    <x v="9"/>
    <x v="10"/>
    <n v="97660.57"/>
    <x v="0"/>
  </r>
  <r>
    <x v="0"/>
    <x v="0"/>
    <x v="3"/>
    <x v="0"/>
    <x v="0"/>
    <x v="0"/>
    <s v="30"/>
    <x v="0"/>
    <x v="9"/>
    <x v="11"/>
    <n v="37649.980000000003"/>
    <x v="0"/>
  </r>
  <r>
    <x v="0"/>
    <x v="0"/>
    <x v="3"/>
    <x v="0"/>
    <x v="0"/>
    <x v="0"/>
    <s v="30"/>
    <x v="0"/>
    <x v="9"/>
    <x v="6"/>
    <n v="-6870.83"/>
    <x v="0"/>
  </r>
  <r>
    <x v="0"/>
    <x v="0"/>
    <x v="3"/>
    <x v="0"/>
    <x v="0"/>
    <x v="0"/>
    <s v="30"/>
    <x v="0"/>
    <x v="9"/>
    <x v="8"/>
    <n v="-63154.48"/>
    <x v="0"/>
  </r>
  <r>
    <x v="0"/>
    <x v="0"/>
    <x v="3"/>
    <x v="0"/>
    <x v="0"/>
    <x v="0"/>
    <s v="09"/>
    <x v="0"/>
    <x v="9"/>
    <x v="4"/>
    <n v="240.3"/>
    <x v="0"/>
  </r>
  <r>
    <x v="0"/>
    <x v="0"/>
    <x v="3"/>
    <x v="0"/>
    <x v="0"/>
    <x v="0"/>
    <s v="30"/>
    <x v="0"/>
    <x v="9"/>
    <x v="0"/>
    <n v="-4100.8"/>
    <x v="0"/>
  </r>
  <r>
    <x v="0"/>
    <x v="0"/>
    <x v="3"/>
    <x v="0"/>
    <x v="0"/>
    <x v="0"/>
    <s v="24"/>
    <x v="1"/>
    <x v="9"/>
    <x v="0"/>
    <n v="2096298.78"/>
    <x v="0"/>
  </r>
  <r>
    <x v="0"/>
    <x v="0"/>
    <x v="3"/>
    <x v="0"/>
    <x v="0"/>
    <x v="0"/>
    <s v="99"/>
    <x v="1"/>
    <x v="9"/>
    <x v="0"/>
    <n v="642472.09"/>
    <x v="0"/>
  </r>
  <r>
    <x v="0"/>
    <x v="0"/>
    <x v="3"/>
    <x v="0"/>
    <x v="0"/>
    <x v="0"/>
    <s v="09"/>
    <x v="0"/>
    <x v="9"/>
    <x v="6"/>
    <n v="214232.6"/>
    <x v="0"/>
  </r>
  <r>
    <x v="0"/>
    <x v="0"/>
    <x v="3"/>
    <x v="0"/>
    <x v="0"/>
    <x v="0"/>
    <s v="30"/>
    <x v="0"/>
    <x v="9"/>
    <x v="1"/>
    <n v="-2846.85"/>
    <x v="0"/>
  </r>
  <r>
    <x v="0"/>
    <x v="0"/>
    <x v="3"/>
    <x v="0"/>
    <x v="0"/>
    <x v="0"/>
    <s v="09"/>
    <x v="0"/>
    <x v="9"/>
    <x v="11"/>
    <n v="12998.33"/>
    <x v="0"/>
  </r>
  <r>
    <x v="0"/>
    <x v="0"/>
    <x v="3"/>
    <x v="0"/>
    <x v="0"/>
    <x v="0"/>
    <s v="30"/>
    <x v="0"/>
    <x v="9"/>
    <x v="9"/>
    <n v="-8225.4699999999993"/>
    <x v="0"/>
  </r>
  <r>
    <x v="0"/>
    <x v="0"/>
    <x v="3"/>
    <x v="0"/>
    <x v="0"/>
    <x v="0"/>
    <s v="09"/>
    <x v="0"/>
    <x v="9"/>
    <x v="8"/>
    <n v="29.09"/>
    <x v="0"/>
  </r>
  <r>
    <x v="0"/>
    <x v="0"/>
    <x v="3"/>
    <x v="0"/>
    <x v="0"/>
    <x v="0"/>
    <s v="30"/>
    <x v="0"/>
    <x v="9"/>
    <x v="10"/>
    <n v="7564.86"/>
    <x v="0"/>
  </r>
  <r>
    <x v="0"/>
    <x v="0"/>
    <x v="3"/>
    <x v="0"/>
    <x v="0"/>
    <x v="0"/>
    <s v="09"/>
    <x v="0"/>
    <x v="9"/>
    <x v="0"/>
    <n v="790460.75"/>
    <x v="0"/>
  </r>
  <r>
    <x v="0"/>
    <x v="0"/>
    <x v="3"/>
    <x v="0"/>
    <x v="0"/>
    <x v="0"/>
    <s v="99"/>
    <x v="0"/>
    <x v="9"/>
    <x v="0"/>
    <n v="-3055629.55"/>
    <x v="0"/>
  </r>
  <r>
    <x v="0"/>
    <x v="0"/>
    <x v="3"/>
    <x v="0"/>
    <x v="0"/>
    <x v="0"/>
    <s v="24"/>
    <x v="0"/>
    <x v="9"/>
    <x v="11"/>
    <n v="55462904.729999997"/>
    <x v="0"/>
  </r>
  <r>
    <x v="0"/>
    <x v="0"/>
    <x v="3"/>
    <x v="0"/>
    <x v="0"/>
    <x v="0"/>
    <s v="99"/>
    <x v="2"/>
    <x v="9"/>
    <x v="0"/>
    <n v="2413157.46"/>
    <x v="0"/>
  </r>
  <r>
    <x v="0"/>
    <x v="0"/>
    <x v="3"/>
    <x v="0"/>
    <x v="0"/>
    <x v="0"/>
    <s v="24"/>
    <x v="0"/>
    <x v="9"/>
    <x v="2"/>
    <n v="64041396.719999999"/>
    <x v="0"/>
  </r>
  <r>
    <x v="0"/>
    <x v="0"/>
    <x v="3"/>
    <x v="0"/>
    <x v="0"/>
    <x v="1"/>
    <s v="21"/>
    <x v="0"/>
    <x v="9"/>
    <x v="6"/>
    <n v="32716.54"/>
    <x v="0"/>
  </r>
  <r>
    <x v="0"/>
    <x v="0"/>
    <x v="3"/>
    <x v="0"/>
    <x v="0"/>
    <x v="1"/>
    <s v="21"/>
    <x v="0"/>
    <x v="9"/>
    <x v="0"/>
    <n v="516837.07"/>
    <x v="0"/>
  </r>
  <r>
    <x v="0"/>
    <x v="0"/>
    <x v="3"/>
    <x v="0"/>
    <x v="0"/>
    <x v="0"/>
    <s v="24"/>
    <x v="2"/>
    <x v="9"/>
    <x v="0"/>
    <n v="990628.42"/>
    <x v="0"/>
  </r>
  <r>
    <x v="0"/>
    <x v="0"/>
    <x v="3"/>
    <x v="0"/>
    <x v="0"/>
    <x v="0"/>
    <s v="30"/>
    <x v="0"/>
    <x v="9"/>
    <x v="5"/>
    <n v="-10690.4"/>
    <x v="0"/>
  </r>
  <r>
    <x v="0"/>
    <x v="0"/>
    <x v="3"/>
    <x v="0"/>
    <x v="0"/>
    <x v="0"/>
    <s v="30"/>
    <x v="0"/>
    <x v="9"/>
    <x v="7"/>
    <n v="-8686.2999999999993"/>
    <x v="0"/>
  </r>
  <r>
    <x v="0"/>
    <x v="0"/>
    <x v="3"/>
    <x v="0"/>
    <x v="0"/>
    <x v="0"/>
    <s v="30"/>
    <x v="0"/>
    <x v="9"/>
    <x v="2"/>
    <n v="63391.73"/>
    <x v="0"/>
  </r>
  <r>
    <x v="0"/>
    <x v="0"/>
    <x v="3"/>
    <x v="0"/>
    <x v="0"/>
    <x v="1"/>
    <s v="21"/>
    <x v="0"/>
    <x v="7"/>
    <x v="5"/>
    <n v="2320105.3199999998"/>
    <x v="0"/>
  </r>
  <r>
    <x v="0"/>
    <x v="0"/>
    <x v="3"/>
    <x v="0"/>
    <x v="0"/>
    <x v="0"/>
    <s v="30"/>
    <x v="0"/>
    <x v="8"/>
    <x v="0"/>
    <n v="7524"/>
    <x v="0"/>
  </r>
  <r>
    <x v="0"/>
    <x v="0"/>
    <x v="3"/>
    <x v="0"/>
    <x v="0"/>
    <x v="0"/>
    <s v="30"/>
    <x v="0"/>
    <x v="7"/>
    <x v="8"/>
    <n v="33136.47"/>
    <x v="0"/>
  </r>
  <r>
    <x v="0"/>
    <x v="0"/>
    <x v="3"/>
    <x v="0"/>
    <x v="0"/>
    <x v="0"/>
    <s v="40"/>
    <x v="0"/>
    <x v="7"/>
    <x v="5"/>
    <n v="-3879.71"/>
    <x v="0"/>
  </r>
  <r>
    <x v="0"/>
    <x v="0"/>
    <x v="3"/>
    <x v="0"/>
    <x v="0"/>
    <x v="1"/>
    <s v="21"/>
    <x v="0"/>
    <x v="7"/>
    <x v="7"/>
    <n v="1636260.96"/>
    <x v="0"/>
  </r>
  <r>
    <x v="0"/>
    <x v="0"/>
    <x v="3"/>
    <x v="0"/>
    <x v="0"/>
    <x v="0"/>
    <s v="90"/>
    <x v="0"/>
    <x v="8"/>
    <x v="5"/>
    <n v="0.02"/>
    <x v="0"/>
  </r>
  <r>
    <x v="0"/>
    <x v="0"/>
    <x v="3"/>
    <x v="0"/>
    <x v="0"/>
    <x v="0"/>
    <s v="30"/>
    <x v="0"/>
    <x v="7"/>
    <x v="0"/>
    <n v="-114738.09"/>
    <x v="0"/>
  </r>
  <r>
    <x v="0"/>
    <x v="0"/>
    <x v="3"/>
    <x v="0"/>
    <x v="0"/>
    <x v="0"/>
    <s v="90"/>
    <x v="0"/>
    <x v="8"/>
    <x v="1"/>
    <n v="-0.02"/>
    <x v="0"/>
  </r>
  <r>
    <x v="0"/>
    <x v="0"/>
    <x v="3"/>
    <x v="0"/>
    <x v="0"/>
    <x v="1"/>
    <s v="21"/>
    <x v="0"/>
    <x v="8"/>
    <x v="11"/>
    <n v="1200000"/>
    <x v="0"/>
  </r>
  <r>
    <x v="0"/>
    <x v="0"/>
    <x v="3"/>
    <x v="0"/>
    <x v="0"/>
    <x v="0"/>
    <s v="99"/>
    <x v="0"/>
    <x v="7"/>
    <x v="4"/>
    <n v="12059.6"/>
    <x v="0"/>
  </r>
  <r>
    <x v="0"/>
    <x v="0"/>
    <x v="3"/>
    <x v="0"/>
    <x v="0"/>
    <x v="0"/>
    <s v="30"/>
    <x v="0"/>
    <x v="8"/>
    <x v="4"/>
    <n v="27836.25"/>
    <x v="0"/>
  </r>
  <r>
    <x v="0"/>
    <x v="0"/>
    <x v="3"/>
    <x v="0"/>
    <x v="0"/>
    <x v="0"/>
    <s v="99"/>
    <x v="0"/>
    <x v="7"/>
    <x v="3"/>
    <n v="228.24"/>
    <x v="0"/>
  </r>
  <r>
    <x v="0"/>
    <x v="0"/>
    <x v="3"/>
    <x v="0"/>
    <x v="0"/>
    <x v="1"/>
    <s v="21"/>
    <x v="0"/>
    <x v="8"/>
    <x v="0"/>
    <n v="5967497"/>
    <x v="0"/>
  </r>
  <r>
    <x v="0"/>
    <x v="0"/>
    <x v="3"/>
    <x v="0"/>
    <x v="0"/>
    <x v="0"/>
    <s v="99"/>
    <x v="0"/>
    <x v="7"/>
    <x v="10"/>
    <n v="-5123.7299999999996"/>
    <x v="0"/>
  </r>
  <r>
    <x v="0"/>
    <x v="0"/>
    <x v="3"/>
    <x v="0"/>
    <x v="0"/>
    <x v="0"/>
    <s v="30"/>
    <x v="0"/>
    <x v="8"/>
    <x v="6"/>
    <n v="9400"/>
    <x v="0"/>
  </r>
  <r>
    <x v="0"/>
    <x v="0"/>
    <x v="3"/>
    <x v="0"/>
    <x v="0"/>
    <x v="0"/>
    <s v="99"/>
    <x v="0"/>
    <x v="7"/>
    <x v="6"/>
    <n v="56"/>
    <x v="0"/>
  </r>
  <r>
    <x v="0"/>
    <x v="0"/>
    <x v="3"/>
    <x v="0"/>
    <x v="0"/>
    <x v="0"/>
    <s v="99"/>
    <x v="0"/>
    <x v="7"/>
    <x v="8"/>
    <n v="727.55"/>
    <x v="0"/>
  </r>
  <r>
    <x v="0"/>
    <x v="0"/>
    <x v="3"/>
    <x v="0"/>
    <x v="0"/>
    <x v="0"/>
    <s v="30"/>
    <x v="0"/>
    <x v="8"/>
    <x v="11"/>
    <n v="2700"/>
    <x v="0"/>
  </r>
  <r>
    <x v="0"/>
    <x v="0"/>
    <x v="3"/>
    <x v="0"/>
    <x v="0"/>
    <x v="0"/>
    <s v="99"/>
    <x v="0"/>
    <x v="7"/>
    <x v="0"/>
    <n v="-403482.73"/>
    <x v="0"/>
  </r>
  <r>
    <x v="0"/>
    <x v="0"/>
    <x v="3"/>
    <x v="0"/>
    <x v="0"/>
    <x v="0"/>
    <s v="99"/>
    <x v="0"/>
    <x v="8"/>
    <x v="1"/>
    <n v="67.900000000000006"/>
    <x v="0"/>
  </r>
  <r>
    <x v="0"/>
    <x v="0"/>
    <x v="3"/>
    <x v="0"/>
    <x v="0"/>
    <x v="0"/>
    <s v="99"/>
    <x v="0"/>
    <x v="7"/>
    <x v="1"/>
    <n v="6166.96"/>
    <x v="0"/>
  </r>
  <r>
    <x v="0"/>
    <x v="0"/>
    <x v="3"/>
    <x v="0"/>
    <x v="0"/>
    <x v="1"/>
    <s v="21"/>
    <x v="0"/>
    <x v="7"/>
    <x v="11"/>
    <n v="933226.7"/>
    <x v="0"/>
  </r>
  <r>
    <x v="0"/>
    <x v="0"/>
    <x v="3"/>
    <x v="0"/>
    <x v="0"/>
    <x v="1"/>
    <s v="21"/>
    <x v="0"/>
    <x v="7"/>
    <x v="6"/>
    <n v="1142710.95"/>
    <x v="0"/>
  </r>
  <r>
    <x v="0"/>
    <x v="0"/>
    <x v="3"/>
    <x v="0"/>
    <x v="0"/>
    <x v="0"/>
    <s v="99"/>
    <x v="0"/>
    <x v="7"/>
    <x v="9"/>
    <n v="6502.47"/>
    <x v="0"/>
  </r>
  <r>
    <x v="0"/>
    <x v="0"/>
    <x v="3"/>
    <x v="0"/>
    <x v="0"/>
    <x v="1"/>
    <s v="21"/>
    <x v="0"/>
    <x v="7"/>
    <x v="2"/>
    <n v="113053.52"/>
    <x v="0"/>
  </r>
  <r>
    <x v="0"/>
    <x v="0"/>
    <x v="3"/>
    <x v="0"/>
    <x v="0"/>
    <x v="1"/>
    <s v="21"/>
    <x v="0"/>
    <x v="7"/>
    <x v="8"/>
    <n v="-333478.87"/>
    <x v="0"/>
  </r>
  <r>
    <x v="0"/>
    <x v="0"/>
    <x v="3"/>
    <x v="0"/>
    <x v="0"/>
    <x v="1"/>
    <s v="21"/>
    <x v="0"/>
    <x v="7"/>
    <x v="1"/>
    <n v="3344644.15"/>
    <x v="0"/>
  </r>
  <r>
    <x v="0"/>
    <x v="0"/>
    <x v="3"/>
    <x v="0"/>
    <x v="0"/>
    <x v="1"/>
    <s v="21"/>
    <x v="0"/>
    <x v="8"/>
    <x v="8"/>
    <n v="8157.57"/>
    <x v="0"/>
  </r>
  <r>
    <x v="0"/>
    <x v="0"/>
    <x v="3"/>
    <x v="0"/>
    <x v="0"/>
    <x v="1"/>
    <s v="21"/>
    <x v="0"/>
    <x v="7"/>
    <x v="0"/>
    <n v="4535014.2"/>
    <x v="0"/>
  </r>
  <r>
    <x v="0"/>
    <x v="0"/>
    <x v="3"/>
    <x v="0"/>
    <x v="0"/>
    <x v="1"/>
    <s v="21"/>
    <x v="0"/>
    <x v="7"/>
    <x v="9"/>
    <n v="1500000"/>
    <x v="0"/>
  </r>
  <r>
    <x v="0"/>
    <x v="0"/>
    <x v="3"/>
    <x v="0"/>
    <x v="0"/>
    <x v="1"/>
    <s v="21"/>
    <x v="0"/>
    <x v="8"/>
    <x v="1"/>
    <n v="562125.03"/>
    <x v="0"/>
  </r>
  <r>
    <x v="0"/>
    <x v="0"/>
    <x v="3"/>
    <x v="0"/>
    <x v="0"/>
    <x v="1"/>
    <s v="21"/>
    <x v="0"/>
    <x v="7"/>
    <x v="10"/>
    <n v="2634315.81"/>
    <x v="0"/>
  </r>
  <r>
    <x v="0"/>
    <x v="0"/>
    <x v="3"/>
    <x v="0"/>
    <x v="0"/>
    <x v="1"/>
    <s v="21"/>
    <x v="0"/>
    <x v="8"/>
    <x v="9"/>
    <n v="943199.98"/>
    <x v="0"/>
  </r>
  <r>
    <x v="0"/>
    <x v="0"/>
    <x v="3"/>
    <x v="0"/>
    <x v="0"/>
    <x v="1"/>
    <s v="21"/>
    <x v="0"/>
    <x v="8"/>
    <x v="7"/>
    <n v="5221231.53"/>
    <x v="0"/>
  </r>
  <r>
    <x v="0"/>
    <x v="0"/>
    <x v="3"/>
    <x v="0"/>
    <x v="0"/>
    <x v="1"/>
    <s v="21"/>
    <x v="0"/>
    <x v="8"/>
    <x v="2"/>
    <n v="33132.410000000003"/>
    <x v="0"/>
  </r>
  <r>
    <x v="1"/>
    <x v="2"/>
    <x v="0"/>
    <x v="0"/>
    <x v="0"/>
    <x v="0"/>
    <s v="24"/>
    <x v="0"/>
    <x v="10"/>
    <x v="1"/>
    <n v="251176650"/>
    <x v="0"/>
  </r>
  <r>
    <x v="1"/>
    <x v="2"/>
    <x v="0"/>
    <x v="0"/>
    <x v="0"/>
    <x v="0"/>
    <s v="24"/>
    <x v="0"/>
    <x v="10"/>
    <x v="9"/>
    <n v="236824070"/>
    <x v="0"/>
  </r>
  <r>
    <x v="1"/>
    <x v="2"/>
    <x v="0"/>
    <x v="0"/>
    <x v="0"/>
    <x v="0"/>
    <s v="24"/>
    <x v="0"/>
    <x v="10"/>
    <x v="10"/>
    <n v="229647280"/>
    <x v="0"/>
  </r>
  <r>
    <x v="1"/>
    <x v="2"/>
    <x v="1"/>
    <x v="0"/>
    <x v="0"/>
    <x v="0"/>
    <s v="09"/>
    <x v="0"/>
    <x v="10"/>
    <x v="2"/>
    <n v="94000"/>
    <x v="0"/>
  </r>
  <r>
    <x v="1"/>
    <x v="2"/>
    <x v="1"/>
    <x v="0"/>
    <x v="0"/>
    <x v="0"/>
    <s v="09"/>
    <x v="0"/>
    <x v="10"/>
    <x v="6"/>
    <n v="56000"/>
    <x v="0"/>
  </r>
  <r>
    <x v="1"/>
    <x v="2"/>
    <x v="1"/>
    <x v="0"/>
    <x v="0"/>
    <x v="0"/>
    <s v="09"/>
    <x v="0"/>
    <x v="10"/>
    <x v="11"/>
    <n v="43000"/>
    <x v="0"/>
  </r>
  <r>
    <x v="1"/>
    <x v="2"/>
    <x v="1"/>
    <x v="0"/>
    <x v="0"/>
    <x v="0"/>
    <s v="09"/>
    <x v="0"/>
    <x v="10"/>
    <x v="0"/>
    <n v="67000"/>
    <x v="0"/>
  </r>
  <r>
    <x v="1"/>
    <x v="2"/>
    <x v="1"/>
    <x v="0"/>
    <x v="0"/>
    <x v="0"/>
    <s v="24"/>
    <x v="0"/>
    <x v="10"/>
    <x v="7"/>
    <n v="-11082000"/>
    <x v="0"/>
  </r>
  <r>
    <x v="1"/>
    <x v="2"/>
    <x v="1"/>
    <x v="0"/>
    <x v="0"/>
    <x v="0"/>
    <s v="73"/>
    <x v="0"/>
    <x v="10"/>
    <x v="2"/>
    <n v="-39000"/>
    <x v="0"/>
  </r>
  <r>
    <x v="1"/>
    <x v="2"/>
    <x v="1"/>
    <x v="0"/>
    <x v="0"/>
    <x v="0"/>
    <s v="24"/>
    <x v="0"/>
    <x v="10"/>
    <x v="5"/>
    <n v="1897000"/>
    <x v="0"/>
  </r>
  <r>
    <x v="1"/>
    <x v="2"/>
    <x v="1"/>
    <x v="0"/>
    <x v="0"/>
    <x v="1"/>
    <s v="22"/>
    <x v="0"/>
    <x v="10"/>
    <x v="1"/>
    <n v="-2405000"/>
    <x v="0"/>
  </r>
  <r>
    <x v="1"/>
    <x v="2"/>
    <x v="1"/>
    <x v="0"/>
    <x v="0"/>
    <x v="0"/>
    <s v="24"/>
    <x v="0"/>
    <x v="10"/>
    <x v="2"/>
    <n v="-21000"/>
    <x v="0"/>
  </r>
  <r>
    <x v="1"/>
    <x v="2"/>
    <x v="1"/>
    <x v="0"/>
    <x v="0"/>
    <x v="0"/>
    <s v="24"/>
    <x v="0"/>
    <x v="10"/>
    <x v="3"/>
    <n v="138021000"/>
    <x v="0"/>
  </r>
  <r>
    <x v="1"/>
    <x v="2"/>
    <x v="1"/>
    <x v="0"/>
    <x v="0"/>
    <x v="1"/>
    <s v="22"/>
    <x v="0"/>
    <x v="10"/>
    <x v="10"/>
    <n v="-2405000"/>
    <x v="0"/>
  </r>
  <r>
    <x v="1"/>
    <x v="2"/>
    <x v="1"/>
    <x v="0"/>
    <x v="0"/>
    <x v="0"/>
    <s v="24"/>
    <x v="0"/>
    <x v="10"/>
    <x v="1"/>
    <n v="-5639000"/>
    <x v="0"/>
  </r>
  <r>
    <x v="1"/>
    <x v="2"/>
    <x v="1"/>
    <x v="0"/>
    <x v="0"/>
    <x v="0"/>
    <s v="24"/>
    <x v="0"/>
    <x v="10"/>
    <x v="4"/>
    <n v="-4528000"/>
    <x v="0"/>
  </r>
  <r>
    <x v="1"/>
    <x v="2"/>
    <x v="1"/>
    <x v="0"/>
    <x v="0"/>
    <x v="0"/>
    <s v="24"/>
    <x v="0"/>
    <x v="10"/>
    <x v="9"/>
    <n v="130581000"/>
    <x v="0"/>
  </r>
  <r>
    <x v="1"/>
    <x v="2"/>
    <x v="1"/>
    <x v="0"/>
    <x v="0"/>
    <x v="0"/>
    <s v="24"/>
    <x v="0"/>
    <x v="10"/>
    <x v="6"/>
    <n v="1259000"/>
    <x v="0"/>
  </r>
  <r>
    <x v="1"/>
    <x v="2"/>
    <x v="1"/>
    <x v="0"/>
    <x v="0"/>
    <x v="0"/>
    <s v="73"/>
    <x v="0"/>
    <x v="10"/>
    <x v="6"/>
    <n v="-27000"/>
    <x v="0"/>
  </r>
  <r>
    <x v="1"/>
    <x v="2"/>
    <x v="1"/>
    <x v="0"/>
    <x v="0"/>
    <x v="0"/>
    <s v="24"/>
    <x v="0"/>
    <x v="10"/>
    <x v="10"/>
    <n v="-2998000"/>
    <x v="0"/>
  </r>
  <r>
    <x v="1"/>
    <x v="2"/>
    <x v="1"/>
    <x v="0"/>
    <x v="0"/>
    <x v="0"/>
    <s v="24"/>
    <x v="0"/>
    <x v="10"/>
    <x v="11"/>
    <n v="-290000"/>
    <x v="0"/>
  </r>
  <r>
    <x v="1"/>
    <x v="2"/>
    <x v="1"/>
    <x v="0"/>
    <x v="0"/>
    <x v="0"/>
    <s v="73"/>
    <x v="0"/>
    <x v="10"/>
    <x v="11"/>
    <n v="-15000"/>
    <x v="0"/>
  </r>
  <r>
    <x v="1"/>
    <x v="2"/>
    <x v="1"/>
    <x v="0"/>
    <x v="0"/>
    <x v="0"/>
    <s v="73"/>
    <x v="0"/>
    <x v="10"/>
    <x v="7"/>
    <n v="-7000"/>
    <x v="0"/>
  </r>
  <r>
    <x v="1"/>
    <x v="2"/>
    <x v="1"/>
    <x v="0"/>
    <x v="0"/>
    <x v="0"/>
    <s v="24"/>
    <x v="0"/>
    <x v="10"/>
    <x v="8"/>
    <n v="-2000"/>
    <x v="0"/>
  </r>
  <r>
    <x v="1"/>
    <x v="2"/>
    <x v="1"/>
    <x v="0"/>
    <x v="0"/>
    <x v="0"/>
    <s v="73"/>
    <x v="0"/>
    <x v="10"/>
    <x v="0"/>
    <n v="-27000"/>
    <x v="0"/>
  </r>
  <r>
    <x v="1"/>
    <x v="2"/>
    <x v="1"/>
    <x v="0"/>
    <x v="0"/>
    <x v="0"/>
    <s v="24"/>
    <x v="0"/>
    <x v="10"/>
    <x v="0"/>
    <n v="-698000"/>
    <x v="0"/>
  </r>
  <r>
    <x v="1"/>
    <x v="2"/>
    <x v="5"/>
    <x v="0"/>
    <x v="0"/>
    <x v="0"/>
    <s v="24"/>
    <x v="0"/>
    <x v="10"/>
    <x v="7"/>
    <n v="15982380"/>
    <x v="0"/>
  </r>
  <r>
    <x v="1"/>
    <x v="2"/>
    <x v="5"/>
    <x v="0"/>
    <x v="0"/>
    <x v="0"/>
    <s v="24"/>
    <x v="0"/>
    <x v="10"/>
    <x v="8"/>
    <n v="14102100"/>
    <x v="0"/>
  </r>
  <r>
    <x v="1"/>
    <x v="2"/>
    <x v="5"/>
    <x v="0"/>
    <x v="0"/>
    <x v="0"/>
    <s v="24"/>
    <x v="0"/>
    <x v="10"/>
    <x v="1"/>
    <n v="16922520"/>
    <x v="0"/>
  </r>
  <r>
    <x v="1"/>
    <x v="2"/>
    <x v="6"/>
    <x v="0"/>
    <x v="0"/>
    <x v="0"/>
    <s v="24"/>
    <x v="0"/>
    <x v="10"/>
    <x v="7"/>
    <n v="21251010"/>
    <x v="0"/>
  </r>
  <r>
    <x v="1"/>
    <x v="2"/>
    <x v="6"/>
    <x v="0"/>
    <x v="0"/>
    <x v="0"/>
    <s v="24"/>
    <x v="0"/>
    <x v="10"/>
    <x v="8"/>
    <n v="20607040"/>
    <x v="0"/>
  </r>
  <r>
    <x v="1"/>
    <x v="2"/>
    <x v="6"/>
    <x v="0"/>
    <x v="0"/>
    <x v="0"/>
    <s v="24"/>
    <x v="0"/>
    <x v="10"/>
    <x v="1"/>
    <n v="22538950"/>
    <x v="0"/>
  </r>
  <r>
    <x v="1"/>
    <x v="2"/>
    <x v="2"/>
    <x v="0"/>
    <x v="0"/>
    <x v="0"/>
    <s v="24"/>
    <x v="0"/>
    <x v="10"/>
    <x v="9"/>
    <n v="11754270"/>
    <x v="0"/>
  </r>
  <r>
    <x v="1"/>
    <x v="2"/>
    <x v="2"/>
    <x v="0"/>
    <x v="0"/>
    <x v="0"/>
    <s v="24"/>
    <x v="0"/>
    <x v="10"/>
    <x v="10"/>
    <n v="10616760"/>
    <x v="0"/>
  </r>
  <r>
    <x v="1"/>
    <x v="2"/>
    <x v="2"/>
    <x v="0"/>
    <x v="0"/>
    <x v="0"/>
    <s v="24"/>
    <x v="0"/>
    <x v="10"/>
    <x v="8"/>
    <n v="1516680"/>
    <x v="0"/>
  </r>
  <r>
    <x v="1"/>
    <x v="2"/>
    <x v="2"/>
    <x v="0"/>
    <x v="0"/>
    <x v="0"/>
    <s v="24"/>
    <x v="0"/>
    <x v="10"/>
    <x v="4"/>
    <n v="14029290"/>
    <x v="0"/>
  </r>
  <r>
    <x v="1"/>
    <x v="2"/>
    <x v="2"/>
    <x v="0"/>
    <x v="0"/>
    <x v="0"/>
    <s v="24"/>
    <x v="0"/>
    <x v="10"/>
    <x v="5"/>
    <n v="379170"/>
    <x v="0"/>
  </r>
  <r>
    <x v="1"/>
    <x v="2"/>
    <x v="2"/>
    <x v="0"/>
    <x v="0"/>
    <x v="0"/>
    <s v="24"/>
    <x v="0"/>
    <x v="10"/>
    <x v="1"/>
    <n v="-1137510"/>
    <x v="0"/>
  </r>
  <r>
    <x v="1"/>
    <x v="2"/>
    <x v="2"/>
    <x v="0"/>
    <x v="0"/>
    <x v="0"/>
    <s v="24"/>
    <x v="0"/>
    <x v="10"/>
    <x v="7"/>
    <n v="758340"/>
    <x v="0"/>
  </r>
  <r>
    <x v="1"/>
    <x v="2"/>
    <x v="4"/>
    <x v="0"/>
    <x v="0"/>
    <x v="0"/>
    <s v="24"/>
    <x v="0"/>
    <x v="10"/>
    <x v="8"/>
    <n v="30060666"/>
    <x v="0"/>
  </r>
  <r>
    <x v="1"/>
    <x v="2"/>
    <x v="4"/>
    <x v="0"/>
    <x v="0"/>
    <x v="0"/>
    <s v="24"/>
    <x v="0"/>
    <x v="10"/>
    <x v="7"/>
    <n v="30060667"/>
    <x v="0"/>
  </r>
  <r>
    <x v="1"/>
    <x v="2"/>
    <x v="4"/>
    <x v="0"/>
    <x v="0"/>
    <x v="0"/>
    <s v="24"/>
    <x v="0"/>
    <x v="10"/>
    <x v="1"/>
    <n v="30293667"/>
    <x v="0"/>
  </r>
  <r>
    <x v="1"/>
    <x v="2"/>
    <x v="3"/>
    <x v="0"/>
    <x v="0"/>
    <x v="0"/>
    <s v="24"/>
    <x v="0"/>
    <x v="10"/>
    <x v="5"/>
    <n v="1608000"/>
    <x v="0"/>
  </r>
  <r>
    <x v="1"/>
    <x v="2"/>
    <x v="3"/>
    <x v="0"/>
    <x v="0"/>
    <x v="0"/>
    <s v="24"/>
    <x v="0"/>
    <x v="10"/>
    <x v="7"/>
    <n v="3313000"/>
    <x v="0"/>
  </r>
  <r>
    <x v="1"/>
    <x v="2"/>
    <x v="3"/>
    <x v="0"/>
    <x v="0"/>
    <x v="0"/>
    <s v="24"/>
    <x v="0"/>
    <x v="10"/>
    <x v="3"/>
    <n v="72886000"/>
    <x v="0"/>
  </r>
  <r>
    <x v="1"/>
    <x v="2"/>
    <x v="3"/>
    <x v="0"/>
    <x v="0"/>
    <x v="0"/>
    <s v="24"/>
    <x v="0"/>
    <x v="10"/>
    <x v="2"/>
    <n v="48499000"/>
    <x v="0"/>
  </r>
  <r>
    <x v="1"/>
    <x v="2"/>
    <x v="3"/>
    <x v="0"/>
    <x v="0"/>
    <x v="0"/>
    <s v="24"/>
    <x v="0"/>
    <x v="10"/>
    <x v="4"/>
    <n v="28963000"/>
    <x v="0"/>
  </r>
  <r>
    <x v="1"/>
    <x v="2"/>
    <x v="3"/>
    <x v="0"/>
    <x v="0"/>
    <x v="0"/>
    <s v="24"/>
    <x v="0"/>
    <x v="10"/>
    <x v="6"/>
    <n v="54301000"/>
    <x v="0"/>
  </r>
  <r>
    <x v="1"/>
    <x v="2"/>
    <x v="3"/>
    <x v="0"/>
    <x v="0"/>
    <x v="0"/>
    <s v="24"/>
    <x v="0"/>
    <x v="10"/>
    <x v="11"/>
    <n v="41143000"/>
    <x v="0"/>
  </r>
  <r>
    <x v="0"/>
    <x v="0"/>
    <x v="5"/>
    <x v="0"/>
    <x v="0"/>
    <x v="1"/>
    <s v="21"/>
    <x v="0"/>
    <x v="9"/>
    <x v="2"/>
    <n v="-7004654.1399999997"/>
    <x v="0"/>
  </r>
  <r>
    <x v="0"/>
    <x v="0"/>
    <x v="5"/>
    <x v="0"/>
    <x v="0"/>
    <x v="1"/>
    <s v="22"/>
    <x v="0"/>
    <x v="9"/>
    <x v="0"/>
    <n v="-7342472.1600000001"/>
    <x v="0"/>
  </r>
  <r>
    <x v="0"/>
    <x v="0"/>
    <x v="6"/>
    <x v="0"/>
    <x v="0"/>
    <x v="0"/>
    <s v="02"/>
    <x v="0"/>
    <x v="9"/>
    <x v="11"/>
    <n v="174.17"/>
    <x v="0"/>
  </r>
  <r>
    <x v="0"/>
    <x v="0"/>
    <x v="6"/>
    <x v="0"/>
    <x v="0"/>
    <x v="0"/>
    <s v="02"/>
    <x v="0"/>
    <x v="9"/>
    <x v="5"/>
    <n v="759.97"/>
    <x v="0"/>
  </r>
  <r>
    <x v="0"/>
    <x v="0"/>
    <x v="6"/>
    <x v="0"/>
    <x v="0"/>
    <x v="0"/>
    <s v="02"/>
    <x v="0"/>
    <x v="9"/>
    <x v="4"/>
    <n v="291.87"/>
    <x v="0"/>
  </r>
  <r>
    <x v="0"/>
    <x v="0"/>
    <x v="6"/>
    <x v="0"/>
    <x v="0"/>
    <x v="0"/>
    <s v="02"/>
    <x v="0"/>
    <x v="9"/>
    <x v="1"/>
    <n v="340.52"/>
    <x v="0"/>
  </r>
  <r>
    <x v="0"/>
    <x v="0"/>
    <x v="6"/>
    <x v="0"/>
    <x v="0"/>
    <x v="0"/>
    <s v="02"/>
    <x v="0"/>
    <x v="9"/>
    <x v="2"/>
    <n v="31.67"/>
    <x v="0"/>
  </r>
  <r>
    <x v="0"/>
    <x v="0"/>
    <x v="6"/>
    <x v="0"/>
    <x v="0"/>
    <x v="0"/>
    <s v="02"/>
    <x v="0"/>
    <x v="9"/>
    <x v="7"/>
    <n v="142.49"/>
    <x v="0"/>
  </r>
  <r>
    <x v="0"/>
    <x v="0"/>
    <x v="6"/>
    <x v="0"/>
    <x v="0"/>
    <x v="0"/>
    <s v="02"/>
    <x v="0"/>
    <x v="9"/>
    <x v="6"/>
    <n v="379.98"/>
    <x v="0"/>
  </r>
  <r>
    <x v="0"/>
    <x v="0"/>
    <x v="6"/>
    <x v="0"/>
    <x v="0"/>
    <x v="0"/>
    <s v="02"/>
    <x v="0"/>
    <x v="9"/>
    <x v="9"/>
    <n v="-15.83"/>
    <x v="0"/>
  </r>
  <r>
    <x v="0"/>
    <x v="0"/>
    <x v="6"/>
    <x v="0"/>
    <x v="0"/>
    <x v="0"/>
    <s v="02"/>
    <x v="0"/>
    <x v="9"/>
    <x v="8"/>
    <n v="95"/>
    <x v="0"/>
  </r>
  <r>
    <x v="0"/>
    <x v="0"/>
    <x v="6"/>
    <x v="0"/>
    <x v="0"/>
    <x v="0"/>
    <s v="02"/>
    <x v="0"/>
    <x v="9"/>
    <x v="10"/>
    <n v="554.16"/>
    <x v="0"/>
  </r>
  <r>
    <x v="0"/>
    <x v="0"/>
    <x v="6"/>
    <x v="0"/>
    <x v="0"/>
    <x v="0"/>
    <s v="20"/>
    <x v="0"/>
    <x v="9"/>
    <x v="11"/>
    <n v="-7500"/>
    <x v="0"/>
  </r>
  <r>
    <x v="0"/>
    <x v="0"/>
    <x v="6"/>
    <x v="0"/>
    <x v="0"/>
    <x v="0"/>
    <s v="20"/>
    <x v="0"/>
    <x v="9"/>
    <x v="8"/>
    <n v="-4000"/>
    <x v="0"/>
  </r>
  <r>
    <x v="0"/>
    <x v="0"/>
    <x v="6"/>
    <x v="0"/>
    <x v="0"/>
    <x v="0"/>
    <s v="16"/>
    <x v="0"/>
    <x v="9"/>
    <x v="9"/>
    <n v="365.85"/>
    <x v="0"/>
  </r>
  <r>
    <x v="0"/>
    <x v="0"/>
    <x v="6"/>
    <x v="0"/>
    <x v="0"/>
    <x v="0"/>
    <s v="16"/>
    <x v="0"/>
    <x v="9"/>
    <x v="3"/>
    <n v="640"/>
    <x v="0"/>
  </r>
  <r>
    <x v="0"/>
    <x v="0"/>
    <x v="6"/>
    <x v="0"/>
    <x v="0"/>
    <x v="0"/>
    <s v="20"/>
    <x v="0"/>
    <x v="9"/>
    <x v="1"/>
    <n v="70000"/>
    <x v="0"/>
  </r>
  <r>
    <x v="0"/>
    <x v="0"/>
    <x v="6"/>
    <x v="0"/>
    <x v="0"/>
    <x v="0"/>
    <s v="20"/>
    <x v="0"/>
    <x v="9"/>
    <x v="0"/>
    <n v="1019.7"/>
    <x v="0"/>
  </r>
  <r>
    <x v="0"/>
    <x v="0"/>
    <x v="6"/>
    <x v="0"/>
    <x v="0"/>
    <x v="0"/>
    <s v="20"/>
    <x v="0"/>
    <x v="9"/>
    <x v="5"/>
    <n v="-140000"/>
    <x v="0"/>
  </r>
  <r>
    <x v="0"/>
    <x v="0"/>
    <x v="6"/>
    <x v="0"/>
    <x v="0"/>
    <x v="0"/>
    <s v="20"/>
    <x v="0"/>
    <x v="9"/>
    <x v="6"/>
    <n v="70000"/>
    <x v="0"/>
  </r>
  <r>
    <x v="0"/>
    <x v="0"/>
    <x v="6"/>
    <x v="0"/>
    <x v="0"/>
    <x v="0"/>
    <s v="20"/>
    <x v="0"/>
    <x v="9"/>
    <x v="10"/>
    <n v="5350"/>
    <x v="0"/>
  </r>
  <r>
    <x v="0"/>
    <x v="0"/>
    <x v="6"/>
    <x v="0"/>
    <x v="0"/>
    <x v="0"/>
    <s v="24"/>
    <x v="0"/>
    <x v="9"/>
    <x v="7"/>
    <n v="15777639.08"/>
    <x v="0"/>
  </r>
  <r>
    <x v="0"/>
    <x v="0"/>
    <x v="6"/>
    <x v="0"/>
    <x v="0"/>
    <x v="0"/>
    <s v="20"/>
    <x v="0"/>
    <x v="9"/>
    <x v="7"/>
    <n v="7500"/>
    <x v="0"/>
  </r>
  <r>
    <x v="0"/>
    <x v="0"/>
    <x v="6"/>
    <x v="0"/>
    <x v="0"/>
    <x v="0"/>
    <s v="24"/>
    <x v="0"/>
    <x v="9"/>
    <x v="5"/>
    <n v="-259939.46"/>
    <x v="0"/>
  </r>
  <r>
    <x v="0"/>
    <x v="0"/>
    <x v="6"/>
    <x v="0"/>
    <x v="0"/>
    <x v="0"/>
    <s v="24"/>
    <x v="0"/>
    <x v="9"/>
    <x v="3"/>
    <n v="-18942.59"/>
    <x v="0"/>
  </r>
  <r>
    <x v="0"/>
    <x v="0"/>
    <x v="6"/>
    <x v="0"/>
    <x v="0"/>
    <x v="0"/>
    <s v="24"/>
    <x v="0"/>
    <x v="9"/>
    <x v="2"/>
    <n v="631675.30000000005"/>
    <x v="0"/>
  </r>
  <r>
    <x v="0"/>
    <x v="0"/>
    <x v="6"/>
    <x v="0"/>
    <x v="0"/>
    <x v="0"/>
    <s v="24"/>
    <x v="0"/>
    <x v="9"/>
    <x v="1"/>
    <n v="19021275.59"/>
    <x v="0"/>
  </r>
  <r>
    <x v="0"/>
    <x v="0"/>
    <x v="6"/>
    <x v="0"/>
    <x v="0"/>
    <x v="0"/>
    <s v="24"/>
    <x v="0"/>
    <x v="9"/>
    <x v="8"/>
    <n v="-33439.86"/>
    <x v="0"/>
  </r>
  <r>
    <x v="0"/>
    <x v="0"/>
    <x v="6"/>
    <x v="0"/>
    <x v="0"/>
    <x v="0"/>
    <s v="24"/>
    <x v="0"/>
    <x v="9"/>
    <x v="4"/>
    <n v="-1938355.84"/>
    <x v="0"/>
  </r>
  <r>
    <x v="0"/>
    <x v="0"/>
    <x v="6"/>
    <x v="0"/>
    <x v="0"/>
    <x v="1"/>
    <s v="22"/>
    <x v="0"/>
    <x v="9"/>
    <x v="9"/>
    <n v="-525846"/>
    <x v="0"/>
  </r>
  <r>
    <x v="0"/>
    <x v="0"/>
    <x v="6"/>
    <x v="0"/>
    <x v="0"/>
    <x v="0"/>
    <s v="24"/>
    <x v="0"/>
    <x v="9"/>
    <x v="9"/>
    <n v="-31063.71"/>
    <x v="0"/>
  </r>
  <r>
    <x v="0"/>
    <x v="0"/>
    <x v="6"/>
    <x v="0"/>
    <x v="0"/>
    <x v="0"/>
    <s v="24"/>
    <x v="0"/>
    <x v="9"/>
    <x v="0"/>
    <n v="447695.33"/>
    <x v="0"/>
  </r>
  <r>
    <x v="0"/>
    <x v="0"/>
    <x v="6"/>
    <x v="0"/>
    <x v="0"/>
    <x v="0"/>
    <s v="24"/>
    <x v="0"/>
    <x v="9"/>
    <x v="6"/>
    <n v="-148237.22"/>
    <x v="0"/>
  </r>
  <r>
    <x v="0"/>
    <x v="0"/>
    <x v="6"/>
    <x v="0"/>
    <x v="0"/>
    <x v="1"/>
    <s v="22"/>
    <x v="0"/>
    <x v="9"/>
    <x v="10"/>
    <n v="-40000"/>
    <x v="0"/>
  </r>
  <r>
    <x v="0"/>
    <x v="0"/>
    <x v="6"/>
    <x v="0"/>
    <x v="0"/>
    <x v="0"/>
    <s v="24"/>
    <x v="0"/>
    <x v="9"/>
    <x v="10"/>
    <n v="14672105.58"/>
    <x v="0"/>
  </r>
  <r>
    <x v="0"/>
    <x v="0"/>
    <x v="6"/>
    <x v="0"/>
    <x v="0"/>
    <x v="0"/>
    <s v="24"/>
    <x v="0"/>
    <x v="9"/>
    <x v="11"/>
    <n v="-106534.68"/>
    <x v="0"/>
  </r>
  <r>
    <x v="0"/>
    <x v="0"/>
    <x v="6"/>
    <x v="0"/>
    <x v="0"/>
    <x v="0"/>
    <s v="99"/>
    <x v="0"/>
    <x v="9"/>
    <x v="7"/>
    <n v="376.7"/>
    <x v="0"/>
  </r>
  <r>
    <x v="0"/>
    <x v="0"/>
    <x v="6"/>
    <x v="0"/>
    <x v="0"/>
    <x v="0"/>
    <s v="40"/>
    <x v="0"/>
    <x v="9"/>
    <x v="9"/>
    <n v="2586.7600000000002"/>
    <x v="0"/>
  </r>
  <r>
    <x v="0"/>
    <x v="0"/>
    <x v="6"/>
    <x v="0"/>
    <x v="0"/>
    <x v="1"/>
    <s v="21"/>
    <x v="0"/>
    <x v="9"/>
    <x v="5"/>
    <n v="6032.81"/>
    <x v="0"/>
  </r>
  <r>
    <x v="0"/>
    <x v="0"/>
    <x v="6"/>
    <x v="0"/>
    <x v="0"/>
    <x v="0"/>
    <s v="99"/>
    <x v="0"/>
    <x v="9"/>
    <x v="8"/>
    <n v="-252.78"/>
    <x v="0"/>
  </r>
  <r>
    <x v="0"/>
    <x v="0"/>
    <x v="6"/>
    <x v="0"/>
    <x v="0"/>
    <x v="1"/>
    <s v="21"/>
    <x v="0"/>
    <x v="9"/>
    <x v="9"/>
    <n v="525846"/>
    <x v="0"/>
  </r>
  <r>
    <x v="0"/>
    <x v="0"/>
    <x v="6"/>
    <x v="0"/>
    <x v="0"/>
    <x v="1"/>
    <s v="21"/>
    <x v="0"/>
    <x v="9"/>
    <x v="7"/>
    <n v="140000"/>
    <x v="0"/>
  </r>
  <r>
    <x v="0"/>
    <x v="0"/>
    <x v="6"/>
    <x v="0"/>
    <x v="0"/>
    <x v="1"/>
    <s v="21"/>
    <x v="0"/>
    <x v="9"/>
    <x v="4"/>
    <n v="17301.32"/>
    <x v="0"/>
  </r>
  <r>
    <x v="0"/>
    <x v="0"/>
    <x v="6"/>
    <x v="0"/>
    <x v="0"/>
    <x v="1"/>
    <s v="21"/>
    <x v="0"/>
    <x v="9"/>
    <x v="0"/>
    <n v="14645313.970000001"/>
    <x v="0"/>
  </r>
  <r>
    <x v="0"/>
    <x v="0"/>
    <x v="6"/>
    <x v="0"/>
    <x v="0"/>
    <x v="1"/>
    <s v="21"/>
    <x v="0"/>
    <x v="9"/>
    <x v="10"/>
    <n v="40000"/>
    <x v="0"/>
  </r>
  <r>
    <x v="0"/>
    <x v="0"/>
    <x v="6"/>
    <x v="0"/>
    <x v="0"/>
    <x v="1"/>
    <s v="22"/>
    <x v="0"/>
    <x v="9"/>
    <x v="0"/>
    <n v="-10824940.720000001"/>
    <x v="0"/>
  </r>
  <r>
    <x v="0"/>
    <x v="0"/>
    <x v="6"/>
    <x v="0"/>
    <x v="0"/>
    <x v="1"/>
    <s v="22"/>
    <x v="0"/>
    <x v="9"/>
    <x v="4"/>
    <n v="-160221"/>
    <x v="0"/>
  </r>
  <r>
    <x v="0"/>
    <x v="0"/>
    <x v="6"/>
    <x v="0"/>
    <x v="0"/>
    <x v="1"/>
    <s v="22"/>
    <x v="0"/>
    <x v="9"/>
    <x v="7"/>
    <n v="-140000"/>
    <x v="0"/>
  </r>
  <r>
    <x v="0"/>
    <x v="0"/>
    <x v="2"/>
    <x v="0"/>
    <x v="0"/>
    <x v="0"/>
    <s v="09"/>
    <x v="0"/>
    <x v="9"/>
    <x v="0"/>
    <n v="602122.43000000005"/>
    <x v="0"/>
  </r>
  <r>
    <x v="0"/>
    <x v="0"/>
    <x v="2"/>
    <x v="0"/>
    <x v="0"/>
    <x v="0"/>
    <s v="01"/>
    <x v="0"/>
    <x v="9"/>
    <x v="7"/>
    <n v="285067.95"/>
    <x v="0"/>
  </r>
  <r>
    <x v="0"/>
    <x v="0"/>
    <x v="2"/>
    <x v="0"/>
    <x v="0"/>
    <x v="0"/>
    <s v="20"/>
    <x v="0"/>
    <x v="9"/>
    <x v="10"/>
    <n v="280"/>
    <x v="0"/>
  </r>
  <r>
    <x v="0"/>
    <x v="0"/>
    <x v="2"/>
    <x v="0"/>
    <x v="0"/>
    <x v="0"/>
    <s v="01"/>
    <x v="0"/>
    <x v="9"/>
    <x v="2"/>
    <n v="163202.01999999999"/>
    <x v="0"/>
  </r>
  <r>
    <x v="0"/>
    <x v="0"/>
    <x v="2"/>
    <x v="0"/>
    <x v="0"/>
    <x v="0"/>
    <s v="24"/>
    <x v="0"/>
    <x v="9"/>
    <x v="3"/>
    <n v="-2262.6"/>
    <x v="0"/>
  </r>
  <r>
    <x v="0"/>
    <x v="0"/>
    <x v="2"/>
    <x v="0"/>
    <x v="0"/>
    <x v="0"/>
    <s v="01"/>
    <x v="0"/>
    <x v="9"/>
    <x v="0"/>
    <n v="-448269.97"/>
    <x v="0"/>
  </r>
  <r>
    <x v="0"/>
    <x v="0"/>
    <x v="2"/>
    <x v="0"/>
    <x v="0"/>
    <x v="0"/>
    <s v="20"/>
    <x v="0"/>
    <x v="9"/>
    <x v="7"/>
    <n v="420"/>
    <x v="0"/>
  </r>
  <r>
    <x v="0"/>
    <x v="0"/>
    <x v="2"/>
    <x v="0"/>
    <x v="0"/>
    <x v="0"/>
    <s v="24"/>
    <x v="0"/>
    <x v="9"/>
    <x v="4"/>
    <n v="6542480.3099999996"/>
    <x v="0"/>
  </r>
  <r>
    <x v="0"/>
    <x v="0"/>
    <x v="2"/>
    <x v="0"/>
    <x v="0"/>
    <x v="0"/>
    <s v="16"/>
    <x v="0"/>
    <x v="9"/>
    <x v="8"/>
    <n v="286"/>
    <x v="0"/>
  </r>
  <r>
    <x v="0"/>
    <x v="0"/>
    <x v="2"/>
    <x v="0"/>
    <x v="0"/>
    <x v="0"/>
    <s v="24"/>
    <x v="0"/>
    <x v="9"/>
    <x v="11"/>
    <n v="-314571.40000000002"/>
    <x v="0"/>
  </r>
  <r>
    <x v="0"/>
    <x v="0"/>
    <x v="2"/>
    <x v="0"/>
    <x v="0"/>
    <x v="0"/>
    <s v="20"/>
    <x v="0"/>
    <x v="9"/>
    <x v="0"/>
    <n v="-980"/>
    <x v="0"/>
  </r>
  <r>
    <x v="0"/>
    <x v="0"/>
    <x v="2"/>
    <x v="0"/>
    <x v="0"/>
    <x v="0"/>
    <s v="24"/>
    <x v="0"/>
    <x v="9"/>
    <x v="6"/>
    <n v="-48563.43"/>
    <x v="0"/>
  </r>
  <r>
    <x v="0"/>
    <x v="0"/>
    <x v="2"/>
    <x v="0"/>
    <x v="0"/>
    <x v="0"/>
    <s v="16"/>
    <x v="0"/>
    <x v="9"/>
    <x v="0"/>
    <n v="-286"/>
    <x v="0"/>
  </r>
  <r>
    <x v="0"/>
    <x v="0"/>
    <x v="2"/>
    <x v="0"/>
    <x v="0"/>
    <x v="0"/>
    <s v="24"/>
    <x v="0"/>
    <x v="9"/>
    <x v="8"/>
    <n v="-7233.08"/>
    <x v="0"/>
  </r>
  <r>
    <x v="0"/>
    <x v="0"/>
    <x v="2"/>
    <x v="0"/>
    <x v="0"/>
    <x v="0"/>
    <s v="20"/>
    <x v="0"/>
    <x v="9"/>
    <x v="11"/>
    <n v="224"/>
    <x v="0"/>
  </r>
  <r>
    <x v="0"/>
    <x v="0"/>
    <x v="2"/>
    <x v="0"/>
    <x v="0"/>
    <x v="0"/>
    <s v="24"/>
    <x v="0"/>
    <x v="9"/>
    <x v="0"/>
    <n v="-614056.84"/>
    <x v="0"/>
  </r>
  <r>
    <x v="0"/>
    <x v="0"/>
    <x v="2"/>
    <x v="0"/>
    <x v="0"/>
    <x v="1"/>
    <s v="21"/>
    <x v="0"/>
    <x v="9"/>
    <x v="1"/>
    <n v="15833.39"/>
    <x v="0"/>
  </r>
  <r>
    <x v="0"/>
    <x v="0"/>
    <x v="2"/>
    <x v="0"/>
    <x v="0"/>
    <x v="0"/>
    <s v="20"/>
    <x v="0"/>
    <x v="9"/>
    <x v="8"/>
    <n v="56"/>
    <x v="0"/>
  </r>
  <r>
    <x v="0"/>
    <x v="0"/>
    <x v="2"/>
    <x v="0"/>
    <x v="0"/>
    <x v="0"/>
    <s v="24"/>
    <x v="0"/>
    <x v="9"/>
    <x v="1"/>
    <n v="-1169545.45"/>
    <x v="0"/>
  </r>
  <r>
    <x v="0"/>
    <x v="0"/>
    <x v="2"/>
    <x v="0"/>
    <x v="0"/>
    <x v="1"/>
    <s v="21"/>
    <x v="0"/>
    <x v="9"/>
    <x v="2"/>
    <n v="14667.06"/>
    <x v="0"/>
  </r>
  <r>
    <x v="0"/>
    <x v="0"/>
    <x v="2"/>
    <x v="0"/>
    <x v="0"/>
    <x v="0"/>
    <s v="24"/>
    <x v="0"/>
    <x v="9"/>
    <x v="5"/>
    <n v="-64005.54"/>
    <x v="0"/>
  </r>
  <r>
    <x v="0"/>
    <x v="0"/>
    <x v="2"/>
    <x v="0"/>
    <x v="0"/>
    <x v="1"/>
    <s v="21"/>
    <x v="0"/>
    <x v="9"/>
    <x v="9"/>
    <n v="7837.5"/>
    <x v="0"/>
  </r>
  <r>
    <x v="0"/>
    <x v="0"/>
    <x v="2"/>
    <x v="0"/>
    <x v="0"/>
    <x v="0"/>
    <s v="24"/>
    <x v="0"/>
    <x v="9"/>
    <x v="9"/>
    <n v="6366957.4900000002"/>
    <x v="0"/>
  </r>
  <r>
    <x v="0"/>
    <x v="0"/>
    <x v="2"/>
    <x v="0"/>
    <x v="0"/>
    <x v="0"/>
    <s v="24"/>
    <x v="0"/>
    <x v="9"/>
    <x v="7"/>
    <n v="-1418789.1"/>
    <x v="0"/>
  </r>
  <r>
    <x v="0"/>
    <x v="0"/>
    <x v="2"/>
    <x v="0"/>
    <x v="0"/>
    <x v="1"/>
    <s v="21"/>
    <x v="0"/>
    <x v="9"/>
    <x v="10"/>
    <n v="12069.31"/>
    <x v="0"/>
  </r>
  <r>
    <x v="0"/>
    <x v="0"/>
    <x v="2"/>
    <x v="0"/>
    <x v="0"/>
    <x v="0"/>
    <s v="24"/>
    <x v="0"/>
    <x v="9"/>
    <x v="10"/>
    <n v="5142131.51"/>
    <x v="0"/>
  </r>
  <r>
    <x v="0"/>
    <x v="0"/>
    <x v="2"/>
    <x v="0"/>
    <x v="0"/>
    <x v="1"/>
    <s v="22"/>
    <x v="0"/>
    <x v="9"/>
    <x v="8"/>
    <n v="-5788.98"/>
    <x v="0"/>
  </r>
  <r>
    <x v="0"/>
    <x v="0"/>
    <x v="2"/>
    <x v="0"/>
    <x v="0"/>
    <x v="0"/>
    <s v="24"/>
    <x v="0"/>
    <x v="9"/>
    <x v="2"/>
    <n v="-59807.73"/>
    <x v="0"/>
  </r>
  <r>
    <x v="0"/>
    <x v="0"/>
    <x v="2"/>
    <x v="0"/>
    <x v="0"/>
    <x v="1"/>
    <s v="22"/>
    <x v="0"/>
    <x v="9"/>
    <x v="2"/>
    <n v="-176832.9"/>
    <x v="0"/>
  </r>
  <r>
    <x v="0"/>
    <x v="0"/>
    <x v="2"/>
    <x v="0"/>
    <x v="0"/>
    <x v="1"/>
    <s v="22"/>
    <x v="0"/>
    <x v="9"/>
    <x v="0"/>
    <n v="-1483720.02"/>
    <x v="0"/>
  </r>
  <r>
    <x v="0"/>
    <x v="0"/>
    <x v="2"/>
    <x v="0"/>
    <x v="0"/>
    <x v="1"/>
    <s v="21"/>
    <x v="0"/>
    <x v="9"/>
    <x v="5"/>
    <n v="35607.339999999997"/>
    <x v="0"/>
  </r>
  <r>
    <x v="0"/>
    <x v="0"/>
    <x v="2"/>
    <x v="0"/>
    <x v="0"/>
    <x v="1"/>
    <s v="21"/>
    <x v="0"/>
    <x v="9"/>
    <x v="7"/>
    <n v="96874.35"/>
    <x v="0"/>
  </r>
  <r>
    <x v="0"/>
    <x v="0"/>
    <x v="2"/>
    <x v="0"/>
    <x v="0"/>
    <x v="1"/>
    <s v="21"/>
    <x v="0"/>
    <x v="9"/>
    <x v="4"/>
    <n v="500"/>
    <x v="0"/>
  </r>
  <r>
    <x v="0"/>
    <x v="0"/>
    <x v="2"/>
    <x v="0"/>
    <x v="0"/>
    <x v="1"/>
    <s v="21"/>
    <x v="0"/>
    <x v="9"/>
    <x v="0"/>
    <n v="1156703.6200000001"/>
    <x v="0"/>
  </r>
  <r>
    <x v="0"/>
    <x v="0"/>
    <x v="2"/>
    <x v="0"/>
    <x v="0"/>
    <x v="1"/>
    <s v="21"/>
    <x v="0"/>
    <x v="9"/>
    <x v="6"/>
    <n v="47597.85"/>
    <x v="0"/>
  </r>
  <r>
    <x v="0"/>
    <x v="0"/>
    <x v="2"/>
    <x v="0"/>
    <x v="0"/>
    <x v="1"/>
    <s v="21"/>
    <x v="0"/>
    <x v="9"/>
    <x v="11"/>
    <n v="5937.5"/>
    <x v="0"/>
  </r>
  <r>
    <x v="0"/>
    <x v="0"/>
    <x v="2"/>
    <x v="0"/>
    <x v="0"/>
    <x v="1"/>
    <s v="21"/>
    <x v="0"/>
    <x v="9"/>
    <x v="8"/>
    <n v="15670.67"/>
    <x v="0"/>
  </r>
  <r>
    <x v="0"/>
    <x v="0"/>
    <x v="2"/>
    <x v="0"/>
    <x v="0"/>
    <x v="1"/>
    <s v="22"/>
    <x v="0"/>
    <x v="9"/>
    <x v="9"/>
    <n v="-1476565.16"/>
    <x v="0"/>
  </r>
  <r>
    <x v="0"/>
    <x v="0"/>
    <x v="2"/>
    <x v="0"/>
    <x v="0"/>
    <x v="1"/>
    <s v="22"/>
    <x v="0"/>
    <x v="9"/>
    <x v="10"/>
    <n v="-432123.95"/>
    <x v="0"/>
  </r>
  <r>
    <x v="1"/>
    <x v="2"/>
    <x v="3"/>
    <x v="0"/>
    <x v="0"/>
    <x v="0"/>
    <s v="24"/>
    <x v="0"/>
    <x v="10"/>
    <x v="8"/>
    <n v="2013000"/>
    <x v="0"/>
  </r>
  <r>
    <x v="1"/>
    <x v="2"/>
    <x v="3"/>
    <x v="0"/>
    <x v="0"/>
    <x v="0"/>
    <s v="24"/>
    <x v="0"/>
    <x v="10"/>
    <x v="0"/>
    <n v="17183000"/>
    <x v="0"/>
  </r>
  <r>
    <x v="1"/>
    <x v="2"/>
    <x v="3"/>
    <x v="0"/>
    <x v="0"/>
    <x v="0"/>
    <s v="24"/>
    <x v="0"/>
    <x v="10"/>
    <x v="1"/>
    <n v="24155000"/>
    <x v="0"/>
  </r>
  <r>
    <x v="1"/>
    <x v="2"/>
    <x v="3"/>
    <x v="0"/>
    <x v="0"/>
    <x v="0"/>
    <s v="24"/>
    <x v="0"/>
    <x v="10"/>
    <x v="9"/>
    <n v="32112000"/>
    <x v="0"/>
  </r>
  <r>
    <x v="1"/>
    <x v="2"/>
    <x v="3"/>
    <x v="0"/>
    <x v="0"/>
    <x v="0"/>
    <s v="24"/>
    <x v="0"/>
    <x v="10"/>
    <x v="10"/>
    <n v="3944000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69">
  <r>
    <x v="0"/>
    <x v="0"/>
    <x v="0"/>
    <x v="0"/>
    <x v="0"/>
    <x v="0"/>
    <x v="0"/>
    <x v="0"/>
    <x v="0"/>
    <x v="0"/>
    <x v="0"/>
    <x v="0"/>
    <s v="09"/>
    <x v="0"/>
    <x v="0"/>
    <x v="0"/>
    <x v="0"/>
    <n v="-30998.39"/>
  </r>
  <r>
    <x v="0"/>
    <x v="0"/>
    <x v="0"/>
    <x v="0"/>
    <x v="0"/>
    <x v="0"/>
    <x v="0"/>
    <x v="0"/>
    <x v="0"/>
    <x v="0"/>
    <x v="0"/>
    <x v="0"/>
    <s v="09"/>
    <x v="0"/>
    <x v="0"/>
    <x v="0"/>
    <x v="1"/>
    <n v="24981.75"/>
  </r>
  <r>
    <x v="0"/>
    <x v="0"/>
    <x v="0"/>
    <x v="0"/>
    <x v="0"/>
    <x v="0"/>
    <x v="0"/>
    <x v="0"/>
    <x v="0"/>
    <x v="0"/>
    <x v="0"/>
    <x v="0"/>
    <s v="09"/>
    <x v="0"/>
    <x v="0"/>
    <x v="1"/>
    <x v="0"/>
    <n v="-24981.75"/>
  </r>
  <r>
    <x v="0"/>
    <x v="0"/>
    <x v="0"/>
    <x v="0"/>
    <x v="0"/>
    <x v="0"/>
    <x v="0"/>
    <x v="0"/>
    <x v="0"/>
    <x v="0"/>
    <x v="0"/>
    <x v="0"/>
    <s v="09"/>
    <x v="0"/>
    <x v="0"/>
    <x v="1"/>
    <x v="1"/>
    <n v="33421.18"/>
  </r>
  <r>
    <x v="0"/>
    <x v="0"/>
    <x v="0"/>
    <x v="0"/>
    <x v="0"/>
    <x v="0"/>
    <x v="0"/>
    <x v="0"/>
    <x v="0"/>
    <x v="0"/>
    <x v="0"/>
    <x v="0"/>
    <s v="24"/>
    <x v="1"/>
    <x v="0"/>
    <x v="0"/>
    <x v="0"/>
    <n v="-685.14"/>
  </r>
  <r>
    <x v="0"/>
    <x v="0"/>
    <x v="0"/>
    <x v="0"/>
    <x v="0"/>
    <x v="0"/>
    <x v="0"/>
    <x v="0"/>
    <x v="0"/>
    <x v="0"/>
    <x v="0"/>
    <x v="0"/>
    <s v="24"/>
    <x v="1"/>
    <x v="0"/>
    <x v="0"/>
    <x v="2"/>
    <n v="-316350.40000000002"/>
  </r>
  <r>
    <x v="0"/>
    <x v="0"/>
    <x v="0"/>
    <x v="0"/>
    <x v="0"/>
    <x v="0"/>
    <x v="0"/>
    <x v="0"/>
    <x v="0"/>
    <x v="0"/>
    <x v="0"/>
    <x v="0"/>
    <s v="24"/>
    <x v="1"/>
    <x v="0"/>
    <x v="0"/>
    <x v="1"/>
    <n v="370090.72"/>
  </r>
  <r>
    <x v="0"/>
    <x v="0"/>
    <x v="0"/>
    <x v="0"/>
    <x v="0"/>
    <x v="0"/>
    <x v="0"/>
    <x v="0"/>
    <x v="0"/>
    <x v="0"/>
    <x v="0"/>
    <x v="0"/>
    <s v="24"/>
    <x v="1"/>
    <x v="0"/>
    <x v="1"/>
    <x v="0"/>
    <n v="-403229.66"/>
  </r>
  <r>
    <x v="0"/>
    <x v="0"/>
    <x v="0"/>
    <x v="0"/>
    <x v="0"/>
    <x v="0"/>
    <x v="0"/>
    <x v="0"/>
    <x v="0"/>
    <x v="0"/>
    <x v="0"/>
    <x v="0"/>
    <s v="24"/>
    <x v="1"/>
    <x v="0"/>
    <x v="1"/>
    <x v="1"/>
    <n v="514747.33"/>
  </r>
  <r>
    <x v="0"/>
    <x v="0"/>
    <x v="0"/>
    <x v="0"/>
    <x v="0"/>
    <x v="0"/>
    <x v="0"/>
    <x v="0"/>
    <x v="0"/>
    <x v="0"/>
    <x v="0"/>
    <x v="0"/>
    <s v="81"/>
    <x v="2"/>
    <x v="0"/>
    <x v="0"/>
    <x v="0"/>
    <n v="190034.73"/>
  </r>
  <r>
    <x v="0"/>
    <x v="0"/>
    <x v="0"/>
    <x v="0"/>
    <x v="0"/>
    <x v="0"/>
    <x v="0"/>
    <x v="0"/>
    <x v="0"/>
    <x v="0"/>
    <x v="0"/>
    <x v="0"/>
    <s v="81"/>
    <x v="2"/>
    <x v="0"/>
    <x v="0"/>
    <x v="1"/>
    <n v="-251671.44"/>
  </r>
  <r>
    <x v="0"/>
    <x v="0"/>
    <x v="0"/>
    <x v="0"/>
    <x v="0"/>
    <x v="0"/>
    <x v="0"/>
    <x v="0"/>
    <x v="0"/>
    <x v="0"/>
    <x v="0"/>
    <x v="0"/>
    <s v="81"/>
    <x v="2"/>
    <x v="0"/>
    <x v="1"/>
    <x v="0"/>
    <n v="251671.44"/>
  </r>
  <r>
    <x v="0"/>
    <x v="0"/>
    <x v="0"/>
    <x v="0"/>
    <x v="0"/>
    <x v="0"/>
    <x v="0"/>
    <x v="0"/>
    <x v="0"/>
    <x v="0"/>
    <x v="0"/>
    <x v="0"/>
    <s v="81"/>
    <x v="2"/>
    <x v="0"/>
    <x v="1"/>
    <x v="1"/>
    <n v="-300299.69"/>
  </r>
  <r>
    <x v="0"/>
    <x v="0"/>
    <x v="0"/>
    <x v="0"/>
    <x v="0"/>
    <x v="1"/>
    <x v="0"/>
    <x v="0"/>
    <x v="0"/>
    <x v="0"/>
    <x v="0"/>
    <x v="0"/>
    <s v="09"/>
    <x v="0"/>
    <x v="0"/>
    <x v="0"/>
    <x v="1"/>
    <n v="55191.45"/>
  </r>
  <r>
    <x v="0"/>
    <x v="0"/>
    <x v="0"/>
    <x v="0"/>
    <x v="0"/>
    <x v="1"/>
    <x v="0"/>
    <x v="0"/>
    <x v="0"/>
    <x v="0"/>
    <x v="0"/>
    <x v="0"/>
    <s v="09"/>
    <x v="0"/>
    <x v="0"/>
    <x v="1"/>
    <x v="1"/>
    <n v="-15108.28"/>
  </r>
  <r>
    <x v="0"/>
    <x v="0"/>
    <x v="0"/>
    <x v="0"/>
    <x v="0"/>
    <x v="2"/>
    <x v="0"/>
    <x v="0"/>
    <x v="0"/>
    <x v="0"/>
    <x v="0"/>
    <x v="0"/>
    <s v="30"/>
    <x v="3"/>
    <x v="0"/>
    <x v="1"/>
    <x v="2"/>
    <n v="-1221.1199999999999"/>
  </r>
  <r>
    <x v="0"/>
    <x v="0"/>
    <x v="0"/>
    <x v="0"/>
    <x v="0"/>
    <x v="3"/>
    <x v="0"/>
    <x v="0"/>
    <x v="0"/>
    <x v="1"/>
    <x v="1"/>
    <x v="1"/>
    <s v="41"/>
    <x v="4"/>
    <x v="0"/>
    <x v="0"/>
    <x v="2"/>
    <n v="1116.5999999999999"/>
  </r>
  <r>
    <x v="0"/>
    <x v="0"/>
    <x v="0"/>
    <x v="0"/>
    <x v="0"/>
    <x v="3"/>
    <x v="0"/>
    <x v="0"/>
    <x v="0"/>
    <x v="1"/>
    <x v="1"/>
    <x v="1"/>
    <s v="41"/>
    <x v="4"/>
    <x v="0"/>
    <x v="0"/>
    <x v="3"/>
    <n v="12776.05"/>
  </r>
  <r>
    <x v="0"/>
    <x v="0"/>
    <x v="0"/>
    <x v="0"/>
    <x v="0"/>
    <x v="3"/>
    <x v="0"/>
    <x v="0"/>
    <x v="0"/>
    <x v="1"/>
    <x v="1"/>
    <x v="1"/>
    <s v="41"/>
    <x v="4"/>
    <x v="0"/>
    <x v="0"/>
    <x v="4"/>
    <n v="-368.18"/>
  </r>
  <r>
    <x v="0"/>
    <x v="0"/>
    <x v="0"/>
    <x v="0"/>
    <x v="0"/>
    <x v="3"/>
    <x v="0"/>
    <x v="0"/>
    <x v="0"/>
    <x v="1"/>
    <x v="1"/>
    <x v="1"/>
    <s v="41"/>
    <x v="4"/>
    <x v="0"/>
    <x v="0"/>
    <x v="5"/>
    <n v="15759.41"/>
  </r>
  <r>
    <x v="0"/>
    <x v="0"/>
    <x v="0"/>
    <x v="0"/>
    <x v="0"/>
    <x v="3"/>
    <x v="0"/>
    <x v="0"/>
    <x v="0"/>
    <x v="1"/>
    <x v="1"/>
    <x v="1"/>
    <s v="41"/>
    <x v="4"/>
    <x v="0"/>
    <x v="0"/>
    <x v="6"/>
    <n v="-20706.71"/>
  </r>
  <r>
    <x v="0"/>
    <x v="0"/>
    <x v="0"/>
    <x v="0"/>
    <x v="0"/>
    <x v="3"/>
    <x v="0"/>
    <x v="0"/>
    <x v="0"/>
    <x v="1"/>
    <x v="1"/>
    <x v="1"/>
    <s v="41"/>
    <x v="4"/>
    <x v="0"/>
    <x v="0"/>
    <x v="1"/>
    <n v="55125.98"/>
  </r>
  <r>
    <x v="0"/>
    <x v="0"/>
    <x v="0"/>
    <x v="0"/>
    <x v="0"/>
    <x v="3"/>
    <x v="0"/>
    <x v="0"/>
    <x v="0"/>
    <x v="1"/>
    <x v="1"/>
    <x v="1"/>
    <s v="41"/>
    <x v="4"/>
    <x v="0"/>
    <x v="1"/>
    <x v="0"/>
    <n v="-12412.12"/>
  </r>
  <r>
    <x v="0"/>
    <x v="0"/>
    <x v="0"/>
    <x v="0"/>
    <x v="0"/>
    <x v="3"/>
    <x v="0"/>
    <x v="0"/>
    <x v="0"/>
    <x v="1"/>
    <x v="1"/>
    <x v="1"/>
    <s v="41"/>
    <x v="4"/>
    <x v="0"/>
    <x v="1"/>
    <x v="2"/>
    <n v="-48224.43"/>
  </r>
  <r>
    <x v="0"/>
    <x v="0"/>
    <x v="0"/>
    <x v="0"/>
    <x v="0"/>
    <x v="3"/>
    <x v="0"/>
    <x v="0"/>
    <x v="0"/>
    <x v="1"/>
    <x v="1"/>
    <x v="1"/>
    <s v="41"/>
    <x v="4"/>
    <x v="0"/>
    <x v="1"/>
    <x v="3"/>
    <n v="64137.61"/>
  </r>
  <r>
    <x v="0"/>
    <x v="0"/>
    <x v="0"/>
    <x v="0"/>
    <x v="0"/>
    <x v="3"/>
    <x v="0"/>
    <x v="0"/>
    <x v="0"/>
    <x v="1"/>
    <x v="1"/>
    <x v="1"/>
    <s v="41"/>
    <x v="4"/>
    <x v="0"/>
    <x v="1"/>
    <x v="4"/>
    <n v="-2639.18"/>
  </r>
  <r>
    <x v="0"/>
    <x v="0"/>
    <x v="0"/>
    <x v="0"/>
    <x v="0"/>
    <x v="3"/>
    <x v="0"/>
    <x v="0"/>
    <x v="0"/>
    <x v="1"/>
    <x v="1"/>
    <x v="1"/>
    <s v="41"/>
    <x v="4"/>
    <x v="0"/>
    <x v="1"/>
    <x v="7"/>
    <n v="19610.11"/>
  </r>
  <r>
    <x v="0"/>
    <x v="0"/>
    <x v="0"/>
    <x v="0"/>
    <x v="0"/>
    <x v="3"/>
    <x v="0"/>
    <x v="0"/>
    <x v="0"/>
    <x v="1"/>
    <x v="1"/>
    <x v="1"/>
    <s v="41"/>
    <x v="4"/>
    <x v="0"/>
    <x v="1"/>
    <x v="5"/>
    <n v="-32220.35"/>
  </r>
  <r>
    <x v="0"/>
    <x v="0"/>
    <x v="0"/>
    <x v="0"/>
    <x v="0"/>
    <x v="3"/>
    <x v="0"/>
    <x v="0"/>
    <x v="0"/>
    <x v="1"/>
    <x v="1"/>
    <x v="1"/>
    <s v="41"/>
    <x v="4"/>
    <x v="0"/>
    <x v="1"/>
    <x v="1"/>
    <n v="11748.36"/>
  </r>
  <r>
    <x v="0"/>
    <x v="0"/>
    <x v="0"/>
    <x v="0"/>
    <x v="0"/>
    <x v="3"/>
    <x v="0"/>
    <x v="0"/>
    <x v="0"/>
    <x v="0"/>
    <x v="0"/>
    <x v="0"/>
    <s v="02"/>
    <x v="5"/>
    <x v="0"/>
    <x v="0"/>
    <x v="2"/>
    <n v="-54.6"/>
  </r>
  <r>
    <x v="0"/>
    <x v="0"/>
    <x v="0"/>
    <x v="0"/>
    <x v="0"/>
    <x v="3"/>
    <x v="0"/>
    <x v="0"/>
    <x v="0"/>
    <x v="0"/>
    <x v="0"/>
    <x v="0"/>
    <s v="02"/>
    <x v="5"/>
    <x v="0"/>
    <x v="0"/>
    <x v="8"/>
    <n v="172.5"/>
  </r>
  <r>
    <x v="0"/>
    <x v="0"/>
    <x v="0"/>
    <x v="0"/>
    <x v="0"/>
    <x v="3"/>
    <x v="0"/>
    <x v="0"/>
    <x v="0"/>
    <x v="0"/>
    <x v="0"/>
    <x v="0"/>
    <s v="02"/>
    <x v="5"/>
    <x v="0"/>
    <x v="0"/>
    <x v="9"/>
    <n v="157.1"/>
  </r>
  <r>
    <x v="0"/>
    <x v="0"/>
    <x v="0"/>
    <x v="0"/>
    <x v="0"/>
    <x v="3"/>
    <x v="0"/>
    <x v="0"/>
    <x v="0"/>
    <x v="0"/>
    <x v="0"/>
    <x v="0"/>
    <s v="02"/>
    <x v="5"/>
    <x v="0"/>
    <x v="0"/>
    <x v="10"/>
    <n v="154"/>
  </r>
  <r>
    <x v="0"/>
    <x v="0"/>
    <x v="0"/>
    <x v="0"/>
    <x v="0"/>
    <x v="3"/>
    <x v="0"/>
    <x v="0"/>
    <x v="0"/>
    <x v="0"/>
    <x v="0"/>
    <x v="0"/>
    <s v="02"/>
    <x v="5"/>
    <x v="0"/>
    <x v="0"/>
    <x v="11"/>
    <n v="-276.3"/>
  </r>
  <r>
    <x v="0"/>
    <x v="0"/>
    <x v="0"/>
    <x v="0"/>
    <x v="0"/>
    <x v="3"/>
    <x v="0"/>
    <x v="0"/>
    <x v="0"/>
    <x v="0"/>
    <x v="0"/>
    <x v="0"/>
    <s v="02"/>
    <x v="5"/>
    <x v="0"/>
    <x v="0"/>
    <x v="3"/>
    <n v="-124.9"/>
  </r>
  <r>
    <x v="0"/>
    <x v="0"/>
    <x v="0"/>
    <x v="0"/>
    <x v="0"/>
    <x v="3"/>
    <x v="0"/>
    <x v="0"/>
    <x v="0"/>
    <x v="0"/>
    <x v="0"/>
    <x v="0"/>
    <s v="02"/>
    <x v="5"/>
    <x v="0"/>
    <x v="0"/>
    <x v="4"/>
    <n v="76.7"/>
  </r>
  <r>
    <x v="0"/>
    <x v="0"/>
    <x v="0"/>
    <x v="0"/>
    <x v="0"/>
    <x v="3"/>
    <x v="0"/>
    <x v="0"/>
    <x v="0"/>
    <x v="0"/>
    <x v="0"/>
    <x v="0"/>
    <s v="02"/>
    <x v="5"/>
    <x v="0"/>
    <x v="0"/>
    <x v="7"/>
    <n v="113.4"/>
  </r>
  <r>
    <x v="0"/>
    <x v="0"/>
    <x v="0"/>
    <x v="0"/>
    <x v="0"/>
    <x v="3"/>
    <x v="0"/>
    <x v="0"/>
    <x v="0"/>
    <x v="0"/>
    <x v="0"/>
    <x v="0"/>
    <s v="02"/>
    <x v="5"/>
    <x v="0"/>
    <x v="0"/>
    <x v="5"/>
    <n v="-142.9"/>
  </r>
  <r>
    <x v="0"/>
    <x v="0"/>
    <x v="0"/>
    <x v="0"/>
    <x v="0"/>
    <x v="3"/>
    <x v="0"/>
    <x v="0"/>
    <x v="0"/>
    <x v="0"/>
    <x v="0"/>
    <x v="0"/>
    <s v="02"/>
    <x v="5"/>
    <x v="0"/>
    <x v="0"/>
    <x v="6"/>
    <n v="48.6"/>
  </r>
  <r>
    <x v="0"/>
    <x v="0"/>
    <x v="0"/>
    <x v="0"/>
    <x v="0"/>
    <x v="3"/>
    <x v="0"/>
    <x v="0"/>
    <x v="0"/>
    <x v="0"/>
    <x v="0"/>
    <x v="0"/>
    <s v="02"/>
    <x v="5"/>
    <x v="0"/>
    <x v="0"/>
    <x v="1"/>
    <n v="21.4"/>
  </r>
  <r>
    <x v="0"/>
    <x v="0"/>
    <x v="0"/>
    <x v="0"/>
    <x v="0"/>
    <x v="3"/>
    <x v="0"/>
    <x v="0"/>
    <x v="0"/>
    <x v="0"/>
    <x v="0"/>
    <x v="0"/>
    <s v="02"/>
    <x v="5"/>
    <x v="0"/>
    <x v="1"/>
    <x v="0"/>
    <n v="-199.6"/>
  </r>
  <r>
    <x v="0"/>
    <x v="0"/>
    <x v="0"/>
    <x v="0"/>
    <x v="0"/>
    <x v="3"/>
    <x v="0"/>
    <x v="0"/>
    <x v="0"/>
    <x v="0"/>
    <x v="0"/>
    <x v="0"/>
    <s v="02"/>
    <x v="5"/>
    <x v="0"/>
    <x v="1"/>
    <x v="2"/>
    <n v="56.7"/>
  </r>
  <r>
    <x v="0"/>
    <x v="0"/>
    <x v="0"/>
    <x v="0"/>
    <x v="0"/>
    <x v="3"/>
    <x v="0"/>
    <x v="0"/>
    <x v="0"/>
    <x v="0"/>
    <x v="0"/>
    <x v="0"/>
    <s v="02"/>
    <x v="5"/>
    <x v="0"/>
    <x v="1"/>
    <x v="8"/>
    <n v="58.33"/>
  </r>
  <r>
    <x v="0"/>
    <x v="0"/>
    <x v="0"/>
    <x v="0"/>
    <x v="0"/>
    <x v="3"/>
    <x v="0"/>
    <x v="0"/>
    <x v="0"/>
    <x v="0"/>
    <x v="0"/>
    <x v="0"/>
    <s v="02"/>
    <x v="5"/>
    <x v="0"/>
    <x v="1"/>
    <x v="9"/>
    <n v="32.86"/>
  </r>
  <r>
    <x v="0"/>
    <x v="0"/>
    <x v="0"/>
    <x v="0"/>
    <x v="0"/>
    <x v="3"/>
    <x v="0"/>
    <x v="0"/>
    <x v="0"/>
    <x v="0"/>
    <x v="0"/>
    <x v="0"/>
    <s v="02"/>
    <x v="5"/>
    <x v="0"/>
    <x v="1"/>
    <x v="10"/>
    <n v="-16.2"/>
  </r>
  <r>
    <x v="0"/>
    <x v="0"/>
    <x v="0"/>
    <x v="0"/>
    <x v="0"/>
    <x v="3"/>
    <x v="0"/>
    <x v="0"/>
    <x v="0"/>
    <x v="0"/>
    <x v="0"/>
    <x v="0"/>
    <s v="02"/>
    <x v="5"/>
    <x v="0"/>
    <x v="1"/>
    <x v="3"/>
    <n v="250"/>
  </r>
  <r>
    <x v="0"/>
    <x v="0"/>
    <x v="0"/>
    <x v="0"/>
    <x v="0"/>
    <x v="3"/>
    <x v="0"/>
    <x v="0"/>
    <x v="0"/>
    <x v="0"/>
    <x v="0"/>
    <x v="0"/>
    <s v="02"/>
    <x v="5"/>
    <x v="0"/>
    <x v="1"/>
    <x v="4"/>
    <n v="74.989999999999995"/>
  </r>
  <r>
    <x v="0"/>
    <x v="0"/>
    <x v="0"/>
    <x v="0"/>
    <x v="0"/>
    <x v="3"/>
    <x v="0"/>
    <x v="0"/>
    <x v="0"/>
    <x v="0"/>
    <x v="0"/>
    <x v="0"/>
    <s v="02"/>
    <x v="5"/>
    <x v="0"/>
    <x v="1"/>
    <x v="7"/>
    <n v="-325.52999999999997"/>
  </r>
  <r>
    <x v="0"/>
    <x v="0"/>
    <x v="0"/>
    <x v="0"/>
    <x v="0"/>
    <x v="3"/>
    <x v="0"/>
    <x v="0"/>
    <x v="0"/>
    <x v="0"/>
    <x v="0"/>
    <x v="0"/>
    <s v="02"/>
    <x v="5"/>
    <x v="0"/>
    <x v="1"/>
    <x v="5"/>
    <n v="-2032.5"/>
  </r>
  <r>
    <x v="0"/>
    <x v="0"/>
    <x v="0"/>
    <x v="0"/>
    <x v="0"/>
    <x v="3"/>
    <x v="0"/>
    <x v="0"/>
    <x v="0"/>
    <x v="0"/>
    <x v="0"/>
    <x v="0"/>
    <s v="02"/>
    <x v="5"/>
    <x v="0"/>
    <x v="1"/>
    <x v="6"/>
    <n v="-16.66"/>
  </r>
  <r>
    <x v="0"/>
    <x v="0"/>
    <x v="0"/>
    <x v="0"/>
    <x v="0"/>
    <x v="3"/>
    <x v="0"/>
    <x v="0"/>
    <x v="0"/>
    <x v="0"/>
    <x v="0"/>
    <x v="0"/>
    <s v="02"/>
    <x v="5"/>
    <x v="0"/>
    <x v="1"/>
    <x v="1"/>
    <n v="1902.57"/>
  </r>
  <r>
    <x v="0"/>
    <x v="0"/>
    <x v="0"/>
    <x v="0"/>
    <x v="0"/>
    <x v="3"/>
    <x v="0"/>
    <x v="0"/>
    <x v="0"/>
    <x v="0"/>
    <x v="0"/>
    <x v="0"/>
    <s v="05"/>
    <x v="6"/>
    <x v="0"/>
    <x v="0"/>
    <x v="11"/>
    <n v="25"/>
  </r>
  <r>
    <x v="0"/>
    <x v="0"/>
    <x v="0"/>
    <x v="0"/>
    <x v="0"/>
    <x v="3"/>
    <x v="0"/>
    <x v="0"/>
    <x v="0"/>
    <x v="0"/>
    <x v="0"/>
    <x v="0"/>
    <s v="05"/>
    <x v="6"/>
    <x v="0"/>
    <x v="0"/>
    <x v="3"/>
    <n v="310"/>
  </r>
  <r>
    <x v="0"/>
    <x v="0"/>
    <x v="0"/>
    <x v="0"/>
    <x v="0"/>
    <x v="3"/>
    <x v="0"/>
    <x v="0"/>
    <x v="0"/>
    <x v="0"/>
    <x v="0"/>
    <x v="0"/>
    <s v="05"/>
    <x v="6"/>
    <x v="0"/>
    <x v="0"/>
    <x v="4"/>
    <n v="40"/>
  </r>
  <r>
    <x v="0"/>
    <x v="0"/>
    <x v="0"/>
    <x v="0"/>
    <x v="0"/>
    <x v="3"/>
    <x v="0"/>
    <x v="0"/>
    <x v="0"/>
    <x v="0"/>
    <x v="0"/>
    <x v="0"/>
    <s v="05"/>
    <x v="6"/>
    <x v="0"/>
    <x v="0"/>
    <x v="7"/>
    <n v="50"/>
  </r>
  <r>
    <x v="0"/>
    <x v="0"/>
    <x v="0"/>
    <x v="0"/>
    <x v="0"/>
    <x v="3"/>
    <x v="0"/>
    <x v="0"/>
    <x v="0"/>
    <x v="0"/>
    <x v="0"/>
    <x v="0"/>
    <s v="05"/>
    <x v="6"/>
    <x v="0"/>
    <x v="0"/>
    <x v="5"/>
    <n v="-376.63"/>
  </r>
  <r>
    <x v="0"/>
    <x v="0"/>
    <x v="0"/>
    <x v="0"/>
    <x v="0"/>
    <x v="3"/>
    <x v="0"/>
    <x v="0"/>
    <x v="0"/>
    <x v="0"/>
    <x v="0"/>
    <x v="0"/>
    <s v="05"/>
    <x v="6"/>
    <x v="0"/>
    <x v="0"/>
    <x v="6"/>
    <n v="-123.75"/>
  </r>
  <r>
    <x v="0"/>
    <x v="0"/>
    <x v="0"/>
    <x v="0"/>
    <x v="0"/>
    <x v="3"/>
    <x v="0"/>
    <x v="0"/>
    <x v="0"/>
    <x v="0"/>
    <x v="0"/>
    <x v="0"/>
    <s v="05"/>
    <x v="6"/>
    <x v="0"/>
    <x v="0"/>
    <x v="1"/>
    <n v="75.38"/>
  </r>
  <r>
    <x v="0"/>
    <x v="0"/>
    <x v="0"/>
    <x v="0"/>
    <x v="0"/>
    <x v="3"/>
    <x v="0"/>
    <x v="0"/>
    <x v="0"/>
    <x v="0"/>
    <x v="0"/>
    <x v="0"/>
    <s v="05"/>
    <x v="6"/>
    <x v="0"/>
    <x v="1"/>
    <x v="0"/>
    <n v="150"/>
  </r>
  <r>
    <x v="0"/>
    <x v="0"/>
    <x v="0"/>
    <x v="0"/>
    <x v="0"/>
    <x v="3"/>
    <x v="0"/>
    <x v="0"/>
    <x v="0"/>
    <x v="0"/>
    <x v="0"/>
    <x v="0"/>
    <s v="05"/>
    <x v="6"/>
    <x v="0"/>
    <x v="1"/>
    <x v="2"/>
    <n v="-50"/>
  </r>
  <r>
    <x v="0"/>
    <x v="0"/>
    <x v="0"/>
    <x v="0"/>
    <x v="0"/>
    <x v="3"/>
    <x v="0"/>
    <x v="0"/>
    <x v="0"/>
    <x v="0"/>
    <x v="0"/>
    <x v="0"/>
    <s v="05"/>
    <x v="6"/>
    <x v="0"/>
    <x v="1"/>
    <x v="5"/>
    <n v="-20"/>
  </r>
  <r>
    <x v="0"/>
    <x v="0"/>
    <x v="0"/>
    <x v="0"/>
    <x v="0"/>
    <x v="3"/>
    <x v="0"/>
    <x v="0"/>
    <x v="0"/>
    <x v="0"/>
    <x v="0"/>
    <x v="0"/>
    <s v="05"/>
    <x v="6"/>
    <x v="0"/>
    <x v="1"/>
    <x v="1"/>
    <n v="-80"/>
  </r>
  <r>
    <x v="0"/>
    <x v="0"/>
    <x v="0"/>
    <x v="0"/>
    <x v="0"/>
    <x v="3"/>
    <x v="0"/>
    <x v="0"/>
    <x v="0"/>
    <x v="0"/>
    <x v="0"/>
    <x v="0"/>
    <s v="09"/>
    <x v="0"/>
    <x v="0"/>
    <x v="0"/>
    <x v="0"/>
    <n v="-65257.67"/>
  </r>
  <r>
    <x v="0"/>
    <x v="0"/>
    <x v="0"/>
    <x v="0"/>
    <x v="0"/>
    <x v="3"/>
    <x v="0"/>
    <x v="0"/>
    <x v="0"/>
    <x v="0"/>
    <x v="0"/>
    <x v="0"/>
    <s v="09"/>
    <x v="0"/>
    <x v="0"/>
    <x v="0"/>
    <x v="8"/>
    <n v="-35787.5"/>
  </r>
  <r>
    <x v="0"/>
    <x v="0"/>
    <x v="0"/>
    <x v="0"/>
    <x v="0"/>
    <x v="3"/>
    <x v="0"/>
    <x v="0"/>
    <x v="0"/>
    <x v="0"/>
    <x v="0"/>
    <x v="0"/>
    <s v="09"/>
    <x v="0"/>
    <x v="0"/>
    <x v="0"/>
    <x v="9"/>
    <n v="20363.53"/>
  </r>
  <r>
    <x v="0"/>
    <x v="0"/>
    <x v="0"/>
    <x v="0"/>
    <x v="0"/>
    <x v="3"/>
    <x v="0"/>
    <x v="0"/>
    <x v="0"/>
    <x v="0"/>
    <x v="0"/>
    <x v="0"/>
    <s v="09"/>
    <x v="0"/>
    <x v="0"/>
    <x v="0"/>
    <x v="10"/>
    <n v="23491.95"/>
  </r>
  <r>
    <x v="0"/>
    <x v="0"/>
    <x v="0"/>
    <x v="0"/>
    <x v="0"/>
    <x v="3"/>
    <x v="0"/>
    <x v="0"/>
    <x v="0"/>
    <x v="0"/>
    <x v="0"/>
    <x v="0"/>
    <s v="09"/>
    <x v="0"/>
    <x v="0"/>
    <x v="0"/>
    <x v="3"/>
    <n v="32734.16"/>
  </r>
  <r>
    <x v="0"/>
    <x v="0"/>
    <x v="0"/>
    <x v="0"/>
    <x v="0"/>
    <x v="3"/>
    <x v="0"/>
    <x v="0"/>
    <x v="0"/>
    <x v="0"/>
    <x v="0"/>
    <x v="0"/>
    <s v="09"/>
    <x v="0"/>
    <x v="0"/>
    <x v="0"/>
    <x v="4"/>
    <n v="15425.56"/>
  </r>
  <r>
    <x v="0"/>
    <x v="0"/>
    <x v="0"/>
    <x v="0"/>
    <x v="0"/>
    <x v="3"/>
    <x v="0"/>
    <x v="0"/>
    <x v="0"/>
    <x v="0"/>
    <x v="0"/>
    <x v="0"/>
    <s v="09"/>
    <x v="0"/>
    <x v="0"/>
    <x v="0"/>
    <x v="7"/>
    <n v="29750.19"/>
  </r>
  <r>
    <x v="0"/>
    <x v="0"/>
    <x v="0"/>
    <x v="0"/>
    <x v="0"/>
    <x v="3"/>
    <x v="0"/>
    <x v="0"/>
    <x v="0"/>
    <x v="0"/>
    <x v="0"/>
    <x v="0"/>
    <s v="09"/>
    <x v="0"/>
    <x v="0"/>
    <x v="0"/>
    <x v="5"/>
    <n v="-43410.54"/>
  </r>
  <r>
    <x v="0"/>
    <x v="0"/>
    <x v="0"/>
    <x v="0"/>
    <x v="0"/>
    <x v="3"/>
    <x v="0"/>
    <x v="0"/>
    <x v="0"/>
    <x v="0"/>
    <x v="0"/>
    <x v="0"/>
    <s v="09"/>
    <x v="0"/>
    <x v="0"/>
    <x v="0"/>
    <x v="6"/>
    <n v="-10800.72"/>
  </r>
  <r>
    <x v="0"/>
    <x v="0"/>
    <x v="0"/>
    <x v="0"/>
    <x v="0"/>
    <x v="3"/>
    <x v="0"/>
    <x v="0"/>
    <x v="0"/>
    <x v="0"/>
    <x v="0"/>
    <x v="0"/>
    <s v="09"/>
    <x v="0"/>
    <x v="0"/>
    <x v="0"/>
    <x v="1"/>
    <n v="59397.63"/>
  </r>
  <r>
    <x v="0"/>
    <x v="0"/>
    <x v="0"/>
    <x v="0"/>
    <x v="0"/>
    <x v="3"/>
    <x v="0"/>
    <x v="0"/>
    <x v="0"/>
    <x v="0"/>
    <x v="0"/>
    <x v="0"/>
    <s v="09"/>
    <x v="0"/>
    <x v="0"/>
    <x v="1"/>
    <x v="0"/>
    <n v="-28224.560000000001"/>
  </r>
  <r>
    <x v="0"/>
    <x v="0"/>
    <x v="0"/>
    <x v="0"/>
    <x v="0"/>
    <x v="3"/>
    <x v="0"/>
    <x v="0"/>
    <x v="0"/>
    <x v="0"/>
    <x v="0"/>
    <x v="0"/>
    <s v="09"/>
    <x v="0"/>
    <x v="0"/>
    <x v="1"/>
    <x v="2"/>
    <n v="-6429.92"/>
  </r>
  <r>
    <x v="0"/>
    <x v="0"/>
    <x v="0"/>
    <x v="0"/>
    <x v="0"/>
    <x v="3"/>
    <x v="0"/>
    <x v="0"/>
    <x v="0"/>
    <x v="0"/>
    <x v="0"/>
    <x v="0"/>
    <s v="09"/>
    <x v="0"/>
    <x v="0"/>
    <x v="1"/>
    <x v="8"/>
    <n v="30480.06"/>
  </r>
  <r>
    <x v="0"/>
    <x v="0"/>
    <x v="0"/>
    <x v="0"/>
    <x v="0"/>
    <x v="3"/>
    <x v="0"/>
    <x v="0"/>
    <x v="0"/>
    <x v="0"/>
    <x v="0"/>
    <x v="0"/>
    <s v="09"/>
    <x v="0"/>
    <x v="0"/>
    <x v="1"/>
    <x v="9"/>
    <n v="-29824.62"/>
  </r>
  <r>
    <x v="0"/>
    <x v="0"/>
    <x v="0"/>
    <x v="0"/>
    <x v="0"/>
    <x v="3"/>
    <x v="0"/>
    <x v="0"/>
    <x v="0"/>
    <x v="0"/>
    <x v="0"/>
    <x v="0"/>
    <s v="09"/>
    <x v="0"/>
    <x v="0"/>
    <x v="1"/>
    <x v="10"/>
    <n v="-3415.39"/>
  </r>
  <r>
    <x v="0"/>
    <x v="0"/>
    <x v="0"/>
    <x v="0"/>
    <x v="0"/>
    <x v="3"/>
    <x v="0"/>
    <x v="0"/>
    <x v="0"/>
    <x v="0"/>
    <x v="0"/>
    <x v="0"/>
    <s v="09"/>
    <x v="0"/>
    <x v="0"/>
    <x v="1"/>
    <x v="11"/>
    <n v="27106.560000000001"/>
  </r>
  <r>
    <x v="0"/>
    <x v="0"/>
    <x v="0"/>
    <x v="0"/>
    <x v="0"/>
    <x v="3"/>
    <x v="0"/>
    <x v="0"/>
    <x v="0"/>
    <x v="0"/>
    <x v="0"/>
    <x v="0"/>
    <s v="09"/>
    <x v="0"/>
    <x v="0"/>
    <x v="1"/>
    <x v="3"/>
    <n v="-21160.639999999999"/>
  </r>
  <r>
    <x v="0"/>
    <x v="0"/>
    <x v="0"/>
    <x v="0"/>
    <x v="0"/>
    <x v="3"/>
    <x v="0"/>
    <x v="0"/>
    <x v="0"/>
    <x v="0"/>
    <x v="0"/>
    <x v="0"/>
    <s v="09"/>
    <x v="0"/>
    <x v="0"/>
    <x v="1"/>
    <x v="4"/>
    <n v="-12332.25"/>
  </r>
  <r>
    <x v="0"/>
    <x v="0"/>
    <x v="0"/>
    <x v="0"/>
    <x v="0"/>
    <x v="3"/>
    <x v="0"/>
    <x v="0"/>
    <x v="0"/>
    <x v="0"/>
    <x v="0"/>
    <x v="0"/>
    <s v="09"/>
    <x v="0"/>
    <x v="0"/>
    <x v="1"/>
    <x v="7"/>
    <n v="18140.689999999999"/>
  </r>
  <r>
    <x v="0"/>
    <x v="0"/>
    <x v="0"/>
    <x v="0"/>
    <x v="0"/>
    <x v="3"/>
    <x v="0"/>
    <x v="0"/>
    <x v="0"/>
    <x v="0"/>
    <x v="0"/>
    <x v="0"/>
    <s v="09"/>
    <x v="0"/>
    <x v="0"/>
    <x v="1"/>
    <x v="5"/>
    <n v="-55106.59"/>
  </r>
  <r>
    <x v="0"/>
    <x v="0"/>
    <x v="0"/>
    <x v="0"/>
    <x v="0"/>
    <x v="3"/>
    <x v="0"/>
    <x v="0"/>
    <x v="0"/>
    <x v="0"/>
    <x v="0"/>
    <x v="0"/>
    <s v="09"/>
    <x v="0"/>
    <x v="0"/>
    <x v="1"/>
    <x v="6"/>
    <n v="-20854.38"/>
  </r>
  <r>
    <x v="0"/>
    <x v="0"/>
    <x v="0"/>
    <x v="0"/>
    <x v="0"/>
    <x v="3"/>
    <x v="0"/>
    <x v="0"/>
    <x v="0"/>
    <x v="0"/>
    <x v="0"/>
    <x v="0"/>
    <s v="09"/>
    <x v="0"/>
    <x v="0"/>
    <x v="1"/>
    <x v="1"/>
    <n v="5783.16"/>
  </r>
  <r>
    <x v="0"/>
    <x v="0"/>
    <x v="0"/>
    <x v="0"/>
    <x v="0"/>
    <x v="3"/>
    <x v="0"/>
    <x v="0"/>
    <x v="0"/>
    <x v="0"/>
    <x v="0"/>
    <x v="0"/>
    <s v="20"/>
    <x v="7"/>
    <x v="0"/>
    <x v="0"/>
    <x v="2"/>
    <n v="500"/>
  </r>
  <r>
    <x v="0"/>
    <x v="0"/>
    <x v="0"/>
    <x v="0"/>
    <x v="0"/>
    <x v="3"/>
    <x v="0"/>
    <x v="0"/>
    <x v="0"/>
    <x v="0"/>
    <x v="0"/>
    <x v="0"/>
    <s v="20"/>
    <x v="7"/>
    <x v="0"/>
    <x v="0"/>
    <x v="8"/>
    <n v="-500"/>
  </r>
  <r>
    <x v="0"/>
    <x v="0"/>
    <x v="0"/>
    <x v="0"/>
    <x v="0"/>
    <x v="3"/>
    <x v="0"/>
    <x v="0"/>
    <x v="0"/>
    <x v="0"/>
    <x v="0"/>
    <x v="0"/>
    <s v="20"/>
    <x v="7"/>
    <x v="0"/>
    <x v="0"/>
    <x v="9"/>
    <n v="30"/>
  </r>
  <r>
    <x v="0"/>
    <x v="0"/>
    <x v="0"/>
    <x v="0"/>
    <x v="0"/>
    <x v="3"/>
    <x v="0"/>
    <x v="0"/>
    <x v="0"/>
    <x v="0"/>
    <x v="0"/>
    <x v="0"/>
    <s v="20"/>
    <x v="7"/>
    <x v="0"/>
    <x v="1"/>
    <x v="6"/>
    <n v="145"/>
  </r>
  <r>
    <x v="0"/>
    <x v="0"/>
    <x v="0"/>
    <x v="0"/>
    <x v="0"/>
    <x v="3"/>
    <x v="0"/>
    <x v="0"/>
    <x v="0"/>
    <x v="0"/>
    <x v="0"/>
    <x v="0"/>
    <s v="20"/>
    <x v="7"/>
    <x v="0"/>
    <x v="1"/>
    <x v="1"/>
    <n v="70.040000000000006"/>
  </r>
  <r>
    <x v="0"/>
    <x v="0"/>
    <x v="0"/>
    <x v="0"/>
    <x v="0"/>
    <x v="3"/>
    <x v="0"/>
    <x v="0"/>
    <x v="0"/>
    <x v="0"/>
    <x v="0"/>
    <x v="0"/>
    <s v="24"/>
    <x v="1"/>
    <x v="0"/>
    <x v="0"/>
    <x v="0"/>
    <n v="1404688.21"/>
  </r>
  <r>
    <x v="0"/>
    <x v="0"/>
    <x v="0"/>
    <x v="0"/>
    <x v="0"/>
    <x v="3"/>
    <x v="0"/>
    <x v="0"/>
    <x v="0"/>
    <x v="0"/>
    <x v="0"/>
    <x v="0"/>
    <s v="24"/>
    <x v="1"/>
    <x v="0"/>
    <x v="0"/>
    <x v="2"/>
    <n v="-130825.64"/>
  </r>
  <r>
    <x v="0"/>
    <x v="0"/>
    <x v="0"/>
    <x v="0"/>
    <x v="0"/>
    <x v="3"/>
    <x v="0"/>
    <x v="0"/>
    <x v="0"/>
    <x v="0"/>
    <x v="0"/>
    <x v="0"/>
    <s v="24"/>
    <x v="1"/>
    <x v="0"/>
    <x v="0"/>
    <x v="8"/>
    <n v="1207392.6499999999"/>
  </r>
  <r>
    <x v="0"/>
    <x v="0"/>
    <x v="0"/>
    <x v="0"/>
    <x v="0"/>
    <x v="3"/>
    <x v="0"/>
    <x v="0"/>
    <x v="0"/>
    <x v="0"/>
    <x v="0"/>
    <x v="0"/>
    <s v="24"/>
    <x v="1"/>
    <x v="0"/>
    <x v="0"/>
    <x v="9"/>
    <n v="-1222932.79"/>
  </r>
  <r>
    <x v="0"/>
    <x v="0"/>
    <x v="0"/>
    <x v="0"/>
    <x v="0"/>
    <x v="3"/>
    <x v="0"/>
    <x v="0"/>
    <x v="0"/>
    <x v="0"/>
    <x v="0"/>
    <x v="0"/>
    <s v="24"/>
    <x v="1"/>
    <x v="0"/>
    <x v="0"/>
    <x v="10"/>
    <n v="317042.78000000003"/>
  </r>
  <r>
    <x v="0"/>
    <x v="0"/>
    <x v="0"/>
    <x v="0"/>
    <x v="0"/>
    <x v="3"/>
    <x v="0"/>
    <x v="0"/>
    <x v="0"/>
    <x v="0"/>
    <x v="0"/>
    <x v="0"/>
    <s v="24"/>
    <x v="1"/>
    <x v="0"/>
    <x v="0"/>
    <x v="11"/>
    <n v="1592190.82"/>
  </r>
  <r>
    <x v="0"/>
    <x v="0"/>
    <x v="0"/>
    <x v="0"/>
    <x v="0"/>
    <x v="3"/>
    <x v="0"/>
    <x v="0"/>
    <x v="0"/>
    <x v="0"/>
    <x v="0"/>
    <x v="0"/>
    <s v="24"/>
    <x v="1"/>
    <x v="0"/>
    <x v="0"/>
    <x v="3"/>
    <n v="-584164.68999999994"/>
  </r>
  <r>
    <x v="0"/>
    <x v="0"/>
    <x v="0"/>
    <x v="0"/>
    <x v="0"/>
    <x v="3"/>
    <x v="0"/>
    <x v="0"/>
    <x v="0"/>
    <x v="0"/>
    <x v="0"/>
    <x v="0"/>
    <s v="24"/>
    <x v="1"/>
    <x v="0"/>
    <x v="0"/>
    <x v="4"/>
    <n v="133934.68"/>
  </r>
  <r>
    <x v="0"/>
    <x v="0"/>
    <x v="0"/>
    <x v="0"/>
    <x v="0"/>
    <x v="3"/>
    <x v="0"/>
    <x v="0"/>
    <x v="0"/>
    <x v="0"/>
    <x v="0"/>
    <x v="0"/>
    <s v="24"/>
    <x v="1"/>
    <x v="0"/>
    <x v="0"/>
    <x v="7"/>
    <n v="1910299.8"/>
  </r>
  <r>
    <x v="0"/>
    <x v="0"/>
    <x v="0"/>
    <x v="0"/>
    <x v="0"/>
    <x v="3"/>
    <x v="0"/>
    <x v="0"/>
    <x v="0"/>
    <x v="0"/>
    <x v="0"/>
    <x v="0"/>
    <s v="24"/>
    <x v="1"/>
    <x v="0"/>
    <x v="0"/>
    <x v="5"/>
    <n v="-1382458.14"/>
  </r>
  <r>
    <x v="0"/>
    <x v="0"/>
    <x v="0"/>
    <x v="0"/>
    <x v="0"/>
    <x v="3"/>
    <x v="0"/>
    <x v="0"/>
    <x v="0"/>
    <x v="0"/>
    <x v="0"/>
    <x v="0"/>
    <s v="24"/>
    <x v="1"/>
    <x v="0"/>
    <x v="0"/>
    <x v="6"/>
    <n v="-93148.66"/>
  </r>
  <r>
    <x v="0"/>
    <x v="0"/>
    <x v="0"/>
    <x v="0"/>
    <x v="0"/>
    <x v="3"/>
    <x v="0"/>
    <x v="0"/>
    <x v="0"/>
    <x v="0"/>
    <x v="0"/>
    <x v="0"/>
    <s v="24"/>
    <x v="1"/>
    <x v="0"/>
    <x v="0"/>
    <x v="1"/>
    <n v="-2532098.44"/>
  </r>
  <r>
    <x v="0"/>
    <x v="0"/>
    <x v="0"/>
    <x v="0"/>
    <x v="0"/>
    <x v="3"/>
    <x v="0"/>
    <x v="0"/>
    <x v="0"/>
    <x v="0"/>
    <x v="0"/>
    <x v="0"/>
    <s v="24"/>
    <x v="1"/>
    <x v="0"/>
    <x v="1"/>
    <x v="0"/>
    <n v="1110852.29"/>
  </r>
  <r>
    <x v="0"/>
    <x v="0"/>
    <x v="0"/>
    <x v="0"/>
    <x v="0"/>
    <x v="3"/>
    <x v="0"/>
    <x v="0"/>
    <x v="0"/>
    <x v="0"/>
    <x v="0"/>
    <x v="0"/>
    <s v="24"/>
    <x v="1"/>
    <x v="0"/>
    <x v="1"/>
    <x v="2"/>
    <n v="1075532.9099999999"/>
  </r>
  <r>
    <x v="0"/>
    <x v="0"/>
    <x v="0"/>
    <x v="0"/>
    <x v="0"/>
    <x v="3"/>
    <x v="0"/>
    <x v="0"/>
    <x v="0"/>
    <x v="0"/>
    <x v="0"/>
    <x v="0"/>
    <s v="24"/>
    <x v="1"/>
    <x v="0"/>
    <x v="1"/>
    <x v="8"/>
    <n v="-1238558.78"/>
  </r>
  <r>
    <x v="0"/>
    <x v="0"/>
    <x v="0"/>
    <x v="0"/>
    <x v="0"/>
    <x v="3"/>
    <x v="0"/>
    <x v="0"/>
    <x v="0"/>
    <x v="0"/>
    <x v="0"/>
    <x v="0"/>
    <s v="24"/>
    <x v="1"/>
    <x v="0"/>
    <x v="1"/>
    <x v="9"/>
    <n v="-622203.93999999994"/>
  </r>
  <r>
    <x v="0"/>
    <x v="0"/>
    <x v="0"/>
    <x v="0"/>
    <x v="0"/>
    <x v="3"/>
    <x v="0"/>
    <x v="0"/>
    <x v="0"/>
    <x v="0"/>
    <x v="0"/>
    <x v="0"/>
    <s v="24"/>
    <x v="1"/>
    <x v="0"/>
    <x v="1"/>
    <x v="10"/>
    <n v="1117990.43"/>
  </r>
  <r>
    <x v="0"/>
    <x v="0"/>
    <x v="0"/>
    <x v="0"/>
    <x v="0"/>
    <x v="3"/>
    <x v="0"/>
    <x v="0"/>
    <x v="0"/>
    <x v="0"/>
    <x v="0"/>
    <x v="0"/>
    <s v="24"/>
    <x v="1"/>
    <x v="0"/>
    <x v="1"/>
    <x v="11"/>
    <n v="-572255.66"/>
  </r>
  <r>
    <x v="0"/>
    <x v="0"/>
    <x v="0"/>
    <x v="0"/>
    <x v="0"/>
    <x v="3"/>
    <x v="0"/>
    <x v="0"/>
    <x v="0"/>
    <x v="0"/>
    <x v="0"/>
    <x v="0"/>
    <s v="24"/>
    <x v="1"/>
    <x v="0"/>
    <x v="1"/>
    <x v="3"/>
    <n v="-391088.45"/>
  </r>
  <r>
    <x v="0"/>
    <x v="0"/>
    <x v="0"/>
    <x v="0"/>
    <x v="0"/>
    <x v="3"/>
    <x v="0"/>
    <x v="0"/>
    <x v="0"/>
    <x v="0"/>
    <x v="0"/>
    <x v="0"/>
    <s v="24"/>
    <x v="1"/>
    <x v="0"/>
    <x v="1"/>
    <x v="4"/>
    <n v="120855.69"/>
  </r>
  <r>
    <x v="0"/>
    <x v="0"/>
    <x v="0"/>
    <x v="0"/>
    <x v="0"/>
    <x v="3"/>
    <x v="0"/>
    <x v="0"/>
    <x v="0"/>
    <x v="0"/>
    <x v="0"/>
    <x v="0"/>
    <s v="24"/>
    <x v="1"/>
    <x v="0"/>
    <x v="1"/>
    <x v="7"/>
    <n v="1164554.24"/>
  </r>
  <r>
    <x v="0"/>
    <x v="0"/>
    <x v="0"/>
    <x v="0"/>
    <x v="0"/>
    <x v="3"/>
    <x v="0"/>
    <x v="0"/>
    <x v="0"/>
    <x v="0"/>
    <x v="0"/>
    <x v="0"/>
    <s v="24"/>
    <x v="1"/>
    <x v="0"/>
    <x v="1"/>
    <x v="5"/>
    <n v="-1382469.22"/>
  </r>
  <r>
    <x v="0"/>
    <x v="0"/>
    <x v="0"/>
    <x v="0"/>
    <x v="0"/>
    <x v="3"/>
    <x v="0"/>
    <x v="0"/>
    <x v="0"/>
    <x v="0"/>
    <x v="0"/>
    <x v="0"/>
    <s v="24"/>
    <x v="1"/>
    <x v="0"/>
    <x v="1"/>
    <x v="6"/>
    <n v="-210266.45"/>
  </r>
  <r>
    <x v="0"/>
    <x v="0"/>
    <x v="0"/>
    <x v="0"/>
    <x v="0"/>
    <x v="3"/>
    <x v="0"/>
    <x v="0"/>
    <x v="0"/>
    <x v="0"/>
    <x v="0"/>
    <x v="0"/>
    <s v="24"/>
    <x v="1"/>
    <x v="0"/>
    <x v="1"/>
    <x v="1"/>
    <n v="-423262.38"/>
  </r>
  <r>
    <x v="0"/>
    <x v="0"/>
    <x v="0"/>
    <x v="0"/>
    <x v="0"/>
    <x v="3"/>
    <x v="0"/>
    <x v="0"/>
    <x v="0"/>
    <x v="0"/>
    <x v="0"/>
    <x v="0"/>
    <s v="30"/>
    <x v="3"/>
    <x v="0"/>
    <x v="0"/>
    <x v="0"/>
    <n v="25"/>
  </r>
  <r>
    <x v="0"/>
    <x v="0"/>
    <x v="0"/>
    <x v="0"/>
    <x v="0"/>
    <x v="3"/>
    <x v="0"/>
    <x v="0"/>
    <x v="0"/>
    <x v="0"/>
    <x v="0"/>
    <x v="0"/>
    <s v="30"/>
    <x v="3"/>
    <x v="0"/>
    <x v="0"/>
    <x v="9"/>
    <n v="1134.8"/>
  </r>
  <r>
    <x v="0"/>
    <x v="0"/>
    <x v="0"/>
    <x v="0"/>
    <x v="0"/>
    <x v="3"/>
    <x v="0"/>
    <x v="0"/>
    <x v="0"/>
    <x v="0"/>
    <x v="0"/>
    <x v="0"/>
    <s v="30"/>
    <x v="3"/>
    <x v="0"/>
    <x v="0"/>
    <x v="10"/>
    <n v="-1218.8"/>
  </r>
  <r>
    <x v="0"/>
    <x v="0"/>
    <x v="0"/>
    <x v="0"/>
    <x v="0"/>
    <x v="3"/>
    <x v="0"/>
    <x v="0"/>
    <x v="0"/>
    <x v="0"/>
    <x v="0"/>
    <x v="0"/>
    <s v="30"/>
    <x v="3"/>
    <x v="0"/>
    <x v="0"/>
    <x v="11"/>
    <n v="-127.3"/>
  </r>
  <r>
    <x v="0"/>
    <x v="0"/>
    <x v="0"/>
    <x v="0"/>
    <x v="0"/>
    <x v="3"/>
    <x v="0"/>
    <x v="0"/>
    <x v="0"/>
    <x v="0"/>
    <x v="0"/>
    <x v="0"/>
    <s v="30"/>
    <x v="3"/>
    <x v="0"/>
    <x v="0"/>
    <x v="3"/>
    <n v="-3537.29"/>
  </r>
  <r>
    <x v="0"/>
    <x v="0"/>
    <x v="0"/>
    <x v="0"/>
    <x v="0"/>
    <x v="3"/>
    <x v="0"/>
    <x v="0"/>
    <x v="0"/>
    <x v="0"/>
    <x v="0"/>
    <x v="0"/>
    <s v="30"/>
    <x v="3"/>
    <x v="0"/>
    <x v="0"/>
    <x v="4"/>
    <n v="-406.16"/>
  </r>
  <r>
    <x v="0"/>
    <x v="0"/>
    <x v="0"/>
    <x v="0"/>
    <x v="0"/>
    <x v="3"/>
    <x v="0"/>
    <x v="0"/>
    <x v="0"/>
    <x v="0"/>
    <x v="0"/>
    <x v="0"/>
    <s v="30"/>
    <x v="3"/>
    <x v="0"/>
    <x v="0"/>
    <x v="7"/>
    <n v="127.3"/>
  </r>
  <r>
    <x v="0"/>
    <x v="0"/>
    <x v="0"/>
    <x v="0"/>
    <x v="0"/>
    <x v="3"/>
    <x v="0"/>
    <x v="0"/>
    <x v="0"/>
    <x v="0"/>
    <x v="0"/>
    <x v="0"/>
    <s v="30"/>
    <x v="3"/>
    <x v="0"/>
    <x v="0"/>
    <x v="6"/>
    <n v="8121.5"/>
  </r>
  <r>
    <x v="0"/>
    <x v="0"/>
    <x v="0"/>
    <x v="0"/>
    <x v="0"/>
    <x v="3"/>
    <x v="0"/>
    <x v="0"/>
    <x v="0"/>
    <x v="0"/>
    <x v="0"/>
    <x v="0"/>
    <s v="30"/>
    <x v="3"/>
    <x v="0"/>
    <x v="0"/>
    <x v="1"/>
    <n v="-4132.8500000000004"/>
  </r>
  <r>
    <x v="0"/>
    <x v="0"/>
    <x v="0"/>
    <x v="0"/>
    <x v="0"/>
    <x v="3"/>
    <x v="0"/>
    <x v="0"/>
    <x v="0"/>
    <x v="0"/>
    <x v="0"/>
    <x v="0"/>
    <s v="30"/>
    <x v="3"/>
    <x v="0"/>
    <x v="1"/>
    <x v="2"/>
    <n v="-672"/>
  </r>
  <r>
    <x v="0"/>
    <x v="0"/>
    <x v="0"/>
    <x v="0"/>
    <x v="0"/>
    <x v="3"/>
    <x v="0"/>
    <x v="0"/>
    <x v="0"/>
    <x v="0"/>
    <x v="0"/>
    <x v="0"/>
    <s v="30"/>
    <x v="3"/>
    <x v="0"/>
    <x v="1"/>
    <x v="8"/>
    <n v="672"/>
  </r>
  <r>
    <x v="0"/>
    <x v="0"/>
    <x v="0"/>
    <x v="0"/>
    <x v="0"/>
    <x v="3"/>
    <x v="0"/>
    <x v="0"/>
    <x v="0"/>
    <x v="0"/>
    <x v="0"/>
    <x v="0"/>
    <s v="30"/>
    <x v="3"/>
    <x v="0"/>
    <x v="1"/>
    <x v="10"/>
    <n v="495"/>
  </r>
  <r>
    <x v="0"/>
    <x v="0"/>
    <x v="0"/>
    <x v="0"/>
    <x v="0"/>
    <x v="3"/>
    <x v="0"/>
    <x v="0"/>
    <x v="0"/>
    <x v="0"/>
    <x v="0"/>
    <x v="0"/>
    <s v="30"/>
    <x v="3"/>
    <x v="0"/>
    <x v="1"/>
    <x v="11"/>
    <n v="-495"/>
  </r>
  <r>
    <x v="0"/>
    <x v="0"/>
    <x v="0"/>
    <x v="0"/>
    <x v="0"/>
    <x v="3"/>
    <x v="0"/>
    <x v="0"/>
    <x v="0"/>
    <x v="0"/>
    <x v="0"/>
    <x v="0"/>
    <s v="30"/>
    <x v="3"/>
    <x v="0"/>
    <x v="1"/>
    <x v="3"/>
    <n v="5.5"/>
  </r>
  <r>
    <x v="0"/>
    <x v="0"/>
    <x v="0"/>
    <x v="0"/>
    <x v="0"/>
    <x v="3"/>
    <x v="0"/>
    <x v="0"/>
    <x v="0"/>
    <x v="0"/>
    <x v="0"/>
    <x v="0"/>
    <s v="30"/>
    <x v="3"/>
    <x v="0"/>
    <x v="1"/>
    <x v="4"/>
    <n v="-592.79999999999995"/>
  </r>
  <r>
    <x v="0"/>
    <x v="0"/>
    <x v="0"/>
    <x v="0"/>
    <x v="0"/>
    <x v="3"/>
    <x v="0"/>
    <x v="0"/>
    <x v="0"/>
    <x v="0"/>
    <x v="0"/>
    <x v="0"/>
    <s v="30"/>
    <x v="3"/>
    <x v="0"/>
    <x v="1"/>
    <x v="7"/>
    <n v="254.5"/>
  </r>
  <r>
    <x v="0"/>
    <x v="0"/>
    <x v="0"/>
    <x v="0"/>
    <x v="0"/>
    <x v="3"/>
    <x v="0"/>
    <x v="0"/>
    <x v="0"/>
    <x v="0"/>
    <x v="0"/>
    <x v="0"/>
    <s v="30"/>
    <x v="3"/>
    <x v="0"/>
    <x v="1"/>
    <x v="5"/>
    <n v="332.8"/>
  </r>
  <r>
    <x v="0"/>
    <x v="0"/>
    <x v="0"/>
    <x v="0"/>
    <x v="0"/>
    <x v="3"/>
    <x v="0"/>
    <x v="0"/>
    <x v="0"/>
    <x v="0"/>
    <x v="0"/>
    <x v="0"/>
    <s v="31"/>
    <x v="8"/>
    <x v="0"/>
    <x v="0"/>
    <x v="8"/>
    <n v="-3"/>
  </r>
  <r>
    <x v="0"/>
    <x v="0"/>
    <x v="0"/>
    <x v="0"/>
    <x v="0"/>
    <x v="3"/>
    <x v="0"/>
    <x v="0"/>
    <x v="0"/>
    <x v="0"/>
    <x v="0"/>
    <x v="0"/>
    <s v="31"/>
    <x v="8"/>
    <x v="0"/>
    <x v="0"/>
    <x v="1"/>
    <n v="3"/>
  </r>
  <r>
    <x v="0"/>
    <x v="0"/>
    <x v="0"/>
    <x v="0"/>
    <x v="0"/>
    <x v="3"/>
    <x v="0"/>
    <x v="0"/>
    <x v="0"/>
    <x v="0"/>
    <x v="0"/>
    <x v="0"/>
    <s v="31"/>
    <x v="8"/>
    <x v="0"/>
    <x v="1"/>
    <x v="0"/>
    <n v="-95"/>
  </r>
  <r>
    <x v="0"/>
    <x v="0"/>
    <x v="0"/>
    <x v="0"/>
    <x v="0"/>
    <x v="3"/>
    <x v="0"/>
    <x v="0"/>
    <x v="0"/>
    <x v="0"/>
    <x v="0"/>
    <x v="0"/>
    <s v="31"/>
    <x v="8"/>
    <x v="0"/>
    <x v="1"/>
    <x v="8"/>
    <n v="95"/>
  </r>
  <r>
    <x v="0"/>
    <x v="0"/>
    <x v="0"/>
    <x v="0"/>
    <x v="0"/>
    <x v="3"/>
    <x v="0"/>
    <x v="0"/>
    <x v="0"/>
    <x v="0"/>
    <x v="0"/>
    <x v="0"/>
    <s v="31"/>
    <x v="8"/>
    <x v="0"/>
    <x v="1"/>
    <x v="5"/>
    <n v="-136.72"/>
  </r>
  <r>
    <x v="0"/>
    <x v="0"/>
    <x v="0"/>
    <x v="0"/>
    <x v="0"/>
    <x v="3"/>
    <x v="0"/>
    <x v="0"/>
    <x v="0"/>
    <x v="0"/>
    <x v="0"/>
    <x v="0"/>
    <s v="31"/>
    <x v="8"/>
    <x v="0"/>
    <x v="1"/>
    <x v="6"/>
    <n v="5"/>
  </r>
  <r>
    <x v="0"/>
    <x v="0"/>
    <x v="0"/>
    <x v="0"/>
    <x v="0"/>
    <x v="3"/>
    <x v="0"/>
    <x v="0"/>
    <x v="0"/>
    <x v="0"/>
    <x v="0"/>
    <x v="0"/>
    <s v="31"/>
    <x v="8"/>
    <x v="0"/>
    <x v="1"/>
    <x v="1"/>
    <n v="131.72"/>
  </r>
  <r>
    <x v="0"/>
    <x v="0"/>
    <x v="0"/>
    <x v="0"/>
    <x v="0"/>
    <x v="3"/>
    <x v="0"/>
    <x v="0"/>
    <x v="0"/>
    <x v="0"/>
    <x v="0"/>
    <x v="0"/>
    <s v="99"/>
    <x v="9"/>
    <x v="0"/>
    <x v="0"/>
    <x v="0"/>
    <n v="-5762.21"/>
  </r>
  <r>
    <x v="0"/>
    <x v="0"/>
    <x v="0"/>
    <x v="0"/>
    <x v="0"/>
    <x v="3"/>
    <x v="0"/>
    <x v="0"/>
    <x v="0"/>
    <x v="0"/>
    <x v="0"/>
    <x v="0"/>
    <s v="99"/>
    <x v="9"/>
    <x v="0"/>
    <x v="0"/>
    <x v="2"/>
    <n v="3993.42"/>
  </r>
  <r>
    <x v="0"/>
    <x v="0"/>
    <x v="0"/>
    <x v="0"/>
    <x v="0"/>
    <x v="3"/>
    <x v="0"/>
    <x v="0"/>
    <x v="0"/>
    <x v="0"/>
    <x v="0"/>
    <x v="0"/>
    <s v="99"/>
    <x v="9"/>
    <x v="0"/>
    <x v="0"/>
    <x v="8"/>
    <n v="578.16999999999996"/>
  </r>
  <r>
    <x v="0"/>
    <x v="0"/>
    <x v="0"/>
    <x v="0"/>
    <x v="0"/>
    <x v="3"/>
    <x v="0"/>
    <x v="0"/>
    <x v="0"/>
    <x v="0"/>
    <x v="0"/>
    <x v="0"/>
    <s v="99"/>
    <x v="9"/>
    <x v="0"/>
    <x v="0"/>
    <x v="9"/>
    <n v="9612.36"/>
  </r>
  <r>
    <x v="0"/>
    <x v="0"/>
    <x v="0"/>
    <x v="0"/>
    <x v="0"/>
    <x v="3"/>
    <x v="0"/>
    <x v="0"/>
    <x v="0"/>
    <x v="0"/>
    <x v="0"/>
    <x v="0"/>
    <s v="99"/>
    <x v="9"/>
    <x v="0"/>
    <x v="0"/>
    <x v="10"/>
    <n v="342.18"/>
  </r>
  <r>
    <x v="0"/>
    <x v="0"/>
    <x v="0"/>
    <x v="0"/>
    <x v="0"/>
    <x v="3"/>
    <x v="0"/>
    <x v="0"/>
    <x v="0"/>
    <x v="0"/>
    <x v="0"/>
    <x v="0"/>
    <s v="99"/>
    <x v="9"/>
    <x v="0"/>
    <x v="0"/>
    <x v="11"/>
    <n v="-216.5"/>
  </r>
  <r>
    <x v="0"/>
    <x v="0"/>
    <x v="0"/>
    <x v="0"/>
    <x v="0"/>
    <x v="3"/>
    <x v="0"/>
    <x v="0"/>
    <x v="0"/>
    <x v="0"/>
    <x v="0"/>
    <x v="0"/>
    <s v="99"/>
    <x v="9"/>
    <x v="0"/>
    <x v="0"/>
    <x v="3"/>
    <n v="-166.11"/>
  </r>
  <r>
    <x v="0"/>
    <x v="0"/>
    <x v="0"/>
    <x v="0"/>
    <x v="0"/>
    <x v="3"/>
    <x v="0"/>
    <x v="0"/>
    <x v="0"/>
    <x v="0"/>
    <x v="0"/>
    <x v="0"/>
    <s v="99"/>
    <x v="9"/>
    <x v="0"/>
    <x v="0"/>
    <x v="4"/>
    <n v="3589.72"/>
  </r>
  <r>
    <x v="0"/>
    <x v="0"/>
    <x v="0"/>
    <x v="0"/>
    <x v="0"/>
    <x v="3"/>
    <x v="0"/>
    <x v="0"/>
    <x v="0"/>
    <x v="0"/>
    <x v="0"/>
    <x v="0"/>
    <s v="99"/>
    <x v="9"/>
    <x v="0"/>
    <x v="0"/>
    <x v="7"/>
    <n v="-10405.18"/>
  </r>
  <r>
    <x v="0"/>
    <x v="0"/>
    <x v="0"/>
    <x v="0"/>
    <x v="0"/>
    <x v="3"/>
    <x v="0"/>
    <x v="0"/>
    <x v="0"/>
    <x v="0"/>
    <x v="0"/>
    <x v="0"/>
    <s v="99"/>
    <x v="9"/>
    <x v="0"/>
    <x v="0"/>
    <x v="5"/>
    <n v="6195.96"/>
  </r>
  <r>
    <x v="0"/>
    <x v="0"/>
    <x v="0"/>
    <x v="0"/>
    <x v="0"/>
    <x v="3"/>
    <x v="0"/>
    <x v="0"/>
    <x v="0"/>
    <x v="0"/>
    <x v="0"/>
    <x v="0"/>
    <s v="99"/>
    <x v="9"/>
    <x v="0"/>
    <x v="0"/>
    <x v="6"/>
    <n v="356.77"/>
  </r>
  <r>
    <x v="0"/>
    <x v="0"/>
    <x v="0"/>
    <x v="0"/>
    <x v="0"/>
    <x v="3"/>
    <x v="0"/>
    <x v="0"/>
    <x v="0"/>
    <x v="0"/>
    <x v="0"/>
    <x v="0"/>
    <s v="99"/>
    <x v="9"/>
    <x v="0"/>
    <x v="0"/>
    <x v="1"/>
    <n v="45044.13"/>
  </r>
  <r>
    <x v="0"/>
    <x v="0"/>
    <x v="0"/>
    <x v="0"/>
    <x v="0"/>
    <x v="3"/>
    <x v="0"/>
    <x v="0"/>
    <x v="0"/>
    <x v="0"/>
    <x v="0"/>
    <x v="0"/>
    <s v="99"/>
    <x v="9"/>
    <x v="0"/>
    <x v="1"/>
    <x v="0"/>
    <n v="-3865.17"/>
  </r>
  <r>
    <x v="0"/>
    <x v="0"/>
    <x v="0"/>
    <x v="0"/>
    <x v="0"/>
    <x v="3"/>
    <x v="0"/>
    <x v="0"/>
    <x v="0"/>
    <x v="0"/>
    <x v="0"/>
    <x v="0"/>
    <s v="99"/>
    <x v="9"/>
    <x v="0"/>
    <x v="1"/>
    <x v="2"/>
    <n v="1727.57"/>
  </r>
  <r>
    <x v="0"/>
    <x v="0"/>
    <x v="0"/>
    <x v="0"/>
    <x v="0"/>
    <x v="3"/>
    <x v="0"/>
    <x v="0"/>
    <x v="0"/>
    <x v="0"/>
    <x v="0"/>
    <x v="0"/>
    <s v="99"/>
    <x v="9"/>
    <x v="0"/>
    <x v="1"/>
    <x v="8"/>
    <n v="156.27000000000001"/>
  </r>
  <r>
    <x v="0"/>
    <x v="0"/>
    <x v="0"/>
    <x v="0"/>
    <x v="0"/>
    <x v="3"/>
    <x v="0"/>
    <x v="0"/>
    <x v="0"/>
    <x v="0"/>
    <x v="0"/>
    <x v="0"/>
    <s v="99"/>
    <x v="9"/>
    <x v="0"/>
    <x v="1"/>
    <x v="9"/>
    <n v="367.28"/>
  </r>
  <r>
    <x v="0"/>
    <x v="0"/>
    <x v="0"/>
    <x v="0"/>
    <x v="0"/>
    <x v="3"/>
    <x v="0"/>
    <x v="0"/>
    <x v="0"/>
    <x v="0"/>
    <x v="0"/>
    <x v="0"/>
    <s v="99"/>
    <x v="9"/>
    <x v="0"/>
    <x v="1"/>
    <x v="10"/>
    <n v="269.62"/>
  </r>
  <r>
    <x v="0"/>
    <x v="0"/>
    <x v="0"/>
    <x v="0"/>
    <x v="0"/>
    <x v="3"/>
    <x v="0"/>
    <x v="0"/>
    <x v="0"/>
    <x v="0"/>
    <x v="0"/>
    <x v="0"/>
    <s v="99"/>
    <x v="9"/>
    <x v="0"/>
    <x v="1"/>
    <x v="11"/>
    <n v="3092.37"/>
  </r>
  <r>
    <x v="0"/>
    <x v="0"/>
    <x v="0"/>
    <x v="0"/>
    <x v="0"/>
    <x v="3"/>
    <x v="0"/>
    <x v="0"/>
    <x v="0"/>
    <x v="0"/>
    <x v="0"/>
    <x v="0"/>
    <s v="99"/>
    <x v="9"/>
    <x v="0"/>
    <x v="1"/>
    <x v="3"/>
    <n v="31967.3"/>
  </r>
  <r>
    <x v="0"/>
    <x v="0"/>
    <x v="0"/>
    <x v="0"/>
    <x v="0"/>
    <x v="3"/>
    <x v="0"/>
    <x v="0"/>
    <x v="0"/>
    <x v="0"/>
    <x v="0"/>
    <x v="0"/>
    <s v="99"/>
    <x v="9"/>
    <x v="0"/>
    <x v="1"/>
    <x v="4"/>
    <n v="5632.95"/>
  </r>
  <r>
    <x v="0"/>
    <x v="0"/>
    <x v="0"/>
    <x v="0"/>
    <x v="0"/>
    <x v="3"/>
    <x v="0"/>
    <x v="0"/>
    <x v="0"/>
    <x v="0"/>
    <x v="0"/>
    <x v="0"/>
    <s v="99"/>
    <x v="9"/>
    <x v="0"/>
    <x v="1"/>
    <x v="7"/>
    <n v="-41927.68"/>
  </r>
  <r>
    <x v="0"/>
    <x v="0"/>
    <x v="0"/>
    <x v="0"/>
    <x v="0"/>
    <x v="3"/>
    <x v="0"/>
    <x v="0"/>
    <x v="0"/>
    <x v="0"/>
    <x v="0"/>
    <x v="0"/>
    <s v="99"/>
    <x v="9"/>
    <x v="0"/>
    <x v="1"/>
    <x v="5"/>
    <n v="-3937.29"/>
  </r>
  <r>
    <x v="0"/>
    <x v="0"/>
    <x v="0"/>
    <x v="0"/>
    <x v="0"/>
    <x v="3"/>
    <x v="0"/>
    <x v="0"/>
    <x v="0"/>
    <x v="0"/>
    <x v="0"/>
    <x v="0"/>
    <s v="99"/>
    <x v="9"/>
    <x v="0"/>
    <x v="1"/>
    <x v="6"/>
    <n v="-924.66"/>
  </r>
  <r>
    <x v="0"/>
    <x v="0"/>
    <x v="0"/>
    <x v="0"/>
    <x v="0"/>
    <x v="3"/>
    <x v="0"/>
    <x v="0"/>
    <x v="0"/>
    <x v="0"/>
    <x v="0"/>
    <x v="0"/>
    <s v="99"/>
    <x v="9"/>
    <x v="0"/>
    <x v="1"/>
    <x v="1"/>
    <n v="7441.44"/>
  </r>
  <r>
    <x v="0"/>
    <x v="0"/>
    <x v="0"/>
    <x v="0"/>
    <x v="0"/>
    <x v="3"/>
    <x v="0"/>
    <x v="0"/>
    <x v="0"/>
    <x v="0"/>
    <x v="2"/>
    <x v="2"/>
    <s v="91"/>
    <x v="10"/>
    <x v="0"/>
    <x v="0"/>
    <x v="0"/>
    <n v="-1405.85"/>
  </r>
  <r>
    <x v="0"/>
    <x v="0"/>
    <x v="0"/>
    <x v="0"/>
    <x v="0"/>
    <x v="3"/>
    <x v="0"/>
    <x v="0"/>
    <x v="0"/>
    <x v="0"/>
    <x v="2"/>
    <x v="2"/>
    <s v="91"/>
    <x v="10"/>
    <x v="0"/>
    <x v="0"/>
    <x v="2"/>
    <n v="4223.71"/>
  </r>
  <r>
    <x v="0"/>
    <x v="0"/>
    <x v="0"/>
    <x v="0"/>
    <x v="0"/>
    <x v="3"/>
    <x v="0"/>
    <x v="0"/>
    <x v="0"/>
    <x v="0"/>
    <x v="2"/>
    <x v="2"/>
    <s v="91"/>
    <x v="10"/>
    <x v="0"/>
    <x v="0"/>
    <x v="8"/>
    <n v="-854"/>
  </r>
  <r>
    <x v="0"/>
    <x v="0"/>
    <x v="0"/>
    <x v="0"/>
    <x v="0"/>
    <x v="3"/>
    <x v="0"/>
    <x v="0"/>
    <x v="0"/>
    <x v="0"/>
    <x v="2"/>
    <x v="2"/>
    <s v="91"/>
    <x v="10"/>
    <x v="0"/>
    <x v="0"/>
    <x v="9"/>
    <n v="4933.5"/>
  </r>
  <r>
    <x v="0"/>
    <x v="0"/>
    <x v="0"/>
    <x v="0"/>
    <x v="0"/>
    <x v="3"/>
    <x v="0"/>
    <x v="0"/>
    <x v="0"/>
    <x v="0"/>
    <x v="2"/>
    <x v="2"/>
    <s v="91"/>
    <x v="10"/>
    <x v="0"/>
    <x v="0"/>
    <x v="10"/>
    <n v="-5690.5"/>
  </r>
  <r>
    <x v="0"/>
    <x v="0"/>
    <x v="0"/>
    <x v="0"/>
    <x v="0"/>
    <x v="3"/>
    <x v="0"/>
    <x v="0"/>
    <x v="0"/>
    <x v="0"/>
    <x v="2"/>
    <x v="2"/>
    <s v="91"/>
    <x v="10"/>
    <x v="0"/>
    <x v="0"/>
    <x v="11"/>
    <n v="4595.3999999999996"/>
  </r>
  <r>
    <x v="0"/>
    <x v="0"/>
    <x v="0"/>
    <x v="0"/>
    <x v="0"/>
    <x v="3"/>
    <x v="0"/>
    <x v="0"/>
    <x v="0"/>
    <x v="0"/>
    <x v="2"/>
    <x v="2"/>
    <s v="91"/>
    <x v="10"/>
    <x v="0"/>
    <x v="0"/>
    <x v="3"/>
    <n v="-1651.5"/>
  </r>
  <r>
    <x v="0"/>
    <x v="0"/>
    <x v="0"/>
    <x v="0"/>
    <x v="0"/>
    <x v="3"/>
    <x v="0"/>
    <x v="0"/>
    <x v="0"/>
    <x v="0"/>
    <x v="2"/>
    <x v="2"/>
    <s v="91"/>
    <x v="10"/>
    <x v="0"/>
    <x v="0"/>
    <x v="4"/>
    <n v="-3220.5"/>
  </r>
  <r>
    <x v="0"/>
    <x v="0"/>
    <x v="0"/>
    <x v="0"/>
    <x v="0"/>
    <x v="3"/>
    <x v="0"/>
    <x v="0"/>
    <x v="0"/>
    <x v="0"/>
    <x v="2"/>
    <x v="2"/>
    <s v="91"/>
    <x v="10"/>
    <x v="0"/>
    <x v="0"/>
    <x v="7"/>
    <n v="1530.6"/>
  </r>
  <r>
    <x v="0"/>
    <x v="0"/>
    <x v="0"/>
    <x v="0"/>
    <x v="0"/>
    <x v="3"/>
    <x v="0"/>
    <x v="0"/>
    <x v="0"/>
    <x v="0"/>
    <x v="2"/>
    <x v="2"/>
    <s v="91"/>
    <x v="10"/>
    <x v="0"/>
    <x v="0"/>
    <x v="5"/>
    <n v="-655.1"/>
  </r>
  <r>
    <x v="0"/>
    <x v="0"/>
    <x v="0"/>
    <x v="0"/>
    <x v="0"/>
    <x v="3"/>
    <x v="0"/>
    <x v="0"/>
    <x v="0"/>
    <x v="0"/>
    <x v="2"/>
    <x v="2"/>
    <s v="91"/>
    <x v="10"/>
    <x v="0"/>
    <x v="0"/>
    <x v="6"/>
    <n v="-855.5"/>
  </r>
  <r>
    <x v="0"/>
    <x v="0"/>
    <x v="0"/>
    <x v="0"/>
    <x v="0"/>
    <x v="3"/>
    <x v="0"/>
    <x v="0"/>
    <x v="0"/>
    <x v="0"/>
    <x v="2"/>
    <x v="2"/>
    <s v="91"/>
    <x v="10"/>
    <x v="0"/>
    <x v="0"/>
    <x v="1"/>
    <n v="1708"/>
  </r>
  <r>
    <x v="0"/>
    <x v="0"/>
    <x v="0"/>
    <x v="0"/>
    <x v="0"/>
    <x v="3"/>
    <x v="0"/>
    <x v="0"/>
    <x v="0"/>
    <x v="0"/>
    <x v="2"/>
    <x v="2"/>
    <s v="91"/>
    <x v="10"/>
    <x v="0"/>
    <x v="1"/>
    <x v="0"/>
    <n v="-564"/>
  </r>
  <r>
    <x v="0"/>
    <x v="0"/>
    <x v="0"/>
    <x v="0"/>
    <x v="0"/>
    <x v="3"/>
    <x v="0"/>
    <x v="0"/>
    <x v="0"/>
    <x v="0"/>
    <x v="2"/>
    <x v="2"/>
    <s v="91"/>
    <x v="10"/>
    <x v="0"/>
    <x v="1"/>
    <x v="2"/>
    <n v="1254"/>
  </r>
  <r>
    <x v="0"/>
    <x v="0"/>
    <x v="0"/>
    <x v="0"/>
    <x v="0"/>
    <x v="3"/>
    <x v="0"/>
    <x v="0"/>
    <x v="0"/>
    <x v="0"/>
    <x v="2"/>
    <x v="2"/>
    <s v="91"/>
    <x v="10"/>
    <x v="0"/>
    <x v="1"/>
    <x v="8"/>
    <n v="-1095.5"/>
  </r>
  <r>
    <x v="0"/>
    <x v="0"/>
    <x v="0"/>
    <x v="0"/>
    <x v="0"/>
    <x v="3"/>
    <x v="0"/>
    <x v="0"/>
    <x v="0"/>
    <x v="0"/>
    <x v="2"/>
    <x v="2"/>
    <s v="91"/>
    <x v="10"/>
    <x v="0"/>
    <x v="1"/>
    <x v="9"/>
    <n v="-328.05"/>
  </r>
  <r>
    <x v="0"/>
    <x v="0"/>
    <x v="0"/>
    <x v="0"/>
    <x v="0"/>
    <x v="3"/>
    <x v="0"/>
    <x v="0"/>
    <x v="0"/>
    <x v="0"/>
    <x v="2"/>
    <x v="2"/>
    <s v="91"/>
    <x v="10"/>
    <x v="0"/>
    <x v="1"/>
    <x v="10"/>
    <n v="4183.1000000000004"/>
  </r>
  <r>
    <x v="0"/>
    <x v="0"/>
    <x v="0"/>
    <x v="0"/>
    <x v="0"/>
    <x v="3"/>
    <x v="0"/>
    <x v="0"/>
    <x v="0"/>
    <x v="0"/>
    <x v="2"/>
    <x v="2"/>
    <s v="91"/>
    <x v="10"/>
    <x v="0"/>
    <x v="1"/>
    <x v="11"/>
    <n v="-4242.8999999999996"/>
  </r>
  <r>
    <x v="0"/>
    <x v="0"/>
    <x v="0"/>
    <x v="0"/>
    <x v="0"/>
    <x v="3"/>
    <x v="0"/>
    <x v="0"/>
    <x v="0"/>
    <x v="0"/>
    <x v="2"/>
    <x v="2"/>
    <s v="91"/>
    <x v="10"/>
    <x v="0"/>
    <x v="1"/>
    <x v="3"/>
    <n v="3025.6"/>
  </r>
  <r>
    <x v="0"/>
    <x v="0"/>
    <x v="0"/>
    <x v="0"/>
    <x v="0"/>
    <x v="3"/>
    <x v="0"/>
    <x v="0"/>
    <x v="0"/>
    <x v="0"/>
    <x v="2"/>
    <x v="2"/>
    <s v="91"/>
    <x v="10"/>
    <x v="0"/>
    <x v="1"/>
    <x v="4"/>
    <n v="-6146.37"/>
  </r>
  <r>
    <x v="0"/>
    <x v="0"/>
    <x v="0"/>
    <x v="0"/>
    <x v="0"/>
    <x v="3"/>
    <x v="0"/>
    <x v="0"/>
    <x v="0"/>
    <x v="0"/>
    <x v="2"/>
    <x v="2"/>
    <s v="91"/>
    <x v="10"/>
    <x v="0"/>
    <x v="1"/>
    <x v="7"/>
    <n v="1490.5"/>
  </r>
  <r>
    <x v="0"/>
    <x v="0"/>
    <x v="0"/>
    <x v="0"/>
    <x v="0"/>
    <x v="3"/>
    <x v="0"/>
    <x v="0"/>
    <x v="0"/>
    <x v="0"/>
    <x v="2"/>
    <x v="2"/>
    <s v="91"/>
    <x v="10"/>
    <x v="0"/>
    <x v="1"/>
    <x v="5"/>
    <n v="2356.2800000000002"/>
  </r>
  <r>
    <x v="0"/>
    <x v="0"/>
    <x v="0"/>
    <x v="0"/>
    <x v="0"/>
    <x v="3"/>
    <x v="0"/>
    <x v="0"/>
    <x v="0"/>
    <x v="0"/>
    <x v="2"/>
    <x v="2"/>
    <s v="91"/>
    <x v="10"/>
    <x v="0"/>
    <x v="1"/>
    <x v="6"/>
    <n v="9991.2199999999993"/>
  </r>
  <r>
    <x v="0"/>
    <x v="0"/>
    <x v="0"/>
    <x v="0"/>
    <x v="0"/>
    <x v="3"/>
    <x v="0"/>
    <x v="0"/>
    <x v="0"/>
    <x v="0"/>
    <x v="2"/>
    <x v="2"/>
    <s v="91"/>
    <x v="10"/>
    <x v="0"/>
    <x v="1"/>
    <x v="1"/>
    <n v="-9923.8799999999992"/>
  </r>
  <r>
    <x v="0"/>
    <x v="0"/>
    <x v="1"/>
    <x v="0"/>
    <x v="0"/>
    <x v="4"/>
    <x v="0"/>
    <x v="0"/>
    <x v="0"/>
    <x v="0"/>
    <x v="0"/>
    <x v="0"/>
    <s v="02"/>
    <x v="5"/>
    <x v="0"/>
    <x v="0"/>
    <x v="2"/>
    <n v="350"/>
  </r>
  <r>
    <x v="0"/>
    <x v="0"/>
    <x v="1"/>
    <x v="0"/>
    <x v="0"/>
    <x v="4"/>
    <x v="0"/>
    <x v="0"/>
    <x v="0"/>
    <x v="0"/>
    <x v="0"/>
    <x v="0"/>
    <s v="02"/>
    <x v="5"/>
    <x v="0"/>
    <x v="0"/>
    <x v="9"/>
    <n v="291.67"/>
  </r>
  <r>
    <x v="0"/>
    <x v="0"/>
    <x v="1"/>
    <x v="0"/>
    <x v="0"/>
    <x v="4"/>
    <x v="0"/>
    <x v="0"/>
    <x v="0"/>
    <x v="0"/>
    <x v="0"/>
    <x v="0"/>
    <s v="02"/>
    <x v="5"/>
    <x v="0"/>
    <x v="0"/>
    <x v="4"/>
    <n v="-33.19"/>
  </r>
  <r>
    <x v="0"/>
    <x v="0"/>
    <x v="1"/>
    <x v="0"/>
    <x v="0"/>
    <x v="4"/>
    <x v="0"/>
    <x v="0"/>
    <x v="0"/>
    <x v="0"/>
    <x v="0"/>
    <x v="0"/>
    <s v="02"/>
    <x v="5"/>
    <x v="0"/>
    <x v="1"/>
    <x v="9"/>
    <n v="72550"/>
  </r>
  <r>
    <x v="0"/>
    <x v="0"/>
    <x v="1"/>
    <x v="0"/>
    <x v="0"/>
    <x v="4"/>
    <x v="0"/>
    <x v="0"/>
    <x v="0"/>
    <x v="0"/>
    <x v="0"/>
    <x v="0"/>
    <s v="02"/>
    <x v="5"/>
    <x v="0"/>
    <x v="1"/>
    <x v="10"/>
    <n v="72000"/>
  </r>
  <r>
    <x v="0"/>
    <x v="0"/>
    <x v="1"/>
    <x v="0"/>
    <x v="0"/>
    <x v="4"/>
    <x v="0"/>
    <x v="0"/>
    <x v="0"/>
    <x v="0"/>
    <x v="0"/>
    <x v="0"/>
    <s v="02"/>
    <x v="5"/>
    <x v="0"/>
    <x v="1"/>
    <x v="3"/>
    <n v="72000"/>
  </r>
  <r>
    <x v="0"/>
    <x v="0"/>
    <x v="1"/>
    <x v="0"/>
    <x v="0"/>
    <x v="4"/>
    <x v="0"/>
    <x v="0"/>
    <x v="0"/>
    <x v="0"/>
    <x v="0"/>
    <x v="0"/>
    <s v="02"/>
    <x v="5"/>
    <x v="0"/>
    <x v="1"/>
    <x v="4"/>
    <n v="7315.07"/>
  </r>
  <r>
    <x v="0"/>
    <x v="0"/>
    <x v="1"/>
    <x v="0"/>
    <x v="0"/>
    <x v="4"/>
    <x v="0"/>
    <x v="0"/>
    <x v="0"/>
    <x v="0"/>
    <x v="0"/>
    <x v="0"/>
    <s v="02"/>
    <x v="5"/>
    <x v="0"/>
    <x v="1"/>
    <x v="7"/>
    <n v="71450"/>
  </r>
  <r>
    <x v="0"/>
    <x v="0"/>
    <x v="1"/>
    <x v="0"/>
    <x v="0"/>
    <x v="4"/>
    <x v="0"/>
    <x v="0"/>
    <x v="0"/>
    <x v="0"/>
    <x v="0"/>
    <x v="0"/>
    <s v="02"/>
    <x v="5"/>
    <x v="0"/>
    <x v="1"/>
    <x v="5"/>
    <n v="-367315.07"/>
  </r>
  <r>
    <x v="0"/>
    <x v="0"/>
    <x v="1"/>
    <x v="0"/>
    <x v="0"/>
    <x v="4"/>
    <x v="0"/>
    <x v="0"/>
    <x v="0"/>
    <x v="0"/>
    <x v="0"/>
    <x v="0"/>
    <s v="02"/>
    <x v="5"/>
    <x v="0"/>
    <x v="1"/>
    <x v="1"/>
    <n v="-641.66999999999996"/>
  </r>
  <r>
    <x v="0"/>
    <x v="0"/>
    <x v="1"/>
    <x v="0"/>
    <x v="0"/>
    <x v="4"/>
    <x v="0"/>
    <x v="0"/>
    <x v="0"/>
    <x v="0"/>
    <x v="0"/>
    <x v="0"/>
    <s v="05"/>
    <x v="6"/>
    <x v="0"/>
    <x v="0"/>
    <x v="1"/>
    <n v="227.74"/>
  </r>
  <r>
    <x v="0"/>
    <x v="0"/>
    <x v="1"/>
    <x v="0"/>
    <x v="0"/>
    <x v="4"/>
    <x v="0"/>
    <x v="0"/>
    <x v="0"/>
    <x v="0"/>
    <x v="0"/>
    <x v="0"/>
    <s v="05"/>
    <x v="6"/>
    <x v="0"/>
    <x v="1"/>
    <x v="1"/>
    <n v="-227.74"/>
  </r>
  <r>
    <x v="0"/>
    <x v="0"/>
    <x v="1"/>
    <x v="0"/>
    <x v="0"/>
    <x v="4"/>
    <x v="0"/>
    <x v="0"/>
    <x v="0"/>
    <x v="0"/>
    <x v="0"/>
    <x v="0"/>
    <s v="09"/>
    <x v="0"/>
    <x v="0"/>
    <x v="0"/>
    <x v="1"/>
    <n v="445048"/>
  </r>
  <r>
    <x v="0"/>
    <x v="0"/>
    <x v="1"/>
    <x v="0"/>
    <x v="0"/>
    <x v="4"/>
    <x v="0"/>
    <x v="0"/>
    <x v="0"/>
    <x v="0"/>
    <x v="0"/>
    <x v="0"/>
    <s v="09"/>
    <x v="0"/>
    <x v="0"/>
    <x v="1"/>
    <x v="2"/>
    <n v="471559"/>
  </r>
  <r>
    <x v="0"/>
    <x v="0"/>
    <x v="1"/>
    <x v="0"/>
    <x v="0"/>
    <x v="4"/>
    <x v="0"/>
    <x v="0"/>
    <x v="0"/>
    <x v="0"/>
    <x v="0"/>
    <x v="0"/>
    <s v="20"/>
    <x v="7"/>
    <x v="0"/>
    <x v="0"/>
    <x v="0"/>
    <n v="90.43"/>
  </r>
  <r>
    <x v="0"/>
    <x v="0"/>
    <x v="1"/>
    <x v="0"/>
    <x v="0"/>
    <x v="4"/>
    <x v="0"/>
    <x v="0"/>
    <x v="0"/>
    <x v="0"/>
    <x v="0"/>
    <x v="0"/>
    <s v="20"/>
    <x v="7"/>
    <x v="0"/>
    <x v="0"/>
    <x v="2"/>
    <n v="288.42"/>
  </r>
  <r>
    <x v="0"/>
    <x v="0"/>
    <x v="1"/>
    <x v="0"/>
    <x v="0"/>
    <x v="4"/>
    <x v="0"/>
    <x v="0"/>
    <x v="0"/>
    <x v="0"/>
    <x v="0"/>
    <x v="0"/>
    <s v="20"/>
    <x v="7"/>
    <x v="0"/>
    <x v="0"/>
    <x v="8"/>
    <n v="6.82"/>
  </r>
  <r>
    <x v="0"/>
    <x v="0"/>
    <x v="1"/>
    <x v="0"/>
    <x v="0"/>
    <x v="4"/>
    <x v="0"/>
    <x v="0"/>
    <x v="0"/>
    <x v="0"/>
    <x v="0"/>
    <x v="0"/>
    <s v="20"/>
    <x v="7"/>
    <x v="0"/>
    <x v="0"/>
    <x v="9"/>
    <n v="-234.31"/>
  </r>
  <r>
    <x v="0"/>
    <x v="0"/>
    <x v="1"/>
    <x v="0"/>
    <x v="0"/>
    <x v="4"/>
    <x v="0"/>
    <x v="0"/>
    <x v="0"/>
    <x v="0"/>
    <x v="0"/>
    <x v="0"/>
    <s v="20"/>
    <x v="7"/>
    <x v="0"/>
    <x v="0"/>
    <x v="10"/>
    <n v="309.45"/>
  </r>
  <r>
    <x v="0"/>
    <x v="0"/>
    <x v="1"/>
    <x v="0"/>
    <x v="0"/>
    <x v="4"/>
    <x v="0"/>
    <x v="0"/>
    <x v="0"/>
    <x v="0"/>
    <x v="0"/>
    <x v="0"/>
    <s v="20"/>
    <x v="7"/>
    <x v="0"/>
    <x v="0"/>
    <x v="11"/>
    <n v="1642.83"/>
  </r>
  <r>
    <x v="0"/>
    <x v="0"/>
    <x v="1"/>
    <x v="0"/>
    <x v="0"/>
    <x v="4"/>
    <x v="0"/>
    <x v="0"/>
    <x v="0"/>
    <x v="0"/>
    <x v="0"/>
    <x v="0"/>
    <s v="20"/>
    <x v="7"/>
    <x v="0"/>
    <x v="0"/>
    <x v="3"/>
    <n v="76.06"/>
  </r>
  <r>
    <x v="0"/>
    <x v="0"/>
    <x v="1"/>
    <x v="0"/>
    <x v="0"/>
    <x v="4"/>
    <x v="0"/>
    <x v="0"/>
    <x v="0"/>
    <x v="0"/>
    <x v="0"/>
    <x v="0"/>
    <s v="20"/>
    <x v="7"/>
    <x v="0"/>
    <x v="0"/>
    <x v="4"/>
    <n v="976.67"/>
  </r>
  <r>
    <x v="0"/>
    <x v="0"/>
    <x v="1"/>
    <x v="0"/>
    <x v="0"/>
    <x v="4"/>
    <x v="0"/>
    <x v="0"/>
    <x v="0"/>
    <x v="0"/>
    <x v="0"/>
    <x v="0"/>
    <s v="20"/>
    <x v="7"/>
    <x v="0"/>
    <x v="0"/>
    <x v="7"/>
    <n v="-205.21"/>
  </r>
  <r>
    <x v="0"/>
    <x v="0"/>
    <x v="1"/>
    <x v="0"/>
    <x v="0"/>
    <x v="4"/>
    <x v="0"/>
    <x v="0"/>
    <x v="0"/>
    <x v="0"/>
    <x v="0"/>
    <x v="0"/>
    <s v="20"/>
    <x v="7"/>
    <x v="0"/>
    <x v="0"/>
    <x v="5"/>
    <n v="1716.18"/>
  </r>
  <r>
    <x v="0"/>
    <x v="0"/>
    <x v="1"/>
    <x v="0"/>
    <x v="0"/>
    <x v="4"/>
    <x v="0"/>
    <x v="0"/>
    <x v="0"/>
    <x v="0"/>
    <x v="0"/>
    <x v="0"/>
    <s v="20"/>
    <x v="7"/>
    <x v="0"/>
    <x v="0"/>
    <x v="6"/>
    <n v="226.65"/>
  </r>
  <r>
    <x v="0"/>
    <x v="0"/>
    <x v="1"/>
    <x v="0"/>
    <x v="0"/>
    <x v="4"/>
    <x v="0"/>
    <x v="0"/>
    <x v="0"/>
    <x v="0"/>
    <x v="0"/>
    <x v="0"/>
    <s v="20"/>
    <x v="7"/>
    <x v="0"/>
    <x v="0"/>
    <x v="1"/>
    <n v="4873.04"/>
  </r>
  <r>
    <x v="0"/>
    <x v="0"/>
    <x v="1"/>
    <x v="0"/>
    <x v="0"/>
    <x v="4"/>
    <x v="0"/>
    <x v="0"/>
    <x v="0"/>
    <x v="0"/>
    <x v="0"/>
    <x v="0"/>
    <s v="20"/>
    <x v="7"/>
    <x v="0"/>
    <x v="1"/>
    <x v="0"/>
    <n v="-586.69000000000005"/>
  </r>
  <r>
    <x v="0"/>
    <x v="0"/>
    <x v="1"/>
    <x v="0"/>
    <x v="0"/>
    <x v="4"/>
    <x v="0"/>
    <x v="0"/>
    <x v="0"/>
    <x v="0"/>
    <x v="0"/>
    <x v="0"/>
    <s v="20"/>
    <x v="7"/>
    <x v="0"/>
    <x v="1"/>
    <x v="2"/>
    <n v="84.98"/>
  </r>
  <r>
    <x v="0"/>
    <x v="0"/>
    <x v="1"/>
    <x v="0"/>
    <x v="0"/>
    <x v="4"/>
    <x v="0"/>
    <x v="0"/>
    <x v="0"/>
    <x v="0"/>
    <x v="0"/>
    <x v="0"/>
    <s v="20"/>
    <x v="7"/>
    <x v="0"/>
    <x v="1"/>
    <x v="8"/>
    <n v="166.76"/>
  </r>
  <r>
    <x v="0"/>
    <x v="0"/>
    <x v="1"/>
    <x v="0"/>
    <x v="0"/>
    <x v="4"/>
    <x v="0"/>
    <x v="0"/>
    <x v="0"/>
    <x v="0"/>
    <x v="0"/>
    <x v="0"/>
    <s v="20"/>
    <x v="7"/>
    <x v="0"/>
    <x v="1"/>
    <x v="9"/>
    <n v="1100"/>
  </r>
  <r>
    <x v="0"/>
    <x v="0"/>
    <x v="1"/>
    <x v="0"/>
    <x v="0"/>
    <x v="4"/>
    <x v="0"/>
    <x v="0"/>
    <x v="0"/>
    <x v="0"/>
    <x v="0"/>
    <x v="0"/>
    <s v="20"/>
    <x v="7"/>
    <x v="0"/>
    <x v="1"/>
    <x v="10"/>
    <n v="73.459999999999994"/>
  </r>
  <r>
    <x v="0"/>
    <x v="0"/>
    <x v="1"/>
    <x v="0"/>
    <x v="0"/>
    <x v="4"/>
    <x v="0"/>
    <x v="0"/>
    <x v="0"/>
    <x v="0"/>
    <x v="0"/>
    <x v="0"/>
    <s v="20"/>
    <x v="7"/>
    <x v="0"/>
    <x v="1"/>
    <x v="11"/>
    <n v="-7665.93"/>
  </r>
  <r>
    <x v="0"/>
    <x v="0"/>
    <x v="1"/>
    <x v="0"/>
    <x v="0"/>
    <x v="4"/>
    <x v="0"/>
    <x v="0"/>
    <x v="0"/>
    <x v="0"/>
    <x v="0"/>
    <x v="0"/>
    <s v="20"/>
    <x v="7"/>
    <x v="0"/>
    <x v="1"/>
    <x v="3"/>
    <n v="5441.35"/>
  </r>
  <r>
    <x v="0"/>
    <x v="0"/>
    <x v="1"/>
    <x v="0"/>
    <x v="0"/>
    <x v="4"/>
    <x v="0"/>
    <x v="0"/>
    <x v="0"/>
    <x v="0"/>
    <x v="0"/>
    <x v="0"/>
    <s v="20"/>
    <x v="7"/>
    <x v="0"/>
    <x v="1"/>
    <x v="4"/>
    <n v="-339.98"/>
  </r>
  <r>
    <x v="0"/>
    <x v="0"/>
    <x v="1"/>
    <x v="0"/>
    <x v="0"/>
    <x v="4"/>
    <x v="0"/>
    <x v="0"/>
    <x v="0"/>
    <x v="0"/>
    <x v="0"/>
    <x v="0"/>
    <s v="20"/>
    <x v="7"/>
    <x v="0"/>
    <x v="1"/>
    <x v="7"/>
    <n v="-1759.7"/>
  </r>
  <r>
    <x v="0"/>
    <x v="0"/>
    <x v="1"/>
    <x v="0"/>
    <x v="0"/>
    <x v="4"/>
    <x v="0"/>
    <x v="0"/>
    <x v="0"/>
    <x v="0"/>
    <x v="0"/>
    <x v="0"/>
    <s v="20"/>
    <x v="7"/>
    <x v="0"/>
    <x v="1"/>
    <x v="5"/>
    <n v="-447.29"/>
  </r>
  <r>
    <x v="0"/>
    <x v="0"/>
    <x v="1"/>
    <x v="0"/>
    <x v="0"/>
    <x v="4"/>
    <x v="0"/>
    <x v="0"/>
    <x v="0"/>
    <x v="0"/>
    <x v="0"/>
    <x v="0"/>
    <s v="20"/>
    <x v="7"/>
    <x v="0"/>
    <x v="1"/>
    <x v="6"/>
    <n v="3970.53"/>
  </r>
  <r>
    <x v="0"/>
    <x v="0"/>
    <x v="1"/>
    <x v="0"/>
    <x v="0"/>
    <x v="4"/>
    <x v="0"/>
    <x v="0"/>
    <x v="0"/>
    <x v="0"/>
    <x v="0"/>
    <x v="0"/>
    <s v="20"/>
    <x v="7"/>
    <x v="0"/>
    <x v="1"/>
    <x v="1"/>
    <n v="-3672.1"/>
  </r>
  <r>
    <x v="0"/>
    <x v="0"/>
    <x v="1"/>
    <x v="0"/>
    <x v="0"/>
    <x v="4"/>
    <x v="0"/>
    <x v="0"/>
    <x v="0"/>
    <x v="0"/>
    <x v="0"/>
    <x v="0"/>
    <s v="24"/>
    <x v="1"/>
    <x v="0"/>
    <x v="0"/>
    <x v="10"/>
    <n v="44033147.18"/>
  </r>
  <r>
    <x v="0"/>
    <x v="0"/>
    <x v="1"/>
    <x v="0"/>
    <x v="0"/>
    <x v="4"/>
    <x v="0"/>
    <x v="0"/>
    <x v="0"/>
    <x v="0"/>
    <x v="0"/>
    <x v="0"/>
    <s v="24"/>
    <x v="1"/>
    <x v="0"/>
    <x v="0"/>
    <x v="3"/>
    <n v="1495430.01"/>
  </r>
  <r>
    <x v="0"/>
    <x v="0"/>
    <x v="1"/>
    <x v="0"/>
    <x v="0"/>
    <x v="4"/>
    <x v="0"/>
    <x v="0"/>
    <x v="0"/>
    <x v="0"/>
    <x v="0"/>
    <x v="0"/>
    <s v="24"/>
    <x v="1"/>
    <x v="0"/>
    <x v="0"/>
    <x v="4"/>
    <n v="41304418.640000001"/>
  </r>
  <r>
    <x v="0"/>
    <x v="0"/>
    <x v="1"/>
    <x v="0"/>
    <x v="0"/>
    <x v="4"/>
    <x v="0"/>
    <x v="0"/>
    <x v="0"/>
    <x v="0"/>
    <x v="0"/>
    <x v="0"/>
    <s v="24"/>
    <x v="1"/>
    <x v="0"/>
    <x v="0"/>
    <x v="7"/>
    <n v="71803.600000000006"/>
  </r>
  <r>
    <x v="0"/>
    <x v="0"/>
    <x v="1"/>
    <x v="0"/>
    <x v="0"/>
    <x v="4"/>
    <x v="0"/>
    <x v="0"/>
    <x v="0"/>
    <x v="0"/>
    <x v="0"/>
    <x v="0"/>
    <s v="24"/>
    <x v="1"/>
    <x v="0"/>
    <x v="0"/>
    <x v="5"/>
    <n v="2125238.9300000002"/>
  </r>
  <r>
    <x v="0"/>
    <x v="0"/>
    <x v="1"/>
    <x v="0"/>
    <x v="0"/>
    <x v="4"/>
    <x v="0"/>
    <x v="0"/>
    <x v="0"/>
    <x v="0"/>
    <x v="0"/>
    <x v="0"/>
    <s v="24"/>
    <x v="1"/>
    <x v="0"/>
    <x v="0"/>
    <x v="6"/>
    <n v="40382851.909999996"/>
  </r>
  <r>
    <x v="0"/>
    <x v="0"/>
    <x v="1"/>
    <x v="0"/>
    <x v="0"/>
    <x v="4"/>
    <x v="0"/>
    <x v="0"/>
    <x v="0"/>
    <x v="0"/>
    <x v="0"/>
    <x v="0"/>
    <s v="24"/>
    <x v="1"/>
    <x v="0"/>
    <x v="0"/>
    <x v="1"/>
    <n v="1421499.62"/>
  </r>
  <r>
    <x v="0"/>
    <x v="0"/>
    <x v="1"/>
    <x v="0"/>
    <x v="0"/>
    <x v="4"/>
    <x v="0"/>
    <x v="0"/>
    <x v="0"/>
    <x v="0"/>
    <x v="0"/>
    <x v="0"/>
    <s v="24"/>
    <x v="1"/>
    <x v="0"/>
    <x v="1"/>
    <x v="9"/>
    <n v="20043125.920000002"/>
  </r>
  <r>
    <x v="0"/>
    <x v="0"/>
    <x v="1"/>
    <x v="0"/>
    <x v="0"/>
    <x v="4"/>
    <x v="0"/>
    <x v="0"/>
    <x v="0"/>
    <x v="0"/>
    <x v="0"/>
    <x v="0"/>
    <s v="24"/>
    <x v="1"/>
    <x v="0"/>
    <x v="1"/>
    <x v="10"/>
    <n v="26883422.649999999"/>
  </r>
  <r>
    <x v="0"/>
    <x v="0"/>
    <x v="1"/>
    <x v="0"/>
    <x v="0"/>
    <x v="4"/>
    <x v="0"/>
    <x v="0"/>
    <x v="0"/>
    <x v="0"/>
    <x v="0"/>
    <x v="0"/>
    <s v="24"/>
    <x v="1"/>
    <x v="0"/>
    <x v="1"/>
    <x v="11"/>
    <n v="1470387.31"/>
  </r>
  <r>
    <x v="0"/>
    <x v="0"/>
    <x v="1"/>
    <x v="0"/>
    <x v="0"/>
    <x v="4"/>
    <x v="0"/>
    <x v="0"/>
    <x v="0"/>
    <x v="0"/>
    <x v="0"/>
    <x v="0"/>
    <s v="24"/>
    <x v="1"/>
    <x v="0"/>
    <x v="1"/>
    <x v="4"/>
    <n v="44539856.130000003"/>
  </r>
  <r>
    <x v="0"/>
    <x v="0"/>
    <x v="1"/>
    <x v="0"/>
    <x v="0"/>
    <x v="4"/>
    <x v="0"/>
    <x v="0"/>
    <x v="0"/>
    <x v="0"/>
    <x v="0"/>
    <x v="0"/>
    <s v="24"/>
    <x v="1"/>
    <x v="0"/>
    <x v="1"/>
    <x v="7"/>
    <n v="683702.4"/>
  </r>
  <r>
    <x v="0"/>
    <x v="0"/>
    <x v="1"/>
    <x v="0"/>
    <x v="0"/>
    <x v="4"/>
    <x v="0"/>
    <x v="0"/>
    <x v="0"/>
    <x v="0"/>
    <x v="0"/>
    <x v="0"/>
    <s v="24"/>
    <x v="1"/>
    <x v="0"/>
    <x v="1"/>
    <x v="5"/>
    <n v="21270098.890000001"/>
  </r>
  <r>
    <x v="0"/>
    <x v="0"/>
    <x v="1"/>
    <x v="0"/>
    <x v="0"/>
    <x v="4"/>
    <x v="0"/>
    <x v="0"/>
    <x v="0"/>
    <x v="0"/>
    <x v="0"/>
    <x v="0"/>
    <s v="24"/>
    <x v="1"/>
    <x v="0"/>
    <x v="1"/>
    <x v="6"/>
    <n v="22765456.190000001"/>
  </r>
  <r>
    <x v="0"/>
    <x v="0"/>
    <x v="1"/>
    <x v="0"/>
    <x v="0"/>
    <x v="4"/>
    <x v="0"/>
    <x v="0"/>
    <x v="0"/>
    <x v="0"/>
    <x v="0"/>
    <x v="0"/>
    <s v="24"/>
    <x v="1"/>
    <x v="0"/>
    <x v="1"/>
    <x v="1"/>
    <n v="418928.47"/>
  </r>
  <r>
    <x v="0"/>
    <x v="0"/>
    <x v="1"/>
    <x v="0"/>
    <x v="0"/>
    <x v="4"/>
    <x v="0"/>
    <x v="0"/>
    <x v="0"/>
    <x v="0"/>
    <x v="0"/>
    <x v="0"/>
    <s v="30"/>
    <x v="3"/>
    <x v="0"/>
    <x v="0"/>
    <x v="0"/>
    <n v="144"/>
  </r>
  <r>
    <x v="0"/>
    <x v="0"/>
    <x v="1"/>
    <x v="0"/>
    <x v="0"/>
    <x v="4"/>
    <x v="0"/>
    <x v="0"/>
    <x v="0"/>
    <x v="0"/>
    <x v="0"/>
    <x v="0"/>
    <s v="30"/>
    <x v="3"/>
    <x v="0"/>
    <x v="0"/>
    <x v="2"/>
    <n v="2739"/>
  </r>
  <r>
    <x v="0"/>
    <x v="0"/>
    <x v="1"/>
    <x v="0"/>
    <x v="0"/>
    <x v="4"/>
    <x v="0"/>
    <x v="0"/>
    <x v="0"/>
    <x v="0"/>
    <x v="0"/>
    <x v="0"/>
    <s v="30"/>
    <x v="3"/>
    <x v="0"/>
    <x v="0"/>
    <x v="8"/>
    <n v="480"/>
  </r>
  <r>
    <x v="0"/>
    <x v="0"/>
    <x v="1"/>
    <x v="0"/>
    <x v="0"/>
    <x v="4"/>
    <x v="0"/>
    <x v="0"/>
    <x v="0"/>
    <x v="0"/>
    <x v="0"/>
    <x v="0"/>
    <s v="30"/>
    <x v="3"/>
    <x v="0"/>
    <x v="0"/>
    <x v="10"/>
    <n v="-40"/>
  </r>
  <r>
    <x v="0"/>
    <x v="0"/>
    <x v="1"/>
    <x v="0"/>
    <x v="0"/>
    <x v="4"/>
    <x v="0"/>
    <x v="0"/>
    <x v="0"/>
    <x v="0"/>
    <x v="0"/>
    <x v="0"/>
    <s v="30"/>
    <x v="3"/>
    <x v="0"/>
    <x v="0"/>
    <x v="11"/>
    <n v="484.41"/>
  </r>
  <r>
    <x v="0"/>
    <x v="0"/>
    <x v="1"/>
    <x v="0"/>
    <x v="0"/>
    <x v="4"/>
    <x v="0"/>
    <x v="0"/>
    <x v="0"/>
    <x v="0"/>
    <x v="0"/>
    <x v="0"/>
    <s v="30"/>
    <x v="3"/>
    <x v="0"/>
    <x v="0"/>
    <x v="4"/>
    <n v="-3160"/>
  </r>
  <r>
    <x v="0"/>
    <x v="0"/>
    <x v="1"/>
    <x v="0"/>
    <x v="0"/>
    <x v="4"/>
    <x v="0"/>
    <x v="0"/>
    <x v="0"/>
    <x v="0"/>
    <x v="0"/>
    <x v="0"/>
    <s v="30"/>
    <x v="3"/>
    <x v="0"/>
    <x v="0"/>
    <x v="7"/>
    <n v="100"/>
  </r>
  <r>
    <x v="0"/>
    <x v="0"/>
    <x v="1"/>
    <x v="0"/>
    <x v="0"/>
    <x v="4"/>
    <x v="0"/>
    <x v="0"/>
    <x v="0"/>
    <x v="0"/>
    <x v="0"/>
    <x v="0"/>
    <s v="30"/>
    <x v="3"/>
    <x v="0"/>
    <x v="0"/>
    <x v="5"/>
    <n v="1094.1099999999999"/>
  </r>
  <r>
    <x v="0"/>
    <x v="0"/>
    <x v="1"/>
    <x v="0"/>
    <x v="0"/>
    <x v="4"/>
    <x v="0"/>
    <x v="0"/>
    <x v="0"/>
    <x v="0"/>
    <x v="0"/>
    <x v="0"/>
    <s v="30"/>
    <x v="3"/>
    <x v="0"/>
    <x v="0"/>
    <x v="6"/>
    <n v="561.98"/>
  </r>
  <r>
    <x v="0"/>
    <x v="0"/>
    <x v="1"/>
    <x v="0"/>
    <x v="0"/>
    <x v="4"/>
    <x v="0"/>
    <x v="0"/>
    <x v="0"/>
    <x v="0"/>
    <x v="0"/>
    <x v="0"/>
    <s v="30"/>
    <x v="3"/>
    <x v="0"/>
    <x v="0"/>
    <x v="1"/>
    <n v="926.43"/>
  </r>
  <r>
    <x v="0"/>
    <x v="0"/>
    <x v="1"/>
    <x v="0"/>
    <x v="0"/>
    <x v="4"/>
    <x v="0"/>
    <x v="0"/>
    <x v="0"/>
    <x v="0"/>
    <x v="0"/>
    <x v="0"/>
    <s v="30"/>
    <x v="3"/>
    <x v="0"/>
    <x v="1"/>
    <x v="0"/>
    <n v="483.6"/>
  </r>
  <r>
    <x v="0"/>
    <x v="0"/>
    <x v="1"/>
    <x v="0"/>
    <x v="0"/>
    <x v="4"/>
    <x v="0"/>
    <x v="0"/>
    <x v="0"/>
    <x v="0"/>
    <x v="0"/>
    <x v="0"/>
    <s v="30"/>
    <x v="3"/>
    <x v="0"/>
    <x v="1"/>
    <x v="2"/>
    <n v="3120"/>
  </r>
  <r>
    <x v="0"/>
    <x v="0"/>
    <x v="1"/>
    <x v="0"/>
    <x v="0"/>
    <x v="4"/>
    <x v="0"/>
    <x v="0"/>
    <x v="0"/>
    <x v="0"/>
    <x v="0"/>
    <x v="0"/>
    <s v="30"/>
    <x v="3"/>
    <x v="0"/>
    <x v="1"/>
    <x v="8"/>
    <n v="40"/>
  </r>
  <r>
    <x v="0"/>
    <x v="0"/>
    <x v="1"/>
    <x v="0"/>
    <x v="0"/>
    <x v="4"/>
    <x v="0"/>
    <x v="0"/>
    <x v="0"/>
    <x v="0"/>
    <x v="0"/>
    <x v="0"/>
    <s v="30"/>
    <x v="3"/>
    <x v="0"/>
    <x v="1"/>
    <x v="9"/>
    <n v="-1405"/>
  </r>
  <r>
    <x v="0"/>
    <x v="0"/>
    <x v="1"/>
    <x v="0"/>
    <x v="0"/>
    <x v="4"/>
    <x v="0"/>
    <x v="0"/>
    <x v="0"/>
    <x v="0"/>
    <x v="0"/>
    <x v="0"/>
    <s v="30"/>
    <x v="3"/>
    <x v="0"/>
    <x v="1"/>
    <x v="10"/>
    <n v="92.63"/>
  </r>
  <r>
    <x v="0"/>
    <x v="0"/>
    <x v="1"/>
    <x v="0"/>
    <x v="0"/>
    <x v="4"/>
    <x v="0"/>
    <x v="0"/>
    <x v="0"/>
    <x v="0"/>
    <x v="0"/>
    <x v="0"/>
    <s v="30"/>
    <x v="3"/>
    <x v="0"/>
    <x v="1"/>
    <x v="11"/>
    <n v="414.38"/>
  </r>
  <r>
    <x v="0"/>
    <x v="0"/>
    <x v="1"/>
    <x v="0"/>
    <x v="0"/>
    <x v="4"/>
    <x v="0"/>
    <x v="0"/>
    <x v="0"/>
    <x v="0"/>
    <x v="0"/>
    <x v="0"/>
    <s v="30"/>
    <x v="3"/>
    <x v="0"/>
    <x v="1"/>
    <x v="4"/>
    <n v="130"/>
  </r>
  <r>
    <x v="0"/>
    <x v="0"/>
    <x v="1"/>
    <x v="0"/>
    <x v="0"/>
    <x v="4"/>
    <x v="0"/>
    <x v="0"/>
    <x v="0"/>
    <x v="0"/>
    <x v="0"/>
    <x v="0"/>
    <s v="30"/>
    <x v="3"/>
    <x v="0"/>
    <x v="1"/>
    <x v="7"/>
    <n v="-1722.5"/>
  </r>
  <r>
    <x v="0"/>
    <x v="0"/>
    <x v="1"/>
    <x v="0"/>
    <x v="0"/>
    <x v="4"/>
    <x v="0"/>
    <x v="0"/>
    <x v="0"/>
    <x v="0"/>
    <x v="0"/>
    <x v="0"/>
    <s v="30"/>
    <x v="3"/>
    <x v="0"/>
    <x v="1"/>
    <x v="5"/>
    <n v="3358"/>
  </r>
  <r>
    <x v="0"/>
    <x v="0"/>
    <x v="1"/>
    <x v="0"/>
    <x v="0"/>
    <x v="4"/>
    <x v="0"/>
    <x v="0"/>
    <x v="0"/>
    <x v="0"/>
    <x v="0"/>
    <x v="0"/>
    <s v="30"/>
    <x v="3"/>
    <x v="0"/>
    <x v="1"/>
    <x v="6"/>
    <n v="-534.29999999999995"/>
  </r>
  <r>
    <x v="0"/>
    <x v="0"/>
    <x v="1"/>
    <x v="0"/>
    <x v="0"/>
    <x v="4"/>
    <x v="0"/>
    <x v="0"/>
    <x v="0"/>
    <x v="0"/>
    <x v="0"/>
    <x v="0"/>
    <s v="30"/>
    <x v="3"/>
    <x v="0"/>
    <x v="1"/>
    <x v="1"/>
    <n v="-4003.44"/>
  </r>
  <r>
    <x v="0"/>
    <x v="0"/>
    <x v="1"/>
    <x v="0"/>
    <x v="0"/>
    <x v="4"/>
    <x v="0"/>
    <x v="0"/>
    <x v="0"/>
    <x v="0"/>
    <x v="0"/>
    <x v="0"/>
    <s v="31"/>
    <x v="8"/>
    <x v="0"/>
    <x v="0"/>
    <x v="1"/>
    <n v="-31.5"/>
  </r>
  <r>
    <x v="0"/>
    <x v="0"/>
    <x v="1"/>
    <x v="0"/>
    <x v="0"/>
    <x v="4"/>
    <x v="0"/>
    <x v="0"/>
    <x v="0"/>
    <x v="0"/>
    <x v="0"/>
    <x v="0"/>
    <s v="31"/>
    <x v="8"/>
    <x v="0"/>
    <x v="1"/>
    <x v="1"/>
    <n v="-244.36"/>
  </r>
  <r>
    <x v="0"/>
    <x v="0"/>
    <x v="1"/>
    <x v="0"/>
    <x v="0"/>
    <x v="4"/>
    <x v="0"/>
    <x v="0"/>
    <x v="0"/>
    <x v="0"/>
    <x v="0"/>
    <x v="0"/>
    <s v="80"/>
    <x v="11"/>
    <x v="0"/>
    <x v="0"/>
    <x v="11"/>
    <n v="1500"/>
  </r>
  <r>
    <x v="0"/>
    <x v="0"/>
    <x v="1"/>
    <x v="0"/>
    <x v="0"/>
    <x v="4"/>
    <x v="0"/>
    <x v="0"/>
    <x v="0"/>
    <x v="0"/>
    <x v="0"/>
    <x v="0"/>
    <s v="80"/>
    <x v="11"/>
    <x v="0"/>
    <x v="0"/>
    <x v="1"/>
    <n v="16647"/>
  </r>
  <r>
    <x v="0"/>
    <x v="0"/>
    <x v="1"/>
    <x v="0"/>
    <x v="0"/>
    <x v="4"/>
    <x v="0"/>
    <x v="0"/>
    <x v="0"/>
    <x v="0"/>
    <x v="0"/>
    <x v="0"/>
    <s v="81"/>
    <x v="2"/>
    <x v="0"/>
    <x v="0"/>
    <x v="8"/>
    <n v="-14532"/>
  </r>
  <r>
    <x v="0"/>
    <x v="0"/>
    <x v="1"/>
    <x v="0"/>
    <x v="0"/>
    <x v="4"/>
    <x v="0"/>
    <x v="0"/>
    <x v="0"/>
    <x v="0"/>
    <x v="0"/>
    <x v="0"/>
    <s v="81"/>
    <x v="2"/>
    <x v="0"/>
    <x v="0"/>
    <x v="11"/>
    <n v="-14734.88"/>
  </r>
  <r>
    <x v="0"/>
    <x v="0"/>
    <x v="1"/>
    <x v="0"/>
    <x v="0"/>
    <x v="4"/>
    <x v="0"/>
    <x v="0"/>
    <x v="0"/>
    <x v="0"/>
    <x v="0"/>
    <x v="0"/>
    <s v="81"/>
    <x v="2"/>
    <x v="0"/>
    <x v="0"/>
    <x v="7"/>
    <n v="-202775"/>
  </r>
  <r>
    <x v="0"/>
    <x v="0"/>
    <x v="1"/>
    <x v="0"/>
    <x v="0"/>
    <x v="4"/>
    <x v="0"/>
    <x v="0"/>
    <x v="0"/>
    <x v="0"/>
    <x v="0"/>
    <x v="0"/>
    <s v="81"/>
    <x v="2"/>
    <x v="0"/>
    <x v="1"/>
    <x v="8"/>
    <n v="-2626"/>
  </r>
  <r>
    <x v="0"/>
    <x v="0"/>
    <x v="1"/>
    <x v="0"/>
    <x v="0"/>
    <x v="4"/>
    <x v="0"/>
    <x v="0"/>
    <x v="0"/>
    <x v="0"/>
    <x v="0"/>
    <x v="0"/>
    <s v="81"/>
    <x v="2"/>
    <x v="0"/>
    <x v="1"/>
    <x v="11"/>
    <n v="-183995"/>
  </r>
  <r>
    <x v="0"/>
    <x v="0"/>
    <x v="1"/>
    <x v="0"/>
    <x v="0"/>
    <x v="4"/>
    <x v="0"/>
    <x v="0"/>
    <x v="0"/>
    <x v="0"/>
    <x v="0"/>
    <x v="0"/>
    <s v="81"/>
    <x v="2"/>
    <x v="0"/>
    <x v="1"/>
    <x v="1"/>
    <n v="202.88"/>
  </r>
  <r>
    <x v="0"/>
    <x v="0"/>
    <x v="1"/>
    <x v="0"/>
    <x v="0"/>
    <x v="4"/>
    <x v="0"/>
    <x v="0"/>
    <x v="0"/>
    <x v="0"/>
    <x v="0"/>
    <x v="0"/>
    <s v="99"/>
    <x v="9"/>
    <x v="0"/>
    <x v="0"/>
    <x v="0"/>
    <n v="-30"/>
  </r>
  <r>
    <x v="0"/>
    <x v="0"/>
    <x v="1"/>
    <x v="0"/>
    <x v="0"/>
    <x v="4"/>
    <x v="0"/>
    <x v="0"/>
    <x v="0"/>
    <x v="0"/>
    <x v="0"/>
    <x v="0"/>
    <s v="99"/>
    <x v="9"/>
    <x v="0"/>
    <x v="0"/>
    <x v="8"/>
    <n v="-0.4"/>
  </r>
  <r>
    <x v="0"/>
    <x v="0"/>
    <x v="1"/>
    <x v="0"/>
    <x v="0"/>
    <x v="4"/>
    <x v="0"/>
    <x v="0"/>
    <x v="0"/>
    <x v="0"/>
    <x v="0"/>
    <x v="0"/>
    <s v="99"/>
    <x v="9"/>
    <x v="0"/>
    <x v="0"/>
    <x v="10"/>
    <n v="111.37"/>
  </r>
  <r>
    <x v="0"/>
    <x v="0"/>
    <x v="1"/>
    <x v="0"/>
    <x v="0"/>
    <x v="4"/>
    <x v="0"/>
    <x v="0"/>
    <x v="0"/>
    <x v="0"/>
    <x v="0"/>
    <x v="0"/>
    <s v="99"/>
    <x v="9"/>
    <x v="0"/>
    <x v="0"/>
    <x v="6"/>
    <n v="18"/>
  </r>
  <r>
    <x v="0"/>
    <x v="0"/>
    <x v="1"/>
    <x v="0"/>
    <x v="0"/>
    <x v="4"/>
    <x v="0"/>
    <x v="0"/>
    <x v="0"/>
    <x v="0"/>
    <x v="0"/>
    <x v="0"/>
    <s v="99"/>
    <x v="9"/>
    <x v="0"/>
    <x v="0"/>
    <x v="1"/>
    <n v="-516.95000000000005"/>
  </r>
  <r>
    <x v="0"/>
    <x v="0"/>
    <x v="1"/>
    <x v="0"/>
    <x v="0"/>
    <x v="4"/>
    <x v="0"/>
    <x v="0"/>
    <x v="0"/>
    <x v="0"/>
    <x v="0"/>
    <x v="0"/>
    <s v="99"/>
    <x v="9"/>
    <x v="0"/>
    <x v="1"/>
    <x v="3"/>
    <n v="425"/>
  </r>
  <r>
    <x v="0"/>
    <x v="0"/>
    <x v="1"/>
    <x v="0"/>
    <x v="0"/>
    <x v="4"/>
    <x v="0"/>
    <x v="0"/>
    <x v="0"/>
    <x v="0"/>
    <x v="0"/>
    <x v="0"/>
    <s v="99"/>
    <x v="9"/>
    <x v="0"/>
    <x v="1"/>
    <x v="4"/>
    <n v="-499.49"/>
  </r>
  <r>
    <x v="0"/>
    <x v="0"/>
    <x v="1"/>
    <x v="0"/>
    <x v="0"/>
    <x v="4"/>
    <x v="0"/>
    <x v="0"/>
    <x v="0"/>
    <x v="0"/>
    <x v="0"/>
    <x v="0"/>
    <s v="99"/>
    <x v="9"/>
    <x v="0"/>
    <x v="1"/>
    <x v="6"/>
    <n v="30"/>
  </r>
  <r>
    <x v="0"/>
    <x v="0"/>
    <x v="1"/>
    <x v="0"/>
    <x v="0"/>
    <x v="4"/>
    <x v="0"/>
    <x v="0"/>
    <x v="0"/>
    <x v="0"/>
    <x v="0"/>
    <x v="0"/>
    <s v="99"/>
    <x v="9"/>
    <x v="0"/>
    <x v="1"/>
    <x v="1"/>
    <n v="806.74"/>
  </r>
  <r>
    <x v="0"/>
    <x v="0"/>
    <x v="1"/>
    <x v="0"/>
    <x v="0"/>
    <x v="4"/>
    <x v="0"/>
    <x v="0"/>
    <x v="0"/>
    <x v="0"/>
    <x v="2"/>
    <x v="2"/>
    <s v="15"/>
    <x v="12"/>
    <x v="0"/>
    <x v="0"/>
    <x v="0"/>
    <n v="-516.95000000000005"/>
  </r>
  <r>
    <x v="0"/>
    <x v="0"/>
    <x v="1"/>
    <x v="0"/>
    <x v="0"/>
    <x v="4"/>
    <x v="0"/>
    <x v="0"/>
    <x v="0"/>
    <x v="0"/>
    <x v="2"/>
    <x v="2"/>
    <s v="15"/>
    <x v="12"/>
    <x v="0"/>
    <x v="0"/>
    <x v="1"/>
    <n v="516.95000000000005"/>
  </r>
  <r>
    <x v="0"/>
    <x v="0"/>
    <x v="1"/>
    <x v="0"/>
    <x v="0"/>
    <x v="4"/>
    <x v="0"/>
    <x v="0"/>
    <x v="0"/>
    <x v="0"/>
    <x v="2"/>
    <x v="2"/>
    <s v="16"/>
    <x v="13"/>
    <x v="0"/>
    <x v="0"/>
    <x v="8"/>
    <n v="450"/>
  </r>
  <r>
    <x v="0"/>
    <x v="0"/>
    <x v="1"/>
    <x v="0"/>
    <x v="0"/>
    <x v="4"/>
    <x v="0"/>
    <x v="0"/>
    <x v="0"/>
    <x v="0"/>
    <x v="2"/>
    <x v="2"/>
    <s v="16"/>
    <x v="13"/>
    <x v="0"/>
    <x v="0"/>
    <x v="7"/>
    <n v="118.64"/>
  </r>
  <r>
    <x v="0"/>
    <x v="0"/>
    <x v="1"/>
    <x v="0"/>
    <x v="0"/>
    <x v="4"/>
    <x v="0"/>
    <x v="0"/>
    <x v="0"/>
    <x v="0"/>
    <x v="2"/>
    <x v="2"/>
    <s v="16"/>
    <x v="13"/>
    <x v="0"/>
    <x v="1"/>
    <x v="11"/>
    <n v="57.21"/>
  </r>
  <r>
    <x v="0"/>
    <x v="0"/>
    <x v="1"/>
    <x v="0"/>
    <x v="0"/>
    <x v="4"/>
    <x v="0"/>
    <x v="0"/>
    <x v="0"/>
    <x v="0"/>
    <x v="2"/>
    <x v="2"/>
    <s v="16"/>
    <x v="13"/>
    <x v="0"/>
    <x v="1"/>
    <x v="1"/>
    <n v="-57.21"/>
  </r>
  <r>
    <x v="0"/>
    <x v="0"/>
    <x v="1"/>
    <x v="0"/>
    <x v="0"/>
    <x v="4"/>
    <x v="0"/>
    <x v="0"/>
    <x v="0"/>
    <x v="0"/>
    <x v="2"/>
    <x v="2"/>
    <s v="30"/>
    <x v="14"/>
    <x v="0"/>
    <x v="1"/>
    <x v="7"/>
    <n v="-20"/>
  </r>
  <r>
    <x v="0"/>
    <x v="0"/>
    <x v="1"/>
    <x v="0"/>
    <x v="0"/>
    <x v="4"/>
    <x v="0"/>
    <x v="0"/>
    <x v="0"/>
    <x v="0"/>
    <x v="2"/>
    <x v="2"/>
    <s v="30"/>
    <x v="14"/>
    <x v="0"/>
    <x v="1"/>
    <x v="1"/>
    <n v="20"/>
  </r>
  <r>
    <x v="0"/>
    <x v="0"/>
    <x v="1"/>
    <x v="0"/>
    <x v="0"/>
    <x v="4"/>
    <x v="0"/>
    <x v="0"/>
    <x v="0"/>
    <x v="0"/>
    <x v="2"/>
    <x v="2"/>
    <s v="84"/>
    <x v="15"/>
    <x v="0"/>
    <x v="0"/>
    <x v="0"/>
    <n v="-151759.9"/>
  </r>
  <r>
    <x v="0"/>
    <x v="0"/>
    <x v="1"/>
    <x v="0"/>
    <x v="0"/>
    <x v="4"/>
    <x v="0"/>
    <x v="0"/>
    <x v="0"/>
    <x v="0"/>
    <x v="2"/>
    <x v="2"/>
    <s v="84"/>
    <x v="15"/>
    <x v="0"/>
    <x v="0"/>
    <x v="2"/>
    <n v="-75468.75"/>
  </r>
  <r>
    <x v="0"/>
    <x v="0"/>
    <x v="1"/>
    <x v="0"/>
    <x v="0"/>
    <x v="4"/>
    <x v="0"/>
    <x v="0"/>
    <x v="0"/>
    <x v="0"/>
    <x v="2"/>
    <x v="2"/>
    <s v="84"/>
    <x v="15"/>
    <x v="0"/>
    <x v="0"/>
    <x v="9"/>
    <n v="-1849811.11"/>
  </r>
  <r>
    <x v="0"/>
    <x v="0"/>
    <x v="1"/>
    <x v="0"/>
    <x v="0"/>
    <x v="4"/>
    <x v="0"/>
    <x v="0"/>
    <x v="0"/>
    <x v="0"/>
    <x v="2"/>
    <x v="2"/>
    <s v="84"/>
    <x v="15"/>
    <x v="0"/>
    <x v="0"/>
    <x v="10"/>
    <n v="-209259.38"/>
  </r>
  <r>
    <x v="0"/>
    <x v="0"/>
    <x v="1"/>
    <x v="0"/>
    <x v="0"/>
    <x v="4"/>
    <x v="0"/>
    <x v="0"/>
    <x v="0"/>
    <x v="0"/>
    <x v="2"/>
    <x v="2"/>
    <s v="84"/>
    <x v="15"/>
    <x v="0"/>
    <x v="0"/>
    <x v="11"/>
    <n v="-345618.75"/>
  </r>
  <r>
    <x v="0"/>
    <x v="0"/>
    <x v="1"/>
    <x v="0"/>
    <x v="0"/>
    <x v="4"/>
    <x v="0"/>
    <x v="0"/>
    <x v="0"/>
    <x v="0"/>
    <x v="2"/>
    <x v="2"/>
    <s v="84"/>
    <x v="15"/>
    <x v="0"/>
    <x v="0"/>
    <x v="3"/>
    <n v="-219196.88"/>
  </r>
  <r>
    <x v="0"/>
    <x v="0"/>
    <x v="1"/>
    <x v="0"/>
    <x v="0"/>
    <x v="4"/>
    <x v="0"/>
    <x v="0"/>
    <x v="0"/>
    <x v="0"/>
    <x v="2"/>
    <x v="2"/>
    <s v="84"/>
    <x v="15"/>
    <x v="0"/>
    <x v="0"/>
    <x v="4"/>
    <n v="-75468.75"/>
  </r>
  <r>
    <x v="0"/>
    <x v="0"/>
    <x v="1"/>
    <x v="0"/>
    <x v="0"/>
    <x v="4"/>
    <x v="0"/>
    <x v="0"/>
    <x v="0"/>
    <x v="0"/>
    <x v="2"/>
    <x v="2"/>
    <s v="84"/>
    <x v="15"/>
    <x v="0"/>
    <x v="0"/>
    <x v="5"/>
    <n v="-668361.11"/>
  </r>
  <r>
    <x v="0"/>
    <x v="0"/>
    <x v="1"/>
    <x v="0"/>
    <x v="0"/>
    <x v="4"/>
    <x v="0"/>
    <x v="0"/>
    <x v="0"/>
    <x v="0"/>
    <x v="2"/>
    <x v="2"/>
    <s v="84"/>
    <x v="15"/>
    <x v="0"/>
    <x v="0"/>
    <x v="6"/>
    <n v="-464259.38"/>
  </r>
  <r>
    <x v="0"/>
    <x v="0"/>
    <x v="1"/>
    <x v="0"/>
    <x v="0"/>
    <x v="4"/>
    <x v="0"/>
    <x v="0"/>
    <x v="0"/>
    <x v="0"/>
    <x v="2"/>
    <x v="2"/>
    <s v="84"/>
    <x v="15"/>
    <x v="0"/>
    <x v="0"/>
    <x v="1"/>
    <n v="-730618.75"/>
  </r>
  <r>
    <x v="0"/>
    <x v="0"/>
    <x v="1"/>
    <x v="0"/>
    <x v="0"/>
    <x v="4"/>
    <x v="0"/>
    <x v="0"/>
    <x v="0"/>
    <x v="0"/>
    <x v="2"/>
    <x v="2"/>
    <s v="84"/>
    <x v="15"/>
    <x v="0"/>
    <x v="1"/>
    <x v="0"/>
    <n v="-188234.38"/>
  </r>
  <r>
    <x v="0"/>
    <x v="0"/>
    <x v="1"/>
    <x v="0"/>
    <x v="0"/>
    <x v="4"/>
    <x v="0"/>
    <x v="0"/>
    <x v="0"/>
    <x v="0"/>
    <x v="2"/>
    <x v="2"/>
    <s v="84"/>
    <x v="15"/>
    <x v="0"/>
    <x v="1"/>
    <x v="2"/>
    <n v="-75468.75"/>
  </r>
  <r>
    <x v="0"/>
    <x v="0"/>
    <x v="1"/>
    <x v="0"/>
    <x v="0"/>
    <x v="4"/>
    <x v="0"/>
    <x v="0"/>
    <x v="0"/>
    <x v="0"/>
    <x v="2"/>
    <x v="2"/>
    <s v="84"/>
    <x v="15"/>
    <x v="0"/>
    <x v="1"/>
    <x v="9"/>
    <n v="-1883361.11"/>
  </r>
  <r>
    <x v="0"/>
    <x v="0"/>
    <x v="1"/>
    <x v="0"/>
    <x v="0"/>
    <x v="4"/>
    <x v="0"/>
    <x v="0"/>
    <x v="0"/>
    <x v="0"/>
    <x v="2"/>
    <x v="2"/>
    <s v="84"/>
    <x v="15"/>
    <x v="0"/>
    <x v="1"/>
    <x v="10"/>
    <n v="-203203.13"/>
  </r>
  <r>
    <x v="0"/>
    <x v="0"/>
    <x v="1"/>
    <x v="0"/>
    <x v="0"/>
    <x v="4"/>
    <x v="0"/>
    <x v="0"/>
    <x v="0"/>
    <x v="0"/>
    <x v="2"/>
    <x v="2"/>
    <s v="84"/>
    <x v="15"/>
    <x v="0"/>
    <x v="1"/>
    <x v="11"/>
    <n v="-335031.25"/>
  </r>
  <r>
    <x v="0"/>
    <x v="0"/>
    <x v="1"/>
    <x v="0"/>
    <x v="0"/>
    <x v="4"/>
    <x v="0"/>
    <x v="0"/>
    <x v="0"/>
    <x v="0"/>
    <x v="2"/>
    <x v="2"/>
    <s v="84"/>
    <x v="15"/>
    <x v="0"/>
    <x v="1"/>
    <x v="3"/>
    <n v="-177546.88"/>
  </r>
  <r>
    <x v="0"/>
    <x v="0"/>
    <x v="1"/>
    <x v="0"/>
    <x v="0"/>
    <x v="4"/>
    <x v="0"/>
    <x v="0"/>
    <x v="0"/>
    <x v="0"/>
    <x v="2"/>
    <x v="2"/>
    <s v="84"/>
    <x v="15"/>
    <x v="0"/>
    <x v="1"/>
    <x v="4"/>
    <n v="-75468.75"/>
  </r>
  <r>
    <x v="0"/>
    <x v="0"/>
    <x v="1"/>
    <x v="0"/>
    <x v="0"/>
    <x v="4"/>
    <x v="0"/>
    <x v="0"/>
    <x v="0"/>
    <x v="0"/>
    <x v="2"/>
    <x v="2"/>
    <s v="84"/>
    <x v="15"/>
    <x v="0"/>
    <x v="1"/>
    <x v="5"/>
    <n v="-639808.61"/>
  </r>
  <r>
    <x v="0"/>
    <x v="0"/>
    <x v="1"/>
    <x v="0"/>
    <x v="0"/>
    <x v="4"/>
    <x v="0"/>
    <x v="0"/>
    <x v="0"/>
    <x v="0"/>
    <x v="2"/>
    <x v="2"/>
    <s v="84"/>
    <x v="15"/>
    <x v="0"/>
    <x v="1"/>
    <x v="6"/>
    <n v="-473203.13"/>
  </r>
  <r>
    <x v="0"/>
    <x v="0"/>
    <x v="1"/>
    <x v="0"/>
    <x v="0"/>
    <x v="4"/>
    <x v="0"/>
    <x v="0"/>
    <x v="0"/>
    <x v="0"/>
    <x v="2"/>
    <x v="2"/>
    <s v="84"/>
    <x v="15"/>
    <x v="0"/>
    <x v="1"/>
    <x v="1"/>
    <n v="-813278.63"/>
  </r>
  <r>
    <x v="0"/>
    <x v="0"/>
    <x v="1"/>
    <x v="0"/>
    <x v="0"/>
    <x v="0"/>
    <x v="0"/>
    <x v="0"/>
    <x v="0"/>
    <x v="0"/>
    <x v="0"/>
    <x v="0"/>
    <s v="09"/>
    <x v="0"/>
    <x v="0"/>
    <x v="0"/>
    <x v="0"/>
    <n v="30998.39"/>
  </r>
  <r>
    <x v="0"/>
    <x v="0"/>
    <x v="1"/>
    <x v="0"/>
    <x v="0"/>
    <x v="0"/>
    <x v="0"/>
    <x v="0"/>
    <x v="0"/>
    <x v="0"/>
    <x v="0"/>
    <x v="0"/>
    <s v="09"/>
    <x v="0"/>
    <x v="0"/>
    <x v="0"/>
    <x v="2"/>
    <n v="14.62"/>
  </r>
  <r>
    <x v="0"/>
    <x v="0"/>
    <x v="1"/>
    <x v="0"/>
    <x v="0"/>
    <x v="0"/>
    <x v="0"/>
    <x v="0"/>
    <x v="0"/>
    <x v="0"/>
    <x v="0"/>
    <x v="0"/>
    <s v="09"/>
    <x v="0"/>
    <x v="0"/>
    <x v="0"/>
    <x v="8"/>
    <n v="21552.41"/>
  </r>
  <r>
    <x v="0"/>
    <x v="0"/>
    <x v="1"/>
    <x v="0"/>
    <x v="0"/>
    <x v="0"/>
    <x v="0"/>
    <x v="0"/>
    <x v="0"/>
    <x v="0"/>
    <x v="0"/>
    <x v="0"/>
    <s v="09"/>
    <x v="0"/>
    <x v="0"/>
    <x v="0"/>
    <x v="9"/>
    <n v="1026.3399999999999"/>
  </r>
  <r>
    <x v="0"/>
    <x v="0"/>
    <x v="1"/>
    <x v="0"/>
    <x v="0"/>
    <x v="0"/>
    <x v="0"/>
    <x v="0"/>
    <x v="0"/>
    <x v="0"/>
    <x v="0"/>
    <x v="0"/>
    <s v="09"/>
    <x v="0"/>
    <x v="0"/>
    <x v="0"/>
    <x v="10"/>
    <n v="91840.81"/>
  </r>
  <r>
    <x v="0"/>
    <x v="0"/>
    <x v="1"/>
    <x v="0"/>
    <x v="0"/>
    <x v="0"/>
    <x v="0"/>
    <x v="0"/>
    <x v="0"/>
    <x v="0"/>
    <x v="0"/>
    <x v="0"/>
    <s v="09"/>
    <x v="0"/>
    <x v="0"/>
    <x v="0"/>
    <x v="11"/>
    <n v="29395.39"/>
  </r>
  <r>
    <x v="0"/>
    <x v="0"/>
    <x v="1"/>
    <x v="0"/>
    <x v="0"/>
    <x v="0"/>
    <x v="0"/>
    <x v="0"/>
    <x v="0"/>
    <x v="0"/>
    <x v="0"/>
    <x v="0"/>
    <s v="09"/>
    <x v="0"/>
    <x v="0"/>
    <x v="0"/>
    <x v="4"/>
    <n v="92014.28"/>
  </r>
  <r>
    <x v="0"/>
    <x v="0"/>
    <x v="1"/>
    <x v="0"/>
    <x v="0"/>
    <x v="0"/>
    <x v="0"/>
    <x v="0"/>
    <x v="0"/>
    <x v="0"/>
    <x v="0"/>
    <x v="0"/>
    <s v="09"/>
    <x v="0"/>
    <x v="0"/>
    <x v="0"/>
    <x v="7"/>
    <n v="46335.26"/>
  </r>
  <r>
    <x v="0"/>
    <x v="0"/>
    <x v="1"/>
    <x v="0"/>
    <x v="0"/>
    <x v="0"/>
    <x v="0"/>
    <x v="0"/>
    <x v="0"/>
    <x v="0"/>
    <x v="0"/>
    <x v="0"/>
    <s v="09"/>
    <x v="0"/>
    <x v="0"/>
    <x v="0"/>
    <x v="5"/>
    <n v="68297.89"/>
  </r>
  <r>
    <x v="0"/>
    <x v="0"/>
    <x v="1"/>
    <x v="0"/>
    <x v="0"/>
    <x v="0"/>
    <x v="0"/>
    <x v="0"/>
    <x v="0"/>
    <x v="0"/>
    <x v="0"/>
    <x v="0"/>
    <s v="09"/>
    <x v="0"/>
    <x v="0"/>
    <x v="0"/>
    <x v="6"/>
    <n v="109976.92"/>
  </r>
  <r>
    <x v="0"/>
    <x v="0"/>
    <x v="1"/>
    <x v="0"/>
    <x v="0"/>
    <x v="0"/>
    <x v="0"/>
    <x v="0"/>
    <x v="0"/>
    <x v="0"/>
    <x v="0"/>
    <x v="0"/>
    <s v="09"/>
    <x v="0"/>
    <x v="0"/>
    <x v="0"/>
    <x v="1"/>
    <n v="35152.11"/>
  </r>
  <r>
    <x v="0"/>
    <x v="0"/>
    <x v="1"/>
    <x v="0"/>
    <x v="0"/>
    <x v="0"/>
    <x v="0"/>
    <x v="0"/>
    <x v="0"/>
    <x v="0"/>
    <x v="0"/>
    <x v="0"/>
    <s v="09"/>
    <x v="0"/>
    <x v="0"/>
    <x v="1"/>
    <x v="0"/>
    <n v="24981.75"/>
  </r>
  <r>
    <x v="0"/>
    <x v="0"/>
    <x v="1"/>
    <x v="0"/>
    <x v="0"/>
    <x v="0"/>
    <x v="0"/>
    <x v="0"/>
    <x v="0"/>
    <x v="0"/>
    <x v="0"/>
    <x v="0"/>
    <s v="09"/>
    <x v="0"/>
    <x v="0"/>
    <x v="1"/>
    <x v="2"/>
    <n v="-619.89"/>
  </r>
  <r>
    <x v="0"/>
    <x v="0"/>
    <x v="1"/>
    <x v="0"/>
    <x v="0"/>
    <x v="0"/>
    <x v="0"/>
    <x v="0"/>
    <x v="0"/>
    <x v="0"/>
    <x v="0"/>
    <x v="0"/>
    <s v="09"/>
    <x v="0"/>
    <x v="0"/>
    <x v="1"/>
    <x v="8"/>
    <n v="7813.02"/>
  </r>
  <r>
    <x v="0"/>
    <x v="0"/>
    <x v="1"/>
    <x v="0"/>
    <x v="0"/>
    <x v="0"/>
    <x v="0"/>
    <x v="0"/>
    <x v="0"/>
    <x v="0"/>
    <x v="0"/>
    <x v="0"/>
    <s v="09"/>
    <x v="0"/>
    <x v="0"/>
    <x v="1"/>
    <x v="9"/>
    <n v="58422.63"/>
  </r>
  <r>
    <x v="0"/>
    <x v="0"/>
    <x v="1"/>
    <x v="0"/>
    <x v="0"/>
    <x v="0"/>
    <x v="0"/>
    <x v="0"/>
    <x v="0"/>
    <x v="0"/>
    <x v="0"/>
    <x v="0"/>
    <s v="09"/>
    <x v="0"/>
    <x v="0"/>
    <x v="1"/>
    <x v="10"/>
    <n v="96300.52"/>
  </r>
  <r>
    <x v="0"/>
    <x v="0"/>
    <x v="1"/>
    <x v="0"/>
    <x v="0"/>
    <x v="0"/>
    <x v="0"/>
    <x v="0"/>
    <x v="0"/>
    <x v="0"/>
    <x v="0"/>
    <x v="0"/>
    <s v="09"/>
    <x v="0"/>
    <x v="0"/>
    <x v="1"/>
    <x v="11"/>
    <n v="59170.81"/>
  </r>
  <r>
    <x v="0"/>
    <x v="0"/>
    <x v="1"/>
    <x v="0"/>
    <x v="0"/>
    <x v="0"/>
    <x v="0"/>
    <x v="0"/>
    <x v="0"/>
    <x v="0"/>
    <x v="0"/>
    <x v="0"/>
    <s v="09"/>
    <x v="0"/>
    <x v="0"/>
    <x v="1"/>
    <x v="3"/>
    <n v="9147.65"/>
  </r>
  <r>
    <x v="0"/>
    <x v="0"/>
    <x v="1"/>
    <x v="0"/>
    <x v="0"/>
    <x v="0"/>
    <x v="0"/>
    <x v="0"/>
    <x v="0"/>
    <x v="0"/>
    <x v="0"/>
    <x v="0"/>
    <s v="09"/>
    <x v="0"/>
    <x v="0"/>
    <x v="1"/>
    <x v="4"/>
    <n v="21640.84"/>
  </r>
  <r>
    <x v="0"/>
    <x v="0"/>
    <x v="1"/>
    <x v="0"/>
    <x v="0"/>
    <x v="0"/>
    <x v="0"/>
    <x v="0"/>
    <x v="0"/>
    <x v="0"/>
    <x v="0"/>
    <x v="0"/>
    <s v="09"/>
    <x v="0"/>
    <x v="0"/>
    <x v="1"/>
    <x v="7"/>
    <n v="91088.54"/>
  </r>
  <r>
    <x v="0"/>
    <x v="0"/>
    <x v="1"/>
    <x v="0"/>
    <x v="0"/>
    <x v="0"/>
    <x v="0"/>
    <x v="0"/>
    <x v="0"/>
    <x v="0"/>
    <x v="0"/>
    <x v="0"/>
    <s v="09"/>
    <x v="0"/>
    <x v="0"/>
    <x v="1"/>
    <x v="5"/>
    <n v="80316.759999999995"/>
  </r>
  <r>
    <x v="0"/>
    <x v="0"/>
    <x v="1"/>
    <x v="0"/>
    <x v="0"/>
    <x v="0"/>
    <x v="0"/>
    <x v="0"/>
    <x v="0"/>
    <x v="0"/>
    <x v="0"/>
    <x v="0"/>
    <s v="09"/>
    <x v="0"/>
    <x v="0"/>
    <x v="1"/>
    <x v="6"/>
    <n v="35275.61"/>
  </r>
  <r>
    <x v="0"/>
    <x v="0"/>
    <x v="1"/>
    <x v="0"/>
    <x v="0"/>
    <x v="0"/>
    <x v="0"/>
    <x v="0"/>
    <x v="0"/>
    <x v="0"/>
    <x v="0"/>
    <x v="0"/>
    <s v="09"/>
    <x v="0"/>
    <x v="0"/>
    <x v="1"/>
    <x v="1"/>
    <n v="23864.6"/>
  </r>
  <r>
    <x v="0"/>
    <x v="0"/>
    <x v="1"/>
    <x v="0"/>
    <x v="0"/>
    <x v="0"/>
    <x v="0"/>
    <x v="0"/>
    <x v="0"/>
    <x v="0"/>
    <x v="0"/>
    <x v="0"/>
    <s v="20"/>
    <x v="7"/>
    <x v="0"/>
    <x v="0"/>
    <x v="0"/>
    <n v="251.82"/>
  </r>
  <r>
    <x v="0"/>
    <x v="0"/>
    <x v="1"/>
    <x v="0"/>
    <x v="0"/>
    <x v="0"/>
    <x v="0"/>
    <x v="0"/>
    <x v="0"/>
    <x v="0"/>
    <x v="0"/>
    <x v="0"/>
    <s v="20"/>
    <x v="7"/>
    <x v="0"/>
    <x v="0"/>
    <x v="2"/>
    <n v="-251.82"/>
  </r>
  <r>
    <x v="0"/>
    <x v="0"/>
    <x v="1"/>
    <x v="0"/>
    <x v="0"/>
    <x v="0"/>
    <x v="0"/>
    <x v="0"/>
    <x v="0"/>
    <x v="0"/>
    <x v="0"/>
    <x v="0"/>
    <s v="20"/>
    <x v="7"/>
    <x v="0"/>
    <x v="0"/>
    <x v="3"/>
    <n v="100"/>
  </r>
  <r>
    <x v="0"/>
    <x v="0"/>
    <x v="1"/>
    <x v="0"/>
    <x v="0"/>
    <x v="0"/>
    <x v="0"/>
    <x v="0"/>
    <x v="0"/>
    <x v="0"/>
    <x v="0"/>
    <x v="0"/>
    <s v="20"/>
    <x v="7"/>
    <x v="0"/>
    <x v="0"/>
    <x v="4"/>
    <n v="-100"/>
  </r>
  <r>
    <x v="0"/>
    <x v="0"/>
    <x v="1"/>
    <x v="0"/>
    <x v="0"/>
    <x v="0"/>
    <x v="0"/>
    <x v="0"/>
    <x v="0"/>
    <x v="0"/>
    <x v="0"/>
    <x v="0"/>
    <s v="20"/>
    <x v="7"/>
    <x v="0"/>
    <x v="0"/>
    <x v="5"/>
    <n v="157.43"/>
  </r>
  <r>
    <x v="0"/>
    <x v="0"/>
    <x v="1"/>
    <x v="0"/>
    <x v="0"/>
    <x v="0"/>
    <x v="0"/>
    <x v="0"/>
    <x v="0"/>
    <x v="0"/>
    <x v="0"/>
    <x v="0"/>
    <s v="20"/>
    <x v="7"/>
    <x v="0"/>
    <x v="0"/>
    <x v="6"/>
    <n v="-157.43"/>
  </r>
  <r>
    <x v="0"/>
    <x v="0"/>
    <x v="1"/>
    <x v="0"/>
    <x v="0"/>
    <x v="0"/>
    <x v="0"/>
    <x v="0"/>
    <x v="0"/>
    <x v="0"/>
    <x v="0"/>
    <x v="0"/>
    <s v="24"/>
    <x v="1"/>
    <x v="0"/>
    <x v="0"/>
    <x v="0"/>
    <n v="75786.649999999994"/>
  </r>
  <r>
    <x v="0"/>
    <x v="0"/>
    <x v="1"/>
    <x v="0"/>
    <x v="0"/>
    <x v="0"/>
    <x v="0"/>
    <x v="0"/>
    <x v="0"/>
    <x v="0"/>
    <x v="0"/>
    <x v="0"/>
    <s v="24"/>
    <x v="1"/>
    <x v="0"/>
    <x v="0"/>
    <x v="2"/>
    <n v="15013786.140000001"/>
  </r>
  <r>
    <x v="0"/>
    <x v="0"/>
    <x v="1"/>
    <x v="0"/>
    <x v="0"/>
    <x v="0"/>
    <x v="0"/>
    <x v="0"/>
    <x v="0"/>
    <x v="0"/>
    <x v="0"/>
    <x v="0"/>
    <s v="24"/>
    <x v="1"/>
    <x v="0"/>
    <x v="0"/>
    <x v="8"/>
    <n v="12950428.34"/>
  </r>
  <r>
    <x v="0"/>
    <x v="0"/>
    <x v="1"/>
    <x v="0"/>
    <x v="0"/>
    <x v="0"/>
    <x v="0"/>
    <x v="0"/>
    <x v="0"/>
    <x v="0"/>
    <x v="0"/>
    <x v="0"/>
    <s v="24"/>
    <x v="1"/>
    <x v="0"/>
    <x v="0"/>
    <x v="9"/>
    <n v="1768864.49"/>
  </r>
  <r>
    <x v="0"/>
    <x v="0"/>
    <x v="1"/>
    <x v="0"/>
    <x v="0"/>
    <x v="0"/>
    <x v="0"/>
    <x v="0"/>
    <x v="0"/>
    <x v="0"/>
    <x v="0"/>
    <x v="0"/>
    <s v="24"/>
    <x v="1"/>
    <x v="0"/>
    <x v="0"/>
    <x v="10"/>
    <n v="303900.46000000002"/>
  </r>
  <r>
    <x v="0"/>
    <x v="0"/>
    <x v="1"/>
    <x v="0"/>
    <x v="0"/>
    <x v="0"/>
    <x v="0"/>
    <x v="0"/>
    <x v="0"/>
    <x v="0"/>
    <x v="0"/>
    <x v="0"/>
    <s v="24"/>
    <x v="1"/>
    <x v="0"/>
    <x v="0"/>
    <x v="11"/>
    <n v="45632.29"/>
  </r>
  <r>
    <x v="0"/>
    <x v="0"/>
    <x v="1"/>
    <x v="0"/>
    <x v="0"/>
    <x v="0"/>
    <x v="0"/>
    <x v="0"/>
    <x v="0"/>
    <x v="0"/>
    <x v="0"/>
    <x v="0"/>
    <s v="24"/>
    <x v="1"/>
    <x v="0"/>
    <x v="0"/>
    <x v="3"/>
    <n v="19293026.43"/>
  </r>
  <r>
    <x v="0"/>
    <x v="0"/>
    <x v="1"/>
    <x v="0"/>
    <x v="0"/>
    <x v="0"/>
    <x v="0"/>
    <x v="0"/>
    <x v="0"/>
    <x v="0"/>
    <x v="0"/>
    <x v="0"/>
    <s v="24"/>
    <x v="1"/>
    <x v="0"/>
    <x v="0"/>
    <x v="4"/>
    <n v="9365316.3200000003"/>
  </r>
  <r>
    <x v="0"/>
    <x v="0"/>
    <x v="1"/>
    <x v="0"/>
    <x v="0"/>
    <x v="0"/>
    <x v="0"/>
    <x v="0"/>
    <x v="0"/>
    <x v="0"/>
    <x v="0"/>
    <x v="0"/>
    <s v="24"/>
    <x v="1"/>
    <x v="0"/>
    <x v="0"/>
    <x v="7"/>
    <n v="898682.2"/>
  </r>
  <r>
    <x v="0"/>
    <x v="0"/>
    <x v="1"/>
    <x v="0"/>
    <x v="0"/>
    <x v="0"/>
    <x v="0"/>
    <x v="0"/>
    <x v="0"/>
    <x v="0"/>
    <x v="0"/>
    <x v="0"/>
    <s v="24"/>
    <x v="1"/>
    <x v="0"/>
    <x v="0"/>
    <x v="5"/>
    <n v="1244.5"/>
  </r>
  <r>
    <x v="0"/>
    <x v="0"/>
    <x v="1"/>
    <x v="0"/>
    <x v="0"/>
    <x v="0"/>
    <x v="0"/>
    <x v="0"/>
    <x v="0"/>
    <x v="0"/>
    <x v="0"/>
    <x v="0"/>
    <s v="24"/>
    <x v="1"/>
    <x v="0"/>
    <x v="0"/>
    <x v="6"/>
    <n v="788129.39"/>
  </r>
  <r>
    <x v="0"/>
    <x v="0"/>
    <x v="1"/>
    <x v="0"/>
    <x v="0"/>
    <x v="0"/>
    <x v="0"/>
    <x v="0"/>
    <x v="0"/>
    <x v="0"/>
    <x v="0"/>
    <x v="0"/>
    <s v="24"/>
    <x v="1"/>
    <x v="0"/>
    <x v="0"/>
    <x v="1"/>
    <n v="193470.64"/>
  </r>
  <r>
    <x v="0"/>
    <x v="0"/>
    <x v="1"/>
    <x v="0"/>
    <x v="0"/>
    <x v="0"/>
    <x v="0"/>
    <x v="0"/>
    <x v="0"/>
    <x v="0"/>
    <x v="0"/>
    <x v="0"/>
    <s v="24"/>
    <x v="1"/>
    <x v="0"/>
    <x v="1"/>
    <x v="0"/>
    <n v="143695.17000000001"/>
  </r>
  <r>
    <x v="0"/>
    <x v="0"/>
    <x v="1"/>
    <x v="0"/>
    <x v="0"/>
    <x v="0"/>
    <x v="0"/>
    <x v="0"/>
    <x v="0"/>
    <x v="0"/>
    <x v="0"/>
    <x v="0"/>
    <s v="24"/>
    <x v="1"/>
    <x v="0"/>
    <x v="1"/>
    <x v="2"/>
    <n v="14446165.99"/>
  </r>
  <r>
    <x v="0"/>
    <x v="0"/>
    <x v="1"/>
    <x v="0"/>
    <x v="0"/>
    <x v="0"/>
    <x v="0"/>
    <x v="0"/>
    <x v="0"/>
    <x v="0"/>
    <x v="0"/>
    <x v="0"/>
    <s v="24"/>
    <x v="1"/>
    <x v="0"/>
    <x v="1"/>
    <x v="8"/>
    <n v="13037620.51"/>
  </r>
  <r>
    <x v="0"/>
    <x v="0"/>
    <x v="1"/>
    <x v="0"/>
    <x v="0"/>
    <x v="0"/>
    <x v="0"/>
    <x v="0"/>
    <x v="0"/>
    <x v="0"/>
    <x v="0"/>
    <x v="0"/>
    <s v="24"/>
    <x v="1"/>
    <x v="0"/>
    <x v="1"/>
    <x v="9"/>
    <n v="3065362.75"/>
  </r>
  <r>
    <x v="0"/>
    <x v="0"/>
    <x v="1"/>
    <x v="0"/>
    <x v="0"/>
    <x v="0"/>
    <x v="0"/>
    <x v="0"/>
    <x v="0"/>
    <x v="0"/>
    <x v="0"/>
    <x v="0"/>
    <s v="24"/>
    <x v="1"/>
    <x v="0"/>
    <x v="1"/>
    <x v="10"/>
    <n v="230336.65"/>
  </r>
  <r>
    <x v="0"/>
    <x v="0"/>
    <x v="1"/>
    <x v="0"/>
    <x v="0"/>
    <x v="0"/>
    <x v="0"/>
    <x v="0"/>
    <x v="0"/>
    <x v="0"/>
    <x v="0"/>
    <x v="0"/>
    <s v="24"/>
    <x v="1"/>
    <x v="0"/>
    <x v="1"/>
    <x v="11"/>
    <n v="93229.84"/>
  </r>
  <r>
    <x v="0"/>
    <x v="0"/>
    <x v="1"/>
    <x v="0"/>
    <x v="0"/>
    <x v="0"/>
    <x v="0"/>
    <x v="0"/>
    <x v="0"/>
    <x v="0"/>
    <x v="0"/>
    <x v="0"/>
    <s v="24"/>
    <x v="1"/>
    <x v="0"/>
    <x v="1"/>
    <x v="3"/>
    <n v="19544228.609999999"/>
  </r>
  <r>
    <x v="0"/>
    <x v="0"/>
    <x v="1"/>
    <x v="0"/>
    <x v="0"/>
    <x v="0"/>
    <x v="0"/>
    <x v="0"/>
    <x v="0"/>
    <x v="0"/>
    <x v="0"/>
    <x v="0"/>
    <s v="24"/>
    <x v="1"/>
    <x v="0"/>
    <x v="1"/>
    <x v="4"/>
    <n v="8928823.7599999998"/>
  </r>
  <r>
    <x v="0"/>
    <x v="0"/>
    <x v="1"/>
    <x v="0"/>
    <x v="0"/>
    <x v="0"/>
    <x v="0"/>
    <x v="0"/>
    <x v="0"/>
    <x v="0"/>
    <x v="0"/>
    <x v="0"/>
    <s v="24"/>
    <x v="1"/>
    <x v="0"/>
    <x v="1"/>
    <x v="7"/>
    <n v="870347.03"/>
  </r>
  <r>
    <x v="0"/>
    <x v="0"/>
    <x v="1"/>
    <x v="0"/>
    <x v="0"/>
    <x v="0"/>
    <x v="0"/>
    <x v="0"/>
    <x v="0"/>
    <x v="0"/>
    <x v="0"/>
    <x v="0"/>
    <s v="24"/>
    <x v="1"/>
    <x v="0"/>
    <x v="1"/>
    <x v="5"/>
    <n v="634566.40000000002"/>
  </r>
  <r>
    <x v="0"/>
    <x v="0"/>
    <x v="1"/>
    <x v="0"/>
    <x v="0"/>
    <x v="0"/>
    <x v="0"/>
    <x v="0"/>
    <x v="0"/>
    <x v="0"/>
    <x v="0"/>
    <x v="0"/>
    <s v="24"/>
    <x v="1"/>
    <x v="0"/>
    <x v="1"/>
    <x v="6"/>
    <n v="624609.18999999994"/>
  </r>
  <r>
    <x v="0"/>
    <x v="0"/>
    <x v="1"/>
    <x v="0"/>
    <x v="0"/>
    <x v="0"/>
    <x v="0"/>
    <x v="0"/>
    <x v="0"/>
    <x v="0"/>
    <x v="0"/>
    <x v="0"/>
    <s v="24"/>
    <x v="1"/>
    <x v="0"/>
    <x v="1"/>
    <x v="1"/>
    <n v="1286963.51"/>
  </r>
  <r>
    <x v="0"/>
    <x v="0"/>
    <x v="1"/>
    <x v="0"/>
    <x v="0"/>
    <x v="0"/>
    <x v="0"/>
    <x v="0"/>
    <x v="0"/>
    <x v="0"/>
    <x v="0"/>
    <x v="0"/>
    <s v="30"/>
    <x v="3"/>
    <x v="0"/>
    <x v="0"/>
    <x v="6"/>
    <n v="-20.5"/>
  </r>
  <r>
    <x v="0"/>
    <x v="0"/>
    <x v="1"/>
    <x v="0"/>
    <x v="0"/>
    <x v="0"/>
    <x v="0"/>
    <x v="0"/>
    <x v="0"/>
    <x v="0"/>
    <x v="0"/>
    <x v="0"/>
    <s v="30"/>
    <x v="3"/>
    <x v="0"/>
    <x v="0"/>
    <x v="1"/>
    <n v="20.5"/>
  </r>
  <r>
    <x v="0"/>
    <x v="0"/>
    <x v="1"/>
    <x v="0"/>
    <x v="0"/>
    <x v="0"/>
    <x v="0"/>
    <x v="0"/>
    <x v="0"/>
    <x v="0"/>
    <x v="0"/>
    <x v="0"/>
    <s v="80"/>
    <x v="11"/>
    <x v="0"/>
    <x v="1"/>
    <x v="7"/>
    <n v="534318.17000000004"/>
  </r>
  <r>
    <x v="0"/>
    <x v="0"/>
    <x v="1"/>
    <x v="0"/>
    <x v="0"/>
    <x v="0"/>
    <x v="0"/>
    <x v="0"/>
    <x v="0"/>
    <x v="0"/>
    <x v="0"/>
    <x v="0"/>
    <s v="80"/>
    <x v="11"/>
    <x v="0"/>
    <x v="1"/>
    <x v="5"/>
    <n v="-534318.17000000004"/>
  </r>
  <r>
    <x v="0"/>
    <x v="0"/>
    <x v="1"/>
    <x v="0"/>
    <x v="0"/>
    <x v="0"/>
    <x v="0"/>
    <x v="0"/>
    <x v="0"/>
    <x v="0"/>
    <x v="0"/>
    <x v="0"/>
    <s v="81"/>
    <x v="2"/>
    <x v="0"/>
    <x v="0"/>
    <x v="0"/>
    <n v="-595792.64000000001"/>
  </r>
  <r>
    <x v="0"/>
    <x v="0"/>
    <x v="1"/>
    <x v="0"/>
    <x v="0"/>
    <x v="0"/>
    <x v="0"/>
    <x v="0"/>
    <x v="0"/>
    <x v="0"/>
    <x v="0"/>
    <x v="0"/>
    <s v="81"/>
    <x v="2"/>
    <x v="0"/>
    <x v="0"/>
    <x v="2"/>
    <n v="-25000"/>
  </r>
  <r>
    <x v="0"/>
    <x v="0"/>
    <x v="1"/>
    <x v="0"/>
    <x v="0"/>
    <x v="0"/>
    <x v="0"/>
    <x v="0"/>
    <x v="0"/>
    <x v="0"/>
    <x v="0"/>
    <x v="0"/>
    <s v="81"/>
    <x v="2"/>
    <x v="0"/>
    <x v="0"/>
    <x v="8"/>
    <n v="-538992.5"/>
  </r>
  <r>
    <x v="0"/>
    <x v="0"/>
    <x v="1"/>
    <x v="0"/>
    <x v="0"/>
    <x v="0"/>
    <x v="0"/>
    <x v="0"/>
    <x v="0"/>
    <x v="0"/>
    <x v="0"/>
    <x v="0"/>
    <s v="81"/>
    <x v="2"/>
    <x v="0"/>
    <x v="0"/>
    <x v="9"/>
    <n v="-107276.98"/>
  </r>
  <r>
    <x v="0"/>
    <x v="0"/>
    <x v="1"/>
    <x v="0"/>
    <x v="0"/>
    <x v="0"/>
    <x v="0"/>
    <x v="0"/>
    <x v="0"/>
    <x v="0"/>
    <x v="0"/>
    <x v="0"/>
    <s v="81"/>
    <x v="2"/>
    <x v="0"/>
    <x v="0"/>
    <x v="10"/>
    <n v="-15853.13"/>
  </r>
  <r>
    <x v="0"/>
    <x v="0"/>
    <x v="1"/>
    <x v="0"/>
    <x v="0"/>
    <x v="0"/>
    <x v="0"/>
    <x v="0"/>
    <x v="0"/>
    <x v="0"/>
    <x v="0"/>
    <x v="0"/>
    <s v="81"/>
    <x v="2"/>
    <x v="0"/>
    <x v="0"/>
    <x v="11"/>
    <n v="-49502.5"/>
  </r>
  <r>
    <x v="0"/>
    <x v="0"/>
    <x v="1"/>
    <x v="0"/>
    <x v="0"/>
    <x v="0"/>
    <x v="0"/>
    <x v="0"/>
    <x v="0"/>
    <x v="0"/>
    <x v="0"/>
    <x v="0"/>
    <s v="81"/>
    <x v="2"/>
    <x v="0"/>
    <x v="0"/>
    <x v="3"/>
    <n v="-350747.5"/>
  </r>
  <r>
    <x v="0"/>
    <x v="0"/>
    <x v="1"/>
    <x v="0"/>
    <x v="0"/>
    <x v="0"/>
    <x v="0"/>
    <x v="0"/>
    <x v="0"/>
    <x v="0"/>
    <x v="0"/>
    <x v="0"/>
    <s v="81"/>
    <x v="2"/>
    <x v="0"/>
    <x v="0"/>
    <x v="4"/>
    <n v="-25000"/>
  </r>
  <r>
    <x v="0"/>
    <x v="0"/>
    <x v="1"/>
    <x v="0"/>
    <x v="0"/>
    <x v="0"/>
    <x v="0"/>
    <x v="0"/>
    <x v="0"/>
    <x v="0"/>
    <x v="0"/>
    <x v="0"/>
    <s v="81"/>
    <x v="2"/>
    <x v="0"/>
    <x v="0"/>
    <x v="7"/>
    <n v="-279617.5"/>
  </r>
  <r>
    <x v="0"/>
    <x v="0"/>
    <x v="1"/>
    <x v="0"/>
    <x v="0"/>
    <x v="0"/>
    <x v="0"/>
    <x v="0"/>
    <x v="0"/>
    <x v="0"/>
    <x v="0"/>
    <x v="0"/>
    <s v="81"/>
    <x v="2"/>
    <x v="0"/>
    <x v="0"/>
    <x v="5"/>
    <n v="-5026.9799999999996"/>
  </r>
  <r>
    <x v="0"/>
    <x v="0"/>
    <x v="1"/>
    <x v="0"/>
    <x v="0"/>
    <x v="0"/>
    <x v="0"/>
    <x v="0"/>
    <x v="0"/>
    <x v="0"/>
    <x v="0"/>
    <x v="0"/>
    <s v="81"/>
    <x v="2"/>
    <x v="0"/>
    <x v="0"/>
    <x v="6"/>
    <n v="-35853.129999999997"/>
  </r>
  <r>
    <x v="0"/>
    <x v="0"/>
    <x v="1"/>
    <x v="0"/>
    <x v="0"/>
    <x v="0"/>
    <x v="0"/>
    <x v="0"/>
    <x v="0"/>
    <x v="0"/>
    <x v="0"/>
    <x v="0"/>
    <s v="81"/>
    <x v="2"/>
    <x v="0"/>
    <x v="0"/>
    <x v="1"/>
    <n v="-104502.5"/>
  </r>
  <r>
    <x v="0"/>
    <x v="0"/>
    <x v="1"/>
    <x v="0"/>
    <x v="0"/>
    <x v="0"/>
    <x v="0"/>
    <x v="0"/>
    <x v="0"/>
    <x v="0"/>
    <x v="0"/>
    <x v="0"/>
    <s v="81"/>
    <x v="2"/>
    <x v="0"/>
    <x v="1"/>
    <x v="0"/>
    <n v="-817068.94"/>
  </r>
  <r>
    <x v="0"/>
    <x v="0"/>
    <x v="1"/>
    <x v="0"/>
    <x v="0"/>
    <x v="0"/>
    <x v="0"/>
    <x v="0"/>
    <x v="0"/>
    <x v="0"/>
    <x v="0"/>
    <x v="0"/>
    <s v="81"/>
    <x v="2"/>
    <x v="0"/>
    <x v="1"/>
    <x v="2"/>
    <n v="-25000"/>
  </r>
  <r>
    <x v="0"/>
    <x v="0"/>
    <x v="1"/>
    <x v="0"/>
    <x v="0"/>
    <x v="0"/>
    <x v="0"/>
    <x v="0"/>
    <x v="0"/>
    <x v="0"/>
    <x v="0"/>
    <x v="0"/>
    <s v="81"/>
    <x v="2"/>
    <x v="0"/>
    <x v="1"/>
    <x v="8"/>
    <n v="-549617.5"/>
  </r>
  <r>
    <x v="0"/>
    <x v="0"/>
    <x v="1"/>
    <x v="0"/>
    <x v="0"/>
    <x v="0"/>
    <x v="0"/>
    <x v="0"/>
    <x v="0"/>
    <x v="0"/>
    <x v="0"/>
    <x v="0"/>
    <s v="81"/>
    <x v="2"/>
    <x v="0"/>
    <x v="1"/>
    <x v="9"/>
    <n v="-110026.98"/>
  </r>
  <r>
    <x v="0"/>
    <x v="0"/>
    <x v="1"/>
    <x v="0"/>
    <x v="0"/>
    <x v="0"/>
    <x v="0"/>
    <x v="0"/>
    <x v="0"/>
    <x v="0"/>
    <x v="0"/>
    <x v="0"/>
    <s v="81"/>
    <x v="2"/>
    <x v="0"/>
    <x v="1"/>
    <x v="10"/>
    <n v="-15378.13"/>
  </r>
  <r>
    <x v="0"/>
    <x v="0"/>
    <x v="1"/>
    <x v="0"/>
    <x v="0"/>
    <x v="0"/>
    <x v="0"/>
    <x v="0"/>
    <x v="0"/>
    <x v="0"/>
    <x v="0"/>
    <x v="0"/>
    <s v="81"/>
    <x v="2"/>
    <x v="0"/>
    <x v="1"/>
    <x v="11"/>
    <n v="-47990"/>
  </r>
  <r>
    <x v="0"/>
    <x v="0"/>
    <x v="1"/>
    <x v="0"/>
    <x v="0"/>
    <x v="0"/>
    <x v="0"/>
    <x v="0"/>
    <x v="0"/>
    <x v="0"/>
    <x v="0"/>
    <x v="0"/>
    <s v="81"/>
    <x v="2"/>
    <x v="0"/>
    <x v="1"/>
    <x v="3"/>
    <n v="-327672.5"/>
  </r>
  <r>
    <x v="0"/>
    <x v="0"/>
    <x v="1"/>
    <x v="0"/>
    <x v="0"/>
    <x v="0"/>
    <x v="0"/>
    <x v="0"/>
    <x v="0"/>
    <x v="0"/>
    <x v="0"/>
    <x v="0"/>
    <s v="81"/>
    <x v="2"/>
    <x v="0"/>
    <x v="1"/>
    <x v="4"/>
    <n v="-25000"/>
  </r>
  <r>
    <x v="0"/>
    <x v="0"/>
    <x v="1"/>
    <x v="0"/>
    <x v="0"/>
    <x v="0"/>
    <x v="0"/>
    <x v="0"/>
    <x v="0"/>
    <x v="0"/>
    <x v="0"/>
    <x v="0"/>
    <s v="81"/>
    <x v="2"/>
    <x v="0"/>
    <x v="1"/>
    <x v="7"/>
    <n v="-272867.5"/>
  </r>
  <r>
    <x v="0"/>
    <x v="0"/>
    <x v="1"/>
    <x v="0"/>
    <x v="0"/>
    <x v="0"/>
    <x v="0"/>
    <x v="0"/>
    <x v="0"/>
    <x v="0"/>
    <x v="0"/>
    <x v="0"/>
    <s v="81"/>
    <x v="2"/>
    <x v="0"/>
    <x v="1"/>
    <x v="5"/>
    <n v="-2559.48"/>
  </r>
  <r>
    <x v="0"/>
    <x v="0"/>
    <x v="1"/>
    <x v="0"/>
    <x v="0"/>
    <x v="0"/>
    <x v="0"/>
    <x v="0"/>
    <x v="0"/>
    <x v="0"/>
    <x v="0"/>
    <x v="0"/>
    <s v="81"/>
    <x v="2"/>
    <x v="0"/>
    <x v="1"/>
    <x v="6"/>
    <n v="-44550.65"/>
  </r>
  <r>
    <x v="0"/>
    <x v="0"/>
    <x v="1"/>
    <x v="0"/>
    <x v="0"/>
    <x v="0"/>
    <x v="0"/>
    <x v="0"/>
    <x v="0"/>
    <x v="0"/>
    <x v="0"/>
    <x v="0"/>
    <s v="81"/>
    <x v="2"/>
    <x v="0"/>
    <x v="1"/>
    <x v="1"/>
    <n v="-108229.73"/>
  </r>
  <r>
    <x v="0"/>
    <x v="0"/>
    <x v="1"/>
    <x v="0"/>
    <x v="0"/>
    <x v="0"/>
    <x v="0"/>
    <x v="0"/>
    <x v="0"/>
    <x v="0"/>
    <x v="0"/>
    <x v="0"/>
    <s v="99"/>
    <x v="9"/>
    <x v="0"/>
    <x v="1"/>
    <x v="10"/>
    <n v="541965"/>
  </r>
  <r>
    <x v="0"/>
    <x v="0"/>
    <x v="1"/>
    <x v="0"/>
    <x v="0"/>
    <x v="1"/>
    <x v="0"/>
    <x v="0"/>
    <x v="0"/>
    <x v="0"/>
    <x v="0"/>
    <x v="0"/>
    <s v="09"/>
    <x v="0"/>
    <x v="0"/>
    <x v="0"/>
    <x v="0"/>
    <n v="9378.91"/>
  </r>
  <r>
    <x v="0"/>
    <x v="0"/>
    <x v="1"/>
    <x v="0"/>
    <x v="0"/>
    <x v="1"/>
    <x v="0"/>
    <x v="0"/>
    <x v="0"/>
    <x v="0"/>
    <x v="0"/>
    <x v="0"/>
    <s v="09"/>
    <x v="0"/>
    <x v="0"/>
    <x v="0"/>
    <x v="2"/>
    <n v="9402.35"/>
  </r>
  <r>
    <x v="0"/>
    <x v="0"/>
    <x v="1"/>
    <x v="0"/>
    <x v="0"/>
    <x v="1"/>
    <x v="0"/>
    <x v="0"/>
    <x v="0"/>
    <x v="0"/>
    <x v="0"/>
    <x v="0"/>
    <s v="09"/>
    <x v="0"/>
    <x v="0"/>
    <x v="0"/>
    <x v="8"/>
    <n v="9425.86"/>
  </r>
  <r>
    <x v="0"/>
    <x v="0"/>
    <x v="1"/>
    <x v="0"/>
    <x v="0"/>
    <x v="1"/>
    <x v="0"/>
    <x v="0"/>
    <x v="0"/>
    <x v="0"/>
    <x v="0"/>
    <x v="0"/>
    <s v="09"/>
    <x v="0"/>
    <x v="0"/>
    <x v="0"/>
    <x v="9"/>
    <n v="19745.84"/>
  </r>
  <r>
    <x v="0"/>
    <x v="0"/>
    <x v="1"/>
    <x v="0"/>
    <x v="0"/>
    <x v="1"/>
    <x v="0"/>
    <x v="0"/>
    <x v="0"/>
    <x v="0"/>
    <x v="0"/>
    <x v="0"/>
    <s v="09"/>
    <x v="0"/>
    <x v="0"/>
    <x v="0"/>
    <x v="10"/>
    <n v="14476.17"/>
  </r>
  <r>
    <x v="0"/>
    <x v="0"/>
    <x v="1"/>
    <x v="0"/>
    <x v="0"/>
    <x v="1"/>
    <x v="0"/>
    <x v="0"/>
    <x v="0"/>
    <x v="0"/>
    <x v="0"/>
    <x v="0"/>
    <s v="09"/>
    <x v="0"/>
    <x v="0"/>
    <x v="0"/>
    <x v="11"/>
    <n v="8909.52"/>
  </r>
  <r>
    <x v="0"/>
    <x v="0"/>
    <x v="1"/>
    <x v="0"/>
    <x v="0"/>
    <x v="1"/>
    <x v="0"/>
    <x v="0"/>
    <x v="0"/>
    <x v="0"/>
    <x v="0"/>
    <x v="0"/>
    <s v="09"/>
    <x v="0"/>
    <x v="0"/>
    <x v="0"/>
    <x v="3"/>
    <n v="17801.37"/>
  </r>
  <r>
    <x v="0"/>
    <x v="0"/>
    <x v="1"/>
    <x v="0"/>
    <x v="0"/>
    <x v="1"/>
    <x v="0"/>
    <x v="0"/>
    <x v="0"/>
    <x v="0"/>
    <x v="0"/>
    <x v="0"/>
    <s v="09"/>
    <x v="0"/>
    <x v="0"/>
    <x v="0"/>
    <x v="4"/>
    <n v="13087.74"/>
  </r>
  <r>
    <x v="0"/>
    <x v="0"/>
    <x v="1"/>
    <x v="0"/>
    <x v="0"/>
    <x v="1"/>
    <x v="0"/>
    <x v="0"/>
    <x v="0"/>
    <x v="0"/>
    <x v="0"/>
    <x v="0"/>
    <s v="09"/>
    <x v="0"/>
    <x v="0"/>
    <x v="0"/>
    <x v="7"/>
    <n v="7123.38"/>
  </r>
  <r>
    <x v="0"/>
    <x v="0"/>
    <x v="1"/>
    <x v="0"/>
    <x v="0"/>
    <x v="1"/>
    <x v="0"/>
    <x v="0"/>
    <x v="0"/>
    <x v="0"/>
    <x v="0"/>
    <x v="0"/>
    <s v="09"/>
    <x v="0"/>
    <x v="0"/>
    <x v="0"/>
    <x v="5"/>
    <n v="15959.55"/>
  </r>
  <r>
    <x v="0"/>
    <x v="0"/>
    <x v="1"/>
    <x v="0"/>
    <x v="0"/>
    <x v="1"/>
    <x v="0"/>
    <x v="0"/>
    <x v="0"/>
    <x v="0"/>
    <x v="0"/>
    <x v="0"/>
    <s v="09"/>
    <x v="0"/>
    <x v="0"/>
    <x v="0"/>
    <x v="6"/>
    <n v="14659.6"/>
  </r>
  <r>
    <x v="0"/>
    <x v="0"/>
    <x v="1"/>
    <x v="0"/>
    <x v="0"/>
    <x v="1"/>
    <x v="0"/>
    <x v="0"/>
    <x v="0"/>
    <x v="0"/>
    <x v="0"/>
    <x v="0"/>
    <s v="09"/>
    <x v="0"/>
    <x v="0"/>
    <x v="0"/>
    <x v="1"/>
    <n v="75101.08"/>
  </r>
  <r>
    <x v="0"/>
    <x v="0"/>
    <x v="1"/>
    <x v="0"/>
    <x v="0"/>
    <x v="1"/>
    <x v="0"/>
    <x v="0"/>
    <x v="0"/>
    <x v="0"/>
    <x v="0"/>
    <x v="0"/>
    <s v="09"/>
    <x v="0"/>
    <x v="0"/>
    <x v="1"/>
    <x v="0"/>
    <n v="250"/>
  </r>
  <r>
    <x v="0"/>
    <x v="0"/>
    <x v="1"/>
    <x v="0"/>
    <x v="0"/>
    <x v="1"/>
    <x v="0"/>
    <x v="0"/>
    <x v="0"/>
    <x v="0"/>
    <x v="0"/>
    <x v="0"/>
    <s v="09"/>
    <x v="0"/>
    <x v="0"/>
    <x v="1"/>
    <x v="2"/>
    <n v="24382.11"/>
  </r>
  <r>
    <x v="0"/>
    <x v="0"/>
    <x v="1"/>
    <x v="0"/>
    <x v="0"/>
    <x v="1"/>
    <x v="0"/>
    <x v="0"/>
    <x v="0"/>
    <x v="0"/>
    <x v="0"/>
    <x v="0"/>
    <s v="09"/>
    <x v="0"/>
    <x v="0"/>
    <x v="1"/>
    <x v="8"/>
    <n v="12362.26"/>
  </r>
  <r>
    <x v="0"/>
    <x v="0"/>
    <x v="1"/>
    <x v="0"/>
    <x v="0"/>
    <x v="1"/>
    <x v="0"/>
    <x v="0"/>
    <x v="0"/>
    <x v="0"/>
    <x v="0"/>
    <x v="0"/>
    <s v="09"/>
    <x v="0"/>
    <x v="0"/>
    <x v="1"/>
    <x v="9"/>
    <n v="23074.42"/>
  </r>
  <r>
    <x v="0"/>
    <x v="0"/>
    <x v="1"/>
    <x v="0"/>
    <x v="0"/>
    <x v="1"/>
    <x v="0"/>
    <x v="0"/>
    <x v="0"/>
    <x v="0"/>
    <x v="0"/>
    <x v="0"/>
    <s v="09"/>
    <x v="0"/>
    <x v="0"/>
    <x v="1"/>
    <x v="10"/>
    <n v="17368.54"/>
  </r>
  <r>
    <x v="0"/>
    <x v="0"/>
    <x v="1"/>
    <x v="0"/>
    <x v="0"/>
    <x v="1"/>
    <x v="0"/>
    <x v="0"/>
    <x v="0"/>
    <x v="0"/>
    <x v="0"/>
    <x v="0"/>
    <s v="09"/>
    <x v="0"/>
    <x v="0"/>
    <x v="1"/>
    <x v="11"/>
    <n v="11113.73"/>
  </r>
  <r>
    <x v="0"/>
    <x v="0"/>
    <x v="1"/>
    <x v="0"/>
    <x v="0"/>
    <x v="1"/>
    <x v="0"/>
    <x v="0"/>
    <x v="0"/>
    <x v="0"/>
    <x v="0"/>
    <x v="0"/>
    <s v="09"/>
    <x v="0"/>
    <x v="0"/>
    <x v="1"/>
    <x v="3"/>
    <n v="20845.5"/>
  </r>
  <r>
    <x v="0"/>
    <x v="0"/>
    <x v="1"/>
    <x v="0"/>
    <x v="0"/>
    <x v="1"/>
    <x v="0"/>
    <x v="0"/>
    <x v="0"/>
    <x v="0"/>
    <x v="0"/>
    <x v="0"/>
    <s v="09"/>
    <x v="0"/>
    <x v="0"/>
    <x v="1"/>
    <x v="4"/>
    <n v="15198.05"/>
  </r>
  <r>
    <x v="0"/>
    <x v="0"/>
    <x v="1"/>
    <x v="0"/>
    <x v="0"/>
    <x v="1"/>
    <x v="0"/>
    <x v="0"/>
    <x v="0"/>
    <x v="0"/>
    <x v="0"/>
    <x v="0"/>
    <s v="09"/>
    <x v="0"/>
    <x v="0"/>
    <x v="1"/>
    <x v="7"/>
    <n v="9944.34"/>
  </r>
  <r>
    <x v="0"/>
    <x v="0"/>
    <x v="1"/>
    <x v="0"/>
    <x v="0"/>
    <x v="1"/>
    <x v="0"/>
    <x v="0"/>
    <x v="0"/>
    <x v="0"/>
    <x v="0"/>
    <x v="0"/>
    <s v="09"/>
    <x v="0"/>
    <x v="0"/>
    <x v="1"/>
    <x v="5"/>
    <n v="19047.32"/>
  </r>
  <r>
    <x v="0"/>
    <x v="0"/>
    <x v="1"/>
    <x v="0"/>
    <x v="0"/>
    <x v="1"/>
    <x v="0"/>
    <x v="0"/>
    <x v="0"/>
    <x v="0"/>
    <x v="0"/>
    <x v="0"/>
    <s v="09"/>
    <x v="0"/>
    <x v="0"/>
    <x v="1"/>
    <x v="6"/>
    <n v="13153.41"/>
  </r>
  <r>
    <x v="0"/>
    <x v="0"/>
    <x v="1"/>
    <x v="0"/>
    <x v="0"/>
    <x v="1"/>
    <x v="0"/>
    <x v="0"/>
    <x v="0"/>
    <x v="0"/>
    <x v="0"/>
    <x v="0"/>
    <s v="09"/>
    <x v="0"/>
    <x v="0"/>
    <x v="1"/>
    <x v="1"/>
    <n v="178961.17"/>
  </r>
  <r>
    <x v="0"/>
    <x v="0"/>
    <x v="1"/>
    <x v="0"/>
    <x v="0"/>
    <x v="1"/>
    <x v="0"/>
    <x v="0"/>
    <x v="0"/>
    <x v="0"/>
    <x v="0"/>
    <x v="0"/>
    <s v="24"/>
    <x v="1"/>
    <x v="0"/>
    <x v="0"/>
    <x v="9"/>
    <n v="6476378.2300000004"/>
  </r>
  <r>
    <x v="0"/>
    <x v="0"/>
    <x v="1"/>
    <x v="0"/>
    <x v="0"/>
    <x v="1"/>
    <x v="0"/>
    <x v="0"/>
    <x v="0"/>
    <x v="0"/>
    <x v="0"/>
    <x v="0"/>
    <s v="24"/>
    <x v="1"/>
    <x v="0"/>
    <x v="0"/>
    <x v="10"/>
    <n v="230122.23999999999"/>
  </r>
  <r>
    <x v="0"/>
    <x v="0"/>
    <x v="1"/>
    <x v="0"/>
    <x v="0"/>
    <x v="1"/>
    <x v="0"/>
    <x v="0"/>
    <x v="0"/>
    <x v="0"/>
    <x v="0"/>
    <x v="0"/>
    <s v="24"/>
    <x v="1"/>
    <x v="0"/>
    <x v="0"/>
    <x v="11"/>
    <n v="116598.2"/>
  </r>
  <r>
    <x v="0"/>
    <x v="0"/>
    <x v="1"/>
    <x v="0"/>
    <x v="0"/>
    <x v="1"/>
    <x v="0"/>
    <x v="0"/>
    <x v="0"/>
    <x v="0"/>
    <x v="0"/>
    <x v="0"/>
    <s v="24"/>
    <x v="1"/>
    <x v="0"/>
    <x v="0"/>
    <x v="3"/>
    <n v="5905571.3200000003"/>
  </r>
  <r>
    <x v="0"/>
    <x v="0"/>
    <x v="1"/>
    <x v="0"/>
    <x v="0"/>
    <x v="1"/>
    <x v="0"/>
    <x v="0"/>
    <x v="0"/>
    <x v="0"/>
    <x v="0"/>
    <x v="0"/>
    <s v="24"/>
    <x v="1"/>
    <x v="0"/>
    <x v="0"/>
    <x v="4"/>
    <n v="454482.52"/>
  </r>
  <r>
    <x v="0"/>
    <x v="0"/>
    <x v="1"/>
    <x v="0"/>
    <x v="0"/>
    <x v="1"/>
    <x v="0"/>
    <x v="0"/>
    <x v="0"/>
    <x v="0"/>
    <x v="0"/>
    <x v="0"/>
    <s v="24"/>
    <x v="1"/>
    <x v="0"/>
    <x v="0"/>
    <x v="7"/>
    <n v="-41095.83"/>
  </r>
  <r>
    <x v="0"/>
    <x v="0"/>
    <x v="1"/>
    <x v="0"/>
    <x v="0"/>
    <x v="1"/>
    <x v="0"/>
    <x v="0"/>
    <x v="0"/>
    <x v="0"/>
    <x v="0"/>
    <x v="0"/>
    <s v="24"/>
    <x v="1"/>
    <x v="0"/>
    <x v="0"/>
    <x v="5"/>
    <n v="6135082.9000000004"/>
  </r>
  <r>
    <x v="0"/>
    <x v="0"/>
    <x v="1"/>
    <x v="0"/>
    <x v="0"/>
    <x v="1"/>
    <x v="0"/>
    <x v="0"/>
    <x v="0"/>
    <x v="0"/>
    <x v="0"/>
    <x v="0"/>
    <s v="24"/>
    <x v="1"/>
    <x v="0"/>
    <x v="0"/>
    <x v="6"/>
    <n v="321796.34000000003"/>
  </r>
  <r>
    <x v="0"/>
    <x v="0"/>
    <x v="1"/>
    <x v="0"/>
    <x v="0"/>
    <x v="1"/>
    <x v="0"/>
    <x v="0"/>
    <x v="0"/>
    <x v="0"/>
    <x v="0"/>
    <x v="0"/>
    <s v="24"/>
    <x v="1"/>
    <x v="0"/>
    <x v="0"/>
    <x v="1"/>
    <n v="69577.53"/>
  </r>
  <r>
    <x v="0"/>
    <x v="0"/>
    <x v="1"/>
    <x v="0"/>
    <x v="0"/>
    <x v="1"/>
    <x v="0"/>
    <x v="0"/>
    <x v="0"/>
    <x v="0"/>
    <x v="0"/>
    <x v="0"/>
    <s v="24"/>
    <x v="1"/>
    <x v="0"/>
    <x v="1"/>
    <x v="9"/>
    <n v="6841968.1200000001"/>
  </r>
  <r>
    <x v="0"/>
    <x v="0"/>
    <x v="1"/>
    <x v="0"/>
    <x v="0"/>
    <x v="1"/>
    <x v="0"/>
    <x v="0"/>
    <x v="0"/>
    <x v="0"/>
    <x v="0"/>
    <x v="0"/>
    <s v="24"/>
    <x v="1"/>
    <x v="0"/>
    <x v="1"/>
    <x v="10"/>
    <n v="263985.06"/>
  </r>
  <r>
    <x v="0"/>
    <x v="0"/>
    <x v="1"/>
    <x v="0"/>
    <x v="0"/>
    <x v="1"/>
    <x v="0"/>
    <x v="0"/>
    <x v="0"/>
    <x v="0"/>
    <x v="0"/>
    <x v="0"/>
    <s v="24"/>
    <x v="1"/>
    <x v="0"/>
    <x v="1"/>
    <x v="11"/>
    <n v="50123.9"/>
  </r>
  <r>
    <x v="0"/>
    <x v="0"/>
    <x v="1"/>
    <x v="0"/>
    <x v="0"/>
    <x v="1"/>
    <x v="0"/>
    <x v="0"/>
    <x v="0"/>
    <x v="0"/>
    <x v="0"/>
    <x v="0"/>
    <s v="24"/>
    <x v="1"/>
    <x v="0"/>
    <x v="1"/>
    <x v="3"/>
    <n v="6451008.21"/>
  </r>
  <r>
    <x v="0"/>
    <x v="0"/>
    <x v="1"/>
    <x v="0"/>
    <x v="0"/>
    <x v="1"/>
    <x v="0"/>
    <x v="0"/>
    <x v="0"/>
    <x v="0"/>
    <x v="0"/>
    <x v="0"/>
    <s v="24"/>
    <x v="1"/>
    <x v="0"/>
    <x v="1"/>
    <x v="4"/>
    <n v="289587.01"/>
  </r>
  <r>
    <x v="0"/>
    <x v="0"/>
    <x v="1"/>
    <x v="0"/>
    <x v="0"/>
    <x v="1"/>
    <x v="0"/>
    <x v="0"/>
    <x v="0"/>
    <x v="0"/>
    <x v="0"/>
    <x v="0"/>
    <s v="24"/>
    <x v="1"/>
    <x v="0"/>
    <x v="1"/>
    <x v="7"/>
    <n v="452732.47"/>
  </r>
  <r>
    <x v="0"/>
    <x v="0"/>
    <x v="1"/>
    <x v="0"/>
    <x v="0"/>
    <x v="1"/>
    <x v="0"/>
    <x v="0"/>
    <x v="0"/>
    <x v="0"/>
    <x v="0"/>
    <x v="0"/>
    <s v="24"/>
    <x v="1"/>
    <x v="0"/>
    <x v="1"/>
    <x v="5"/>
    <n v="6200660.5199999996"/>
  </r>
  <r>
    <x v="0"/>
    <x v="0"/>
    <x v="1"/>
    <x v="0"/>
    <x v="0"/>
    <x v="1"/>
    <x v="0"/>
    <x v="0"/>
    <x v="0"/>
    <x v="0"/>
    <x v="0"/>
    <x v="0"/>
    <s v="24"/>
    <x v="1"/>
    <x v="0"/>
    <x v="1"/>
    <x v="6"/>
    <n v="192805.38"/>
  </r>
  <r>
    <x v="0"/>
    <x v="0"/>
    <x v="1"/>
    <x v="0"/>
    <x v="0"/>
    <x v="1"/>
    <x v="0"/>
    <x v="0"/>
    <x v="0"/>
    <x v="0"/>
    <x v="0"/>
    <x v="0"/>
    <s v="24"/>
    <x v="1"/>
    <x v="0"/>
    <x v="1"/>
    <x v="1"/>
    <n v="64740.9"/>
  </r>
  <r>
    <x v="0"/>
    <x v="0"/>
    <x v="1"/>
    <x v="0"/>
    <x v="0"/>
    <x v="1"/>
    <x v="0"/>
    <x v="0"/>
    <x v="0"/>
    <x v="0"/>
    <x v="0"/>
    <x v="0"/>
    <s v="81"/>
    <x v="2"/>
    <x v="0"/>
    <x v="0"/>
    <x v="5"/>
    <n v="-250000"/>
  </r>
  <r>
    <x v="0"/>
    <x v="0"/>
    <x v="1"/>
    <x v="0"/>
    <x v="0"/>
    <x v="1"/>
    <x v="0"/>
    <x v="0"/>
    <x v="0"/>
    <x v="0"/>
    <x v="0"/>
    <x v="0"/>
    <s v="81"/>
    <x v="2"/>
    <x v="0"/>
    <x v="0"/>
    <x v="1"/>
    <n v="-810000"/>
  </r>
  <r>
    <x v="0"/>
    <x v="0"/>
    <x v="1"/>
    <x v="0"/>
    <x v="0"/>
    <x v="1"/>
    <x v="0"/>
    <x v="0"/>
    <x v="0"/>
    <x v="0"/>
    <x v="0"/>
    <x v="0"/>
    <s v="81"/>
    <x v="2"/>
    <x v="0"/>
    <x v="1"/>
    <x v="1"/>
    <n v="-415000"/>
  </r>
  <r>
    <x v="0"/>
    <x v="0"/>
    <x v="1"/>
    <x v="0"/>
    <x v="0"/>
    <x v="5"/>
    <x v="0"/>
    <x v="0"/>
    <x v="0"/>
    <x v="0"/>
    <x v="0"/>
    <x v="0"/>
    <s v="05"/>
    <x v="6"/>
    <x v="0"/>
    <x v="1"/>
    <x v="9"/>
    <n v="5275"/>
  </r>
  <r>
    <x v="0"/>
    <x v="0"/>
    <x v="1"/>
    <x v="0"/>
    <x v="0"/>
    <x v="5"/>
    <x v="0"/>
    <x v="0"/>
    <x v="0"/>
    <x v="0"/>
    <x v="0"/>
    <x v="0"/>
    <s v="05"/>
    <x v="6"/>
    <x v="0"/>
    <x v="1"/>
    <x v="10"/>
    <n v="750"/>
  </r>
  <r>
    <x v="0"/>
    <x v="0"/>
    <x v="1"/>
    <x v="0"/>
    <x v="0"/>
    <x v="5"/>
    <x v="0"/>
    <x v="0"/>
    <x v="0"/>
    <x v="0"/>
    <x v="0"/>
    <x v="0"/>
    <s v="05"/>
    <x v="6"/>
    <x v="0"/>
    <x v="1"/>
    <x v="11"/>
    <n v="600"/>
  </r>
  <r>
    <x v="0"/>
    <x v="0"/>
    <x v="1"/>
    <x v="0"/>
    <x v="0"/>
    <x v="5"/>
    <x v="0"/>
    <x v="0"/>
    <x v="0"/>
    <x v="0"/>
    <x v="0"/>
    <x v="0"/>
    <s v="05"/>
    <x v="6"/>
    <x v="0"/>
    <x v="1"/>
    <x v="3"/>
    <n v="5375"/>
  </r>
  <r>
    <x v="0"/>
    <x v="0"/>
    <x v="1"/>
    <x v="0"/>
    <x v="0"/>
    <x v="5"/>
    <x v="0"/>
    <x v="0"/>
    <x v="0"/>
    <x v="0"/>
    <x v="0"/>
    <x v="0"/>
    <s v="05"/>
    <x v="6"/>
    <x v="0"/>
    <x v="1"/>
    <x v="1"/>
    <n v="-12000"/>
  </r>
  <r>
    <x v="0"/>
    <x v="0"/>
    <x v="1"/>
    <x v="0"/>
    <x v="0"/>
    <x v="5"/>
    <x v="0"/>
    <x v="0"/>
    <x v="0"/>
    <x v="0"/>
    <x v="0"/>
    <x v="0"/>
    <s v="09"/>
    <x v="0"/>
    <x v="0"/>
    <x v="0"/>
    <x v="1"/>
    <n v="260583.69"/>
  </r>
  <r>
    <x v="0"/>
    <x v="0"/>
    <x v="1"/>
    <x v="0"/>
    <x v="0"/>
    <x v="5"/>
    <x v="0"/>
    <x v="0"/>
    <x v="0"/>
    <x v="0"/>
    <x v="0"/>
    <x v="0"/>
    <s v="09"/>
    <x v="0"/>
    <x v="0"/>
    <x v="1"/>
    <x v="1"/>
    <n v="317273.45"/>
  </r>
  <r>
    <x v="0"/>
    <x v="0"/>
    <x v="1"/>
    <x v="0"/>
    <x v="0"/>
    <x v="5"/>
    <x v="0"/>
    <x v="0"/>
    <x v="0"/>
    <x v="0"/>
    <x v="0"/>
    <x v="0"/>
    <s v="24"/>
    <x v="1"/>
    <x v="0"/>
    <x v="0"/>
    <x v="9"/>
    <n v="7402553.9400000004"/>
  </r>
  <r>
    <x v="0"/>
    <x v="0"/>
    <x v="1"/>
    <x v="0"/>
    <x v="0"/>
    <x v="5"/>
    <x v="0"/>
    <x v="0"/>
    <x v="0"/>
    <x v="0"/>
    <x v="0"/>
    <x v="0"/>
    <s v="24"/>
    <x v="1"/>
    <x v="0"/>
    <x v="0"/>
    <x v="10"/>
    <n v="-986782.22"/>
  </r>
  <r>
    <x v="0"/>
    <x v="0"/>
    <x v="1"/>
    <x v="0"/>
    <x v="0"/>
    <x v="5"/>
    <x v="0"/>
    <x v="0"/>
    <x v="0"/>
    <x v="0"/>
    <x v="0"/>
    <x v="0"/>
    <s v="24"/>
    <x v="1"/>
    <x v="0"/>
    <x v="0"/>
    <x v="4"/>
    <n v="6002818.9900000002"/>
  </r>
  <r>
    <x v="0"/>
    <x v="0"/>
    <x v="1"/>
    <x v="0"/>
    <x v="0"/>
    <x v="5"/>
    <x v="0"/>
    <x v="0"/>
    <x v="0"/>
    <x v="0"/>
    <x v="0"/>
    <x v="0"/>
    <s v="24"/>
    <x v="1"/>
    <x v="0"/>
    <x v="0"/>
    <x v="5"/>
    <n v="5769811.3499999996"/>
  </r>
  <r>
    <x v="0"/>
    <x v="0"/>
    <x v="1"/>
    <x v="0"/>
    <x v="0"/>
    <x v="5"/>
    <x v="0"/>
    <x v="0"/>
    <x v="0"/>
    <x v="0"/>
    <x v="0"/>
    <x v="0"/>
    <s v="24"/>
    <x v="1"/>
    <x v="0"/>
    <x v="0"/>
    <x v="1"/>
    <n v="-13159.34"/>
  </r>
  <r>
    <x v="0"/>
    <x v="0"/>
    <x v="1"/>
    <x v="0"/>
    <x v="0"/>
    <x v="5"/>
    <x v="0"/>
    <x v="0"/>
    <x v="0"/>
    <x v="0"/>
    <x v="0"/>
    <x v="0"/>
    <s v="24"/>
    <x v="1"/>
    <x v="0"/>
    <x v="1"/>
    <x v="8"/>
    <n v="-253.24"/>
  </r>
  <r>
    <x v="0"/>
    <x v="0"/>
    <x v="1"/>
    <x v="0"/>
    <x v="0"/>
    <x v="5"/>
    <x v="0"/>
    <x v="0"/>
    <x v="0"/>
    <x v="0"/>
    <x v="0"/>
    <x v="0"/>
    <s v="24"/>
    <x v="1"/>
    <x v="0"/>
    <x v="1"/>
    <x v="10"/>
    <n v="6369494.9199999999"/>
  </r>
  <r>
    <x v="0"/>
    <x v="0"/>
    <x v="1"/>
    <x v="0"/>
    <x v="0"/>
    <x v="5"/>
    <x v="0"/>
    <x v="0"/>
    <x v="0"/>
    <x v="0"/>
    <x v="0"/>
    <x v="0"/>
    <s v="24"/>
    <x v="1"/>
    <x v="0"/>
    <x v="1"/>
    <x v="4"/>
    <n v="6085711.5499999998"/>
  </r>
  <r>
    <x v="0"/>
    <x v="0"/>
    <x v="1"/>
    <x v="0"/>
    <x v="0"/>
    <x v="5"/>
    <x v="0"/>
    <x v="0"/>
    <x v="0"/>
    <x v="0"/>
    <x v="0"/>
    <x v="0"/>
    <s v="24"/>
    <x v="1"/>
    <x v="0"/>
    <x v="1"/>
    <x v="5"/>
    <n v="5822451.1900000004"/>
  </r>
  <r>
    <x v="0"/>
    <x v="0"/>
    <x v="1"/>
    <x v="0"/>
    <x v="0"/>
    <x v="5"/>
    <x v="0"/>
    <x v="0"/>
    <x v="0"/>
    <x v="0"/>
    <x v="0"/>
    <x v="0"/>
    <s v="81"/>
    <x v="2"/>
    <x v="0"/>
    <x v="0"/>
    <x v="10"/>
    <n v="-351063.54"/>
  </r>
  <r>
    <x v="0"/>
    <x v="0"/>
    <x v="1"/>
    <x v="0"/>
    <x v="0"/>
    <x v="5"/>
    <x v="0"/>
    <x v="0"/>
    <x v="0"/>
    <x v="0"/>
    <x v="0"/>
    <x v="0"/>
    <s v="81"/>
    <x v="2"/>
    <x v="0"/>
    <x v="0"/>
    <x v="5"/>
    <n v="-80450.820000000007"/>
  </r>
  <r>
    <x v="0"/>
    <x v="0"/>
    <x v="1"/>
    <x v="0"/>
    <x v="0"/>
    <x v="5"/>
    <x v="0"/>
    <x v="0"/>
    <x v="0"/>
    <x v="0"/>
    <x v="0"/>
    <x v="0"/>
    <s v="81"/>
    <x v="2"/>
    <x v="0"/>
    <x v="1"/>
    <x v="9"/>
    <n v="-423026.26"/>
  </r>
  <r>
    <x v="0"/>
    <x v="0"/>
    <x v="1"/>
    <x v="0"/>
    <x v="0"/>
    <x v="5"/>
    <x v="0"/>
    <x v="0"/>
    <x v="0"/>
    <x v="0"/>
    <x v="0"/>
    <x v="0"/>
    <s v="81"/>
    <x v="2"/>
    <x v="0"/>
    <x v="1"/>
    <x v="10"/>
    <n v="-34.880000000000003"/>
  </r>
  <r>
    <x v="0"/>
    <x v="0"/>
    <x v="1"/>
    <x v="0"/>
    <x v="0"/>
    <x v="5"/>
    <x v="0"/>
    <x v="0"/>
    <x v="0"/>
    <x v="0"/>
    <x v="0"/>
    <x v="0"/>
    <s v="81"/>
    <x v="2"/>
    <x v="0"/>
    <x v="1"/>
    <x v="7"/>
    <n v="-35700.120000000003"/>
  </r>
  <r>
    <x v="0"/>
    <x v="0"/>
    <x v="1"/>
    <x v="0"/>
    <x v="0"/>
    <x v="5"/>
    <x v="0"/>
    <x v="0"/>
    <x v="0"/>
    <x v="0"/>
    <x v="0"/>
    <x v="0"/>
    <s v="81"/>
    <x v="2"/>
    <x v="0"/>
    <x v="1"/>
    <x v="5"/>
    <n v="-288842.08"/>
  </r>
  <r>
    <x v="0"/>
    <x v="0"/>
    <x v="1"/>
    <x v="0"/>
    <x v="0"/>
    <x v="5"/>
    <x v="0"/>
    <x v="0"/>
    <x v="0"/>
    <x v="0"/>
    <x v="0"/>
    <x v="0"/>
    <s v="81"/>
    <x v="2"/>
    <x v="0"/>
    <x v="1"/>
    <x v="1"/>
    <n v="144421.01"/>
  </r>
  <r>
    <x v="0"/>
    <x v="0"/>
    <x v="1"/>
    <x v="0"/>
    <x v="0"/>
    <x v="5"/>
    <x v="0"/>
    <x v="0"/>
    <x v="0"/>
    <x v="0"/>
    <x v="0"/>
    <x v="0"/>
    <s v="99"/>
    <x v="9"/>
    <x v="0"/>
    <x v="0"/>
    <x v="8"/>
    <n v="153605.75"/>
  </r>
  <r>
    <x v="0"/>
    <x v="0"/>
    <x v="1"/>
    <x v="0"/>
    <x v="0"/>
    <x v="5"/>
    <x v="0"/>
    <x v="0"/>
    <x v="0"/>
    <x v="0"/>
    <x v="2"/>
    <x v="2"/>
    <s v="16"/>
    <x v="13"/>
    <x v="0"/>
    <x v="1"/>
    <x v="9"/>
    <n v="73684.990000000005"/>
  </r>
  <r>
    <x v="0"/>
    <x v="0"/>
    <x v="1"/>
    <x v="0"/>
    <x v="0"/>
    <x v="5"/>
    <x v="0"/>
    <x v="0"/>
    <x v="0"/>
    <x v="0"/>
    <x v="2"/>
    <x v="2"/>
    <s v="16"/>
    <x v="13"/>
    <x v="0"/>
    <x v="1"/>
    <x v="6"/>
    <n v="388"/>
  </r>
  <r>
    <x v="0"/>
    <x v="0"/>
    <x v="1"/>
    <x v="0"/>
    <x v="0"/>
    <x v="6"/>
    <x v="0"/>
    <x v="0"/>
    <x v="0"/>
    <x v="0"/>
    <x v="0"/>
    <x v="0"/>
    <s v="09"/>
    <x v="0"/>
    <x v="0"/>
    <x v="0"/>
    <x v="8"/>
    <n v="46979"/>
  </r>
  <r>
    <x v="0"/>
    <x v="0"/>
    <x v="1"/>
    <x v="0"/>
    <x v="0"/>
    <x v="6"/>
    <x v="0"/>
    <x v="0"/>
    <x v="0"/>
    <x v="0"/>
    <x v="0"/>
    <x v="0"/>
    <s v="09"/>
    <x v="0"/>
    <x v="0"/>
    <x v="0"/>
    <x v="11"/>
    <n v="87994"/>
  </r>
  <r>
    <x v="0"/>
    <x v="0"/>
    <x v="1"/>
    <x v="0"/>
    <x v="0"/>
    <x v="6"/>
    <x v="0"/>
    <x v="0"/>
    <x v="0"/>
    <x v="0"/>
    <x v="0"/>
    <x v="0"/>
    <s v="09"/>
    <x v="0"/>
    <x v="0"/>
    <x v="0"/>
    <x v="7"/>
    <n v="80589"/>
  </r>
  <r>
    <x v="0"/>
    <x v="0"/>
    <x v="1"/>
    <x v="0"/>
    <x v="0"/>
    <x v="6"/>
    <x v="0"/>
    <x v="0"/>
    <x v="0"/>
    <x v="0"/>
    <x v="0"/>
    <x v="0"/>
    <s v="09"/>
    <x v="0"/>
    <x v="0"/>
    <x v="0"/>
    <x v="1"/>
    <n v="155758"/>
  </r>
  <r>
    <x v="0"/>
    <x v="0"/>
    <x v="1"/>
    <x v="0"/>
    <x v="0"/>
    <x v="6"/>
    <x v="0"/>
    <x v="0"/>
    <x v="0"/>
    <x v="0"/>
    <x v="0"/>
    <x v="0"/>
    <s v="09"/>
    <x v="0"/>
    <x v="0"/>
    <x v="1"/>
    <x v="8"/>
    <n v="66364"/>
  </r>
  <r>
    <x v="0"/>
    <x v="0"/>
    <x v="1"/>
    <x v="0"/>
    <x v="0"/>
    <x v="6"/>
    <x v="0"/>
    <x v="0"/>
    <x v="0"/>
    <x v="0"/>
    <x v="0"/>
    <x v="0"/>
    <s v="09"/>
    <x v="0"/>
    <x v="0"/>
    <x v="1"/>
    <x v="11"/>
    <n v="115755"/>
  </r>
  <r>
    <x v="0"/>
    <x v="0"/>
    <x v="1"/>
    <x v="0"/>
    <x v="0"/>
    <x v="6"/>
    <x v="0"/>
    <x v="0"/>
    <x v="0"/>
    <x v="0"/>
    <x v="0"/>
    <x v="0"/>
    <s v="09"/>
    <x v="0"/>
    <x v="0"/>
    <x v="1"/>
    <x v="7"/>
    <n v="108747.04"/>
  </r>
  <r>
    <x v="0"/>
    <x v="0"/>
    <x v="1"/>
    <x v="0"/>
    <x v="0"/>
    <x v="6"/>
    <x v="0"/>
    <x v="0"/>
    <x v="0"/>
    <x v="0"/>
    <x v="0"/>
    <x v="0"/>
    <s v="09"/>
    <x v="0"/>
    <x v="0"/>
    <x v="1"/>
    <x v="1"/>
    <n v="129245"/>
  </r>
  <r>
    <x v="0"/>
    <x v="0"/>
    <x v="1"/>
    <x v="0"/>
    <x v="0"/>
    <x v="6"/>
    <x v="0"/>
    <x v="0"/>
    <x v="0"/>
    <x v="0"/>
    <x v="0"/>
    <x v="0"/>
    <s v="24"/>
    <x v="1"/>
    <x v="0"/>
    <x v="0"/>
    <x v="0"/>
    <n v="-4772.1000000000004"/>
  </r>
  <r>
    <x v="0"/>
    <x v="0"/>
    <x v="1"/>
    <x v="0"/>
    <x v="0"/>
    <x v="6"/>
    <x v="0"/>
    <x v="0"/>
    <x v="0"/>
    <x v="0"/>
    <x v="0"/>
    <x v="0"/>
    <s v="24"/>
    <x v="1"/>
    <x v="0"/>
    <x v="0"/>
    <x v="2"/>
    <n v="148329.07"/>
  </r>
  <r>
    <x v="0"/>
    <x v="0"/>
    <x v="1"/>
    <x v="0"/>
    <x v="0"/>
    <x v="6"/>
    <x v="0"/>
    <x v="0"/>
    <x v="0"/>
    <x v="0"/>
    <x v="0"/>
    <x v="0"/>
    <s v="24"/>
    <x v="1"/>
    <x v="0"/>
    <x v="0"/>
    <x v="8"/>
    <n v="4264826.53"/>
  </r>
  <r>
    <x v="0"/>
    <x v="0"/>
    <x v="1"/>
    <x v="0"/>
    <x v="0"/>
    <x v="6"/>
    <x v="0"/>
    <x v="0"/>
    <x v="0"/>
    <x v="0"/>
    <x v="0"/>
    <x v="0"/>
    <s v="24"/>
    <x v="1"/>
    <x v="0"/>
    <x v="0"/>
    <x v="9"/>
    <n v="142726.34"/>
  </r>
  <r>
    <x v="0"/>
    <x v="0"/>
    <x v="1"/>
    <x v="0"/>
    <x v="0"/>
    <x v="6"/>
    <x v="0"/>
    <x v="0"/>
    <x v="0"/>
    <x v="0"/>
    <x v="0"/>
    <x v="0"/>
    <s v="24"/>
    <x v="1"/>
    <x v="0"/>
    <x v="0"/>
    <x v="10"/>
    <n v="68882.87"/>
  </r>
  <r>
    <x v="0"/>
    <x v="0"/>
    <x v="1"/>
    <x v="0"/>
    <x v="0"/>
    <x v="6"/>
    <x v="0"/>
    <x v="0"/>
    <x v="0"/>
    <x v="0"/>
    <x v="0"/>
    <x v="0"/>
    <s v="24"/>
    <x v="1"/>
    <x v="0"/>
    <x v="0"/>
    <x v="11"/>
    <n v="3243100.77"/>
  </r>
  <r>
    <x v="0"/>
    <x v="0"/>
    <x v="1"/>
    <x v="0"/>
    <x v="0"/>
    <x v="6"/>
    <x v="0"/>
    <x v="0"/>
    <x v="0"/>
    <x v="0"/>
    <x v="0"/>
    <x v="0"/>
    <s v="24"/>
    <x v="1"/>
    <x v="0"/>
    <x v="0"/>
    <x v="3"/>
    <n v="1555309.37"/>
  </r>
  <r>
    <x v="0"/>
    <x v="0"/>
    <x v="1"/>
    <x v="0"/>
    <x v="0"/>
    <x v="6"/>
    <x v="0"/>
    <x v="0"/>
    <x v="0"/>
    <x v="0"/>
    <x v="0"/>
    <x v="0"/>
    <s v="24"/>
    <x v="1"/>
    <x v="0"/>
    <x v="0"/>
    <x v="4"/>
    <n v="52515.87"/>
  </r>
  <r>
    <x v="0"/>
    <x v="0"/>
    <x v="1"/>
    <x v="0"/>
    <x v="0"/>
    <x v="6"/>
    <x v="0"/>
    <x v="0"/>
    <x v="0"/>
    <x v="0"/>
    <x v="0"/>
    <x v="0"/>
    <s v="24"/>
    <x v="1"/>
    <x v="0"/>
    <x v="0"/>
    <x v="7"/>
    <n v="4009775.35"/>
  </r>
  <r>
    <x v="0"/>
    <x v="0"/>
    <x v="1"/>
    <x v="0"/>
    <x v="0"/>
    <x v="6"/>
    <x v="0"/>
    <x v="0"/>
    <x v="0"/>
    <x v="0"/>
    <x v="0"/>
    <x v="0"/>
    <s v="24"/>
    <x v="1"/>
    <x v="0"/>
    <x v="0"/>
    <x v="5"/>
    <n v="80709.58"/>
  </r>
  <r>
    <x v="0"/>
    <x v="0"/>
    <x v="1"/>
    <x v="0"/>
    <x v="0"/>
    <x v="6"/>
    <x v="0"/>
    <x v="0"/>
    <x v="0"/>
    <x v="0"/>
    <x v="0"/>
    <x v="0"/>
    <s v="24"/>
    <x v="1"/>
    <x v="0"/>
    <x v="0"/>
    <x v="6"/>
    <n v="19932.22"/>
  </r>
  <r>
    <x v="0"/>
    <x v="0"/>
    <x v="1"/>
    <x v="0"/>
    <x v="0"/>
    <x v="6"/>
    <x v="0"/>
    <x v="0"/>
    <x v="0"/>
    <x v="0"/>
    <x v="0"/>
    <x v="0"/>
    <s v="24"/>
    <x v="1"/>
    <x v="0"/>
    <x v="0"/>
    <x v="1"/>
    <n v="12103.8"/>
  </r>
  <r>
    <x v="0"/>
    <x v="0"/>
    <x v="1"/>
    <x v="0"/>
    <x v="0"/>
    <x v="6"/>
    <x v="0"/>
    <x v="0"/>
    <x v="0"/>
    <x v="0"/>
    <x v="0"/>
    <x v="0"/>
    <s v="24"/>
    <x v="1"/>
    <x v="0"/>
    <x v="1"/>
    <x v="0"/>
    <n v="-8655.82"/>
  </r>
  <r>
    <x v="0"/>
    <x v="0"/>
    <x v="1"/>
    <x v="0"/>
    <x v="0"/>
    <x v="6"/>
    <x v="0"/>
    <x v="0"/>
    <x v="0"/>
    <x v="0"/>
    <x v="0"/>
    <x v="0"/>
    <s v="24"/>
    <x v="1"/>
    <x v="0"/>
    <x v="1"/>
    <x v="2"/>
    <n v="149529.39000000001"/>
  </r>
  <r>
    <x v="0"/>
    <x v="0"/>
    <x v="1"/>
    <x v="0"/>
    <x v="0"/>
    <x v="6"/>
    <x v="0"/>
    <x v="0"/>
    <x v="0"/>
    <x v="0"/>
    <x v="0"/>
    <x v="0"/>
    <s v="24"/>
    <x v="1"/>
    <x v="0"/>
    <x v="1"/>
    <x v="8"/>
    <n v="4711606.54"/>
  </r>
  <r>
    <x v="0"/>
    <x v="0"/>
    <x v="1"/>
    <x v="0"/>
    <x v="0"/>
    <x v="6"/>
    <x v="0"/>
    <x v="0"/>
    <x v="0"/>
    <x v="0"/>
    <x v="0"/>
    <x v="0"/>
    <s v="24"/>
    <x v="1"/>
    <x v="0"/>
    <x v="1"/>
    <x v="9"/>
    <n v="94606.080000000002"/>
  </r>
  <r>
    <x v="0"/>
    <x v="0"/>
    <x v="1"/>
    <x v="0"/>
    <x v="0"/>
    <x v="6"/>
    <x v="0"/>
    <x v="0"/>
    <x v="0"/>
    <x v="0"/>
    <x v="0"/>
    <x v="0"/>
    <s v="24"/>
    <x v="1"/>
    <x v="0"/>
    <x v="1"/>
    <x v="10"/>
    <n v="45112.55"/>
  </r>
  <r>
    <x v="0"/>
    <x v="0"/>
    <x v="1"/>
    <x v="0"/>
    <x v="0"/>
    <x v="6"/>
    <x v="0"/>
    <x v="0"/>
    <x v="0"/>
    <x v="0"/>
    <x v="0"/>
    <x v="0"/>
    <s v="24"/>
    <x v="1"/>
    <x v="0"/>
    <x v="1"/>
    <x v="11"/>
    <n v="2367537.4300000002"/>
  </r>
  <r>
    <x v="0"/>
    <x v="0"/>
    <x v="1"/>
    <x v="0"/>
    <x v="0"/>
    <x v="6"/>
    <x v="0"/>
    <x v="0"/>
    <x v="0"/>
    <x v="0"/>
    <x v="0"/>
    <x v="0"/>
    <s v="24"/>
    <x v="1"/>
    <x v="0"/>
    <x v="1"/>
    <x v="3"/>
    <n v="2220589.35"/>
  </r>
  <r>
    <x v="0"/>
    <x v="0"/>
    <x v="1"/>
    <x v="0"/>
    <x v="0"/>
    <x v="6"/>
    <x v="0"/>
    <x v="0"/>
    <x v="0"/>
    <x v="0"/>
    <x v="0"/>
    <x v="0"/>
    <s v="24"/>
    <x v="1"/>
    <x v="0"/>
    <x v="1"/>
    <x v="4"/>
    <n v="16271.5"/>
  </r>
  <r>
    <x v="0"/>
    <x v="0"/>
    <x v="1"/>
    <x v="0"/>
    <x v="0"/>
    <x v="6"/>
    <x v="0"/>
    <x v="0"/>
    <x v="0"/>
    <x v="0"/>
    <x v="0"/>
    <x v="0"/>
    <s v="24"/>
    <x v="1"/>
    <x v="0"/>
    <x v="1"/>
    <x v="7"/>
    <n v="3327332.31"/>
  </r>
  <r>
    <x v="0"/>
    <x v="0"/>
    <x v="1"/>
    <x v="0"/>
    <x v="0"/>
    <x v="6"/>
    <x v="0"/>
    <x v="0"/>
    <x v="0"/>
    <x v="0"/>
    <x v="0"/>
    <x v="0"/>
    <s v="24"/>
    <x v="1"/>
    <x v="0"/>
    <x v="1"/>
    <x v="5"/>
    <n v="1013470.07"/>
  </r>
  <r>
    <x v="0"/>
    <x v="0"/>
    <x v="1"/>
    <x v="0"/>
    <x v="0"/>
    <x v="6"/>
    <x v="0"/>
    <x v="0"/>
    <x v="0"/>
    <x v="0"/>
    <x v="0"/>
    <x v="0"/>
    <s v="24"/>
    <x v="1"/>
    <x v="0"/>
    <x v="1"/>
    <x v="6"/>
    <n v="28864.9"/>
  </r>
  <r>
    <x v="0"/>
    <x v="0"/>
    <x v="1"/>
    <x v="0"/>
    <x v="0"/>
    <x v="6"/>
    <x v="0"/>
    <x v="0"/>
    <x v="0"/>
    <x v="0"/>
    <x v="0"/>
    <x v="0"/>
    <s v="24"/>
    <x v="1"/>
    <x v="0"/>
    <x v="1"/>
    <x v="1"/>
    <n v="16230.75"/>
  </r>
  <r>
    <x v="0"/>
    <x v="0"/>
    <x v="1"/>
    <x v="0"/>
    <x v="0"/>
    <x v="6"/>
    <x v="0"/>
    <x v="0"/>
    <x v="0"/>
    <x v="0"/>
    <x v="0"/>
    <x v="0"/>
    <s v="81"/>
    <x v="2"/>
    <x v="0"/>
    <x v="0"/>
    <x v="1"/>
    <n v="-58000"/>
  </r>
  <r>
    <x v="0"/>
    <x v="0"/>
    <x v="1"/>
    <x v="0"/>
    <x v="0"/>
    <x v="6"/>
    <x v="0"/>
    <x v="0"/>
    <x v="0"/>
    <x v="0"/>
    <x v="0"/>
    <x v="0"/>
    <s v="90"/>
    <x v="16"/>
    <x v="0"/>
    <x v="0"/>
    <x v="2"/>
    <n v="75"/>
  </r>
  <r>
    <x v="0"/>
    <x v="0"/>
    <x v="1"/>
    <x v="0"/>
    <x v="0"/>
    <x v="6"/>
    <x v="0"/>
    <x v="0"/>
    <x v="0"/>
    <x v="0"/>
    <x v="0"/>
    <x v="0"/>
    <s v="90"/>
    <x v="16"/>
    <x v="0"/>
    <x v="0"/>
    <x v="8"/>
    <n v="75"/>
  </r>
  <r>
    <x v="0"/>
    <x v="0"/>
    <x v="1"/>
    <x v="0"/>
    <x v="0"/>
    <x v="6"/>
    <x v="0"/>
    <x v="0"/>
    <x v="0"/>
    <x v="0"/>
    <x v="0"/>
    <x v="0"/>
    <s v="90"/>
    <x v="16"/>
    <x v="0"/>
    <x v="0"/>
    <x v="10"/>
    <n v="150"/>
  </r>
  <r>
    <x v="0"/>
    <x v="0"/>
    <x v="1"/>
    <x v="0"/>
    <x v="0"/>
    <x v="6"/>
    <x v="0"/>
    <x v="0"/>
    <x v="0"/>
    <x v="0"/>
    <x v="0"/>
    <x v="0"/>
    <s v="90"/>
    <x v="16"/>
    <x v="0"/>
    <x v="0"/>
    <x v="3"/>
    <n v="80"/>
  </r>
  <r>
    <x v="0"/>
    <x v="0"/>
    <x v="1"/>
    <x v="0"/>
    <x v="0"/>
    <x v="6"/>
    <x v="0"/>
    <x v="0"/>
    <x v="0"/>
    <x v="0"/>
    <x v="0"/>
    <x v="0"/>
    <s v="90"/>
    <x v="16"/>
    <x v="0"/>
    <x v="0"/>
    <x v="5"/>
    <n v="75"/>
  </r>
  <r>
    <x v="0"/>
    <x v="0"/>
    <x v="1"/>
    <x v="0"/>
    <x v="0"/>
    <x v="6"/>
    <x v="0"/>
    <x v="0"/>
    <x v="0"/>
    <x v="0"/>
    <x v="0"/>
    <x v="0"/>
    <s v="90"/>
    <x v="16"/>
    <x v="0"/>
    <x v="0"/>
    <x v="1"/>
    <n v="25"/>
  </r>
  <r>
    <x v="0"/>
    <x v="0"/>
    <x v="1"/>
    <x v="0"/>
    <x v="0"/>
    <x v="6"/>
    <x v="0"/>
    <x v="0"/>
    <x v="0"/>
    <x v="0"/>
    <x v="0"/>
    <x v="0"/>
    <s v="90"/>
    <x v="16"/>
    <x v="0"/>
    <x v="1"/>
    <x v="8"/>
    <n v="50"/>
  </r>
  <r>
    <x v="0"/>
    <x v="0"/>
    <x v="1"/>
    <x v="0"/>
    <x v="0"/>
    <x v="6"/>
    <x v="0"/>
    <x v="0"/>
    <x v="0"/>
    <x v="0"/>
    <x v="0"/>
    <x v="0"/>
    <s v="90"/>
    <x v="16"/>
    <x v="0"/>
    <x v="1"/>
    <x v="9"/>
    <n v="250"/>
  </r>
  <r>
    <x v="0"/>
    <x v="0"/>
    <x v="1"/>
    <x v="0"/>
    <x v="0"/>
    <x v="6"/>
    <x v="0"/>
    <x v="0"/>
    <x v="0"/>
    <x v="0"/>
    <x v="0"/>
    <x v="0"/>
    <s v="90"/>
    <x v="16"/>
    <x v="0"/>
    <x v="1"/>
    <x v="3"/>
    <n v="75"/>
  </r>
  <r>
    <x v="0"/>
    <x v="0"/>
    <x v="1"/>
    <x v="0"/>
    <x v="0"/>
    <x v="6"/>
    <x v="0"/>
    <x v="0"/>
    <x v="0"/>
    <x v="0"/>
    <x v="0"/>
    <x v="0"/>
    <s v="90"/>
    <x v="16"/>
    <x v="0"/>
    <x v="1"/>
    <x v="5"/>
    <n v="60"/>
  </r>
  <r>
    <x v="0"/>
    <x v="0"/>
    <x v="1"/>
    <x v="0"/>
    <x v="0"/>
    <x v="2"/>
    <x v="0"/>
    <x v="0"/>
    <x v="0"/>
    <x v="1"/>
    <x v="1"/>
    <x v="1"/>
    <s v="41"/>
    <x v="4"/>
    <x v="0"/>
    <x v="0"/>
    <x v="9"/>
    <n v="-6"/>
  </r>
  <r>
    <x v="0"/>
    <x v="0"/>
    <x v="1"/>
    <x v="0"/>
    <x v="0"/>
    <x v="2"/>
    <x v="0"/>
    <x v="0"/>
    <x v="0"/>
    <x v="1"/>
    <x v="1"/>
    <x v="1"/>
    <s v="41"/>
    <x v="4"/>
    <x v="0"/>
    <x v="0"/>
    <x v="4"/>
    <n v="4000"/>
  </r>
  <r>
    <x v="0"/>
    <x v="0"/>
    <x v="1"/>
    <x v="0"/>
    <x v="0"/>
    <x v="2"/>
    <x v="0"/>
    <x v="0"/>
    <x v="0"/>
    <x v="1"/>
    <x v="1"/>
    <x v="1"/>
    <s v="41"/>
    <x v="4"/>
    <x v="0"/>
    <x v="0"/>
    <x v="7"/>
    <n v="-3994"/>
  </r>
  <r>
    <x v="0"/>
    <x v="0"/>
    <x v="1"/>
    <x v="0"/>
    <x v="0"/>
    <x v="2"/>
    <x v="0"/>
    <x v="0"/>
    <x v="0"/>
    <x v="1"/>
    <x v="1"/>
    <x v="1"/>
    <s v="41"/>
    <x v="4"/>
    <x v="0"/>
    <x v="1"/>
    <x v="0"/>
    <n v="1875"/>
  </r>
  <r>
    <x v="0"/>
    <x v="0"/>
    <x v="1"/>
    <x v="0"/>
    <x v="0"/>
    <x v="2"/>
    <x v="0"/>
    <x v="0"/>
    <x v="0"/>
    <x v="1"/>
    <x v="1"/>
    <x v="1"/>
    <s v="41"/>
    <x v="4"/>
    <x v="0"/>
    <x v="1"/>
    <x v="11"/>
    <n v="100000"/>
  </r>
  <r>
    <x v="0"/>
    <x v="0"/>
    <x v="1"/>
    <x v="0"/>
    <x v="0"/>
    <x v="2"/>
    <x v="0"/>
    <x v="0"/>
    <x v="0"/>
    <x v="1"/>
    <x v="1"/>
    <x v="1"/>
    <s v="41"/>
    <x v="4"/>
    <x v="0"/>
    <x v="1"/>
    <x v="3"/>
    <n v="22"/>
  </r>
  <r>
    <x v="0"/>
    <x v="0"/>
    <x v="1"/>
    <x v="0"/>
    <x v="0"/>
    <x v="2"/>
    <x v="0"/>
    <x v="0"/>
    <x v="0"/>
    <x v="1"/>
    <x v="1"/>
    <x v="1"/>
    <s v="41"/>
    <x v="4"/>
    <x v="0"/>
    <x v="1"/>
    <x v="5"/>
    <n v="-22"/>
  </r>
  <r>
    <x v="0"/>
    <x v="0"/>
    <x v="1"/>
    <x v="0"/>
    <x v="0"/>
    <x v="2"/>
    <x v="0"/>
    <x v="0"/>
    <x v="0"/>
    <x v="1"/>
    <x v="1"/>
    <x v="1"/>
    <s v="41"/>
    <x v="4"/>
    <x v="0"/>
    <x v="1"/>
    <x v="6"/>
    <n v="-1875"/>
  </r>
  <r>
    <x v="0"/>
    <x v="0"/>
    <x v="1"/>
    <x v="0"/>
    <x v="0"/>
    <x v="2"/>
    <x v="0"/>
    <x v="0"/>
    <x v="0"/>
    <x v="1"/>
    <x v="1"/>
    <x v="1"/>
    <s v="41"/>
    <x v="4"/>
    <x v="0"/>
    <x v="1"/>
    <x v="1"/>
    <n v="-100000"/>
  </r>
  <r>
    <x v="0"/>
    <x v="0"/>
    <x v="1"/>
    <x v="0"/>
    <x v="0"/>
    <x v="2"/>
    <x v="0"/>
    <x v="0"/>
    <x v="0"/>
    <x v="0"/>
    <x v="0"/>
    <x v="0"/>
    <s v="02"/>
    <x v="5"/>
    <x v="0"/>
    <x v="1"/>
    <x v="3"/>
    <n v="1500"/>
  </r>
  <r>
    <x v="0"/>
    <x v="0"/>
    <x v="1"/>
    <x v="0"/>
    <x v="0"/>
    <x v="2"/>
    <x v="0"/>
    <x v="0"/>
    <x v="0"/>
    <x v="0"/>
    <x v="0"/>
    <x v="0"/>
    <s v="02"/>
    <x v="5"/>
    <x v="0"/>
    <x v="1"/>
    <x v="6"/>
    <n v="-1500"/>
  </r>
  <r>
    <x v="0"/>
    <x v="0"/>
    <x v="1"/>
    <x v="0"/>
    <x v="0"/>
    <x v="2"/>
    <x v="0"/>
    <x v="0"/>
    <x v="0"/>
    <x v="0"/>
    <x v="0"/>
    <x v="0"/>
    <s v="05"/>
    <x v="6"/>
    <x v="0"/>
    <x v="0"/>
    <x v="6"/>
    <n v="-5"/>
  </r>
  <r>
    <x v="0"/>
    <x v="0"/>
    <x v="1"/>
    <x v="0"/>
    <x v="0"/>
    <x v="2"/>
    <x v="0"/>
    <x v="0"/>
    <x v="0"/>
    <x v="0"/>
    <x v="0"/>
    <x v="0"/>
    <s v="05"/>
    <x v="6"/>
    <x v="0"/>
    <x v="0"/>
    <x v="1"/>
    <n v="5"/>
  </r>
  <r>
    <x v="0"/>
    <x v="0"/>
    <x v="1"/>
    <x v="0"/>
    <x v="0"/>
    <x v="2"/>
    <x v="0"/>
    <x v="0"/>
    <x v="0"/>
    <x v="0"/>
    <x v="0"/>
    <x v="0"/>
    <s v="09"/>
    <x v="0"/>
    <x v="0"/>
    <x v="0"/>
    <x v="8"/>
    <n v="57772.71"/>
  </r>
  <r>
    <x v="0"/>
    <x v="0"/>
    <x v="1"/>
    <x v="0"/>
    <x v="0"/>
    <x v="2"/>
    <x v="0"/>
    <x v="0"/>
    <x v="0"/>
    <x v="0"/>
    <x v="0"/>
    <x v="0"/>
    <s v="09"/>
    <x v="0"/>
    <x v="0"/>
    <x v="0"/>
    <x v="9"/>
    <n v="10817.77"/>
  </r>
  <r>
    <x v="0"/>
    <x v="0"/>
    <x v="1"/>
    <x v="0"/>
    <x v="0"/>
    <x v="2"/>
    <x v="0"/>
    <x v="0"/>
    <x v="0"/>
    <x v="0"/>
    <x v="0"/>
    <x v="0"/>
    <s v="09"/>
    <x v="0"/>
    <x v="0"/>
    <x v="0"/>
    <x v="11"/>
    <n v="108590.91"/>
  </r>
  <r>
    <x v="0"/>
    <x v="0"/>
    <x v="1"/>
    <x v="0"/>
    <x v="0"/>
    <x v="2"/>
    <x v="0"/>
    <x v="0"/>
    <x v="0"/>
    <x v="0"/>
    <x v="0"/>
    <x v="0"/>
    <s v="09"/>
    <x v="0"/>
    <x v="0"/>
    <x v="0"/>
    <x v="3"/>
    <n v="70223.28"/>
  </r>
  <r>
    <x v="0"/>
    <x v="0"/>
    <x v="1"/>
    <x v="0"/>
    <x v="0"/>
    <x v="2"/>
    <x v="0"/>
    <x v="0"/>
    <x v="0"/>
    <x v="0"/>
    <x v="0"/>
    <x v="0"/>
    <s v="09"/>
    <x v="0"/>
    <x v="0"/>
    <x v="0"/>
    <x v="4"/>
    <n v="17295.86"/>
  </r>
  <r>
    <x v="0"/>
    <x v="0"/>
    <x v="1"/>
    <x v="0"/>
    <x v="0"/>
    <x v="2"/>
    <x v="0"/>
    <x v="0"/>
    <x v="0"/>
    <x v="0"/>
    <x v="0"/>
    <x v="0"/>
    <s v="09"/>
    <x v="0"/>
    <x v="0"/>
    <x v="0"/>
    <x v="7"/>
    <n v="40770.76"/>
  </r>
  <r>
    <x v="0"/>
    <x v="0"/>
    <x v="1"/>
    <x v="0"/>
    <x v="0"/>
    <x v="2"/>
    <x v="0"/>
    <x v="0"/>
    <x v="0"/>
    <x v="0"/>
    <x v="0"/>
    <x v="0"/>
    <s v="09"/>
    <x v="0"/>
    <x v="0"/>
    <x v="0"/>
    <x v="5"/>
    <n v="53105"/>
  </r>
  <r>
    <x v="0"/>
    <x v="0"/>
    <x v="1"/>
    <x v="0"/>
    <x v="0"/>
    <x v="2"/>
    <x v="0"/>
    <x v="0"/>
    <x v="0"/>
    <x v="0"/>
    <x v="0"/>
    <x v="0"/>
    <s v="09"/>
    <x v="0"/>
    <x v="0"/>
    <x v="0"/>
    <x v="1"/>
    <n v="127839.76"/>
  </r>
  <r>
    <x v="0"/>
    <x v="0"/>
    <x v="1"/>
    <x v="0"/>
    <x v="0"/>
    <x v="2"/>
    <x v="0"/>
    <x v="0"/>
    <x v="0"/>
    <x v="0"/>
    <x v="0"/>
    <x v="0"/>
    <s v="09"/>
    <x v="0"/>
    <x v="0"/>
    <x v="1"/>
    <x v="0"/>
    <n v="-10000"/>
  </r>
  <r>
    <x v="0"/>
    <x v="0"/>
    <x v="1"/>
    <x v="0"/>
    <x v="0"/>
    <x v="2"/>
    <x v="0"/>
    <x v="0"/>
    <x v="0"/>
    <x v="0"/>
    <x v="0"/>
    <x v="0"/>
    <s v="09"/>
    <x v="0"/>
    <x v="0"/>
    <x v="1"/>
    <x v="10"/>
    <n v="28190.1"/>
  </r>
  <r>
    <x v="0"/>
    <x v="0"/>
    <x v="1"/>
    <x v="0"/>
    <x v="0"/>
    <x v="2"/>
    <x v="0"/>
    <x v="0"/>
    <x v="0"/>
    <x v="0"/>
    <x v="0"/>
    <x v="0"/>
    <s v="09"/>
    <x v="0"/>
    <x v="0"/>
    <x v="1"/>
    <x v="11"/>
    <n v="88348.2"/>
  </r>
  <r>
    <x v="0"/>
    <x v="0"/>
    <x v="1"/>
    <x v="0"/>
    <x v="0"/>
    <x v="2"/>
    <x v="0"/>
    <x v="0"/>
    <x v="0"/>
    <x v="0"/>
    <x v="0"/>
    <x v="0"/>
    <s v="09"/>
    <x v="0"/>
    <x v="0"/>
    <x v="1"/>
    <x v="7"/>
    <n v="31642.95"/>
  </r>
  <r>
    <x v="0"/>
    <x v="0"/>
    <x v="1"/>
    <x v="0"/>
    <x v="0"/>
    <x v="2"/>
    <x v="0"/>
    <x v="0"/>
    <x v="0"/>
    <x v="0"/>
    <x v="0"/>
    <x v="0"/>
    <s v="09"/>
    <x v="0"/>
    <x v="0"/>
    <x v="1"/>
    <x v="5"/>
    <n v="231541.15"/>
  </r>
  <r>
    <x v="0"/>
    <x v="0"/>
    <x v="1"/>
    <x v="0"/>
    <x v="0"/>
    <x v="2"/>
    <x v="0"/>
    <x v="0"/>
    <x v="0"/>
    <x v="0"/>
    <x v="0"/>
    <x v="0"/>
    <s v="09"/>
    <x v="0"/>
    <x v="0"/>
    <x v="1"/>
    <x v="6"/>
    <n v="56643.14"/>
  </r>
  <r>
    <x v="0"/>
    <x v="0"/>
    <x v="1"/>
    <x v="0"/>
    <x v="0"/>
    <x v="2"/>
    <x v="0"/>
    <x v="0"/>
    <x v="0"/>
    <x v="0"/>
    <x v="0"/>
    <x v="0"/>
    <s v="09"/>
    <x v="0"/>
    <x v="0"/>
    <x v="1"/>
    <x v="1"/>
    <n v="73491.679999999993"/>
  </r>
  <r>
    <x v="0"/>
    <x v="0"/>
    <x v="1"/>
    <x v="0"/>
    <x v="0"/>
    <x v="2"/>
    <x v="0"/>
    <x v="0"/>
    <x v="0"/>
    <x v="0"/>
    <x v="0"/>
    <x v="0"/>
    <s v="20"/>
    <x v="7"/>
    <x v="0"/>
    <x v="0"/>
    <x v="0"/>
    <n v="111"/>
  </r>
  <r>
    <x v="0"/>
    <x v="0"/>
    <x v="1"/>
    <x v="0"/>
    <x v="0"/>
    <x v="2"/>
    <x v="0"/>
    <x v="0"/>
    <x v="0"/>
    <x v="0"/>
    <x v="0"/>
    <x v="0"/>
    <s v="20"/>
    <x v="7"/>
    <x v="0"/>
    <x v="0"/>
    <x v="2"/>
    <n v="-111"/>
  </r>
  <r>
    <x v="0"/>
    <x v="0"/>
    <x v="1"/>
    <x v="0"/>
    <x v="0"/>
    <x v="2"/>
    <x v="0"/>
    <x v="0"/>
    <x v="0"/>
    <x v="0"/>
    <x v="0"/>
    <x v="0"/>
    <s v="20"/>
    <x v="7"/>
    <x v="0"/>
    <x v="0"/>
    <x v="8"/>
    <n v="-792.42"/>
  </r>
  <r>
    <x v="0"/>
    <x v="0"/>
    <x v="1"/>
    <x v="0"/>
    <x v="0"/>
    <x v="2"/>
    <x v="0"/>
    <x v="0"/>
    <x v="0"/>
    <x v="0"/>
    <x v="0"/>
    <x v="0"/>
    <s v="20"/>
    <x v="7"/>
    <x v="0"/>
    <x v="0"/>
    <x v="9"/>
    <n v="2588"/>
  </r>
  <r>
    <x v="0"/>
    <x v="0"/>
    <x v="1"/>
    <x v="0"/>
    <x v="0"/>
    <x v="2"/>
    <x v="0"/>
    <x v="0"/>
    <x v="0"/>
    <x v="0"/>
    <x v="0"/>
    <x v="0"/>
    <s v="20"/>
    <x v="7"/>
    <x v="0"/>
    <x v="0"/>
    <x v="10"/>
    <n v="1435.48"/>
  </r>
  <r>
    <x v="0"/>
    <x v="0"/>
    <x v="1"/>
    <x v="0"/>
    <x v="0"/>
    <x v="2"/>
    <x v="0"/>
    <x v="0"/>
    <x v="0"/>
    <x v="0"/>
    <x v="0"/>
    <x v="0"/>
    <s v="20"/>
    <x v="7"/>
    <x v="0"/>
    <x v="0"/>
    <x v="11"/>
    <n v="4045.41"/>
  </r>
  <r>
    <x v="0"/>
    <x v="0"/>
    <x v="1"/>
    <x v="0"/>
    <x v="0"/>
    <x v="2"/>
    <x v="0"/>
    <x v="0"/>
    <x v="0"/>
    <x v="0"/>
    <x v="0"/>
    <x v="0"/>
    <s v="20"/>
    <x v="7"/>
    <x v="0"/>
    <x v="0"/>
    <x v="3"/>
    <n v="740"/>
  </r>
  <r>
    <x v="0"/>
    <x v="0"/>
    <x v="1"/>
    <x v="0"/>
    <x v="0"/>
    <x v="2"/>
    <x v="0"/>
    <x v="0"/>
    <x v="0"/>
    <x v="0"/>
    <x v="0"/>
    <x v="0"/>
    <s v="20"/>
    <x v="7"/>
    <x v="0"/>
    <x v="0"/>
    <x v="4"/>
    <n v="230"/>
  </r>
  <r>
    <x v="0"/>
    <x v="0"/>
    <x v="1"/>
    <x v="0"/>
    <x v="0"/>
    <x v="2"/>
    <x v="0"/>
    <x v="0"/>
    <x v="0"/>
    <x v="0"/>
    <x v="0"/>
    <x v="0"/>
    <s v="20"/>
    <x v="7"/>
    <x v="0"/>
    <x v="0"/>
    <x v="7"/>
    <n v="-8106.47"/>
  </r>
  <r>
    <x v="0"/>
    <x v="0"/>
    <x v="1"/>
    <x v="0"/>
    <x v="0"/>
    <x v="2"/>
    <x v="0"/>
    <x v="0"/>
    <x v="0"/>
    <x v="0"/>
    <x v="0"/>
    <x v="0"/>
    <s v="20"/>
    <x v="7"/>
    <x v="0"/>
    <x v="0"/>
    <x v="5"/>
    <n v="-920.96"/>
  </r>
  <r>
    <x v="0"/>
    <x v="0"/>
    <x v="1"/>
    <x v="0"/>
    <x v="0"/>
    <x v="2"/>
    <x v="0"/>
    <x v="0"/>
    <x v="0"/>
    <x v="0"/>
    <x v="0"/>
    <x v="0"/>
    <s v="20"/>
    <x v="7"/>
    <x v="0"/>
    <x v="0"/>
    <x v="6"/>
    <n v="780.96"/>
  </r>
  <r>
    <x v="0"/>
    <x v="0"/>
    <x v="1"/>
    <x v="0"/>
    <x v="0"/>
    <x v="2"/>
    <x v="0"/>
    <x v="0"/>
    <x v="0"/>
    <x v="0"/>
    <x v="0"/>
    <x v="0"/>
    <s v="20"/>
    <x v="7"/>
    <x v="0"/>
    <x v="1"/>
    <x v="9"/>
    <n v="79.8"/>
  </r>
  <r>
    <x v="0"/>
    <x v="0"/>
    <x v="1"/>
    <x v="0"/>
    <x v="0"/>
    <x v="2"/>
    <x v="0"/>
    <x v="0"/>
    <x v="0"/>
    <x v="0"/>
    <x v="0"/>
    <x v="0"/>
    <s v="20"/>
    <x v="7"/>
    <x v="0"/>
    <x v="1"/>
    <x v="10"/>
    <n v="-6.3"/>
  </r>
  <r>
    <x v="0"/>
    <x v="0"/>
    <x v="1"/>
    <x v="0"/>
    <x v="0"/>
    <x v="2"/>
    <x v="0"/>
    <x v="0"/>
    <x v="0"/>
    <x v="0"/>
    <x v="0"/>
    <x v="0"/>
    <s v="20"/>
    <x v="7"/>
    <x v="0"/>
    <x v="1"/>
    <x v="11"/>
    <n v="284.29000000000002"/>
  </r>
  <r>
    <x v="0"/>
    <x v="0"/>
    <x v="1"/>
    <x v="0"/>
    <x v="0"/>
    <x v="2"/>
    <x v="0"/>
    <x v="0"/>
    <x v="0"/>
    <x v="0"/>
    <x v="0"/>
    <x v="0"/>
    <s v="20"/>
    <x v="7"/>
    <x v="0"/>
    <x v="1"/>
    <x v="3"/>
    <n v="168.6"/>
  </r>
  <r>
    <x v="0"/>
    <x v="0"/>
    <x v="1"/>
    <x v="0"/>
    <x v="0"/>
    <x v="2"/>
    <x v="0"/>
    <x v="0"/>
    <x v="0"/>
    <x v="0"/>
    <x v="0"/>
    <x v="0"/>
    <s v="20"/>
    <x v="7"/>
    <x v="0"/>
    <x v="1"/>
    <x v="4"/>
    <n v="3940.86"/>
  </r>
  <r>
    <x v="0"/>
    <x v="0"/>
    <x v="1"/>
    <x v="0"/>
    <x v="0"/>
    <x v="2"/>
    <x v="0"/>
    <x v="0"/>
    <x v="0"/>
    <x v="0"/>
    <x v="0"/>
    <x v="0"/>
    <s v="20"/>
    <x v="7"/>
    <x v="0"/>
    <x v="1"/>
    <x v="7"/>
    <n v="151.88999999999999"/>
  </r>
  <r>
    <x v="0"/>
    <x v="0"/>
    <x v="1"/>
    <x v="0"/>
    <x v="0"/>
    <x v="2"/>
    <x v="0"/>
    <x v="0"/>
    <x v="0"/>
    <x v="0"/>
    <x v="0"/>
    <x v="0"/>
    <s v="20"/>
    <x v="7"/>
    <x v="0"/>
    <x v="1"/>
    <x v="5"/>
    <n v="-11.06"/>
  </r>
  <r>
    <x v="0"/>
    <x v="0"/>
    <x v="1"/>
    <x v="0"/>
    <x v="0"/>
    <x v="2"/>
    <x v="0"/>
    <x v="0"/>
    <x v="0"/>
    <x v="0"/>
    <x v="0"/>
    <x v="0"/>
    <s v="20"/>
    <x v="7"/>
    <x v="0"/>
    <x v="1"/>
    <x v="6"/>
    <n v="-3813.71"/>
  </r>
  <r>
    <x v="0"/>
    <x v="0"/>
    <x v="1"/>
    <x v="0"/>
    <x v="0"/>
    <x v="2"/>
    <x v="0"/>
    <x v="0"/>
    <x v="0"/>
    <x v="0"/>
    <x v="0"/>
    <x v="0"/>
    <s v="20"/>
    <x v="7"/>
    <x v="0"/>
    <x v="1"/>
    <x v="1"/>
    <n v="-759.37"/>
  </r>
  <r>
    <x v="0"/>
    <x v="0"/>
    <x v="1"/>
    <x v="0"/>
    <x v="0"/>
    <x v="2"/>
    <x v="0"/>
    <x v="0"/>
    <x v="0"/>
    <x v="0"/>
    <x v="0"/>
    <x v="0"/>
    <s v="21"/>
    <x v="17"/>
    <x v="0"/>
    <x v="0"/>
    <x v="9"/>
    <n v="111.52"/>
  </r>
  <r>
    <x v="0"/>
    <x v="0"/>
    <x v="1"/>
    <x v="0"/>
    <x v="0"/>
    <x v="2"/>
    <x v="0"/>
    <x v="0"/>
    <x v="0"/>
    <x v="0"/>
    <x v="0"/>
    <x v="0"/>
    <s v="21"/>
    <x v="17"/>
    <x v="0"/>
    <x v="0"/>
    <x v="7"/>
    <n v="-111.52"/>
  </r>
  <r>
    <x v="0"/>
    <x v="0"/>
    <x v="1"/>
    <x v="0"/>
    <x v="0"/>
    <x v="2"/>
    <x v="0"/>
    <x v="0"/>
    <x v="0"/>
    <x v="0"/>
    <x v="0"/>
    <x v="0"/>
    <s v="21"/>
    <x v="17"/>
    <x v="0"/>
    <x v="1"/>
    <x v="9"/>
    <n v="75"/>
  </r>
  <r>
    <x v="0"/>
    <x v="0"/>
    <x v="1"/>
    <x v="0"/>
    <x v="0"/>
    <x v="2"/>
    <x v="0"/>
    <x v="0"/>
    <x v="0"/>
    <x v="0"/>
    <x v="0"/>
    <x v="0"/>
    <s v="21"/>
    <x v="17"/>
    <x v="0"/>
    <x v="1"/>
    <x v="10"/>
    <n v="-75"/>
  </r>
  <r>
    <x v="0"/>
    <x v="0"/>
    <x v="1"/>
    <x v="0"/>
    <x v="0"/>
    <x v="2"/>
    <x v="0"/>
    <x v="0"/>
    <x v="0"/>
    <x v="0"/>
    <x v="0"/>
    <x v="0"/>
    <s v="21"/>
    <x v="17"/>
    <x v="0"/>
    <x v="1"/>
    <x v="3"/>
    <n v="93.75"/>
  </r>
  <r>
    <x v="0"/>
    <x v="0"/>
    <x v="1"/>
    <x v="0"/>
    <x v="0"/>
    <x v="2"/>
    <x v="0"/>
    <x v="0"/>
    <x v="0"/>
    <x v="0"/>
    <x v="0"/>
    <x v="0"/>
    <s v="21"/>
    <x v="17"/>
    <x v="0"/>
    <x v="1"/>
    <x v="7"/>
    <n v="-93.75"/>
  </r>
  <r>
    <x v="0"/>
    <x v="0"/>
    <x v="1"/>
    <x v="0"/>
    <x v="0"/>
    <x v="2"/>
    <x v="0"/>
    <x v="0"/>
    <x v="0"/>
    <x v="0"/>
    <x v="0"/>
    <x v="0"/>
    <s v="24"/>
    <x v="1"/>
    <x v="0"/>
    <x v="0"/>
    <x v="8"/>
    <n v="9700779.2100000009"/>
  </r>
  <r>
    <x v="0"/>
    <x v="0"/>
    <x v="1"/>
    <x v="0"/>
    <x v="0"/>
    <x v="2"/>
    <x v="0"/>
    <x v="0"/>
    <x v="0"/>
    <x v="0"/>
    <x v="0"/>
    <x v="0"/>
    <s v="24"/>
    <x v="1"/>
    <x v="0"/>
    <x v="0"/>
    <x v="9"/>
    <n v="-256266.55"/>
  </r>
  <r>
    <x v="0"/>
    <x v="0"/>
    <x v="1"/>
    <x v="0"/>
    <x v="0"/>
    <x v="2"/>
    <x v="0"/>
    <x v="0"/>
    <x v="0"/>
    <x v="0"/>
    <x v="0"/>
    <x v="0"/>
    <s v="24"/>
    <x v="1"/>
    <x v="0"/>
    <x v="0"/>
    <x v="10"/>
    <n v="-58995.38"/>
  </r>
  <r>
    <x v="0"/>
    <x v="0"/>
    <x v="1"/>
    <x v="0"/>
    <x v="0"/>
    <x v="2"/>
    <x v="0"/>
    <x v="0"/>
    <x v="0"/>
    <x v="0"/>
    <x v="0"/>
    <x v="0"/>
    <s v="24"/>
    <x v="1"/>
    <x v="0"/>
    <x v="0"/>
    <x v="11"/>
    <n v="8710091.7599999998"/>
  </r>
  <r>
    <x v="0"/>
    <x v="0"/>
    <x v="1"/>
    <x v="0"/>
    <x v="0"/>
    <x v="2"/>
    <x v="0"/>
    <x v="0"/>
    <x v="0"/>
    <x v="0"/>
    <x v="0"/>
    <x v="0"/>
    <s v="24"/>
    <x v="1"/>
    <x v="0"/>
    <x v="0"/>
    <x v="3"/>
    <n v="818737.12"/>
  </r>
  <r>
    <x v="0"/>
    <x v="0"/>
    <x v="1"/>
    <x v="0"/>
    <x v="0"/>
    <x v="2"/>
    <x v="0"/>
    <x v="0"/>
    <x v="0"/>
    <x v="0"/>
    <x v="0"/>
    <x v="0"/>
    <s v="24"/>
    <x v="1"/>
    <x v="0"/>
    <x v="0"/>
    <x v="4"/>
    <n v="-436487.06"/>
  </r>
  <r>
    <x v="0"/>
    <x v="0"/>
    <x v="1"/>
    <x v="0"/>
    <x v="0"/>
    <x v="2"/>
    <x v="0"/>
    <x v="0"/>
    <x v="0"/>
    <x v="0"/>
    <x v="0"/>
    <x v="0"/>
    <s v="24"/>
    <x v="1"/>
    <x v="0"/>
    <x v="0"/>
    <x v="7"/>
    <n v="8686552.0600000005"/>
  </r>
  <r>
    <x v="0"/>
    <x v="0"/>
    <x v="1"/>
    <x v="0"/>
    <x v="0"/>
    <x v="2"/>
    <x v="0"/>
    <x v="0"/>
    <x v="0"/>
    <x v="0"/>
    <x v="0"/>
    <x v="0"/>
    <s v="24"/>
    <x v="1"/>
    <x v="0"/>
    <x v="0"/>
    <x v="5"/>
    <n v="-119175.03"/>
  </r>
  <r>
    <x v="0"/>
    <x v="0"/>
    <x v="1"/>
    <x v="0"/>
    <x v="0"/>
    <x v="2"/>
    <x v="0"/>
    <x v="0"/>
    <x v="0"/>
    <x v="0"/>
    <x v="0"/>
    <x v="0"/>
    <s v="24"/>
    <x v="1"/>
    <x v="0"/>
    <x v="0"/>
    <x v="6"/>
    <n v="-267071.81"/>
  </r>
  <r>
    <x v="0"/>
    <x v="0"/>
    <x v="1"/>
    <x v="0"/>
    <x v="0"/>
    <x v="2"/>
    <x v="0"/>
    <x v="0"/>
    <x v="0"/>
    <x v="0"/>
    <x v="0"/>
    <x v="0"/>
    <s v="24"/>
    <x v="1"/>
    <x v="0"/>
    <x v="0"/>
    <x v="1"/>
    <n v="-17266.29"/>
  </r>
  <r>
    <x v="0"/>
    <x v="0"/>
    <x v="1"/>
    <x v="0"/>
    <x v="0"/>
    <x v="2"/>
    <x v="0"/>
    <x v="0"/>
    <x v="0"/>
    <x v="0"/>
    <x v="0"/>
    <x v="0"/>
    <s v="24"/>
    <x v="1"/>
    <x v="0"/>
    <x v="1"/>
    <x v="0"/>
    <n v="15360.1"/>
  </r>
  <r>
    <x v="0"/>
    <x v="0"/>
    <x v="1"/>
    <x v="0"/>
    <x v="0"/>
    <x v="2"/>
    <x v="0"/>
    <x v="0"/>
    <x v="0"/>
    <x v="0"/>
    <x v="0"/>
    <x v="0"/>
    <s v="24"/>
    <x v="1"/>
    <x v="0"/>
    <x v="1"/>
    <x v="2"/>
    <n v="-13028.92"/>
  </r>
  <r>
    <x v="0"/>
    <x v="0"/>
    <x v="1"/>
    <x v="0"/>
    <x v="0"/>
    <x v="2"/>
    <x v="0"/>
    <x v="0"/>
    <x v="0"/>
    <x v="0"/>
    <x v="0"/>
    <x v="0"/>
    <s v="24"/>
    <x v="1"/>
    <x v="0"/>
    <x v="1"/>
    <x v="8"/>
    <n v="10402515.43"/>
  </r>
  <r>
    <x v="0"/>
    <x v="0"/>
    <x v="1"/>
    <x v="0"/>
    <x v="0"/>
    <x v="2"/>
    <x v="0"/>
    <x v="0"/>
    <x v="0"/>
    <x v="0"/>
    <x v="0"/>
    <x v="0"/>
    <s v="24"/>
    <x v="1"/>
    <x v="0"/>
    <x v="1"/>
    <x v="9"/>
    <n v="-155359.89000000001"/>
  </r>
  <r>
    <x v="0"/>
    <x v="0"/>
    <x v="1"/>
    <x v="0"/>
    <x v="0"/>
    <x v="2"/>
    <x v="0"/>
    <x v="0"/>
    <x v="0"/>
    <x v="0"/>
    <x v="0"/>
    <x v="0"/>
    <s v="24"/>
    <x v="1"/>
    <x v="0"/>
    <x v="1"/>
    <x v="10"/>
    <n v="-45497.760000000002"/>
  </r>
  <r>
    <x v="0"/>
    <x v="0"/>
    <x v="1"/>
    <x v="0"/>
    <x v="0"/>
    <x v="2"/>
    <x v="0"/>
    <x v="0"/>
    <x v="0"/>
    <x v="0"/>
    <x v="0"/>
    <x v="0"/>
    <s v="24"/>
    <x v="1"/>
    <x v="0"/>
    <x v="1"/>
    <x v="11"/>
    <n v="9684563.9000000004"/>
  </r>
  <r>
    <x v="0"/>
    <x v="0"/>
    <x v="1"/>
    <x v="0"/>
    <x v="0"/>
    <x v="2"/>
    <x v="0"/>
    <x v="0"/>
    <x v="0"/>
    <x v="0"/>
    <x v="0"/>
    <x v="0"/>
    <s v="24"/>
    <x v="1"/>
    <x v="0"/>
    <x v="1"/>
    <x v="3"/>
    <n v="46726.87"/>
  </r>
  <r>
    <x v="0"/>
    <x v="0"/>
    <x v="1"/>
    <x v="0"/>
    <x v="0"/>
    <x v="2"/>
    <x v="0"/>
    <x v="0"/>
    <x v="0"/>
    <x v="0"/>
    <x v="0"/>
    <x v="0"/>
    <s v="24"/>
    <x v="1"/>
    <x v="0"/>
    <x v="1"/>
    <x v="4"/>
    <n v="-44325.49"/>
  </r>
  <r>
    <x v="0"/>
    <x v="0"/>
    <x v="1"/>
    <x v="0"/>
    <x v="0"/>
    <x v="2"/>
    <x v="0"/>
    <x v="0"/>
    <x v="0"/>
    <x v="0"/>
    <x v="0"/>
    <x v="0"/>
    <s v="24"/>
    <x v="1"/>
    <x v="0"/>
    <x v="1"/>
    <x v="7"/>
    <n v="10361732.220000001"/>
  </r>
  <r>
    <x v="0"/>
    <x v="0"/>
    <x v="1"/>
    <x v="0"/>
    <x v="0"/>
    <x v="2"/>
    <x v="0"/>
    <x v="0"/>
    <x v="0"/>
    <x v="0"/>
    <x v="0"/>
    <x v="0"/>
    <s v="24"/>
    <x v="1"/>
    <x v="0"/>
    <x v="1"/>
    <x v="5"/>
    <n v="-2161437.02"/>
  </r>
  <r>
    <x v="0"/>
    <x v="0"/>
    <x v="1"/>
    <x v="0"/>
    <x v="0"/>
    <x v="2"/>
    <x v="0"/>
    <x v="0"/>
    <x v="0"/>
    <x v="0"/>
    <x v="0"/>
    <x v="0"/>
    <s v="24"/>
    <x v="1"/>
    <x v="0"/>
    <x v="1"/>
    <x v="6"/>
    <n v="868288.26"/>
  </r>
  <r>
    <x v="0"/>
    <x v="0"/>
    <x v="1"/>
    <x v="0"/>
    <x v="0"/>
    <x v="2"/>
    <x v="0"/>
    <x v="0"/>
    <x v="0"/>
    <x v="0"/>
    <x v="0"/>
    <x v="0"/>
    <s v="24"/>
    <x v="1"/>
    <x v="0"/>
    <x v="1"/>
    <x v="1"/>
    <n v="-16832.62"/>
  </r>
  <r>
    <x v="0"/>
    <x v="0"/>
    <x v="1"/>
    <x v="0"/>
    <x v="0"/>
    <x v="2"/>
    <x v="0"/>
    <x v="0"/>
    <x v="0"/>
    <x v="0"/>
    <x v="0"/>
    <x v="0"/>
    <s v="30"/>
    <x v="3"/>
    <x v="0"/>
    <x v="1"/>
    <x v="8"/>
    <n v="1221.1199999999999"/>
  </r>
  <r>
    <x v="0"/>
    <x v="0"/>
    <x v="1"/>
    <x v="0"/>
    <x v="0"/>
    <x v="2"/>
    <x v="0"/>
    <x v="0"/>
    <x v="0"/>
    <x v="0"/>
    <x v="0"/>
    <x v="0"/>
    <s v="31"/>
    <x v="8"/>
    <x v="0"/>
    <x v="1"/>
    <x v="11"/>
    <n v="57.5"/>
  </r>
  <r>
    <x v="0"/>
    <x v="0"/>
    <x v="1"/>
    <x v="0"/>
    <x v="0"/>
    <x v="2"/>
    <x v="0"/>
    <x v="0"/>
    <x v="0"/>
    <x v="0"/>
    <x v="0"/>
    <x v="0"/>
    <s v="31"/>
    <x v="8"/>
    <x v="0"/>
    <x v="1"/>
    <x v="3"/>
    <n v="65"/>
  </r>
  <r>
    <x v="0"/>
    <x v="0"/>
    <x v="1"/>
    <x v="0"/>
    <x v="0"/>
    <x v="2"/>
    <x v="0"/>
    <x v="0"/>
    <x v="0"/>
    <x v="0"/>
    <x v="0"/>
    <x v="0"/>
    <s v="31"/>
    <x v="8"/>
    <x v="0"/>
    <x v="1"/>
    <x v="5"/>
    <n v="-122.5"/>
  </r>
  <r>
    <x v="0"/>
    <x v="0"/>
    <x v="1"/>
    <x v="0"/>
    <x v="0"/>
    <x v="2"/>
    <x v="0"/>
    <x v="0"/>
    <x v="0"/>
    <x v="0"/>
    <x v="0"/>
    <x v="0"/>
    <s v="40"/>
    <x v="18"/>
    <x v="0"/>
    <x v="0"/>
    <x v="9"/>
    <n v="1000"/>
  </r>
  <r>
    <x v="0"/>
    <x v="0"/>
    <x v="1"/>
    <x v="0"/>
    <x v="0"/>
    <x v="2"/>
    <x v="0"/>
    <x v="0"/>
    <x v="0"/>
    <x v="0"/>
    <x v="0"/>
    <x v="0"/>
    <s v="40"/>
    <x v="18"/>
    <x v="0"/>
    <x v="0"/>
    <x v="7"/>
    <n v="-1000"/>
  </r>
  <r>
    <x v="0"/>
    <x v="0"/>
    <x v="1"/>
    <x v="0"/>
    <x v="0"/>
    <x v="2"/>
    <x v="0"/>
    <x v="0"/>
    <x v="0"/>
    <x v="0"/>
    <x v="0"/>
    <x v="0"/>
    <s v="80"/>
    <x v="11"/>
    <x v="0"/>
    <x v="0"/>
    <x v="0"/>
    <n v="-1029.4000000000001"/>
  </r>
  <r>
    <x v="0"/>
    <x v="0"/>
    <x v="1"/>
    <x v="0"/>
    <x v="0"/>
    <x v="2"/>
    <x v="0"/>
    <x v="0"/>
    <x v="0"/>
    <x v="0"/>
    <x v="0"/>
    <x v="0"/>
    <s v="80"/>
    <x v="11"/>
    <x v="0"/>
    <x v="0"/>
    <x v="2"/>
    <n v="577459.32999999996"/>
  </r>
  <r>
    <x v="0"/>
    <x v="0"/>
    <x v="1"/>
    <x v="0"/>
    <x v="0"/>
    <x v="2"/>
    <x v="0"/>
    <x v="0"/>
    <x v="0"/>
    <x v="0"/>
    <x v="0"/>
    <x v="0"/>
    <s v="80"/>
    <x v="11"/>
    <x v="0"/>
    <x v="0"/>
    <x v="8"/>
    <n v="172324.84"/>
  </r>
  <r>
    <x v="0"/>
    <x v="0"/>
    <x v="1"/>
    <x v="0"/>
    <x v="0"/>
    <x v="2"/>
    <x v="0"/>
    <x v="0"/>
    <x v="0"/>
    <x v="0"/>
    <x v="0"/>
    <x v="0"/>
    <s v="80"/>
    <x v="11"/>
    <x v="0"/>
    <x v="0"/>
    <x v="9"/>
    <n v="90721.87"/>
  </r>
  <r>
    <x v="0"/>
    <x v="0"/>
    <x v="1"/>
    <x v="0"/>
    <x v="0"/>
    <x v="2"/>
    <x v="0"/>
    <x v="0"/>
    <x v="0"/>
    <x v="0"/>
    <x v="0"/>
    <x v="0"/>
    <s v="80"/>
    <x v="11"/>
    <x v="0"/>
    <x v="0"/>
    <x v="10"/>
    <n v="99395.48"/>
  </r>
  <r>
    <x v="0"/>
    <x v="0"/>
    <x v="1"/>
    <x v="0"/>
    <x v="0"/>
    <x v="2"/>
    <x v="0"/>
    <x v="0"/>
    <x v="0"/>
    <x v="0"/>
    <x v="0"/>
    <x v="0"/>
    <s v="80"/>
    <x v="11"/>
    <x v="0"/>
    <x v="0"/>
    <x v="11"/>
    <n v="32000"/>
  </r>
  <r>
    <x v="0"/>
    <x v="0"/>
    <x v="1"/>
    <x v="0"/>
    <x v="0"/>
    <x v="2"/>
    <x v="0"/>
    <x v="0"/>
    <x v="0"/>
    <x v="0"/>
    <x v="0"/>
    <x v="0"/>
    <s v="80"/>
    <x v="11"/>
    <x v="0"/>
    <x v="0"/>
    <x v="3"/>
    <n v="80000"/>
  </r>
  <r>
    <x v="0"/>
    <x v="0"/>
    <x v="1"/>
    <x v="0"/>
    <x v="0"/>
    <x v="2"/>
    <x v="0"/>
    <x v="0"/>
    <x v="0"/>
    <x v="0"/>
    <x v="0"/>
    <x v="0"/>
    <s v="80"/>
    <x v="11"/>
    <x v="0"/>
    <x v="0"/>
    <x v="4"/>
    <n v="-16831.18"/>
  </r>
  <r>
    <x v="0"/>
    <x v="0"/>
    <x v="1"/>
    <x v="0"/>
    <x v="0"/>
    <x v="2"/>
    <x v="0"/>
    <x v="0"/>
    <x v="0"/>
    <x v="0"/>
    <x v="0"/>
    <x v="0"/>
    <s v="80"/>
    <x v="11"/>
    <x v="0"/>
    <x v="0"/>
    <x v="7"/>
    <n v="140677.76000000001"/>
  </r>
  <r>
    <x v="0"/>
    <x v="0"/>
    <x v="1"/>
    <x v="0"/>
    <x v="0"/>
    <x v="2"/>
    <x v="0"/>
    <x v="0"/>
    <x v="0"/>
    <x v="0"/>
    <x v="0"/>
    <x v="0"/>
    <s v="80"/>
    <x v="11"/>
    <x v="0"/>
    <x v="0"/>
    <x v="5"/>
    <n v="4400"/>
  </r>
  <r>
    <x v="0"/>
    <x v="0"/>
    <x v="1"/>
    <x v="0"/>
    <x v="0"/>
    <x v="2"/>
    <x v="0"/>
    <x v="0"/>
    <x v="0"/>
    <x v="0"/>
    <x v="0"/>
    <x v="0"/>
    <s v="80"/>
    <x v="11"/>
    <x v="0"/>
    <x v="0"/>
    <x v="6"/>
    <n v="288762.96999999997"/>
  </r>
  <r>
    <x v="0"/>
    <x v="0"/>
    <x v="1"/>
    <x v="0"/>
    <x v="0"/>
    <x v="2"/>
    <x v="0"/>
    <x v="0"/>
    <x v="0"/>
    <x v="0"/>
    <x v="0"/>
    <x v="0"/>
    <s v="80"/>
    <x v="11"/>
    <x v="0"/>
    <x v="0"/>
    <x v="1"/>
    <n v="501791.05"/>
  </r>
  <r>
    <x v="0"/>
    <x v="0"/>
    <x v="1"/>
    <x v="0"/>
    <x v="0"/>
    <x v="2"/>
    <x v="0"/>
    <x v="0"/>
    <x v="0"/>
    <x v="0"/>
    <x v="0"/>
    <x v="0"/>
    <s v="80"/>
    <x v="11"/>
    <x v="0"/>
    <x v="1"/>
    <x v="2"/>
    <n v="8916.86"/>
  </r>
  <r>
    <x v="0"/>
    <x v="0"/>
    <x v="1"/>
    <x v="0"/>
    <x v="0"/>
    <x v="2"/>
    <x v="0"/>
    <x v="0"/>
    <x v="0"/>
    <x v="0"/>
    <x v="0"/>
    <x v="0"/>
    <s v="80"/>
    <x v="11"/>
    <x v="0"/>
    <x v="1"/>
    <x v="8"/>
    <n v="268876.81"/>
  </r>
  <r>
    <x v="0"/>
    <x v="0"/>
    <x v="1"/>
    <x v="0"/>
    <x v="0"/>
    <x v="2"/>
    <x v="0"/>
    <x v="0"/>
    <x v="0"/>
    <x v="0"/>
    <x v="0"/>
    <x v="0"/>
    <s v="80"/>
    <x v="11"/>
    <x v="0"/>
    <x v="1"/>
    <x v="9"/>
    <n v="256185"/>
  </r>
  <r>
    <x v="0"/>
    <x v="0"/>
    <x v="1"/>
    <x v="0"/>
    <x v="0"/>
    <x v="2"/>
    <x v="0"/>
    <x v="0"/>
    <x v="0"/>
    <x v="0"/>
    <x v="0"/>
    <x v="0"/>
    <s v="80"/>
    <x v="11"/>
    <x v="0"/>
    <x v="1"/>
    <x v="10"/>
    <n v="4625"/>
  </r>
  <r>
    <x v="0"/>
    <x v="0"/>
    <x v="1"/>
    <x v="0"/>
    <x v="0"/>
    <x v="2"/>
    <x v="0"/>
    <x v="0"/>
    <x v="0"/>
    <x v="0"/>
    <x v="0"/>
    <x v="0"/>
    <s v="80"/>
    <x v="11"/>
    <x v="0"/>
    <x v="1"/>
    <x v="11"/>
    <n v="84604"/>
  </r>
  <r>
    <x v="0"/>
    <x v="0"/>
    <x v="1"/>
    <x v="0"/>
    <x v="0"/>
    <x v="2"/>
    <x v="0"/>
    <x v="0"/>
    <x v="0"/>
    <x v="0"/>
    <x v="0"/>
    <x v="0"/>
    <s v="80"/>
    <x v="11"/>
    <x v="0"/>
    <x v="1"/>
    <x v="3"/>
    <n v="8300"/>
  </r>
  <r>
    <x v="0"/>
    <x v="0"/>
    <x v="1"/>
    <x v="0"/>
    <x v="0"/>
    <x v="2"/>
    <x v="0"/>
    <x v="0"/>
    <x v="0"/>
    <x v="0"/>
    <x v="0"/>
    <x v="0"/>
    <s v="80"/>
    <x v="11"/>
    <x v="0"/>
    <x v="1"/>
    <x v="4"/>
    <n v="144544.57999999999"/>
  </r>
  <r>
    <x v="0"/>
    <x v="0"/>
    <x v="1"/>
    <x v="0"/>
    <x v="0"/>
    <x v="2"/>
    <x v="0"/>
    <x v="0"/>
    <x v="0"/>
    <x v="0"/>
    <x v="0"/>
    <x v="0"/>
    <s v="80"/>
    <x v="11"/>
    <x v="0"/>
    <x v="1"/>
    <x v="7"/>
    <n v="2771"/>
  </r>
  <r>
    <x v="0"/>
    <x v="0"/>
    <x v="1"/>
    <x v="0"/>
    <x v="0"/>
    <x v="2"/>
    <x v="0"/>
    <x v="0"/>
    <x v="0"/>
    <x v="0"/>
    <x v="0"/>
    <x v="0"/>
    <s v="80"/>
    <x v="11"/>
    <x v="0"/>
    <x v="1"/>
    <x v="5"/>
    <n v="56326"/>
  </r>
  <r>
    <x v="0"/>
    <x v="0"/>
    <x v="1"/>
    <x v="0"/>
    <x v="0"/>
    <x v="2"/>
    <x v="0"/>
    <x v="0"/>
    <x v="0"/>
    <x v="0"/>
    <x v="0"/>
    <x v="0"/>
    <s v="80"/>
    <x v="11"/>
    <x v="0"/>
    <x v="1"/>
    <x v="6"/>
    <n v="1200"/>
  </r>
  <r>
    <x v="0"/>
    <x v="0"/>
    <x v="1"/>
    <x v="0"/>
    <x v="0"/>
    <x v="2"/>
    <x v="0"/>
    <x v="0"/>
    <x v="0"/>
    <x v="0"/>
    <x v="0"/>
    <x v="0"/>
    <s v="80"/>
    <x v="11"/>
    <x v="0"/>
    <x v="1"/>
    <x v="1"/>
    <n v="1535344.99"/>
  </r>
  <r>
    <x v="0"/>
    <x v="0"/>
    <x v="1"/>
    <x v="0"/>
    <x v="0"/>
    <x v="2"/>
    <x v="0"/>
    <x v="0"/>
    <x v="0"/>
    <x v="0"/>
    <x v="0"/>
    <x v="0"/>
    <s v="81"/>
    <x v="2"/>
    <x v="0"/>
    <x v="0"/>
    <x v="0"/>
    <n v="-172470.6"/>
  </r>
  <r>
    <x v="0"/>
    <x v="0"/>
    <x v="1"/>
    <x v="0"/>
    <x v="0"/>
    <x v="2"/>
    <x v="0"/>
    <x v="0"/>
    <x v="0"/>
    <x v="0"/>
    <x v="0"/>
    <x v="0"/>
    <s v="81"/>
    <x v="2"/>
    <x v="0"/>
    <x v="0"/>
    <x v="2"/>
    <n v="-577459.32999999996"/>
  </r>
  <r>
    <x v="0"/>
    <x v="0"/>
    <x v="1"/>
    <x v="0"/>
    <x v="0"/>
    <x v="2"/>
    <x v="0"/>
    <x v="0"/>
    <x v="0"/>
    <x v="0"/>
    <x v="0"/>
    <x v="0"/>
    <s v="81"/>
    <x v="2"/>
    <x v="0"/>
    <x v="0"/>
    <x v="8"/>
    <n v="-187641.23"/>
  </r>
  <r>
    <x v="0"/>
    <x v="0"/>
    <x v="1"/>
    <x v="0"/>
    <x v="0"/>
    <x v="2"/>
    <x v="0"/>
    <x v="0"/>
    <x v="0"/>
    <x v="0"/>
    <x v="0"/>
    <x v="0"/>
    <s v="81"/>
    <x v="2"/>
    <x v="0"/>
    <x v="0"/>
    <x v="9"/>
    <n v="-26721.87"/>
  </r>
  <r>
    <x v="0"/>
    <x v="0"/>
    <x v="1"/>
    <x v="0"/>
    <x v="0"/>
    <x v="2"/>
    <x v="0"/>
    <x v="0"/>
    <x v="0"/>
    <x v="0"/>
    <x v="0"/>
    <x v="0"/>
    <s v="81"/>
    <x v="2"/>
    <x v="0"/>
    <x v="0"/>
    <x v="10"/>
    <n v="-93528.62"/>
  </r>
  <r>
    <x v="0"/>
    <x v="0"/>
    <x v="1"/>
    <x v="0"/>
    <x v="0"/>
    <x v="2"/>
    <x v="0"/>
    <x v="0"/>
    <x v="0"/>
    <x v="0"/>
    <x v="0"/>
    <x v="0"/>
    <s v="81"/>
    <x v="2"/>
    <x v="0"/>
    <x v="0"/>
    <x v="11"/>
    <n v="-1790000"/>
  </r>
  <r>
    <x v="0"/>
    <x v="0"/>
    <x v="1"/>
    <x v="0"/>
    <x v="0"/>
    <x v="2"/>
    <x v="0"/>
    <x v="0"/>
    <x v="0"/>
    <x v="0"/>
    <x v="0"/>
    <x v="0"/>
    <s v="81"/>
    <x v="2"/>
    <x v="0"/>
    <x v="0"/>
    <x v="3"/>
    <n v="-16000"/>
  </r>
  <r>
    <x v="0"/>
    <x v="0"/>
    <x v="1"/>
    <x v="0"/>
    <x v="0"/>
    <x v="2"/>
    <x v="0"/>
    <x v="0"/>
    <x v="0"/>
    <x v="0"/>
    <x v="0"/>
    <x v="0"/>
    <s v="81"/>
    <x v="2"/>
    <x v="0"/>
    <x v="0"/>
    <x v="4"/>
    <n v="-375"/>
  </r>
  <r>
    <x v="0"/>
    <x v="0"/>
    <x v="1"/>
    <x v="0"/>
    <x v="0"/>
    <x v="2"/>
    <x v="0"/>
    <x v="0"/>
    <x v="0"/>
    <x v="0"/>
    <x v="0"/>
    <x v="0"/>
    <s v="81"/>
    <x v="2"/>
    <x v="0"/>
    <x v="0"/>
    <x v="7"/>
    <n v="-191300.89"/>
  </r>
  <r>
    <x v="0"/>
    <x v="0"/>
    <x v="1"/>
    <x v="0"/>
    <x v="0"/>
    <x v="2"/>
    <x v="0"/>
    <x v="0"/>
    <x v="0"/>
    <x v="0"/>
    <x v="0"/>
    <x v="0"/>
    <s v="81"/>
    <x v="2"/>
    <x v="0"/>
    <x v="0"/>
    <x v="5"/>
    <n v="-3900"/>
  </r>
  <r>
    <x v="0"/>
    <x v="0"/>
    <x v="1"/>
    <x v="0"/>
    <x v="0"/>
    <x v="2"/>
    <x v="0"/>
    <x v="0"/>
    <x v="0"/>
    <x v="0"/>
    <x v="0"/>
    <x v="0"/>
    <s v="81"/>
    <x v="2"/>
    <x v="0"/>
    <x v="0"/>
    <x v="6"/>
    <n v="-365906.17"/>
  </r>
  <r>
    <x v="0"/>
    <x v="0"/>
    <x v="1"/>
    <x v="0"/>
    <x v="0"/>
    <x v="2"/>
    <x v="0"/>
    <x v="0"/>
    <x v="0"/>
    <x v="0"/>
    <x v="0"/>
    <x v="0"/>
    <s v="81"/>
    <x v="2"/>
    <x v="0"/>
    <x v="0"/>
    <x v="1"/>
    <n v="-473954.61"/>
  </r>
  <r>
    <x v="0"/>
    <x v="0"/>
    <x v="1"/>
    <x v="0"/>
    <x v="0"/>
    <x v="2"/>
    <x v="0"/>
    <x v="0"/>
    <x v="0"/>
    <x v="0"/>
    <x v="0"/>
    <x v="0"/>
    <s v="81"/>
    <x v="2"/>
    <x v="0"/>
    <x v="1"/>
    <x v="0"/>
    <n v="-1294"/>
  </r>
  <r>
    <x v="0"/>
    <x v="0"/>
    <x v="1"/>
    <x v="0"/>
    <x v="0"/>
    <x v="2"/>
    <x v="0"/>
    <x v="0"/>
    <x v="0"/>
    <x v="0"/>
    <x v="0"/>
    <x v="0"/>
    <s v="81"/>
    <x v="2"/>
    <x v="0"/>
    <x v="1"/>
    <x v="2"/>
    <n v="-4794"/>
  </r>
  <r>
    <x v="0"/>
    <x v="0"/>
    <x v="1"/>
    <x v="0"/>
    <x v="0"/>
    <x v="2"/>
    <x v="0"/>
    <x v="0"/>
    <x v="0"/>
    <x v="0"/>
    <x v="0"/>
    <x v="0"/>
    <s v="81"/>
    <x v="2"/>
    <x v="0"/>
    <x v="1"/>
    <x v="8"/>
    <n v="-179329.94"/>
  </r>
  <r>
    <x v="0"/>
    <x v="0"/>
    <x v="1"/>
    <x v="0"/>
    <x v="0"/>
    <x v="2"/>
    <x v="0"/>
    <x v="0"/>
    <x v="0"/>
    <x v="0"/>
    <x v="0"/>
    <x v="0"/>
    <s v="81"/>
    <x v="2"/>
    <x v="0"/>
    <x v="1"/>
    <x v="9"/>
    <n v="-137965"/>
  </r>
  <r>
    <x v="0"/>
    <x v="0"/>
    <x v="1"/>
    <x v="0"/>
    <x v="0"/>
    <x v="2"/>
    <x v="0"/>
    <x v="0"/>
    <x v="0"/>
    <x v="0"/>
    <x v="0"/>
    <x v="0"/>
    <s v="81"/>
    <x v="2"/>
    <x v="0"/>
    <x v="1"/>
    <x v="10"/>
    <n v="-33824"/>
  </r>
  <r>
    <x v="0"/>
    <x v="0"/>
    <x v="1"/>
    <x v="0"/>
    <x v="0"/>
    <x v="2"/>
    <x v="0"/>
    <x v="0"/>
    <x v="0"/>
    <x v="0"/>
    <x v="0"/>
    <x v="0"/>
    <s v="81"/>
    <x v="2"/>
    <x v="0"/>
    <x v="1"/>
    <x v="11"/>
    <n v="-86327"/>
  </r>
  <r>
    <x v="0"/>
    <x v="0"/>
    <x v="1"/>
    <x v="0"/>
    <x v="0"/>
    <x v="2"/>
    <x v="0"/>
    <x v="0"/>
    <x v="0"/>
    <x v="0"/>
    <x v="0"/>
    <x v="0"/>
    <s v="81"/>
    <x v="2"/>
    <x v="0"/>
    <x v="1"/>
    <x v="3"/>
    <n v="-10023"/>
  </r>
  <r>
    <x v="0"/>
    <x v="0"/>
    <x v="1"/>
    <x v="0"/>
    <x v="0"/>
    <x v="2"/>
    <x v="0"/>
    <x v="0"/>
    <x v="0"/>
    <x v="0"/>
    <x v="0"/>
    <x v="0"/>
    <s v="81"/>
    <x v="2"/>
    <x v="0"/>
    <x v="1"/>
    <x v="4"/>
    <n v="-183576.71"/>
  </r>
  <r>
    <x v="0"/>
    <x v="0"/>
    <x v="1"/>
    <x v="0"/>
    <x v="0"/>
    <x v="2"/>
    <x v="0"/>
    <x v="0"/>
    <x v="0"/>
    <x v="0"/>
    <x v="0"/>
    <x v="0"/>
    <s v="81"/>
    <x v="2"/>
    <x v="0"/>
    <x v="1"/>
    <x v="7"/>
    <n v="-4615.13"/>
  </r>
  <r>
    <x v="0"/>
    <x v="0"/>
    <x v="1"/>
    <x v="0"/>
    <x v="0"/>
    <x v="2"/>
    <x v="0"/>
    <x v="0"/>
    <x v="0"/>
    <x v="0"/>
    <x v="0"/>
    <x v="0"/>
    <s v="81"/>
    <x v="2"/>
    <x v="0"/>
    <x v="1"/>
    <x v="5"/>
    <n v="-25073"/>
  </r>
  <r>
    <x v="0"/>
    <x v="0"/>
    <x v="1"/>
    <x v="0"/>
    <x v="0"/>
    <x v="2"/>
    <x v="0"/>
    <x v="0"/>
    <x v="0"/>
    <x v="0"/>
    <x v="0"/>
    <x v="0"/>
    <s v="81"/>
    <x v="2"/>
    <x v="0"/>
    <x v="1"/>
    <x v="6"/>
    <n v="-86768"/>
  </r>
  <r>
    <x v="0"/>
    <x v="0"/>
    <x v="1"/>
    <x v="0"/>
    <x v="0"/>
    <x v="2"/>
    <x v="0"/>
    <x v="0"/>
    <x v="0"/>
    <x v="0"/>
    <x v="0"/>
    <x v="0"/>
    <s v="81"/>
    <x v="2"/>
    <x v="0"/>
    <x v="1"/>
    <x v="1"/>
    <n v="-323412.21000000002"/>
  </r>
  <r>
    <x v="0"/>
    <x v="0"/>
    <x v="1"/>
    <x v="0"/>
    <x v="0"/>
    <x v="2"/>
    <x v="0"/>
    <x v="0"/>
    <x v="0"/>
    <x v="0"/>
    <x v="0"/>
    <x v="0"/>
    <s v="90"/>
    <x v="16"/>
    <x v="0"/>
    <x v="0"/>
    <x v="0"/>
    <n v="-111"/>
  </r>
  <r>
    <x v="0"/>
    <x v="0"/>
    <x v="1"/>
    <x v="0"/>
    <x v="0"/>
    <x v="2"/>
    <x v="0"/>
    <x v="0"/>
    <x v="0"/>
    <x v="0"/>
    <x v="0"/>
    <x v="0"/>
    <s v="90"/>
    <x v="16"/>
    <x v="0"/>
    <x v="0"/>
    <x v="2"/>
    <n v="111"/>
  </r>
  <r>
    <x v="0"/>
    <x v="0"/>
    <x v="1"/>
    <x v="0"/>
    <x v="0"/>
    <x v="2"/>
    <x v="0"/>
    <x v="0"/>
    <x v="0"/>
    <x v="0"/>
    <x v="0"/>
    <x v="0"/>
    <s v="99"/>
    <x v="9"/>
    <x v="0"/>
    <x v="1"/>
    <x v="2"/>
    <n v="915.31"/>
  </r>
  <r>
    <x v="0"/>
    <x v="0"/>
    <x v="1"/>
    <x v="0"/>
    <x v="0"/>
    <x v="2"/>
    <x v="0"/>
    <x v="0"/>
    <x v="0"/>
    <x v="0"/>
    <x v="0"/>
    <x v="0"/>
    <s v="99"/>
    <x v="9"/>
    <x v="0"/>
    <x v="1"/>
    <x v="8"/>
    <n v="-915.31"/>
  </r>
  <r>
    <x v="0"/>
    <x v="0"/>
    <x v="1"/>
    <x v="0"/>
    <x v="0"/>
    <x v="3"/>
    <x v="0"/>
    <x v="0"/>
    <x v="0"/>
    <x v="1"/>
    <x v="1"/>
    <x v="1"/>
    <s v="41"/>
    <x v="4"/>
    <x v="0"/>
    <x v="0"/>
    <x v="3"/>
    <n v="73075.72"/>
  </r>
  <r>
    <x v="0"/>
    <x v="0"/>
    <x v="1"/>
    <x v="0"/>
    <x v="0"/>
    <x v="3"/>
    <x v="0"/>
    <x v="0"/>
    <x v="0"/>
    <x v="1"/>
    <x v="1"/>
    <x v="1"/>
    <s v="41"/>
    <x v="4"/>
    <x v="0"/>
    <x v="0"/>
    <x v="4"/>
    <n v="15368.18"/>
  </r>
  <r>
    <x v="0"/>
    <x v="0"/>
    <x v="1"/>
    <x v="0"/>
    <x v="0"/>
    <x v="3"/>
    <x v="0"/>
    <x v="0"/>
    <x v="0"/>
    <x v="1"/>
    <x v="1"/>
    <x v="1"/>
    <s v="41"/>
    <x v="4"/>
    <x v="0"/>
    <x v="0"/>
    <x v="7"/>
    <n v="-15000"/>
  </r>
  <r>
    <x v="0"/>
    <x v="0"/>
    <x v="1"/>
    <x v="0"/>
    <x v="0"/>
    <x v="3"/>
    <x v="0"/>
    <x v="0"/>
    <x v="0"/>
    <x v="1"/>
    <x v="1"/>
    <x v="1"/>
    <s v="41"/>
    <x v="4"/>
    <x v="0"/>
    <x v="0"/>
    <x v="5"/>
    <n v="11898.32"/>
  </r>
  <r>
    <x v="0"/>
    <x v="0"/>
    <x v="1"/>
    <x v="0"/>
    <x v="0"/>
    <x v="3"/>
    <x v="0"/>
    <x v="0"/>
    <x v="0"/>
    <x v="1"/>
    <x v="1"/>
    <x v="1"/>
    <s v="41"/>
    <x v="4"/>
    <x v="0"/>
    <x v="0"/>
    <x v="6"/>
    <n v="20889.71"/>
  </r>
  <r>
    <x v="0"/>
    <x v="0"/>
    <x v="1"/>
    <x v="0"/>
    <x v="0"/>
    <x v="3"/>
    <x v="0"/>
    <x v="0"/>
    <x v="0"/>
    <x v="1"/>
    <x v="1"/>
    <x v="1"/>
    <s v="41"/>
    <x v="4"/>
    <x v="0"/>
    <x v="0"/>
    <x v="1"/>
    <n v="-167985.08"/>
  </r>
  <r>
    <x v="0"/>
    <x v="0"/>
    <x v="1"/>
    <x v="0"/>
    <x v="0"/>
    <x v="3"/>
    <x v="0"/>
    <x v="0"/>
    <x v="0"/>
    <x v="1"/>
    <x v="1"/>
    <x v="1"/>
    <s v="41"/>
    <x v="4"/>
    <x v="0"/>
    <x v="1"/>
    <x v="0"/>
    <n v="17107.12"/>
  </r>
  <r>
    <x v="0"/>
    <x v="0"/>
    <x v="1"/>
    <x v="0"/>
    <x v="0"/>
    <x v="3"/>
    <x v="0"/>
    <x v="0"/>
    <x v="0"/>
    <x v="1"/>
    <x v="1"/>
    <x v="1"/>
    <s v="41"/>
    <x v="4"/>
    <x v="0"/>
    <x v="1"/>
    <x v="2"/>
    <n v="48224.43"/>
  </r>
  <r>
    <x v="0"/>
    <x v="0"/>
    <x v="1"/>
    <x v="0"/>
    <x v="0"/>
    <x v="3"/>
    <x v="0"/>
    <x v="0"/>
    <x v="0"/>
    <x v="1"/>
    <x v="1"/>
    <x v="1"/>
    <s v="41"/>
    <x v="4"/>
    <x v="0"/>
    <x v="1"/>
    <x v="8"/>
    <n v="200"/>
  </r>
  <r>
    <x v="0"/>
    <x v="0"/>
    <x v="1"/>
    <x v="0"/>
    <x v="0"/>
    <x v="3"/>
    <x v="0"/>
    <x v="0"/>
    <x v="0"/>
    <x v="1"/>
    <x v="1"/>
    <x v="1"/>
    <s v="41"/>
    <x v="4"/>
    <x v="0"/>
    <x v="1"/>
    <x v="9"/>
    <n v="147.72999999999999"/>
  </r>
  <r>
    <x v="0"/>
    <x v="0"/>
    <x v="1"/>
    <x v="0"/>
    <x v="0"/>
    <x v="3"/>
    <x v="0"/>
    <x v="0"/>
    <x v="0"/>
    <x v="1"/>
    <x v="1"/>
    <x v="1"/>
    <s v="41"/>
    <x v="4"/>
    <x v="0"/>
    <x v="1"/>
    <x v="11"/>
    <n v="56000"/>
  </r>
  <r>
    <x v="0"/>
    <x v="0"/>
    <x v="1"/>
    <x v="0"/>
    <x v="0"/>
    <x v="3"/>
    <x v="0"/>
    <x v="0"/>
    <x v="0"/>
    <x v="1"/>
    <x v="1"/>
    <x v="1"/>
    <s v="41"/>
    <x v="4"/>
    <x v="0"/>
    <x v="1"/>
    <x v="3"/>
    <n v="362"/>
  </r>
  <r>
    <x v="0"/>
    <x v="0"/>
    <x v="1"/>
    <x v="0"/>
    <x v="0"/>
    <x v="3"/>
    <x v="0"/>
    <x v="0"/>
    <x v="0"/>
    <x v="1"/>
    <x v="1"/>
    <x v="1"/>
    <s v="41"/>
    <x v="4"/>
    <x v="0"/>
    <x v="1"/>
    <x v="4"/>
    <n v="9000"/>
  </r>
  <r>
    <x v="0"/>
    <x v="0"/>
    <x v="1"/>
    <x v="0"/>
    <x v="0"/>
    <x v="3"/>
    <x v="0"/>
    <x v="0"/>
    <x v="0"/>
    <x v="1"/>
    <x v="1"/>
    <x v="1"/>
    <s v="41"/>
    <x v="4"/>
    <x v="0"/>
    <x v="1"/>
    <x v="7"/>
    <n v="-61224.73"/>
  </r>
  <r>
    <x v="0"/>
    <x v="0"/>
    <x v="1"/>
    <x v="0"/>
    <x v="0"/>
    <x v="3"/>
    <x v="0"/>
    <x v="0"/>
    <x v="0"/>
    <x v="1"/>
    <x v="1"/>
    <x v="1"/>
    <s v="41"/>
    <x v="4"/>
    <x v="0"/>
    <x v="1"/>
    <x v="5"/>
    <n v="71908.539999999994"/>
  </r>
  <r>
    <x v="0"/>
    <x v="0"/>
    <x v="1"/>
    <x v="0"/>
    <x v="0"/>
    <x v="3"/>
    <x v="0"/>
    <x v="0"/>
    <x v="0"/>
    <x v="1"/>
    <x v="1"/>
    <x v="1"/>
    <s v="41"/>
    <x v="4"/>
    <x v="0"/>
    <x v="1"/>
    <x v="6"/>
    <n v="5495.38"/>
  </r>
  <r>
    <x v="0"/>
    <x v="0"/>
    <x v="1"/>
    <x v="0"/>
    <x v="0"/>
    <x v="3"/>
    <x v="0"/>
    <x v="0"/>
    <x v="0"/>
    <x v="1"/>
    <x v="1"/>
    <x v="1"/>
    <s v="41"/>
    <x v="4"/>
    <x v="0"/>
    <x v="1"/>
    <x v="1"/>
    <n v="-147220.47"/>
  </r>
  <r>
    <x v="0"/>
    <x v="0"/>
    <x v="1"/>
    <x v="0"/>
    <x v="0"/>
    <x v="3"/>
    <x v="0"/>
    <x v="0"/>
    <x v="0"/>
    <x v="0"/>
    <x v="0"/>
    <x v="0"/>
    <s v="01"/>
    <x v="19"/>
    <x v="0"/>
    <x v="1"/>
    <x v="1"/>
    <n v="8404"/>
  </r>
  <r>
    <x v="0"/>
    <x v="0"/>
    <x v="1"/>
    <x v="0"/>
    <x v="0"/>
    <x v="3"/>
    <x v="0"/>
    <x v="0"/>
    <x v="0"/>
    <x v="0"/>
    <x v="0"/>
    <x v="0"/>
    <s v="02"/>
    <x v="5"/>
    <x v="0"/>
    <x v="0"/>
    <x v="0"/>
    <n v="948.85"/>
  </r>
  <r>
    <x v="0"/>
    <x v="0"/>
    <x v="1"/>
    <x v="0"/>
    <x v="0"/>
    <x v="3"/>
    <x v="0"/>
    <x v="0"/>
    <x v="0"/>
    <x v="0"/>
    <x v="0"/>
    <x v="0"/>
    <s v="02"/>
    <x v="5"/>
    <x v="0"/>
    <x v="0"/>
    <x v="2"/>
    <n v="5053.25"/>
  </r>
  <r>
    <x v="0"/>
    <x v="0"/>
    <x v="1"/>
    <x v="0"/>
    <x v="0"/>
    <x v="3"/>
    <x v="0"/>
    <x v="0"/>
    <x v="0"/>
    <x v="0"/>
    <x v="0"/>
    <x v="0"/>
    <s v="02"/>
    <x v="5"/>
    <x v="0"/>
    <x v="0"/>
    <x v="8"/>
    <n v="1011.25"/>
  </r>
  <r>
    <x v="0"/>
    <x v="0"/>
    <x v="1"/>
    <x v="0"/>
    <x v="0"/>
    <x v="3"/>
    <x v="0"/>
    <x v="0"/>
    <x v="0"/>
    <x v="0"/>
    <x v="0"/>
    <x v="0"/>
    <s v="02"/>
    <x v="5"/>
    <x v="0"/>
    <x v="0"/>
    <x v="9"/>
    <n v="2267.9499999999998"/>
  </r>
  <r>
    <x v="0"/>
    <x v="0"/>
    <x v="1"/>
    <x v="0"/>
    <x v="0"/>
    <x v="3"/>
    <x v="0"/>
    <x v="0"/>
    <x v="0"/>
    <x v="0"/>
    <x v="0"/>
    <x v="0"/>
    <s v="02"/>
    <x v="5"/>
    <x v="0"/>
    <x v="0"/>
    <x v="10"/>
    <n v="-499.95"/>
  </r>
  <r>
    <x v="0"/>
    <x v="0"/>
    <x v="1"/>
    <x v="0"/>
    <x v="0"/>
    <x v="3"/>
    <x v="0"/>
    <x v="0"/>
    <x v="0"/>
    <x v="0"/>
    <x v="0"/>
    <x v="0"/>
    <s v="02"/>
    <x v="5"/>
    <x v="0"/>
    <x v="0"/>
    <x v="11"/>
    <n v="1575.65"/>
  </r>
  <r>
    <x v="0"/>
    <x v="0"/>
    <x v="1"/>
    <x v="0"/>
    <x v="0"/>
    <x v="3"/>
    <x v="0"/>
    <x v="0"/>
    <x v="0"/>
    <x v="0"/>
    <x v="0"/>
    <x v="0"/>
    <s v="02"/>
    <x v="5"/>
    <x v="0"/>
    <x v="0"/>
    <x v="3"/>
    <n v="1237.3499999999999"/>
  </r>
  <r>
    <x v="0"/>
    <x v="0"/>
    <x v="1"/>
    <x v="0"/>
    <x v="0"/>
    <x v="3"/>
    <x v="0"/>
    <x v="0"/>
    <x v="0"/>
    <x v="0"/>
    <x v="0"/>
    <x v="0"/>
    <s v="02"/>
    <x v="5"/>
    <x v="0"/>
    <x v="0"/>
    <x v="4"/>
    <n v="985.25"/>
  </r>
  <r>
    <x v="0"/>
    <x v="0"/>
    <x v="1"/>
    <x v="0"/>
    <x v="0"/>
    <x v="3"/>
    <x v="0"/>
    <x v="0"/>
    <x v="0"/>
    <x v="0"/>
    <x v="0"/>
    <x v="0"/>
    <s v="02"/>
    <x v="5"/>
    <x v="0"/>
    <x v="0"/>
    <x v="7"/>
    <n v="1351.95"/>
  </r>
  <r>
    <x v="0"/>
    <x v="0"/>
    <x v="1"/>
    <x v="0"/>
    <x v="0"/>
    <x v="3"/>
    <x v="0"/>
    <x v="0"/>
    <x v="0"/>
    <x v="0"/>
    <x v="0"/>
    <x v="0"/>
    <s v="02"/>
    <x v="5"/>
    <x v="0"/>
    <x v="0"/>
    <x v="5"/>
    <n v="943.15"/>
  </r>
  <r>
    <x v="0"/>
    <x v="0"/>
    <x v="1"/>
    <x v="0"/>
    <x v="0"/>
    <x v="3"/>
    <x v="0"/>
    <x v="0"/>
    <x v="0"/>
    <x v="0"/>
    <x v="0"/>
    <x v="0"/>
    <s v="02"/>
    <x v="5"/>
    <x v="0"/>
    <x v="0"/>
    <x v="6"/>
    <n v="1055.25"/>
  </r>
  <r>
    <x v="0"/>
    <x v="0"/>
    <x v="1"/>
    <x v="0"/>
    <x v="0"/>
    <x v="3"/>
    <x v="0"/>
    <x v="0"/>
    <x v="0"/>
    <x v="0"/>
    <x v="0"/>
    <x v="0"/>
    <s v="02"/>
    <x v="5"/>
    <x v="0"/>
    <x v="0"/>
    <x v="1"/>
    <n v="-16074.95"/>
  </r>
  <r>
    <x v="0"/>
    <x v="0"/>
    <x v="1"/>
    <x v="0"/>
    <x v="0"/>
    <x v="3"/>
    <x v="0"/>
    <x v="0"/>
    <x v="0"/>
    <x v="0"/>
    <x v="0"/>
    <x v="0"/>
    <s v="02"/>
    <x v="5"/>
    <x v="0"/>
    <x v="1"/>
    <x v="0"/>
    <n v="913.85"/>
  </r>
  <r>
    <x v="0"/>
    <x v="0"/>
    <x v="1"/>
    <x v="0"/>
    <x v="0"/>
    <x v="3"/>
    <x v="0"/>
    <x v="0"/>
    <x v="0"/>
    <x v="0"/>
    <x v="0"/>
    <x v="0"/>
    <s v="02"/>
    <x v="5"/>
    <x v="0"/>
    <x v="1"/>
    <x v="2"/>
    <n v="919.05"/>
  </r>
  <r>
    <x v="0"/>
    <x v="0"/>
    <x v="1"/>
    <x v="0"/>
    <x v="0"/>
    <x v="3"/>
    <x v="0"/>
    <x v="0"/>
    <x v="0"/>
    <x v="0"/>
    <x v="0"/>
    <x v="0"/>
    <s v="02"/>
    <x v="5"/>
    <x v="0"/>
    <x v="1"/>
    <x v="8"/>
    <n v="319.05"/>
  </r>
  <r>
    <x v="0"/>
    <x v="0"/>
    <x v="1"/>
    <x v="0"/>
    <x v="0"/>
    <x v="3"/>
    <x v="0"/>
    <x v="0"/>
    <x v="0"/>
    <x v="0"/>
    <x v="0"/>
    <x v="0"/>
    <s v="02"/>
    <x v="5"/>
    <x v="0"/>
    <x v="1"/>
    <x v="9"/>
    <n v="1510.68"/>
  </r>
  <r>
    <x v="0"/>
    <x v="0"/>
    <x v="1"/>
    <x v="0"/>
    <x v="0"/>
    <x v="3"/>
    <x v="0"/>
    <x v="0"/>
    <x v="0"/>
    <x v="0"/>
    <x v="0"/>
    <x v="0"/>
    <s v="02"/>
    <x v="5"/>
    <x v="0"/>
    <x v="1"/>
    <x v="10"/>
    <n v="4396.91"/>
  </r>
  <r>
    <x v="0"/>
    <x v="0"/>
    <x v="1"/>
    <x v="0"/>
    <x v="0"/>
    <x v="3"/>
    <x v="0"/>
    <x v="0"/>
    <x v="0"/>
    <x v="0"/>
    <x v="0"/>
    <x v="0"/>
    <s v="02"/>
    <x v="5"/>
    <x v="0"/>
    <x v="1"/>
    <x v="11"/>
    <n v="10810.91"/>
  </r>
  <r>
    <x v="0"/>
    <x v="0"/>
    <x v="1"/>
    <x v="0"/>
    <x v="0"/>
    <x v="3"/>
    <x v="0"/>
    <x v="0"/>
    <x v="0"/>
    <x v="0"/>
    <x v="0"/>
    <x v="0"/>
    <s v="02"/>
    <x v="5"/>
    <x v="0"/>
    <x v="1"/>
    <x v="3"/>
    <n v="-6951.76"/>
  </r>
  <r>
    <x v="0"/>
    <x v="0"/>
    <x v="1"/>
    <x v="0"/>
    <x v="0"/>
    <x v="3"/>
    <x v="0"/>
    <x v="0"/>
    <x v="0"/>
    <x v="0"/>
    <x v="0"/>
    <x v="0"/>
    <s v="02"/>
    <x v="5"/>
    <x v="0"/>
    <x v="1"/>
    <x v="4"/>
    <n v="5422.62"/>
  </r>
  <r>
    <x v="0"/>
    <x v="0"/>
    <x v="1"/>
    <x v="0"/>
    <x v="0"/>
    <x v="3"/>
    <x v="0"/>
    <x v="0"/>
    <x v="0"/>
    <x v="0"/>
    <x v="0"/>
    <x v="0"/>
    <s v="02"/>
    <x v="5"/>
    <x v="0"/>
    <x v="1"/>
    <x v="7"/>
    <n v="1047.9100000000001"/>
  </r>
  <r>
    <x v="0"/>
    <x v="0"/>
    <x v="1"/>
    <x v="0"/>
    <x v="0"/>
    <x v="3"/>
    <x v="0"/>
    <x v="0"/>
    <x v="0"/>
    <x v="0"/>
    <x v="0"/>
    <x v="0"/>
    <s v="02"/>
    <x v="5"/>
    <x v="0"/>
    <x v="1"/>
    <x v="5"/>
    <n v="1180.55"/>
  </r>
  <r>
    <x v="0"/>
    <x v="0"/>
    <x v="1"/>
    <x v="0"/>
    <x v="0"/>
    <x v="3"/>
    <x v="0"/>
    <x v="0"/>
    <x v="0"/>
    <x v="0"/>
    <x v="0"/>
    <x v="0"/>
    <s v="02"/>
    <x v="5"/>
    <x v="0"/>
    <x v="1"/>
    <x v="6"/>
    <n v="1656.91"/>
  </r>
  <r>
    <x v="0"/>
    <x v="0"/>
    <x v="1"/>
    <x v="0"/>
    <x v="0"/>
    <x v="3"/>
    <x v="0"/>
    <x v="0"/>
    <x v="0"/>
    <x v="0"/>
    <x v="0"/>
    <x v="0"/>
    <s v="02"/>
    <x v="5"/>
    <x v="0"/>
    <x v="1"/>
    <x v="1"/>
    <n v="-21226.68"/>
  </r>
  <r>
    <x v="0"/>
    <x v="0"/>
    <x v="1"/>
    <x v="0"/>
    <x v="0"/>
    <x v="3"/>
    <x v="0"/>
    <x v="0"/>
    <x v="0"/>
    <x v="0"/>
    <x v="0"/>
    <x v="0"/>
    <s v="05"/>
    <x v="6"/>
    <x v="0"/>
    <x v="0"/>
    <x v="9"/>
    <n v="210.48"/>
  </r>
  <r>
    <x v="0"/>
    <x v="0"/>
    <x v="1"/>
    <x v="0"/>
    <x v="0"/>
    <x v="3"/>
    <x v="0"/>
    <x v="0"/>
    <x v="0"/>
    <x v="0"/>
    <x v="0"/>
    <x v="0"/>
    <s v="05"/>
    <x v="6"/>
    <x v="0"/>
    <x v="0"/>
    <x v="10"/>
    <n v="30"/>
  </r>
  <r>
    <x v="0"/>
    <x v="0"/>
    <x v="1"/>
    <x v="0"/>
    <x v="0"/>
    <x v="3"/>
    <x v="0"/>
    <x v="0"/>
    <x v="0"/>
    <x v="0"/>
    <x v="0"/>
    <x v="0"/>
    <s v="05"/>
    <x v="6"/>
    <x v="0"/>
    <x v="0"/>
    <x v="11"/>
    <n v="110.95"/>
  </r>
  <r>
    <x v="0"/>
    <x v="0"/>
    <x v="1"/>
    <x v="0"/>
    <x v="0"/>
    <x v="3"/>
    <x v="0"/>
    <x v="0"/>
    <x v="0"/>
    <x v="0"/>
    <x v="0"/>
    <x v="0"/>
    <s v="05"/>
    <x v="6"/>
    <x v="0"/>
    <x v="0"/>
    <x v="3"/>
    <n v="507.5"/>
  </r>
  <r>
    <x v="0"/>
    <x v="0"/>
    <x v="1"/>
    <x v="0"/>
    <x v="0"/>
    <x v="3"/>
    <x v="0"/>
    <x v="0"/>
    <x v="0"/>
    <x v="0"/>
    <x v="0"/>
    <x v="0"/>
    <s v="05"/>
    <x v="6"/>
    <x v="0"/>
    <x v="0"/>
    <x v="4"/>
    <n v="601.5"/>
  </r>
  <r>
    <x v="0"/>
    <x v="0"/>
    <x v="1"/>
    <x v="0"/>
    <x v="0"/>
    <x v="3"/>
    <x v="0"/>
    <x v="0"/>
    <x v="0"/>
    <x v="0"/>
    <x v="0"/>
    <x v="0"/>
    <s v="05"/>
    <x v="6"/>
    <x v="0"/>
    <x v="0"/>
    <x v="7"/>
    <n v="179.92"/>
  </r>
  <r>
    <x v="0"/>
    <x v="0"/>
    <x v="1"/>
    <x v="0"/>
    <x v="0"/>
    <x v="3"/>
    <x v="0"/>
    <x v="0"/>
    <x v="0"/>
    <x v="0"/>
    <x v="0"/>
    <x v="0"/>
    <s v="05"/>
    <x v="6"/>
    <x v="0"/>
    <x v="0"/>
    <x v="5"/>
    <n v="1225.1500000000001"/>
  </r>
  <r>
    <x v="0"/>
    <x v="0"/>
    <x v="1"/>
    <x v="0"/>
    <x v="0"/>
    <x v="3"/>
    <x v="0"/>
    <x v="0"/>
    <x v="0"/>
    <x v="0"/>
    <x v="0"/>
    <x v="0"/>
    <s v="05"/>
    <x v="6"/>
    <x v="0"/>
    <x v="0"/>
    <x v="6"/>
    <n v="258.25"/>
  </r>
  <r>
    <x v="0"/>
    <x v="0"/>
    <x v="1"/>
    <x v="0"/>
    <x v="0"/>
    <x v="3"/>
    <x v="0"/>
    <x v="0"/>
    <x v="0"/>
    <x v="0"/>
    <x v="0"/>
    <x v="0"/>
    <s v="05"/>
    <x v="6"/>
    <x v="0"/>
    <x v="0"/>
    <x v="1"/>
    <n v="-3123.75"/>
  </r>
  <r>
    <x v="0"/>
    <x v="0"/>
    <x v="1"/>
    <x v="0"/>
    <x v="0"/>
    <x v="3"/>
    <x v="0"/>
    <x v="0"/>
    <x v="0"/>
    <x v="0"/>
    <x v="0"/>
    <x v="0"/>
    <s v="05"/>
    <x v="6"/>
    <x v="0"/>
    <x v="1"/>
    <x v="0"/>
    <n v="110.73"/>
  </r>
  <r>
    <x v="0"/>
    <x v="0"/>
    <x v="1"/>
    <x v="0"/>
    <x v="0"/>
    <x v="3"/>
    <x v="0"/>
    <x v="0"/>
    <x v="0"/>
    <x v="0"/>
    <x v="0"/>
    <x v="0"/>
    <s v="05"/>
    <x v="6"/>
    <x v="0"/>
    <x v="1"/>
    <x v="2"/>
    <n v="136.18"/>
  </r>
  <r>
    <x v="0"/>
    <x v="0"/>
    <x v="1"/>
    <x v="0"/>
    <x v="0"/>
    <x v="3"/>
    <x v="0"/>
    <x v="0"/>
    <x v="0"/>
    <x v="0"/>
    <x v="0"/>
    <x v="0"/>
    <s v="05"/>
    <x v="6"/>
    <x v="0"/>
    <x v="1"/>
    <x v="8"/>
    <n v="39.950000000000003"/>
  </r>
  <r>
    <x v="0"/>
    <x v="0"/>
    <x v="1"/>
    <x v="0"/>
    <x v="0"/>
    <x v="3"/>
    <x v="0"/>
    <x v="0"/>
    <x v="0"/>
    <x v="0"/>
    <x v="0"/>
    <x v="0"/>
    <s v="05"/>
    <x v="6"/>
    <x v="0"/>
    <x v="1"/>
    <x v="9"/>
    <n v="30.05"/>
  </r>
  <r>
    <x v="0"/>
    <x v="0"/>
    <x v="1"/>
    <x v="0"/>
    <x v="0"/>
    <x v="3"/>
    <x v="0"/>
    <x v="0"/>
    <x v="0"/>
    <x v="0"/>
    <x v="0"/>
    <x v="0"/>
    <s v="05"/>
    <x v="6"/>
    <x v="0"/>
    <x v="1"/>
    <x v="11"/>
    <n v="30"/>
  </r>
  <r>
    <x v="0"/>
    <x v="0"/>
    <x v="1"/>
    <x v="0"/>
    <x v="0"/>
    <x v="3"/>
    <x v="0"/>
    <x v="0"/>
    <x v="0"/>
    <x v="0"/>
    <x v="0"/>
    <x v="0"/>
    <s v="05"/>
    <x v="6"/>
    <x v="0"/>
    <x v="1"/>
    <x v="3"/>
    <n v="48"/>
  </r>
  <r>
    <x v="0"/>
    <x v="0"/>
    <x v="1"/>
    <x v="0"/>
    <x v="0"/>
    <x v="3"/>
    <x v="0"/>
    <x v="0"/>
    <x v="0"/>
    <x v="0"/>
    <x v="0"/>
    <x v="0"/>
    <s v="05"/>
    <x v="6"/>
    <x v="0"/>
    <x v="1"/>
    <x v="4"/>
    <n v="30"/>
  </r>
  <r>
    <x v="0"/>
    <x v="0"/>
    <x v="1"/>
    <x v="0"/>
    <x v="0"/>
    <x v="3"/>
    <x v="0"/>
    <x v="0"/>
    <x v="0"/>
    <x v="0"/>
    <x v="0"/>
    <x v="0"/>
    <s v="05"/>
    <x v="6"/>
    <x v="0"/>
    <x v="1"/>
    <x v="7"/>
    <n v="66"/>
  </r>
  <r>
    <x v="0"/>
    <x v="0"/>
    <x v="1"/>
    <x v="0"/>
    <x v="0"/>
    <x v="3"/>
    <x v="0"/>
    <x v="0"/>
    <x v="0"/>
    <x v="0"/>
    <x v="0"/>
    <x v="0"/>
    <s v="05"/>
    <x v="6"/>
    <x v="0"/>
    <x v="1"/>
    <x v="5"/>
    <n v="49"/>
  </r>
  <r>
    <x v="0"/>
    <x v="0"/>
    <x v="1"/>
    <x v="0"/>
    <x v="0"/>
    <x v="3"/>
    <x v="0"/>
    <x v="0"/>
    <x v="0"/>
    <x v="0"/>
    <x v="0"/>
    <x v="0"/>
    <s v="05"/>
    <x v="6"/>
    <x v="0"/>
    <x v="1"/>
    <x v="6"/>
    <n v="39.950000000000003"/>
  </r>
  <r>
    <x v="0"/>
    <x v="0"/>
    <x v="1"/>
    <x v="0"/>
    <x v="0"/>
    <x v="3"/>
    <x v="0"/>
    <x v="0"/>
    <x v="0"/>
    <x v="0"/>
    <x v="0"/>
    <x v="0"/>
    <s v="05"/>
    <x v="6"/>
    <x v="0"/>
    <x v="1"/>
    <x v="1"/>
    <n v="-579.86"/>
  </r>
  <r>
    <x v="0"/>
    <x v="0"/>
    <x v="1"/>
    <x v="0"/>
    <x v="0"/>
    <x v="3"/>
    <x v="0"/>
    <x v="0"/>
    <x v="0"/>
    <x v="0"/>
    <x v="0"/>
    <x v="0"/>
    <s v="09"/>
    <x v="0"/>
    <x v="0"/>
    <x v="0"/>
    <x v="0"/>
    <n v="54709.11"/>
  </r>
  <r>
    <x v="0"/>
    <x v="0"/>
    <x v="1"/>
    <x v="0"/>
    <x v="0"/>
    <x v="3"/>
    <x v="0"/>
    <x v="0"/>
    <x v="0"/>
    <x v="0"/>
    <x v="0"/>
    <x v="0"/>
    <s v="09"/>
    <x v="0"/>
    <x v="0"/>
    <x v="0"/>
    <x v="2"/>
    <n v="79752.61"/>
  </r>
  <r>
    <x v="0"/>
    <x v="0"/>
    <x v="1"/>
    <x v="0"/>
    <x v="0"/>
    <x v="3"/>
    <x v="0"/>
    <x v="0"/>
    <x v="0"/>
    <x v="0"/>
    <x v="0"/>
    <x v="0"/>
    <s v="09"/>
    <x v="0"/>
    <x v="0"/>
    <x v="0"/>
    <x v="8"/>
    <n v="80831.48"/>
  </r>
  <r>
    <x v="0"/>
    <x v="0"/>
    <x v="1"/>
    <x v="0"/>
    <x v="0"/>
    <x v="3"/>
    <x v="0"/>
    <x v="0"/>
    <x v="0"/>
    <x v="0"/>
    <x v="0"/>
    <x v="0"/>
    <s v="09"/>
    <x v="0"/>
    <x v="0"/>
    <x v="0"/>
    <x v="9"/>
    <n v="173731.74"/>
  </r>
  <r>
    <x v="0"/>
    <x v="0"/>
    <x v="1"/>
    <x v="0"/>
    <x v="0"/>
    <x v="3"/>
    <x v="0"/>
    <x v="0"/>
    <x v="0"/>
    <x v="0"/>
    <x v="0"/>
    <x v="0"/>
    <s v="09"/>
    <x v="0"/>
    <x v="0"/>
    <x v="0"/>
    <x v="10"/>
    <n v="163847.21"/>
  </r>
  <r>
    <x v="0"/>
    <x v="0"/>
    <x v="1"/>
    <x v="0"/>
    <x v="0"/>
    <x v="3"/>
    <x v="0"/>
    <x v="0"/>
    <x v="0"/>
    <x v="0"/>
    <x v="0"/>
    <x v="0"/>
    <s v="09"/>
    <x v="0"/>
    <x v="0"/>
    <x v="0"/>
    <x v="11"/>
    <n v="60814.400000000001"/>
  </r>
  <r>
    <x v="0"/>
    <x v="0"/>
    <x v="1"/>
    <x v="0"/>
    <x v="0"/>
    <x v="3"/>
    <x v="0"/>
    <x v="0"/>
    <x v="0"/>
    <x v="0"/>
    <x v="0"/>
    <x v="0"/>
    <s v="09"/>
    <x v="0"/>
    <x v="0"/>
    <x v="0"/>
    <x v="3"/>
    <n v="302981.08"/>
  </r>
  <r>
    <x v="0"/>
    <x v="0"/>
    <x v="1"/>
    <x v="0"/>
    <x v="0"/>
    <x v="3"/>
    <x v="0"/>
    <x v="0"/>
    <x v="0"/>
    <x v="0"/>
    <x v="0"/>
    <x v="0"/>
    <s v="09"/>
    <x v="0"/>
    <x v="0"/>
    <x v="0"/>
    <x v="4"/>
    <n v="200217.82"/>
  </r>
  <r>
    <x v="0"/>
    <x v="0"/>
    <x v="1"/>
    <x v="0"/>
    <x v="0"/>
    <x v="3"/>
    <x v="0"/>
    <x v="0"/>
    <x v="0"/>
    <x v="0"/>
    <x v="0"/>
    <x v="0"/>
    <s v="09"/>
    <x v="0"/>
    <x v="0"/>
    <x v="0"/>
    <x v="7"/>
    <n v="114906.41"/>
  </r>
  <r>
    <x v="0"/>
    <x v="0"/>
    <x v="1"/>
    <x v="0"/>
    <x v="0"/>
    <x v="3"/>
    <x v="0"/>
    <x v="0"/>
    <x v="0"/>
    <x v="0"/>
    <x v="0"/>
    <x v="0"/>
    <s v="09"/>
    <x v="0"/>
    <x v="0"/>
    <x v="0"/>
    <x v="5"/>
    <n v="319516.15000000002"/>
  </r>
  <r>
    <x v="0"/>
    <x v="0"/>
    <x v="1"/>
    <x v="0"/>
    <x v="0"/>
    <x v="3"/>
    <x v="0"/>
    <x v="0"/>
    <x v="0"/>
    <x v="0"/>
    <x v="0"/>
    <x v="0"/>
    <s v="09"/>
    <x v="0"/>
    <x v="0"/>
    <x v="0"/>
    <x v="6"/>
    <n v="149465.67000000001"/>
  </r>
  <r>
    <x v="0"/>
    <x v="0"/>
    <x v="1"/>
    <x v="0"/>
    <x v="0"/>
    <x v="3"/>
    <x v="0"/>
    <x v="0"/>
    <x v="0"/>
    <x v="0"/>
    <x v="0"/>
    <x v="0"/>
    <s v="09"/>
    <x v="0"/>
    <x v="0"/>
    <x v="0"/>
    <x v="1"/>
    <n v="691934.21"/>
  </r>
  <r>
    <x v="0"/>
    <x v="0"/>
    <x v="1"/>
    <x v="0"/>
    <x v="0"/>
    <x v="3"/>
    <x v="0"/>
    <x v="0"/>
    <x v="0"/>
    <x v="0"/>
    <x v="0"/>
    <x v="0"/>
    <s v="09"/>
    <x v="0"/>
    <x v="0"/>
    <x v="1"/>
    <x v="0"/>
    <n v="31630.880000000001"/>
  </r>
  <r>
    <x v="0"/>
    <x v="0"/>
    <x v="1"/>
    <x v="0"/>
    <x v="0"/>
    <x v="3"/>
    <x v="0"/>
    <x v="0"/>
    <x v="0"/>
    <x v="0"/>
    <x v="0"/>
    <x v="0"/>
    <s v="09"/>
    <x v="0"/>
    <x v="0"/>
    <x v="1"/>
    <x v="2"/>
    <n v="92615.039999999994"/>
  </r>
  <r>
    <x v="0"/>
    <x v="0"/>
    <x v="1"/>
    <x v="0"/>
    <x v="0"/>
    <x v="3"/>
    <x v="0"/>
    <x v="0"/>
    <x v="0"/>
    <x v="0"/>
    <x v="0"/>
    <x v="0"/>
    <s v="09"/>
    <x v="0"/>
    <x v="0"/>
    <x v="1"/>
    <x v="8"/>
    <n v="97163"/>
  </r>
  <r>
    <x v="0"/>
    <x v="0"/>
    <x v="1"/>
    <x v="0"/>
    <x v="0"/>
    <x v="3"/>
    <x v="0"/>
    <x v="0"/>
    <x v="0"/>
    <x v="0"/>
    <x v="0"/>
    <x v="0"/>
    <s v="09"/>
    <x v="0"/>
    <x v="0"/>
    <x v="1"/>
    <x v="9"/>
    <n v="222912.26"/>
  </r>
  <r>
    <x v="0"/>
    <x v="0"/>
    <x v="1"/>
    <x v="0"/>
    <x v="0"/>
    <x v="3"/>
    <x v="0"/>
    <x v="0"/>
    <x v="0"/>
    <x v="0"/>
    <x v="0"/>
    <x v="0"/>
    <s v="09"/>
    <x v="0"/>
    <x v="0"/>
    <x v="1"/>
    <x v="10"/>
    <n v="106115.99"/>
  </r>
  <r>
    <x v="0"/>
    <x v="0"/>
    <x v="1"/>
    <x v="0"/>
    <x v="0"/>
    <x v="3"/>
    <x v="0"/>
    <x v="0"/>
    <x v="0"/>
    <x v="0"/>
    <x v="0"/>
    <x v="0"/>
    <s v="09"/>
    <x v="0"/>
    <x v="0"/>
    <x v="1"/>
    <x v="11"/>
    <n v="153341.82999999999"/>
  </r>
  <r>
    <x v="0"/>
    <x v="0"/>
    <x v="1"/>
    <x v="0"/>
    <x v="0"/>
    <x v="3"/>
    <x v="0"/>
    <x v="0"/>
    <x v="0"/>
    <x v="0"/>
    <x v="0"/>
    <x v="0"/>
    <s v="09"/>
    <x v="0"/>
    <x v="0"/>
    <x v="1"/>
    <x v="3"/>
    <n v="284313.57"/>
  </r>
  <r>
    <x v="0"/>
    <x v="0"/>
    <x v="1"/>
    <x v="0"/>
    <x v="0"/>
    <x v="3"/>
    <x v="0"/>
    <x v="0"/>
    <x v="0"/>
    <x v="0"/>
    <x v="0"/>
    <x v="0"/>
    <s v="09"/>
    <x v="0"/>
    <x v="0"/>
    <x v="1"/>
    <x v="4"/>
    <n v="252484.4"/>
  </r>
  <r>
    <x v="0"/>
    <x v="0"/>
    <x v="1"/>
    <x v="0"/>
    <x v="0"/>
    <x v="3"/>
    <x v="0"/>
    <x v="0"/>
    <x v="0"/>
    <x v="0"/>
    <x v="0"/>
    <x v="0"/>
    <s v="09"/>
    <x v="0"/>
    <x v="0"/>
    <x v="1"/>
    <x v="7"/>
    <n v="233970.76"/>
  </r>
  <r>
    <x v="0"/>
    <x v="0"/>
    <x v="1"/>
    <x v="0"/>
    <x v="0"/>
    <x v="3"/>
    <x v="0"/>
    <x v="0"/>
    <x v="0"/>
    <x v="0"/>
    <x v="0"/>
    <x v="0"/>
    <s v="09"/>
    <x v="0"/>
    <x v="0"/>
    <x v="1"/>
    <x v="5"/>
    <n v="191357.14"/>
  </r>
  <r>
    <x v="0"/>
    <x v="0"/>
    <x v="1"/>
    <x v="0"/>
    <x v="0"/>
    <x v="3"/>
    <x v="0"/>
    <x v="0"/>
    <x v="0"/>
    <x v="0"/>
    <x v="0"/>
    <x v="0"/>
    <s v="09"/>
    <x v="0"/>
    <x v="0"/>
    <x v="1"/>
    <x v="6"/>
    <n v="318865.18"/>
  </r>
  <r>
    <x v="0"/>
    <x v="0"/>
    <x v="1"/>
    <x v="0"/>
    <x v="0"/>
    <x v="3"/>
    <x v="0"/>
    <x v="0"/>
    <x v="0"/>
    <x v="0"/>
    <x v="0"/>
    <x v="0"/>
    <s v="09"/>
    <x v="0"/>
    <x v="0"/>
    <x v="1"/>
    <x v="1"/>
    <n v="1022074.87"/>
  </r>
  <r>
    <x v="0"/>
    <x v="0"/>
    <x v="1"/>
    <x v="0"/>
    <x v="0"/>
    <x v="3"/>
    <x v="0"/>
    <x v="0"/>
    <x v="0"/>
    <x v="0"/>
    <x v="0"/>
    <x v="0"/>
    <s v="16"/>
    <x v="20"/>
    <x v="0"/>
    <x v="0"/>
    <x v="0"/>
    <n v="373.36"/>
  </r>
  <r>
    <x v="0"/>
    <x v="0"/>
    <x v="1"/>
    <x v="0"/>
    <x v="0"/>
    <x v="3"/>
    <x v="0"/>
    <x v="0"/>
    <x v="0"/>
    <x v="0"/>
    <x v="0"/>
    <x v="0"/>
    <s v="16"/>
    <x v="20"/>
    <x v="0"/>
    <x v="0"/>
    <x v="9"/>
    <n v="2808"/>
  </r>
  <r>
    <x v="0"/>
    <x v="0"/>
    <x v="1"/>
    <x v="0"/>
    <x v="0"/>
    <x v="3"/>
    <x v="0"/>
    <x v="0"/>
    <x v="0"/>
    <x v="0"/>
    <x v="0"/>
    <x v="0"/>
    <s v="16"/>
    <x v="20"/>
    <x v="0"/>
    <x v="0"/>
    <x v="6"/>
    <n v="217.78"/>
  </r>
  <r>
    <x v="0"/>
    <x v="0"/>
    <x v="1"/>
    <x v="0"/>
    <x v="0"/>
    <x v="3"/>
    <x v="0"/>
    <x v="0"/>
    <x v="0"/>
    <x v="0"/>
    <x v="0"/>
    <x v="0"/>
    <s v="16"/>
    <x v="20"/>
    <x v="0"/>
    <x v="0"/>
    <x v="1"/>
    <n v="-3399.14"/>
  </r>
  <r>
    <x v="0"/>
    <x v="0"/>
    <x v="1"/>
    <x v="0"/>
    <x v="0"/>
    <x v="3"/>
    <x v="0"/>
    <x v="0"/>
    <x v="0"/>
    <x v="0"/>
    <x v="0"/>
    <x v="0"/>
    <s v="20"/>
    <x v="7"/>
    <x v="0"/>
    <x v="0"/>
    <x v="3"/>
    <n v="125"/>
  </r>
  <r>
    <x v="0"/>
    <x v="0"/>
    <x v="1"/>
    <x v="0"/>
    <x v="0"/>
    <x v="3"/>
    <x v="0"/>
    <x v="0"/>
    <x v="0"/>
    <x v="0"/>
    <x v="0"/>
    <x v="0"/>
    <s v="20"/>
    <x v="7"/>
    <x v="0"/>
    <x v="0"/>
    <x v="7"/>
    <n v="-145"/>
  </r>
  <r>
    <x v="0"/>
    <x v="0"/>
    <x v="1"/>
    <x v="0"/>
    <x v="0"/>
    <x v="3"/>
    <x v="0"/>
    <x v="0"/>
    <x v="0"/>
    <x v="0"/>
    <x v="0"/>
    <x v="0"/>
    <s v="20"/>
    <x v="7"/>
    <x v="0"/>
    <x v="0"/>
    <x v="5"/>
    <n v="135"/>
  </r>
  <r>
    <x v="0"/>
    <x v="0"/>
    <x v="1"/>
    <x v="0"/>
    <x v="0"/>
    <x v="3"/>
    <x v="0"/>
    <x v="0"/>
    <x v="0"/>
    <x v="0"/>
    <x v="0"/>
    <x v="0"/>
    <s v="20"/>
    <x v="7"/>
    <x v="0"/>
    <x v="0"/>
    <x v="6"/>
    <n v="115"/>
  </r>
  <r>
    <x v="0"/>
    <x v="0"/>
    <x v="1"/>
    <x v="0"/>
    <x v="0"/>
    <x v="3"/>
    <x v="0"/>
    <x v="0"/>
    <x v="0"/>
    <x v="0"/>
    <x v="0"/>
    <x v="0"/>
    <s v="20"/>
    <x v="7"/>
    <x v="0"/>
    <x v="0"/>
    <x v="1"/>
    <n v="-260"/>
  </r>
  <r>
    <x v="0"/>
    <x v="0"/>
    <x v="1"/>
    <x v="0"/>
    <x v="0"/>
    <x v="3"/>
    <x v="0"/>
    <x v="0"/>
    <x v="0"/>
    <x v="0"/>
    <x v="0"/>
    <x v="0"/>
    <s v="20"/>
    <x v="7"/>
    <x v="0"/>
    <x v="1"/>
    <x v="10"/>
    <n v="46"/>
  </r>
  <r>
    <x v="0"/>
    <x v="0"/>
    <x v="1"/>
    <x v="0"/>
    <x v="0"/>
    <x v="3"/>
    <x v="0"/>
    <x v="0"/>
    <x v="0"/>
    <x v="0"/>
    <x v="0"/>
    <x v="0"/>
    <s v="20"/>
    <x v="7"/>
    <x v="0"/>
    <x v="1"/>
    <x v="7"/>
    <n v="-46"/>
  </r>
  <r>
    <x v="0"/>
    <x v="0"/>
    <x v="1"/>
    <x v="0"/>
    <x v="0"/>
    <x v="3"/>
    <x v="0"/>
    <x v="0"/>
    <x v="0"/>
    <x v="0"/>
    <x v="0"/>
    <x v="0"/>
    <s v="20"/>
    <x v="7"/>
    <x v="0"/>
    <x v="1"/>
    <x v="5"/>
    <n v="2107.09"/>
  </r>
  <r>
    <x v="0"/>
    <x v="0"/>
    <x v="1"/>
    <x v="0"/>
    <x v="0"/>
    <x v="3"/>
    <x v="0"/>
    <x v="0"/>
    <x v="0"/>
    <x v="0"/>
    <x v="0"/>
    <x v="0"/>
    <s v="20"/>
    <x v="7"/>
    <x v="0"/>
    <x v="1"/>
    <x v="1"/>
    <n v="-2107.09"/>
  </r>
  <r>
    <x v="0"/>
    <x v="0"/>
    <x v="1"/>
    <x v="0"/>
    <x v="0"/>
    <x v="3"/>
    <x v="0"/>
    <x v="0"/>
    <x v="0"/>
    <x v="0"/>
    <x v="0"/>
    <x v="0"/>
    <s v="24"/>
    <x v="1"/>
    <x v="0"/>
    <x v="0"/>
    <x v="0"/>
    <n v="8438808.3200000003"/>
  </r>
  <r>
    <x v="0"/>
    <x v="0"/>
    <x v="1"/>
    <x v="0"/>
    <x v="0"/>
    <x v="3"/>
    <x v="0"/>
    <x v="0"/>
    <x v="0"/>
    <x v="0"/>
    <x v="0"/>
    <x v="0"/>
    <s v="24"/>
    <x v="1"/>
    <x v="0"/>
    <x v="0"/>
    <x v="2"/>
    <n v="19185449.390000001"/>
  </r>
  <r>
    <x v="0"/>
    <x v="0"/>
    <x v="1"/>
    <x v="0"/>
    <x v="0"/>
    <x v="3"/>
    <x v="0"/>
    <x v="0"/>
    <x v="0"/>
    <x v="0"/>
    <x v="0"/>
    <x v="0"/>
    <s v="24"/>
    <x v="1"/>
    <x v="0"/>
    <x v="0"/>
    <x v="8"/>
    <n v="13660693.310000001"/>
  </r>
  <r>
    <x v="0"/>
    <x v="0"/>
    <x v="1"/>
    <x v="0"/>
    <x v="0"/>
    <x v="3"/>
    <x v="0"/>
    <x v="0"/>
    <x v="0"/>
    <x v="0"/>
    <x v="0"/>
    <x v="0"/>
    <s v="24"/>
    <x v="1"/>
    <x v="0"/>
    <x v="0"/>
    <x v="9"/>
    <n v="4388049.6900000004"/>
  </r>
  <r>
    <x v="0"/>
    <x v="0"/>
    <x v="1"/>
    <x v="0"/>
    <x v="0"/>
    <x v="3"/>
    <x v="0"/>
    <x v="0"/>
    <x v="0"/>
    <x v="0"/>
    <x v="0"/>
    <x v="0"/>
    <s v="24"/>
    <x v="1"/>
    <x v="0"/>
    <x v="0"/>
    <x v="10"/>
    <n v="7864038.7999999998"/>
  </r>
  <r>
    <x v="0"/>
    <x v="0"/>
    <x v="1"/>
    <x v="0"/>
    <x v="0"/>
    <x v="3"/>
    <x v="0"/>
    <x v="0"/>
    <x v="0"/>
    <x v="0"/>
    <x v="0"/>
    <x v="0"/>
    <s v="24"/>
    <x v="1"/>
    <x v="0"/>
    <x v="0"/>
    <x v="11"/>
    <n v="21439959.010000002"/>
  </r>
  <r>
    <x v="0"/>
    <x v="0"/>
    <x v="1"/>
    <x v="0"/>
    <x v="0"/>
    <x v="3"/>
    <x v="0"/>
    <x v="0"/>
    <x v="0"/>
    <x v="0"/>
    <x v="0"/>
    <x v="0"/>
    <s v="24"/>
    <x v="1"/>
    <x v="0"/>
    <x v="0"/>
    <x v="3"/>
    <n v="7611036.71"/>
  </r>
  <r>
    <x v="0"/>
    <x v="0"/>
    <x v="1"/>
    <x v="0"/>
    <x v="0"/>
    <x v="3"/>
    <x v="0"/>
    <x v="0"/>
    <x v="0"/>
    <x v="0"/>
    <x v="0"/>
    <x v="0"/>
    <s v="24"/>
    <x v="1"/>
    <x v="0"/>
    <x v="0"/>
    <x v="4"/>
    <n v="4198160.45"/>
  </r>
  <r>
    <x v="0"/>
    <x v="0"/>
    <x v="1"/>
    <x v="0"/>
    <x v="0"/>
    <x v="3"/>
    <x v="0"/>
    <x v="0"/>
    <x v="0"/>
    <x v="0"/>
    <x v="0"/>
    <x v="0"/>
    <s v="24"/>
    <x v="1"/>
    <x v="0"/>
    <x v="0"/>
    <x v="7"/>
    <n v="25427824.91"/>
  </r>
  <r>
    <x v="0"/>
    <x v="0"/>
    <x v="1"/>
    <x v="0"/>
    <x v="0"/>
    <x v="3"/>
    <x v="0"/>
    <x v="0"/>
    <x v="0"/>
    <x v="0"/>
    <x v="0"/>
    <x v="0"/>
    <s v="24"/>
    <x v="1"/>
    <x v="0"/>
    <x v="0"/>
    <x v="5"/>
    <n v="6485547.1600000001"/>
  </r>
  <r>
    <x v="0"/>
    <x v="0"/>
    <x v="1"/>
    <x v="0"/>
    <x v="0"/>
    <x v="3"/>
    <x v="0"/>
    <x v="0"/>
    <x v="0"/>
    <x v="0"/>
    <x v="0"/>
    <x v="0"/>
    <s v="24"/>
    <x v="1"/>
    <x v="0"/>
    <x v="0"/>
    <x v="6"/>
    <n v="1441468.77"/>
  </r>
  <r>
    <x v="0"/>
    <x v="0"/>
    <x v="1"/>
    <x v="0"/>
    <x v="0"/>
    <x v="3"/>
    <x v="0"/>
    <x v="0"/>
    <x v="0"/>
    <x v="0"/>
    <x v="0"/>
    <x v="0"/>
    <s v="24"/>
    <x v="1"/>
    <x v="0"/>
    <x v="0"/>
    <x v="1"/>
    <n v="8324778.7699999996"/>
  </r>
  <r>
    <x v="0"/>
    <x v="0"/>
    <x v="1"/>
    <x v="0"/>
    <x v="0"/>
    <x v="3"/>
    <x v="0"/>
    <x v="0"/>
    <x v="0"/>
    <x v="0"/>
    <x v="0"/>
    <x v="0"/>
    <s v="24"/>
    <x v="1"/>
    <x v="0"/>
    <x v="1"/>
    <x v="0"/>
    <n v="11102184.58"/>
  </r>
  <r>
    <x v="0"/>
    <x v="0"/>
    <x v="1"/>
    <x v="0"/>
    <x v="0"/>
    <x v="3"/>
    <x v="0"/>
    <x v="0"/>
    <x v="0"/>
    <x v="0"/>
    <x v="0"/>
    <x v="0"/>
    <s v="24"/>
    <x v="1"/>
    <x v="0"/>
    <x v="1"/>
    <x v="2"/>
    <n v="20532514.5"/>
  </r>
  <r>
    <x v="0"/>
    <x v="0"/>
    <x v="1"/>
    <x v="0"/>
    <x v="0"/>
    <x v="3"/>
    <x v="0"/>
    <x v="0"/>
    <x v="0"/>
    <x v="0"/>
    <x v="0"/>
    <x v="0"/>
    <s v="24"/>
    <x v="1"/>
    <x v="0"/>
    <x v="1"/>
    <x v="8"/>
    <n v="19055468.030000001"/>
  </r>
  <r>
    <x v="0"/>
    <x v="0"/>
    <x v="1"/>
    <x v="0"/>
    <x v="0"/>
    <x v="3"/>
    <x v="0"/>
    <x v="0"/>
    <x v="0"/>
    <x v="0"/>
    <x v="0"/>
    <x v="0"/>
    <s v="24"/>
    <x v="1"/>
    <x v="0"/>
    <x v="1"/>
    <x v="9"/>
    <n v="3836703.21"/>
  </r>
  <r>
    <x v="0"/>
    <x v="0"/>
    <x v="1"/>
    <x v="0"/>
    <x v="0"/>
    <x v="3"/>
    <x v="0"/>
    <x v="0"/>
    <x v="0"/>
    <x v="0"/>
    <x v="0"/>
    <x v="0"/>
    <s v="24"/>
    <x v="1"/>
    <x v="0"/>
    <x v="1"/>
    <x v="10"/>
    <n v="8652905.2699999996"/>
  </r>
  <r>
    <x v="0"/>
    <x v="0"/>
    <x v="1"/>
    <x v="0"/>
    <x v="0"/>
    <x v="3"/>
    <x v="0"/>
    <x v="0"/>
    <x v="0"/>
    <x v="0"/>
    <x v="0"/>
    <x v="0"/>
    <s v="24"/>
    <x v="1"/>
    <x v="0"/>
    <x v="1"/>
    <x v="11"/>
    <n v="22963280.02"/>
  </r>
  <r>
    <x v="0"/>
    <x v="0"/>
    <x v="1"/>
    <x v="0"/>
    <x v="0"/>
    <x v="3"/>
    <x v="0"/>
    <x v="0"/>
    <x v="0"/>
    <x v="0"/>
    <x v="0"/>
    <x v="0"/>
    <s v="24"/>
    <x v="1"/>
    <x v="0"/>
    <x v="1"/>
    <x v="3"/>
    <n v="8397975.3100000005"/>
  </r>
  <r>
    <x v="0"/>
    <x v="0"/>
    <x v="1"/>
    <x v="0"/>
    <x v="0"/>
    <x v="3"/>
    <x v="0"/>
    <x v="0"/>
    <x v="0"/>
    <x v="0"/>
    <x v="0"/>
    <x v="0"/>
    <s v="24"/>
    <x v="1"/>
    <x v="0"/>
    <x v="1"/>
    <x v="4"/>
    <n v="3987969.66"/>
  </r>
  <r>
    <x v="0"/>
    <x v="0"/>
    <x v="1"/>
    <x v="0"/>
    <x v="0"/>
    <x v="3"/>
    <x v="0"/>
    <x v="0"/>
    <x v="0"/>
    <x v="0"/>
    <x v="0"/>
    <x v="0"/>
    <s v="24"/>
    <x v="1"/>
    <x v="0"/>
    <x v="1"/>
    <x v="7"/>
    <n v="29518040.170000002"/>
  </r>
  <r>
    <x v="0"/>
    <x v="0"/>
    <x v="1"/>
    <x v="0"/>
    <x v="0"/>
    <x v="3"/>
    <x v="0"/>
    <x v="0"/>
    <x v="0"/>
    <x v="0"/>
    <x v="0"/>
    <x v="0"/>
    <s v="24"/>
    <x v="1"/>
    <x v="0"/>
    <x v="1"/>
    <x v="5"/>
    <n v="5671783.7599999998"/>
  </r>
  <r>
    <x v="0"/>
    <x v="0"/>
    <x v="1"/>
    <x v="0"/>
    <x v="0"/>
    <x v="3"/>
    <x v="0"/>
    <x v="0"/>
    <x v="0"/>
    <x v="0"/>
    <x v="0"/>
    <x v="0"/>
    <s v="24"/>
    <x v="1"/>
    <x v="0"/>
    <x v="1"/>
    <x v="6"/>
    <n v="1107307.45"/>
  </r>
  <r>
    <x v="0"/>
    <x v="0"/>
    <x v="1"/>
    <x v="0"/>
    <x v="0"/>
    <x v="3"/>
    <x v="0"/>
    <x v="0"/>
    <x v="0"/>
    <x v="0"/>
    <x v="0"/>
    <x v="0"/>
    <s v="24"/>
    <x v="1"/>
    <x v="0"/>
    <x v="1"/>
    <x v="1"/>
    <n v="311180.09999999998"/>
  </r>
  <r>
    <x v="0"/>
    <x v="0"/>
    <x v="1"/>
    <x v="0"/>
    <x v="0"/>
    <x v="3"/>
    <x v="0"/>
    <x v="0"/>
    <x v="0"/>
    <x v="0"/>
    <x v="0"/>
    <x v="0"/>
    <s v="30"/>
    <x v="3"/>
    <x v="0"/>
    <x v="0"/>
    <x v="0"/>
    <n v="50"/>
  </r>
  <r>
    <x v="0"/>
    <x v="0"/>
    <x v="1"/>
    <x v="0"/>
    <x v="0"/>
    <x v="3"/>
    <x v="0"/>
    <x v="0"/>
    <x v="0"/>
    <x v="0"/>
    <x v="0"/>
    <x v="0"/>
    <s v="30"/>
    <x v="3"/>
    <x v="0"/>
    <x v="0"/>
    <x v="2"/>
    <n v="2481.02"/>
  </r>
  <r>
    <x v="0"/>
    <x v="0"/>
    <x v="1"/>
    <x v="0"/>
    <x v="0"/>
    <x v="3"/>
    <x v="0"/>
    <x v="0"/>
    <x v="0"/>
    <x v="0"/>
    <x v="0"/>
    <x v="0"/>
    <s v="30"/>
    <x v="3"/>
    <x v="0"/>
    <x v="0"/>
    <x v="8"/>
    <n v="11.4"/>
  </r>
  <r>
    <x v="0"/>
    <x v="0"/>
    <x v="1"/>
    <x v="0"/>
    <x v="0"/>
    <x v="3"/>
    <x v="0"/>
    <x v="0"/>
    <x v="0"/>
    <x v="0"/>
    <x v="0"/>
    <x v="0"/>
    <s v="30"/>
    <x v="3"/>
    <x v="0"/>
    <x v="0"/>
    <x v="9"/>
    <n v="518.64"/>
  </r>
  <r>
    <x v="0"/>
    <x v="0"/>
    <x v="1"/>
    <x v="0"/>
    <x v="0"/>
    <x v="3"/>
    <x v="0"/>
    <x v="0"/>
    <x v="0"/>
    <x v="0"/>
    <x v="0"/>
    <x v="0"/>
    <s v="30"/>
    <x v="3"/>
    <x v="0"/>
    <x v="0"/>
    <x v="10"/>
    <n v="932.4"/>
  </r>
  <r>
    <x v="0"/>
    <x v="0"/>
    <x v="1"/>
    <x v="0"/>
    <x v="0"/>
    <x v="3"/>
    <x v="0"/>
    <x v="0"/>
    <x v="0"/>
    <x v="0"/>
    <x v="0"/>
    <x v="0"/>
    <s v="30"/>
    <x v="3"/>
    <x v="0"/>
    <x v="0"/>
    <x v="11"/>
    <n v="20539.169999999998"/>
  </r>
  <r>
    <x v="0"/>
    <x v="0"/>
    <x v="1"/>
    <x v="0"/>
    <x v="0"/>
    <x v="3"/>
    <x v="0"/>
    <x v="0"/>
    <x v="0"/>
    <x v="0"/>
    <x v="0"/>
    <x v="0"/>
    <s v="30"/>
    <x v="3"/>
    <x v="0"/>
    <x v="0"/>
    <x v="3"/>
    <n v="26922.67"/>
  </r>
  <r>
    <x v="0"/>
    <x v="0"/>
    <x v="1"/>
    <x v="0"/>
    <x v="0"/>
    <x v="3"/>
    <x v="0"/>
    <x v="0"/>
    <x v="0"/>
    <x v="0"/>
    <x v="0"/>
    <x v="0"/>
    <s v="30"/>
    <x v="3"/>
    <x v="0"/>
    <x v="0"/>
    <x v="4"/>
    <n v="20075.07"/>
  </r>
  <r>
    <x v="0"/>
    <x v="0"/>
    <x v="1"/>
    <x v="0"/>
    <x v="0"/>
    <x v="3"/>
    <x v="0"/>
    <x v="0"/>
    <x v="0"/>
    <x v="0"/>
    <x v="0"/>
    <x v="0"/>
    <s v="30"/>
    <x v="3"/>
    <x v="0"/>
    <x v="0"/>
    <x v="7"/>
    <n v="18874.55"/>
  </r>
  <r>
    <x v="0"/>
    <x v="0"/>
    <x v="1"/>
    <x v="0"/>
    <x v="0"/>
    <x v="3"/>
    <x v="0"/>
    <x v="0"/>
    <x v="0"/>
    <x v="0"/>
    <x v="0"/>
    <x v="0"/>
    <s v="30"/>
    <x v="3"/>
    <x v="0"/>
    <x v="0"/>
    <x v="5"/>
    <n v="-78344.77"/>
  </r>
  <r>
    <x v="0"/>
    <x v="0"/>
    <x v="1"/>
    <x v="0"/>
    <x v="0"/>
    <x v="3"/>
    <x v="0"/>
    <x v="0"/>
    <x v="0"/>
    <x v="0"/>
    <x v="0"/>
    <x v="0"/>
    <s v="30"/>
    <x v="3"/>
    <x v="0"/>
    <x v="0"/>
    <x v="6"/>
    <n v="-12173.45"/>
  </r>
  <r>
    <x v="0"/>
    <x v="0"/>
    <x v="1"/>
    <x v="0"/>
    <x v="0"/>
    <x v="3"/>
    <x v="0"/>
    <x v="0"/>
    <x v="0"/>
    <x v="0"/>
    <x v="0"/>
    <x v="0"/>
    <s v="30"/>
    <x v="3"/>
    <x v="0"/>
    <x v="0"/>
    <x v="1"/>
    <n v="70"/>
  </r>
  <r>
    <x v="0"/>
    <x v="0"/>
    <x v="1"/>
    <x v="0"/>
    <x v="0"/>
    <x v="3"/>
    <x v="0"/>
    <x v="0"/>
    <x v="0"/>
    <x v="0"/>
    <x v="0"/>
    <x v="0"/>
    <s v="30"/>
    <x v="3"/>
    <x v="0"/>
    <x v="1"/>
    <x v="2"/>
    <n v="40672"/>
  </r>
  <r>
    <x v="0"/>
    <x v="0"/>
    <x v="1"/>
    <x v="0"/>
    <x v="0"/>
    <x v="3"/>
    <x v="0"/>
    <x v="0"/>
    <x v="0"/>
    <x v="0"/>
    <x v="0"/>
    <x v="0"/>
    <s v="30"/>
    <x v="3"/>
    <x v="0"/>
    <x v="1"/>
    <x v="8"/>
    <n v="-40672"/>
  </r>
  <r>
    <x v="0"/>
    <x v="0"/>
    <x v="1"/>
    <x v="0"/>
    <x v="0"/>
    <x v="3"/>
    <x v="0"/>
    <x v="0"/>
    <x v="0"/>
    <x v="0"/>
    <x v="0"/>
    <x v="0"/>
    <s v="30"/>
    <x v="3"/>
    <x v="0"/>
    <x v="1"/>
    <x v="11"/>
    <n v="495"/>
  </r>
  <r>
    <x v="0"/>
    <x v="0"/>
    <x v="1"/>
    <x v="0"/>
    <x v="0"/>
    <x v="3"/>
    <x v="0"/>
    <x v="0"/>
    <x v="0"/>
    <x v="0"/>
    <x v="0"/>
    <x v="0"/>
    <s v="30"/>
    <x v="3"/>
    <x v="0"/>
    <x v="1"/>
    <x v="5"/>
    <n v="5.5"/>
  </r>
  <r>
    <x v="0"/>
    <x v="0"/>
    <x v="1"/>
    <x v="0"/>
    <x v="0"/>
    <x v="3"/>
    <x v="0"/>
    <x v="0"/>
    <x v="0"/>
    <x v="0"/>
    <x v="0"/>
    <x v="0"/>
    <s v="30"/>
    <x v="3"/>
    <x v="0"/>
    <x v="1"/>
    <x v="6"/>
    <n v="-5.5"/>
  </r>
  <r>
    <x v="0"/>
    <x v="0"/>
    <x v="1"/>
    <x v="0"/>
    <x v="0"/>
    <x v="3"/>
    <x v="0"/>
    <x v="0"/>
    <x v="0"/>
    <x v="0"/>
    <x v="0"/>
    <x v="0"/>
    <s v="30"/>
    <x v="3"/>
    <x v="0"/>
    <x v="1"/>
    <x v="1"/>
    <n v="-495"/>
  </r>
  <r>
    <x v="0"/>
    <x v="0"/>
    <x v="1"/>
    <x v="0"/>
    <x v="0"/>
    <x v="3"/>
    <x v="0"/>
    <x v="0"/>
    <x v="0"/>
    <x v="0"/>
    <x v="0"/>
    <x v="0"/>
    <s v="31"/>
    <x v="8"/>
    <x v="0"/>
    <x v="0"/>
    <x v="2"/>
    <n v="270"/>
  </r>
  <r>
    <x v="0"/>
    <x v="0"/>
    <x v="1"/>
    <x v="0"/>
    <x v="0"/>
    <x v="3"/>
    <x v="0"/>
    <x v="0"/>
    <x v="0"/>
    <x v="0"/>
    <x v="0"/>
    <x v="0"/>
    <s v="31"/>
    <x v="8"/>
    <x v="0"/>
    <x v="0"/>
    <x v="8"/>
    <n v="45"/>
  </r>
  <r>
    <x v="0"/>
    <x v="0"/>
    <x v="1"/>
    <x v="0"/>
    <x v="0"/>
    <x v="3"/>
    <x v="0"/>
    <x v="0"/>
    <x v="0"/>
    <x v="0"/>
    <x v="0"/>
    <x v="0"/>
    <s v="31"/>
    <x v="8"/>
    <x v="0"/>
    <x v="0"/>
    <x v="9"/>
    <n v="188"/>
  </r>
  <r>
    <x v="0"/>
    <x v="0"/>
    <x v="1"/>
    <x v="0"/>
    <x v="0"/>
    <x v="3"/>
    <x v="0"/>
    <x v="0"/>
    <x v="0"/>
    <x v="0"/>
    <x v="0"/>
    <x v="0"/>
    <s v="31"/>
    <x v="8"/>
    <x v="0"/>
    <x v="0"/>
    <x v="10"/>
    <n v="-518"/>
  </r>
  <r>
    <x v="0"/>
    <x v="0"/>
    <x v="1"/>
    <x v="0"/>
    <x v="0"/>
    <x v="3"/>
    <x v="0"/>
    <x v="0"/>
    <x v="0"/>
    <x v="0"/>
    <x v="0"/>
    <x v="0"/>
    <s v="31"/>
    <x v="8"/>
    <x v="0"/>
    <x v="0"/>
    <x v="11"/>
    <n v="-1187.52"/>
  </r>
  <r>
    <x v="0"/>
    <x v="0"/>
    <x v="1"/>
    <x v="0"/>
    <x v="0"/>
    <x v="3"/>
    <x v="0"/>
    <x v="0"/>
    <x v="0"/>
    <x v="0"/>
    <x v="0"/>
    <x v="0"/>
    <s v="31"/>
    <x v="8"/>
    <x v="0"/>
    <x v="0"/>
    <x v="3"/>
    <n v="1247.52"/>
  </r>
  <r>
    <x v="0"/>
    <x v="0"/>
    <x v="1"/>
    <x v="0"/>
    <x v="0"/>
    <x v="3"/>
    <x v="0"/>
    <x v="0"/>
    <x v="0"/>
    <x v="0"/>
    <x v="0"/>
    <x v="0"/>
    <s v="31"/>
    <x v="8"/>
    <x v="0"/>
    <x v="0"/>
    <x v="1"/>
    <n v="-45"/>
  </r>
  <r>
    <x v="0"/>
    <x v="0"/>
    <x v="1"/>
    <x v="0"/>
    <x v="0"/>
    <x v="3"/>
    <x v="0"/>
    <x v="0"/>
    <x v="0"/>
    <x v="0"/>
    <x v="0"/>
    <x v="0"/>
    <s v="31"/>
    <x v="8"/>
    <x v="0"/>
    <x v="1"/>
    <x v="0"/>
    <n v="15748.1"/>
  </r>
  <r>
    <x v="0"/>
    <x v="0"/>
    <x v="1"/>
    <x v="0"/>
    <x v="0"/>
    <x v="3"/>
    <x v="0"/>
    <x v="0"/>
    <x v="0"/>
    <x v="0"/>
    <x v="0"/>
    <x v="0"/>
    <s v="31"/>
    <x v="8"/>
    <x v="0"/>
    <x v="1"/>
    <x v="8"/>
    <n v="-15748.1"/>
  </r>
  <r>
    <x v="0"/>
    <x v="0"/>
    <x v="1"/>
    <x v="0"/>
    <x v="0"/>
    <x v="3"/>
    <x v="0"/>
    <x v="0"/>
    <x v="0"/>
    <x v="0"/>
    <x v="0"/>
    <x v="0"/>
    <s v="31"/>
    <x v="8"/>
    <x v="0"/>
    <x v="1"/>
    <x v="10"/>
    <n v="-37.01"/>
  </r>
  <r>
    <x v="0"/>
    <x v="0"/>
    <x v="1"/>
    <x v="0"/>
    <x v="0"/>
    <x v="3"/>
    <x v="0"/>
    <x v="0"/>
    <x v="0"/>
    <x v="0"/>
    <x v="0"/>
    <x v="0"/>
    <s v="31"/>
    <x v="8"/>
    <x v="0"/>
    <x v="1"/>
    <x v="3"/>
    <n v="37.01"/>
  </r>
  <r>
    <x v="0"/>
    <x v="0"/>
    <x v="1"/>
    <x v="0"/>
    <x v="0"/>
    <x v="3"/>
    <x v="0"/>
    <x v="0"/>
    <x v="0"/>
    <x v="0"/>
    <x v="0"/>
    <x v="0"/>
    <s v="31"/>
    <x v="8"/>
    <x v="0"/>
    <x v="1"/>
    <x v="4"/>
    <n v="-211.23"/>
  </r>
  <r>
    <x v="0"/>
    <x v="0"/>
    <x v="1"/>
    <x v="0"/>
    <x v="0"/>
    <x v="3"/>
    <x v="0"/>
    <x v="0"/>
    <x v="0"/>
    <x v="0"/>
    <x v="0"/>
    <x v="0"/>
    <s v="31"/>
    <x v="8"/>
    <x v="0"/>
    <x v="1"/>
    <x v="7"/>
    <n v="382.46"/>
  </r>
  <r>
    <x v="0"/>
    <x v="0"/>
    <x v="1"/>
    <x v="0"/>
    <x v="0"/>
    <x v="3"/>
    <x v="0"/>
    <x v="0"/>
    <x v="0"/>
    <x v="0"/>
    <x v="0"/>
    <x v="0"/>
    <s v="31"/>
    <x v="8"/>
    <x v="0"/>
    <x v="1"/>
    <x v="6"/>
    <n v="-171.23"/>
  </r>
  <r>
    <x v="0"/>
    <x v="0"/>
    <x v="1"/>
    <x v="0"/>
    <x v="0"/>
    <x v="3"/>
    <x v="0"/>
    <x v="0"/>
    <x v="0"/>
    <x v="0"/>
    <x v="0"/>
    <x v="0"/>
    <s v="80"/>
    <x v="11"/>
    <x v="0"/>
    <x v="0"/>
    <x v="2"/>
    <n v="43330.74"/>
  </r>
  <r>
    <x v="0"/>
    <x v="0"/>
    <x v="1"/>
    <x v="0"/>
    <x v="0"/>
    <x v="3"/>
    <x v="0"/>
    <x v="0"/>
    <x v="0"/>
    <x v="0"/>
    <x v="0"/>
    <x v="0"/>
    <s v="80"/>
    <x v="11"/>
    <x v="0"/>
    <x v="0"/>
    <x v="8"/>
    <n v="-43330.74"/>
  </r>
  <r>
    <x v="0"/>
    <x v="0"/>
    <x v="1"/>
    <x v="0"/>
    <x v="0"/>
    <x v="3"/>
    <x v="0"/>
    <x v="0"/>
    <x v="0"/>
    <x v="0"/>
    <x v="0"/>
    <x v="0"/>
    <s v="80"/>
    <x v="11"/>
    <x v="0"/>
    <x v="1"/>
    <x v="2"/>
    <n v="5435.27"/>
  </r>
  <r>
    <x v="0"/>
    <x v="0"/>
    <x v="1"/>
    <x v="0"/>
    <x v="0"/>
    <x v="3"/>
    <x v="0"/>
    <x v="0"/>
    <x v="0"/>
    <x v="0"/>
    <x v="0"/>
    <x v="0"/>
    <s v="80"/>
    <x v="11"/>
    <x v="0"/>
    <x v="1"/>
    <x v="9"/>
    <n v="-5435.27"/>
  </r>
  <r>
    <x v="0"/>
    <x v="0"/>
    <x v="1"/>
    <x v="0"/>
    <x v="0"/>
    <x v="3"/>
    <x v="0"/>
    <x v="0"/>
    <x v="0"/>
    <x v="0"/>
    <x v="0"/>
    <x v="0"/>
    <s v="80"/>
    <x v="11"/>
    <x v="0"/>
    <x v="1"/>
    <x v="3"/>
    <n v="5435.27"/>
  </r>
  <r>
    <x v="0"/>
    <x v="0"/>
    <x v="1"/>
    <x v="0"/>
    <x v="0"/>
    <x v="3"/>
    <x v="0"/>
    <x v="0"/>
    <x v="0"/>
    <x v="0"/>
    <x v="0"/>
    <x v="0"/>
    <s v="80"/>
    <x v="11"/>
    <x v="0"/>
    <x v="1"/>
    <x v="1"/>
    <n v="-4841.2700000000004"/>
  </r>
  <r>
    <x v="0"/>
    <x v="0"/>
    <x v="1"/>
    <x v="0"/>
    <x v="0"/>
    <x v="3"/>
    <x v="0"/>
    <x v="0"/>
    <x v="0"/>
    <x v="0"/>
    <x v="0"/>
    <x v="0"/>
    <s v="81"/>
    <x v="2"/>
    <x v="0"/>
    <x v="0"/>
    <x v="0"/>
    <n v="-300000"/>
  </r>
  <r>
    <x v="0"/>
    <x v="0"/>
    <x v="1"/>
    <x v="0"/>
    <x v="0"/>
    <x v="3"/>
    <x v="0"/>
    <x v="0"/>
    <x v="0"/>
    <x v="0"/>
    <x v="0"/>
    <x v="0"/>
    <s v="81"/>
    <x v="2"/>
    <x v="0"/>
    <x v="0"/>
    <x v="2"/>
    <n v="-43330.74"/>
  </r>
  <r>
    <x v="0"/>
    <x v="0"/>
    <x v="1"/>
    <x v="0"/>
    <x v="0"/>
    <x v="3"/>
    <x v="0"/>
    <x v="0"/>
    <x v="0"/>
    <x v="0"/>
    <x v="0"/>
    <x v="0"/>
    <s v="81"/>
    <x v="2"/>
    <x v="0"/>
    <x v="0"/>
    <x v="8"/>
    <n v="343330.74"/>
  </r>
  <r>
    <x v="0"/>
    <x v="0"/>
    <x v="1"/>
    <x v="0"/>
    <x v="0"/>
    <x v="3"/>
    <x v="0"/>
    <x v="0"/>
    <x v="0"/>
    <x v="0"/>
    <x v="0"/>
    <x v="0"/>
    <s v="81"/>
    <x v="2"/>
    <x v="0"/>
    <x v="0"/>
    <x v="5"/>
    <n v="-200"/>
  </r>
  <r>
    <x v="0"/>
    <x v="0"/>
    <x v="1"/>
    <x v="0"/>
    <x v="0"/>
    <x v="3"/>
    <x v="0"/>
    <x v="0"/>
    <x v="0"/>
    <x v="0"/>
    <x v="0"/>
    <x v="0"/>
    <s v="81"/>
    <x v="2"/>
    <x v="0"/>
    <x v="0"/>
    <x v="6"/>
    <n v="200"/>
  </r>
  <r>
    <x v="0"/>
    <x v="0"/>
    <x v="1"/>
    <x v="0"/>
    <x v="0"/>
    <x v="3"/>
    <x v="0"/>
    <x v="0"/>
    <x v="0"/>
    <x v="0"/>
    <x v="0"/>
    <x v="0"/>
    <s v="81"/>
    <x v="2"/>
    <x v="0"/>
    <x v="1"/>
    <x v="2"/>
    <n v="-5000"/>
  </r>
  <r>
    <x v="0"/>
    <x v="0"/>
    <x v="1"/>
    <x v="0"/>
    <x v="0"/>
    <x v="3"/>
    <x v="0"/>
    <x v="0"/>
    <x v="0"/>
    <x v="0"/>
    <x v="0"/>
    <x v="0"/>
    <s v="81"/>
    <x v="2"/>
    <x v="0"/>
    <x v="1"/>
    <x v="3"/>
    <n v="-14634.27"/>
  </r>
  <r>
    <x v="0"/>
    <x v="0"/>
    <x v="1"/>
    <x v="0"/>
    <x v="0"/>
    <x v="3"/>
    <x v="0"/>
    <x v="0"/>
    <x v="0"/>
    <x v="0"/>
    <x v="0"/>
    <x v="0"/>
    <s v="81"/>
    <x v="2"/>
    <x v="0"/>
    <x v="1"/>
    <x v="1"/>
    <n v="-217397.39"/>
  </r>
  <r>
    <x v="0"/>
    <x v="0"/>
    <x v="1"/>
    <x v="0"/>
    <x v="0"/>
    <x v="3"/>
    <x v="0"/>
    <x v="0"/>
    <x v="0"/>
    <x v="0"/>
    <x v="0"/>
    <x v="0"/>
    <s v="90"/>
    <x v="16"/>
    <x v="0"/>
    <x v="0"/>
    <x v="2"/>
    <n v="-5"/>
  </r>
  <r>
    <x v="0"/>
    <x v="0"/>
    <x v="1"/>
    <x v="0"/>
    <x v="0"/>
    <x v="3"/>
    <x v="0"/>
    <x v="0"/>
    <x v="0"/>
    <x v="0"/>
    <x v="0"/>
    <x v="0"/>
    <s v="90"/>
    <x v="16"/>
    <x v="0"/>
    <x v="0"/>
    <x v="8"/>
    <n v="-52.35"/>
  </r>
  <r>
    <x v="0"/>
    <x v="0"/>
    <x v="1"/>
    <x v="0"/>
    <x v="0"/>
    <x v="3"/>
    <x v="0"/>
    <x v="0"/>
    <x v="0"/>
    <x v="0"/>
    <x v="0"/>
    <x v="0"/>
    <s v="90"/>
    <x v="16"/>
    <x v="0"/>
    <x v="0"/>
    <x v="9"/>
    <n v="-32.880000000000003"/>
  </r>
  <r>
    <x v="0"/>
    <x v="0"/>
    <x v="1"/>
    <x v="0"/>
    <x v="0"/>
    <x v="3"/>
    <x v="0"/>
    <x v="0"/>
    <x v="0"/>
    <x v="0"/>
    <x v="0"/>
    <x v="0"/>
    <s v="90"/>
    <x v="16"/>
    <x v="0"/>
    <x v="0"/>
    <x v="10"/>
    <n v="-1166.03"/>
  </r>
  <r>
    <x v="0"/>
    <x v="0"/>
    <x v="1"/>
    <x v="0"/>
    <x v="0"/>
    <x v="3"/>
    <x v="0"/>
    <x v="0"/>
    <x v="0"/>
    <x v="0"/>
    <x v="0"/>
    <x v="0"/>
    <s v="90"/>
    <x v="16"/>
    <x v="0"/>
    <x v="0"/>
    <x v="11"/>
    <n v="994.16"/>
  </r>
  <r>
    <x v="0"/>
    <x v="0"/>
    <x v="1"/>
    <x v="0"/>
    <x v="0"/>
    <x v="3"/>
    <x v="0"/>
    <x v="0"/>
    <x v="0"/>
    <x v="0"/>
    <x v="0"/>
    <x v="0"/>
    <s v="90"/>
    <x v="16"/>
    <x v="0"/>
    <x v="0"/>
    <x v="3"/>
    <n v="48.51"/>
  </r>
  <r>
    <x v="0"/>
    <x v="0"/>
    <x v="1"/>
    <x v="0"/>
    <x v="0"/>
    <x v="3"/>
    <x v="0"/>
    <x v="0"/>
    <x v="0"/>
    <x v="0"/>
    <x v="0"/>
    <x v="0"/>
    <s v="90"/>
    <x v="16"/>
    <x v="0"/>
    <x v="0"/>
    <x v="4"/>
    <n v="28.81"/>
  </r>
  <r>
    <x v="0"/>
    <x v="0"/>
    <x v="1"/>
    <x v="0"/>
    <x v="0"/>
    <x v="3"/>
    <x v="0"/>
    <x v="0"/>
    <x v="0"/>
    <x v="0"/>
    <x v="0"/>
    <x v="0"/>
    <s v="90"/>
    <x v="16"/>
    <x v="0"/>
    <x v="0"/>
    <x v="7"/>
    <n v="3.52"/>
  </r>
  <r>
    <x v="0"/>
    <x v="0"/>
    <x v="1"/>
    <x v="0"/>
    <x v="0"/>
    <x v="3"/>
    <x v="0"/>
    <x v="0"/>
    <x v="0"/>
    <x v="0"/>
    <x v="0"/>
    <x v="0"/>
    <s v="90"/>
    <x v="16"/>
    <x v="0"/>
    <x v="0"/>
    <x v="5"/>
    <n v="-74155.91"/>
  </r>
  <r>
    <x v="0"/>
    <x v="0"/>
    <x v="1"/>
    <x v="0"/>
    <x v="0"/>
    <x v="3"/>
    <x v="0"/>
    <x v="0"/>
    <x v="0"/>
    <x v="0"/>
    <x v="0"/>
    <x v="0"/>
    <s v="90"/>
    <x v="16"/>
    <x v="0"/>
    <x v="0"/>
    <x v="6"/>
    <n v="74117.11"/>
  </r>
  <r>
    <x v="0"/>
    <x v="0"/>
    <x v="1"/>
    <x v="0"/>
    <x v="0"/>
    <x v="3"/>
    <x v="0"/>
    <x v="0"/>
    <x v="0"/>
    <x v="0"/>
    <x v="0"/>
    <x v="0"/>
    <s v="90"/>
    <x v="16"/>
    <x v="0"/>
    <x v="0"/>
    <x v="1"/>
    <n v="220.06"/>
  </r>
  <r>
    <x v="0"/>
    <x v="0"/>
    <x v="1"/>
    <x v="0"/>
    <x v="0"/>
    <x v="3"/>
    <x v="0"/>
    <x v="0"/>
    <x v="0"/>
    <x v="0"/>
    <x v="0"/>
    <x v="0"/>
    <s v="90"/>
    <x v="16"/>
    <x v="0"/>
    <x v="1"/>
    <x v="0"/>
    <n v="-38.25"/>
  </r>
  <r>
    <x v="0"/>
    <x v="0"/>
    <x v="1"/>
    <x v="0"/>
    <x v="0"/>
    <x v="3"/>
    <x v="0"/>
    <x v="0"/>
    <x v="0"/>
    <x v="0"/>
    <x v="0"/>
    <x v="0"/>
    <s v="90"/>
    <x v="16"/>
    <x v="0"/>
    <x v="1"/>
    <x v="2"/>
    <n v="3.23"/>
  </r>
  <r>
    <x v="0"/>
    <x v="0"/>
    <x v="1"/>
    <x v="0"/>
    <x v="0"/>
    <x v="3"/>
    <x v="0"/>
    <x v="0"/>
    <x v="0"/>
    <x v="0"/>
    <x v="0"/>
    <x v="0"/>
    <s v="90"/>
    <x v="16"/>
    <x v="0"/>
    <x v="1"/>
    <x v="8"/>
    <n v="3.16"/>
  </r>
  <r>
    <x v="0"/>
    <x v="0"/>
    <x v="1"/>
    <x v="0"/>
    <x v="0"/>
    <x v="3"/>
    <x v="0"/>
    <x v="0"/>
    <x v="0"/>
    <x v="0"/>
    <x v="0"/>
    <x v="0"/>
    <s v="90"/>
    <x v="16"/>
    <x v="0"/>
    <x v="1"/>
    <x v="9"/>
    <n v="25.59"/>
  </r>
  <r>
    <x v="0"/>
    <x v="0"/>
    <x v="1"/>
    <x v="0"/>
    <x v="0"/>
    <x v="3"/>
    <x v="0"/>
    <x v="0"/>
    <x v="0"/>
    <x v="0"/>
    <x v="0"/>
    <x v="0"/>
    <s v="90"/>
    <x v="16"/>
    <x v="0"/>
    <x v="1"/>
    <x v="10"/>
    <n v="102.21"/>
  </r>
  <r>
    <x v="0"/>
    <x v="0"/>
    <x v="1"/>
    <x v="0"/>
    <x v="0"/>
    <x v="3"/>
    <x v="0"/>
    <x v="0"/>
    <x v="0"/>
    <x v="0"/>
    <x v="0"/>
    <x v="0"/>
    <s v="90"/>
    <x v="16"/>
    <x v="0"/>
    <x v="1"/>
    <x v="11"/>
    <n v="-102.99"/>
  </r>
  <r>
    <x v="0"/>
    <x v="0"/>
    <x v="1"/>
    <x v="0"/>
    <x v="0"/>
    <x v="3"/>
    <x v="0"/>
    <x v="0"/>
    <x v="0"/>
    <x v="0"/>
    <x v="0"/>
    <x v="0"/>
    <s v="90"/>
    <x v="16"/>
    <x v="0"/>
    <x v="1"/>
    <x v="3"/>
    <n v="-11.54"/>
  </r>
  <r>
    <x v="0"/>
    <x v="0"/>
    <x v="1"/>
    <x v="0"/>
    <x v="0"/>
    <x v="3"/>
    <x v="0"/>
    <x v="0"/>
    <x v="0"/>
    <x v="0"/>
    <x v="0"/>
    <x v="0"/>
    <s v="90"/>
    <x v="16"/>
    <x v="0"/>
    <x v="1"/>
    <x v="4"/>
    <n v="146.53"/>
  </r>
  <r>
    <x v="0"/>
    <x v="0"/>
    <x v="1"/>
    <x v="0"/>
    <x v="0"/>
    <x v="3"/>
    <x v="0"/>
    <x v="0"/>
    <x v="0"/>
    <x v="0"/>
    <x v="0"/>
    <x v="0"/>
    <s v="90"/>
    <x v="16"/>
    <x v="0"/>
    <x v="1"/>
    <x v="7"/>
    <n v="-139.5"/>
  </r>
  <r>
    <x v="0"/>
    <x v="0"/>
    <x v="1"/>
    <x v="0"/>
    <x v="0"/>
    <x v="3"/>
    <x v="0"/>
    <x v="0"/>
    <x v="0"/>
    <x v="0"/>
    <x v="0"/>
    <x v="0"/>
    <s v="90"/>
    <x v="16"/>
    <x v="0"/>
    <x v="1"/>
    <x v="5"/>
    <n v="-389.14"/>
  </r>
  <r>
    <x v="0"/>
    <x v="0"/>
    <x v="1"/>
    <x v="0"/>
    <x v="0"/>
    <x v="3"/>
    <x v="0"/>
    <x v="0"/>
    <x v="0"/>
    <x v="0"/>
    <x v="0"/>
    <x v="0"/>
    <s v="90"/>
    <x v="16"/>
    <x v="0"/>
    <x v="1"/>
    <x v="6"/>
    <n v="-395.01"/>
  </r>
  <r>
    <x v="0"/>
    <x v="0"/>
    <x v="1"/>
    <x v="0"/>
    <x v="0"/>
    <x v="3"/>
    <x v="0"/>
    <x v="0"/>
    <x v="0"/>
    <x v="0"/>
    <x v="0"/>
    <x v="0"/>
    <s v="90"/>
    <x v="16"/>
    <x v="0"/>
    <x v="1"/>
    <x v="1"/>
    <n v="765.29"/>
  </r>
  <r>
    <x v="0"/>
    <x v="0"/>
    <x v="1"/>
    <x v="0"/>
    <x v="0"/>
    <x v="3"/>
    <x v="0"/>
    <x v="0"/>
    <x v="0"/>
    <x v="0"/>
    <x v="0"/>
    <x v="0"/>
    <s v="99"/>
    <x v="9"/>
    <x v="0"/>
    <x v="0"/>
    <x v="0"/>
    <n v="9632.18"/>
  </r>
  <r>
    <x v="0"/>
    <x v="0"/>
    <x v="1"/>
    <x v="0"/>
    <x v="0"/>
    <x v="3"/>
    <x v="0"/>
    <x v="0"/>
    <x v="0"/>
    <x v="0"/>
    <x v="0"/>
    <x v="0"/>
    <s v="99"/>
    <x v="9"/>
    <x v="0"/>
    <x v="0"/>
    <x v="2"/>
    <n v="158.22999999999999"/>
  </r>
  <r>
    <x v="0"/>
    <x v="0"/>
    <x v="1"/>
    <x v="0"/>
    <x v="0"/>
    <x v="3"/>
    <x v="0"/>
    <x v="0"/>
    <x v="0"/>
    <x v="0"/>
    <x v="0"/>
    <x v="0"/>
    <s v="99"/>
    <x v="9"/>
    <x v="0"/>
    <x v="0"/>
    <x v="8"/>
    <n v="-18089.060000000001"/>
  </r>
  <r>
    <x v="0"/>
    <x v="0"/>
    <x v="1"/>
    <x v="0"/>
    <x v="0"/>
    <x v="3"/>
    <x v="0"/>
    <x v="0"/>
    <x v="0"/>
    <x v="0"/>
    <x v="0"/>
    <x v="0"/>
    <s v="99"/>
    <x v="9"/>
    <x v="0"/>
    <x v="0"/>
    <x v="9"/>
    <n v="-9129.74"/>
  </r>
  <r>
    <x v="0"/>
    <x v="0"/>
    <x v="1"/>
    <x v="0"/>
    <x v="0"/>
    <x v="3"/>
    <x v="0"/>
    <x v="0"/>
    <x v="0"/>
    <x v="0"/>
    <x v="0"/>
    <x v="0"/>
    <s v="99"/>
    <x v="9"/>
    <x v="0"/>
    <x v="0"/>
    <x v="10"/>
    <n v="846.31"/>
  </r>
  <r>
    <x v="0"/>
    <x v="0"/>
    <x v="1"/>
    <x v="0"/>
    <x v="0"/>
    <x v="3"/>
    <x v="0"/>
    <x v="0"/>
    <x v="0"/>
    <x v="0"/>
    <x v="0"/>
    <x v="0"/>
    <s v="99"/>
    <x v="9"/>
    <x v="0"/>
    <x v="0"/>
    <x v="11"/>
    <n v="-772.65"/>
  </r>
  <r>
    <x v="0"/>
    <x v="0"/>
    <x v="1"/>
    <x v="0"/>
    <x v="0"/>
    <x v="3"/>
    <x v="0"/>
    <x v="0"/>
    <x v="0"/>
    <x v="0"/>
    <x v="0"/>
    <x v="0"/>
    <s v="99"/>
    <x v="9"/>
    <x v="0"/>
    <x v="0"/>
    <x v="3"/>
    <n v="-9947.14"/>
  </r>
  <r>
    <x v="0"/>
    <x v="0"/>
    <x v="1"/>
    <x v="0"/>
    <x v="0"/>
    <x v="3"/>
    <x v="0"/>
    <x v="0"/>
    <x v="0"/>
    <x v="0"/>
    <x v="0"/>
    <x v="0"/>
    <s v="99"/>
    <x v="9"/>
    <x v="0"/>
    <x v="0"/>
    <x v="4"/>
    <n v="-979.76"/>
  </r>
  <r>
    <x v="0"/>
    <x v="0"/>
    <x v="1"/>
    <x v="0"/>
    <x v="0"/>
    <x v="3"/>
    <x v="0"/>
    <x v="0"/>
    <x v="0"/>
    <x v="0"/>
    <x v="0"/>
    <x v="0"/>
    <s v="99"/>
    <x v="9"/>
    <x v="0"/>
    <x v="0"/>
    <x v="7"/>
    <n v="30055.47"/>
  </r>
  <r>
    <x v="0"/>
    <x v="0"/>
    <x v="1"/>
    <x v="0"/>
    <x v="0"/>
    <x v="3"/>
    <x v="0"/>
    <x v="0"/>
    <x v="0"/>
    <x v="0"/>
    <x v="0"/>
    <x v="0"/>
    <s v="99"/>
    <x v="9"/>
    <x v="0"/>
    <x v="0"/>
    <x v="5"/>
    <n v="10274.219999999999"/>
  </r>
  <r>
    <x v="0"/>
    <x v="0"/>
    <x v="1"/>
    <x v="0"/>
    <x v="0"/>
    <x v="3"/>
    <x v="0"/>
    <x v="0"/>
    <x v="0"/>
    <x v="0"/>
    <x v="0"/>
    <x v="0"/>
    <s v="99"/>
    <x v="9"/>
    <x v="0"/>
    <x v="0"/>
    <x v="6"/>
    <n v="-3506.85"/>
  </r>
  <r>
    <x v="0"/>
    <x v="0"/>
    <x v="1"/>
    <x v="0"/>
    <x v="0"/>
    <x v="3"/>
    <x v="0"/>
    <x v="0"/>
    <x v="0"/>
    <x v="0"/>
    <x v="0"/>
    <x v="0"/>
    <s v="99"/>
    <x v="9"/>
    <x v="0"/>
    <x v="0"/>
    <x v="1"/>
    <n v="-16171.54"/>
  </r>
  <r>
    <x v="0"/>
    <x v="0"/>
    <x v="1"/>
    <x v="0"/>
    <x v="0"/>
    <x v="3"/>
    <x v="0"/>
    <x v="0"/>
    <x v="0"/>
    <x v="0"/>
    <x v="0"/>
    <x v="0"/>
    <s v="99"/>
    <x v="9"/>
    <x v="0"/>
    <x v="1"/>
    <x v="0"/>
    <n v="11114.84"/>
  </r>
  <r>
    <x v="0"/>
    <x v="0"/>
    <x v="1"/>
    <x v="0"/>
    <x v="0"/>
    <x v="3"/>
    <x v="0"/>
    <x v="0"/>
    <x v="0"/>
    <x v="0"/>
    <x v="0"/>
    <x v="0"/>
    <s v="99"/>
    <x v="9"/>
    <x v="0"/>
    <x v="1"/>
    <x v="2"/>
    <n v="20521.53"/>
  </r>
  <r>
    <x v="0"/>
    <x v="0"/>
    <x v="1"/>
    <x v="0"/>
    <x v="0"/>
    <x v="3"/>
    <x v="0"/>
    <x v="0"/>
    <x v="0"/>
    <x v="0"/>
    <x v="0"/>
    <x v="0"/>
    <s v="99"/>
    <x v="9"/>
    <x v="0"/>
    <x v="1"/>
    <x v="8"/>
    <n v="603.13"/>
  </r>
  <r>
    <x v="0"/>
    <x v="0"/>
    <x v="1"/>
    <x v="0"/>
    <x v="0"/>
    <x v="3"/>
    <x v="0"/>
    <x v="0"/>
    <x v="0"/>
    <x v="0"/>
    <x v="0"/>
    <x v="0"/>
    <s v="99"/>
    <x v="9"/>
    <x v="0"/>
    <x v="1"/>
    <x v="9"/>
    <n v="670.11"/>
  </r>
  <r>
    <x v="0"/>
    <x v="0"/>
    <x v="1"/>
    <x v="0"/>
    <x v="0"/>
    <x v="3"/>
    <x v="0"/>
    <x v="0"/>
    <x v="0"/>
    <x v="0"/>
    <x v="0"/>
    <x v="0"/>
    <s v="99"/>
    <x v="9"/>
    <x v="0"/>
    <x v="1"/>
    <x v="10"/>
    <n v="2080.67"/>
  </r>
  <r>
    <x v="0"/>
    <x v="0"/>
    <x v="1"/>
    <x v="0"/>
    <x v="0"/>
    <x v="3"/>
    <x v="0"/>
    <x v="0"/>
    <x v="0"/>
    <x v="0"/>
    <x v="0"/>
    <x v="0"/>
    <s v="99"/>
    <x v="9"/>
    <x v="0"/>
    <x v="1"/>
    <x v="11"/>
    <n v="1048.33"/>
  </r>
  <r>
    <x v="0"/>
    <x v="0"/>
    <x v="1"/>
    <x v="0"/>
    <x v="0"/>
    <x v="3"/>
    <x v="0"/>
    <x v="0"/>
    <x v="0"/>
    <x v="0"/>
    <x v="0"/>
    <x v="0"/>
    <s v="99"/>
    <x v="9"/>
    <x v="0"/>
    <x v="1"/>
    <x v="3"/>
    <n v="6841.41"/>
  </r>
  <r>
    <x v="0"/>
    <x v="0"/>
    <x v="1"/>
    <x v="0"/>
    <x v="0"/>
    <x v="3"/>
    <x v="0"/>
    <x v="0"/>
    <x v="0"/>
    <x v="0"/>
    <x v="0"/>
    <x v="0"/>
    <s v="99"/>
    <x v="9"/>
    <x v="0"/>
    <x v="1"/>
    <x v="4"/>
    <n v="5255.57"/>
  </r>
  <r>
    <x v="0"/>
    <x v="0"/>
    <x v="1"/>
    <x v="0"/>
    <x v="0"/>
    <x v="3"/>
    <x v="0"/>
    <x v="0"/>
    <x v="0"/>
    <x v="0"/>
    <x v="0"/>
    <x v="0"/>
    <s v="99"/>
    <x v="9"/>
    <x v="0"/>
    <x v="1"/>
    <x v="7"/>
    <n v="-3225.17"/>
  </r>
  <r>
    <x v="0"/>
    <x v="0"/>
    <x v="1"/>
    <x v="0"/>
    <x v="0"/>
    <x v="3"/>
    <x v="0"/>
    <x v="0"/>
    <x v="0"/>
    <x v="0"/>
    <x v="0"/>
    <x v="0"/>
    <s v="99"/>
    <x v="9"/>
    <x v="0"/>
    <x v="1"/>
    <x v="5"/>
    <n v="2605.41"/>
  </r>
  <r>
    <x v="0"/>
    <x v="0"/>
    <x v="1"/>
    <x v="0"/>
    <x v="0"/>
    <x v="3"/>
    <x v="0"/>
    <x v="0"/>
    <x v="0"/>
    <x v="0"/>
    <x v="0"/>
    <x v="0"/>
    <s v="99"/>
    <x v="9"/>
    <x v="0"/>
    <x v="1"/>
    <x v="6"/>
    <n v="-19981.400000000001"/>
  </r>
  <r>
    <x v="0"/>
    <x v="0"/>
    <x v="1"/>
    <x v="0"/>
    <x v="0"/>
    <x v="3"/>
    <x v="0"/>
    <x v="0"/>
    <x v="0"/>
    <x v="0"/>
    <x v="0"/>
    <x v="0"/>
    <s v="99"/>
    <x v="9"/>
    <x v="0"/>
    <x v="1"/>
    <x v="1"/>
    <n v="-27534.43"/>
  </r>
  <r>
    <x v="0"/>
    <x v="0"/>
    <x v="1"/>
    <x v="0"/>
    <x v="0"/>
    <x v="3"/>
    <x v="0"/>
    <x v="0"/>
    <x v="0"/>
    <x v="0"/>
    <x v="2"/>
    <x v="2"/>
    <s v="16"/>
    <x v="13"/>
    <x v="0"/>
    <x v="0"/>
    <x v="8"/>
    <n v="6136.65"/>
  </r>
  <r>
    <x v="0"/>
    <x v="0"/>
    <x v="1"/>
    <x v="0"/>
    <x v="0"/>
    <x v="3"/>
    <x v="0"/>
    <x v="0"/>
    <x v="0"/>
    <x v="0"/>
    <x v="2"/>
    <x v="2"/>
    <s v="16"/>
    <x v="13"/>
    <x v="0"/>
    <x v="0"/>
    <x v="5"/>
    <n v="-6136.65"/>
  </r>
  <r>
    <x v="0"/>
    <x v="0"/>
    <x v="1"/>
    <x v="0"/>
    <x v="0"/>
    <x v="3"/>
    <x v="0"/>
    <x v="0"/>
    <x v="0"/>
    <x v="0"/>
    <x v="2"/>
    <x v="2"/>
    <s v="16"/>
    <x v="13"/>
    <x v="0"/>
    <x v="1"/>
    <x v="8"/>
    <n v="28670.82"/>
  </r>
  <r>
    <x v="0"/>
    <x v="0"/>
    <x v="1"/>
    <x v="0"/>
    <x v="0"/>
    <x v="3"/>
    <x v="0"/>
    <x v="0"/>
    <x v="0"/>
    <x v="0"/>
    <x v="2"/>
    <x v="2"/>
    <s v="16"/>
    <x v="13"/>
    <x v="0"/>
    <x v="1"/>
    <x v="9"/>
    <n v="7346"/>
  </r>
  <r>
    <x v="0"/>
    <x v="0"/>
    <x v="1"/>
    <x v="0"/>
    <x v="0"/>
    <x v="3"/>
    <x v="0"/>
    <x v="0"/>
    <x v="0"/>
    <x v="0"/>
    <x v="2"/>
    <x v="2"/>
    <s v="30"/>
    <x v="14"/>
    <x v="0"/>
    <x v="0"/>
    <x v="2"/>
    <n v="-1516.13"/>
  </r>
  <r>
    <x v="0"/>
    <x v="0"/>
    <x v="1"/>
    <x v="0"/>
    <x v="0"/>
    <x v="3"/>
    <x v="0"/>
    <x v="0"/>
    <x v="0"/>
    <x v="0"/>
    <x v="2"/>
    <x v="2"/>
    <s v="30"/>
    <x v="14"/>
    <x v="0"/>
    <x v="0"/>
    <x v="8"/>
    <n v="-1740.13"/>
  </r>
  <r>
    <x v="0"/>
    <x v="0"/>
    <x v="1"/>
    <x v="0"/>
    <x v="0"/>
    <x v="3"/>
    <x v="0"/>
    <x v="0"/>
    <x v="0"/>
    <x v="0"/>
    <x v="2"/>
    <x v="2"/>
    <s v="30"/>
    <x v="14"/>
    <x v="0"/>
    <x v="0"/>
    <x v="9"/>
    <n v="-5173.9799999999996"/>
  </r>
  <r>
    <x v="0"/>
    <x v="0"/>
    <x v="1"/>
    <x v="0"/>
    <x v="0"/>
    <x v="3"/>
    <x v="0"/>
    <x v="0"/>
    <x v="0"/>
    <x v="0"/>
    <x v="2"/>
    <x v="2"/>
    <s v="30"/>
    <x v="14"/>
    <x v="0"/>
    <x v="0"/>
    <x v="11"/>
    <n v="-5173.01"/>
  </r>
  <r>
    <x v="0"/>
    <x v="0"/>
    <x v="1"/>
    <x v="0"/>
    <x v="0"/>
    <x v="3"/>
    <x v="0"/>
    <x v="0"/>
    <x v="0"/>
    <x v="0"/>
    <x v="2"/>
    <x v="2"/>
    <s v="30"/>
    <x v="14"/>
    <x v="0"/>
    <x v="0"/>
    <x v="3"/>
    <n v="13604.25"/>
  </r>
  <r>
    <x v="0"/>
    <x v="0"/>
    <x v="1"/>
    <x v="0"/>
    <x v="0"/>
    <x v="3"/>
    <x v="0"/>
    <x v="0"/>
    <x v="0"/>
    <x v="0"/>
    <x v="2"/>
    <x v="2"/>
    <s v="30"/>
    <x v="14"/>
    <x v="0"/>
    <x v="0"/>
    <x v="7"/>
    <n v="-5174.01"/>
  </r>
  <r>
    <x v="0"/>
    <x v="0"/>
    <x v="1"/>
    <x v="0"/>
    <x v="0"/>
    <x v="3"/>
    <x v="0"/>
    <x v="0"/>
    <x v="0"/>
    <x v="0"/>
    <x v="2"/>
    <x v="2"/>
    <s v="30"/>
    <x v="14"/>
    <x v="0"/>
    <x v="0"/>
    <x v="1"/>
    <n v="5173.01"/>
  </r>
  <r>
    <x v="0"/>
    <x v="0"/>
    <x v="1"/>
    <x v="0"/>
    <x v="0"/>
    <x v="3"/>
    <x v="0"/>
    <x v="0"/>
    <x v="0"/>
    <x v="0"/>
    <x v="2"/>
    <x v="2"/>
    <s v="30"/>
    <x v="14"/>
    <x v="0"/>
    <x v="1"/>
    <x v="8"/>
    <n v="-2586.9899999999998"/>
  </r>
  <r>
    <x v="0"/>
    <x v="0"/>
    <x v="1"/>
    <x v="0"/>
    <x v="0"/>
    <x v="3"/>
    <x v="0"/>
    <x v="0"/>
    <x v="0"/>
    <x v="0"/>
    <x v="2"/>
    <x v="2"/>
    <s v="30"/>
    <x v="14"/>
    <x v="0"/>
    <x v="1"/>
    <x v="11"/>
    <n v="995"/>
  </r>
  <r>
    <x v="0"/>
    <x v="0"/>
    <x v="1"/>
    <x v="0"/>
    <x v="0"/>
    <x v="3"/>
    <x v="0"/>
    <x v="0"/>
    <x v="0"/>
    <x v="0"/>
    <x v="2"/>
    <x v="2"/>
    <s v="30"/>
    <x v="14"/>
    <x v="0"/>
    <x v="1"/>
    <x v="3"/>
    <n v="-695"/>
  </r>
  <r>
    <x v="0"/>
    <x v="0"/>
    <x v="1"/>
    <x v="0"/>
    <x v="0"/>
    <x v="3"/>
    <x v="0"/>
    <x v="0"/>
    <x v="0"/>
    <x v="0"/>
    <x v="2"/>
    <x v="2"/>
    <s v="30"/>
    <x v="14"/>
    <x v="0"/>
    <x v="1"/>
    <x v="4"/>
    <n v="-2910"/>
  </r>
  <r>
    <x v="0"/>
    <x v="0"/>
    <x v="1"/>
    <x v="0"/>
    <x v="0"/>
    <x v="3"/>
    <x v="0"/>
    <x v="0"/>
    <x v="0"/>
    <x v="0"/>
    <x v="2"/>
    <x v="2"/>
    <s v="30"/>
    <x v="14"/>
    <x v="0"/>
    <x v="1"/>
    <x v="7"/>
    <n v="357"/>
  </r>
  <r>
    <x v="0"/>
    <x v="0"/>
    <x v="1"/>
    <x v="0"/>
    <x v="0"/>
    <x v="3"/>
    <x v="0"/>
    <x v="0"/>
    <x v="0"/>
    <x v="0"/>
    <x v="2"/>
    <x v="2"/>
    <s v="30"/>
    <x v="14"/>
    <x v="0"/>
    <x v="1"/>
    <x v="5"/>
    <n v="-2112"/>
  </r>
  <r>
    <x v="0"/>
    <x v="0"/>
    <x v="1"/>
    <x v="0"/>
    <x v="0"/>
    <x v="3"/>
    <x v="0"/>
    <x v="0"/>
    <x v="0"/>
    <x v="0"/>
    <x v="2"/>
    <x v="2"/>
    <s v="30"/>
    <x v="14"/>
    <x v="0"/>
    <x v="1"/>
    <x v="1"/>
    <n v="6951.99"/>
  </r>
  <r>
    <x v="0"/>
    <x v="0"/>
    <x v="1"/>
    <x v="0"/>
    <x v="0"/>
    <x v="3"/>
    <x v="0"/>
    <x v="0"/>
    <x v="0"/>
    <x v="0"/>
    <x v="2"/>
    <x v="2"/>
    <s v="91"/>
    <x v="10"/>
    <x v="0"/>
    <x v="0"/>
    <x v="0"/>
    <n v="1405.85"/>
  </r>
  <r>
    <x v="0"/>
    <x v="0"/>
    <x v="1"/>
    <x v="0"/>
    <x v="0"/>
    <x v="3"/>
    <x v="0"/>
    <x v="0"/>
    <x v="0"/>
    <x v="0"/>
    <x v="2"/>
    <x v="2"/>
    <s v="91"/>
    <x v="10"/>
    <x v="0"/>
    <x v="0"/>
    <x v="2"/>
    <n v="-4284.5"/>
  </r>
  <r>
    <x v="0"/>
    <x v="0"/>
    <x v="1"/>
    <x v="0"/>
    <x v="0"/>
    <x v="3"/>
    <x v="0"/>
    <x v="0"/>
    <x v="0"/>
    <x v="0"/>
    <x v="2"/>
    <x v="2"/>
    <s v="91"/>
    <x v="10"/>
    <x v="0"/>
    <x v="0"/>
    <x v="8"/>
    <n v="904.17"/>
  </r>
  <r>
    <x v="0"/>
    <x v="0"/>
    <x v="1"/>
    <x v="0"/>
    <x v="0"/>
    <x v="3"/>
    <x v="0"/>
    <x v="0"/>
    <x v="0"/>
    <x v="0"/>
    <x v="2"/>
    <x v="2"/>
    <s v="91"/>
    <x v="10"/>
    <x v="0"/>
    <x v="0"/>
    <x v="9"/>
    <n v="-4983.67"/>
  </r>
  <r>
    <x v="0"/>
    <x v="0"/>
    <x v="1"/>
    <x v="0"/>
    <x v="0"/>
    <x v="3"/>
    <x v="0"/>
    <x v="0"/>
    <x v="0"/>
    <x v="0"/>
    <x v="2"/>
    <x v="2"/>
    <s v="91"/>
    <x v="10"/>
    <x v="0"/>
    <x v="0"/>
    <x v="10"/>
    <n v="5614.5"/>
  </r>
  <r>
    <x v="0"/>
    <x v="0"/>
    <x v="1"/>
    <x v="0"/>
    <x v="0"/>
    <x v="3"/>
    <x v="0"/>
    <x v="0"/>
    <x v="0"/>
    <x v="0"/>
    <x v="2"/>
    <x v="2"/>
    <s v="91"/>
    <x v="10"/>
    <x v="0"/>
    <x v="0"/>
    <x v="11"/>
    <n v="-4345.6099999999997"/>
  </r>
  <r>
    <x v="0"/>
    <x v="0"/>
    <x v="1"/>
    <x v="0"/>
    <x v="0"/>
    <x v="3"/>
    <x v="0"/>
    <x v="0"/>
    <x v="0"/>
    <x v="0"/>
    <x v="2"/>
    <x v="2"/>
    <s v="91"/>
    <x v="10"/>
    <x v="0"/>
    <x v="0"/>
    <x v="3"/>
    <n v="1538.5"/>
  </r>
  <r>
    <x v="0"/>
    <x v="0"/>
    <x v="1"/>
    <x v="0"/>
    <x v="0"/>
    <x v="3"/>
    <x v="0"/>
    <x v="0"/>
    <x v="0"/>
    <x v="0"/>
    <x v="2"/>
    <x v="2"/>
    <s v="91"/>
    <x v="10"/>
    <x v="0"/>
    <x v="0"/>
    <x v="4"/>
    <n v="3220.5"/>
  </r>
  <r>
    <x v="0"/>
    <x v="0"/>
    <x v="1"/>
    <x v="0"/>
    <x v="0"/>
    <x v="3"/>
    <x v="0"/>
    <x v="0"/>
    <x v="0"/>
    <x v="0"/>
    <x v="2"/>
    <x v="2"/>
    <s v="91"/>
    <x v="10"/>
    <x v="0"/>
    <x v="0"/>
    <x v="7"/>
    <n v="-1530.6"/>
  </r>
  <r>
    <x v="0"/>
    <x v="0"/>
    <x v="1"/>
    <x v="0"/>
    <x v="0"/>
    <x v="3"/>
    <x v="0"/>
    <x v="0"/>
    <x v="0"/>
    <x v="0"/>
    <x v="2"/>
    <x v="2"/>
    <s v="91"/>
    <x v="10"/>
    <x v="0"/>
    <x v="0"/>
    <x v="5"/>
    <n v="665.1"/>
  </r>
  <r>
    <x v="0"/>
    <x v="0"/>
    <x v="1"/>
    <x v="0"/>
    <x v="0"/>
    <x v="3"/>
    <x v="0"/>
    <x v="0"/>
    <x v="0"/>
    <x v="0"/>
    <x v="2"/>
    <x v="2"/>
    <s v="91"/>
    <x v="10"/>
    <x v="0"/>
    <x v="0"/>
    <x v="6"/>
    <n v="1155.5"/>
  </r>
  <r>
    <x v="0"/>
    <x v="0"/>
    <x v="1"/>
    <x v="0"/>
    <x v="0"/>
    <x v="3"/>
    <x v="0"/>
    <x v="0"/>
    <x v="0"/>
    <x v="0"/>
    <x v="2"/>
    <x v="2"/>
    <s v="91"/>
    <x v="10"/>
    <x v="0"/>
    <x v="0"/>
    <x v="1"/>
    <n v="-2018"/>
  </r>
  <r>
    <x v="0"/>
    <x v="0"/>
    <x v="1"/>
    <x v="0"/>
    <x v="0"/>
    <x v="3"/>
    <x v="0"/>
    <x v="0"/>
    <x v="0"/>
    <x v="0"/>
    <x v="2"/>
    <x v="2"/>
    <s v="91"/>
    <x v="10"/>
    <x v="0"/>
    <x v="1"/>
    <x v="0"/>
    <n v="564"/>
  </r>
  <r>
    <x v="0"/>
    <x v="0"/>
    <x v="1"/>
    <x v="0"/>
    <x v="0"/>
    <x v="3"/>
    <x v="0"/>
    <x v="0"/>
    <x v="0"/>
    <x v="0"/>
    <x v="2"/>
    <x v="2"/>
    <s v="91"/>
    <x v="10"/>
    <x v="0"/>
    <x v="1"/>
    <x v="2"/>
    <n v="-1254"/>
  </r>
  <r>
    <x v="0"/>
    <x v="0"/>
    <x v="1"/>
    <x v="0"/>
    <x v="0"/>
    <x v="3"/>
    <x v="0"/>
    <x v="0"/>
    <x v="0"/>
    <x v="0"/>
    <x v="2"/>
    <x v="2"/>
    <s v="91"/>
    <x v="10"/>
    <x v="0"/>
    <x v="1"/>
    <x v="8"/>
    <n v="1099.5"/>
  </r>
  <r>
    <x v="0"/>
    <x v="0"/>
    <x v="1"/>
    <x v="0"/>
    <x v="0"/>
    <x v="3"/>
    <x v="0"/>
    <x v="0"/>
    <x v="0"/>
    <x v="0"/>
    <x v="2"/>
    <x v="2"/>
    <s v="91"/>
    <x v="10"/>
    <x v="0"/>
    <x v="1"/>
    <x v="9"/>
    <n v="661.95"/>
  </r>
  <r>
    <x v="0"/>
    <x v="0"/>
    <x v="1"/>
    <x v="0"/>
    <x v="0"/>
    <x v="3"/>
    <x v="0"/>
    <x v="0"/>
    <x v="0"/>
    <x v="0"/>
    <x v="2"/>
    <x v="2"/>
    <s v="91"/>
    <x v="10"/>
    <x v="0"/>
    <x v="1"/>
    <x v="10"/>
    <n v="-4183.1000000000004"/>
  </r>
  <r>
    <x v="0"/>
    <x v="0"/>
    <x v="1"/>
    <x v="0"/>
    <x v="0"/>
    <x v="3"/>
    <x v="0"/>
    <x v="0"/>
    <x v="0"/>
    <x v="0"/>
    <x v="2"/>
    <x v="2"/>
    <s v="91"/>
    <x v="10"/>
    <x v="0"/>
    <x v="1"/>
    <x v="11"/>
    <n v="3905"/>
  </r>
  <r>
    <x v="0"/>
    <x v="0"/>
    <x v="1"/>
    <x v="0"/>
    <x v="0"/>
    <x v="3"/>
    <x v="0"/>
    <x v="0"/>
    <x v="0"/>
    <x v="0"/>
    <x v="2"/>
    <x v="2"/>
    <s v="91"/>
    <x v="10"/>
    <x v="0"/>
    <x v="1"/>
    <x v="3"/>
    <n v="-3025.6"/>
  </r>
  <r>
    <x v="0"/>
    <x v="0"/>
    <x v="1"/>
    <x v="0"/>
    <x v="0"/>
    <x v="3"/>
    <x v="0"/>
    <x v="0"/>
    <x v="0"/>
    <x v="0"/>
    <x v="2"/>
    <x v="2"/>
    <s v="91"/>
    <x v="10"/>
    <x v="0"/>
    <x v="1"/>
    <x v="4"/>
    <n v="6146.37"/>
  </r>
  <r>
    <x v="0"/>
    <x v="0"/>
    <x v="1"/>
    <x v="0"/>
    <x v="0"/>
    <x v="3"/>
    <x v="0"/>
    <x v="0"/>
    <x v="0"/>
    <x v="0"/>
    <x v="2"/>
    <x v="2"/>
    <s v="91"/>
    <x v="10"/>
    <x v="0"/>
    <x v="1"/>
    <x v="7"/>
    <n v="-1490.5"/>
  </r>
  <r>
    <x v="0"/>
    <x v="0"/>
    <x v="1"/>
    <x v="0"/>
    <x v="0"/>
    <x v="3"/>
    <x v="0"/>
    <x v="0"/>
    <x v="0"/>
    <x v="0"/>
    <x v="2"/>
    <x v="2"/>
    <s v="91"/>
    <x v="10"/>
    <x v="0"/>
    <x v="1"/>
    <x v="5"/>
    <n v="-2356.2800000000002"/>
  </r>
  <r>
    <x v="0"/>
    <x v="0"/>
    <x v="1"/>
    <x v="0"/>
    <x v="0"/>
    <x v="3"/>
    <x v="0"/>
    <x v="0"/>
    <x v="0"/>
    <x v="0"/>
    <x v="2"/>
    <x v="2"/>
    <s v="91"/>
    <x v="10"/>
    <x v="0"/>
    <x v="1"/>
    <x v="6"/>
    <n v="-9991.2199999999993"/>
  </r>
  <r>
    <x v="0"/>
    <x v="0"/>
    <x v="1"/>
    <x v="0"/>
    <x v="0"/>
    <x v="3"/>
    <x v="0"/>
    <x v="0"/>
    <x v="0"/>
    <x v="0"/>
    <x v="2"/>
    <x v="2"/>
    <s v="91"/>
    <x v="10"/>
    <x v="0"/>
    <x v="1"/>
    <x v="1"/>
    <n v="9923.8799999999992"/>
  </r>
  <r>
    <x v="1"/>
    <x v="0"/>
    <x v="0"/>
    <x v="0"/>
    <x v="0"/>
    <x v="0"/>
    <x v="0"/>
    <x v="0"/>
    <x v="0"/>
    <x v="0"/>
    <x v="0"/>
    <x v="0"/>
    <s v="09"/>
    <x v="0"/>
    <x v="0"/>
    <x v="2"/>
    <x v="0"/>
    <n v="-13310.18"/>
  </r>
  <r>
    <x v="1"/>
    <x v="0"/>
    <x v="0"/>
    <x v="0"/>
    <x v="0"/>
    <x v="0"/>
    <x v="0"/>
    <x v="0"/>
    <x v="0"/>
    <x v="0"/>
    <x v="0"/>
    <x v="0"/>
    <s v="09"/>
    <x v="0"/>
    <x v="0"/>
    <x v="2"/>
    <x v="11"/>
    <n v="-20111"/>
  </r>
  <r>
    <x v="1"/>
    <x v="0"/>
    <x v="0"/>
    <x v="0"/>
    <x v="0"/>
    <x v="0"/>
    <x v="0"/>
    <x v="0"/>
    <x v="0"/>
    <x v="0"/>
    <x v="0"/>
    <x v="0"/>
    <s v="09"/>
    <x v="0"/>
    <x v="0"/>
    <x v="2"/>
    <x v="1"/>
    <n v="19803.61"/>
  </r>
  <r>
    <x v="1"/>
    <x v="0"/>
    <x v="0"/>
    <x v="0"/>
    <x v="0"/>
    <x v="0"/>
    <x v="0"/>
    <x v="0"/>
    <x v="0"/>
    <x v="0"/>
    <x v="0"/>
    <x v="0"/>
    <s v="09"/>
    <x v="0"/>
    <x v="0"/>
    <x v="3"/>
    <x v="0"/>
    <n v="-3798.61"/>
  </r>
  <r>
    <x v="1"/>
    <x v="0"/>
    <x v="0"/>
    <x v="0"/>
    <x v="0"/>
    <x v="0"/>
    <x v="0"/>
    <x v="0"/>
    <x v="0"/>
    <x v="0"/>
    <x v="0"/>
    <x v="0"/>
    <s v="09"/>
    <x v="0"/>
    <x v="0"/>
    <x v="3"/>
    <x v="1"/>
    <n v="58909.72"/>
  </r>
  <r>
    <x v="1"/>
    <x v="0"/>
    <x v="0"/>
    <x v="0"/>
    <x v="0"/>
    <x v="0"/>
    <x v="0"/>
    <x v="0"/>
    <x v="0"/>
    <x v="0"/>
    <x v="0"/>
    <x v="0"/>
    <s v="24"/>
    <x v="1"/>
    <x v="0"/>
    <x v="2"/>
    <x v="0"/>
    <n v="3099.02"/>
  </r>
  <r>
    <x v="1"/>
    <x v="0"/>
    <x v="0"/>
    <x v="0"/>
    <x v="0"/>
    <x v="0"/>
    <x v="0"/>
    <x v="0"/>
    <x v="0"/>
    <x v="0"/>
    <x v="0"/>
    <x v="0"/>
    <s v="24"/>
    <x v="1"/>
    <x v="0"/>
    <x v="2"/>
    <x v="2"/>
    <n v="-542023.89"/>
  </r>
  <r>
    <x v="1"/>
    <x v="0"/>
    <x v="0"/>
    <x v="0"/>
    <x v="0"/>
    <x v="0"/>
    <x v="0"/>
    <x v="0"/>
    <x v="0"/>
    <x v="0"/>
    <x v="0"/>
    <x v="0"/>
    <s v="24"/>
    <x v="1"/>
    <x v="0"/>
    <x v="2"/>
    <x v="1"/>
    <n v="588586.1"/>
  </r>
  <r>
    <x v="1"/>
    <x v="0"/>
    <x v="0"/>
    <x v="0"/>
    <x v="0"/>
    <x v="0"/>
    <x v="0"/>
    <x v="0"/>
    <x v="0"/>
    <x v="0"/>
    <x v="0"/>
    <x v="0"/>
    <s v="24"/>
    <x v="1"/>
    <x v="0"/>
    <x v="3"/>
    <x v="0"/>
    <n v="2381.62"/>
  </r>
  <r>
    <x v="1"/>
    <x v="0"/>
    <x v="0"/>
    <x v="0"/>
    <x v="0"/>
    <x v="0"/>
    <x v="0"/>
    <x v="0"/>
    <x v="0"/>
    <x v="0"/>
    <x v="0"/>
    <x v="0"/>
    <s v="24"/>
    <x v="1"/>
    <x v="0"/>
    <x v="3"/>
    <x v="2"/>
    <n v="-713301.85"/>
  </r>
  <r>
    <x v="1"/>
    <x v="0"/>
    <x v="0"/>
    <x v="0"/>
    <x v="0"/>
    <x v="0"/>
    <x v="0"/>
    <x v="0"/>
    <x v="0"/>
    <x v="0"/>
    <x v="0"/>
    <x v="0"/>
    <s v="24"/>
    <x v="1"/>
    <x v="0"/>
    <x v="3"/>
    <x v="1"/>
    <n v="541835.82999999996"/>
  </r>
  <r>
    <x v="1"/>
    <x v="0"/>
    <x v="0"/>
    <x v="0"/>
    <x v="0"/>
    <x v="0"/>
    <x v="0"/>
    <x v="0"/>
    <x v="0"/>
    <x v="0"/>
    <x v="0"/>
    <x v="0"/>
    <s v="80"/>
    <x v="11"/>
    <x v="0"/>
    <x v="2"/>
    <x v="1"/>
    <n v="-358269.44"/>
  </r>
  <r>
    <x v="1"/>
    <x v="0"/>
    <x v="0"/>
    <x v="0"/>
    <x v="0"/>
    <x v="0"/>
    <x v="0"/>
    <x v="0"/>
    <x v="0"/>
    <x v="0"/>
    <x v="0"/>
    <x v="0"/>
    <s v="80"/>
    <x v="11"/>
    <x v="0"/>
    <x v="3"/>
    <x v="0"/>
    <n v="358269.44"/>
  </r>
  <r>
    <x v="1"/>
    <x v="0"/>
    <x v="0"/>
    <x v="0"/>
    <x v="0"/>
    <x v="0"/>
    <x v="0"/>
    <x v="0"/>
    <x v="0"/>
    <x v="0"/>
    <x v="0"/>
    <x v="0"/>
    <s v="81"/>
    <x v="2"/>
    <x v="0"/>
    <x v="2"/>
    <x v="0"/>
    <n v="300299.69"/>
  </r>
  <r>
    <x v="1"/>
    <x v="0"/>
    <x v="0"/>
    <x v="0"/>
    <x v="0"/>
    <x v="0"/>
    <x v="0"/>
    <x v="0"/>
    <x v="0"/>
    <x v="0"/>
    <x v="0"/>
    <x v="0"/>
    <s v="81"/>
    <x v="2"/>
    <x v="0"/>
    <x v="3"/>
    <x v="1"/>
    <n v="-460624.98"/>
  </r>
  <r>
    <x v="1"/>
    <x v="0"/>
    <x v="0"/>
    <x v="0"/>
    <x v="0"/>
    <x v="1"/>
    <x v="0"/>
    <x v="0"/>
    <x v="0"/>
    <x v="0"/>
    <x v="0"/>
    <x v="0"/>
    <s v="09"/>
    <x v="0"/>
    <x v="0"/>
    <x v="2"/>
    <x v="1"/>
    <n v="111750.5"/>
  </r>
  <r>
    <x v="1"/>
    <x v="0"/>
    <x v="0"/>
    <x v="0"/>
    <x v="0"/>
    <x v="5"/>
    <x v="0"/>
    <x v="0"/>
    <x v="0"/>
    <x v="0"/>
    <x v="0"/>
    <x v="0"/>
    <s v="85"/>
    <x v="21"/>
    <x v="0"/>
    <x v="2"/>
    <x v="7"/>
    <n v="67533.710000000006"/>
  </r>
  <r>
    <x v="1"/>
    <x v="0"/>
    <x v="0"/>
    <x v="0"/>
    <x v="0"/>
    <x v="5"/>
    <x v="0"/>
    <x v="0"/>
    <x v="0"/>
    <x v="0"/>
    <x v="0"/>
    <x v="0"/>
    <s v="85"/>
    <x v="21"/>
    <x v="0"/>
    <x v="3"/>
    <x v="9"/>
    <n v="-3.24"/>
  </r>
  <r>
    <x v="1"/>
    <x v="0"/>
    <x v="0"/>
    <x v="0"/>
    <x v="0"/>
    <x v="5"/>
    <x v="0"/>
    <x v="0"/>
    <x v="0"/>
    <x v="0"/>
    <x v="0"/>
    <x v="0"/>
    <s v="85"/>
    <x v="21"/>
    <x v="0"/>
    <x v="3"/>
    <x v="5"/>
    <n v="11817.25"/>
  </r>
  <r>
    <x v="1"/>
    <x v="0"/>
    <x v="0"/>
    <x v="0"/>
    <x v="0"/>
    <x v="6"/>
    <x v="0"/>
    <x v="0"/>
    <x v="0"/>
    <x v="0"/>
    <x v="0"/>
    <x v="0"/>
    <s v="85"/>
    <x v="21"/>
    <x v="0"/>
    <x v="2"/>
    <x v="1"/>
    <n v="643447.59"/>
  </r>
  <r>
    <x v="1"/>
    <x v="0"/>
    <x v="0"/>
    <x v="0"/>
    <x v="0"/>
    <x v="6"/>
    <x v="0"/>
    <x v="0"/>
    <x v="0"/>
    <x v="0"/>
    <x v="0"/>
    <x v="0"/>
    <s v="85"/>
    <x v="21"/>
    <x v="0"/>
    <x v="3"/>
    <x v="1"/>
    <n v="-643447.59"/>
  </r>
  <r>
    <x v="1"/>
    <x v="0"/>
    <x v="0"/>
    <x v="0"/>
    <x v="0"/>
    <x v="2"/>
    <x v="0"/>
    <x v="0"/>
    <x v="0"/>
    <x v="0"/>
    <x v="0"/>
    <x v="0"/>
    <s v="20"/>
    <x v="7"/>
    <x v="0"/>
    <x v="3"/>
    <x v="10"/>
    <n v="-50"/>
  </r>
  <r>
    <x v="1"/>
    <x v="0"/>
    <x v="0"/>
    <x v="0"/>
    <x v="0"/>
    <x v="2"/>
    <x v="0"/>
    <x v="0"/>
    <x v="0"/>
    <x v="0"/>
    <x v="0"/>
    <x v="0"/>
    <s v="85"/>
    <x v="21"/>
    <x v="0"/>
    <x v="3"/>
    <x v="1"/>
    <n v="-60428.07"/>
  </r>
  <r>
    <x v="1"/>
    <x v="0"/>
    <x v="0"/>
    <x v="0"/>
    <x v="0"/>
    <x v="3"/>
    <x v="0"/>
    <x v="0"/>
    <x v="0"/>
    <x v="1"/>
    <x v="1"/>
    <x v="1"/>
    <s v="41"/>
    <x v="4"/>
    <x v="0"/>
    <x v="2"/>
    <x v="10"/>
    <n v="10695.87"/>
  </r>
  <r>
    <x v="1"/>
    <x v="0"/>
    <x v="0"/>
    <x v="0"/>
    <x v="0"/>
    <x v="3"/>
    <x v="0"/>
    <x v="0"/>
    <x v="0"/>
    <x v="1"/>
    <x v="1"/>
    <x v="1"/>
    <s v="41"/>
    <x v="4"/>
    <x v="0"/>
    <x v="2"/>
    <x v="11"/>
    <n v="-10695.87"/>
  </r>
  <r>
    <x v="1"/>
    <x v="0"/>
    <x v="0"/>
    <x v="0"/>
    <x v="0"/>
    <x v="3"/>
    <x v="0"/>
    <x v="0"/>
    <x v="0"/>
    <x v="1"/>
    <x v="1"/>
    <x v="1"/>
    <s v="41"/>
    <x v="4"/>
    <x v="0"/>
    <x v="2"/>
    <x v="4"/>
    <n v="39356.36"/>
  </r>
  <r>
    <x v="1"/>
    <x v="0"/>
    <x v="0"/>
    <x v="0"/>
    <x v="0"/>
    <x v="3"/>
    <x v="0"/>
    <x v="0"/>
    <x v="0"/>
    <x v="1"/>
    <x v="1"/>
    <x v="1"/>
    <s v="41"/>
    <x v="4"/>
    <x v="0"/>
    <x v="2"/>
    <x v="7"/>
    <n v="-39356.36"/>
  </r>
  <r>
    <x v="1"/>
    <x v="0"/>
    <x v="0"/>
    <x v="0"/>
    <x v="0"/>
    <x v="3"/>
    <x v="0"/>
    <x v="0"/>
    <x v="0"/>
    <x v="1"/>
    <x v="1"/>
    <x v="1"/>
    <s v="41"/>
    <x v="4"/>
    <x v="0"/>
    <x v="2"/>
    <x v="6"/>
    <n v="35572.080000000002"/>
  </r>
  <r>
    <x v="1"/>
    <x v="0"/>
    <x v="0"/>
    <x v="0"/>
    <x v="0"/>
    <x v="3"/>
    <x v="0"/>
    <x v="0"/>
    <x v="0"/>
    <x v="1"/>
    <x v="1"/>
    <x v="1"/>
    <s v="41"/>
    <x v="4"/>
    <x v="0"/>
    <x v="2"/>
    <x v="1"/>
    <n v="-35572.080000000002"/>
  </r>
  <r>
    <x v="1"/>
    <x v="0"/>
    <x v="0"/>
    <x v="0"/>
    <x v="0"/>
    <x v="3"/>
    <x v="0"/>
    <x v="0"/>
    <x v="0"/>
    <x v="1"/>
    <x v="1"/>
    <x v="1"/>
    <s v="41"/>
    <x v="4"/>
    <x v="0"/>
    <x v="3"/>
    <x v="2"/>
    <n v="-212077.25"/>
  </r>
  <r>
    <x v="1"/>
    <x v="0"/>
    <x v="0"/>
    <x v="0"/>
    <x v="0"/>
    <x v="3"/>
    <x v="0"/>
    <x v="0"/>
    <x v="0"/>
    <x v="1"/>
    <x v="1"/>
    <x v="1"/>
    <s v="41"/>
    <x v="4"/>
    <x v="0"/>
    <x v="3"/>
    <x v="8"/>
    <n v="-390.65"/>
  </r>
  <r>
    <x v="1"/>
    <x v="0"/>
    <x v="0"/>
    <x v="0"/>
    <x v="0"/>
    <x v="3"/>
    <x v="0"/>
    <x v="0"/>
    <x v="0"/>
    <x v="1"/>
    <x v="1"/>
    <x v="1"/>
    <s v="41"/>
    <x v="4"/>
    <x v="0"/>
    <x v="3"/>
    <x v="9"/>
    <n v="-5303.44"/>
  </r>
  <r>
    <x v="1"/>
    <x v="0"/>
    <x v="0"/>
    <x v="0"/>
    <x v="0"/>
    <x v="3"/>
    <x v="0"/>
    <x v="0"/>
    <x v="0"/>
    <x v="1"/>
    <x v="1"/>
    <x v="1"/>
    <s v="41"/>
    <x v="4"/>
    <x v="0"/>
    <x v="3"/>
    <x v="3"/>
    <n v="174.58"/>
  </r>
  <r>
    <x v="1"/>
    <x v="0"/>
    <x v="0"/>
    <x v="0"/>
    <x v="0"/>
    <x v="3"/>
    <x v="0"/>
    <x v="0"/>
    <x v="0"/>
    <x v="1"/>
    <x v="1"/>
    <x v="1"/>
    <s v="41"/>
    <x v="4"/>
    <x v="0"/>
    <x v="3"/>
    <x v="4"/>
    <n v="-174.58"/>
  </r>
  <r>
    <x v="1"/>
    <x v="0"/>
    <x v="0"/>
    <x v="0"/>
    <x v="0"/>
    <x v="3"/>
    <x v="0"/>
    <x v="0"/>
    <x v="0"/>
    <x v="1"/>
    <x v="1"/>
    <x v="1"/>
    <s v="41"/>
    <x v="4"/>
    <x v="0"/>
    <x v="3"/>
    <x v="5"/>
    <n v="272327.93"/>
  </r>
  <r>
    <x v="1"/>
    <x v="0"/>
    <x v="0"/>
    <x v="0"/>
    <x v="0"/>
    <x v="3"/>
    <x v="0"/>
    <x v="0"/>
    <x v="0"/>
    <x v="1"/>
    <x v="1"/>
    <x v="1"/>
    <s v="41"/>
    <x v="4"/>
    <x v="0"/>
    <x v="3"/>
    <x v="6"/>
    <n v="-54682.47"/>
  </r>
  <r>
    <x v="1"/>
    <x v="0"/>
    <x v="0"/>
    <x v="0"/>
    <x v="0"/>
    <x v="3"/>
    <x v="0"/>
    <x v="0"/>
    <x v="0"/>
    <x v="1"/>
    <x v="1"/>
    <x v="1"/>
    <s v="41"/>
    <x v="4"/>
    <x v="0"/>
    <x v="3"/>
    <x v="1"/>
    <n v="125.88"/>
  </r>
  <r>
    <x v="1"/>
    <x v="0"/>
    <x v="0"/>
    <x v="0"/>
    <x v="0"/>
    <x v="3"/>
    <x v="0"/>
    <x v="0"/>
    <x v="0"/>
    <x v="1"/>
    <x v="1"/>
    <x v="1"/>
    <s v="46"/>
    <x v="22"/>
    <x v="0"/>
    <x v="2"/>
    <x v="3"/>
    <n v="398.76"/>
  </r>
  <r>
    <x v="1"/>
    <x v="0"/>
    <x v="0"/>
    <x v="0"/>
    <x v="0"/>
    <x v="3"/>
    <x v="0"/>
    <x v="0"/>
    <x v="0"/>
    <x v="1"/>
    <x v="1"/>
    <x v="1"/>
    <s v="46"/>
    <x v="22"/>
    <x v="0"/>
    <x v="2"/>
    <x v="4"/>
    <n v="58.53"/>
  </r>
  <r>
    <x v="1"/>
    <x v="0"/>
    <x v="0"/>
    <x v="0"/>
    <x v="0"/>
    <x v="3"/>
    <x v="0"/>
    <x v="0"/>
    <x v="0"/>
    <x v="1"/>
    <x v="1"/>
    <x v="1"/>
    <s v="46"/>
    <x v="22"/>
    <x v="0"/>
    <x v="2"/>
    <x v="7"/>
    <n v="-457.29"/>
  </r>
  <r>
    <x v="1"/>
    <x v="0"/>
    <x v="0"/>
    <x v="0"/>
    <x v="0"/>
    <x v="3"/>
    <x v="0"/>
    <x v="0"/>
    <x v="0"/>
    <x v="0"/>
    <x v="0"/>
    <x v="0"/>
    <s v="02"/>
    <x v="5"/>
    <x v="0"/>
    <x v="2"/>
    <x v="0"/>
    <n v="-439.13"/>
  </r>
  <r>
    <x v="1"/>
    <x v="0"/>
    <x v="0"/>
    <x v="0"/>
    <x v="0"/>
    <x v="3"/>
    <x v="0"/>
    <x v="0"/>
    <x v="0"/>
    <x v="0"/>
    <x v="0"/>
    <x v="0"/>
    <s v="02"/>
    <x v="5"/>
    <x v="0"/>
    <x v="2"/>
    <x v="2"/>
    <n v="-85"/>
  </r>
  <r>
    <x v="1"/>
    <x v="0"/>
    <x v="0"/>
    <x v="0"/>
    <x v="0"/>
    <x v="3"/>
    <x v="0"/>
    <x v="0"/>
    <x v="0"/>
    <x v="0"/>
    <x v="0"/>
    <x v="0"/>
    <s v="02"/>
    <x v="5"/>
    <x v="0"/>
    <x v="2"/>
    <x v="9"/>
    <n v="465"/>
  </r>
  <r>
    <x v="1"/>
    <x v="0"/>
    <x v="0"/>
    <x v="0"/>
    <x v="0"/>
    <x v="3"/>
    <x v="0"/>
    <x v="0"/>
    <x v="0"/>
    <x v="0"/>
    <x v="0"/>
    <x v="0"/>
    <s v="02"/>
    <x v="5"/>
    <x v="0"/>
    <x v="2"/>
    <x v="10"/>
    <n v="-447.5"/>
  </r>
  <r>
    <x v="1"/>
    <x v="0"/>
    <x v="0"/>
    <x v="0"/>
    <x v="0"/>
    <x v="3"/>
    <x v="0"/>
    <x v="0"/>
    <x v="0"/>
    <x v="0"/>
    <x v="0"/>
    <x v="0"/>
    <s v="02"/>
    <x v="5"/>
    <x v="0"/>
    <x v="2"/>
    <x v="11"/>
    <n v="-1280.83"/>
  </r>
  <r>
    <x v="1"/>
    <x v="0"/>
    <x v="0"/>
    <x v="0"/>
    <x v="0"/>
    <x v="3"/>
    <x v="0"/>
    <x v="0"/>
    <x v="0"/>
    <x v="0"/>
    <x v="0"/>
    <x v="0"/>
    <s v="02"/>
    <x v="5"/>
    <x v="0"/>
    <x v="2"/>
    <x v="3"/>
    <n v="792.46"/>
  </r>
  <r>
    <x v="1"/>
    <x v="0"/>
    <x v="0"/>
    <x v="0"/>
    <x v="0"/>
    <x v="3"/>
    <x v="0"/>
    <x v="0"/>
    <x v="0"/>
    <x v="0"/>
    <x v="0"/>
    <x v="0"/>
    <s v="02"/>
    <x v="5"/>
    <x v="0"/>
    <x v="2"/>
    <x v="5"/>
    <n v="-660"/>
  </r>
  <r>
    <x v="1"/>
    <x v="0"/>
    <x v="0"/>
    <x v="0"/>
    <x v="0"/>
    <x v="3"/>
    <x v="0"/>
    <x v="0"/>
    <x v="0"/>
    <x v="0"/>
    <x v="0"/>
    <x v="0"/>
    <s v="02"/>
    <x v="5"/>
    <x v="0"/>
    <x v="2"/>
    <x v="1"/>
    <n v="1655"/>
  </r>
  <r>
    <x v="1"/>
    <x v="0"/>
    <x v="0"/>
    <x v="0"/>
    <x v="0"/>
    <x v="3"/>
    <x v="0"/>
    <x v="0"/>
    <x v="0"/>
    <x v="0"/>
    <x v="0"/>
    <x v="0"/>
    <s v="02"/>
    <x v="5"/>
    <x v="0"/>
    <x v="3"/>
    <x v="4"/>
    <n v="950.75"/>
  </r>
  <r>
    <x v="1"/>
    <x v="0"/>
    <x v="0"/>
    <x v="0"/>
    <x v="0"/>
    <x v="3"/>
    <x v="0"/>
    <x v="0"/>
    <x v="0"/>
    <x v="0"/>
    <x v="0"/>
    <x v="0"/>
    <s v="02"/>
    <x v="5"/>
    <x v="0"/>
    <x v="3"/>
    <x v="7"/>
    <n v="-950.75"/>
  </r>
  <r>
    <x v="1"/>
    <x v="0"/>
    <x v="0"/>
    <x v="0"/>
    <x v="0"/>
    <x v="3"/>
    <x v="0"/>
    <x v="0"/>
    <x v="0"/>
    <x v="0"/>
    <x v="0"/>
    <x v="0"/>
    <s v="02"/>
    <x v="5"/>
    <x v="0"/>
    <x v="3"/>
    <x v="6"/>
    <n v="1975.8"/>
  </r>
  <r>
    <x v="1"/>
    <x v="0"/>
    <x v="0"/>
    <x v="0"/>
    <x v="0"/>
    <x v="3"/>
    <x v="0"/>
    <x v="0"/>
    <x v="0"/>
    <x v="0"/>
    <x v="0"/>
    <x v="0"/>
    <s v="02"/>
    <x v="5"/>
    <x v="0"/>
    <x v="3"/>
    <x v="1"/>
    <n v="-1975.8"/>
  </r>
  <r>
    <x v="1"/>
    <x v="0"/>
    <x v="0"/>
    <x v="0"/>
    <x v="0"/>
    <x v="3"/>
    <x v="0"/>
    <x v="0"/>
    <x v="0"/>
    <x v="0"/>
    <x v="0"/>
    <x v="0"/>
    <s v="05"/>
    <x v="6"/>
    <x v="0"/>
    <x v="2"/>
    <x v="7"/>
    <n v="-476.25"/>
  </r>
  <r>
    <x v="1"/>
    <x v="0"/>
    <x v="0"/>
    <x v="0"/>
    <x v="0"/>
    <x v="3"/>
    <x v="0"/>
    <x v="0"/>
    <x v="0"/>
    <x v="0"/>
    <x v="0"/>
    <x v="0"/>
    <s v="05"/>
    <x v="6"/>
    <x v="0"/>
    <x v="2"/>
    <x v="1"/>
    <n v="476.25"/>
  </r>
  <r>
    <x v="1"/>
    <x v="0"/>
    <x v="0"/>
    <x v="0"/>
    <x v="0"/>
    <x v="3"/>
    <x v="0"/>
    <x v="0"/>
    <x v="0"/>
    <x v="0"/>
    <x v="0"/>
    <x v="0"/>
    <s v="05"/>
    <x v="6"/>
    <x v="0"/>
    <x v="3"/>
    <x v="4"/>
    <n v="-453.19"/>
  </r>
  <r>
    <x v="1"/>
    <x v="0"/>
    <x v="0"/>
    <x v="0"/>
    <x v="0"/>
    <x v="3"/>
    <x v="0"/>
    <x v="0"/>
    <x v="0"/>
    <x v="0"/>
    <x v="0"/>
    <x v="0"/>
    <s v="05"/>
    <x v="6"/>
    <x v="0"/>
    <x v="3"/>
    <x v="7"/>
    <n v="453.19"/>
  </r>
  <r>
    <x v="1"/>
    <x v="0"/>
    <x v="0"/>
    <x v="0"/>
    <x v="0"/>
    <x v="3"/>
    <x v="0"/>
    <x v="0"/>
    <x v="0"/>
    <x v="0"/>
    <x v="0"/>
    <x v="0"/>
    <s v="05"/>
    <x v="6"/>
    <x v="0"/>
    <x v="3"/>
    <x v="6"/>
    <n v="260"/>
  </r>
  <r>
    <x v="1"/>
    <x v="0"/>
    <x v="0"/>
    <x v="0"/>
    <x v="0"/>
    <x v="3"/>
    <x v="0"/>
    <x v="0"/>
    <x v="0"/>
    <x v="0"/>
    <x v="0"/>
    <x v="0"/>
    <s v="05"/>
    <x v="6"/>
    <x v="0"/>
    <x v="3"/>
    <x v="1"/>
    <n v="-260"/>
  </r>
  <r>
    <x v="1"/>
    <x v="0"/>
    <x v="0"/>
    <x v="0"/>
    <x v="0"/>
    <x v="3"/>
    <x v="0"/>
    <x v="0"/>
    <x v="0"/>
    <x v="0"/>
    <x v="0"/>
    <x v="0"/>
    <s v="09"/>
    <x v="0"/>
    <x v="0"/>
    <x v="2"/>
    <x v="0"/>
    <n v="8417.49"/>
  </r>
  <r>
    <x v="1"/>
    <x v="0"/>
    <x v="0"/>
    <x v="0"/>
    <x v="0"/>
    <x v="3"/>
    <x v="0"/>
    <x v="0"/>
    <x v="0"/>
    <x v="0"/>
    <x v="0"/>
    <x v="0"/>
    <s v="09"/>
    <x v="0"/>
    <x v="0"/>
    <x v="2"/>
    <x v="8"/>
    <n v="-36008.99"/>
  </r>
  <r>
    <x v="1"/>
    <x v="0"/>
    <x v="0"/>
    <x v="0"/>
    <x v="0"/>
    <x v="3"/>
    <x v="0"/>
    <x v="0"/>
    <x v="0"/>
    <x v="0"/>
    <x v="0"/>
    <x v="0"/>
    <s v="09"/>
    <x v="0"/>
    <x v="0"/>
    <x v="2"/>
    <x v="9"/>
    <n v="-18342.650000000001"/>
  </r>
  <r>
    <x v="1"/>
    <x v="0"/>
    <x v="0"/>
    <x v="0"/>
    <x v="0"/>
    <x v="3"/>
    <x v="0"/>
    <x v="0"/>
    <x v="0"/>
    <x v="0"/>
    <x v="0"/>
    <x v="0"/>
    <s v="09"/>
    <x v="0"/>
    <x v="0"/>
    <x v="2"/>
    <x v="10"/>
    <n v="47492.15"/>
  </r>
  <r>
    <x v="1"/>
    <x v="0"/>
    <x v="0"/>
    <x v="0"/>
    <x v="0"/>
    <x v="3"/>
    <x v="0"/>
    <x v="0"/>
    <x v="0"/>
    <x v="0"/>
    <x v="0"/>
    <x v="0"/>
    <s v="09"/>
    <x v="0"/>
    <x v="0"/>
    <x v="2"/>
    <x v="11"/>
    <n v="23525.54"/>
  </r>
  <r>
    <x v="1"/>
    <x v="0"/>
    <x v="0"/>
    <x v="0"/>
    <x v="0"/>
    <x v="3"/>
    <x v="0"/>
    <x v="0"/>
    <x v="0"/>
    <x v="0"/>
    <x v="0"/>
    <x v="0"/>
    <s v="09"/>
    <x v="0"/>
    <x v="0"/>
    <x v="2"/>
    <x v="3"/>
    <n v="6179.07"/>
  </r>
  <r>
    <x v="1"/>
    <x v="0"/>
    <x v="0"/>
    <x v="0"/>
    <x v="0"/>
    <x v="3"/>
    <x v="0"/>
    <x v="0"/>
    <x v="0"/>
    <x v="0"/>
    <x v="0"/>
    <x v="0"/>
    <s v="09"/>
    <x v="0"/>
    <x v="0"/>
    <x v="2"/>
    <x v="4"/>
    <n v="5187.32"/>
  </r>
  <r>
    <x v="1"/>
    <x v="0"/>
    <x v="0"/>
    <x v="0"/>
    <x v="0"/>
    <x v="3"/>
    <x v="0"/>
    <x v="0"/>
    <x v="0"/>
    <x v="0"/>
    <x v="0"/>
    <x v="0"/>
    <s v="09"/>
    <x v="0"/>
    <x v="0"/>
    <x v="2"/>
    <x v="7"/>
    <n v="5442.08"/>
  </r>
  <r>
    <x v="1"/>
    <x v="0"/>
    <x v="0"/>
    <x v="0"/>
    <x v="0"/>
    <x v="3"/>
    <x v="0"/>
    <x v="0"/>
    <x v="0"/>
    <x v="0"/>
    <x v="0"/>
    <x v="0"/>
    <s v="09"/>
    <x v="0"/>
    <x v="0"/>
    <x v="2"/>
    <x v="5"/>
    <n v="-36292.92"/>
  </r>
  <r>
    <x v="1"/>
    <x v="0"/>
    <x v="0"/>
    <x v="0"/>
    <x v="0"/>
    <x v="3"/>
    <x v="0"/>
    <x v="0"/>
    <x v="0"/>
    <x v="0"/>
    <x v="0"/>
    <x v="0"/>
    <s v="09"/>
    <x v="0"/>
    <x v="0"/>
    <x v="2"/>
    <x v="6"/>
    <n v="521.39"/>
  </r>
  <r>
    <x v="1"/>
    <x v="0"/>
    <x v="0"/>
    <x v="0"/>
    <x v="0"/>
    <x v="3"/>
    <x v="0"/>
    <x v="0"/>
    <x v="0"/>
    <x v="0"/>
    <x v="0"/>
    <x v="0"/>
    <s v="09"/>
    <x v="0"/>
    <x v="0"/>
    <x v="2"/>
    <x v="1"/>
    <n v="51158.96"/>
  </r>
  <r>
    <x v="1"/>
    <x v="0"/>
    <x v="0"/>
    <x v="0"/>
    <x v="0"/>
    <x v="3"/>
    <x v="0"/>
    <x v="0"/>
    <x v="0"/>
    <x v="0"/>
    <x v="0"/>
    <x v="0"/>
    <s v="09"/>
    <x v="0"/>
    <x v="0"/>
    <x v="3"/>
    <x v="0"/>
    <n v="-5322.33"/>
  </r>
  <r>
    <x v="1"/>
    <x v="0"/>
    <x v="0"/>
    <x v="0"/>
    <x v="0"/>
    <x v="3"/>
    <x v="0"/>
    <x v="0"/>
    <x v="0"/>
    <x v="0"/>
    <x v="0"/>
    <x v="0"/>
    <s v="09"/>
    <x v="0"/>
    <x v="0"/>
    <x v="3"/>
    <x v="2"/>
    <n v="102.5"/>
  </r>
  <r>
    <x v="1"/>
    <x v="0"/>
    <x v="0"/>
    <x v="0"/>
    <x v="0"/>
    <x v="3"/>
    <x v="0"/>
    <x v="0"/>
    <x v="0"/>
    <x v="0"/>
    <x v="0"/>
    <x v="0"/>
    <s v="09"/>
    <x v="0"/>
    <x v="0"/>
    <x v="3"/>
    <x v="8"/>
    <n v="2684.78"/>
  </r>
  <r>
    <x v="1"/>
    <x v="0"/>
    <x v="0"/>
    <x v="0"/>
    <x v="0"/>
    <x v="3"/>
    <x v="0"/>
    <x v="0"/>
    <x v="0"/>
    <x v="0"/>
    <x v="0"/>
    <x v="0"/>
    <s v="09"/>
    <x v="0"/>
    <x v="0"/>
    <x v="3"/>
    <x v="9"/>
    <n v="2778.46"/>
  </r>
  <r>
    <x v="1"/>
    <x v="0"/>
    <x v="0"/>
    <x v="0"/>
    <x v="0"/>
    <x v="3"/>
    <x v="0"/>
    <x v="0"/>
    <x v="0"/>
    <x v="0"/>
    <x v="0"/>
    <x v="0"/>
    <s v="09"/>
    <x v="0"/>
    <x v="0"/>
    <x v="3"/>
    <x v="10"/>
    <n v="-2618.08"/>
  </r>
  <r>
    <x v="1"/>
    <x v="0"/>
    <x v="0"/>
    <x v="0"/>
    <x v="0"/>
    <x v="3"/>
    <x v="0"/>
    <x v="0"/>
    <x v="0"/>
    <x v="0"/>
    <x v="0"/>
    <x v="0"/>
    <s v="09"/>
    <x v="0"/>
    <x v="0"/>
    <x v="3"/>
    <x v="11"/>
    <n v="-6812.16"/>
  </r>
  <r>
    <x v="1"/>
    <x v="0"/>
    <x v="0"/>
    <x v="0"/>
    <x v="0"/>
    <x v="3"/>
    <x v="0"/>
    <x v="0"/>
    <x v="0"/>
    <x v="0"/>
    <x v="0"/>
    <x v="0"/>
    <s v="09"/>
    <x v="0"/>
    <x v="0"/>
    <x v="3"/>
    <x v="3"/>
    <n v="5481.24"/>
  </r>
  <r>
    <x v="1"/>
    <x v="0"/>
    <x v="0"/>
    <x v="0"/>
    <x v="0"/>
    <x v="3"/>
    <x v="0"/>
    <x v="0"/>
    <x v="0"/>
    <x v="0"/>
    <x v="0"/>
    <x v="0"/>
    <s v="09"/>
    <x v="0"/>
    <x v="0"/>
    <x v="3"/>
    <x v="4"/>
    <n v="1347.29"/>
  </r>
  <r>
    <x v="1"/>
    <x v="0"/>
    <x v="0"/>
    <x v="0"/>
    <x v="0"/>
    <x v="3"/>
    <x v="0"/>
    <x v="0"/>
    <x v="0"/>
    <x v="0"/>
    <x v="0"/>
    <x v="0"/>
    <s v="09"/>
    <x v="0"/>
    <x v="0"/>
    <x v="3"/>
    <x v="7"/>
    <n v="2008.31"/>
  </r>
  <r>
    <x v="1"/>
    <x v="0"/>
    <x v="0"/>
    <x v="0"/>
    <x v="0"/>
    <x v="3"/>
    <x v="0"/>
    <x v="0"/>
    <x v="0"/>
    <x v="0"/>
    <x v="0"/>
    <x v="0"/>
    <s v="09"/>
    <x v="0"/>
    <x v="0"/>
    <x v="3"/>
    <x v="5"/>
    <n v="3893.65"/>
  </r>
  <r>
    <x v="1"/>
    <x v="0"/>
    <x v="0"/>
    <x v="0"/>
    <x v="0"/>
    <x v="3"/>
    <x v="0"/>
    <x v="0"/>
    <x v="0"/>
    <x v="0"/>
    <x v="0"/>
    <x v="0"/>
    <s v="09"/>
    <x v="0"/>
    <x v="0"/>
    <x v="3"/>
    <x v="6"/>
    <n v="-19115.88"/>
  </r>
  <r>
    <x v="1"/>
    <x v="0"/>
    <x v="0"/>
    <x v="0"/>
    <x v="0"/>
    <x v="3"/>
    <x v="0"/>
    <x v="0"/>
    <x v="0"/>
    <x v="0"/>
    <x v="0"/>
    <x v="0"/>
    <s v="09"/>
    <x v="0"/>
    <x v="0"/>
    <x v="3"/>
    <x v="1"/>
    <n v="1479.78"/>
  </r>
  <r>
    <x v="1"/>
    <x v="0"/>
    <x v="0"/>
    <x v="0"/>
    <x v="0"/>
    <x v="3"/>
    <x v="0"/>
    <x v="0"/>
    <x v="0"/>
    <x v="0"/>
    <x v="0"/>
    <x v="0"/>
    <s v="20"/>
    <x v="7"/>
    <x v="0"/>
    <x v="2"/>
    <x v="0"/>
    <n v="-2176.54"/>
  </r>
  <r>
    <x v="1"/>
    <x v="0"/>
    <x v="0"/>
    <x v="0"/>
    <x v="0"/>
    <x v="3"/>
    <x v="0"/>
    <x v="0"/>
    <x v="0"/>
    <x v="0"/>
    <x v="0"/>
    <x v="0"/>
    <s v="20"/>
    <x v="7"/>
    <x v="0"/>
    <x v="2"/>
    <x v="9"/>
    <n v="5.6"/>
  </r>
  <r>
    <x v="1"/>
    <x v="0"/>
    <x v="0"/>
    <x v="0"/>
    <x v="0"/>
    <x v="3"/>
    <x v="0"/>
    <x v="0"/>
    <x v="0"/>
    <x v="0"/>
    <x v="0"/>
    <x v="0"/>
    <s v="20"/>
    <x v="7"/>
    <x v="0"/>
    <x v="2"/>
    <x v="10"/>
    <n v="-291.56"/>
  </r>
  <r>
    <x v="1"/>
    <x v="0"/>
    <x v="0"/>
    <x v="0"/>
    <x v="0"/>
    <x v="3"/>
    <x v="0"/>
    <x v="0"/>
    <x v="0"/>
    <x v="0"/>
    <x v="0"/>
    <x v="0"/>
    <s v="20"/>
    <x v="7"/>
    <x v="0"/>
    <x v="2"/>
    <x v="11"/>
    <n v="520.59"/>
  </r>
  <r>
    <x v="1"/>
    <x v="0"/>
    <x v="0"/>
    <x v="0"/>
    <x v="0"/>
    <x v="3"/>
    <x v="0"/>
    <x v="0"/>
    <x v="0"/>
    <x v="0"/>
    <x v="0"/>
    <x v="0"/>
    <s v="20"/>
    <x v="7"/>
    <x v="0"/>
    <x v="2"/>
    <x v="3"/>
    <n v="-526.19000000000005"/>
  </r>
  <r>
    <x v="1"/>
    <x v="0"/>
    <x v="0"/>
    <x v="0"/>
    <x v="0"/>
    <x v="3"/>
    <x v="0"/>
    <x v="0"/>
    <x v="0"/>
    <x v="0"/>
    <x v="0"/>
    <x v="0"/>
    <s v="20"/>
    <x v="7"/>
    <x v="0"/>
    <x v="2"/>
    <x v="7"/>
    <n v="1470.82"/>
  </r>
  <r>
    <x v="1"/>
    <x v="0"/>
    <x v="0"/>
    <x v="0"/>
    <x v="0"/>
    <x v="3"/>
    <x v="0"/>
    <x v="0"/>
    <x v="0"/>
    <x v="0"/>
    <x v="0"/>
    <x v="0"/>
    <s v="20"/>
    <x v="7"/>
    <x v="0"/>
    <x v="2"/>
    <x v="5"/>
    <n v="95"/>
  </r>
  <r>
    <x v="1"/>
    <x v="0"/>
    <x v="0"/>
    <x v="0"/>
    <x v="0"/>
    <x v="3"/>
    <x v="0"/>
    <x v="0"/>
    <x v="0"/>
    <x v="0"/>
    <x v="0"/>
    <x v="0"/>
    <s v="20"/>
    <x v="7"/>
    <x v="0"/>
    <x v="2"/>
    <x v="6"/>
    <n v="1975.96"/>
  </r>
  <r>
    <x v="1"/>
    <x v="0"/>
    <x v="0"/>
    <x v="0"/>
    <x v="0"/>
    <x v="3"/>
    <x v="0"/>
    <x v="0"/>
    <x v="0"/>
    <x v="0"/>
    <x v="0"/>
    <x v="0"/>
    <s v="20"/>
    <x v="7"/>
    <x v="0"/>
    <x v="2"/>
    <x v="1"/>
    <n v="-1073.68"/>
  </r>
  <r>
    <x v="1"/>
    <x v="0"/>
    <x v="0"/>
    <x v="0"/>
    <x v="0"/>
    <x v="3"/>
    <x v="0"/>
    <x v="0"/>
    <x v="0"/>
    <x v="0"/>
    <x v="0"/>
    <x v="0"/>
    <s v="20"/>
    <x v="7"/>
    <x v="0"/>
    <x v="3"/>
    <x v="9"/>
    <n v="-950.81"/>
  </r>
  <r>
    <x v="1"/>
    <x v="0"/>
    <x v="0"/>
    <x v="0"/>
    <x v="0"/>
    <x v="3"/>
    <x v="0"/>
    <x v="0"/>
    <x v="0"/>
    <x v="0"/>
    <x v="0"/>
    <x v="0"/>
    <s v="20"/>
    <x v="7"/>
    <x v="0"/>
    <x v="3"/>
    <x v="10"/>
    <n v="950.81"/>
  </r>
  <r>
    <x v="1"/>
    <x v="0"/>
    <x v="0"/>
    <x v="0"/>
    <x v="0"/>
    <x v="3"/>
    <x v="0"/>
    <x v="0"/>
    <x v="0"/>
    <x v="0"/>
    <x v="0"/>
    <x v="0"/>
    <s v="20"/>
    <x v="7"/>
    <x v="0"/>
    <x v="3"/>
    <x v="3"/>
    <n v="-16.45"/>
  </r>
  <r>
    <x v="1"/>
    <x v="0"/>
    <x v="0"/>
    <x v="0"/>
    <x v="0"/>
    <x v="3"/>
    <x v="0"/>
    <x v="0"/>
    <x v="0"/>
    <x v="0"/>
    <x v="0"/>
    <x v="0"/>
    <s v="20"/>
    <x v="7"/>
    <x v="0"/>
    <x v="3"/>
    <x v="4"/>
    <n v="16.45"/>
  </r>
  <r>
    <x v="1"/>
    <x v="0"/>
    <x v="0"/>
    <x v="0"/>
    <x v="0"/>
    <x v="3"/>
    <x v="0"/>
    <x v="0"/>
    <x v="0"/>
    <x v="0"/>
    <x v="0"/>
    <x v="0"/>
    <s v="20"/>
    <x v="7"/>
    <x v="0"/>
    <x v="3"/>
    <x v="7"/>
    <n v="2055.94"/>
  </r>
  <r>
    <x v="1"/>
    <x v="0"/>
    <x v="0"/>
    <x v="0"/>
    <x v="0"/>
    <x v="3"/>
    <x v="0"/>
    <x v="0"/>
    <x v="0"/>
    <x v="0"/>
    <x v="0"/>
    <x v="0"/>
    <s v="20"/>
    <x v="7"/>
    <x v="0"/>
    <x v="3"/>
    <x v="6"/>
    <n v="-2055.94"/>
  </r>
  <r>
    <x v="1"/>
    <x v="0"/>
    <x v="0"/>
    <x v="0"/>
    <x v="0"/>
    <x v="3"/>
    <x v="0"/>
    <x v="0"/>
    <x v="0"/>
    <x v="0"/>
    <x v="0"/>
    <x v="0"/>
    <s v="24"/>
    <x v="1"/>
    <x v="0"/>
    <x v="2"/>
    <x v="0"/>
    <n v="1590691.42"/>
  </r>
  <r>
    <x v="1"/>
    <x v="0"/>
    <x v="0"/>
    <x v="0"/>
    <x v="0"/>
    <x v="3"/>
    <x v="0"/>
    <x v="0"/>
    <x v="0"/>
    <x v="0"/>
    <x v="0"/>
    <x v="0"/>
    <s v="24"/>
    <x v="1"/>
    <x v="0"/>
    <x v="2"/>
    <x v="2"/>
    <n v="-795281.46"/>
  </r>
  <r>
    <x v="1"/>
    <x v="0"/>
    <x v="0"/>
    <x v="0"/>
    <x v="0"/>
    <x v="3"/>
    <x v="0"/>
    <x v="0"/>
    <x v="0"/>
    <x v="0"/>
    <x v="0"/>
    <x v="0"/>
    <s v="24"/>
    <x v="1"/>
    <x v="0"/>
    <x v="2"/>
    <x v="8"/>
    <n v="79637.2"/>
  </r>
  <r>
    <x v="1"/>
    <x v="0"/>
    <x v="0"/>
    <x v="0"/>
    <x v="0"/>
    <x v="3"/>
    <x v="0"/>
    <x v="0"/>
    <x v="0"/>
    <x v="0"/>
    <x v="0"/>
    <x v="0"/>
    <s v="24"/>
    <x v="1"/>
    <x v="0"/>
    <x v="2"/>
    <x v="9"/>
    <n v="-470740.18"/>
  </r>
  <r>
    <x v="1"/>
    <x v="0"/>
    <x v="0"/>
    <x v="0"/>
    <x v="0"/>
    <x v="3"/>
    <x v="0"/>
    <x v="0"/>
    <x v="0"/>
    <x v="0"/>
    <x v="0"/>
    <x v="0"/>
    <s v="24"/>
    <x v="1"/>
    <x v="0"/>
    <x v="2"/>
    <x v="10"/>
    <n v="1021070.22"/>
  </r>
  <r>
    <x v="1"/>
    <x v="0"/>
    <x v="0"/>
    <x v="0"/>
    <x v="0"/>
    <x v="3"/>
    <x v="0"/>
    <x v="0"/>
    <x v="0"/>
    <x v="0"/>
    <x v="0"/>
    <x v="0"/>
    <s v="24"/>
    <x v="1"/>
    <x v="0"/>
    <x v="2"/>
    <x v="11"/>
    <n v="-618507.36"/>
  </r>
  <r>
    <x v="1"/>
    <x v="0"/>
    <x v="0"/>
    <x v="0"/>
    <x v="0"/>
    <x v="3"/>
    <x v="0"/>
    <x v="0"/>
    <x v="0"/>
    <x v="0"/>
    <x v="0"/>
    <x v="0"/>
    <s v="24"/>
    <x v="1"/>
    <x v="0"/>
    <x v="2"/>
    <x v="3"/>
    <n v="-347729.36"/>
  </r>
  <r>
    <x v="1"/>
    <x v="0"/>
    <x v="0"/>
    <x v="0"/>
    <x v="0"/>
    <x v="3"/>
    <x v="0"/>
    <x v="0"/>
    <x v="0"/>
    <x v="0"/>
    <x v="0"/>
    <x v="0"/>
    <s v="24"/>
    <x v="1"/>
    <x v="0"/>
    <x v="2"/>
    <x v="4"/>
    <n v="133387.25"/>
  </r>
  <r>
    <x v="1"/>
    <x v="0"/>
    <x v="0"/>
    <x v="0"/>
    <x v="0"/>
    <x v="3"/>
    <x v="0"/>
    <x v="0"/>
    <x v="0"/>
    <x v="0"/>
    <x v="0"/>
    <x v="0"/>
    <s v="24"/>
    <x v="1"/>
    <x v="0"/>
    <x v="2"/>
    <x v="7"/>
    <n v="1507195.2"/>
  </r>
  <r>
    <x v="1"/>
    <x v="0"/>
    <x v="0"/>
    <x v="0"/>
    <x v="0"/>
    <x v="3"/>
    <x v="0"/>
    <x v="0"/>
    <x v="0"/>
    <x v="0"/>
    <x v="0"/>
    <x v="0"/>
    <s v="24"/>
    <x v="1"/>
    <x v="0"/>
    <x v="2"/>
    <x v="5"/>
    <n v="-1325473.8899999999"/>
  </r>
  <r>
    <x v="1"/>
    <x v="0"/>
    <x v="0"/>
    <x v="0"/>
    <x v="0"/>
    <x v="3"/>
    <x v="0"/>
    <x v="0"/>
    <x v="0"/>
    <x v="0"/>
    <x v="0"/>
    <x v="0"/>
    <s v="24"/>
    <x v="1"/>
    <x v="0"/>
    <x v="2"/>
    <x v="6"/>
    <n v="-248951.43"/>
  </r>
  <r>
    <x v="1"/>
    <x v="0"/>
    <x v="0"/>
    <x v="0"/>
    <x v="0"/>
    <x v="3"/>
    <x v="0"/>
    <x v="0"/>
    <x v="0"/>
    <x v="0"/>
    <x v="0"/>
    <x v="0"/>
    <s v="24"/>
    <x v="1"/>
    <x v="0"/>
    <x v="2"/>
    <x v="1"/>
    <n v="-82869"/>
  </r>
  <r>
    <x v="1"/>
    <x v="0"/>
    <x v="0"/>
    <x v="0"/>
    <x v="0"/>
    <x v="3"/>
    <x v="0"/>
    <x v="0"/>
    <x v="0"/>
    <x v="0"/>
    <x v="0"/>
    <x v="0"/>
    <s v="24"/>
    <x v="1"/>
    <x v="0"/>
    <x v="3"/>
    <x v="0"/>
    <n v="1538345.3"/>
  </r>
  <r>
    <x v="1"/>
    <x v="0"/>
    <x v="0"/>
    <x v="0"/>
    <x v="0"/>
    <x v="3"/>
    <x v="0"/>
    <x v="0"/>
    <x v="0"/>
    <x v="0"/>
    <x v="0"/>
    <x v="0"/>
    <s v="24"/>
    <x v="1"/>
    <x v="0"/>
    <x v="3"/>
    <x v="2"/>
    <n v="961263.4"/>
  </r>
  <r>
    <x v="1"/>
    <x v="0"/>
    <x v="0"/>
    <x v="0"/>
    <x v="0"/>
    <x v="3"/>
    <x v="0"/>
    <x v="0"/>
    <x v="0"/>
    <x v="0"/>
    <x v="0"/>
    <x v="0"/>
    <s v="24"/>
    <x v="1"/>
    <x v="0"/>
    <x v="3"/>
    <x v="8"/>
    <n v="-197245.73"/>
  </r>
  <r>
    <x v="1"/>
    <x v="0"/>
    <x v="0"/>
    <x v="0"/>
    <x v="0"/>
    <x v="3"/>
    <x v="0"/>
    <x v="0"/>
    <x v="0"/>
    <x v="0"/>
    <x v="0"/>
    <x v="0"/>
    <s v="24"/>
    <x v="1"/>
    <x v="0"/>
    <x v="3"/>
    <x v="9"/>
    <n v="-1745788.36"/>
  </r>
  <r>
    <x v="1"/>
    <x v="0"/>
    <x v="0"/>
    <x v="0"/>
    <x v="0"/>
    <x v="3"/>
    <x v="0"/>
    <x v="0"/>
    <x v="0"/>
    <x v="0"/>
    <x v="0"/>
    <x v="0"/>
    <s v="24"/>
    <x v="1"/>
    <x v="0"/>
    <x v="3"/>
    <x v="10"/>
    <n v="1427433.53"/>
  </r>
  <r>
    <x v="1"/>
    <x v="0"/>
    <x v="0"/>
    <x v="0"/>
    <x v="0"/>
    <x v="3"/>
    <x v="0"/>
    <x v="0"/>
    <x v="0"/>
    <x v="0"/>
    <x v="0"/>
    <x v="0"/>
    <s v="24"/>
    <x v="1"/>
    <x v="0"/>
    <x v="3"/>
    <x v="11"/>
    <n v="-463113.82"/>
  </r>
  <r>
    <x v="1"/>
    <x v="0"/>
    <x v="0"/>
    <x v="0"/>
    <x v="0"/>
    <x v="3"/>
    <x v="0"/>
    <x v="0"/>
    <x v="0"/>
    <x v="0"/>
    <x v="0"/>
    <x v="0"/>
    <s v="24"/>
    <x v="1"/>
    <x v="0"/>
    <x v="3"/>
    <x v="3"/>
    <n v="-248346.08"/>
  </r>
  <r>
    <x v="1"/>
    <x v="0"/>
    <x v="0"/>
    <x v="0"/>
    <x v="0"/>
    <x v="3"/>
    <x v="0"/>
    <x v="0"/>
    <x v="0"/>
    <x v="0"/>
    <x v="0"/>
    <x v="0"/>
    <s v="24"/>
    <x v="1"/>
    <x v="0"/>
    <x v="3"/>
    <x v="4"/>
    <n v="-211759.26"/>
  </r>
  <r>
    <x v="1"/>
    <x v="0"/>
    <x v="0"/>
    <x v="0"/>
    <x v="0"/>
    <x v="3"/>
    <x v="0"/>
    <x v="0"/>
    <x v="0"/>
    <x v="0"/>
    <x v="0"/>
    <x v="0"/>
    <s v="24"/>
    <x v="1"/>
    <x v="0"/>
    <x v="3"/>
    <x v="7"/>
    <n v="2023604.83"/>
  </r>
  <r>
    <x v="1"/>
    <x v="0"/>
    <x v="0"/>
    <x v="0"/>
    <x v="0"/>
    <x v="3"/>
    <x v="0"/>
    <x v="0"/>
    <x v="0"/>
    <x v="0"/>
    <x v="0"/>
    <x v="0"/>
    <s v="24"/>
    <x v="1"/>
    <x v="0"/>
    <x v="3"/>
    <x v="5"/>
    <n v="-538412.59"/>
  </r>
  <r>
    <x v="1"/>
    <x v="0"/>
    <x v="0"/>
    <x v="0"/>
    <x v="0"/>
    <x v="3"/>
    <x v="0"/>
    <x v="0"/>
    <x v="0"/>
    <x v="0"/>
    <x v="0"/>
    <x v="0"/>
    <s v="24"/>
    <x v="1"/>
    <x v="0"/>
    <x v="3"/>
    <x v="6"/>
    <n v="-1696064.8"/>
  </r>
  <r>
    <x v="1"/>
    <x v="0"/>
    <x v="0"/>
    <x v="0"/>
    <x v="0"/>
    <x v="3"/>
    <x v="0"/>
    <x v="0"/>
    <x v="0"/>
    <x v="0"/>
    <x v="0"/>
    <x v="0"/>
    <s v="24"/>
    <x v="1"/>
    <x v="0"/>
    <x v="3"/>
    <x v="1"/>
    <n v="-322583.55"/>
  </r>
  <r>
    <x v="1"/>
    <x v="0"/>
    <x v="0"/>
    <x v="0"/>
    <x v="0"/>
    <x v="3"/>
    <x v="0"/>
    <x v="0"/>
    <x v="0"/>
    <x v="0"/>
    <x v="0"/>
    <x v="0"/>
    <s v="30"/>
    <x v="3"/>
    <x v="0"/>
    <x v="2"/>
    <x v="2"/>
    <n v="-171.2"/>
  </r>
  <r>
    <x v="1"/>
    <x v="0"/>
    <x v="0"/>
    <x v="0"/>
    <x v="0"/>
    <x v="3"/>
    <x v="0"/>
    <x v="0"/>
    <x v="0"/>
    <x v="0"/>
    <x v="0"/>
    <x v="0"/>
    <s v="30"/>
    <x v="3"/>
    <x v="0"/>
    <x v="2"/>
    <x v="8"/>
    <n v="-120"/>
  </r>
  <r>
    <x v="1"/>
    <x v="0"/>
    <x v="0"/>
    <x v="0"/>
    <x v="0"/>
    <x v="3"/>
    <x v="0"/>
    <x v="0"/>
    <x v="0"/>
    <x v="0"/>
    <x v="0"/>
    <x v="0"/>
    <s v="30"/>
    <x v="3"/>
    <x v="0"/>
    <x v="2"/>
    <x v="10"/>
    <n v="291.2"/>
  </r>
  <r>
    <x v="1"/>
    <x v="0"/>
    <x v="0"/>
    <x v="0"/>
    <x v="0"/>
    <x v="3"/>
    <x v="0"/>
    <x v="0"/>
    <x v="0"/>
    <x v="0"/>
    <x v="0"/>
    <x v="0"/>
    <s v="30"/>
    <x v="3"/>
    <x v="0"/>
    <x v="3"/>
    <x v="0"/>
    <n v="-159.08000000000001"/>
  </r>
  <r>
    <x v="1"/>
    <x v="0"/>
    <x v="0"/>
    <x v="0"/>
    <x v="0"/>
    <x v="3"/>
    <x v="0"/>
    <x v="0"/>
    <x v="0"/>
    <x v="0"/>
    <x v="0"/>
    <x v="0"/>
    <s v="30"/>
    <x v="3"/>
    <x v="0"/>
    <x v="3"/>
    <x v="2"/>
    <n v="-188.6"/>
  </r>
  <r>
    <x v="1"/>
    <x v="0"/>
    <x v="0"/>
    <x v="0"/>
    <x v="0"/>
    <x v="3"/>
    <x v="0"/>
    <x v="0"/>
    <x v="0"/>
    <x v="0"/>
    <x v="0"/>
    <x v="0"/>
    <s v="30"/>
    <x v="3"/>
    <x v="0"/>
    <x v="3"/>
    <x v="8"/>
    <n v="519.88"/>
  </r>
  <r>
    <x v="1"/>
    <x v="0"/>
    <x v="0"/>
    <x v="0"/>
    <x v="0"/>
    <x v="3"/>
    <x v="0"/>
    <x v="0"/>
    <x v="0"/>
    <x v="0"/>
    <x v="0"/>
    <x v="0"/>
    <s v="30"/>
    <x v="3"/>
    <x v="0"/>
    <x v="3"/>
    <x v="9"/>
    <n v="-123"/>
  </r>
  <r>
    <x v="1"/>
    <x v="0"/>
    <x v="0"/>
    <x v="0"/>
    <x v="0"/>
    <x v="3"/>
    <x v="0"/>
    <x v="0"/>
    <x v="0"/>
    <x v="0"/>
    <x v="0"/>
    <x v="0"/>
    <s v="30"/>
    <x v="3"/>
    <x v="0"/>
    <x v="3"/>
    <x v="4"/>
    <n v="6225"/>
  </r>
  <r>
    <x v="1"/>
    <x v="0"/>
    <x v="0"/>
    <x v="0"/>
    <x v="0"/>
    <x v="3"/>
    <x v="0"/>
    <x v="0"/>
    <x v="0"/>
    <x v="0"/>
    <x v="0"/>
    <x v="0"/>
    <s v="30"/>
    <x v="3"/>
    <x v="0"/>
    <x v="3"/>
    <x v="7"/>
    <n v="-6274.2"/>
  </r>
  <r>
    <x v="1"/>
    <x v="0"/>
    <x v="0"/>
    <x v="0"/>
    <x v="0"/>
    <x v="3"/>
    <x v="0"/>
    <x v="0"/>
    <x v="0"/>
    <x v="0"/>
    <x v="0"/>
    <x v="0"/>
    <s v="30"/>
    <x v="3"/>
    <x v="0"/>
    <x v="3"/>
    <x v="1"/>
    <n v="-152"/>
  </r>
  <r>
    <x v="1"/>
    <x v="0"/>
    <x v="0"/>
    <x v="0"/>
    <x v="0"/>
    <x v="3"/>
    <x v="0"/>
    <x v="0"/>
    <x v="0"/>
    <x v="0"/>
    <x v="0"/>
    <x v="0"/>
    <s v="31"/>
    <x v="8"/>
    <x v="0"/>
    <x v="2"/>
    <x v="11"/>
    <n v="-5"/>
  </r>
  <r>
    <x v="1"/>
    <x v="0"/>
    <x v="0"/>
    <x v="0"/>
    <x v="0"/>
    <x v="3"/>
    <x v="0"/>
    <x v="0"/>
    <x v="0"/>
    <x v="0"/>
    <x v="0"/>
    <x v="0"/>
    <s v="31"/>
    <x v="8"/>
    <x v="0"/>
    <x v="2"/>
    <x v="7"/>
    <n v="5"/>
  </r>
  <r>
    <x v="1"/>
    <x v="0"/>
    <x v="0"/>
    <x v="0"/>
    <x v="0"/>
    <x v="3"/>
    <x v="0"/>
    <x v="0"/>
    <x v="0"/>
    <x v="0"/>
    <x v="0"/>
    <x v="0"/>
    <s v="85"/>
    <x v="21"/>
    <x v="0"/>
    <x v="2"/>
    <x v="0"/>
    <n v="275"/>
  </r>
  <r>
    <x v="1"/>
    <x v="0"/>
    <x v="0"/>
    <x v="0"/>
    <x v="0"/>
    <x v="3"/>
    <x v="0"/>
    <x v="0"/>
    <x v="0"/>
    <x v="0"/>
    <x v="0"/>
    <x v="0"/>
    <s v="85"/>
    <x v="21"/>
    <x v="0"/>
    <x v="2"/>
    <x v="2"/>
    <n v="-8404.33"/>
  </r>
  <r>
    <x v="1"/>
    <x v="0"/>
    <x v="0"/>
    <x v="0"/>
    <x v="0"/>
    <x v="3"/>
    <x v="0"/>
    <x v="0"/>
    <x v="0"/>
    <x v="0"/>
    <x v="0"/>
    <x v="0"/>
    <s v="85"/>
    <x v="21"/>
    <x v="0"/>
    <x v="2"/>
    <x v="8"/>
    <n v="19.05"/>
  </r>
  <r>
    <x v="1"/>
    <x v="0"/>
    <x v="0"/>
    <x v="0"/>
    <x v="0"/>
    <x v="3"/>
    <x v="0"/>
    <x v="0"/>
    <x v="0"/>
    <x v="0"/>
    <x v="0"/>
    <x v="0"/>
    <s v="85"/>
    <x v="21"/>
    <x v="0"/>
    <x v="2"/>
    <x v="9"/>
    <n v="733.23"/>
  </r>
  <r>
    <x v="1"/>
    <x v="0"/>
    <x v="0"/>
    <x v="0"/>
    <x v="0"/>
    <x v="3"/>
    <x v="0"/>
    <x v="0"/>
    <x v="0"/>
    <x v="0"/>
    <x v="0"/>
    <x v="0"/>
    <s v="85"/>
    <x v="21"/>
    <x v="0"/>
    <x v="2"/>
    <x v="10"/>
    <n v="-24514.34"/>
  </r>
  <r>
    <x v="1"/>
    <x v="0"/>
    <x v="0"/>
    <x v="0"/>
    <x v="0"/>
    <x v="3"/>
    <x v="0"/>
    <x v="0"/>
    <x v="0"/>
    <x v="0"/>
    <x v="0"/>
    <x v="0"/>
    <s v="85"/>
    <x v="21"/>
    <x v="0"/>
    <x v="2"/>
    <x v="11"/>
    <n v="313113.15999999997"/>
  </r>
  <r>
    <x v="1"/>
    <x v="0"/>
    <x v="0"/>
    <x v="0"/>
    <x v="0"/>
    <x v="3"/>
    <x v="0"/>
    <x v="0"/>
    <x v="0"/>
    <x v="0"/>
    <x v="0"/>
    <x v="0"/>
    <s v="85"/>
    <x v="21"/>
    <x v="0"/>
    <x v="2"/>
    <x v="3"/>
    <n v="-25059.8"/>
  </r>
  <r>
    <x v="1"/>
    <x v="0"/>
    <x v="0"/>
    <x v="0"/>
    <x v="0"/>
    <x v="3"/>
    <x v="0"/>
    <x v="0"/>
    <x v="0"/>
    <x v="0"/>
    <x v="0"/>
    <x v="0"/>
    <s v="85"/>
    <x v="21"/>
    <x v="0"/>
    <x v="2"/>
    <x v="4"/>
    <n v="-280.42"/>
  </r>
  <r>
    <x v="1"/>
    <x v="0"/>
    <x v="0"/>
    <x v="0"/>
    <x v="0"/>
    <x v="3"/>
    <x v="0"/>
    <x v="0"/>
    <x v="0"/>
    <x v="0"/>
    <x v="0"/>
    <x v="0"/>
    <s v="85"/>
    <x v="21"/>
    <x v="0"/>
    <x v="2"/>
    <x v="7"/>
    <n v="195362.09"/>
  </r>
  <r>
    <x v="1"/>
    <x v="0"/>
    <x v="0"/>
    <x v="0"/>
    <x v="0"/>
    <x v="3"/>
    <x v="0"/>
    <x v="0"/>
    <x v="0"/>
    <x v="0"/>
    <x v="0"/>
    <x v="0"/>
    <s v="85"/>
    <x v="21"/>
    <x v="0"/>
    <x v="2"/>
    <x v="5"/>
    <n v="-14640.59"/>
  </r>
  <r>
    <x v="1"/>
    <x v="0"/>
    <x v="0"/>
    <x v="0"/>
    <x v="0"/>
    <x v="3"/>
    <x v="0"/>
    <x v="0"/>
    <x v="0"/>
    <x v="0"/>
    <x v="0"/>
    <x v="0"/>
    <s v="85"/>
    <x v="21"/>
    <x v="0"/>
    <x v="2"/>
    <x v="6"/>
    <n v="106868.25"/>
  </r>
  <r>
    <x v="1"/>
    <x v="0"/>
    <x v="0"/>
    <x v="0"/>
    <x v="0"/>
    <x v="3"/>
    <x v="0"/>
    <x v="0"/>
    <x v="0"/>
    <x v="0"/>
    <x v="0"/>
    <x v="0"/>
    <s v="85"/>
    <x v="21"/>
    <x v="0"/>
    <x v="2"/>
    <x v="1"/>
    <n v="454.38"/>
  </r>
  <r>
    <x v="1"/>
    <x v="0"/>
    <x v="0"/>
    <x v="0"/>
    <x v="0"/>
    <x v="3"/>
    <x v="0"/>
    <x v="0"/>
    <x v="0"/>
    <x v="0"/>
    <x v="0"/>
    <x v="0"/>
    <s v="85"/>
    <x v="21"/>
    <x v="0"/>
    <x v="3"/>
    <x v="0"/>
    <n v="232.94"/>
  </r>
  <r>
    <x v="1"/>
    <x v="0"/>
    <x v="0"/>
    <x v="0"/>
    <x v="0"/>
    <x v="3"/>
    <x v="0"/>
    <x v="0"/>
    <x v="0"/>
    <x v="0"/>
    <x v="0"/>
    <x v="0"/>
    <s v="85"/>
    <x v="21"/>
    <x v="0"/>
    <x v="3"/>
    <x v="2"/>
    <n v="2537981.9"/>
  </r>
  <r>
    <x v="1"/>
    <x v="0"/>
    <x v="0"/>
    <x v="0"/>
    <x v="0"/>
    <x v="3"/>
    <x v="0"/>
    <x v="0"/>
    <x v="0"/>
    <x v="0"/>
    <x v="0"/>
    <x v="0"/>
    <s v="85"/>
    <x v="21"/>
    <x v="0"/>
    <x v="3"/>
    <x v="8"/>
    <n v="-60645.58"/>
  </r>
  <r>
    <x v="1"/>
    <x v="0"/>
    <x v="0"/>
    <x v="0"/>
    <x v="0"/>
    <x v="3"/>
    <x v="0"/>
    <x v="0"/>
    <x v="0"/>
    <x v="0"/>
    <x v="0"/>
    <x v="0"/>
    <s v="85"/>
    <x v="21"/>
    <x v="0"/>
    <x v="3"/>
    <x v="9"/>
    <n v="-5858.97"/>
  </r>
  <r>
    <x v="1"/>
    <x v="0"/>
    <x v="0"/>
    <x v="0"/>
    <x v="0"/>
    <x v="3"/>
    <x v="0"/>
    <x v="0"/>
    <x v="0"/>
    <x v="0"/>
    <x v="0"/>
    <x v="0"/>
    <s v="85"/>
    <x v="21"/>
    <x v="0"/>
    <x v="3"/>
    <x v="10"/>
    <n v="923275.76"/>
  </r>
  <r>
    <x v="1"/>
    <x v="0"/>
    <x v="0"/>
    <x v="0"/>
    <x v="0"/>
    <x v="3"/>
    <x v="0"/>
    <x v="0"/>
    <x v="0"/>
    <x v="0"/>
    <x v="0"/>
    <x v="0"/>
    <s v="85"/>
    <x v="21"/>
    <x v="0"/>
    <x v="3"/>
    <x v="11"/>
    <n v="-1187.42"/>
  </r>
  <r>
    <x v="1"/>
    <x v="0"/>
    <x v="0"/>
    <x v="0"/>
    <x v="0"/>
    <x v="3"/>
    <x v="0"/>
    <x v="0"/>
    <x v="0"/>
    <x v="0"/>
    <x v="0"/>
    <x v="0"/>
    <s v="85"/>
    <x v="21"/>
    <x v="0"/>
    <x v="3"/>
    <x v="3"/>
    <n v="513.79999999999995"/>
  </r>
  <r>
    <x v="1"/>
    <x v="0"/>
    <x v="0"/>
    <x v="0"/>
    <x v="0"/>
    <x v="3"/>
    <x v="0"/>
    <x v="0"/>
    <x v="0"/>
    <x v="0"/>
    <x v="0"/>
    <x v="0"/>
    <s v="85"/>
    <x v="21"/>
    <x v="0"/>
    <x v="3"/>
    <x v="4"/>
    <n v="10793.2"/>
  </r>
  <r>
    <x v="1"/>
    <x v="0"/>
    <x v="0"/>
    <x v="0"/>
    <x v="0"/>
    <x v="3"/>
    <x v="0"/>
    <x v="0"/>
    <x v="0"/>
    <x v="0"/>
    <x v="0"/>
    <x v="0"/>
    <s v="85"/>
    <x v="21"/>
    <x v="0"/>
    <x v="3"/>
    <x v="7"/>
    <n v="-1595.81"/>
  </r>
  <r>
    <x v="1"/>
    <x v="0"/>
    <x v="0"/>
    <x v="0"/>
    <x v="0"/>
    <x v="3"/>
    <x v="0"/>
    <x v="0"/>
    <x v="0"/>
    <x v="0"/>
    <x v="0"/>
    <x v="0"/>
    <s v="85"/>
    <x v="21"/>
    <x v="0"/>
    <x v="3"/>
    <x v="5"/>
    <n v="44878.83"/>
  </r>
  <r>
    <x v="1"/>
    <x v="0"/>
    <x v="0"/>
    <x v="0"/>
    <x v="0"/>
    <x v="3"/>
    <x v="0"/>
    <x v="0"/>
    <x v="0"/>
    <x v="0"/>
    <x v="0"/>
    <x v="0"/>
    <s v="85"/>
    <x v="21"/>
    <x v="0"/>
    <x v="3"/>
    <x v="6"/>
    <n v="-265661.18"/>
  </r>
  <r>
    <x v="1"/>
    <x v="0"/>
    <x v="0"/>
    <x v="0"/>
    <x v="0"/>
    <x v="3"/>
    <x v="0"/>
    <x v="0"/>
    <x v="0"/>
    <x v="0"/>
    <x v="0"/>
    <x v="0"/>
    <s v="85"/>
    <x v="21"/>
    <x v="0"/>
    <x v="3"/>
    <x v="1"/>
    <n v="252151.69"/>
  </r>
  <r>
    <x v="1"/>
    <x v="0"/>
    <x v="0"/>
    <x v="0"/>
    <x v="0"/>
    <x v="3"/>
    <x v="0"/>
    <x v="0"/>
    <x v="0"/>
    <x v="0"/>
    <x v="0"/>
    <x v="0"/>
    <s v="99"/>
    <x v="9"/>
    <x v="0"/>
    <x v="2"/>
    <x v="0"/>
    <n v="-3308.33"/>
  </r>
  <r>
    <x v="1"/>
    <x v="0"/>
    <x v="0"/>
    <x v="0"/>
    <x v="0"/>
    <x v="3"/>
    <x v="0"/>
    <x v="0"/>
    <x v="0"/>
    <x v="0"/>
    <x v="0"/>
    <x v="0"/>
    <s v="99"/>
    <x v="9"/>
    <x v="0"/>
    <x v="2"/>
    <x v="2"/>
    <n v="424.15"/>
  </r>
  <r>
    <x v="1"/>
    <x v="0"/>
    <x v="0"/>
    <x v="0"/>
    <x v="0"/>
    <x v="3"/>
    <x v="0"/>
    <x v="0"/>
    <x v="0"/>
    <x v="0"/>
    <x v="0"/>
    <x v="0"/>
    <s v="99"/>
    <x v="9"/>
    <x v="0"/>
    <x v="2"/>
    <x v="8"/>
    <n v="25.63"/>
  </r>
  <r>
    <x v="1"/>
    <x v="0"/>
    <x v="0"/>
    <x v="0"/>
    <x v="0"/>
    <x v="3"/>
    <x v="0"/>
    <x v="0"/>
    <x v="0"/>
    <x v="0"/>
    <x v="0"/>
    <x v="0"/>
    <s v="99"/>
    <x v="9"/>
    <x v="0"/>
    <x v="2"/>
    <x v="9"/>
    <n v="365"/>
  </r>
  <r>
    <x v="1"/>
    <x v="0"/>
    <x v="0"/>
    <x v="0"/>
    <x v="0"/>
    <x v="3"/>
    <x v="0"/>
    <x v="0"/>
    <x v="0"/>
    <x v="0"/>
    <x v="0"/>
    <x v="0"/>
    <s v="99"/>
    <x v="9"/>
    <x v="0"/>
    <x v="2"/>
    <x v="10"/>
    <n v="-350"/>
  </r>
  <r>
    <x v="1"/>
    <x v="0"/>
    <x v="0"/>
    <x v="0"/>
    <x v="0"/>
    <x v="3"/>
    <x v="0"/>
    <x v="0"/>
    <x v="0"/>
    <x v="0"/>
    <x v="0"/>
    <x v="0"/>
    <s v="99"/>
    <x v="9"/>
    <x v="0"/>
    <x v="2"/>
    <x v="11"/>
    <n v="-68.5"/>
  </r>
  <r>
    <x v="1"/>
    <x v="0"/>
    <x v="0"/>
    <x v="0"/>
    <x v="0"/>
    <x v="3"/>
    <x v="0"/>
    <x v="0"/>
    <x v="0"/>
    <x v="0"/>
    <x v="0"/>
    <x v="0"/>
    <s v="99"/>
    <x v="9"/>
    <x v="0"/>
    <x v="2"/>
    <x v="4"/>
    <n v="2910.34"/>
  </r>
  <r>
    <x v="1"/>
    <x v="0"/>
    <x v="0"/>
    <x v="0"/>
    <x v="0"/>
    <x v="3"/>
    <x v="0"/>
    <x v="0"/>
    <x v="0"/>
    <x v="0"/>
    <x v="0"/>
    <x v="0"/>
    <s v="99"/>
    <x v="9"/>
    <x v="0"/>
    <x v="2"/>
    <x v="7"/>
    <n v="7.16"/>
  </r>
  <r>
    <x v="1"/>
    <x v="0"/>
    <x v="0"/>
    <x v="0"/>
    <x v="0"/>
    <x v="3"/>
    <x v="0"/>
    <x v="0"/>
    <x v="0"/>
    <x v="0"/>
    <x v="0"/>
    <x v="0"/>
    <s v="99"/>
    <x v="9"/>
    <x v="0"/>
    <x v="2"/>
    <x v="5"/>
    <n v="23015"/>
  </r>
  <r>
    <x v="1"/>
    <x v="0"/>
    <x v="0"/>
    <x v="0"/>
    <x v="0"/>
    <x v="3"/>
    <x v="0"/>
    <x v="0"/>
    <x v="0"/>
    <x v="0"/>
    <x v="0"/>
    <x v="0"/>
    <s v="99"/>
    <x v="9"/>
    <x v="0"/>
    <x v="2"/>
    <x v="6"/>
    <n v="-22568.62"/>
  </r>
  <r>
    <x v="1"/>
    <x v="0"/>
    <x v="0"/>
    <x v="0"/>
    <x v="0"/>
    <x v="3"/>
    <x v="0"/>
    <x v="0"/>
    <x v="0"/>
    <x v="0"/>
    <x v="0"/>
    <x v="0"/>
    <s v="99"/>
    <x v="9"/>
    <x v="0"/>
    <x v="2"/>
    <x v="1"/>
    <n v="-451.83"/>
  </r>
  <r>
    <x v="1"/>
    <x v="0"/>
    <x v="0"/>
    <x v="0"/>
    <x v="0"/>
    <x v="3"/>
    <x v="0"/>
    <x v="0"/>
    <x v="0"/>
    <x v="0"/>
    <x v="0"/>
    <x v="0"/>
    <s v="99"/>
    <x v="9"/>
    <x v="0"/>
    <x v="3"/>
    <x v="0"/>
    <n v="-2002.39"/>
  </r>
  <r>
    <x v="1"/>
    <x v="0"/>
    <x v="0"/>
    <x v="0"/>
    <x v="0"/>
    <x v="3"/>
    <x v="0"/>
    <x v="0"/>
    <x v="0"/>
    <x v="0"/>
    <x v="0"/>
    <x v="0"/>
    <s v="99"/>
    <x v="9"/>
    <x v="0"/>
    <x v="3"/>
    <x v="8"/>
    <n v="-15"/>
  </r>
  <r>
    <x v="1"/>
    <x v="0"/>
    <x v="0"/>
    <x v="0"/>
    <x v="0"/>
    <x v="3"/>
    <x v="0"/>
    <x v="0"/>
    <x v="0"/>
    <x v="0"/>
    <x v="0"/>
    <x v="0"/>
    <s v="99"/>
    <x v="9"/>
    <x v="0"/>
    <x v="3"/>
    <x v="10"/>
    <n v="-194.44"/>
  </r>
  <r>
    <x v="1"/>
    <x v="0"/>
    <x v="0"/>
    <x v="0"/>
    <x v="0"/>
    <x v="3"/>
    <x v="0"/>
    <x v="0"/>
    <x v="0"/>
    <x v="0"/>
    <x v="0"/>
    <x v="0"/>
    <s v="99"/>
    <x v="9"/>
    <x v="0"/>
    <x v="3"/>
    <x v="11"/>
    <n v="250"/>
  </r>
  <r>
    <x v="1"/>
    <x v="0"/>
    <x v="0"/>
    <x v="0"/>
    <x v="0"/>
    <x v="3"/>
    <x v="0"/>
    <x v="0"/>
    <x v="0"/>
    <x v="0"/>
    <x v="0"/>
    <x v="0"/>
    <s v="99"/>
    <x v="9"/>
    <x v="0"/>
    <x v="3"/>
    <x v="3"/>
    <n v="1686.14"/>
  </r>
  <r>
    <x v="1"/>
    <x v="0"/>
    <x v="0"/>
    <x v="0"/>
    <x v="0"/>
    <x v="3"/>
    <x v="0"/>
    <x v="0"/>
    <x v="0"/>
    <x v="0"/>
    <x v="0"/>
    <x v="0"/>
    <s v="99"/>
    <x v="9"/>
    <x v="0"/>
    <x v="3"/>
    <x v="4"/>
    <n v="482.38"/>
  </r>
  <r>
    <x v="1"/>
    <x v="0"/>
    <x v="0"/>
    <x v="0"/>
    <x v="0"/>
    <x v="3"/>
    <x v="0"/>
    <x v="0"/>
    <x v="0"/>
    <x v="0"/>
    <x v="0"/>
    <x v="0"/>
    <s v="99"/>
    <x v="9"/>
    <x v="0"/>
    <x v="3"/>
    <x v="7"/>
    <n v="-1447.14"/>
  </r>
  <r>
    <x v="1"/>
    <x v="0"/>
    <x v="0"/>
    <x v="0"/>
    <x v="0"/>
    <x v="3"/>
    <x v="0"/>
    <x v="0"/>
    <x v="0"/>
    <x v="0"/>
    <x v="0"/>
    <x v="0"/>
    <s v="99"/>
    <x v="9"/>
    <x v="0"/>
    <x v="3"/>
    <x v="5"/>
    <n v="-1847.52"/>
  </r>
  <r>
    <x v="1"/>
    <x v="0"/>
    <x v="0"/>
    <x v="0"/>
    <x v="0"/>
    <x v="3"/>
    <x v="0"/>
    <x v="0"/>
    <x v="0"/>
    <x v="0"/>
    <x v="0"/>
    <x v="0"/>
    <s v="99"/>
    <x v="9"/>
    <x v="0"/>
    <x v="3"/>
    <x v="6"/>
    <n v="4329.6000000000004"/>
  </r>
  <r>
    <x v="1"/>
    <x v="0"/>
    <x v="0"/>
    <x v="0"/>
    <x v="0"/>
    <x v="3"/>
    <x v="0"/>
    <x v="0"/>
    <x v="0"/>
    <x v="0"/>
    <x v="0"/>
    <x v="0"/>
    <s v="99"/>
    <x v="9"/>
    <x v="0"/>
    <x v="3"/>
    <x v="1"/>
    <n v="-1104.6300000000001"/>
  </r>
  <r>
    <x v="1"/>
    <x v="0"/>
    <x v="0"/>
    <x v="0"/>
    <x v="0"/>
    <x v="3"/>
    <x v="0"/>
    <x v="0"/>
    <x v="0"/>
    <x v="0"/>
    <x v="2"/>
    <x v="2"/>
    <s v="16"/>
    <x v="13"/>
    <x v="0"/>
    <x v="2"/>
    <x v="2"/>
    <n v="6.01"/>
  </r>
  <r>
    <x v="1"/>
    <x v="0"/>
    <x v="0"/>
    <x v="0"/>
    <x v="0"/>
    <x v="3"/>
    <x v="0"/>
    <x v="0"/>
    <x v="0"/>
    <x v="0"/>
    <x v="2"/>
    <x v="2"/>
    <s v="16"/>
    <x v="13"/>
    <x v="0"/>
    <x v="2"/>
    <x v="9"/>
    <n v="13.32"/>
  </r>
  <r>
    <x v="1"/>
    <x v="0"/>
    <x v="0"/>
    <x v="0"/>
    <x v="0"/>
    <x v="3"/>
    <x v="0"/>
    <x v="0"/>
    <x v="0"/>
    <x v="0"/>
    <x v="2"/>
    <x v="2"/>
    <s v="16"/>
    <x v="13"/>
    <x v="0"/>
    <x v="2"/>
    <x v="10"/>
    <n v="-6.66"/>
  </r>
  <r>
    <x v="1"/>
    <x v="0"/>
    <x v="0"/>
    <x v="0"/>
    <x v="0"/>
    <x v="3"/>
    <x v="0"/>
    <x v="0"/>
    <x v="0"/>
    <x v="0"/>
    <x v="2"/>
    <x v="2"/>
    <s v="16"/>
    <x v="13"/>
    <x v="0"/>
    <x v="3"/>
    <x v="2"/>
    <n v="3.29"/>
  </r>
  <r>
    <x v="1"/>
    <x v="0"/>
    <x v="0"/>
    <x v="0"/>
    <x v="0"/>
    <x v="3"/>
    <x v="0"/>
    <x v="0"/>
    <x v="0"/>
    <x v="0"/>
    <x v="2"/>
    <x v="2"/>
    <s v="91"/>
    <x v="10"/>
    <x v="0"/>
    <x v="2"/>
    <x v="0"/>
    <n v="-18086.990000000002"/>
  </r>
  <r>
    <x v="1"/>
    <x v="0"/>
    <x v="0"/>
    <x v="0"/>
    <x v="0"/>
    <x v="3"/>
    <x v="0"/>
    <x v="0"/>
    <x v="0"/>
    <x v="0"/>
    <x v="2"/>
    <x v="2"/>
    <s v="91"/>
    <x v="10"/>
    <x v="0"/>
    <x v="2"/>
    <x v="2"/>
    <n v="15927.01"/>
  </r>
  <r>
    <x v="1"/>
    <x v="0"/>
    <x v="0"/>
    <x v="0"/>
    <x v="0"/>
    <x v="3"/>
    <x v="0"/>
    <x v="0"/>
    <x v="0"/>
    <x v="0"/>
    <x v="2"/>
    <x v="2"/>
    <s v="91"/>
    <x v="10"/>
    <x v="0"/>
    <x v="2"/>
    <x v="8"/>
    <n v="1813.58"/>
  </r>
  <r>
    <x v="1"/>
    <x v="0"/>
    <x v="0"/>
    <x v="0"/>
    <x v="0"/>
    <x v="3"/>
    <x v="0"/>
    <x v="0"/>
    <x v="0"/>
    <x v="0"/>
    <x v="2"/>
    <x v="2"/>
    <s v="91"/>
    <x v="10"/>
    <x v="0"/>
    <x v="2"/>
    <x v="9"/>
    <n v="82.03"/>
  </r>
  <r>
    <x v="1"/>
    <x v="0"/>
    <x v="0"/>
    <x v="0"/>
    <x v="0"/>
    <x v="3"/>
    <x v="0"/>
    <x v="0"/>
    <x v="0"/>
    <x v="0"/>
    <x v="2"/>
    <x v="2"/>
    <s v="91"/>
    <x v="10"/>
    <x v="0"/>
    <x v="2"/>
    <x v="10"/>
    <n v="-3113.38"/>
  </r>
  <r>
    <x v="1"/>
    <x v="0"/>
    <x v="0"/>
    <x v="0"/>
    <x v="0"/>
    <x v="3"/>
    <x v="0"/>
    <x v="0"/>
    <x v="0"/>
    <x v="0"/>
    <x v="2"/>
    <x v="2"/>
    <s v="91"/>
    <x v="10"/>
    <x v="0"/>
    <x v="2"/>
    <x v="11"/>
    <n v="-698.52"/>
  </r>
  <r>
    <x v="1"/>
    <x v="0"/>
    <x v="0"/>
    <x v="0"/>
    <x v="0"/>
    <x v="3"/>
    <x v="0"/>
    <x v="0"/>
    <x v="0"/>
    <x v="0"/>
    <x v="2"/>
    <x v="2"/>
    <s v="91"/>
    <x v="10"/>
    <x v="0"/>
    <x v="2"/>
    <x v="3"/>
    <n v="180.76"/>
  </r>
  <r>
    <x v="1"/>
    <x v="0"/>
    <x v="0"/>
    <x v="0"/>
    <x v="0"/>
    <x v="3"/>
    <x v="0"/>
    <x v="0"/>
    <x v="0"/>
    <x v="0"/>
    <x v="2"/>
    <x v="2"/>
    <s v="91"/>
    <x v="10"/>
    <x v="0"/>
    <x v="2"/>
    <x v="4"/>
    <n v="-5961.62"/>
  </r>
  <r>
    <x v="1"/>
    <x v="0"/>
    <x v="0"/>
    <x v="0"/>
    <x v="0"/>
    <x v="3"/>
    <x v="0"/>
    <x v="0"/>
    <x v="0"/>
    <x v="0"/>
    <x v="2"/>
    <x v="2"/>
    <s v="91"/>
    <x v="10"/>
    <x v="0"/>
    <x v="2"/>
    <x v="7"/>
    <n v="206.08"/>
  </r>
  <r>
    <x v="1"/>
    <x v="0"/>
    <x v="0"/>
    <x v="0"/>
    <x v="0"/>
    <x v="3"/>
    <x v="0"/>
    <x v="0"/>
    <x v="0"/>
    <x v="0"/>
    <x v="2"/>
    <x v="2"/>
    <s v="91"/>
    <x v="10"/>
    <x v="0"/>
    <x v="2"/>
    <x v="5"/>
    <n v="3995.02"/>
  </r>
  <r>
    <x v="1"/>
    <x v="0"/>
    <x v="0"/>
    <x v="0"/>
    <x v="0"/>
    <x v="3"/>
    <x v="0"/>
    <x v="0"/>
    <x v="0"/>
    <x v="0"/>
    <x v="2"/>
    <x v="2"/>
    <s v="91"/>
    <x v="10"/>
    <x v="0"/>
    <x v="2"/>
    <x v="6"/>
    <n v="-5059"/>
  </r>
  <r>
    <x v="1"/>
    <x v="0"/>
    <x v="0"/>
    <x v="0"/>
    <x v="0"/>
    <x v="3"/>
    <x v="0"/>
    <x v="0"/>
    <x v="0"/>
    <x v="0"/>
    <x v="2"/>
    <x v="2"/>
    <s v="91"/>
    <x v="10"/>
    <x v="0"/>
    <x v="2"/>
    <x v="1"/>
    <n v="10715.03"/>
  </r>
  <r>
    <x v="1"/>
    <x v="0"/>
    <x v="0"/>
    <x v="0"/>
    <x v="0"/>
    <x v="3"/>
    <x v="0"/>
    <x v="0"/>
    <x v="0"/>
    <x v="0"/>
    <x v="2"/>
    <x v="2"/>
    <s v="91"/>
    <x v="10"/>
    <x v="0"/>
    <x v="3"/>
    <x v="0"/>
    <n v="-2125"/>
  </r>
  <r>
    <x v="1"/>
    <x v="0"/>
    <x v="0"/>
    <x v="0"/>
    <x v="0"/>
    <x v="3"/>
    <x v="0"/>
    <x v="0"/>
    <x v="0"/>
    <x v="0"/>
    <x v="2"/>
    <x v="2"/>
    <s v="91"/>
    <x v="10"/>
    <x v="0"/>
    <x v="3"/>
    <x v="2"/>
    <n v="2166.3000000000002"/>
  </r>
  <r>
    <x v="1"/>
    <x v="0"/>
    <x v="0"/>
    <x v="0"/>
    <x v="0"/>
    <x v="3"/>
    <x v="0"/>
    <x v="0"/>
    <x v="0"/>
    <x v="0"/>
    <x v="2"/>
    <x v="2"/>
    <s v="91"/>
    <x v="10"/>
    <x v="0"/>
    <x v="3"/>
    <x v="8"/>
    <n v="-44.35"/>
  </r>
  <r>
    <x v="1"/>
    <x v="0"/>
    <x v="0"/>
    <x v="0"/>
    <x v="0"/>
    <x v="3"/>
    <x v="0"/>
    <x v="0"/>
    <x v="0"/>
    <x v="0"/>
    <x v="2"/>
    <x v="2"/>
    <s v="91"/>
    <x v="10"/>
    <x v="0"/>
    <x v="3"/>
    <x v="9"/>
    <n v="3456.75"/>
  </r>
  <r>
    <x v="1"/>
    <x v="0"/>
    <x v="0"/>
    <x v="0"/>
    <x v="0"/>
    <x v="3"/>
    <x v="0"/>
    <x v="0"/>
    <x v="0"/>
    <x v="0"/>
    <x v="2"/>
    <x v="2"/>
    <s v="91"/>
    <x v="10"/>
    <x v="0"/>
    <x v="3"/>
    <x v="10"/>
    <n v="-5278.5"/>
  </r>
  <r>
    <x v="1"/>
    <x v="0"/>
    <x v="0"/>
    <x v="0"/>
    <x v="0"/>
    <x v="3"/>
    <x v="0"/>
    <x v="0"/>
    <x v="0"/>
    <x v="0"/>
    <x v="2"/>
    <x v="2"/>
    <s v="91"/>
    <x v="10"/>
    <x v="0"/>
    <x v="3"/>
    <x v="11"/>
    <n v="3331.7"/>
  </r>
  <r>
    <x v="1"/>
    <x v="0"/>
    <x v="0"/>
    <x v="0"/>
    <x v="0"/>
    <x v="3"/>
    <x v="0"/>
    <x v="0"/>
    <x v="0"/>
    <x v="0"/>
    <x v="2"/>
    <x v="2"/>
    <s v="91"/>
    <x v="10"/>
    <x v="0"/>
    <x v="3"/>
    <x v="3"/>
    <n v="-547.35"/>
  </r>
  <r>
    <x v="1"/>
    <x v="0"/>
    <x v="0"/>
    <x v="0"/>
    <x v="0"/>
    <x v="3"/>
    <x v="0"/>
    <x v="0"/>
    <x v="0"/>
    <x v="0"/>
    <x v="2"/>
    <x v="2"/>
    <s v="91"/>
    <x v="10"/>
    <x v="0"/>
    <x v="3"/>
    <x v="4"/>
    <n v="-2084.9499999999998"/>
  </r>
  <r>
    <x v="1"/>
    <x v="0"/>
    <x v="0"/>
    <x v="0"/>
    <x v="0"/>
    <x v="3"/>
    <x v="0"/>
    <x v="0"/>
    <x v="0"/>
    <x v="0"/>
    <x v="2"/>
    <x v="2"/>
    <s v="91"/>
    <x v="10"/>
    <x v="0"/>
    <x v="3"/>
    <x v="7"/>
    <n v="3864.7"/>
  </r>
  <r>
    <x v="1"/>
    <x v="0"/>
    <x v="0"/>
    <x v="0"/>
    <x v="0"/>
    <x v="3"/>
    <x v="0"/>
    <x v="0"/>
    <x v="0"/>
    <x v="0"/>
    <x v="2"/>
    <x v="2"/>
    <s v="91"/>
    <x v="10"/>
    <x v="0"/>
    <x v="3"/>
    <x v="5"/>
    <n v="82.17"/>
  </r>
  <r>
    <x v="1"/>
    <x v="0"/>
    <x v="0"/>
    <x v="0"/>
    <x v="0"/>
    <x v="3"/>
    <x v="0"/>
    <x v="0"/>
    <x v="0"/>
    <x v="0"/>
    <x v="2"/>
    <x v="2"/>
    <s v="91"/>
    <x v="10"/>
    <x v="0"/>
    <x v="3"/>
    <x v="6"/>
    <n v="-5245.45"/>
  </r>
  <r>
    <x v="1"/>
    <x v="0"/>
    <x v="0"/>
    <x v="0"/>
    <x v="0"/>
    <x v="3"/>
    <x v="0"/>
    <x v="0"/>
    <x v="0"/>
    <x v="0"/>
    <x v="2"/>
    <x v="2"/>
    <s v="91"/>
    <x v="10"/>
    <x v="0"/>
    <x v="3"/>
    <x v="1"/>
    <n v="2423.98"/>
  </r>
  <r>
    <x v="1"/>
    <x v="0"/>
    <x v="1"/>
    <x v="0"/>
    <x v="0"/>
    <x v="4"/>
    <x v="0"/>
    <x v="0"/>
    <x v="0"/>
    <x v="1"/>
    <x v="1"/>
    <x v="1"/>
    <s v="41"/>
    <x v="4"/>
    <x v="0"/>
    <x v="3"/>
    <x v="9"/>
    <n v="-19297"/>
  </r>
  <r>
    <x v="1"/>
    <x v="0"/>
    <x v="1"/>
    <x v="0"/>
    <x v="0"/>
    <x v="4"/>
    <x v="0"/>
    <x v="0"/>
    <x v="0"/>
    <x v="1"/>
    <x v="1"/>
    <x v="1"/>
    <s v="41"/>
    <x v="4"/>
    <x v="0"/>
    <x v="3"/>
    <x v="1"/>
    <n v="19297"/>
  </r>
  <r>
    <x v="1"/>
    <x v="0"/>
    <x v="1"/>
    <x v="0"/>
    <x v="0"/>
    <x v="4"/>
    <x v="0"/>
    <x v="0"/>
    <x v="0"/>
    <x v="0"/>
    <x v="0"/>
    <x v="0"/>
    <s v="02"/>
    <x v="5"/>
    <x v="0"/>
    <x v="2"/>
    <x v="9"/>
    <n v="1000"/>
  </r>
  <r>
    <x v="1"/>
    <x v="0"/>
    <x v="1"/>
    <x v="0"/>
    <x v="0"/>
    <x v="4"/>
    <x v="0"/>
    <x v="0"/>
    <x v="0"/>
    <x v="0"/>
    <x v="0"/>
    <x v="0"/>
    <s v="02"/>
    <x v="5"/>
    <x v="0"/>
    <x v="2"/>
    <x v="1"/>
    <n v="6198.54"/>
  </r>
  <r>
    <x v="1"/>
    <x v="0"/>
    <x v="1"/>
    <x v="0"/>
    <x v="0"/>
    <x v="4"/>
    <x v="0"/>
    <x v="0"/>
    <x v="0"/>
    <x v="0"/>
    <x v="0"/>
    <x v="0"/>
    <s v="02"/>
    <x v="5"/>
    <x v="0"/>
    <x v="3"/>
    <x v="11"/>
    <n v="30"/>
  </r>
  <r>
    <x v="1"/>
    <x v="0"/>
    <x v="1"/>
    <x v="0"/>
    <x v="0"/>
    <x v="4"/>
    <x v="0"/>
    <x v="0"/>
    <x v="0"/>
    <x v="0"/>
    <x v="0"/>
    <x v="0"/>
    <s v="02"/>
    <x v="5"/>
    <x v="0"/>
    <x v="3"/>
    <x v="7"/>
    <n v="30"/>
  </r>
  <r>
    <x v="1"/>
    <x v="0"/>
    <x v="1"/>
    <x v="0"/>
    <x v="0"/>
    <x v="4"/>
    <x v="0"/>
    <x v="0"/>
    <x v="0"/>
    <x v="0"/>
    <x v="0"/>
    <x v="0"/>
    <s v="02"/>
    <x v="5"/>
    <x v="0"/>
    <x v="3"/>
    <x v="1"/>
    <n v="-7258.54"/>
  </r>
  <r>
    <x v="1"/>
    <x v="0"/>
    <x v="1"/>
    <x v="0"/>
    <x v="0"/>
    <x v="4"/>
    <x v="0"/>
    <x v="0"/>
    <x v="0"/>
    <x v="0"/>
    <x v="0"/>
    <x v="0"/>
    <s v="20"/>
    <x v="7"/>
    <x v="0"/>
    <x v="2"/>
    <x v="0"/>
    <n v="83.71"/>
  </r>
  <r>
    <x v="1"/>
    <x v="0"/>
    <x v="1"/>
    <x v="0"/>
    <x v="0"/>
    <x v="4"/>
    <x v="0"/>
    <x v="0"/>
    <x v="0"/>
    <x v="0"/>
    <x v="0"/>
    <x v="0"/>
    <s v="20"/>
    <x v="7"/>
    <x v="0"/>
    <x v="2"/>
    <x v="2"/>
    <n v="1415.66"/>
  </r>
  <r>
    <x v="1"/>
    <x v="0"/>
    <x v="1"/>
    <x v="0"/>
    <x v="0"/>
    <x v="4"/>
    <x v="0"/>
    <x v="0"/>
    <x v="0"/>
    <x v="0"/>
    <x v="0"/>
    <x v="0"/>
    <s v="20"/>
    <x v="7"/>
    <x v="0"/>
    <x v="2"/>
    <x v="8"/>
    <n v="-504.31"/>
  </r>
  <r>
    <x v="1"/>
    <x v="0"/>
    <x v="1"/>
    <x v="0"/>
    <x v="0"/>
    <x v="4"/>
    <x v="0"/>
    <x v="0"/>
    <x v="0"/>
    <x v="0"/>
    <x v="0"/>
    <x v="0"/>
    <s v="20"/>
    <x v="7"/>
    <x v="0"/>
    <x v="2"/>
    <x v="9"/>
    <n v="1736.87"/>
  </r>
  <r>
    <x v="1"/>
    <x v="0"/>
    <x v="1"/>
    <x v="0"/>
    <x v="0"/>
    <x v="4"/>
    <x v="0"/>
    <x v="0"/>
    <x v="0"/>
    <x v="0"/>
    <x v="0"/>
    <x v="0"/>
    <s v="20"/>
    <x v="7"/>
    <x v="0"/>
    <x v="2"/>
    <x v="10"/>
    <n v="363.97"/>
  </r>
  <r>
    <x v="1"/>
    <x v="0"/>
    <x v="1"/>
    <x v="0"/>
    <x v="0"/>
    <x v="4"/>
    <x v="0"/>
    <x v="0"/>
    <x v="0"/>
    <x v="0"/>
    <x v="0"/>
    <x v="0"/>
    <s v="20"/>
    <x v="7"/>
    <x v="0"/>
    <x v="2"/>
    <x v="11"/>
    <n v="300"/>
  </r>
  <r>
    <x v="1"/>
    <x v="0"/>
    <x v="1"/>
    <x v="0"/>
    <x v="0"/>
    <x v="4"/>
    <x v="0"/>
    <x v="0"/>
    <x v="0"/>
    <x v="0"/>
    <x v="0"/>
    <x v="0"/>
    <s v="20"/>
    <x v="7"/>
    <x v="0"/>
    <x v="2"/>
    <x v="3"/>
    <n v="166.87"/>
  </r>
  <r>
    <x v="1"/>
    <x v="0"/>
    <x v="1"/>
    <x v="0"/>
    <x v="0"/>
    <x v="4"/>
    <x v="0"/>
    <x v="0"/>
    <x v="0"/>
    <x v="0"/>
    <x v="0"/>
    <x v="0"/>
    <s v="20"/>
    <x v="7"/>
    <x v="0"/>
    <x v="2"/>
    <x v="4"/>
    <n v="1735.02"/>
  </r>
  <r>
    <x v="1"/>
    <x v="0"/>
    <x v="1"/>
    <x v="0"/>
    <x v="0"/>
    <x v="4"/>
    <x v="0"/>
    <x v="0"/>
    <x v="0"/>
    <x v="0"/>
    <x v="0"/>
    <x v="0"/>
    <s v="20"/>
    <x v="7"/>
    <x v="0"/>
    <x v="2"/>
    <x v="7"/>
    <n v="-751.34"/>
  </r>
  <r>
    <x v="1"/>
    <x v="0"/>
    <x v="1"/>
    <x v="0"/>
    <x v="0"/>
    <x v="4"/>
    <x v="0"/>
    <x v="0"/>
    <x v="0"/>
    <x v="0"/>
    <x v="0"/>
    <x v="0"/>
    <s v="20"/>
    <x v="7"/>
    <x v="0"/>
    <x v="2"/>
    <x v="5"/>
    <n v="-990.87"/>
  </r>
  <r>
    <x v="1"/>
    <x v="0"/>
    <x v="1"/>
    <x v="0"/>
    <x v="0"/>
    <x v="4"/>
    <x v="0"/>
    <x v="0"/>
    <x v="0"/>
    <x v="0"/>
    <x v="0"/>
    <x v="0"/>
    <s v="20"/>
    <x v="7"/>
    <x v="0"/>
    <x v="2"/>
    <x v="6"/>
    <n v="1822.76"/>
  </r>
  <r>
    <x v="1"/>
    <x v="0"/>
    <x v="1"/>
    <x v="0"/>
    <x v="0"/>
    <x v="4"/>
    <x v="0"/>
    <x v="0"/>
    <x v="0"/>
    <x v="0"/>
    <x v="0"/>
    <x v="0"/>
    <s v="20"/>
    <x v="7"/>
    <x v="0"/>
    <x v="2"/>
    <x v="1"/>
    <n v="2934.11"/>
  </r>
  <r>
    <x v="1"/>
    <x v="0"/>
    <x v="1"/>
    <x v="0"/>
    <x v="0"/>
    <x v="4"/>
    <x v="0"/>
    <x v="0"/>
    <x v="0"/>
    <x v="0"/>
    <x v="0"/>
    <x v="0"/>
    <s v="20"/>
    <x v="7"/>
    <x v="0"/>
    <x v="3"/>
    <x v="0"/>
    <n v="26262.2"/>
  </r>
  <r>
    <x v="1"/>
    <x v="0"/>
    <x v="1"/>
    <x v="0"/>
    <x v="0"/>
    <x v="4"/>
    <x v="0"/>
    <x v="0"/>
    <x v="0"/>
    <x v="0"/>
    <x v="0"/>
    <x v="0"/>
    <s v="20"/>
    <x v="7"/>
    <x v="0"/>
    <x v="3"/>
    <x v="2"/>
    <n v="271.49"/>
  </r>
  <r>
    <x v="1"/>
    <x v="0"/>
    <x v="1"/>
    <x v="0"/>
    <x v="0"/>
    <x v="4"/>
    <x v="0"/>
    <x v="0"/>
    <x v="0"/>
    <x v="0"/>
    <x v="0"/>
    <x v="0"/>
    <s v="20"/>
    <x v="7"/>
    <x v="0"/>
    <x v="3"/>
    <x v="8"/>
    <n v="3086.89"/>
  </r>
  <r>
    <x v="1"/>
    <x v="0"/>
    <x v="1"/>
    <x v="0"/>
    <x v="0"/>
    <x v="4"/>
    <x v="0"/>
    <x v="0"/>
    <x v="0"/>
    <x v="0"/>
    <x v="0"/>
    <x v="0"/>
    <s v="20"/>
    <x v="7"/>
    <x v="0"/>
    <x v="3"/>
    <x v="9"/>
    <n v="-2627.29"/>
  </r>
  <r>
    <x v="1"/>
    <x v="0"/>
    <x v="1"/>
    <x v="0"/>
    <x v="0"/>
    <x v="4"/>
    <x v="0"/>
    <x v="0"/>
    <x v="0"/>
    <x v="0"/>
    <x v="0"/>
    <x v="0"/>
    <s v="20"/>
    <x v="7"/>
    <x v="0"/>
    <x v="3"/>
    <x v="10"/>
    <n v="-1706.28"/>
  </r>
  <r>
    <x v="1"/>
    <x v="0"/>
    <x v="1"/>
    <x v="0"/>
    <x v="0"/>
    <x v="4"/>
    <x v="0"/>
    <x v="0"/>
    <x v="0"/>
    <x v="0"/>
    <x v="0"/>
    <x v="0"/>
    <s v="20"/>
    <x v="7"/>
    <x v="0"/>
    <x v="3"/>
    <x v="11"/>
    <n v="140.55000000000001"/>
  </r>
  <r>
    <x v="1"/>
    <x v="0"/>
    <x v="1"/>
    <x v="0"/>
    <x v="0"/>
    <x v="4"/>
    <x v="0"/>
    <x v="0"/>
    <x v="0"/>
    <x v="0"/>
    <x v="0"/>
    <x v="0"/>
    <s v="20"/>
    <x v="7"/>
    <x v="0"/>
    <x v="3"/>
    <x v="3"/>
    <n v="-27529.86"/>
  </r>
  <r>
    <x v="1"/>
    <x v="0"/>
    <x v="1"/>
    <x v="0"/>
    <x v="0"/>
    <x v="4"/>
    <x v="0"/>
    <x v="0"/>
    <x v="0"/>
    <x v="0"/>
    <x v="0"/>
    <x v="0"/>
    <s v="20"/>
    <x v="7"/>
    <x v="0"/>
    <x v="3"/>
    <x v="4"/>
    <n v="8149.72"/>
  </r>
  <r>
    <x v="1"/>
    <x v="0"/>
    <x v="1"/>
    <x v="0"/>
    <x v="0"/>
    <x v="4"/>
    <x v="0"/>
    <x v="0"/>
    <x v="0"/>
    <x v="0"/>
    <x v="0"/>
    <x v="0"/>
    <s v="20"/>
    <x v="7"/>
    <x v="0"/>
    <x v="3"/>
    <x v="7"/>
    <n v="3694.42"/>
  </r>
  <r>
    <x v="1"/>
    <x v="0"/>
    <x v="1"/>
    <x v="0"/>
    <x v="0"/>
    <x v="4"/>
    <x v="0"/>
    <x v="0"/>
    <x v="0"/>
    <x v="0"/>
    <x v="0"/>
    <x v="0"/>
    <s v="20"/>
    <x v="7"/>
    <x v="0"/>
    <x v="3"/>
    <x v="5"/>
    <n v="-21489.119999999999"/>
  </r>
  <r>
    <x v="1"/>
    <x v="0"/>
    <x v="1"/>
    <x v="0"/>
    <x v="0"/>
    <x v="4"/>
    <x v="0"/>
    <x v="0"/>
    <x v="0"/>
    <x v="0"/>
    <x v="0"/>
    <x v="0"/>
    <s v="20"/>
    <x v="7"/>
    <x v="0"/>
    <x v="3"/>
    <x v="6"/>
    <n v="9595.2999999999993"/>
  </r>
  <r>
    <x v="1"/>
    <x v="0"/>
    <x v="1"/>
    <x v="0"/>
    <x v="0"/>
    <x v="4"/>
    <x v="0"/>
    <x v="0"/>
    <x v="0"/>
    <x v="0"/>
    <x v="0"/>
    <x v="0"/>
    <s v="20"/>
    <x v="7"/>
    <x v="0"/>
    <x v="3"/>
    <x v="1"/>
    <n v="-22347.1"/>
  </r>
  <r>
    <x v="1"/>
    <x v="0"/>
    <x v="1"/>
    <x v="0"/>
    <x v="0"/>
    <x v="4"/>
    <x v="0"/>
    <x v="0"/>
    <x v="0"/>
    <x v="0"/>
    <x v="0"/>
    <x v="0"/>
    <s v="24"/>
    <x v="1"/>
    <x v="0"/>
    <x v="2"/>
    <x v="10"/>
    <n v="52512072.630000003"/>
  </r>
  <r>
    <x v="1"/>
    <x v="0"/>
    <x v="1"/>
    <x v="0"/>
    <x v="0"/>
    <x v="4"/>
    <x v="0"/>
    <x v="0"/>
    <x v="0"/>
    <x v="0"/>
    <x v="0"/>
    <x v="0"/>
    <s v="24"/>
    <x v="1"/>
    <x v="0"/>
    <x v="2"/>
    <x v="11"/>
    <n v="683634.14"/>
  </r>
  <r>
    <x v="1"/>
    <x v="0"/>
    <x v="1"/>
    <x v="0"/>
    <x v="0"/>
    <x v="4"/>
    <x v="0"/>
    <x v="0"/>
    <x v="0"/>
    <x v="0"/>
    <x v="0"/>
    <x v="0"/>
    <s v="24"/>
    <x v="1"/>
    <x v="0"/>
    <x v="2"/>
    <x v="3"/>
    <n v="1246354.72"/>
  </r>
  <r>
    <x v="1"/>
    <x v="0"/>
    <x v="1"/>
    <x v="0"/>
    <x v="0"/>
    <x v="4"/>
    <x v="0"/>
    <x v="0"/>
    <x v="0"/>
    <x v="0"/>
    <x v="0"/>
    <x v="0"/>
    <s v="24"/>
    <x v="1"/>
    <x v="0"/>
    <x v="2"/>
    <x v="4"/>
    <n v="31934204.280000001"/>
  </r>
  <r>
    <x v="1"/>
    <x v="0"/>
    <x v="1"/>
    <x v="0"/>
    <x v="0"/>
    <x v="4"/>
    <x v="0"/>
    <x v="0"/>
    <x v="0"/>
    <x v="0"/>
    <x v="0"/>
    <x v="0"/>
    <s v="24"/>
    <x v="1"/>
    <x v="0"/>
    <x v="2"/>
    <x v="7"/>
    <n v="19319919.739999998"/>
  </r>
  <r>
    <x v="1"/>
    <x v="0"/>
    <x v="1"/>
    <x v="0"/>
    <x v="0"/>
    <x v="4"/>
    <x v="0"/>
    <x v="0"/>
    <x v="0"/>
    <x v="0"/>
    <x v="0"/>
    <x v="0"/>
    <s v="24"/>
    <x v="1"/>
    <x v="0"/>
    <x v="2"/>
    <x v="5"/>
    <n v="790023.03"/>
  </r>
  <r>
    <x v="1"/>
    <x v="0"/>
    <x v="1"/>
    <x v="0"/>
    <x v="0"/>
    <x v="4"/>
    <x v="0"/>
    <x v="0"/>
    <x v="0"/>
    <x v="0"/>
    <x v="0"/>
    <x v="0"/>
    <s v="24"/>
    <x v="1"/>
    <x v="0"/>
    <x v="2"/>
    <x v="6"/>
    <n v="48470705.090000004"/>
  </r>
  <r>
    <x v="1"/>
    <x v="0"/>
    <x v="1"/>
    <x v="0"/>
    <x v="0"/>
    <x v="4"/>
    <x v="0"/>
    <x v="0"/>
    <x v="0"/>
    <x v="0"/>
    <x v="0"/>
    <x v="0"/>
    <s v="24"/>
    <x v="1"/>
    <x v="0"/>
    <x v="2"/>
    <x v="1"/>
    <n v="447694.49"/>
  </r>
  <r>
    <x v="1"/>
    <x v="0"/>
    <x v="1"/>
    <x v="0"/>
    <x v="0"/>
    <x v="4"/>
    <x v="0"/>
    <x v="0"/>
    <x v="0"/>
    <x v="0"/>
    <x v="0"/>
    <x v="0"/>
    <s v="24"/>
    <x v="1"/>
    <x v="0"/>
    <x v="3"/>
    <x v="0"/>
    <n v="12956.09"/>
  </r>
  <r>
    <x v="1"/>
    <x v="0"/>
    <x v="1"/>
    <x v="0"/>
    <x v="0"/>
    <x v="4"/>
    <x v="0"/>
    <x v="0"/>
    <x v="0"/>
    <x v="0"/>
    <x v="0"/>
    <x v="0"/>
    <s v="24"/>
    <x v="1"/>
    <x v="0"/>
    <x v="3"/>
    <x v="10"/>
    <n v="62595292.640000001"/>
  </r>
  <r>
    <x v="1"/>
    <x v="0"/>
    <x v="1"/>
    <x v="0"/>
    <x v="0"/>
    <x v="4"/>
    <x v="0"/>
    <x v="0"/>
    <x v="0"/>
    <x v="0"/>
    <x v="0"/>
    <x v="0"/>
    <s v="24"/>
    <x v="1"/>
    <x v="0"/>
    <x v="3"/>
    <x v="11"/>
    <n v="363844.02"/>
  </r>
  <r>
    <x v="1"/>
    <x v="0"/>
    <x v="1"/>
    <x v="0"/>
    <x v="0"/>
    <x v="4"/>
    <x v="0"/>
    <x v="0"/>
    <x v="0"/>
    <x v="0"/>
    <x v="0"/>
    <x v="0"/>
    <s v="24"/>
    <x v="1"/>
    <x v="0"/>
    <x v="3"/>
    <x v="4"/>
    <n v="39010325.229999997"/>
  </r>
  <r>
    <x v="1"/>
    <x v="0"/>
    <x v="1"/>
    <x v="0"/>
    <x v="0"/>
    <x v="4"/>
    <x v="0"/>
    <x v="0"/>
    <x v="0"/>
    <x v="0"/>
    <x v="0"/>
    <x v="0"/>
    <s v="24"/>
    <x v="1"/>
    <x v="0"/>
    <x v="3"/>
    <x v="7"/>
    <n v="20646444.399999999"/>
  </r>
  <r>
    <x v="1"/>
    <x v="0"/>
    <x v="1"/>
    <x v="0"/>
    <x v="0"/>
    <x v="4"/>
    <x v="0"/>
    <x v="0"/>
    <x v="0"/>
    <x v="0"/>
    <x v="0"/>
    <x v="0"/>
    <s v="24"/>
    <x v="1"/>
    <x v="0"/>
    <x v="3"/>
    <x v="5"/>
    <n v="323719.33"/>
  </r>
  <r>
    <x v="1"/>
    <x v="0"/>
    <x v="1"/>
    <x v="0"/>
    <x v="0"/>
    <x v="4"/>
    <x v="0"/>
    <x v="0"/>
    <x v="0"/>
    <x v="0"/>
    <x v="0"/>
    <x v="0"/>
    <s v="24"/>
    <x v="1"/>
    <x v="0"/>
    <x v="3"/>
    <x v="6"/>
    <n v="55169791.369999997"/>
  </r>
  <r>
    <x v="1"/>
    <x v="0"/>
    <x v="1"/>
    <x v="0"/>
    <x v="0"/>
    <x v="4"/>
    <x v="0"/>
    <x v="0"/>
    <x v="0"/>
    <x v="0"/>
    <x v="0"/>
    <x v="0"/>
    <s v="24"/>
    <x v="1"/>
    <x v="0"/>
    <x v="3"/>
    <x v="1"/>
    <n v="356206.49"/>
  </r>
  <r>
    <x v="1"/>
    <x v="0"/>
    <x v="1"/>
    <x v="0"/>
    <x v="0"/>
    <x v="4"/>
    <x v="0"/>
    <x v="0"/>
    <x v="0"/>
    <x v="0"/>
    <x v="0"/>
    <x v="0"/>
    <s v="30"/>
    <x v="3"/>
    <x v="0"/>
    <x v="2"/>
    <x v="0"/>
    <n v="600.28"/>
  </r>
  <r>
    <x v="1"/>
    <x v="0"/>
    <x v="1"/>
    <x v="0"/>
    <x v="0"/>
    <x v="4"/>
    <x v="0"/>
    <x v="0"/>
    <x v="0"/>
    <x v="0"/>
    <x v="0"/>
    <x v="0"/>
    <s v="30"/>
    <x v="3"/>
    <x v="0"/>
    <x v="2"/>
    <x v="2"/>
    <n v="3040"/>
  </r>
  <r>
    <x v="1"/>
    <x v="0"/>
    <x v="1"/>
    <x v="0"/>
    <x v="0"/>
    <x v="4"/>
    <x v="0"/>
    <x v="0"/>
    <x v="0"/>
    <x v="0"/>
    <x v="0"/>
    <x v="0"/>
    <s v="30"/>
    <x v="3"/>
    <x v="0"/>
    <x v="2"/>
    <x v="8"/>
    <n v="147.49"/>
  </r>
  <r>
    <x v="1"/>
    <x v="0"/>
    <x v="1"/>
    <x v="0"/>
    <x v="0"/>
    <x v="4"/>
    <x v="0"/>
    <x v="0"/>
    <x v="0"/>
    <x v="0"/>
    <x v="0"/>
    <x v="0"/>
    <s v="30"/>
    <x v="3"/>
    <x v="0"/>
    <x v="2"/>
    <x v="11"/>
    <n v="18320"/>
  </r>
  <r>
    <x v="1"/>
    <x v="0"/>
    <x v="1"/>
    <x v="0"/>
    <x v="0"/>
    <x v="4"/>
    <x v="0"/>
    <x v="0"/>
    <x v="0"/>
    <x v="0"/>
    <x v="0"/>
    <x v="0"/>
    <s v="30"/>
    <x v="3"/>
    <x v="0"/>
    <x v="2"/>
    <x v="3"/>
    <n v="-368"/>
  </r>
  <r>
    <x v="1"/>
    <x v="0"/>
    <x v="1"/>
    <x v="0"/>
    <x v="0"/>
    <x v="4"/>
    <x v="0"/>
    <x v="0"/>
    <x v="0"/>
    <x v="0"/>
    <x v="0"/>
    <x v="0"/>
    <s v="30"/>
    <x v="3"/>
    <x v="0"/>
    <x v="2"/>
    <x v="4"/>
    <n v="403.92"/>
  </r>
  <r>
    <x v="1"/>
    <x v="0"/>
    <x v="1"/>
    <x v="0"/>
    <x v="0"/>
    <x v="4"/>
    <x v="0"/>
    <x v="0"/>
    <x v="0"/>
    <x v="0"/>
    <x v="0"/>
    <x v="0"/>
    <s v="30"/>
    <x v="3"/>
    <x v="0"/>
    <x v="2"/>
    <x v="7"/>
    <n v="574.25"/>
  </r>
  <r>
    <x v="1"/>
    <x v="0"/>
    <x v="1"/>
    <x v="0"/>
    <x v="0"/>
    <x v="4"/>
    <x v="0"/>
    <x v="0"/>
    <x v="0"/>
    <x v="0"/>
    <x v="0"/>
    <x v="0"/>
    <s v="30"/>
    <x v="3"/>
    <x v="0"/>
    <x v="2"/>
    <x v="5"/>
    <n v="459.3"/>
  </r>
  <r>
    <x v="1"/>
    <x v="0"/>
    <x v="1"/>
    <x v="0"/>
    <x v="0"/>
    <x v="4"/>
    <x v="0"/>
    <x v="0"/>
    <x v="0"/>
    <x v="0"/>
    <x v="0"/>
    <x v="0"/>
    <s v="30"/>
    <x v="3"/>
    <x v="0"/>
    <x v="2"/>
    <x v="6"/>
    <n v="313.3"/>
  </r>
  <r>
    <x v="1"/>
    <x v="0"/>
    <x v="1"/>
    <x v="0"/>
    <x v="0"/>
    <x v="4"/>
    <x v="0"/>
    <x v="0"/>
    <x v="0"/>
    <x v="0"/>
    <x v="0"/>
    <x v="0"/>
    <s v="30"/>
    <x v="3"/>
    <x v="0"/>
    <x v="2"/>
    <x v="1"/>
    <n v="965.2"/>
  </r>
  <r>
    <x v="1"/>
    <x v="0"/>
    <x v="1"/>
    <x v="0"/>
    <x v="0"/>
    <x v="4"/>
    <x v="0"/>
    <x v="0"/>
    <x v="0"/>
    <x v="0"/>
    <x v="0"/>
    <x v="0"/>
    <s v="30"/>
    <x v="3"/>
    <x v="0"/>
    <x v="3"/>
    <x v="0"/>
    <n v="670.5"/>
  </r>
  <r>
    <x v="1"/>
    <x v="0"/>
    <x v="1"/>
    <x v="0"/>
    <x v="0"/>
    <x v="4"/>
    <x v="0"/>
    <x v="0"/>
    <x v="0"/>
    <x v="0"/>
    <x v="0"/>
    <x v="0"/>
    <s v="30"/>
    <x v="3"/>
    <x v="0"/>
    <x v="3"/>
    <x v="2"/>
    <n v="261.05"/>
  </r>
  <r>
    <x v="1"/>
    <x v="0"/>
    <x v="1"/>
    <x v="0"/>
    <x v="0"/>
    <x v="4"/>
    <x v="0"/>
    <x v="0"/>
    <x v="0"/>
    <x v="0"/>
    <x v="0"/>
    <x v="0"/>
    <s v="30"/>
    <x v="3"/>
    <x v="0"/>
    <x v="3"/>
    <x v="8"/>
    <n v="3495.25"/>
  </r>
  <r>
    <x v="1"/>
    <x v="0"/>
    <x v="1"/>
    <x v="0"/>
    <x v="0"/>
    <x v="4"/>
    <x v="0"/>
    <x v="0"/>
    <x v="0"/>
    <x v="0"/>
    <x v="0"/>
    <x v="0"/>
    <s v="30"/>
    <x v="3"/>
    <x v="0"/>
    <x v="3"/>
    <x v="9"/>
    <n v="567.54999999999995"/>
  </r>
  <r>
    <x v="1"/>
    <x v="0"/>
    <x v="1"/>
    <x v="0"/>
    <x v="0"/>
    <x v="4"/>
    <x v="0"/>
    <x v="0"/>
    <x v="0"/>
    <x v="0"/>
    <x v="0"/>
    <x v="0"/>
    <s v="30"/>
    <x v="3"/>
    <x v="0"/>
    <x v="3"/>
    <x v="10"/>
    <n v="-202.5"/>
  </r>
  <r>
    <x v="1"/>
    <x v="0"/>
    <x v="1"/>
    <x v="0"/>
    <x v="0"/>
    <x v="4"/>
    <x v="0"/>
    <x v="0"/>
    <x v="0"/>
    <x v="0"/>
    <x v="0"/>
    <x v="0"/>
    <s v="30"/>
    <x v="3"/>
    <x v="0"/>
    <x v="3"/>
    <x v="11"/>
    <n v="1603.29"/>
  </r>
  <r>
    <x v="1"/>
    <x v="0"/>
    <x v="1"/>
    <x v="0"/>
    <x v="0"/>
    <x v="4"/>
    <x v="0"/>
    <x v="0"/>
    <x v="0"/>
    <x v="0"/>
    <x v="0"/>
    <x v="0"/>
    <s v="30"/>
    <x v="3"/>
    <x v="0"/>
    <x v="3"/>
    <x v="3"/>
    <n v="8.81"/>
  </r>
  <r>
    <x v="1"/>
    <x v="0"/>
    <x v="1"/>
    <x v="0"/>
    <x v="0"/>
    <x v="4"/>
    <x v="0"/>
    <x v="0"/>
    <x v="0"/>
    <x v="0"/>
    <x v="0"/>
    <x v="0"/>
    <s v="30"/>
    <x v="3"/>
    <x v="0"/>
    <x v="3"/>
    <x v="4"/>
    <n v="268.42"/>
  </r>
  <r>
    <x v="1"/>
    <x v="0"/>
    <x v="1"/>
    <x v="0"/>
    <x v="0"/>
    <x v="4"/>
    <x v="0"/>
    <x v="0"/>
    <x v="0"/>
    <x v="0"/>
    <x v="0"/>
    <x v="0"/>
    <s v="30"/>
    <x v="3"/>
    <x v="0"/>
    <x v="3"/>
    <x v="7"/>
    <n v="4205"/>
  </r>
  <r>
    <x v="1"/>
    <x v="0"/>
    <x v="1"/>
    <x v="0"/>
    <x v="0"/>
    <x v="4"/>
    <x v="0"/>
    <x v="0"/>
    <x v="0"/>
    <x v="0"/>
    <x v="0"/>
    <x v="0"/>
    <s v="30"/>
    <x v="3"/>
    <x v="0"/>
    <x v="3"/>
    <x v="5"/>
    <n v="-3770"/>
  </r>
  <r>
    <x v="1"/>
    <x v="0"/>
    <x v="1"/>
    <x v="0"/>
    <x v="0"/>
    <x v="4"/>
    <x v="0"/>
    <x v="0"/>
    <x v="0"/>
    <x v="0"/>
    <x v="0"/>
    <x v="0"/>
    <s v="30"/>
    <x v="3"/>
    <x v="0"/>
    <x v="3"/>
    <x v="6"/>
    <n v="-395.15"/>
  </r>
  <r>
    <x v="1"/>
    <x v="0"/>
    <x v="1"/>
    <x v="0"/>
    <x v="0"/>
    <x v="4"/>
    <x v="0"/>
    <x v="0"/>
    <x v="0"/>
    <x v="0"/>
    <x v="0"/>
    <x v="0"/>
    <s v="30"/>
    <x v="3"/>
    <x v="0"/>
    <x v="3"/>
    <x v="1"/>
    <n v="127572.65"/>
  </r>
  <r>
    <x v="1"/>
    <x v="0"/>
    <x v="1"/>
    <x v="0"/>
    <x v="0"/>
    <x v="4"/>
    <x v="0"/>
    <x v="0"/>
    <x v="0"/>
    <x v="0"/>
    <x v="0"/>
    <x v="0"/>
    <s v="31"/>
    <x v="8"/>
    <x v="0"/>
    <x v="2"/>
    <x v="1"/>
    <n v="-25.76"/>
  </r>
  <r>
    <x v="1"/>
    <x v="0"/>
    <x v="1"/>
    <x v="0"/>
    <x v="0"/>
    <x v="4"/>
    <x v="0"/>
    <x v="0"/>
    <x v="0"/>
    <x v="0"/>
    <x v="0"/>
    <x v="0"/>
    <s v="31"/>
    <x v="8"/>
    <x v="0"/>
    <x v="3"/>
    <x v="4"/>
    <n v="50"/>
  </r>
  <r>
    <x v="1"/>
    <x v="0"/>
    <x v="1"/>
    <x v="0"/>
    <x v="0"/>
    <x v="4"/>
    <x v="0"/>
    <x v="0"/>
    <x v="0"/>
    <x v="0"/>
    <x v="0"/>
    <x v="0"/>
    <s v="31"/>
    <x v="8"/>
    <x v="0"/>
    <x v="3"/>
    <x v="1"/>
    <n v="-50"/>
  </r>
  <r>
    <x v="1"/>
    <x v="0"/>
    <x v="1"/>
    <x v="0"/>
    <x v="0"/>
    <x v="4"/>
    <x v="0"/>
    <x v="0"/>
    <x v="0"/>
    <x v="0"/>
    <x v="0"/>
    <x v="0"/>
    <s v="80"/>
    <x v="11"/>
    <x v="0"/>
    <x v="2"/>
    <x v="10"/>
    <n v="678199"/>
  </r>
  <r>
    <x v="1"/>
    <x v="0"/>
    <x v="1"/>
    <x v="0"/>
    <x v="0"/>
    <x v="4"/>
    <x v="0"/>
    <x v="0"/>
    <x v="0"/>
    <x v="0"/>
    <x v="0"/>
    <x v="0"/>
    <s v="80"/>
    <x v="11"/>
    <x v="0"/>
    <x v="2"/>
    <x v="5"/>
    <n v="-17984"/>
  </r>
  <r>
    <x v="1"/>
    <x v="0"/>
    <x v="1"/>
    <x v="0"/>
    <x v="0"/>
    <x v="4"/>
    <x v="0"/>
    <x v="0"/>
    <x v="0"/>
    <x v="0"/>
    <x v="0"/>
    <x v="0"/>
    <s v="80"/>
    <x v="11"/>
    <x v="0"/>
    <x v="2"/>
    <x v="6"/>
    <n v="2075"/>
  </r>
  <r>
    <x v="1"/>
    <x v="0"/>
    <x v="1"/>
    <x v="0"/>
    <x v="0"/>
    <x v="4"/>
    <x v="0"/>
    <x v="0"/>
    <x v="0"/>
    <x v="0"/>
    <x v="0"/>
    <x v="0"/>
    <s v="80"/>
    <x v="11"/>
    <x v="0"/>
    <x v="3"/>
    <x v="3"/>
    <n v="60397.95"/>
  </r>
  <r>
    <x v="1"/>
    <x v="0"/>
    <x v="1"/>
    <x v="0"/>
    <x v="0"/>
    <x v="4"/>
    <x v="0"/>
    <x v="0"/>
    <x v="0"/>
    <x v="0"/>
    <x v="0"/>
    <x v="0"/>
    <s v="80"/>
    <x v="11"/>
    <x v="0"/>
    <x v="3"/>
    <x v="7"/>
    <n v="-363535"/>
  </r>
  <r>
    <x v="1"/>
    <x v="0"/>
    <x v="1"/>
    <x v="0"/>
    <x v="0"/>
    <x v="4"/>
    <x v="0"/>
    <x v="0"/>
    <x v="0"/>
    <x v="0"/>
    <x v="0"/>
    <x v="0"/>
    <s v="80"/>
    <x v="11"/>
    <x v="0"/>
    <x v="3"/>
    <x v="1"/>
    <n v="-42216.05"/>
  </r>
  <r>
    <x v="1"/>
    <x v="0"/>
    <x v="1"/>
    <x v="0"/>
    <x v="0"/>
    <x v="4"/>
    <x v="0"/>
    <x v="0"/>
    <x v="0"/>
    <x v="0"/>
    <x v="0"/>
    <x v="0"/>
    <s v="81"/>
    <x v="2"/>
    <x v="0"/>
    <x v="2"/>
    <x v="8"/>
    <n v="-3852"/>
  </r>
  <r>
    <x v="1"/>
    <x v="0"/>
    <x v="1"/>
    <x v="0"/>
    <x v="0"/>
    <x v="4"/>
    <x v="0"/>
    <x v="0"/>
    <x v="0"/>
    <x v="0"/>
    <x v="0"/>
    <x v="0"/>
    <s v="81"/>
    <x v="2"/>
    <x v="0"/>
    <x v="2"/>
    <x v="9"/>
    <n v="-2378"/>
  </r>
  <r>
    <x v="1"/>
    <x v="0"/>
    <x v="1"/>
    <x v="0"/>
    <x v="0"/>
    <x v="4"/>
    <x v="0"/>
    <x v="0"/>
    <x v="0"/>
    <x v="0"/>
    <x v="0"/>
    <x v="0"/>
    <s v="81"/>
    <x v="2"/>
    <x v="0"/>
    <x v="2"/>
    <x v="7"/>
    <n v="-194846"/>
  </r>
  <r>
    <x v="1"/>
    <x v="0"/>
    <x v="1"/>
    <x v="0"/>
    <x v="0"/>
    <x v="4"/>
    <x v="0"/>
    <x v="0"/>
    <x v="0"/>
    <x v="0"/>
    <x v="0"/>
    <x v="0"/>
    <s v="81"/>
    <x v="2"/>
    <x v="0"/>
    <x v="2"/>
    <x v="6"/>
    <n v="130"/>
  </r>
  <r>
    <x v="1"/>
    <x v="0"/>
    <x v="1"/>
    <x v="0"/>
    <x v="0"/>
    <x v="4"/>
    <x v="0"/>
    <x v="0"/>
    <x v="0"/>
    <x v="0"/>
    <x v="0"/>
    <x v="0"/>
    <s v="81"/>
    <x v="2"/>
    <x v="0"/>
    <x v="3"/>
    <x v="0"/>
    <n v="-107521.19"/>
  </r>
  <r>
    <x v="1"/>
    <x v="0"/>
    <x v="1"/>
    <x v="0"/>
    <x v="0"/>
    <x v="4"/>
    <x v="0"/>
    <x v="0"/>
    <x v="0"/>
    <x v="0"/>
    <x v="0"/>
    <x v="0"/>
    <s v="81"/>
    <x v="2"/>
    <x v="0"/>
    <x v="3"/>
    <x v="8"/>
    <n v="107521.19"/>
  </r>
  <r>
    <x v="1"/>
    <x v="0"/>
    <x v="1"/>
    <x v="0"/>
    <x v="0"/>
    <x v="4"/>
    <x v="0"/>
    <x v="0"/>
    <x v="0"/>
    <x v="0"/>
    <x v="0"/>
    <x v="0"/>
    <s v="81"/>
    <x v="2"/>
    <x v="0"/>
    <x v="3"/>
    <x v="11"/>
    <n v="-31232"/>
  </r>
  <r>
    <x v="1"/>
    <x v="0"/>
    <x v="1"/>
    <x v="0"/>
    <x v="0"/>
    <x v="4"/>
    <x v="0"/>
    <x v="0"/>
    <x v="0"/>
    <x v="0"/>
    <x v="0"/>
    <x v="0"/>
    <s v="81"/>
    <x v="2"/>
    <x v="0"/>
    <x v="3"/>
    <x v="3"/>
    <n v="-60397.95"/>
  </r>
  <r>
    <x v="1"/>
    <x v="0"/>
    <x v="1"/>
    <x v="0"/>
    <x v="0"/>
    <x v="4"/>
    <x v="0"/>
    <x v="0"/>
    <x v="0"/>
    <x v="0"/>
    <x v="0"/>
    <x v="0"/>
    <s v="81"/>
    <x v="2"/>
    <x v="0"/>
    <x v="3"/>
    <x v="4"/>
    <n v="60397.95"/>
  </r>
  <r>
    <x v="1"/>
    <x v="0"/>
    <x v="1"/>
    <x v="0"/>
    <x v="0"/>
    <x v="4"/>
    <x v="0"/>
    <x v="0"/>
    <x v="0"/>
    <x v="0"/>
    <x v="0"/>
    <x v="0"/>
    <s v="81"/>
    <x v="2"/>
    <x v="0"/>
    <x v="3"/>
    <x v="7"/>
    <n v="-245444"/>
  </r>
  <r>
    <x v="1"/>
    <x v="0"/>
    <x v="1"/>
    <x v="0"/>
    <x v="0"/>
    <x v="4"/>
    <x v="0"/>
    <x v="0"/>
    <x v="0"/>
    <x v="0"/>
    <x v="0"/>
    <x v="0"/>
    <s v="81"/>
    <x v="2"/>
    <x v="0"/>
    <x v="3"/>
    <x v="5"/>
    <n v="295"/>
  </r>
  <r>
    <x v="1"/>
    <x v="0"/>
    <x v="1"/>
    <x v="0"/>
    <x v="0"/>
    <x v="4"/>
    <x v="0"/>
    <x v="0"/>
    <x v="0"/>
    <x v="0"/>
    <x v="0"/>
    <x v="0"/>
    <s v="99"/>
    <x v="9"/>
    <x v="0"/>
    <x v="3"/>
    <x v="9"/>
    <n v="-75.84"/>
  </r>
  <r>
    <x v="1"/>
    <x v="0"/>
    <x v="1"/>
    <x v="0"/>
    <x v="0"/>
    <x v="4"/>
    <x v="0"/>
    <x v="0"/>
    <x v="0"/>
    <x v="0"/>
    <x v="0"/>
    <x v="0"/>
    <s v="99"/>
    <x v="9"/>
    <x v="0"/>
    <x v="3"/>
    <x v="1"/>
    <n v="-18983.689999999999"/>
  </r>
  <r>
    <x v="1"/>
    <x v="0"/>
    <x v="1"/>
    <x v="0"/>
    <x v="0"/>
    <x v="4"/>
    <x v="0"/>
    <x v="0"/>
    <x v="0"/>
    <x v="0"/>
    <x v="2"/>
    <x v="2"/>
    <s v="15"/>
    <x v="12"/>
    <x v="0"/>
    <x v="2"/>
    <x v="4"/>
    <n v="700"/>
  </r>
  <r>
    <x v="1"/>
    <x v="0"/>
    <x v="1"/>
    <x v="0"/>
    <x v="0"/>
    <x v="4"/>
    <x v="0"/>
    <x v="0"/>
    <x v="0"/>
    <x v="0"/>
    <x v="2"/>
    <x v="2"/>
    <s v="15"/>
    <x v="12"/>
    <x v="0"/>
    <x v="2"/>
    <x v="5"/>
    <n v="-700"/>
  </r>
  <r>
    <x v="1"/>
    <x v="0"/>
    <x v="1"/>
    <x v="0"/>
    <x v="0"/>
    <x v="4"/>
    <x v="0"/>
    <x v="0"/>
    <x v="0"/>
    <x v="0"/>
    <x v="2"/>
    <x v="2"/>
    <s v="15"/>
    <x v="12"/>
    <x v="0"/>
    <x v="3"/>
    <x v="11"/>
    <n v="49.97"/>
  </r>
  <r>
    <x v="1"/>
    <x v="0"/>
    <x v="1"/>
    <x v="0"/>
    <x v="0"/>
    <x v="4"/>
    <x v="0"/>
    <x v="0"/>
    <x v="0"/>
    <x v="0"/>
    <x v="2"/>
    <x v="2"/>
    <s v="15"/>
    <x v="12"/>
    <x v="0"/>
    <x v="3"/>
    <x v="1"/>
    <n v="-49.97"/>
  </r>
  <r>
    <x v="1"/>
    <x v="0"/>
    <x v="1"/>
    <x v="0"/>
    <x v="0"/>
    <x v="4"/>
    <x v="0"/>
    <x v="0"/>
    <x v="0"/>
    <x v="0"/>
    <x v="2"/>
    <x v="2"/>
    <s v="84"/>
    <x v="15"/>
    <x v="0"/>
    <x v="2"/>
    <x v="0"/>
    <n v="-194322.06"/>
  </r>
  <r>
    <x v="1"/>
    <x v="0"/>
    <x v="1"/>
    <x v="0"/>
    <x v="0"/>
    <x v="4"/>
    <x v="0"/>
    <x v="0"/>
    <x v="0"/>
    <x v="0"/>
    <x v="2"/>
    <x v="2"/>
    <s v="84"/>
    <x v="15"/>
    <x v="0"/>
    <x v="2"/>
    <x v="2"/>
    <n v="-76841.33"/>
  </r>
  <r>
    <x v="1"/>
    <x v="0"/>
    <x v="1"/>
    <x v="0"/>
    <x v="0"/>
    <x v="4"/>
    <x v="0"/>
    <x v="0"/>
    <x v="0"/>
    <x v="0"/>
    <x v="2"/>
    <x v="2"/>
    <s v="84"/>
    <x v="15"/>
    <x v="0"/>
    <x v="2"/>
    <x v="8"/>
    <n v="-1232.4100000000001"/>
  </r>
  <r>
    <x v="1"/>
    <x v="0"/>
    <x v="1"/>
    <x v="0"/>
    <x v="0"/>
    <x v="4"/>
    <x v="0"/>
    <x v="0"/>
    <x v="0"/>
    <x v="0"/>
    <x v="2"/>
    <x v="2"/>
    <s v="84"/>
    <x v="15"/>
    <x v="0"/>
    <x v="2"/>
    <x v="9"/>
    <n v="-1921207.26"/>
  </r>
  <r>
    <x v="1"/>
    <x v="0"/>
    <x v="1"/>
    <x v="0"/>
    <x v="0"/>
    <x v="4"/>
    <x v="0"/>
    <x v="0"/>
    <x v="0"/>
    <x v="0"/>
    <x v="2"/>
    <x v="2"/>
    <s v="84"/>
    <x v="15"/>
    <x v="0"/>
    <x v="2"/>
    <x v="10"/>
    <n v="-197699.68"/>
  </r>
  <r>
    <x v="1"/>
    <x v="0"/>
    <x v="1"/>
    <x v="0"/>
    <x v="0"/>
    <x v="4"/>
    <x v="0"/>
    <x v="0"/>
    <x v="0"/>
    <x v="0"/>
    <x v="2"/>
    <x v="2"/>
    <s v="84"/>
    <x v="15"/>
    <x v="0"/>
    <x v="2"/>
    <x v="11"/>
    <n v="-325355.90000000002"/>
  </r>
  <r>
    <x v="1"/>
    <x v="0"/>
    <x v="1"/>
    <x v="0"/>
    <x v="0"/>
    <x v="4"/>
    <x v="0"/>
    <x v="0"/>
    <x v="0"/>
    <x v="0"/>
    <x v="2"/>
    <x v="2"/>
    <s v="84"/>
    <x v="15"/>
    <x v="0"/>
    <x v="2"/>
    <x v="3"/>
    <n v="-177335.22"/>
  </r>
  <r>
    <x v="1"/>
    <x v="0"/>
    <x v="1"/>
    <x v="0"/>
    <x v="0"/>
    <x v="4"/>
    <x v="0"/>
    <x v="0"/>
    <x v="0"/>
    <x v="0"/>
    <x v="2"/>
    <x v="2"/>
    <s v="84"/>
    <x v="15"/>
    <x v="0"/>
    <x v="2"/>
    <x v="4"/>
    <n v="-76351.88"/>
  </r>
  <r>
    <x v="1"/>
    <x v="0"/>
    <x v="1"/>
    <x v="0"/>
    <x v="0"/>
    <x v="4"/>
    <x v="0"/>
    <x v="0"/>
    <x v="0"/>
    <x v="0"/>
    <x v="2"/>
    <x v="2"/>
    <s v="84"/>
    <x v="15"/>
    <x v="0"/>
    <x v="2"/>
    <x v="7"/>
    <n v="-730.3"/>
  </r>
  <r>
    <x v="1"/>
    <x v="0"/>
    <x v="1"/>
    <x v="0"/>
    <x v="0"/>
    <x v="4"/>
    <x v="0"/>
    <x v="0"/>
    <x v="0"/>
    <x v="0"/>
    <x v="2"/>
    <x v="2"/>
    <s v="84"/>
    <x v="15"/>
    <x v="0"/>
    <x v="2"/>
    <x v="5"/>
    <n v="-612884.18999999994"/>
  </r>
  <r>
    <x v="1"/>
    <x v="0"/>
    <x v="1"/>
    <x v="0"/>
    <x v="0"/>
    <x v="4"/>
    <x v="0"/>
    <x v="0"/>
    <x v="0"/>
    <x v="0"/>
    <x v="2"/>
    <x v="2"/>
    <s v="84"/>
    <x v="15"/>
    <x v="0"/>
    <x v="2"/>
    <x v="6"/>
    <n v="-477269.36"/>
  </r>
  <r>
    <x v="1"/>
    <x v="0"/>
    <x v="1"/>
    <x v="0"/>
    <x v="0"/>
    <x v="4"/>
    <x v="0"/>
    <x v="0"/>
    <x v="0"/>
    <x v="0"/>
    <x v="2"/>
    <x v="2"/>
    <s v="84"/>
    <x v="15"/>
    <x v="0"/>
    <x v="2"/>
    <x v="1"/>
    <n v="-749738.94"/>
  </r>
  <r>
    <x v="1"/>
    <x v="0"/>
    <x v="1"/>
    <x v="0"/>
    <x v="0"/>
    <x v="4"/>
    <x v="0"/>
    <x v="0"/>
    <x v="0"/>
    <x v="0"/>
    <x v="2"/>
    <x v="2"/>
    <s v="84"/>
    <x v="15"/>
    <x v="0"/>
    <x v="3"/>
    <x v="0"/>
    <n v="-191269.38"/>
  </r>
  <r>
    <x v="1"/>
    <x v="0"/>
    <x v="1"/>
    <x v="0"/>
    <x v="0"/>
    <x v="4"/>
    <x v="0"/>
    <x v="0"/>
    <x v="0"/>
    <x v="0"/>
    <x v="2"/>
    <x v="2"/>
    <s v="84"/>
    <x v="15"/>
    <x v="0"/>
    <x v="3"/>
    <x v="2"/>
    <n v="-76101.88"/>
  </r>
  <r>
    <x v="1"/>
    <x v="0"/>
    <x v="1"/>
    <x v="0"/>
    <x v="0"/>
    <x v="4"/>
    <x v="0"/>
    <x v="0"/>
    <x v="0"/>
    <x v="0"/>
    <x v="2"/>
    <x v="2"/>
    <s v="84"/>
    <x v="15"/>
    <x v="0"/>
    <x v="3"/>
    <x v="8"/>
    <n v="-792.9"/>
  </r>
  <r>
    <x v="1"/>
    <x v="0"/>
    <x v="1"/>
    <x v="0"/>
    <x v="0"/>
    <x v="4"/>
    <x v="0"/>
    <x v="0"/>
    <x v="0"/>
    <x v="0"/>
    <x v="2"/>
    <x v="2"/>
    <s v="84"/>
    <x v="15"/>
    <x v="0"/>
    <x v="3"/>
    <x v="9"/>
    <n v="-1472919.44"/>
  </r>
  <r>
    <x v="1"/>
    <x v="0"/>
    <x v="1"/>
    <x v="0"/>
    <x v="0"/>
    <x v="4"/>
    <x v="0"/>
    <x v="0"/>
    <x v="0"/>
    <x v="0"/>
    <x v="2"/>
    <x v="2"/>
    <s v="84"/>
    <x v="15"/>
    <x v="0"/>
    <x v="3"/>
    <x v="10"/>
    <n v="-190542.83"/>
  </r>
  <r>
    <x v="1"/>
    <x v="0"/>
    <x v="1"/>
    <x v="0"/>
    <x v="0"/>
    <x v="4"/>
    <x v="0"/>
    <x v="0"/>
    <x v="0"/>
    <x v="0"/>
    <x v="2"/>
    <x v="2"/>
    <s v="84"/>
    <x v="15"/>
    <x v="0"/>
    <x v="3"/>
    <x v="11"/>
    <n v="-312641.62"/>
  </r>
  <r>
    <x v="1"/>
    <x v="0"/>
    <x v="1"/>
    <x v="0"/>
    <x v="0"/>
    <x v="4"/>
    <x v="0"/>
    <x v="0"/>
    <x v="0"/>
    <x v="0"/>
    <x v="2"/>
    <x v="2"/>
    <s v="84"/>
    <x v="15"/>
    <x v="0"/>
    <x v="3"/>
    <x v="3"/>
    <n v="-516214.59"/>
  </r>
  <r>
    <x v="1"/>
    <x v="0"/>
    <x v="1"/>
    <x v="0"/>
    <x v="0"/>
    <x v="4"/>
    <x v="0"/>
    <x v="0"/>
    <x v="0"/>
    <x v="0"/>
    <x v="2"/>
    <x v="2"/>
    <s v="84"/>
    <x v="15"/>
    <x v="0"/>
    <x v="3"/>
    <x v="4"/>
    <n v="-76047.77"/>
  </r>
  <r>
    <x v="1"/>
    <x v="0"/>
    <x v="1"/>
    <x v="0"/>
    <x v="0"/>
    <x v="4"/>
    <x v="0"/>
    <x v="0"/>
    <x v="0"/>
    <x v="0"/>
    <x v="2"/>
    <x v="2"/>
    <s v="84"/>
    <x v="15"/>
    <x v="0"/>
    <x v="3"/>
    <x v="7"/>
    <n v="-626.61"/>
  </r>
  <r>
    <x v="1"/>
    <x v="0"/>
    <x v="1"/>
    <x v="0"/>
    <x v="0"/>
    <x v="4"/>
    <x v="0"/>
    <x v="0"/>
    <x v="0"/>
    <x v="0"/>
    <x v="2"/>
    <x v="2"/>
    <s v="84"/>
    <x v="15"/>
    <x v="0"/>
    <x v="3"/>
    <x v="5"/>
    <n v="-590231.62"/>
  </r>
  <r>
    <x v="1"/>
    <x v="0"/>
    <x v="1"/>
    <x v="0"/>
    <x v="0"/>
    <x v="4"/>
    <x v="0"/>
    <x v="0"/>
    <x v="0"/>
    <x v="0"/>
    <x v="2"/>
    <x v="2"/>
    <s v="84"/>
    <x v="15"/>
    <x v="0"/>
    <x v="3"/>
    <x v="6"/>
    <n v="-485327.65"/>
  </r>
  <r>
    <x v="1"/>
    <x v="0"/>
    <x v="1"/>
    <x v="0"/>
    <x v="0"/>
    <x v="4"/>
    <x v="0"/>
    <x v="0"/>
    <x v="0"/>
    <x v="0"/>
    <x v="2"/>
    <x v="2"/>
    <s v="84"/>
    <x v="15"/>
    <x v="0"/>
    <x v="3"/>
    <x v="1"/>
    <n v="-762920.71"/>
  </r>
  <r>
    <x v="1"/>
    <x v="0"/>
    <x v="1"/>
    <x v="0"/>
    <x v="0"/>
    <x v="0"/>
    <x v="0"/>
    <x v="0"/>
    <x v="0"/>
    <x v="1"/>
    <x v="1"/>
    <x v="1"/>
    <s v="41"/>
    <x v="4"/>
    <x v="0"/>
    <x v="3"/>
    <x v="3"/>
    <n v="145"/>
  </r>
  <r>
    <x v="1"/>
    <x v="0"/>
    <x v="1"/>
    <x v="0"/>
    <x v="0"/>
    <x v="0"/>
    <x v="0"/>
    <x v="0"/>
    <x v="0"/>
    <x v="1"/>
    <x v="1"/>
    <x v="1"/>
    <s v="41"/>
    <x v="4"/>
    <x v="0"/>
    <x v="3"/>
    <x v="7"/>
    <n v="-145"/>
  </r>
  <r>
    <x v="1"/>
    <x v="0"/>
    <x v="1"/>
    <x v="0"/>
    <x v="0"/>
    <x v="0"/>
    <x v="0"/>
    <x v="0"/>
    <x v="0"/>
    <x v="0"/>
    <x v="0"/>
    <x v="0"/>
    <s v="09"/>
    <x v="0"/>
    <x v="0"/>
    <x v="2"/>
    <x v="0"/>
    <n v="13310.18"/>
  </r>
  <r>
    <x v="1"/>
    <x v="0"/>
    <x v="1"/>
    <x v="0"/>
    <x v="0"/>
    <x v="0"/>
    <x v="0"/>
    <x v="0"/>
    <x v="0"/>
    <x v="0"/>
    <x v="0"/>
    <x v="0"/>
    <s v="09"/>
    <x v="0"/>
    <x v="0"/>
    <x v="2"/>
    <x v="2"/>
    <n v="12776.99"/>
  </r>
  <r>
    <x v="1"/>
    <x v="0"/>
    <x v="1"/>
    <x v="0"/>
    <x v="0"/>
    <x v="0"/>
    <x v="0"/>
    <x v="0"/>
    <x v="0"/>
    <x v="0"/>
    <x v="0"/>
    <x v="0"/>
    <s v="09"/>
    <x v="0"/>
    <x v="0"/>
    <x v="2"/>
    <x v="8"/>
    <n v="18870.07"/>
  </r>
  <r>
    <x v="1"/>
    <x v="0"/>
    <x v="1"/>
    <x v="0"/>
    <x v="0"/>
    <x v="0"/>
    <x v="0"/>
    <x v="0"/>
    <x v="0"/>
    <x v="0"/>
    <x v="0"/>
    <x v="0"/>
    <s v="09"/>
    <x v="0"/>
    <x v="0"/>
    <x v="2"/>
    <x v="9"/>
    <n v="51823.14"/>
  </r>
  <r>
    <x v="1"/>
    <x v="0"/>
    <x v="1"/>
    <x v="0"/>
    <x v="0"/>
    <x v="0"/>
    <x v="0"/>
    <x v="0"/>
    <x v="0"/>
    <x v="0"/>
    <x v="0"/>
    <x v="0"/>
    <s v="09"/>
    <x v="0"/>
    <x v="0"/>
    <x v="2"/>
    <x v="10"/>
    <n v="94083.24"/>
  </r>
  <r>
    <x v="1"/>
    <x v="0"/>
    <x v="1"/>
    <x v="0"/>
    <x v="0"/>
    <x v="0"/>
    <x v="0"/>
    <x v="0"/>
    <x v="0"/>
    <x v="0"/>
    <x v="0"/>
    <x v="0"/>
    <s v="09"/>
    <x v="0"/>
    <x v="0"/>
    <x v="2"/>
    <x v="11"/>
    <n v="63127.83"/>
  </r>
  <r>
    <x v="1"/>
    <x v="0"/>
    <x v="1"/>
    <x v="0"/>
    <x v="0"/>
    <x v="0"/>
    <x v="0"/>
    <x v="0"/>
    <x v="0"/>
    <x v="0"/>
    <x v="0"/>
    <x v="0"/>
    <s v="09"/>
    <x v="0"/>
    <x v="0"/>
    <x v="2"/>
    <x v="3"/>
    <n v="7076.07"/>
  </r>
  <r>
    <x v="1"/>
    <x v="0"/>
    <x v="1"/>
    <x v="0"/>
    <x v="0"/>
    <x v="0"/>
    <x v="0"/>
    <x v="0"/>
    <x v="0"/>
    <x v="0"/>
    <x v="0"/>
    <x v="0"/>
    <s v="09"/>
    <x v="0"/>
    <x v="0"/>
    <x v="2"/>
    <x v="4"/>
    <n v="42493.49"/>
  </r>
  <r>
    <x v="1"/>
    <x v="0"/>
    <x v="1"/>
    <x v="0"/>
    <x v="0"/>
    <x v="0"/>
    <x v="0"/>
    <x v="0"/>
    <x v="0"/>
    <x v="0"/>
    <x v="0"/>
    <x v="0"/>
    <s v="09"/>
    <x v="0"/>
    <x v="0"/>
    <x v="2"/>
    <x v="7"/>
    <n v="85272.94"/>
  </r>
  <r>
    <x v="1"/>
    <x v="0"/>
    <x v="1"/>
    <x v="0"/>
    <x v="0"/>
    <x v="0"/>
    <x v="0"/>
    <x v="0"/>
    <x v="0"/>
    <x v="0"/>
    <x v="0"/>
    <x v="0"/>
    <s v="09"/>
    <x v="0"/>
    <x v="0"/>
    <x v="2"/>
    <x v="5"/>
    <n v="66494.490000000005"/>
  </r>
  <r>
    <x v="1"/>
    <x v="0"/>
    <x v="1"/>
    <x v="0"/>
    <x v="0"/>
    <x v="0"/>
    <x v="0"/>
    <x v="0"/>
    <x v="0"/>
    <x v="0"/>
    <x v="0"/>
    <x v="0"/>
    <s v="09"/>
    <x v="0"/>
    <x v="0"/>
    <x v="2"/>
    <x v="6"/>
    <n v="38970.959999999999"/>
  </r>
  <r>
    <x v="1"/>
    <x v="0"/>
    <x v="1"/>
    <x v="0"/>
    <x v="0"/>
    <x v="0"/>
    <x v="0"/>
    <x v="0"/>
    <x v="0"/>
    <x v="0"/>
    <x v="0"/>
    <x v="0"/>
    <s v="09"/>
    <x v="0"/>
    <x v="0"/>
    <x v="2"/>
    <x v="1"/>
    <n v="22421.37"/>
  </r>
  <r>
    <x v="1"/>
    <x v="0"/>
    <x v="1"/>
    <x v="0"/>
    <x v="0"/>
    <x v="0"/>
    <x v="0"/>
    <x v="0"/>
    <x v="0"/>
    <x v="0"/>
    <x v="0"/>
    <x v="0"/>
    <s v="09"/>
    <x v="0"/>
    <x v="0"/>
    <x v="3"/>
    <x v="0"/>
    <n v="3798.61"/>
  </r>
  <r>
    <x v="1"/>
    <x v="0"/>
    <x v="1"/>
    <x v="0"/>
    <x v="0"/>
    <x v="0"/>
    <x v="0"/>
    <x v="0"/>
    <x v="0"/>
    <x v="0"/>
    <x v="0"/>
    <x v="0"/>
    <s v="09"/>
    <x v="0"/>
    <x v="0"/>
    <x v="3"/>
    <x v="2"/>
    <n v="11269.24"/>
  </r>
  <r>
    <x v="1"/>
    <x v="0"/>
    <x v="1"/>
    <x v="0"/>
    <x v="0"/>
    <x v="0"/>
    <x v="0"/>
    <x v="0"/>
    <x v="0"/>
    <x v="0"/>
    <x v="0"/>
    <x v="0"/>
    <s v="09"/>
    <x v="0"/>
    <x v="0"/>
    <x v="3"/>
    <x v="8"/>
    <n v="11203.45"/>
  </r>
  <r>
    <x v="1"/>
    <x v="0"/>
    <x v="1"/>
    <x v="0"/>
    <x v="0"/>
    <x v="0"/>
    <x v="0"/>
    <x v="0"/>
    <x v="0"/>
    <x v="0"/>
    <x v="0"/>
    <x v="0"/>
    <s v="09"/>
    <x v="0"/>
    <x v="0"/>
    <x v="3"/>
    <x v="9"/>
    <n v="26766.46"/>
  </r>
  <r>
    <x v="1"/>
    <x v="0"/>
    <x v="1"/>
    <x v="0"/>
    <x v="0"/>
    <x v="0"/>
    <x v="0"/>
    <x v="0"/>
    <x v="0"/>
    <x v="0"/>
    <x v="0"/>
    <x v="0"/>
    <s v="09"/>
    <x v="0"/>
    <x v="0"/>
    <x v="3"/>
    <x v="10"/>
    <n v="60366.05"/>
  </r>
  <r>
    <x v="1"/>
    <x v="0"/>
    <x v="1"/>
    <x v="0"/>
    <x v="0"/>
    <x v="0"/>
    <x v="0"/>
    <x v="0"/>
    <x v="0"/>
    <x v="0"/>
    <x v="0"/>
    <x v="0"/>
    <s v="09"/>
    <x v="0"/>
    <x v="0"/>
    <x v="3"/>
    <x v="11"/>
    <n v="26744.05"/>
  </r>
  <r>
    <x v="1"/>
    <x v="0"/>
    <x v="1"/>
    <x v="0"/>
    <x v="0"/>
    <x v="0"/>
    <x v="0"/>
    <x v="0"/>
    <x v="0"/>
    <x v="0"/>
    <x v="0"/>
    <x v="0"/>
    <s v="09"/>
    <x v="0"/>
    <x v="0"/>
    <x v="3"/>
    <x v="3"/>
    <n v="35605.919999999998"/>
  </r>
  <r>
    <x v="1"/>
    <x v="0"/>
    <x v="1"/>
    <x v="0"/>
    <x v="0"/>
    <x v="0"/>
    <x v="0"/>
    <x v="0"/>
    <x v="0"/>
    <x v="0"/>
    <x v="0"/>
    <x v="0"/>
    <s v="09"/>
    <x v="0"/>
    <x v="0"/>
    <x v="3"/>
    <x v="4"/>
    <n v="26408.28"/>
  </r>
  <r>
    <x v="1"/>
    <x v="0"/>
    <x v="1"/>
    <x v="0"/>
    <x v="0"/>
    <x v="0"/>
    <x v="0"/>
    <x v="0"/>
    <x v="0"/>
    <x v="0"/>
    <x v="0"/>
    <x v="0"/>
    <s v="09"/>
    <x v="0"/>
    <x v="0"/>
    <x v="3"/>
    <x v="7"/>
    <n v="60259.03"/>
  </r>
  <r>
    <x v="1"/>
    <x v="0"/>
    <x v="1"/>
    <x v="0"/>
    <x v="0"/>
    <x v="0"/>
    <x v="0"/>
    <x v="0"/>
    <x v="0"/>
    <x v="0"/>
    <x v="0"/>
    <x v="0"/>
    <s v="09"/>
    <x v="0"/>
    <x v="0"/>
    <x v="3"/>
    <x v="5"/>
    <n v="38807.279999999999"/>
  </r>
  <r>
    <x v="1"/>
    <x v="0"/>
    <x v="1"/>
    <x v="0"/>
    <x v="0"/>
    <x v="0"/>
    <x v="0"/>
    <x v="0"/>
    <x v="0"/>
    <x v="0"/>
    <x v="0"/>
    <x v="0"/>
    <s v="09"/>
    <x v="0"/>
    <x v="0"/>
    <x v="3"/>
    <x v="6"/>
    <n v="52306.8"/>
  </r>
  <r>
    <x v="1"/>
    <x v="0"/>
    <x v="1"/>
    <x v="0"/>
    <x v="0"/>
    <x v="0"/>
    <x v="0"/>
    <x v="0"/>
    <x v="0"/>
    <x v="0"/>
    <x v="0"/>
    <x v="0"/>
    <s v="09"/>
    <x v="0"/>
    <x v="0"/>
    <x v="3"/>
    <x v="1"/>
    <n v="33748.61"/>
  </r>
  <r>
    <x v="1"/>
    <x v="0"/>
    <x v="1"/>
    <x v="0"/>
    <x v="0"/>
    <x v="0"/>
    <x v="0"/>
    <x v="0"/>
    <x v="0"/>
    <x v="0"/>
    <x v="0"/>
    <x v="0"/>
    <s v="20"/>
    <x v="7"/>
    <x v="0"/>
    <x v="2"/>
    <x v="2"/>
    <n v="25"/>
  </r>
  <r>
    <x v="1"/>
    <x v="0"/>
    <x v="1"/>
    <x v="0"/>
    <x v="0"/>
    <x v="0"/>
    <x v="0"/>
    <x v="0"/>
    <x v="0"/>
    <x v="0"/>
    <x v="0"/>
    <x v="0"/>
    <s v="20"/>
    <x v="7"/>
    <x v="0"/>
    <x v="2"/>
    <x v="9"/>
    <n v="-25"/>
  </r>
  <r>
    <x v="1"/>
    <x v="0"/>
    <x v="1"/>
    <x v="0"/>
    <x v="0"/>
    <x v="0"/>
    <x v="0"/>
    <x v="0"/>
    <x v="0"/>
    <x v="0"/>
    <x v="0"/>
    <x v="0"/>
    <s v="20"/>
    <x v="7"/>
    <x v="0"/>
    <x v="2"/>
    <x v="5"/>
    <n v="2"/>
  </r>
  <r>
    <x v="1"/>
    <x v="0"/>
    <x v="1"/>
    <x v="0"/>
    <x v="0"/>
    <x v="0"/>
    <x v="0"/>
    <x v="0"/>
    <x v="0"/>
    <x v="0"/>
    <x v="0"/>
    <x v="0"/>
    <s v="20"/>
    <x v="7"/>
    <x v="0"/>
    <x v="2"/>
    <x v="6"/>
    <n v="-2"/>
  </r>
  <r>
    <x v="1"/>
    <x v="0"/>
    <x v="1"/>
    <x v="0"/>
    <x v="0"/>
    <x v="0"/>
    <x v="0"/>
    <x v="0"/>
    <x v="0"/>
    <x v="0"/>
    <x v="0"/>
    <x v="0"/>
    <s v="20"/>
    <x v="7"/>
    <x v="0"/>
    <x v="3"/>
    <x v="8"/>
    <n v="10"/>
  </r>
  <r>
    <x v="1"/>
    <x v="0"/>
    <x v="1"/>
    <x v="0"/>
    <x v="0"/>
    <x v="0"/>
    <x v="0"/>
    <x v="0"/>
    <x v="0"/>
    <x v="0"/>
    <x v="0"/>
    <x v="0"/>
    <s v="20"/>
    <x v="7"/>
    <x v="0"/>
    <x v="3"/>
    <x v="9"/>
    <n v="-10"/>
  </r>
  <r>
    <x v="1"/>
    <x v="0"/>
    <x v="1"/>
    <x v="0"/>
    <x v="0"/>
    <x v="0"/>
    <x v="0"/>
    <x v="0"/>
    <x v="0"/>
    <x v="0"/>
    <x v="0"/>
    <x v="0"/>
    <s v="20"/>
    <x v="7"/>
    <x v="0"/>
    <x v="3"/>
    <x v="3"/>
    <n v="144"/>
  </r>
  <r>
    <x v="1"/>
    <x v="0"/>
    <x v="1"/>
    <x v="0"/>
    <x v="0"/>
    <x v="0"/>
    <x v="0"/>
    <x v="0"/>
    <x v="0"/>
    <x v="0"/>
    <x v="0"/>
    <x v="0"/>
    <s v="20"/>
    <x v="7"/>
    <x v="0"/>
    <x v="3"/>
    <x v="4"/>
    <n v="-128.51"/>
  </r>
  <r>
    <x v="1"/>
    <x v="0"/>
    <x v="1"/>
    <x v="0"/>
    <x v="0"/>
    <x v="0"/>
    <x v="0"/>
    <x v="0"/>
    <x v="0"/>
    <x v="0"/>
    <x v="0"/>
    <x v="0"/>
    <s v="20"/>
    <x v="7"/>
    <x v="0"/>
    <x v="3"/>
    <x v="7"/>
    <n v="-15.49"/>
  </r>
  <r>
    <x v="1"/>
    <x v="0"/>
    <x v="1"/>
    <x v="0"/>
    <x v="0"/>
    <x v="0"/>
    <x v="0"/>
    <x v="0"/>
    <x v="0"/>
    <x v="0"/>
    <x v="0"/>
    <x v="0"/>
    <s v="24"/>
    <x v="1"/>
    <x v="0"/>
    <x v="2"/>
    <x v="0"/>
    <n v="132512.18"/>
  </r>
  <r>
    <x v="1"/>
    <x v="0"/>
    <x v="1"/>
    <x v="0"/>
    <x v="0"/>
    <x v="0"/>
    <x v="0"/>
    <x v="0"/>
    <x v="0"/>
    <x v="0"/>
    <x v="0"/>
    <x v="0"/>
    <s v="24"/>
    <x v="1"/>
    <x v="0"/>
    <x v="2"/>
    <x v="2"/>
    <n v="17210706.75"/>
  </r>
  <r>
    <x v="1"/>
    <x v="0"/>
    <x v="1"/>
    <x v="0"/>
    <x v="0"/>
    <x v="0"/>
    <x v="0"/>
    <x v="0"/>
    <x v="0"/>
    <x v="0"/>
    <x v="0"/>
    <x v="0"/>
    <s v="24"/>
    <x v="1"/>
    <x v="0"/>
    <x v="2"/>
    <x v="8"/>
    <n v="13226576.35"/>
  </r>
  <r>
    <x v="1"/>
    <x v="0"/>
    <x v="1"/>
    <x v="0"/>
    <x v="0"/>
    <x v="0"/>
    <x v="0"/>
    <x v="0"/>
    <x v="0"/>
    <x v="0"/>
    <x v="0"/>
    <x v="0"/>
    <s v="24"/>
    <x v="1"/>
    <x v="0"/>
    <x v="2"/>
    <x v="9"/>
    <n v="3166307.45"/>
  </r>
  <r>
    <x v="1"/>
    <x v="0"/>
    <x v="1"/>
    <x v="0"/>
    <x v="0"/>
    <x v="0"/>
    <x v="0"/>
    <x v="0"/>
    <x v="0"/>
    <x v="0"/>
    <x v="0"/>
    <x v="0"/>
    <s v="24"/>
    <x v="1"/>
    <x v="0"/>
    <x v="2"/>
    <x v="10"/>
    <n v="193755.1"/>
  </r>
  <r>
    <x v="1"/>
    <x v="0"/>
    <x v="1"/>
    <x v="0"/>
    <x v="0"/>
    <x v="0"/>
    <x v="0"/>
    <x v="0"/>
    <x v="0"/>
    <x v="0"/>
    <x v="0"/>
    <x v="0"/>
    <s v="24"/>
    <x v="1"/>
    <x v="0"/>
    <x v="2"/>
    <x v="11"/>
    <n v="205545.81"/>
  </r>
  <r>
    <x v="1"/>
    <x v="0"/>
    <x v="1"/>
    <x v="0"/>
    <x v="0"/>
    <x v="0"/>
    <x v="0"/>
    <x v="0"/>
    <x v="0"/>
    <x v="0"/>
    <x v="0"/>
    <x v="0"/>
    <s v="24"/>
    <x v="1"/>
    <x v="0"/>
    <x v="2"/>
    <x v="3"/>
    <n v="22193281.07"/>
  </r>
  <r>
    <x v="1"/>
    <x v="0"/>
    <x v="1"/>
    <x v="0"/>
    <x v="0"/>
    <x v="0"/>
    <x v="0"/>
    <x v="0"/>
    <x v="0"/>
    <x v="0"/>
    <x v="0"/>
    <x v="0"/>
    <s v="24"/>
    <x v="1"/>
    <x v="0"/>
    <x v="2"/>
    <x v="4"/>
    <n v="9222044.1600000001"/>
  </r>
  <r>
    <x v="1"/>
    <x v="0"/>
    <x v="1"/>
    <x v="0"/>
    <x v="0"/>
    <x v="0"/>
    <x v="0"/>
    <x v="0"/>
    <x v="0"/>
    <x v="0"/>
    <x v="0"/>
    <x v="0"/>
    <s v="24"/>
    <x v="1"/>
    <x v="0"/>
    <x v="2"/>
    <x v="7"/>
    <n v="1597810.1"/>
  </r>
  <r>
    <x v="1"/>
    <x v="0"/>
    <x v="1"/>
    <x v="0"/>
    <x v="0"/>
    <x v="0"/>
    <x v="0"/>
    <x v="0"/>
    <x v="0"/>
    <x v="0"/>
    <x v="0"/>
    <x v="0"/>
    <s v="24"/>
    <x v="1"/>
    <x v="0"/>
    <x v="2"/>
    <x v="5"/>
    <n v="305523.44"/>
  </r>
  <r>
    <x v="1"/>
    <x v="0"/>
    <x v="1"/>
    <x v="0"/>
    <x v="0"/>
    <x v="0"/>
    <x v="0"/>
    <x v="0"/>
    <x v="0"/>
    <x v="0"/>
    <x v="0"/>
    <x v="0"/>
    <s v="24"/>
    <x v="1"/>
    <x v="0"/>
    <x v="2"/>
    <x v="6"/>
    <n v="1478749.86"/>
  </r>
  <r>
    <x v="1"/>
    <x v="0"/>
    <x v="1"/>
    <x v="0"/>
    <x v="0"/>
    <x v="0"/>
    <x v="0"/>
    <x v="0"/>
    <x v="0"/>
    <x v="0"/>
    <x v="0"/>
    <x v="0"/>
    <s v="24"/>
    <x v="1"/>
    <x v="0"/>
    <x v="2"/>
    <x v="1"/>
    <n v="493407.28"/>
  </r>
  <r>
    <x v="1"/>
    <x v="0"/>
    <x v="1"/>
    <x v="0"/>
    <x v="0"/>
    <x v="0"/>
    <x v="0"/>
    <x v="0"/>
    <x v="0"/>
    <x v="0"/>
    <x v="0"/>
    <x v="0"/>
    <s v="24"/>
    <x v="1"/>
    <x v="0"/>
    <x v="3"/>
    <x v="0"/>
    <n v="190969.27"/>
  </r>
  <r>
    <x v="1"/>
    <x v="0"/>
    <x v="1"/>
    <x v="0"/>
    <x v="0"/>
    <x v="0"/>
    <x v="0"/>
    <x v="0"/>
    <x v="0"/>
    <x v="0"/>
    <x v="0"/>
    <x v="0"/>
    <s v="24"/>
    <x v="1"/>
    <x v="0"/>
    <x v="3"/>
    <x v="2"/>
    <n v="20761953.829999998"/>
  </r>
  <r>
    <x v="1"/>
    <x v="0"/>
    <x v="1"/>
    <x v="0"/>
    <x v="0"/>
    <x v="0"/>
    <x v="0"/>
    <x v="0"/>
    <x v="0"/>
    <x v="0"/>
    <x v="0"/>
    <x v="0"/>
    <s v="24"/>
    <x v="1"/>
    <x v="0"/>
    <x v="3"/>
    <x v="8"/>
    <n v="17062928.699999999"/>
  </r>
  <r>
    <x v="1"/>
    <x v="0"/>
    <x v="1"/>
    <x v="0"/>
    <x v="0"/>
    <x v="0"/>
    <x v="0"/>
    <x v="0"/>
    <x v="0"/>
    <x v="0"/>
    <x v="0"/>
    <x v="0"/>
    <s v="24"/>
    <x v="1"/>
    <x v="0"/>
    <x v="3"/>
    <x v="9"/>
    <n v="1795271.9"/>
  </r>
  <r>
    <x v="1"/>
    <x v="0"/>
    <x v="1"/>
    <x v="0"/>
    <x v="0"/>
    <x v="0"/>
    <x v="0"/>
    <x v="0"/>
    <x v="0"/>
    <x v="0"/>
    <x v="0"/>
    <x v="0"/>
    <s v="24"/>
    <x v="1"/>
    <x v="0"/>
    <x v="3"/>
    <x v="10"/>
    <n v="379553.09"/>
  </r>
  <r>
    <x v="1"/>
    <x v="0"/>
    <x v="1"/>
    <x v="0"/>
    <x v="0"/>
    <x v="0"/>
    <x v="0"/>
    <x v="0"/>
    <x v="0"/>
    <x v="0"/>
    <x v="0"/>
    <x v="0"/>
    <s v="24"/>
    <x v="1"/>
    <x v="0"/>
    <x v="3"/>
    <x v="11"/>
    <n v="337119.18"/>
  </r>
  <r>
    <x v="1"/>
    <x v="0"/>
    <x v="1"/>
    <x v="0"/>
    <x v="0"/>
    <x v="0"/>
    <x v="0"/>
    <x v="0"/>
    <x v="0"/>
    <x v="0"/>
    <x v="0"/>
    <x v="0"/>
    <s v="24"/>
    <x v="1"/>
    <x v="0"/>
    <x v="3"/>
    <x v="3"/>
    <n v="26890695.059999999"/>
  </r>
  <r>
    <x v="1"/>
    <x v="0"/>
    <x v="1"/>
    <x v="0"/>
    <x v="0"/>
    <x v="0"/>
    <x v="0"/>
    <x v="0"/>
    <x v="0"/>
    <x v="0"/>
    <x v="0"/>
    <x v="0"/>
    <s v="24"/>
    <x v="1"/>
    <x v="0"/>
    <x v="3"/>
    <x v="4"/>
    <n v="10181084.76"/>
  </r>
  <r>
    <x v="1"/>
    <x v="0"/>
    <x v="1"/>
    <x v="0"/>
    <x v="0"/>
    <x v="0"/>
    <x v="0"/>
    <x v="0"/>
    <x v="0"/>
    <x v="0"/>
    <x v="0"/>
    <x v="0"/>
    <s v="24"/>
    <x v="1"/>
    <x v="0"/>
    <x v="3"/>
    <x v="7"/>
    <n v="2363245.14"/>
  </r>
  <r>
    <x v="1"/>
    <x v="0"/>
    <x v="1"/>
    <x v="0"/>
    <x v="0"/>
    <x v="0"/>
    <x v="0"/>
    <x v="0"/>
    <x v="0"/>
    <x v="0"/>
    <x v="0"/>
    <x v="0"/>
    <s v="24"/>
    <x v="1"/>
    <x v="0"/>
    <x v="3"/>
    <x v="5"/>
    <n v="-14675.47"/>
  </r>
  <r>
    <x v="1"/>
    <x v="0"/>
    <x v="1"/>
    <x v="0"/>
    <x v="0"/>
    <x v="0"/>
    <x v="0"/>
    <x v="0"/>
    <x v="0"/>
    <x v="0"/>
    <x v="0"/>
    <x v="0"/>
    <s v="24"/>
    <x v="1"/>
    <x v="0"/>
    <x v="3"/>
    <x v="6"/>
    <n v="607799.68000000005"/>
  </r>
  <r>
    <x v="1"/>
    <x v="0"/>
    <x v="1"/>
    <x v="0"/>
    <x v="0"/>
    <x v="0"/>
    <x v="0"/>
    <x v="0"/>
    <x v="0"/>
    <x v="0"/>
    <x v="0"/>
    <x v="0"/>
    <s v="24"/>
    <x v="1"/>
    <x v="0"/>
    <x v="3"/>
    <x v="1"/>
    <n v="234932.94"/>
  </r>
  <r>
    <x v="1"/>
    <x v="0"/>
    <x v="1"/>
    <x v="0"/>
    <x v="0"/>
    <x v="0"/>
    <x v="0"/>
    <x v="0"/>
    <x v="0"/>
    <x v="0"/>
    <x v="0"/>
    <x v="0"/>
    <s v="28"/>
    <x v="23"/>
    <x v="0"/>
    <x v="2"/>
    <x v="9"/>
    <n v="32228.12"/>
  </r>
  <r>
    <x v="1"/>
    <x v="0"/>
    <x v="1"/>
    <x v="0"/>
    <x v="0"/>
    <x v="0"/>
    <x v="0"/>
    <x v="0"/>
    <x v="0"/>
    <x v="0"/>
    <x v="0"/>
    <x v="0"/>
    <s v="28"/>
    <x v="23"/>
    <x v="0"/>
    <x v="2"/>
    <x v="10"/>
    <n v="-32228.12"/>
  </r>
  <r>
    <x v="1"/>
    <x v="0"/>
    <x v="1"/>
    <x v="0"/>
    <x v="0"/>
    <x v="0"/>
    <x v="0"/>
    <x v="0"/>
    <x v="0"/>
    <x v="0"/>
    <x v="0"/>
    <x v="0"/>
    <s v="28"/>
    <x v="23"/>
    <x v="0"/>
    <x v="3"/>
    <x v="9"/>
    <n v="3811.36"/>
  </r>
  <r>
    <x v="1"/>
    <x v="0"/>
    <x v="1"/>
    <x v="0"/>
    <x v="0"/>
    <x v="0"/>
    <x v="0"/>
    <x v="0"/>
    <x v="0"/>
    <x v="0"/>
    <x v="0"/>
    <x v="0"/>
    <s v="28"/>
    <x v="23"/>
    <x v="0"/>
    <x v="3"/>
    <x v="10"/>
    <n v="-3811.36"/>
  </r>
  <r>
    <x v="1"/>
    <x v="0"/>
    <x v="1"/>
    <x v="0"/>
    <x v="0"/>
    <x v="0"/>
    <x v="0"/>
    <x v="0"/>
    <x v="0"/>
    <x v="0"/>
    <x v="0"/>
    <x v="0"/>
    <s v="80"/>
    <x v="11"/>
    <x v="0"/>
    <x v="3"/>
    <x v="0"/>
    <n v="-358269.44"/>
  </r>
  <r>
    <x v="1"/>
    <x v="0"/>
    <x v="1"/>
    <x v="0"/>
    <x v="0"/>
    <x v="0"/>
    <x v="0"/>
    <x v="0"/>
    <x v="0"/>
    <x v="0"/>
    <x v="0"/>
    <x v="0"/>
    <s v="80"/>
    <x v="11"/>
    <x v="0"/>
    <x v="3"/>
    <x v="9"/>
    <n v="1868.44"/>
  </r>
  <r>
    <x v="1"/>
    <x v="0"/>
    <x v="1"/>
    <x v="0"/>
    <x v="0"/>
    <x v="0"/>
    <x v="0"/>
    <x v="0"/>
    <x v="0"/>
    <x v="0"/>
    <x v="0"/>
    <x v="0"/>
    <s v="80"/>
    <x v="11"/>
    <x v="0"/>
    <x v="3"/>
    <x v="10"/>
    <n v="-1868.44"/>
  </r>
  <r>
    <x v="1"/>
    <x v="0"/>
    <x v="1"/>
    <x v="0"/>
    <x v="0"/>
    <x v="0"/>
    <x v="0"/>
    <x v="0"/>
    <x v="0"/>
    <x v="0"/>
    <x v="0"/>
    <x v="0"/>
    <s v="80"/>
    <x v="11"/>
    <x v="0"/>
    <x v="3"/>
    <x v="1"/>
    <n v="52.04"/>
  </r>
  <r>
    <x v="1"/>
    <x v="0"/>
    <x v="1"/>
    <x v="0"/>
    <x v="0"/>
    <x v="0"/>
    <x v="0"/>
    <x v="0"/>
    <x v="0"/>
    <x v="0"/>
    <x v="0"/>
    <x v="0"/>
    <s v="81"/>
    <x v="2"/>
    <x v="0"/>
    <x v="2"/>
    <x v="0"/>
    <n v="-873046.17"/>
  </r>
  <r>
    <x v="1"/>
    <x v="0"/>
    <x v="1"/>
    <x v="0"/>
    <x v="0"/>
    <x v="0"/>
    <x v="0"/>
    <x v="0"/>
    <x v="0"/>
    <x v="0"/>
    <x v="0"/>
    <x v="0"/>
    <s v="81"/>
    <x v="2"/>
    <x v="0"/>
    <x v="2"/>
    <x v="2"/>
    <n v="-25144.99"/>
  </r>
  <r>
    <x v="1"/>
    <x v="0"/>
    <x v="1"/>
    <x v="0"/>
    <x v="0"/>
    <x v="0"/>
    <x v="0"/>
    <x v="0"/>
    <x v="0"/>
    <x v="0"/>
    <x v="0"/>
    <x v="0"/>
    <s v="81"/>
    <x v="2"/>
    <x v="0"/>
    <x v="2"/>
    <x v="8"/>
    <n v="-553032.05000000005"/>
  </r>
  <r>
    <x v="1"/>
    <x v="0"/>
    <x v="1"/>
    <x v="0"/>
    <x v="0"/>
    <x v="0"/>
    <x v="0"/>
    <x v="0"/>
    <x v="0"/>
    <x v="0"/>
    <x v="0"/>
    <x v="0"/>
    <s v="81"/>
    <x v="2"/>
    <x v="0"/>
    <x v="2"/>
    <x v="9"/>
    <n v="-107686.52"/>
  </r>
  <r>
    <x v="1"/>
    <x v="0"/>
    <x v="1"/>
    <x v="0"/>
    <x v="0"/>
    <x v="0"/>
    <x v="0"/>
    <x v="0"/>
    <x v="0"/>
    <x v="0"/>
    <x v="0"/>
    <x v="0"/>
    <s v="81"/>
    <x v="2"/>
    <x v="0"/>
    <x v="2"/>
    <x v="10"/>
    <n v="-15039.61"/>
  </r>
  <r>
    <x v="1"/>
    <x v="0"/>
    <x v="1"/>
    <x v="0"/>
    <x v="0"/>
    <x v="0"/>
    <x v="0"/>
    <x v="0"/>
    <x v="0"/>
    <x v="0"/>
    <x v="0"/>
    <x v="0"/>
    <s v="81"/>
    <x v="2"/>
    <x v="0"/>
    <x v="2"/>
    <x v="11"/>
    <n v="-46402.75"/>
  </r>
  <r>
    <x v="1"/>
    <x v="0"/>
    <x v="1"/>
    <x v="0"/>
    <x v="0"/>
    <x v="0"/>
    <x v="0"/>
    <x v="0"/>
    <x v="0"/>
    <x v="0"/>
    <x v="0"/>
    <x v="0"/>
    <s v="81"/>
    <x v="2"/>
    <x v="0"/>
    <x v="2"/>
    <x v="3"/>
    <n v="-320007.69"/>
  </r>
  <r>
    <x v="1"/>
    <x v="0"/>
    <x v="1"/>
    <x v="0"/>
    <x v="0"/>
    <x v="0"/>
    <x v="0"/>
    <x v="0"/>
    <x v="0"/>
    <x v="0"/>
    <x v="0"/>
    <x v="0"/>
    <s v="81"/>
    <x v="2"/>
    <x v="0"/>
    <x v="2"/>
    <x v="4"/>
    <n v="-25085.919999999998"/>
  </r>
  <r>
    <x v="1"/>
    <x v="0"/>
    <x v="1"/>
    <x v="0"/>
    <x v="0"/>
    <x v="0"/>
    <x v="0"/>
    <x v="0"/>
    <x v="0"/>
    <x v="0"/>
    <x v="0"/>
    <x v="0"/>
    <s v="81"/>
    <x v="2"/>
    <x v="0"/>
    <x v="2"/>
    <x v="7"/>
    <n v="-265797.46000000002"/>
  </r>
  <r>
    <x v="1"/>
    <x v="0"/>
    <x v="1"/>
    <x v="0"/>
    <x v="0"/>
    <x v="0"/>
    <x v="0"/>
    <x v="0"/>
    <x v="0"/>
    <x v="0"/>
    <x v="0"/>
    <x v="0"/>
    <s v="81"/>
    <x v="2"/>
    <x v="0"/>
    <x v="2"/>
    <x v="5"/>
    <n v="-76.180000000000007"/>
  </r>
  <r>
    <x v="1"/>
    <x v="0"/>
    <x v="1"/>
    <x v="0"/>
    <x v="0"/>
    <x v="0"/>
    <x v="0"/>
    <x v="0"/>
    <x v="0"/>
    <x v="0"/>
    <x v="0"/>
    <x v="0"/>
    <s v="81"/>
    <x v="2"/>
    <x v="0"/>
    <x v="2"/>
    <x v="6"/>
    <n v="-34976.32"/>
  </r>
  <r>
    <x v="1"/>
    <x v="0"/>
    <x v="1"/>
    <x v="0"/>
    <x v="0"/>
    <x v="0"/>
    <x v="0"/>
    <x v="0"/>
    <x v="0"/>
    <x v="0"/>
    <x v="0"/>
    <x v="0"/>
    <s v="81"/>
    <x v="2"/>
    <x v="0"/>
    <x v="2"/>
    <x v="1"/>
    <n v="-106419.39"/>
  </r>
  <r>
    <x v="1"/>
    <x v="0"/>
    <x v="1"/>
    <x v="0"/>
    <x v="0"/>
    <x v="0"/>
    <x v="0"/>
    <x v="0"/>
    <x v="0"/>
    <x v="0"/>
    <x v="0"/>
    <x v="0"/>
    <s v="81"/>
    <x v="2"/>
    <x v="0"/>
    <x v="3"/>
    <x v="0"/>
    <n v="-579910.74"/>
  </r>
  <r>
    <x v="1"/>
    <x v="0"/>
    <x v="1"/>
    <x v="0"/>
    <x v="0"/>
    <x v="0"/>
    <x v="0"/>
    <x v="0"/>
    <x v="0"/>
    <x v="0"/>
    <x v="0"/>
    <x v="0"/>
    <s v="81"/>
    <x v="2"/>
    <x v="0"/>
    <x v="3"/>
    <x v="2"/>
    <n v="-25093.279999999999"/>
  </r>
  <r>
    <x v="1"/>
    <x v="0"/>
    <x v="1"/>
    <x v="0"/>
    <x v="0"/>
    <x v="0"/>
    <x v="0"/>
    <x v="0"/>
    <x v="0"/>
    <x v="0"/>
    <x v="0"/>
    <x v="0"/>
    <s v="81"/>
    <x v="2"/>
    <x v="0"/>
    <x v="3"/>
    <x v="8"/>
    <n v="-560801.6"/>
  </r>
  <r>
    <x v="1"/>
    <x v="0"/>
    <x v="1"/>
    <x v="0"/>
    <x v="0"/>
    <x v="0"/>
    <x v="0"/>
    <x v="0"/>
    <x v="0"/>
    <x v="0"/>
    <x v="0"/>
    <x v="0"/>
    <s v="81"/>
    <x v="2"/>
    <x v="0"/>
    <x v="3"/>
    <x v="9"/>
    <n v="-87.76"/>
  </r>
  <r>
    <x v="1"/>
    <x v="0"/>
    <x v="1"/>
    <x v="0"/>
    <x v="0"/>
    <x v="0"/>
    <x v="0"/>
    <x v="0"/>
    <x v="0"/>
    <x v="0"/>
    <x v="0"/>
    <x v="0"/>
    <s v="81"/>
    <x v="2"/>
    <x v="0"/>
    <x v="3"/>
    <x v="10"/>
    <n v="-14528.17"/>
  </r>
  <r>
    <x v="1"/>
    <x v="0"/>
    <x v="1"/>
    <x v="0"/>
    <x v="0"/>
    <x v="0"/>
    <x v="0"/>
    <x v="0"/>
    <x v="0"/>
    <x v="0"/>
    <x v="0"/>
    <x v="0"/>
    <s v="81"/>
    <x v="2"/>
    <x v="0"/>
    <x v="3"/>
    <x v="11"/>
    <n v="-44680.32"/>
  </r>
  <r>
    <x v="1"/>
    <x v="0"/>
    <x v="1"/>
    <x v="0"/>
    <x v="0"/>
    <x v="0"/>
    <x v="0"/>
    <x v="0"/>
    <x v="0"/>
    <x v="0"/>
    <x v="0"/>
    <x v="0"/>
    <s v="81"/>
    <x v="2"/>
    <x v="0"/>
    <x v="3"/>
    <x v="3"/>
    <n v="-629530.62"/>
  </r>
  <r>
    <x v="1"/>
    <x v="0"/>
    <x v="1"/>
    <x v="0"/>
    <x v="0"/>
    <x v="0"/>
    <x v="0"/>
    <x v="0"/>
    <x v="0"/>
    <x v="0"/>
    <x v="0"/>
    <x v="0"/>
    <s v="81"/>
    <x v="2"/>
    <x v="0"/>
    <x v="3"/>
    <x v="4"/>
    <n v="-25073.72"/>
  </r>
  <r>
    <x v="1"/>
    <x v="0"/>
    <x v="1"/>
    <x v="0"/>
    <x v="0"/>
    <x v="0"/>
    <x v="0"/>
    <x v="0"/>
    <x v="0"/>
    <x v="0"/>
    <x v="0"/>
    <x v="0"/>
    <s v="81"/>
    <x v="2"/>
    <x v="0"/>
    <x v="3"/>
    <x v="7"/>
    <n v="-19680.830000000002"/>
  </r>
  <r>
    <x v="1"/>
    <x v="0"/>
    <x v="1"/>
    <x v="0"/>
    <x v="0"/>
    <x v="0"/>
    <x v="0"/>
    <x v="0"/>
    <x v="0"/>
    <x v="0"/>
    <x v="0"/>
    <x v="0"/>
    <s v="81"/>
    <x v="2"/>
    <x v="0"/>
    <x v="3"/>
    <x v="5"/>
    <n v="-62.44"/>
  </r>
  <r>
    <x v="1"/>
    <x v="0"/>
    <x v="1"/>
    <x v="0"/>
    <x v="0"/>
    <x v="0"/>
    <x v="0"/>
    <x v="0"/>
    <x v="0"/>
    <x v="0"/>
    <x v="0"/>
    <x v="0"/>
    <s v="81"/>
    <x v="2"/>
    <x v="0"/>
    <x v="3"/>
    <x v="6"/>
    <n v="-34490.97"/>
  </r>
  <r>
    <x v="1"/>
    <x v="0"/>
    <x v="1"/>
    <x v="0"/>
    <x v="0"/>
    <x v="0"/>
    <x v="0"/>
    <x v="0"/>
    <x v="0"/>
    <x v="0"/>
    <x v="0"/>
    <x v="0"/>
    <s v="81"/>
    <x v="2"/>
    <x v="0"/>
    <x v="3"/>
    <x v="1"/>
    <n v="-109669.81"/>
  </r>
  <r>
    <x v="1"/>
    <x v="0"/>
    <x v="1"/>
    <x v="0"/>
    <x v="0"/>
    <x v="0"/>
    <x v="0"/>
    <x v="0"/>
    <x v="0"/>
    <x v="0"/>
    <x v="0"/>
    <x v="0"/>
    <s v="99"/>
    <x v="9"/>
    <x v="0"/>
    <x v="2"/>
    <x v="8"/>
    <n v="35.6"/>
  </r>
  <r>
    <x v="1"/>
    <x v="0"/>
    <x v="1"/>
    <x v="0"/>
    <x v="0"/>
    <x v="0"/>
    <x v="0"/>
    <x v="0"/>
    <x v="0"/>
    <x v="0"/>
    <x v="0"/>
    <x v="0"/>
    <s v="99"/>
    <x v="9"/>
    <x v="0"/>
    <x v="2"/>
    <x v="9"/>
    <n v="-35.6"/>
  </r>
  <r>
    <x v="1"/>
    <x v="0"/>
    <x v="1"/>
    <x v="0"/>
    <x v="0"/>
    <x v="1"/>
    <x v="0"/>
    <x v="0"/>
    <x v="0"/>
    <x v="0"/>
    <x v="0"/>
    <x v="0"/>
    <s v="09"/>
    <x v="0"/>
    <x v="0"/>
    <x v="2"/>
    <x v="0"/>
    <n v="9440.0300000000007"/>
  </r>
  <r>
    <x v="1"/>
    <x v="0"/>
    <x v="1"/>
    <x v="0"/>
    <x v="0"/>
    <x v="1"/>
    <x v="0"/>
    <x v="0"/>
    <x v="0"/>
    <x v="0"/>
    <x v="0"/>
    <x v="0"/>
    <s v="09"/>
    <x v="0"/>
    <x v="0"/>
    <x v="2"/>
    <x v="2"/>
    <n v="9459.85"/>
  </r>
  <r>
    <x v="1"/>
    <x v="0"/>
    <x v="1"/>
    <x v="0"/>
    <x v="0"/>
    <x v="1"/>
    <x v="0"/>
    <x v="0"/>
    <x v="0"/>
    <x v="0"/>
    <x v="0"/>
    <x v="0"/>
    <s v="09"/>
    <x v="0"/>
    <x v="0"/>
    <x v="2"/>
    <x v="8"/>
    <n v="11943.92"/>
  </r>
  <r>
    <x v="1"/>
    <x v="0"/>
    <x v="1"/>
    <x v="0"/>
    <x v="0"/>
    <x v="1"/>
    <x v="0"/>
    <x v="0"/>
    <x v="0"/>
    <x v="0"/>
    <x v="0"/>
    <x v="0"/>
    <s v="09"/>
    <x v="0"/>
    <x v="0"/>
    <x v="2"/>
    <x v="9"/>
    <n v="21400.240000000002"/>
  </r>
  <r>
    <x v="1"/>
    <x v="0"/>
    <x v="1"/>
    <x v="0"/>
    <x v="0"/>
    <x v="1"/>
    <x v="0"/>
    <x v="0"/>
    <x v="0"/>
    <x v="0"/>
    <x v="0"/>
    <x v="0"/>
    <s v="09"/>
    <x v="0"/>
    <x v="0"/>
    <x v="2"/>
    <x v="10"/>
    <n v="16235.6"/>
  </r>
  <r>
    <x v="1"/>
    <x v="0"/>
    <x v="1"/>
    <x v="0"/>
    <x v="0"/>
    <x v="1"/>
    <x v="0"/>
    <x v="0"/>
    <x v="0"/>
    <x v="0"/>
    <x v="0"/>
    <x v="0"/>
    <s v="09"/>
    <x v="0"/>
    <x v="0"/>
    <x v="2"/>
    <x v="11"/>
    <n v="10623.52"/>
  </r>
  <r>
    <x v="1"/>
    <x v="0"/>
    <x v="1"/>
    <x v="0"/>
    <x v="0"/>
    <x v="1"/>
    <x v="0"/>
    <x v="0"/>
    <x v="0"/>
    <x v="0"/>
    <x v="0"/>
    <x v="0"/>
    <s v="09"/>
    <x v="0"/>
    <x v="0"/>
    <x v="2"/>
    <x v="3"/>
    <n v="19870.64"/>
  </r>
  <r>
    <x v="1"/>
    <x v="0"/>
    <x v="1"/>
    <x v="0"/>
    <x v="0"/>
    <x v="1"/>
    <x v="0"/>
    <x v="0"/>
    <x v="0"/>
    <x v="0"/>
    <x v="0"/>
    <x v="0"/>
    <s v="09"/>
    <x v="0"/>
    <x v="0"/>
    <x v="2"/>
    <x v="4"/>
    <n v="14648.72"/>
  </r>
  <r>
    <x v="1"/>
    <x v="0"/>
    <x v="1"/>
    <x v="0"/>
    <x v="0"/>
    <x v="1"/>
    <x v="0"/>
    <x v="0"/>
    <x v="0"/>
    <x v="0"/>
    <x v="0"/>
    <x v="0"/>
    <s v="09"/>
    <x v="0"/>
    <x v="0"/>
    <x v="2"/>
    <x v="7"/>
    <n v="13084.88"/>
  </r>
  <r>
    <x v="1"/>
    <x v="0"/>
    <x v="1"/>
    <x v="0"/>
    <x v="0"/>
    <x v="1"/>
    <x v="0"/>
    <x v="0"/>
    <x v="0"/>
    <x v="0"/>
    <x v="0"/>
    <x v="0"/>
    <s v="09"/>
    <x v="0"/>
    <x v="0"/>
    <x v="2"/>
    <x v="5"/>
    <n v="24202.31"/>
  </r>
  <r>
    <x v="1"/>
    <x v="0"/>
    <x v="1"/>
    <x v="0"/>
    <x v="0"/>
    <x v="1"/>
    <x v="0"/>
    <x v="0"/>
    <x v="0"/>
    <x v="0"/>
    <x v="0"/>
    <x v="0"/>
    <s v="09"/>
    <x v="0"/>
    <x v="0"/>
    <x v="2"/>
    <x v="6"/>
    <n v="22067.97"/>
  </r>
  <r>
    <x v="1"/>
    <x v="0"/>
    <x v="1"/>
    <x v="0"/>
    <x v="0"/>
    <x v="1"/>
    <x v="0"/>
    <x v="0"/>
    <x v="0"/>
    <x v="0"/>
    <x v="0"/>
    <x v="0"/>
    <s v="09"/>
    <x v="0"/>
    <x v="0"/>
    <x v="2"/>
    <x v="1"/>
    <n v="-81788.52"/>
  </r>
  <r>
    <x v="1"/>
    <x v="0"/>
    <x v="1"/>
    <x v="0"/>
    <x v="0"/>
    <x v="1"/>
    <x v="0"/>
    <x v="0"/>
    <x v="0"/>
    <x v="0"/>
    <x v="0"/>
    <x v="0"/>
    <s v="09"/>
    <x v="0"/>
    <x v="0"/>
    <x v="3"/>
    <x v="0"/>
    <n v="14797.24"/>
  </r>
  <r>
    <x v="1"/>
    <x v="0"/>
    <x v="1"/>
    <x v="0"/>
    <x v="0"/>
    <x v="1"/>
    <x v="0"/>
    <x v="0"/>
    <x v="0"/>
    <x v="0"/>
    <x v="0"/>
    <x v="0"/>
    <s v="09"/>
    <x v="0"/>
    <x v="0"/>
    <x v="3"/>
    <x v="2"/>
    <n v="12618.41"/>
  </r>
  <r>
    <x v="1"/>
    <x v="0"/>
    <x v="1"/>
    <x v="0"/>
    <x v="0"/>
    <x v="1"/>
    <x v="0"/>
    <x v="0"/>
    <x v="0"/>
    <x v="0"/>
    <x v="0"/>
    <x v="0"/>
    <s v="09"/>
    <x v="0"/>
    <x v="0"/>
    <x v="3"/>
    <x v="8"/>
    <n v="9201.24"/>
  </r>
  <r>
    <x v="1"/>
    <x v="0"/>
    <x v="1"/>
    <x v="0"/>
    <x v="0"/>
    <x v="1"/>
    <x v="0"/>
    <x v="0"/>
    <x v="0"/>
    <x v="0"/>
    <x v="0"/>
    <x v="0"/>
    <s v="09"/>
    <x v="0"/>
    <x v="0"/>
    <x v="3"/>
    <x v="9"/>
    <n v="20360.23"/>
  </r>
  <r>
    <x v="1"/>
    <x v="0"/>
    <x v="1"/>
    <x v="0"/>
    <x v="0"/>
    <x v="1"/>
    <x v="0"/>
    <x v="0"/>
    <x v="0"/>
    <x v="0"/>
    <x v="0"/>
    <x v="0"/>
    <s v="09"/>
    <x v="0"/>
    <x v="0"/>
    <x v="3"/>
    <x v="10"/>
    <n v="8811.6200000000008"/>
  </r>
  <r>
    <x v="1"/>
    <x v="0"/>
    <x v="1"/>
    <x v="0"/>
    <x v="0"/>
    <x v="1"/>
    <x v="0"/>
    <x v="0"/>
    <x v="0"/>
    <x v="0"/>
    <x v="0"/>
    <x v="0"/>
    <s v="09"/>
    <x v="0"/>
    <x v="0"/>
    <x v="3"/>
    <x v="11"/>
    <n v="7983.76"/>
  </r>
  <r>
    <x v="1"/>
    <x v="0"/>
    <x v="1"/>
    <x v="0"/>
    <x v="0"/>
    <x v="1"/>
    <x v="0"/>
    <x v="0"/>
    <x v="0"/>
    <x v="0"/>
    <x v="0"/>
    <x v="0"/>
    <s v="09"/>
    <x v="0"/>
    <x v="0"/>
    <x v="3"/>
    <x v="3"/>
    <n v="12872.92"/>
  </r>
  <r>
    <x v="1"/>
    <x v="0"/>
    <x v="1"/>
    <x v="0"/>
    <x v="0"/>
    <x v="1"/>
    <x v="0"/>
    <x v="0"/>
    <x v="0"/>
    <x v="0"/>
    <x v="0"/>
    <x v="0"/>
    <s v="09"/>
    <x v="0"/>
    <x v="0"/>
    <x v="3"/>
    <x v="4"/>
    <n v="11822.95"/>
  </r>
  <r>
    <x v="1"/>
    <x v="0"/>
    <x v="1"/>
    <x v="0"/>
    <x v="0"/>
    <x v="1"/>
    <x v="0"/>
    <x v="0"/>
    <x v="0"/>
    <x v="0"/>
    <x v="0"/>
    <x v="0"/>
    <s v="09"/>
    <x v="0"/>
    <x v="0"/>
    <x v="3"/>
    <x v="7"/>
    <n v="10621.57"/>
  </r>
  <r>
    <x v="1"/>
    <x v="0"/>
    <x v="1"/>
    <x v="0"/>
    <x v="0"/>
    <x v="1"/>
    <x v="0"/>
    <x v="0"/>
    <x v="0"/>
    <x v="0"/>
    <x v="0"/>
    <x v="0"/>
    <s v="09"/>
    <x v="0"/>
    <x v="0"/>
    <x v="3"/>
    <x v="5"/>
    <n v="15774.56"/>
  </r>
  <r>
    <x v="1"/>
    <x v="0"/>
    <x v="1"/>
    <x v="0"/>
    <x v="0"/>
    <x v="1"/>
    <x v="0"/>
    <x v="0"/>
    <x v="0"/>
    <x v="0"/>
    <x v="0"/>
    <x v="0"/>
    <s v="09"/>
    <x v="0"/>
    <x v="0"/>
    <x v="3"/>
    <x v="6"/>
    <n v="13464.22"/>
  </r>
  <r>
    <x v="1"/>
    <x v="0"/>
    <x v="1"/>
    <x v="0"/>
    <x v="0"/>
    <x v="1"/>
    <x v="0"/>
    <x v="0"/>
    <x v="0"/>
    <x v="0"/>
    <x v="0"/>
    <x v="0"/>
    <s v="09"/>
    <x v="0"/>
    <x v="0"/>
    <x v="3"/>
    <x v="1"/>
    <n v="87479.58"/>
  </r>
  <r>
    <x v="1"/>
    <x v="0"/>
    <x v="1"/>
    <x v="0"/>
    <x v="0"/>
    <x v="1"/>
    <x v="0"/>
    <x v="0"/>
    <x v="0"/>
    <x v="0"/>
    <x v="0"/>
    <x v="0"/>
    <s v="24"/>
    <x v="1"/>
    <x v="0"/>
    <x v="2"/>
    <x v="9"/>
    <n v="7239422.8399999999"/>
  </r>
  <r>
    <x v="1"/>
    <x v="0"/>
    <x v="1"/>
    <x v="0"/>
    <x v="0"/>
    <x v="1"/>
    <x v="0"/>
    <x v="0"/>
    <x v="0"/>
    <x v="0"/>
    <x v="0"/>
    <x v="0"/>
    <s v="24"/>
    <x v="1"/>
    <x v="0"/>
    <x v="2"/>
    <x v="10"/>
    <n v="267537.65999999997"/>
  </r>
  <r>
    <x v="1"/>
    <x v="0"/>
    <x v="1"/>
    <x v="0"/>
    <x v="0"/>
    <x v="1"/>
    <x v="0"/>
    <x v="0"/>
    <x v="0"/>
    <x v="0"/>
    <x v="0"/>
    <x v="0"/>
    <s v="24"/>
    <x v="1"/>
    <x v="0"/>
    <x v="2"/>
    <x v="11"/>
    <n v="59632.71"/>
  </r>
  <r>
    <x v="1"/>
    <x v="0"/>
    <x v="1"/>
    <x v="0"/>
    <x v="0"/>
    <x v="1"/>
    <x v="0"/>
    <x v="0"/>
    <x v="0"/>
    <x v="0"/>
    <x v="0"/>
    <x v="0"/>
    <s v="24"/>
    <x v="1"/>
    <x v="0"/>
    <x v="2"/>
    <x v="3"/>
    <n v="7141058.4699999997"/>
  </r>
  <r>
    <x v="1"/>
    <x v="0"/>
    <x v="1"/>
    <x v="0"/>
    <x v="0"/>
    <x v="1"/>
    <x v="0"/>
    <x v="0"/>
    <x v="0"/>
    <x v="0"/>
    <x v="0"/>
    <x v="0"/>
    <s v="24"/>
    <x v="1"/>
    <x v="0"/>
    <x v="2"/>
    <x v="4"/>
    <n v="241787.08"/>
  </r>
  <r>
    <x v="1"/>
    <x v="0"/>
    <x v="1"/>
    <x v="0"/>
    <x v="0"/>
    <x v="1"/>
    <x v="0"/>
    <x v="0"/>
    <x v="0"/>
    <x v="0"/>
    <x v="0"/>
    <x v="0"/>
    <s v="24"/>
    <x v="1"/>
    <x v="0"/>
    <x v="2"/>
    <x v="7"/>
    <n v="488956.03"/>
  </r>
  <r>
    <x v="1"/>
    <x v="0"/>
    <x v="1"/>
    <x v="0"/>
    <x v="0"/>
    <x v="1"/>
    <x v="0"/>
    <x v="0"/>
    <x v="0"/>
    <x v="0"/>
    <x v="0"/>
    <x v="0"/>
    <s v="24"/>
    <x v="1"/>
    <x v="0"/>
    <x v="2"/>
    <x v="5"/>
    <n v="6529219.5999999996"/>
  </r>
  <r>
    <x v="1"/>
    <x v="0"/>
    <x v="1"/>
    <x v="0"/>
    <x v="0"/>
    <x v="1"/>
    <x v="0"/>
    <x v="0"/>
    <x v="0"/>
    <x v="0"/>
    <x v="0"/>
    <x v="0"/>
    <s v="24"/>
    <x v="1"/>
    <x v="0"/>
    <x v="2"/>
    <x v="6"/>
    <n v="207733.87"/>
  </r>
  <r>
    <x v="1"/>
    <x v="0"/>
    <x v="1"/>
    <x v="0"/>
    <x v="0"/>
    <x v="1"/>
    <x v="0"/>
    <x v="0"/>
    <x v="0"/>
    <x v="0"/>
    <x v="0"/>
    <x v="0"/>
    <s v="24"/>
    <x v="1"/>
    <x v="0"/>
    <x v="2"/>
    <x v="1"/>
    <n v="72331.19"/>
  </r>
  <r>
    <x v="1"/>
    <x v="0"/>
    <x v="1"/>
    <x v="0"/>
    <x v="0"/>
    <x v="1"/>
    <x v="0"/>
    <x v="0"/>
    <x v="0"/>
    <x v="0"/>
    <x v="0"/>
    <x v="0"/>
    <s v="24"/>
    <x v="1"/>
    <x v="0"/>
    <x v="3"/>
    <x v="9"/>
    <n v="8457036.1099999994"/>
  </r>
  <r>
    <x v="1"/>
    <x v="0"/>
    <x v="1"/>
    <x v="0"/>
    <x v="0"/>
    <x v="1"/>
    <x v="0"/>
    <x v="0"/>
    <x v="0"/>
    <x v="0"/>
    <x v="0"/>
    <x v="0"/>
    <s v="24"/>
    <x v="1"/>
    <x v="0"/>
    <x v="3"/>
    <x v="10"/>
    <n v="284879.82"/>
  </r>
  <r>
    <x v="1"/>
    <x v="0"/>
    <x v="1"/>
    <x v="0"/>
    <x v="0"/>
    <x v="1"/>
    <x v="0"/>
    <x v="0"/>
    <x v="0"/>
    <x v="0"/>
    <x v="0"/>
    <x v="0"/>
    <s v="24"/>
    <x v="1"/>
    <x v="0"/>
    <x v="3"/>
    <x v="11"/>
    <n v="599474.31999999995"/>
  </r>
  <r>
    <x v="1"/>
    <x v="0"/>
    <x v="1"/>
    <x v="0"/>
    <x v="0"/>
    <x v="1"/>
    <x v="0"/>
    <x v="0"/>
    <x v="0"/>
    <x v="0"/>
    <x v="0"/>
    <x v="0"/>
    <s v="24"/>
    <x v="1"/>
    <x v="0"/>
    <x v="3"/>
    <x v="3"/>
    <n v="7785747.9100000001"/>
  </r>
  <r>
    <x v="1"/>
    <x v="0"/>
    <x v="1"/>
    <x v="0"/>
    <x v="0"/>
    <x v="1"/>
    <x v="0"/>
    <x v="0"/>
    <x v="0"/>
    <x v="0"/>
    <x v="0"/>
    <x v="0"/>
    <s v="24"/>
    <x v="1"/>
    <x v="0"/>
    <x v="3"/>
    <x v="4"/>
    <n v="294945.46000000002"/>
  </r>
  <r>
    <x v="1"/>
    <x v="0"/>
    <x v="1"/>
    <x v="0"/>
    <x v="0"/>
    <x v="1"/>
    <x v="0"/>
    <x v="0"/>
    <x v="0"/>
    <x v="0"/>
    <x v="0"/>
    <x v="0"/>
    <s v="24"/>
    <x v="1"/>
    <x v="0"/>
    <x v="3"/>
    <x v="7"/>
    <n v="528031.36"/>
  </r>
  <r>
    <x v="1"/>
    <x v="0"/>
    <x v="1"/>
    <x v="0"/>
    <x v="0"/>
    <x v="1"/>
    <x v="0"/>
    <x v="0"/>
    <x v="0"/>
    <x v="0"/>
    <x v="0"/>
    <x v="0"/>
    <s v="24"/>
    <x v="1"/>
    <x v="0"/>
    <x v="3"/>
    <x v="5"/>
    <n v="7834165.4100000001"/>
  </r>
  <r>
    <x v="1"/>
    <x v="0"/>
    <x v="1"/>
    <x v="0"/>
    <x v="0"/>
    <x v="1"/>
    <x v="0"/>
    <x v="0"/>
    <x v="0"/>
    <x v="0"/>
    <x v="0"/>
    <x v="0"/>
    <s v="24"/>
    <x v="1"/>
    <x v="0"/>
    <x v="3"/>
    <x v="6"/>
    <n v="130870.64"/>
  </r>
  <r>
    <x v="1"/>
    <x v="0"/>
    <x v="1"/>
    <x v="0"/>
    <x v="0"/>
    <x v="1"/>
    <x v="0"/>
    <x v="0"/>
    <x v="0"/>
    <x v="0"/>
    <x v="0"/>
    <x v="0"/>
    <s v="24"/>
    <x v="1"/>
    <x v="0"/>
    <x v="3"/>
    <x v="1"/>
    <n v="438983.75"/>
  </r>
  <r>
    <x v="1"/>
    <x v="0"/>
    <x v="1"/>
    <x v="0"/>
    <x v="0"/>
    <x v="1"/>
    <x v="0"/>
    <x v="0"/>
    <x v="0"/>
    <x v="0"/>
    <x v="0"/>
    <x v="0"/>
    <s v="81"/>
    <x v="2"/>
    <x v="0"/>
    <x v="2"/>
    <x v="1"/>
    <n v="-150000"/>
  </r>
  <r>
    <x v="1"/>
    <x v="0"/>
    <x v="1"/>
    <x v="0"/>
    <x v="0"/>
    <x v="1"/>
    <x v="0"/>
    <x v="0"/>
    <x v="0"/>
    <x v="0"/>
    <x v="0"/>
    <x v="0"/>
    <s v="81"/>
    <x v="2"/>
    <x v="0"/>
    <x v="3"/>
    <x v="1"/>
    <n v="-105000"/>
  </r>
  <r>
    <x v="1"/>
    <x v="0"/>
    <x v="1"/>
    <x v="0"/>
    <x v="0"/>
    <x v="5"/>
    <x v="0"/>
    <x v="0"/>
    <x v="0"/>
    <x v="0"/>
    <x v="0"/>
    <x v="0"/>
    <s v="09"/>
    <x v="0"/>
    <x v="0"/>
    <x v="2"/>
    <x v="1"/>
    <n v="189861.39"/>
  </r>
  <r>
    <x v="1"/>
    <x v="0"/>
    <x v="1"/>
    <x v="0"/>
    <x v="0"/>
    <x v="5"/>
    <x v="0"/>
    <x v="0"/>
    <x v="0"/>
    <x v="0"/>
    <x v="0"/>
    <x v="0"/>
    <s v="09"/>
    <x v="0"/>
    <x v="0"/>
    <x v="3"/>
    <x v="1"/>
    <n v="106402.12"/>
  </r>
  <r>
    <x v="1"/>
    <x v="0"/>
    <x v="1"/>
    <x v="0"/>
    <x v="0"/>
    <x v="5"/>
    <x v="0"/>
    <x v="0"/>
    <x v="0"/>
    <x v="0"/>
    <x v="0"/>
    <x v="0"/>
    <s v="24"/>
    <x v="1"/>
    <x v="0"/>
    <x v="2"/>
    <x v="11"/>
    <n v="6900723.4299999997"/>
  </r>
  <r>
    <x v="1"/>
    <x v="0"/>
    <x v="1"/>
    <x v="0"/>
    <x v="0"/>
    <x v="5"/>
    <x v="0"/>
    <x v="0"/>
    <x v="0"/>
    <x v="0"/>
    <x v="0"/>
    <x v="0"/>
    <s v="24"/>
    <x v="1"/>
    <x v="0"/>
    <x v="2"/>
    <x v="4"/>
    <n v="6642784.5300000003"/>
  </r>
  <r>
    <x v="1"/>
    <x v="0"/>
    <x v="1"/>
    <x v="0"/>
    <x v="0"/>
    <x v="5"/>
    <x v="0"/>
    <x v="0"/>
    <x v="0"/>
    <x v="0"/>
    <x v="0"/>
    <x v="0"/>
    <s v="24"/>
    <x v="1"/>
    <x v="0"/>
    <x v="2"/>
    <x v="5"/>
    <n v="6334355.6200000001"/>
  </r>
  <r>
    <x v="1"/>
    <x v="0"/>
    <x v="1"/>
    <x v="0"/>
    <x v="0"/>
    <x v="5"/>
    <x v="0"/>
    <x v="0"/>
    <x v="0"/>
    <x v="0"/>
    <x v="0"/>
    <x v="0"/>
    <s v="24"/>
    <x v="1"/>
    <x v="0"/>
    <x v="2"/>
    <x v="6"/>
    <n v="26"/>
  </r>
  <r>
    <x v="1"/>
    <x v="0"/>
    <x v="1"/>
    <x v="0"/>
    <x v="0"/>
    <x v="5"/>
    <x v="0"/>
    <x v="0"/>
    <x v="0"/>
    <x v="0"/>
    <x v="0"/>
    <x v="0"/>
    <s v="24"/>
    <x v="1"/>
    <x v="0"/>
    <x v="3"/>
    <x v="9"/>
    <n v="-755"/>
  </r>
  <r>
    <x v="1"/>
    <x v="0"/>
    <x v="1"/>
    <x v="0"/>
    <x v="0"/>
    <x v="5"/>
    <x v="0"/>
    <x v="0"/>
    <x v="0"/>
    <x v="0"/>
    <x v="0"/>
    <x v="0"/>
    <s v="24"/>
    <x v="1"/>
    <x v="0"/>
    <x v="3"/>
    <x v="10"/>
    <n v="8091178.7199999997"/>
  </r>
  <r>
    <x v="1"/>
    <x v="0"/>
    <x v="1"/>
    <x v="0"/>
    <x v="0"/>
    <x v="5"/>
    <x v="0"/>
    <x v="0"/>
    <x v="0"/>
    <x v="0"/>
    <x v="0"/>
    <x v="0"/>
    <s v="24"/>
    <x v="1"/>
    <x v="0"/>
    <x v="3"/>
    <x v="4"/>
    <n v="7717652.9199999999"/>
  </r>
  <r>
    <x v="1"/>
    <x v="0"/>
    <x v="1"/>
    <x v="0"/>
    <x v="0"/>
    <x v="5"/>
    <x v="0"/>
    <x v="0"/>
    <x v="0"/>
    <x v="0"/>
    <x v="0"/>
    <x v="0"/>
    <s v="24"/>
    <x v="1"/>
    <x v="0"/>
    <x v="3"/>
    <x v="6"/>
    <n v="7402005.4400000004"/>
  </r>
  <r>
    <x v="1"/>
    <x v="0"/>
    <x v="1"/>
    <x v="0"/>
    <x v="0"/>
    <x v="5"/>
    <x v="0"/>
    <x v="0"/>
    <x v="0"/>
    <x v="0"/>
    <x v="0"/>
    <x v="0"/>
    <s v="80"/>
    <x v="11"/>
    <x v="0"/>
    <x v="2"/>
    <x v="7"/>
    <n v="57500"/>
  </r>
  <r>
    <x v="1"/>
    <x v="0"/>
    <x v="1"/>
    <x v="0"/>
    <x v="0"/>
    <x v="5"/>
    <x v="0"/>
    <x v="0"/>
    <x v="0"/>
    <x v="0"/>
    <x v="0"/>
    <x v="0"/>
    <s v="80"/>
    <x v="11"/>
    <x v="0"/>
    <x v="3"/>
    <x v="11"/>
    <n v="1104214"/>
  </r>
  <r>
    <x v="1"/>
    <x v="0"/>
    <x v="1"/>
    <x v="0"/>
    <x v="0"/>
    <x v="5"/>
    <x v="0"/>
    <x v="0"/>
    <x v="0"/>
    <x v="0"/>
    <x v="0"/>
    <x v="0"/>
    <s v="80"/>
    <x v="11"/>
    <x v="0"/>
    <x v="3"/>
    <x v="4"/>
    <n v="5000"/>
  </r>
  <r>
    <x v="1"/>
    <x v="0"/>
    <x v="1"/>
    <x v="0"/>
    <x v="0"/>
    <x v="5"/>
    <x v="0"/>
    <x v="0"/>
    <x v="0"/>
    <x v="0"/>
    <x v="0"/>
    <x v="0"/>
    <s v="80"/>
    <x v="11"/>
    <x v="0"/>
    <x v="3"/>
    <x v="1"/>
    <n v="-5000"/>
  </r>
  <r>
    <x v="1"/>
    <x v="0"/>
    <x v="1"/>
    <x v="0"/>
    <x v="0"/>
    <x v="5"/>
    <x v="0"/>
    <x v="0"/>
    <x v="0"/>
    <x v="0"/>
    <x v="0"/>
    <x v="0"/>
    <s v="81"/>
    <x v="2"/>
    <x v="0"/>
    <x v="2"/>
    <x v="3"/>
    <n v="-359421.04"/>
  </r>
  <r>
    <x v="1"/>
    <x v="0"/>
    <x v="1"/>
    <x v="0"/>
    <x v="0"/>
    <x v="5"/>
    <x v="0"/>
    <x v="0"/>
    <x v="0"/>
    <x v="0"/>
    <x v="0"/>
    <x v="0"/>
    <s v="81"/>
    <x v="2"/>
    <x v="0"/>
    <x v="2"/>
    <x v="7"/>
    <n v="-57500"/>
  </r>
  <r>
    <x v="1"/>
    <x v="0"/>
    <x v="1"/>
    <x v="0"/>
    <x v="0"/>
    <x v="5"/>
    <x v="0"/>
    <x v="0"/>
    <x v="0"/>
    <x v="0"/>
    <x v="0"/>
    <x v="0"/>
    <s v="81"/>
    <x v="2"/>
    <x v="0"/>
    <x v="2"/>
    <x v="5"/>
    <n v="-140013.54"/>
  </r>
  <r>
    <x v="1"/>
    <x v="0"/>
    <x v="1"/>
    <x v="0"/>
    <x v="0"/>
    <x v="5"/>
    <x v="0"/>
    <x v="0"/>
    <x v="0"/>
    <x v="0"/>
    <x v="0"/>
    <x v="0"/>
    <s v="81"/>
    <x v="2"/>
    <x v="0"/>
    <x v="3"/>
    <x v="9"/>
    <n v="-335013.53999999998"/>
  </r>
  <r>
    <x v="1"/>
    <x v="0"/>
    <x v="1"/>
    <x v="0"/>
    <x v="0"/>
    <x v="5"/>
    <x v="0"/>
    <x v="0"/>
    <x v="0"/>
    <x v="0"/>
    <x v="0"/>
    <x v="0"/>
    <s v="81"/>
    <x v="2"/>
    <x v="0"/>
    <x v="3"/>
    <x v="11"/>
    <n v="-1104214"/>
  </r>
  <r>
    <x v="1"/>
    <x v="0"/>
    <x v="1"/>
    <x v="0"/>
    <x v="0"/>
    <x v="5"/>
    <x v="0"/>
    <x v="0"/>
    <x v="0"/>
    <x v="0"/>
    <x v="0"/>
    <x v="0"/>
    <s v="81"/>
    <x v="2"/>
    <x v="0"/>
    <x v="3"/>
    <x v="4"/>
    <n v="-1000"/>
  </r>
  <r>
    <x v="1"/>
    <x v="0"/>
    <x v="1"/>
    <x v="0"/>
    <x v="0"/>
    <x v="5"/>
    <x v="0"/>
    <x v="0"/>
    <x v="0"/>
    <x v="0"/>
    <x v="0"/>
    <x v="0"/>
    <s v="81"/>
    <x v="2"/>
    <x v="0"/>
    <x v="3"/>
    <x v="5"/>
    <n v="-134894.79"/>
  </r>
  <r>
    <x v="1"/>
    <x v="0"/>
    <x v="1"/>
    <x v="0"/>
    <x v="0"/>
    <x v="5"/>
    <x v="0"/>
    <x v="0"/>
    <x v="0"/>
    <x v="0"/>
    <x v="0"/>
    <x v="0"/>
    <s v="99"/>
    <x v="9"/>
    <x v="0"/>
    <x v="2"/>
    <x v="5"/>
    <n v="90"/>
  </r>
  <r>
    <x v="1"/>
    <x v="0"/>
    <x v="1"/>
    <x v="0"/>
    <x v="0"/>
    <x v="5"/>
    <x v="0"/>
    <x v="0"/>
    <x v="0"/>
    <x v="0"/>
    <x v="0"/>
    <x v="0"/>
    <s v="99"/>
    <x v="9"/>
    <x v="0"/>
    <x v="2"/>
    <x v="6"/>
    <n v="200"/>
  </r>
  <r>
    <x v="1"/>
    <x v="0"/>
    <x v="1"/>
    <x v="0"/>
    <x v="0"/>
    <x v="6"/>
    <x v="0"/>
    <x v="0"/>
    <x v="0"/>
    <x v="0"/>
    <x v="0"/>
    <x v="0"/>
    <s v="09"/>
    <x v="0"/>
    <x v="0"/>
    <x v="2"/>
    <x v="8"/>
    <n v="43500.29"/>
  </r>
  <r>
    <x v="1"/>
    <x v="0"/>
    <x v="1"/>
    <x v="0"/>
    <x v="0"/>
    <x v="6"/>
    <x v="0"/>
    <x v="0"/>
    <x v="0"/>
    <x v="0"/>
    <x v="0"/>
    <x v="0"/>
    <s v="24"/>
    <x v="1"/>
    <x v="0"/>
    <x v="2"/>
    <x v="0"/>
    <n v="-16226.73"/>
  </r>
  <r>
    <x v="1"/>
    <x v="0"/>
    <x v="1"/>
    <x v="0"/>
    <x v="0"/>
    <x v="6"/>
    <x v="0"/>
    <x v="0"/>
    <x v="0"/>
    <x v="0"/>
    <x v="0"/>
    <x v="0"/>
    <s v="24"/>
    <x v="1"/>
    <x v="0"/>
    <x v="2"/>
    <x v="2"/>
    <n v="4885990.5999999996"/>
  </r>
  <r>
    <x v="1"/>
    <x v="0"/>
    <x v="1"/>
    <x v="0"/>
    <x v="0"/>
    <x v="6"/>
    <x v="0"/>
    <x v="0"/>
    <x v="0"/>
    <x v="0"/>
    <x v="0"/>
    <x v="0"/>
    <s v="24"/>
    <x v="1"/>
    <x v="0"/>
    <x v="2"/>
    <x v="8"/>
    <n v="281315.27"/>
  </r>
  <r>
    <x v="1"/>
    <x v="0"/>
    <x v="1"/>
    <x v="0"/>
    <x v="0"/>
    <x v="6"/>
    <x v="0"/>
    <x v="0"/>
    <x v="0"/>
    <x v="0"/>
    <x v="0"/>
    <x v="0"/>
    <s v="24"/>
    <x v="1"/>
    <x v="0"/>
    <x v="2"/>
    <x v="9"/>
    <n v="17353.37"/>
  </r>
  <r>
    <x v="1"/>
    <x v="0"/>
    <x v="1"/>
    <x v="0"/>
    <x v="0"/>
    <x v="6"/>
    <x v="0"/>
    <x v="0"/>
    <x v="0"/>
    <x v="0"/>
    <x v="0"/>
    <x v="0"/>
    <s v="24"/>
    <x v="1"/>
    <x v="0"/>
    <x v="2"/>
    <x v="10"/>
    <n v="-2705.83"/>
  </r>
  <r>
    <x v="1"/>
    <x v="0"/>
    <x v="1"/>
    <x v="0"/>
    <x v="0"/>
    <x v="6"/>
    <x v="0"/>
    <x v="0"/>
    <x v="0"/>
    <x v="0"/>
    <x v="0"/>
    <x v="0"/>
    <s v="24"/>
    <x v="1"/>
    <x v="0"/>
    <x v="2"/>
    <x v="11"/>
    <n v="4659446.03"/>
  </r>
  <r>
    <x v="1"/>
    <x v="0"/>
    <x v="1"/>
    <x v="0"/>
    <x v="0"/>
    <x v="6"/>
    <x v="0"/>
    <x v="0"/>
    <x v="0"/>
    <x v="0"/>
    <x v="0"/>
    <x v="0"/>
    <s v="24"/>
    <x v="1"/>
    <x v="0"/>
    <x v="2"/>
    <x v="3"/>
    <n v="259148.73"/>
  </r>
  <r>
    <x v="1"/>
    <x v="0"/>
    <x v="1"/>
    <x v="0"/>
    <x v="0"/>
    <x v="6"/>
    <x v="0"/>
    <x v="0"/>
    <x v="0"/>
    <x v="0"/>
    <x v="0"/>
    <x v="0"/>
    <s v="24"/>
    <x v="1"/>
    <x v="0"/>
    <x v="2"/>
    <x v="4"/>
    <n v="2094555.9"/>
  </r>
  <r>
    <x v="1"/>
    <x v="0"/>
    <x v="1"/>
    <x v="0"/>
    <x v="0"/>
    <x v="6"/>
    <x v="0"/>
    <x v="0"/>
    <x v="0"/>
    <x v="0"/>
    <x v="0"/>
    <x v="0"/>
    <s v="99"/>
    <x v="9"/>
    <x v="0"/>
    <x v="3"/>
    <x v="1"/>
    <n v="-900000"/>
  </r>
  <r>
    <x v="1"/>
    <x v="0"/>
    <x v="1"/>
    <x v="0"/>
    <x v="0"/>
    <x v="6"/>
    <x v="1"/>
    <x v="0"/>
    <x v="0"/>
    <x v="0"/>
    <x v="0"/>
    <x v="0"/>
    <s v="09"/>
    <x v="0"/>
    <x v="0"/>
    <x v="2"/>
    <x v="1"/>
    <n v="29025"/>
  </r>
  <r>
    <x v="1"/>
    <x v="0"/>
    <x v="1"/>
    <x v="0"/>
    <x v="0"/>
    <x v="6"/>
    <x v="1"/>
    <x v="0"/>
    <x v="0"/>
    <x v="0"/>
    <x v="0"/>
    <x v="0"/>
    <s v="09"/>
    <x v="0"/>
    <x v="0"/>
    <x v="3"/>
    <x v="3"/>
    <n v="2"/>
  </r>
  <r>
    <x v="1"/>
    <x v="0"/>
    <x v="1"/>
    <x v="0"/>
    <x v="0"/>
    <x v="6"/>
    <x v="1"/>
    <x v="0"/>
    <x v="0"/>
    <x v="0"/>
    <x v="0"/>
    <x v="0"/>
    <s v="09"/>
    <x v="0"/>
    <x v="0"/>
    <x v="3"/>
    <x v="1"/>
    <n v="48444"/>
  </r>
  <r>
    <x v="1"/>
    <x v="0"/>
    <x v="1"/>
    <x v="0"/>
    <x v="0"/>
    <x v="6"/>
    <x v="1"/>
    <x v="0"/>
    <x v="0"/>
    <x v="0"/>
    <x v="0"/>
    <x v="0"/>
    <s v="24"/>
    <x v="1"/>
    <x v="0"/>
    <x v="2"/>
    <x v="7"/>
    <n v="1714020.74"/>
  </r>
  <r>
    <x v="1"/>
    <x v="0"/>
    <x v="1"/>
    <x v="0"/>
    <x v="0"/>
    <x v="6"/>
    <x v="1"/>
    <x v="0"/>
    <x v="0"/>
    <x v="0"/>
    <x v="0"/>
    <x v="0"/>
    <s v="24"/>
    <x v="1"/>
    <x v="0"/>
    <x v="2"/>
    <x v="5"/>
    <n v="935935.74"/>
  </r>
  <r>
    <x v="1"/>
    <x v="0"/>
    <x v="1"/>
    <x v="0"/>
    <x v="0"/>
    <x v="6"/>
    <x v="1"/>
    <x v="0"/>
    <x v="0"/>
    <x v="0"/>
    <x v="0"/>
    <x v="0"/>
    <s v="24"/>
    <x v="1"/>
    <x v="0"/>
    <x v="2"/>
    <x v="6"/>
    <n v="6360.51"/>
  </r>
  <r>
    <x v="1"/>
    <x v="0"/>
    <x v="1"/>
    <x v="0"/>
    <x v="0"/>
    <x v="6"/>
    <x v="1"/>
    <x v="0"/>
    <x v="0"/>
    <x v="0"/>
    <x v="0"/>
    <x v="0"/>
    <s v="24"/>
    <x v="1"/>
    <x v="0"/>
    <x v="2"/>
    <x v="1"/>
    <n v="7516.23"/>
  </r>
  <r>
    <x v="1"/>
    <x v="0"/>
    <x v="1"/>
    <x v="0"/>
    <x v="0"/>
    <x v="6"/>
    <x v="1"/>
    <x v="0"/>
    <x v="0"/>
    <x v="0"/>
    <x v="0"/>
    <x v="0"/>
    <s v="24"/>
    <x v="1"/>
    <x v="0"/>
    <x v="3"/>
    <x v="0"/>
    <n v="-3296.7"/>
  </r>
  <r>
    <x v="1"/>
    <x v="0"/>
    <x v="1"/>
    <x v="0"/>
    <x v="0"/>
    <x v="6"/>
    <x v="1"/>
    <x v="0"/>
    <x v="0"/>
    <x v="0"/>
    <x v="0"/>
    <x v="0"/>
    <s v="24"/>
    <x v="1"/>
    <x v="0"/>
    <x v="3"/>
    <x v="2"/>
    <n v="5714147.6500000004"/>
  </r>
  <r>
    <x v="1"/>
    <x v="0"/>
    <x v="1"/>
    <x v="0"/>
    <x v="0"/>
    <x v="6"/>
    <x v="1"/>
    <x v="0"/>
    <x v="0"/>
    <x v="0"/>
    <x v="0"/>
    <x v="0"/>
    <s v="24"/>
    <x v="1"/>
    <x v="0"/>
    <x v="3"/>
    <x v="8"/>
    <n v="69849.320000000007"/>
  </r>
  <r>
    <x v="1"/>
    <x v="0"/>
    <x v="1"/>
    <x v="0"/>
    <x v="0"/>
    <x v="6"/>
    <x v="1"/>
    <x v="0"/>
    <x v="0"/>
    <x v="0"/>
    <x v="0"/>
    <x v="0"/>
    <s v="24"/>
    <x v="1"/>
    <x v="0"/>
    <x v="3"/>
    <x v="9"/>
    <n v="350324.08"/>
  </r>
  <r>
    <x v="1"/>
    <x v="0"/>
    <x v="1"/>
    <x v="0"/>
    <x v="0"/>
    <x v="6"/>
    <x v="1"/>
    <x v="0"/>
    <x v="0"/>
    <x v="0"/>
    <x v="0"/>
    <x v="0"/>
    <s v="24"/>
    <x v="1"/>
    <x v="0"/>
    <x v="3"/>
    <x v="10"/>
    <n v="-1413.88"/>
  </r>
  <r>
    <x v="1"/>
    <x v="0"/>
    <x v="1"/>
    <x v="0"/>
    <x v="0"/>
    <x v="6"/>
    <x v="1"/>
    <x v="0"/>
    <x v="0"/>
    <x v="0"/>
    <x v="0"/>
    <x v="0"/>
    <s v="24"/>
    <x v="1"/>
    <x v="0"/>
    <x v="3"/>
    <x v="11"/>
    <n v="5613446.2999999998"/>
  </r>
  <r>
    <x v="1"/>
    <x v="0"/>
    <x v="1"/>
    <x v="0"/>
    <x v="0"/>
    <x v="6"/>
    <x v="1"/>
    <x v="0"/>
    <x v="0"/>
    <x v="0"/>
    <x v="0"/>
    <x v="0"/>
    <s v="24"/>
    <x v="1"/>
    <x v="0"/>
    <x v="3"/>
    <x v="3"/>
    <n v="199577.98"/>
  </r>
  <r>
    <x v="1"/>
    <x v="0"/>
    <x v="1"/>
    <x v="0"/>
    <x v="0"/>
    <x v="6"/>
    <x v="1"/>
    <x v="0"/>
    <x v="0"/>
    <x v="0"/>
    <x v="0"/>
    <x v="0"/>
    <s v="24"/>
    <x v="1"/>
    <x v="0"/>
    <x v="3"/>
    <x v="4"/>
    <n v="397.7"/>
  </r>
  <r>
    <x v="1"/>
    <x v="0"/>
    <x v="1"/>
    <x v="0"/>
    <x v="0"/>
    <x v="6"/>
    <x v="1"/>
    <x v="0"/>
    <x v="0"/>
    <x v="0"/>
    <x v="0"/>
    <x v="0"/>
    <s v="24"/>
    <x v="1"/>
    <x v="0"/>
    <x v="3"/>
    <x v="7"/>
    <n v="4826464.49"/>
  </r>
  <r>
    <x v="1"/>
    <x v="0"/>
    <x v="1"/>
    <x v="0"/>
    <x v="0"/>
    <x v="6"/>
    <x v="1"/>
    <x v="0"/>
    <x v="0"/>
    <x v="0"/>
    <x v="0"/>
    <x v="0"/>
    <s v="24"/>
    <x v="1"/>
    <x v="0"/>
    <x v="3"/>
    <x v="5"/>
    <n v="643516.43999999994"/>
  </r>
  <r>
    <x v="1"/>
    <x v="0"/>
    <x v="1"/>
    <x v="0"/>
    <x v="0"/>
    <x v="6"/>
    <x v="1"/>
    <x v="0"/>
    <x v="0"/>
    <x v="0"/>
    <x v="0"/>
    <x v="0"/>
    <s v="24"/>
    <x v="1"/>
    <x v="0"/>
    <x v="3"/>
    <x v="6"/>
    <n v="-49545.02"/>
  </r>
  <r>
    <x v="1"/>
    <x v="0"/>
    <x v="1"/>
    <x v="0"/>
    <x v="0"/>
    <x v="6"/>
    <x v="1"/>
    <x v="0"/>
    <x v="0"/>
    <x v="0"/>
    <x v="0"/>
    <x v="0"/>
    <s v="24"/>
    <x v="1"/>
    <x v="0"/>
    <x v="3"/>
    <x v="1"/>
    <n v="-25029.439999999999"/>
  </r>
  <r>
    <x v="1"/>
    <x v="0"/>
    <x v="1"/>
    <x v="0"/>
    <x v="0"/>
    <x v="6"/>
    <x v="1"/>
    <x v="0"/>
    <x v="0"/>
    <x v="0"/>
    <x v="0"/>
    <x v="0"/>
    <s v="90"/>
    <x v="16"/>
    <x v="0"/>
    <x v="2"/>
    <x v="0"/>
    <n v="75"/>
  </r>
  <r>
    <x v="1"/>
    <x v="0"/>
    <x v="1"/>
    <x v="0"/>
    <x v="0"/>
    <x v="6"/>
    <x v="1"/>
    <x v="0"/>
    <x v="0"/>
    <x v="0"/>
    <x v="0"/>
    <x v="0"/>
    <s v="90"/>
    <x v="16"/>
    <x v="0"/>
    <x v="2"/>
    <x v="11"/>
    <n v="20"/>
  </r>
  <r>
    <x v="1"/>
    <x v="0"/>
    <x v="1"/>
    <x v="0"/>
    <x v="0"/>
    <x v="6"/>
    <x v="1"/>
    <x v="0"/>
    <x v="0"/>
    <x v="0"/>
    <x v="0"/>
    <x v="0"/>
    <s v="90"/>
    <x v="16"/>
    <x v="0"/>
    <x v="2"/>
    <x v="5"/>
    <n v="20"/>
  </r>
  <r>
    <x v="1"/>
    <x v="0"/>
    <x v="1"/>
    <x v="0"/>
    <x v="0"/>
    <x v="6"/>
    <x v="1"/>
    <x v="0"/>
    <x v="0"/>
    <x v="0"/>
    <x v="0"/>
    <x v="0"/>
    <s v="90"/>
    <x v="16"/>
    <x v="0"/>
    <x v="2"/>
    <x v="1"/>
    <n v="20"/>
  </r>
  <r>
    <x v="1"/>
    <x v="0"/>
    <x v="1"/>
    <x v="0"/>
    <x v="0"/>
    <x v="6"/>
    <x v="1"/>
    <x v="0"/>
    <x v="0"/>
    <x v="0"/>
    <x v="0"/>
    <x v="0"/>
    <s v="90"/>
    <x v="16"/>
    <x v="0"/>
    <x v="3"/>
    <x v="0"/>
    <n v="20"/>
  </r>
  <r>
    <x v="1"/>
    <x v="0"/>
    <x v="1"/>
    <x v="0"/>
    <x v="0"/>
    <x v="6"/>
    <x v="1"/>
    <x v="0"/>
    <x v="0"/>
    <x v="0"/>
    <x v="0"/>
    <x v="0"/>
    <s v="90"/>
    <x v="16"/>
    <x v="0"/>
    <x v="3"/>
    <x v="2"/>
    <n v="70"/>
  </r>
  <r>
    <x v="1"/>
    <x v="0"/>
    <x v="1"/>
    <x v="0"/>
    <x v="0"/>
    <x v="6"/>
    <x v="1"/>
    <x v="0"/>
    <x v="0"/>
    <x v="0"/>
    <x v="0"/>
    <x v="0"/>
    <s v="90"/>
    <x v="16"/>
    <x v="0"/>
    <x v="3"/>
    <x v="9"/>
    <n v="25"/>
  </r>
  <r>
    <x v="1"/>
    <x v="0"/>
    <x v="1"/>
    <x v="0"/>
    <x v="0"/>
    <x v="6"/>
    <x v="1"/>
    <x v="0"/>
    <x v="0"/>
    <x v="0"/>
    <x v="0"/>
    <x v="0"/>
    <s v="90"/>
    <x v="16"/>
    <x v="0"/>
    <x v="3"/>
    <x v="3"/>
    <n v="20"/>
  </r>
  <r>
    <x v="1"/>
    <x v="0"/>
    <x v="1"/>
    <x v="0"/>
    <x v="0"/>
    <x v="6"/>
    <x v="1"/>
    <x v="0"/>
    <x v="0"/>
    <x v="0"/>
    <x v="0"/>
    <x v="0"/>
    <s v="90"/>
    <x v="16"/>
    <x v="0"/>
    <x v="3"/>
    <x v="4"/>
    <n v="25"/>
  </r>
  <r>
    <x v="1"/>
    <x v="0"/>
    <x v="1"/>
    <x v="0"/>
    <x v="0"/>
    <x v="6"/>
    <x v="1"/>
    <x v="0"/>
    <x v="0"/>
    <x v="0"/>
    <x v="0"/>
    <x v="0"/>
    <s v="90"/>
    <x v="16"/>
    <x v="0"/>
    <x v="3"/>
    <x v="7"/>
    <n v="25"/>
  </r>
  <r>
    <x v="1"/>
    <x v="0"/>
    <x v="1"/>
    <x v="0"/>
    <x v="0"/>
    <x v="6"/>
    <x v="1"/>
    <x v="0"/>
    <x v="0"/>
    <x v="0"/>
    <x v="0"/>
    <x v="0"/>
    <s v="90"/>
    <x v="16"/>
    <x v="0"/>
    <x v="3"/>
    <x v="1"/>
    <n v="25"/>
  </r>
  <r>
    <x v="1"/>
    <x v="0"/>
    <x v="1"/>
    <x v="0"/>
    <x v="0"/>
    <x v="2"/>
    <x v="0"/>
    <x v="0"/>
    <x v="0"/>
    <x v="1"/>
    <x v="1"/>
    <x v="1"/>
    <s v="41"/>
    <x v="4"/>
    <x v="0"/>
    <x v="2"/>
    <x v="4"/>
    <n v="180"/>
  </r>
  <r>
    <x v="1"/>
    <x v="0"/>
    <x v="1"/>
    <x v="0"/>
    <x v="0"/>
    <x v="2"/>
    <x v="0"/>
    <x v="0"/>
    <x v="0"/>
    <x v="1"/>
    <x v="1"/>
    <x v="1"/>
    <s v="41"/>
    <x v="4"/>
    <x v="0"/>
    <x v="2"/>
    <x v="7"/>
    <n v="-180"/>
  </r>
  <r>
    <x v="1"/>
    <x v="0"/>
    <x v="1"/>
    <x v="0"/>
    <x v="0"/>
    <x v="2"/>
    <x v="0"/>
    <x v="0"/>
    <x v="0"/>
    <x v="1"/>
    <x v="1"/>
    <x v="1"/>
    <s v="41"/>
    <x v="4"/>
    <x v="0"/>
    <x v="3"/>
    <x v="9"/>
    <n v="300"/>
  </r>
  <r>
    <x v="1"/>
    <x v="0"/>
    <x v="1"/>
    <x v="0"/>
    <x v="0"/>
    <x v="2"/>
    <x v="0"/>
    <x v="0"/>
    <x v="0"/>
    <x v="1"/>
    <x v="1"/>
    <x v="1"/>
    <s v="41"/>
    <x v="4"/>
    <x v="0"/>
    <x v="3"/>
    <x v="10"/>
    <n v="-300"/>
  </r>
  <r>
    <x v="1"/>
    <x v="0"/>
    <x v="1"/>
    <x v="0"/>
    <x v="0"/>
    <x v="2"/>
    <x v="0"/>
    <x v="0"/>
    <x v="0"/>
    <x v="0"/>
    <x v="0"/>
    <x v="0"/>
    <s v="09"/>
    <x v="0"/>
    <x v="0"/>
    <x v="2"/>
    <x v="2"/>
    <n v="34923.82"/>
  </r>
  <r>
    <x v="1"/>
    <x v="0"/>
    <x v="1"/>
    <x v="0"/>
    <x v="0"/>
    <x v="2"/>
    <x v="0"/>
    <x v="0"/>
    <x v="0"/>
    <x v="0"/>
    <x v="0"/>
    <x v="0"/>
    <s v="09"/>
    <x v="0"/>
    <x v="0"/>
    <x v="2"/>
    <x v="8"/>
    <n v="26569.39"/>
  </r>
  <r>
    <x v="1"/>
    <x v="0"/>
    <x v="1"/>
    <x v="0"/>
    <x v="0"/>
    <x v="2"/>
    <x v="0"/>
    <x v="0"/>
    <x v="0"/>
    <x v="0"/>
    <x v="0"/>
    <x v="0"/>
    <s v="09"/>
    <x v="0"/>
    <x v="0"/>
    <x v="2"/>
    <x v="9"/>
    <n v="27849.09"/>
  </r>
  <r>
    <x v="1"/>
    <x v="0"/>
    <x v="1"/>
    <x v="0"/>
    <x v="0"/>
    <x v="2"/>
    <x v="0"/>
    <x v="0"/>
    <x v="0"/>
    <x v="0"/>
    <x v="0"/>
    <x v="0"/>
    <s v="09"/>
    <x v="0"/>
    <x v="0"/>
    <x v="2"/>
    <x v="10"/>
    <n v="39608.949999999997"/>
  </r>
  <r>
    <x v="1"/>
    <x v="0"/>
    <x v="1"/>
    <x v="0"/>
    <x v="0"/>
    <x v="2"/>
    <x v="0"/>
    <x v="0"/>
    <x v="0"/>
    <x v="0"/>
    <x v="0"/>
    <x v="0"/>
    <s v="09"/>
    <x v="0"/>
    <x v="0"/>
    <x v="2"/>
    <x v="11"/>
    <n v="30389.360000000001"/>
  </r>
  <r>
    <x v="1"/>
    <x v="0"/>
    <x v="1"/>
    <x v="0"/>
    <x v="0"/>
    <x v="2"/>
    <x v="0"/>
    <x v="0"/>
    <x v="0"/>
    <x v="0"/>
    <x v="0"/>
    <x v="0"/>
    <s v="09"/>
    <x v="0"/>
    <x v="0"/>
    <x v="2"/>
    <x v="3"/>
    <n v="20812.89"/>
  </r>
  <r>
    <x v="1"/>
    <x v="0"/>
    <x v="1"/>
    <x v="0"/>
    <x v="0"/>
    <x v="2"/>
    <x v="0"/>
    <x v="0"/>
    <x v="0"/>
    <x v="0"/>
    <x v="0"/>
    <x v="0"/>
    <s v="09"/>
    <x v="0"/>
    <x v="0"/>
    <x v="2"/>
    <x v="4"/>
    <n v="33226.11"/>
  </r>
  <r>
    <x v="1"/>
    <x v="0"/>
    <x v="1"/>
    <x v="0"/>
    <x v="0"/>
    <x v="2"/>
    <x v="0"/>
    <x v="0"/>
    <x v="0"/>
    <x v="0"/>
    <x v="0"/>
    <x v="0"/>
    <s v="09"/>
    <x v="0"/>
    <x v="0"/>
    <x v="2"/>
    <x v="7"/>
    <n v="25896.15"/>
  </r>
  <r>
    <x v="1"/>
    <x v="0"/>
    <x v="1"/>
    <x v="0"/>
    <x v="0"/>
    <x v="2"/>
    <x v="0"/>
    <x v="0"/>
    <x v="0"/>
    <x v="0"/>
    <x v="0"/>
    <x v="0"/>
    <s v="09"/>
    <x v="0"/>
    <x v="0"/>
    <x v="2"/>
    <x v="5"/>
    <n v="34479.19"/>
  </r>
  <r>
    <x v="1"/>
    <x v="0"/>
    <x v="1"/>
    <x v="0"/>
    <x v="0"/>
    <x v="2"/>
    <x v="0"/>
    <x v="0"/>
    <x v="0"/>
    <x v="0"/>
    <x v="0"/>
    <x v="0"/>
    <s v="09"/>
    <x v="0"/>
    <x v="0"/>
    <x v="2"/>
    <x v="6"/>
    <n v="33933.22"/>
  </r>
  <r>
    <x v="1"/>
    <x v="0"/>
    <x v="1"/>
    <x v="0"/>
    <x v="0"/>
    <x v="2"/>
    <x v="0"/>
    <x v="0"/>
    <x v="0"/>
    <x v="0"/>
    <x v="0"/>
    <x v="0"/>
    <s v="09"/>
    <x v="0"/>
    <x v="0"/>
    <x v="2"/>
    <x v="1"/>
    <n v="54956.43"/>
  </r>
  <r>
    <x v="1"/>
    <x v="0"/>
    <x v="1"/>
    <x v="0"/>
    <x v="0"/>
    <x v="2"/>
    <x v="0"/>
    <x v="0"/>
    <x v="0"/>
    <x v="0"/>
    <x v="0"/>
    <x v="0"/>
    <s v="09"/>
    <x v="0"/>
    <x v="0"/>
    <x v="3"/>
    <x v="0"/>
    <n v="-10000"/>
  </r>
  <r>
    <x v="1"/>
    <x v="0"/>
    <x v="1"/>
    <x v="0"/>
    <x v="0"/>
    <x v="2"/>
    <x v="0"/>
    <x v="0"/>
    <x v="0"/>
    <x v="0"/>
    <x v="0"/>
    <x v="0"/>
    <s v="09"/>
    <x v="0"/>
    <x v="0"/>
    <x v="3"/>
    <x v="2"/>
    <n v="20246.96"/>
  </r>
  <r>
    <x v="1"/>
    <x v="0"/>
    <x v="1"/>
    <x v="0"/>
    <x v="0"/>
    <x v="2"/>
    <x v="0"/>
    <x v="0"/>
    <x v="0"/>
    <x v="0"/>
    <x v="0"/>
    <x v="0"/>
    <s v="09"/>
    <x v="0"/>
    <x v="0"/>
    <x v="3"/>
    <x v="8"/>
    <n v="-23.53"/>
  </r>
  <r>
    <x v="1"/>
    <x v="0"/>
    <x v="1"/>
    <x v="0"/>
    <x v="0"/>
    <x v="2"/>
    <x v="0"/>
    <x v="0"/>
    <x v="0"/>
    <x v="0"/>
    <x v="0"/>
    <x v="0"/>
    <s v="09"/>
    <x v="0"/>
    <x v="0"/>
    <x v="3"/>
    <x v="11"/>
    <n v="79970.31"/>
  </r>
  <r>
    <x v="1"/>
    <x v="0"/>
    <x v="1"/>
    <x v="0"/>
    <x v="0"/>
    <x v="2"/>
    <x v="0"/>
    <x v="0"/>
    <x v="0"/>
    <x v="0"/>
    <x v="0"/>
    <x v="0"/>
    <s v="09"/>
    <x v="0"/>
    <x v="0"/>
    <x v="3"/>
    <x v="3"/>
    <n v="17550.29"/>
  </r>
  <r>
    <x v="1"/>
    <x v="0"/>
    <x v="1"/>
    <x v="0"/>
    <x v="0"/>
    <x v="2"/>
    <x v="0"/>
    <x v="0"/>
    <x v="0"/>
    <x v="0"/>
    <x v="0"/>
    <x v="0"/>
    <s v="09"/>
    <x v="0"/>
    <x v="0"/>
    <x v="3"/>
    <x v="4"/>
    <n v="23970.86"/>
  </r>
  <r>
    <x v="1"/>
    <x v="0"/>
    <x v="1"/>
    <x v="0"/>
    <x v="0"/>
    <x v="2"/>
    <x v="0"/>
    <x v="0"/>
    <x v="0"/>
    <x v="0"/>
    <x v="0"/>
    <x v="0"/>
    <s v="09"/>
    <x v="0"/>
    <x v="0"/>
    <x v="3"/>
    <x v="7"/>
    <n v="20253.560000000001"/>
  </r>
  <r>
    <x v="1"/>
    <x v="0"/>
    <x v="1"/>
    <x v="0"/>
    <x v="0"/>
    <x v="2"/>
    <x v="0"/>
    <x v="0"/>
    <x v="0"/>
    <x v="0"/>
    <x v="0"/>
    <x v="0"/>
    <s v="09"/>
    <x v="0"/>
    <x v="0"/>
    <x v="3"/>
    <x v="5"/>
    <n v="25399.82"/>
  </r>
  <r>
    <x v="1"/>
    <x v="0"/>
    <x v="1"/>
    <x v="0"/>
    <x v="0"/>
    <x v="2"/>
    <x v="0"/>
    <x v="0"/>
    <x v="0"/>
    <x v="0"/>
    <x v="0"/>
    <x v="0"/>
    <s v="09"/>
    <x v="0"/>
    <x v="0"/>
    <x v="3"/>
    <x v="6"/>
    <n v="26876.34"/>
  </r>
  <r>
    <x v="1"/>
    <x v="0"/>
    <x v="1"/>
    <x v="0"/>
    <x v="0"/>
    <x v="2"/>
    <x v="0"/>
    <x v="0"/>
    <x v="0"/>
    <x v="0"/>
    <x v="0"/>
    <x v="0"/>
    <s v="09"/>
    <x v="0"/>
    <x v="0"/>
    <x v="3"/>
    <x v="1"/>
    <n v="51179.32"/>
  </r>
  <r>
    <x v="1"/>
    <x v="0"/>
    <x v="1"/>
    <x v="0"/>
    <x v="0"/>
    <x v="2"/>
    <x v="0"/>
    <x v="0"/>
    <x v="0"/>
    <x v="0"/>
    <x v="0"/>
    <x v="0"/>
    <s v="16"/>
    <x v="20"/>
    <x v="0"/>
    <x v="3"/>
    <x v="5"/>
    <n v="1252.5"/>
  </r>
  <r>
    <x v="1"/>
    <x v="0"/>
    <x v="1"/>
    <x v="0"/>
    <x v="0"/>
    <x v="2"/>
    <x v="0"/>
    <x v="0"/>
    <x v="0"/>
    <x v="0"/>
    <x v="0"/>
    <x v="0"/>
    <s v="16"/>
    <x v="20"/>
    <x v="0"/>
    <x v="3"/>
    <x v="6"/>
    <n v="-1252.5"/>
  </r>
  <r>
    <x v="1"/>
    <x v="0"/>
    <x v="1"/>
    <x v="0"/>
    <x v="0"/>
    <x v="2"/>
    <x v="0"/>
    <x v="0"/>
    <x v="0"/>
    <x v="0"/>
    <x v="0"/>
    <x v="0"/>
    <s v="20"/>
    <x v="7"/>
    <x v="0"/>
    <x v="2"/>
    <x v="0"/>
    <n v="5.81"/>
  </r>
  <r>
    <x v="1"/>
    <x v="0"/>
    <x v="1"/>
    <x v="0"/>
    <x v="0"/>
    <x v="2"/>
    <x v="0"/>
    <x v="0"/>
    <x v="0"/>
    <x v="0"/>
    <x v="0"/>
    <x v="0"/>
    <s v="20"/>
    <x v="7"/>
    <x v="0"/>
    <x v="2"/>
    <x v="2"/>
    <n v="9927.19"/>
  </r>
  <r>
    <x v="1"/>
    <x v="0"/>
    <x v="1"/>
    <x v="0"/>
    <x v="0"/>
    <x v="2"/>
    <x v="0"/>
    <x v="0"/>
    <x v="0"/>
    <x v="0"/>
    <x v="0"/>
    <x v="0"/>
    <s v="20"/>
    <x v="7"/>
    <x v="0"/>
    <x v="2"/>
    <x v="8"/>
    <n v="-18749.28"/>
  </r>
  <r>
    <x v="1"/>
    <x v="0"/>
    <x v="1"/>
    <x v="0"/>
    <x v="0"/>
    <x v="2"/>
    <x v="0"/>
    <x v="0"/>
    <x v="0"/>
    <x v="0"/>
    <x v="0"/>
    <x v="0"/>
    <s v="20"/>
    <x v="7"/>
    <x v="0"/>
    <x v="2"/>
    <x v="9"/>
    <n v="18490"/>
  </r>
  <r>
    <x v="1"/>
    <x v="0"/>
    <x v="1"/>
    <x v="0"/>
    <x v="0"/>
    <x v="2"/>
    <x v="0"/>
    <x v="0"/>
    <x v="0"/>
    <x v="0"/>
    <x v="0"/>
    <x v="0"/>
    <s v="20"/>
    <x v="7"/>
    <x v="0"/>
    <x v="2"/>
    <x v="10"/>
    <n v="-9623.57"/>
  </r>
  <r>
    <x v="1"/>
    <x v="0"/>
    <x v="1"/>
    <x v="0"/>
    <x v="0"/>
    <x v="2"/>
    <x v="0"/>
    <x v="0"/>
    <x v="0"/>
    <x v="0"/>
    <x v="0"/>
    <x v="0"/>
    <s v="20"/>
    <x v="7"/>
    <x v="0"/>
    <x v="2"/>
    <x v="11"/>
    <n v="-50.15"/>
  </r>
  <r>
    <x v="1"/>
    <x v="0"/>
    <x v="1"/>
    <x v="0"/>
    <x v="0"/>
    <x v="2"/>
    <x v="0"/>
    <x v="0"/>
    <x v="0"/>
    <x v="0"/>
    <x v="0"/>
    <x v="0"/>
    <s v="20"/>
    <x v="7"/>
    <x v="0"/>
    <x v="2"/>
    <x v="3"/>
    <n v="14.96"/>
  </r>
  <r>
    <x v="1"/>
    <x v="0"/>
    <x v="1"/>
    <x v="0"/>
    <x v="0"/>
    <x v="2"/>
    <x v="0"/>
    <x v="0"/>
    <x v="0"/>
    <x v="0"/>
    <x v="0"/>
    <x v="0"/>
    <s v="20"/>
    <x v="7"/>
    <x v="0"/>
    <x v="2"/>
    <x v="4"/>
    <n v="-14.96"/>
  </r>
  <r>
    <x v="1"/>
    <x v="0"/>
    <x v="1"/>
    <x v="0"/>
    <x v="0"/>
    <x v="2"/>
    <x v="0"/>
    <x v="0"/>
    <x v="0"/>
    <x v="0"/>
    <x v="0"/>
    <x v="0"/>
    <s v="20"/>
    <x v="7"/>
    <x v="0"/>
    <x v="2"/>
    <x v="5"/>
    <n v="1814.4"/>
  </r>
  <r>
    <x v="1"/>
    <x v="0"/>
    <x v="1"/>
    <x v="0"/>
    <x v="0"/>
    <x v="2"/>
    <x v="0"/>
    <x v="0"/>
    <x v="0"/>
    <x v="0"/>
    <x v="0"/>
    <x v="0"/>
    <s v="20"/>
    <x v="7"/>
    <x v="0"/>
    <x v="2"/>
    <x v="6"/>
    <n v="45"/>
  </r>
  <r>
    <x v="1"/>
    <x v="0"/>
    <x v="1"/>
    <x v="0"/>
    <x v="0"/>
    <x v="2"/>
    <x v="0"/>
    <x v="0"/>
    <x v="0"/>
    <x v="0"/>
    <x v="0"/>
    <x v="0"/>
    <s v="20"/>
    <x v="7"/>
    <x v="0"/>
    <x v="2"/>
    <x v="1"/>
    <n v="-1859.4"/>
  </r>
  <r>
    <x v="1"/>
    <x v="0"/>
    <x v="1"/>
    <x v="0"/>
    <x v="0"/>
    <x v="2"/>
    <x v="0"/>
    <x v="0"/>
    <x v="0"/>
    <x v="0"/>
    <x v="0"/>
    <x v="0"/>
    <s v="20"/>
    <x v="7"/>
    <x v="0"/>
    <x v="3"/>
    <x v="2"/>
    <n v="6360.06"/>
  </r>
  <r>
    <x v="1"/>
    <x v="0"/>
    <x v="1"/>
    <x v="0"/>
    <x v="0"/>
    <x v="2"/>
    <x v="0"/>
    <x v="0"/>
    <x v="0"/>
    <x v="0"/>
    <x v="0"/>
    <x v="0"/>
    <s v="20"/>
    <x v="7"/>
    <x v="0"/>
    <x v="3"/>
    <x v="8"/>
    <n v="-6360.06"/>
  </r>
  <r>
    <x v="1"/>
    <x v="0"/>
    <x v="1"/>
    <x v="0"/>
    <x v="0"/>
    <x v="2"/>
    <x v="0"/>
    <x v="0"/>
    <x v="0"/>
    <x v="0"/>
    <x v="0"/>
    <x v="0"/>
    <s v="20"/>
    <x v="7"/>
    <x v="0"/>
    <x v="3"/>
    <x v="9"/>
    <n v="2799.95"/>
  </r>
  <r>
    <x v="1"/>
    <x v="0"/>
    <x v="1"/>
    <x v="0"/>
    <x v="0"/>
    <x v="2"/>
    <x v="0"/>
    <x v="0"/>
    <x v="0"/>
    <x v="0"/>
    <x v="0"/>
    <x v="0"/>
    <s v="20"/>
    <x v="7"/>
    <x v="0"/>
    <x v="3"/>
    <x v="10"/>
    <n v="-2749.95"/>
  </r>
  <r>
    <x v="1"/>
    <x v="0"/>
    <x v="1"/>
    <x v="0"/>
    <x v="0"/>
    <x v="2"/>
    <x v="0"/>
    <x v="0"/>
    <x v="0"/>
    <x v="0"/>
    <x v="0"/>
    <x v="0"/>
    <s v="20"/>
    <x v="7"/>
    <x v="0"/>
    <x v="3"/>
    <x v="11"/>
    <n v="298.8"/>
  </r>
  <r>
    <x v="1"/>
    <x v="0"/>
    <x v="1"/>
    <x v="0"/>
    <x v="0"/>
    <x v="2"/>
    <x v="0"/>
    <x v="0"/>
    <x v="0"/>
    <x v="0"/>
    <x v="0"/>
    <x v="0"/>
    <s v="20"/>
    <x v="7"/>
    <x v="0"/>
    <x v="3"/>
    <x v="3"/>
    <n v="-298.8"/>
  </r>
  <r>
    <x v="1"/>
    <x v="0"/>
    <x v="1"/>
    <x v="0"/>
    <x v="0"/>
    <x v="2"/>
    <x v="0"/>
    <x v="0"/>
    <x v="0"/>
    <x v="0"/>
    <x v="0"/>
    <x v="0"/>
    <s v="20"/>
    <x v="7"/>
    <x v="0"/>
    <x v="3"/>
    <x v="4"/>
    <n v="330"/>
  </r>
  <r>
    <x v="1"/>
    <x v="0"/>
    <x v="1"/>
    <x v="0"/>
    <x v="0"/>
    <x v="2"/>
    <x v="0"/>
    <x v="0"/>
    <x v="0"/>
    <x v="0"/>
    <x v="0"/>
    <x v="0"/>
    <s v="20"/>
    <x v="7"/>
    <x v="0"/>
    <x v="3"/>
    <x v="7"/>
    <n v="-322.05"/>
  </r>
  <r>
    <x v="1"/>
    <x v="0"/>
    <x v="1"/>
    <x v="0"/>
    <x v="0"/>
    <x v="2"/>
    <x v="0"/>
    <x v="0"/>
    <x v="0"/>
    <x v="0"/>
    <x v="0"/>
    <x v="0"/>
    <s v="20"/>
    <x v="7"/>
    <x v="0"/>
    <x v="3"/>
    <x v="5"/>
    <n v="-7.95"/>
  </r>
  <r>
    <x v="1"/>
    <x v="0"/>
    <x v="1"/>
    <x v="0"/>
    <x v="0"/>
    <x v="2"/>
    <x v="0"/>
    <x v="0"/>
    <x v="0"/>
    <x v="0"/>
    <x v="0"/>
    <x v="0"/>
    <s v="21"/>
    <x v="17"/>
    <x v="0"/>
    <x v="2"/>
    <x v="10"/>
    <n v="93.75"/>
  </r>
  <r>
    <x v="1"/>
    <x v="0"/>
    <x v="1"/>
    <x v="0"/>
    <x v="0"/>
    <x v="2"/>
    <x v="0"/>
    <x v="0"/>
    <x v="0"/>
    <x v="0"/>
    <x v="0"/>
    <x v="0"/>
    <s v="21"/>
    <x v="17"/>
    <x v="0"/>
    <x v="2"/>
    <x v="3"/>
    <n v="-93.75"/>
  </r>
  <r>
    <x v="1"/>
    <x v="0"/>
    <x v="1"/>
    <x v="0"/>
    <x v="0"/>
    <x v="2"/>
    <x v="0"/>
    <x v="0"/>
    <x v="0"/>
    <x v="0"/>
    <x v="0"/>
    <x v="0"/>
    <s v="24"/>
    <x v="1"/>
    <x v="0"/>
    <x v="2"/>
    <x v="0"/>
    <n v="-1460"/>
  </r>
  <r>
    <x v="1"/>
    <x v="0"/>
    <x v="1"/>
    <x v="0"/>
    <x v="0"/>
    <x v="2"/>
    <x v="0"/>
    <x v="0"/>
    <x v="0"/>
    <x v="0"/>
    <x v="0"/>
    <x v="0"/>
    <s v="24"/>
    <x v="1"/>
    <x v="0"/>
    <x v="2"/>
    <x v="2"/>
    <n v="-5929.74"/>
  </r>
  <r>
    <x v="1"/>
    <x v="0"/>
    <x v="1"/>
    <x v="0"/>
    <x v="0"/>
    <x v="2"/>
    <x v="0"/>
    <x v="0"/>
    <x v="0"/>
    <x v="0"/>
    <x v="0"/>
    <x v="0"/>
    <s v="24"/>
    <x v="1"/>
    <x v="0"/>
    <x v="2"/>
    <x v="8"/>
    <n v="11202501.49"/>
  </r>
  <r>
    <x v="1"/>
    <x v="0"/>
    <x v="1"/>
    <x v="0"/>
    <x v="0"/>
    <x v="2"/>
    <x v="0"/>
    <x v="0"/>
    <x v="0"/>
    <x v="0"/>
    <x v="0"/>
    <x v="0"/>
    <s v="24"/>
    <x v="1"/>
    <x v="0"/>
    <x v="2"/>
    <x v="9"/>
    <n v="-230917.58"/>
  </r>
  <r>
    <x v="1"/>
    <x v="0"/>
    <x v="1"/>
    <x v="0"/>
    <x v="0"/>
    <x v="2"/>
    <x v="0"/>
    <x v="0"/>
    <x v="0"/>
    <x v="0"/>
    <x v="0"/>
    <x v="0"/>
    <s v="24"/>
    <x v="1"/>
    <x v="0"/>
    <x v="2"/>
    <x v="10"/>
    <n v="-36674.5"/>
  </r>
  <r>
    <x v="1"/>
    <x v="0"/>
    <x v="1"/>
    <x v="0"/>
    <x v="0"/>
    <x v="2"/>
    <x v="0"/>
    <x v="0"/>
    <x v="0"/>
    <x v="0"/>
    <x v="0"/>
    <x v="0"/>
    <s v="24"/>
    <x v="1"/>
    <x v="0"/>
    <x v="2"/>
    <x v="11"/>
    <n v="11108558.02"/>
  </r>
  <r>
    <x v="1"/>
    <x v="0"/>
    <x v="1"/>
    <x v="0"/>
    <x v="0"/>
    <x v="2"/>
    <x v="0"/>
    <x v="0"/>
    <x v="0"/>
    <x v="0"/>
    <x v="0"/>
    <x v="0"/>
    <s v="24"/>
    <x v="1"/>
    <x v="0"/>
    <x v="2"/>
    <x v="3"/>
    <n v="-586766.53"/>
  </r>
  <r>
    <x v="1"/>
    <x v="0"/>
    <x v="1"/>
    <x v="0"/>
    <x v="0"/>
    <x v="2"/>
    <x v="0"/>
    <x v="0"/>
    <x v="0"/>
    <x v="0"/>
    <x v="0"/>
    <x v="0"/>
    <s v="24"/>
    <x v="1"/>
    <x v="0"/>
    <x v="2"/>
    <x v="4"/>
    <n v="-101590.48"/>
  </r>
  <r>
    <x v="1"/>
    <x v="0"/>
    <x v="1"/>
    <x v="0"/>
    <x v="0"/>
    <x v="2"/>
    <x v="0"/>
    <x v="0"/>
    <x v="0"/>
    <x v="0"/>
    <x v="0"/>
    <x v="0"/>
    <s v="24"/>
    <x v="1"/>
    <x v="0"/>
    <x v="2"/>
    <x v="7"/>
    <n v="9615875.0399999991"/>
  </r>
  <r>
    <x v="1"/>
    <x v="0"/>
    <x v="1"/>
    <x v="0"/>
    <x v="0"/>
    <x v="2"/>
    <x v="0"/>
    <x v="0"/>
    <x v="0"/>
    <x v="0"/>
    <x v="0"/>
    <x v="0"/>
    <s v="24"/>
    <x v="1"/>
    <x v="0"/>
    <x v="2"/>
    <x v="5"/>
    <n v="102545.98"/>
  </r>
  <r>
    <x v="1"/>
    <x v="0"/>
    <x v="1"/>
    <x v="0"/>
    <x v="0"/>
    <x v="2"/>
    <x v="0"/>
    <x v="0"/>
    <x v="0"/>
    <x v="0"/>
    <x v="0"/>
    <x v="0"/>
    <s v="24"/>
    <x v="1"/>
    <x v="0"/>
    <x v="2"/>
    <x v="6"/>
    <n v="-88974.56"/>
  </r>
  <r>
    <x v="1"/>
    <x v="0"/>
    <x v="1"/>
    <x v="0"/>
    <x v="0"/>
    <x v="2"/>
    <x v="0"/>
    <x v="0"/>
    <x v="0"/>
    <x v="0"/>
    <x v="0"/>
    <x v="0"/>
    <s v="24"/>
    <x v="1"/>
    <x v="0"/>
    <x v="2"/>
    <x v="1"/>
    <n v="-3143.3"/>
  </r>
  <r>
    <x v="1"/>
    <x v="0"/>
    <x v="1"/>
    <x v="0"/>
    <x v="0"/>
    <x v="2"/>
    <x v="0"/>
    <x v="0"/>
    <x v="0"/>
    <x v="0"/>
    <x v="0"/>
    <x v="0"/>
    <s v="24"/>
    <x v="1"/>
    <x v="0"/>
    <x v="3"/>
    <x v="0"/>
    <n v="-16760.169999999998"/>
  </r>
  <r>
    <x v="1"/>
    <x v="0"/>
    <x v="1"/>
    <x v="0"/>
    <x v="0"/>
    <x v="2"/>
    <x v="0"/>
    <x v="0"/>
    <x v="0"/>
    <x v="0"/>
    <x v="0"/>
    <x v="0"/>
    <s v="24"/>
    <x v="1"/>
    <x v="0"/>
    <x v="3"/>
    <x v="2"/>
    <n v="5515.11"/>
  </r>
  <r>
    <x v="1"/>
    <x v="0"/>
    <x v="1"/>
    <x v="0"/>
    <x v="0"/>
    <x v="2"/>
    <x v="0"/>
    <x v="0"/>
    <x v="0"/>
    <x v="0"/>
    <x v="0"/>
    <x v="0"/>
    <s v="24"/>
    <x v="1"/>
    <x v="0"/>
    <x v="3"/>
    <x v="8"/>
    <n v="12397049.43"/>
  </r>
  <r>
    <x v="1"/>
    <x v="0"/>
    <x v="1"/>
    <x v="0"/>
    <x v="0"/>
    <x v="2"/>
    <x v="0"/>
    <x v="0"/>
    <x v="0"/>
    <x v="0"/>
    <x v="0"/>
    <x v="0"/>
    <s v="24"/>
    <x v="1"/>
    <x v="0"/>
    <x v="3"/>
    <x v="9"/>
    <n v="-124552.78"/>
  </r>
  <r>
    <x v="1"/>
    <x v="0"/>
    <x v="1"/>
    <x v="0"/>
    <x v="0"/>
    <x v="2"/>
    <x v="0"/>
    <x v="0"/>
    <x v="0"/>
    <x v="0"/>
    <x v="0"/>
    <x v="0"/>
    <s v="24"/>
    <x v="1"/>
    <x v="0"/>
    <x v="3"/>
    <x v="10"/>
    <n v="10097912.130000001"/>
  </r>
  <r>
    <x v="1"/>
    <x v="0"/>
    <x v="1"/>
    <x v="0"/>
    <x v="0"/>
    <x v="2"/>
    <x v="0"/>
    <x v="0"/>
    <x v="0"/>
    <x v="0"/>
    <x v="0"/>
    <x v="0"/>
    <s v="24"/>
    <x v="1"/>
    <x v="0"/>
    <x v="3"/>
    <x v="11"/>
    <n v="1973139.74"/>
  </r>
  <r>
    <x v="1"/>
    <x v="0"/>
    <x v="1"/>
    <x v="0"/>
    <x v="0"/>
    <x v="2"/>
    <x v="0"/>
    <x v="0"/>
    <x v="0"/>
    <x v="0"/>
    <x v="0"/>
    <x v="0"/>
    <s v="24"/>
    <x v="1"/>
    <x v="0"/>
    <x v="3"/>
    <x v="3"/>
    <n v="-448541.93"/>
  </r>
  <r>
    <x v="1"/>
    <x v="0"/>
    <x v="1"/>
    <x v="0"/>
    <x v="0"/>
    <x v="2"/>
    <x v="0"/>
    <x v="0"/>
    <x v="0"/>
    <x v="0"/>
    <x v="0"/>
    <x v="0"/>
    <s v="24"/>
    <x v="1"/>
    <x v="0"/>
    <x v="3"/>
    <x v="4"/>
    <n v="3272211.86"/>
  </r>
  <r>
    <x v="1"/>
    <x v="0"/>
    <x v="1"/>
    <x v="0"/>
    <x v="0"/>
    <x v="2"/>
    <x v="0"/>
    <x v="0"/>
    <x v="0"/>
    <x v="0"/>
    <x v="0"/>
    <x v="0"/>
    <s v="24"/>
    <x v="1"/>
    <x v="0"/>
    <x v="3"/>
    <x v="7"/>
    <n v="7647971.25"/>
  </r>
  <r>
    <x v="1"/>
    <x v="0"/>
    <x v="1"/>
    <x v="0"/>
    <x v="0"/>
    <x v="2"/>
    <x v="0"/>
    <x v="0"/>
    <x v="0"/>
    <x v="0"/>
    <x v="0"/>
    <x v="0"/>
    <s v="24"/>
    <x v="1"/>
    <x v="0"/>
    <x v="3"/>
    <x v="5"/>
    <n v="-3421.38"/>
  </r>
  <r>
    <x v="1"/>
    <x v="0"/>
    <x v="1"/>
    <x v="0"/>
    <x v="0"/>
    <x v="2"/>
    <x v="0"/>
    <x v="0"/>
    <x v="0"/>
    <x v="0"/>
    <x v="0"/>
    <x v="0"/>
    <s v="24"/>
    <x v="1"/>
    <x v="0"/>
    <x v="3"/>
    <x v="6"/>
    <n v="-67150.539999999994"/>
  </r>
  <r>
    <x v="1"/>
    <x v="0"/>
    <x v="1"/>
    <x v="0"/>
    <x v="0"/>
    <x v="2"/>
    <x v="0"/>
    <x v="0"/>
    <x v="0"/>
    <x v="0"/>
    <x v="0"/>
    <x v="0"/>
    <s v="24"/>
    <x v="1"/>
    <x v="0"/>
    <x v="3"/>
    <x v="1"/>
    <n v="-876772.75"/>
  </r>
  <r>
    <x v="1"/>
    <x v="0"/>
    <x v="1"/>
    <x v="0"/>
    <x v="0"/>
    <x v="2"/>
    <x v="0"/>
    <x v="0"/>
    <x v="0"/>
    <x v="0"/>
    <x v="0"/>
    <x v="0"/>
    <s v="31"/>
    <x v="8"/>
    <x v="0"/>
    <x v="2"/>
    <x v="0"/>
    <n v="1518.2"/>
  </r>
  <r>
    <x v="1"/>
    <x v="0"/>
    <x v="1"/>
    <x v="0"/>
    <x v="0"/>
    <x v="2"/>
    <x v="0"/>
    <x v="0"/>
    <x v="0"/>
    <x v="0"/>
    <x v="0"/>
    <x v="0"/>
    <s v="31"/>
    <x v="8"/>
    <x v="0"/>
    <x v="2"/>
    <x v="4"/>
    <n v="-1518.2"/>
  </r>
  <r>
    <x v="1"/>
    <x v="0"/>
    <x v="1"/>
    <x v="0"/>
    <x v="0"/>
    <x v="2"/>
    <x v="0"/>
    <x v="0"/>
    <x v="0"/>
    <x v="0"/>
    <x v="0"/>
    <x v="0"/>
    <s v="31"/>
    <x v="8"/>
    <x v="0"/>
    <x v="3"/>
    <x v="4"/>
    <n v="18.149999999999999"/>
  </r>
  <r>
    <x v="1"/>
    <x v="0"/>
    <x v="1"/>
    <x v="0"/>
    <x v="0"/>
    <x v="2"/>
    <x v="0"/>
    <x v="0"/>
    <x v="0"/>
    <x v="0"/>
    <x v="0"/>
    <x v="0"/>
    <s v="31"/>
    <x v="8"/>
    <x v="0"/>
    <x v="3"/>
    <x v="1"/>
    <n v="-18.149999999999999"/>
  </r>
  <r>
    <x v="1"/>
    <x v="0"/>
    <x v="1"/>
    <x v="0"/>
    <x v="0"/>
    <x v="2"/>
    <x v="0"/>
    <x v="0"/>
    <x v="0"/>
    <x v="0"/>
    <x v="0"/>
    <x v="0"/>
    <s v="80"/>
    <x v="11"/>
    <x v="0"/>
    <x v="2"/>
    <x v="2"/>
    <n v="1340.9"/>
  </r>
  <r>
    <x v="1"/>
    <x v="0"/>
    <x v="1"/>
    <x v="0"/>
    <x v="0"/>
    <x v="2"/>
    <x v="0"/>
    <x v="0"/>
    <x v="0"/>
    <x v="0"/>
    <x v="0"/>
    <x v="0"/>
    <s v="80"/>
    <x v="11"/>
    <x v="0"/>
    <x v="2"/>
    <x v="8"/>
    <n v="103963.33"/>
  </r>
  <r>
    <x v="1"/>
    <x v="0"/>
    <x v="1"/>
    <x v="0"/>
    <x v="0"/>
    <x v="2"/>
    <x v="0"/>
    <x v="0"/>
    <x v="0"/>
    <x v="0"/>
    <x v="0"/>
    <x v="0"/>
    <s v="80"/>
    <x v="11"/>
    <x v="0"/>
    <x v="2"/>
    <x v="9"/>
    <n v="133994.47"/>
  </r>
  <r>
    <x v="1"/>
    <x v="0"/>
    <x v="1"/>
    <x v="0"/>
    <x v="0"/>
    <x v="2"/>
    <x v="0"/>
    <x v="0"/>
    <x v="0"/>
    <x v="0"/>
    <x v="0"/>
    <x v="0"/>
    <s v="80"/>
    <x v="11"/>
    <x v="0"/>
    <x v="2"/>
    <x v="10"/>
    <n v="81904.62"/>
  </r>
  <r>
    <x v="1"/>
    <x v="0"/>
    <x v="1"/>
    <x v="0"/>
    <x v="0"/>
    <x v="2"/>
    <x v="0"/>
    <x v="0"/>
    <x v="0"/>
    <x v="0"/>
    <x v="0"/>
    <x v="0"/>
    <s v="80"/>
    <x v="11"/>
    <x v="0"/>
    <x v="2"/>
    <x v="11"/>
    <n v="5545.18"/>
  </r>
  <r>
    <x v="1"/>
    <x v="0"/>
    <x v="1"/>
    <x v="0"/>
    <x v="0"/>
    <x v="2"/>
    <x v="0"/>
    <x v="0"/>
    <x v="0"/>
    <x v="0"/>
    <x v="0"/>
    <x v="0"/>
    <s v="80"/>
    <x v="11"/>
    <x v="0"/>
    <x v="2"/>
    <x v="3"/>
    <n v="11692"/>
  </r>
  <r>
    <x v="1"/>
    <x v="0"/>
    <x v="1"/>
    <x v="0"/>
    <x v="0"/>
    <x v="2"/>
    <x v="0"/>
    <x v="0"/>
    <x v="0"/>
    <x v="0"/>
    <x v="0"/>
    <x v="0"/>
    <s v="80"/>
    <x v="11"/>
    <x v="0"/>
    <x v="2"/>
    <x v="4"/>
    <n v="-100"/>
  </r>
  <r>
    <x v="1"/>
    <x v="0"/>
    <x v="1"/>
    <x v="0"/>
    <x v="0"/>
    <x v="2"/>
    <x v="0"/>
    <x v="0"/>
    <x v="0"/>
    <x v="0"/>
    <x v="0"/>
    <x v="0"/>
    <s v="80"/>
    <x v="11"/>
    <x v="0"/>
    <x v="2"/>
    <x v="7"/>
    <n v="128307.08"/>
  </r>
  <r>
    <x v="1"/>
    <x v="0"/>
    <x v="1"/>
    <x v="0"/>
    <x v="0"/>
    <x v="2"/>
    <x v="0"/>
    <x v="0"/>
    <x v="0"/>
    <x v="0"/>
    <x v="0"/>
    <x v="0"/>
    <s v="80"/>
    <x v="11"/>
    <x v="0"/>
    <x v="2"/>
    <x v="5"/>
    <n v="10153.36"/>
  </r>
  <r>
    <x v="1"/>
    <x v="0"/>
    <x v="1"/>
    <x v="0"/>
    <x v="0"/>
    <x v="2"/>
    <x v="0"/>
    <x v="0"/>
    <x v="0"/>
    <x v="0"/>
    <x v="0"/>
    <x v="0"/>
    <s v="80"/>
    <x v="11"/>
    <x v="0"/>
    <x v="2"/>
    <x v="6"/>
    <n v="53635.81"/>
  </r>
  <r>
    <x v="1"/>
    <x v="0"/>
    <x v="1"/>
    <x v="0"/>
    <x v="0"/>
    <x v="2"/>
    <x v="0"/>
    <x v="0"/>
    <x v="0"/>
    <x v="0"/>
    <x v="0"/>
    <x v="0"/>
    <s v="80"/>
    <x v="11"/>
    <x v="0"/>
    <x v="2"/>
    <x v="1"/>
    <n v="314152.62"/>
  </r>
  <r>
    <x v="1"/>
    <x v="0"/>
    <x v="1"/>
    <x v="0"/>
    <x v="0"/>
    <x v="2"/>
    <x v="0"/>
    <x v="0"/>
    <x v="0"/>
    <x v="0"/>
    <x v="0"/>
    <x v="0"/>
    <s v="80"/>
    <x v="11"/>
    <x v="0"/>
    <x v="3"/>
    <x v="2"/>
    <n v="1247.98"/>
  </r>
  <r>
    <x v="1"/>
    <x v="0"/>
    <x v="1"/>
    <x v="0"/>
    <x v="0"/>
    <x v="2"/>
    <x v="0"/>
    <x v="0"/>
    <x v="0"/>
    <x v="0"/>
    <x v="0"/>
    <x v="0"/>
    <s v="80"/>
    <x v="11"/>
    <x v="0"/>
    <x v="3"/>
    <x v="9"/>
    <n v="55000"/>
  </r>
  <r>
    <x v="1"/>
    <x v="0"/>
    <x v="1"/>
    <x v="0"/>
    <x v="0"/>
    <x v="2"/>
    <x v="0"/>
    <x v="0"/>
    <x v="0"/>
    <x v="0"/>
    <x v="0"/>
    <x v="0"/>
    <s v="80"/>
    <x v="11"/>
    <x v="0"/>
    <x v="3"/>
    <x v="10"/>
    <n v="17718.22"/>
  </r>
  <r>
    <x v="1"/>
    <x v="0"/>
    <x v="1"/>
    <x v="0"/>
    <x v="0"/>
    <x v="2"/>
    <x v="0"/>
    <x v="0"/>
    <x v="0"/>
    <x v="0"/>
    <x v="0"/>
    <x v="0"/>
    <s v="80"/>
    <x v="11"/>
    <x v="0"/>
    <x v="3"/>
    <x v="11"/>
    <n v="131.16"/>
  </r>
  <r>
    <x v="1"/>
    <x v="0"/>
    <x v="1"/>
    <x v="0"/>
    <x v="0"/>
    <x v="2"/>
    <x v="0"/>
    <x v="0"/>
    <x v="0"/>
    <x v="0"/>
    <x v="0"/>
    <x v="0"/>
    <s v="80"/>
    <x v="11"/>
    <x v="0"/>
    <x v="3"/>
    <x v="3"/>
    <n v="28207.07"/>
  </r>
  <r>
    <x v="1"/>
    <x v="0"/>
    <x v="1"/>
    <x v="0"/>
    <x v="0"/>
    <x v="2"/>
    <x v="0"/>
    <x v="0"/>
    <x v="0"/>
    <x v="0"/>
    <x v="0"/>
    <x v="0"/>
    <s v="80"/>
    <x v="11"/>
    <x v="0"/>
    <x v="3"/>
    <x v="4"/>
    <n v="66400"/>
  </r>
  <r>
    <x v="1"/>
    <x v="0"/>
    <x v="1"/>
    <x v="0"/>
    <x v="0"/>
    <x v="2"/>
    <x v="0"/>
    <x v="0"/>
    <x v="0"/>
    <x v="0"/>
    <x v="0"/>
    <x v="0"/>
    <s v="80"/>
    <x v="11"/>
    <x v="0"/>
    <x v="3"/>
    <x v="7"/>
    <n v="29638.43"/>
  </r>
  <r>
    <x v="1"/>
    <x v="0"/>
    <x v="1"/>
    <x v="0"/>
    <x v="0"/>
    <x v="2"/>
    <x v="0"/>
    <x v="0"/>
    <x v="0"/>
    <x v="0"/>
    <x v="0"/>
    <x v="0"/>
    <s v="80"/>
    <x v="11"/>
    <x v="0"/>
    <x v="3"/>
    <x v="5"/>
    <n v="20075"/>
  </r>
  <r>
    <x v="1"/>
    <x v="0"/>
    <x v="1"/>
    <x v="0"/>
    <x v="0"/>
    <x v="2"/>
    <x v="0"/>
    <x v="0"/>
    <x v="0"/>
    <x v="0"/>
    <x v="0"/>
    <x v="0"/>
    <s v="80"/>
    <x v="11"/>
    <x v="0"/>
    <x v="3"/>
    <x v="6"/>
    <n v="210700"/>
  </r>
  <r>
    <x v="1"/>
    <x v="0"/>
    <x v="1"/>
    <x v="0"/>
    <x v="0"/>
    <x v="2"/>
    <x v="0"/>
    <x v="0"/>
    <x v="0"/>
    <x v="0"/>
    <x v="0"/>
    <x v="0"/>
    <s v="80"/>
    <x v="11"/>
    <x v="0"/>
    <x v="3"/>
    <x v="1"/>
    <n v="585390.28"/>
  </r>
  <r>
    <x v="1"/>
    <x v="0"/>
    <x v="1"/>
    <x v="0"/>
    <x v="0"/>
    <x v="2"/>
    <x v="0"/>
    <x v="0"/>
    <x v="0"/>
    <x v="0"/>
    <x v="0"/>
    <x v="0"/>
    <s v="81"/>
    <x v="2"/>
    <x v="0"/>
    <x v="2"/>
    <x v="0"/>
    <n v="-1750"/>
  </r>
  <r>
    <x v="1"/>
    <x v="0"/>
    <x v="1"/>
    <x v="0"/>
    <x v="0"/>
    <x v="2"/>
    <x v="0"/>
    <x v="0"/>
    <x v="0"/>
    <x v="0"/>
    <x v="0"/>
    <x v="0"/>
    <s v="81"/>
    <x v="2"/>
    <x v="0"/>
    <x v="2"/>
    <x v="2"/>
    <n v="-1915.5"/>
  </r>
  <r>
    <x v="1"/>
    <x v="0"/>
    <x v="1"/>
    <x v="0"/>
    <x v="0"/>
    <x v="2"/>
    <x v="0"/>
    <x v="0"/>
    <x v="0"/>
    <x v="0"/>
    <x v="0"/>
    <x v="0"/>
    <s v="81"/>
    <x v="2"/>
    <x v="0"/>
    <x v="2"/>
    <x v="8"/>
    <n v="-161677.46"/>
  </r>
  <r>
    <x v="1"/>
    <x v="0"/>
    <x v="1"/>
    <x v="0"/>
    <x v="0"/>
    <x v="2"/>
    <x v="0"/>
    <x v="0"/>
    <x v="0"/>
    <x v="0"/>
    <x v="0"/>
    <x v="0"/>
    <s v="81"/>
    <x v="2"/>
    <x v="0"/>
    <x v="2"/>
    <x v="9"/>
    <n v="-181175.28"/>
  </r>
  <r>
    <x v="1"/>
    <x v="0"/>
    <x v="1"/>
    <x v="0"/>
    <x v="0"/>
    <x v="2"/>
    <x v="0"/>
    <x v="0"/>
    <x v="0"/>
    <x v="0"/>
    <x v="0"/>
    <x v="0"/>
    <s v="81"/>
    <x v="2"/>
    <x v="0"/>
    <x v="2"/>
    <x v="10"/>
    <n v="-85859.62"/>
  </r>
  <r>
    <x v="1"/>
    <x v="0"/>
    <x v="1"/>
    <x v="0"/>
    <x v="0"/>
    <x v="2"/>
    <x v="0"/>
    <x v="0"/>
    <x v="0"/>
    <x v="0"/>
    <x v="0"/>
    <x v="0"/>
    <s v="81"/>
    <x v="2"/>
    <x v="0"/>
    <x v="2"/>
    <x v="11"/>
    <n v="-68941.850000000006"/>
  </r>
  <r>
    <x v="1"/>
    <x v="0"/>
    <x v="1"/>
    <x v="0"/>
    <x v="0"/>
    <x v="2"/>
    <x v="0"/>
    <x v="0"/>
    <x v="0"/>
    <x v="0"/>
    <x v="0"/>
    <x v="0"/>
    <s v="81"/>
    <x v="2"/>
    <x v="0"/>
    <x v="2"/>
    <x v="3"/>
    <n v="-104517"/>
  </r>
  <r>
    <x v="1"/>
    <x v="0"/>
    <x v="1"/>
    <x v="0"/>
    <x v="0"/>
    <x v="2"/>
    <x v="0"/>
    <x v="0"/>
    <x v="0"/>
    <x v="0"/>
    <x v="0"/>
    <x v="0"/>
    <s v="81"/>
    <x v="2"/>
    <x v="0"/>
    <x v="2"/>
    <x v="4"/>
    <n v="-9626.42"/>
  </r>
  <r>
    <x v="1"/>
    <x v="0"/>
    <x v="1"/>
    <x v="0"/>
    <x v="0"/>
    <x v="2"/>
    <x v="0"/>
    <x v="0"/>
    <x v="0"/>
    <x v="0"/>
    <x v="0"/>
    <x v="0"/>
    <s v="81"/>
    <x v="2"/>
    <x v="0"/>
    <x v="2"/>
    <x v="7"/>
    <n v="-135657.07999999999"/>
  </r>
  <r>
    <x v="1"/>
    <x v="0"/>
    <x v="1"/>
    <x v="0"/>
    <x v="0"/>
    <x v="2"/>
    <x v="0"/>
    <x v="0"/>
    <x v="0"/>
    <x v="0"/>
    <x v="0"/>
    <x v="0"/>
    <s v="81"/>
    <x v="2"/>
    <x v="0"/>
    <x v="2"/>
    <x v="5"/>
    <n v="-4117.09"/>
  </r>
  <r>
    <x v="1"/>
    <x v="0"/>
    <x v="1"/>
    <x v="0"/>
    <x v="0"/>
    <x v="2"/>
    <x v="0"/>
    <x v="0"/>
    <x v="0"/>
    <x v="0"/>
    <x v="0"/>
    <x v="0"/>
    <s v="81"/>
    <x v="2"/>
    <x v="0"/>
    <x v="2"/>
    <x v="6"/>
    <n v="-52467.63"/>
  </r>
  <r>
    <x v="1"/>
    <x v="0"/>
    <x v="1"/>
    <x v="0"/>
    <x v="0"/>
    <x v="2"/>
    <x v="0"/>
    <x v="0"/>
    <x v="0"/>
    <x v="0"/>
    <x v="0"/>
    <x v="0"/>
    <s v="81"/>
    <x v="2"/>
    <x v="0"/>
    <x v="2"/>
    <x v="1"/>
    <n v="-1045340.2"/>
  </r>
  <r>
    <x v="1"/>
    <x v="0"/>
    <x v="1"/>
    <x v="0"/>
    <x v="0"/>
    <x v="2"/>
    <x v="0"/>
    <x v="0"/>
    <x v="0"/>
    <x v="0"/>
    <x v="0"/>
    <x v="0"/>
    <s v="81"/>
    <x v="2"/>
    <x v="0"/>
    <x v="3"/>
    <x v="0"/>
    <n v="-33266.79"/>
  </r>
  <r>
    <x v="1"/>
    <x v="0"/>
    <x v="1"/>
    <x v="0"/>
    <x v="0"/>
    <x v="2"/>
    <x v="0"/>
    <x v="0"/>
    <x v="0"/>
    <x v="0"/>
    <x v="0"/>
    <x v="0"/>
    <s v="81"/>
    <x v="2"/>
    <x v="0"/>
    <x v="3"/>
    <x v="2"/>
    <n v="-44827.32"/>
  </r>
  <r>
    <x v="1"/>
    <x v="0"/>
    <x v="1"/>
    <x v="0"/>
    <x v="0"/>
    <x v="2"/>
    <x v="0"/>
    <x v="0"/>
    <x v="0"/>
    <x v="0"/>
    <x v="0"/>
    <x v="0"/>
    <s v="81"/>
    <x v="2"/>
    <x v="0"/>
    <x v="3"/>
    <x v="8"/>
    <n v="-42434.12"/>
  </r>
  <r>
    <x v="1"/>
    <x v="0"/>
    <x v="1"/>
    <x v="0"/>
    <x v="0"/>
    <x v="2"/>
    <x v="0"/>
    <x v="0"/>
    <x v="0"/>
    <x v="0"/>
    <x v="0"/>
    <x v="0"/>
    <s v="81"/>
    <x v="2"/>
    <x v="0"/>
    <x v="3"/>
    <x v="9"/>
    <n v="-89488.59"/>
  </r>
  <r>
    <x v="1"/>
    <x v="0"/>
    <x v="1"/>
    <x v="0"/>
    <x v="0"/>
    <x v="2"/>
    <x v="0"/>
    <x v="0"/>
    <x v="0"/>
    <x v="0"/>
    <x v="0"/>
    <x v="0"/>
    <s v="81"/>
    <x v="2"/>
    <x v="0"/>
    <x v="3"/>
    <x v="10"/>
    <n v="-49009.54"/>
  </r>
  <r>
    <x v="1"/>
    <x v="0"/>
    <x v="1"/>
    <x v="0"/>
    <x v="0"/>
    <x v="2"/>
    <x v="0"/>
    <x v="0"/>
    <x v="0"/>
    <x v="0"/>
    <x v="0"/>
    <x v="0"/>
    <s v="81"/>
    <x v="2"/>
    <x v="0"/>
    <x v="3"/>
    <x v="3"/>
    <n v="-51707.07"/>
  </r>
  <r>
    <x v="1"/>
    <x v="0"/>
    <x v="1"/>
    <x v="0"/>
    <x v="0"/>
    <x v="2"/>
    <x v="0"/>
    <x v="0"/>
    <x v="0"/>
    <x v="0"/>
    <x v="0"/>
    <x v="0"/>
    <s v="81"/>
    <x v="2"/>
    <x v="0"/>
    <x v="3"/>
    <x v="4"/>
    <n v="-93400"/>
  </r>
  <r>
    <x v="1"/>
    <x v="0"/>
    <x v="1"/>
    <x v="0"/>
    <x v="0"/>
    <x v="2"/>
    <x v="0"/>
    <x v="0"/>
    <x v="0"/>
    <x v="0"/>
    <x v="0"/>
    <x v="0"/>
    <s v="81"/>
    <x v="2"/>
    <x v="0"/>
    <x v="3"/>
    <x v="7"/>
    <n v="-42060.24"/>
  </r>
  <r>
    <x v="1"/>
    <x v="0"/>
    <x v="1"/>
    <x v="0"/>
    <x v="0"/>
    <x v="2"/>
    <x v="0"/>
    <x v="0"/>
    <x v="0"/>
    <x v="0"/>
    <x v="0"/>
    <x v="0"/>
    <s v="81"/>
    <x v="2"/>
    <x v="0"/>
    <x v="3"/>
    <x v="5"/>
    <n v="-200"/>
  </r>
  <r>
    <x v="1"/>
    <x v="0"/>
    <x v="1"/>
    <x v="0"/>
    <x v="0"/>
    <x v="2"/>
    <x v="0"/>
    <x v="0"/>
    <x v="0"/>
    <x v="0"/>
    <x v="0"/>
    <x v="0"/>
    <s v="81"/>
    <x v="2"/>
    <x v="0"/>
    <x v="3"/>
    <x v="6"/>
    <n v="-13615"/>
  </r>
  <r>
    <x v="1"/>
    <x v="0"/>
    <x v="1"/>
    <x v="0"/>
    <x v="0"/>
    <x v="2"/>
    <x v="0"/>
    <x v="0"/>
    <x v="0"/>
    <x v="0"/>
    <x v="0"/>
    <x v="0"/>
    <s v="81"/>
    <x v="2"/>
    <x v="0"/>
    <x v="3"/>
    <x v="1"/>
    <n v="-765968.31"/>
  </r>
  <r>
    <x v="1"/>
    <x v="0"/>
    <x v="1"/>
    <x v="0"/>
    <x v="0"/>
    <x v="3"/>
    <x v="0"/>
    <x v="0"/>
    <x v="0"/>
    <x v="2"/>
    <x v="3"/>
    <x v="3"/>
    <s v="64"/>
    <x v="24"/>
    <x v="0"/>
    <x v="3"/>
    <x v="7"/>
    <n v="315"/>
  </r>
  <r>
    <x v="1"/>
    <x v="0"/>
    <x v="1"/>
    <x v="0"/>
    <x v="0"/>
    <x v="3"/>
    <x v="0"/>
    <x v="0"/>
    <x v="0"/>
    <x v="2"/>
    <x v="3"/>
    <x v="3"/>
    <s v="64"/>
    <x v="24"/>
    <x v="0"/>
    <x v="3"/>
    <x v="1"/>
    <n v="-315"/>
  </r>
  <r>
    <x v="1"/>
    <x v="0"/>
    <x v="1"/>
    <x v="0"/>
    <x v="0"/>
    <x v="3"/>
    <x v="0"/>
    <x v="0"/>
    <x v="0"/>
    <x v="1"/>
    <x v="1"/>
    <x v="1"/>
    <s v="41"/>
    <x v="4"/>
    <x v="0"/>
    <x v="2"/>
    <x v="2"/>
    <n v="687.53"/>
  </r>
  <r>
    <x v="1"/>
    <x v="0"/>
    <x v="1"/>
    <x v="0"/>
    <x v="0"/>
    <x v="3"/>
    <x v="0"/>
    <x v="0"/>
    <x v="0"/>
    <x v="1"/>
    <x v="1"/>
    <x v="1"/>
    <s v="41"/>
    <x v="4"/>
    <x v="0"/>
    <x v="2"/>
    <x v="9"/>
    <n v="-1375.06"/>
  </r>
  <r>
    <x v="1"/>
    <x v="0"/>
    <x v="1"/>
    <x v="0"/>
    <x v="0"/>
    <x v="3"/>
    <x v="0"/>
    <x v="0"/>
    <x v="0"/>
    <x v="1"/>
    <x v="1"/>
    <x v="1"/>
    <s v="41"/>
    <x v="4"/>
    <x v="0"/>
    <x v="2"/>
    <x v="11"/>
    <n v="46782.879999999997"/>
  </r>
  <r>
    <x v="1"/>
    <x v="0"/>
    <x v="1"/>
    <x v="0"/>
    <x v="0"/>
    <x v="3"/>
    <x v="0"/>
    <x v="0"/>
    <x v="0"/>
    <x v="1"/>
    <x v="1"/>
    <x v="1"/>
    <s v="41"/>
    <x v="4"/>
    <x v="0"/>
    <x v="2"/>
    <x v="4"/>
    <n v="30002.73"/>
  </r>
  <r>
    <x v="1"/>
    <x v="0"/>
    <x v="1"/>
    <x v="0"/>
    <x v="0"/>
    <x v="3"/>
    <x v="0"/>
    <x v="0"/>
    <x v="0"/>
    <x v="1"/>
    <x v="1"/>
    <x v="1"/>
    <s v="41"/>
    <x v="4"/>
    <x v="0"/>
    <x v="2"/>
    <x v="7"/>
    <n v="76929.36"/>
  </r>
  <r>
    <x v="1"/>
    <x v="0"/>
    <x v="1"/>
    <x v="0"/>
    <x v="0"/>
    <x v="3"/>
    <x v="0"/>
    <x v="0"/>
    <x v="0"/>
    <x v="1"/>
    <x v="1"/>
    <x v="1"/>
    <s v="41"/>
    <x v="4"/>
    <x v="0"/>
    <x v="2"/>
    <x v="5"/>
    <n v="-36888.199999999997"/>
  </r>
  <r>
    <x v="1"/>
    <x v="0"/>
    <x v="1"/>
    <x v="0"/>
    <x v="0"/>
    <x v="3"/>
    <x v="0"/>
    <x v="0"/>
    <x v="0"/>
    <x v="1"/>
    <x v="1"/>
    <x v="1"/>
    <s v="41"/>
    <x v="4"/>
    <x v="0"/>
    <x v="2"/>
    <x v="6"/>
    <n v="-30000"/>
  </r>
  <r>
    <x v="1"/>
    <x v="0"/>
    <x v="1"/>
    <x v="0"/>
    <x v="0"/>
    <x v="3"/>
    <x v="0"/>
    <x v="0"/>
    <x v="0"/>
    <x v="1"/>
    <x v="1"/>
    <x v="1"/>
    <s v="41"/>
    <x v="4"/>
    <x v="0"/>
    <x v="2"/>
    <x v="1"/>
    <n v="-86139.24"/>
  </r>
  <r>
    <x v="1"/>
    <x v="0"/>
    <x v="1"/>
    <x v="0"/>
    <x v="0"/>
    <x v="3"/>
    <x v="0"/>
    <x v="0"/>
    <x v="0"/>
    <x v="1"/>
    <x v="1"/>
    <x v="1"/>
    <s v="41"/>
    <x v="4"/>
    <x v="0"/>
    <x v="3"/>
    <x v="2"/>
    <n v="298772.12"/>
  </r>
  <r>
    <x v="1"/>
    <x v="0"/>
    <x v="1"/>
    <x v="0"/>
    <x v="0"/>
    <x v="3"/>
    <x v="0"/>
    <x v="0"/>
    <x v="0"/>
    <x v="1"/>
    <x v="1"/>
    <x v="1"/>
    <s v="41"/>
    <x v="4"/>
    <x v="0"/>
    <x v="3"/>
    <x v="8"/>
    <n v="390.65"/>
  </r>
  <r>
    <x v="1"/>
    <x v="0"/>
    <x v="1"/>
    <x v="0"/>
    <x v="0"/>
    <x v="3"/>
    <x v="0"/>
    <x v="0"/>
    <x v="0"/>
    <x v="1"/>
    <x v="1"/>
    <x v="1"/>
    <s v="41"/>
    <x v="4"/>
    <x v="0"/>
    <x v="3"/>
    <x v="9"/>
    <n v="3919.45"/>
  </r>
  <r>
    <x v="1"/>
    <x v="0"/>
    <x v="1"/>
    <x v="0"/>
    <x v="0"/>
    <x v="3"/>
    <x v="0"/>
    <x v="0"/>
    <x v="0"/>
    <x v="1"/>
    <x v="1"/>
    <x v="1"/>
    <s v="41"/>
    <x v="4"/>
    <x v="0"/>
    <x v="3"/>
    <x v="10"/>
    <n v="-4310.88"/>
  </r>
  <r>
    <x v="1"/>
    <x v="0"/>
    <x v="1"/>
    <x v="0"/>
    <x v="0"/>
    <x v="3"/>
    <x v="0"/>
    <x v="0"/>
    <x v="0"/>
    <x v="1"/>
    <x v="1"/>
    <x v="1"/>
    <s v="41"/>
    <x v="4"/>
    <x v="0"/>
    <x v="3"/>
    <x v="4"/>
    <n v="5833.33"/>
  </r>
  <r>
    <x v="1"/>
    <x v="0"/>
    <x v="1"/>
    <x v="0"/>
    <x v="0"/>
    <x v="3"/>
    <x v="0"/>
    <x v="0"/>
    <x v="0"/>
    <x v="1"/>
    <x v="1"/>
    <x v="1"/>
    <s v="41"/>
    <x v="4"/>
    <x v="0"/>
    <x v="3"/>
    <x v="7"/>
    <n v="500"/>
  </r>
  <r>
    <x v="1"/>
    <x v="0"/>
    <x v="1"/>
    <x v="0"/>
    <x v="0"/>
    <x v="3"/>
    <x v="0"/>
    <x v="0"/>
    <x v="0"/>
    <x v="1"/>
    <x v="1"/>
    <x v="1"/>
    <s v="41"/>
    <x v="4"/>
    <x v="0"/>
    <x v="3"/>
    <x v="5"/>
    <n v="-223604.67"/>
  </r>
  <r>
    <x v="1"/>
    <x v="0"/>
    <x v="1"/>
    <x v="0"/>
    <x v="0"/>
    <x v="3"/>
    <x v="0"/>
    <x v="0"/>
    <x v="0"/>
    <x v="1"/>
    <x v="1"/>
    <x v="1"/>
    <s v="41"/>
    <x v="4"/>
    <x v="0"/>
    <x v="3"/>
    <x v="6"/>
    <n v="53737.59"/>
  </r>
  <r>
    <x v="1"/>
    <x v="0"/>
    <x v="1"/>
    <x v="0"/>
    <x v="0"/>
    <x v="3"/>
    <x v="0"/>
    <x v="0"/>
    <x v="0"/>
    <x v="1"/>
    <x v="1"/>
    <x v="1"/>
    <s v="41"/>
    <x v="4"/>
    <x v="0"/>
    <x v="3"/>
    <x v="1"/>
    <n v="-135237.59"/>
  </r>
  <r>
    <x v="1"/>
    <x v="0"/>
    <x v="1"/>
    <x v="0"/>
    <x v="0"/>
    <x v="3"/>
    <x v="0"/>
    <x v="0"/>
    <x v="0"/>
    <x v="1"/>
    <x v="1"/>
    <x v="1"/>
    <s v="46"/>
    <x v="22"/>
    <x v="0"/>
    <x v="2"/>
    <x v="4"/>
    <n v="398.76"/>
  </r>
  <r>
    <x v="1"/>
    <x v="0"/>
    <x v="1"/>
    <x v="0"/>
    <x v="0"/>
    <x v="3"/>
    <x v="0"/>
    <x v="0"/>
    <x v="0"/>
    <x v="1"/>
    <x v="1"/>
    <x v="1"/>
    <s v="46"/>
    <x v="22"/>
    <x v="0"/>
    <x v="2"/>
    <x v="7"/>
    <n v="457.29"/>
  </r>
  <r>
    <x v="1"/>
    <x v="0"/>
    <x v="1"/>
    <x v="0"/>
    <x v="0"/>
    <x v="3"/>
    <x v="0"/>
    <x v="0"/>
    <x v="0"/>
    <x v="1"/>
    <x v="1"/>
    <x v="1"/>
    <s v="46"/>
    <x v="22"/>
    <x v="0"/>
    <x v="2"/>
    <x v="5"/>
    <n v="-856.05"/>
  </r>
  <r>
    <x v="1"/>
    <x v="0"/>
    <x v="1"/>
    <x v="0"/>
    <x v="0"/>
    <x v="3"/>
    <x v="0"/>
    <x v="0"/>
    <x v="0"/>
    <x v="0"/>
    <x v="0"/>
    <x v="0"/>
    <s v="02"/>
    <x v="5"/>
    <x v="0"/>
    <x v="2"/>
    <x v="0"/>
    <n v="836.63"/>
  </r>
  <r>
    <x v="1"/>
    <x v="0"/>
    <x v="1"/>
    <x v="0"/>
    <x v="0"/>
    <x v="3"/>
    <x v="0"/>
    <x v="0"/>
    <x v="0"/>
    <x v="0"/>
    <x v="0"/>
    <x v="0"/>
    <s v="02"/>
    <x v="5"/>
    <x v="0"/>
    <x v="2"/>
    <x v="2"/>
    <n v="85"/>
  </r>
  <r>
    <x v="1"/>
    <x v="0"/>
    <x v="1"/>
    <x v="0"/>
    <x v="0"/>
    <x v="3"/>
    <x v="0"/>
    <x v="0"/>
    <x v="0"/>
    <x v="0"/>
    <x v="0"/>
    <x v="0"/>
    <s v="02"/>
    <x v="5"/>
    <x v="0"/>
    <x v="2"/>
    <x v="8"/>
    <n v="-813.38"/>
  </r>
  <r>
    <x v="1"/>
    <x v="0"/>
    <x v="1"/>
    <x v="0"/>
    <x v="0"/>
    <x v="3"/>
    <x v="0"/>
    <x v="0"/>
    <x v="0"/>
    <x v="0"/>
    <x v="0"/>
    <x v="0"/>
    <s v="02"/>
    <x v="5"/>
    <x v="0"/>
    <x v="2"/>
    <x v="9"/>
    <n v="1748.86"/>
  </r>
  <r>
    <x v="1"/>
    <x v="0"/>
    <x v="1"/>
    <x v="0"/>
    <x v="0"/>
    <x v="3"/>
    <x v="0"/>
    <x v="0"/>
    <x v="0"/>
    <x v="0"/>
    <x v="0"/>
    <x v="0"/>
    <s v="02"/>
    <x v="5"/>
    <x v="0"/>
    <x v="2"/>
    <x v="11"/>
    <n v="1247.5"/>
  </r>
  <r>
    <x v="1"/>
    <x v="0"/>
    <x v="1"/>
    <x v="0"/>
    <x v="0"/>
    <x v="3"/>
    <x v="0"/>
    <x v="0"/>
    <x v="0"/>
    <x v="0"/>
    <x v="0"/>
    <x v="0"/>
    <s v="02"/>
    <x v="5"/>
    <x v="0"/>
    <x v="2"/>
    <x v="3"/>
    <n v="32.65"/>
  </r>
  <r>
    <x v="1"/>
    <x v="0"/>
    <x v="1"/>
    <x v="0"/>
    <x v="0"/>
    <x v="3"/>
    <x v="0"/>
    <x v="0"/>
    <x v="0"/>
    <x v="0"/>
    <x v="0"/>
    <x v="0"/>
    <s v="02"/>
    <x v="5"/>
    <x v="0"/>
    <x v="2"/>
    <x v="7"/>
    <n v="-1087.5"/>
  </r>
  <r>
    <x v="1"/>
    <x v="0"/>
    <x v="1"/>
    <x v="0"/>
    <x v="0"/>
    <x v="3"/>
    <x v="0"/>
    <x v="0"/>
    <x v="0"/>
    <x v="0"/>
    <x v="0"/>
    <x v="0"/>
    <s v="02"/>
    <x v="5"/>
    <x v="0"/>
    <x v="2"/>
    <x v="5"/>
    <n v="-2626.39"/>
  </r>
  <r>
    <x v="1"/>
    <x v="0"/>
    <x v="1"/>
    <x v="0"/>
    <x v="0"/>
    <x v="3"/>
    <x v="0"/>
    <x v="0"/>
    <x v="0"/>
    <x v="0"/>
    <x v="0"/>
    <x v="0"/>
    <s v="02"/>
    <x v="5"/>
    <x v="0"/>
    <x v="2"/>
    <x v="1"/>
    <n v="576.63"/>
  </r>
  <r>
    <x v="1"/>
    <x v="0"/>
    <x v="1"/>
    <x v="0"/>
    <x v="0"/>
    <x v="3"/>
    <x v="0"/>
    <x v="0"/>
    <x v="0"/>
    <x v="0"/>
    <x v="0"/>
    <x v="0"/>
    <s v="02"/>
    <x v="5"/>
    <x v="0"/>
    <x v="3"/>
    <x v="0"/>
    <n v="48.51"/>
  </r>
  <r>
    <x v="1"/>
    <x v="0"/>
    <x v="1"/>
    <x v="0"/>
    <x v="0"/>
    <x v="3"/>
    <x v="0"/>
    <x v="0"/>
    <x v="0"/>
    <x v="0"/>
    <x v="0"/>
    <x v="0"/>
    <s v="02"/>
    <x v="5"/>
    <x v="0"/>
    <x v="3"/>
    <x v="4"/>
    <n v="-48.51"/>
  </r>
  <r>
    <x v="1"/>
    <x v="0"/>
    <x v="1"/>
    <x v="0"/>
    <x v="0"/>
    <x v="3"/>
    <x v="0"/>
    <x v="0"/>
    <x v="0"/>
    <x v="0"/>
    <x v="0"/>
    <x v="0"/>
    <s v="02"/>
    <x v="5"/>
    <x v="0"/>
    <x v="3"/>
    <x v="7"/>
    <n v="173.1"/>
  </r>
  <r>
    <x v="1"/>
    <x v="0"/>
    <x v="1"/>
    <x v="0"/>
    <x v="0"/>
    <x v="3"/>
    <x v="0"/>
    <x v="0"/>
    <x v="0"/>
    <x v="0"/>
    <x v="0"/>
    <x v="0"/>
    <s v="02"/>
    <x v="5"/>
    <x v="0"/>
    <x v="3"/>
    <x v="5"/>
    <n v="-173.1"/>
  </r>
  <r>
    <x v="1"/>
    <x v="0"/>
    <x v="1"/>
    <x v="0"/>
    <x v="0"/>
    <x v="3"/>
    <x v="0"/>
    <x v="0"/>
    <x v="0"/>
    <x v="0"/>
    <x v="0"/>
    <x v="0"/>
    <s v="02"/>
    <x v="5"/>
    <x v="0"/>
    <x v="3"/>
    <x v="6"/>
    <n v="150"/>
  </r>
  <r>
    <x v="1"/>
    <x v="0"/>
    <x v="1"/>
    <x v="0"/>
    <x v="0"/>
    <x v="3"/>
    <x v="0"/>
    <x v="0"/>
    <x v="0"/>
    <x v="0"/>
    <x v="0"/>
    <x v="0"/>
    <s v="02"/>
    <x v="5"/>
    <x v="0"/>
    <x v="3"/>
    <x v="1"/>
    <n v="-150"/>
  </r>
  <r>
    <x v="1"/>
    <x v="0"/>
    <x v="1"/>
    <x v="0"/>
    <x v="0"/>
    <x v="3"/>
    <x v="0"/>
    <x v="0"/>
    <x v="0"/>
    <x v="0"/>
    <x v="0"/>
    <x v="0"/>
    <s v="05"/>
    <x v="6"/>
    <x v="0"/>
    <x v="2"/>
    <x v="0"/>
    <n v="30"/>
  </r>
  <r>
    <x v="1"/>
    <x v="0"/>
    <x v="1"/>
    <x v="0"/>
    <x v="0"/>
    <x v="3"/>
    <x v="0"/>
    <x v="0"/>
    <x v="0"/>
    <x v="0"/>
    <x v="0"/>
    <x v="0"/>
    <s v="05"/>
    <x v="6"/>
    <x v="0"/>
    <x v="2"/>
    <x v="2"/>
    <n v="10"/>
  </r>
  <r>
    <x v="1"/>
    <x v="0"/>
    <x v="1"/>
    <x v="0"/>
    <x v="0"/>
    <x v="3"/>
    <x v="0"/>
    <x v="0"/>
    <x v="0"/>
    <x v="0"/>
    <x v="0"/>
    <x v="0"/>
    <s v="05"/>
    <x v="6"/>
    <x v="0"/>
    <x v="2"/>
    <x v="8"/>
    <n v="-40"/>
  </r>
  <r>
    <x v="1"/>
    <x v="0"/>
    <x v="1"/>
    <x v="0"/>
    <x v="0"/>
    <x v="3"/>
    <x v="0"/>
    <x v="0"/>
    <x v="0"/>
    <x v="0"/>
    <x v="0"/>
    <x v="0"/>
    <s v="05"/>
    <x v="6"/>
    <x v="0"/>
    <x v="2"/>
    <x v="9"/>
    <n v="-10"/>
  </r>
  <r>
    <x v="1"/>
    <x v="0"/>
    <x v="1"/>
    <x v="0"/>
    <x v="0"/>
    <x v="3"/>
    <x v="0"/>
    <x v="0"/>
    <x v="0"/>
    <x v="0"/>
    <x v="0"/>
    <x v="0"/>
    <s v="05"/>
    <x v="6"/>
    <x v="0"/>
    <x v="2"/>
    <x v="10"/>
    <n v="-8"/>
  </r>
  <r>
    <x v="1"/>
    <x v="0"/>
    <x v="1"/>
    <x v="0"/>
    <x v="0"/>
    <x v="3"/>
    <x v="0"/>
    <x v="0"/>
    <x v="0"/>
    <x v="0"/>
    <x v="0"/>
    <x v="0"/>
    <s v="05"/>
    <x v="6"/>
    <x v="0"/>
    <x v="2"/>
    <x v="5"/>
    <n v="18"/>
  </r>
  <r>
    <x v="1"/>
    <x v="0"/>
    <x v="1"/>
    <x v="0"/>
    <x v="0"/>
    <x v="3"/>
    <x v="0"/>
    <x v="0"/>
    <x v="0"/>
    <x v="0"/>
    <x v="0"/>
    <x v="0"/>
    <s v="05"/>
    <x v="6"/>
    <x v="0"/>
    <x v="3"/>
    <x v="10"/>
    <n v="366.26"/>
  </r>
  <r>
    <x v="1"/>
    <x v="0"/>
    <x v="1"/>
    <x v="0"/>
    <x v="0"/>
    <x v="3"/>
    <x v="0"/>
    <x v="0"/>
    <x v="0"/>
    <x v="0"/>
    <x v="0"/>
    <x v="0"/>
    <s v="05"/>
    <x v="6"/>
    <x v="0"/>
    <x v="3"/>
    <x v="3"/>
    <n v="178.4"/>
  </r>
  <r>
    <x v="1"/>
    <x v="0"/>
    <x v="1"/>
    <x v="0"/>
    <x v="0"/>
    <x v="3"/>
    <x v="0"/>
    <x v="0"/>
    <x v="0"/>
    <x v="0"/>
    <x v="0"/>
    <x v="0"/>
    <s v="05"/>
    <x v="6"/>
    <x v="0"/>
    <x v="3"/>
    <x v="4"/>
    <n v="-11.81"/>
  </r>
  <r>
    <x v="1"/>
    <x v="0"/>
    <x v="1"/>
    <x v="0"/>
    <x v="0"/>
    <x v="3"/>
    <x v="0"/>
    <x v="0"/>
    <x v="0"/>
    <x v="0"/>
    <x v="0"/>
    <x v="0"/>
    <s v="05"/>
    <x v="6"/>
    <x v="0"/>
    <x v="3"/>
    <x v="7"/>
    <n v="11.81"/>
  </r>
  <r>
    <x v="1"/>
    <x v="0"/>
    <x v="1"/>
    <x v="0"/>
    <x v="0"/>
    <x v="3"/>
    <x v="0"/>
    <x v="0"/>
    <x v="0"/>
    <x v="0"/>
    <x v="0"/>
    <x v="0"/>
    <s v="05"/>
    <x v="6"/>
    <x v="0"/>
    <x v="3"/>
    <x v="5"/>
    <n v="20"/>
  </r>
  <r>
    <x v="1"/>
    <x v="0"/>
    <x v="1"/>
    <x v="0"/>
    <x v="0"/>
    <x v="3"/>
    <x v="0"/>
    <x v="0"/>
    <x v="0"/>
    <x v="0"/>
    <x v="0"/>
    <x v="0"/>
    <s v="05"/>
    <x v="6"/>
    <x v="0"/>
    <x v="3"/>
    <x v="1"/>
    <n v="-198.4"/>
  </r>
  <r>
    <x v="1"/>
    <x v="0"/>
    <x v="1"/>
    <x v="0"/>
    <x v="0"/>
    <x v="3"/>
    <x v="0"/>
    <x v="0"/>
    <x v="0"/>
    <x v="0"/>
    <x v="0"/>
    <x v="0"/>
    <s v="09"/>
    <x v="0"/>
    <x v="0"/>
    <x v="2"/>
    <x v="0"/>
    <n v="-8131.07"/>
  </r>
  <r>
    <x v="1"/>
    <x v="0"/>
    <x v="1"/>
    <x v="0"/>
    <x v="0"/>
    <x v="3"/>
    <x v="0"/>
    <x v="0"/>
    <x v="0"/>
    <x v="0"/>
    <x v="0"/>
    <x v="0"/>
    <s v="09"/>
    <x v="0"/>
    <x v="0"/>
    <x v="2"/>
    <x v="2"/>
    <n v="39057.31"/>
  </r>
  <r>
    <x v="1"/>
    <x v="0"/>
    <x v="1"/>
    <x v="0"/>
    <x v="0"/>
    <x v="3"/>
    <x v="0"/>
    <x v="0"/>
    <x v="0"/>
    <x v="0"/>
    <x v="0"/>
    <x v="0"/>
    <s v="09"/>
    <x v="0"/>
    <x v="0"/>
    <x v="2"/>
    <x v="8"/>
    <n v="87428.47"/>
  </r>
  <r>
    <x v="1"/>
    <x v="0"/>
    <x v="1"/>
    <x v="0"/>
    <x v="0"/>
    <x v="3"/>
    <x v="0"/>
    <x v="0"/>
    <x v="0"/>
    <x v="0"/>
    <x v="0"/>
    <x v="0"/>
    <s v="09"/>
    <x v="0"/>
    <x v="0"/>
    <x v="2"/>
    <x v="9"/>
    <n v="112531.39"/>
  </r>
  <r>
    <x v="1"/>
    <x v="0"/>
    <x v="1"/>
    <x v="0"/>
    <x v="0"/>
    <x v="3"/>
    <x v="0"/>
    <x v="0"/>
    <x v="0"/>
    <x v="0"/>
    <x v="0"/>
    <x v="0"/>
    <s v="09"/>
    <x v="0"/>
    <x v="0"/>
    <x v="2"/>
    <x v="10"/>
    <n v="10166.89"/>
  </r>
  <r>
    <x v="1"/>
    <x v="0"/>
    <x v="1"/>
    <x v="0"/>
    <x v="0"/>
    <x v="3"/>
    <x v="0"/>
    <x v="0"/>
    <x v="0"/>
    <x v="0"/>
    <x v="0"/>
    <x v="0"/>
    <s v="09"/>
    <x v="0"/>
    <x v="0"/>
    <x v="2"/>
    <x v="11"/>
    <n v="117123.51"/>
  </r>
  <r>
    <x v="1"/>
    <x v="0"/>
    <x v="1"/>
    <x v="0"/>
    <x v="0"/>
    <x v="3"/>
    <x v="0"/>
    <x v="0"/>
    <x v="0"/>
    <x v="0"/>
    <x v="0"/>
    <x v="0"/>
    <s v="09"/>
    <x v="0"/>
    <x v="0"/>
    <x v="2"/>
    <x v="3"/>
    <n v="126262.66"/>
  </r>
  <r>
    <x v="1"/>
    <x v="0"/>
    <x v="1"/>
    <x v="0"/>
    <x v="0"/>
    <x v="3"/>
    <x v="0"/>
    <x v="0"/>
    <x v="0"/>
    <x v="0"/>
    <x v="0"/>
    <x v="0"/>
    <s v="09"/>
    <x v="0"/>
    <x v="0"/>
    <x v="2"/>
    <x v="4"/>
    <n v="61050.39"/>
  </r>
  <r>
    <x v="1"/>
    <x v="0"/>
    <x v="1"/>
    <x v="0"/>
    <x v="0"/>
    <x v="3"/>
    <x v="0"/>
    <x v="0"/>
    <x v="0"/>
    <x v="0"/>
    <x v="0"/>
    <x v="0"/>
    <s v="09"/>
    <x v="0"/>
    <x v="0"/>
    <x v="2"/>
    <x v="7"/>
    <n v="72282.600000000006"/>
  </r>
  <r>
    <x v="1"/>
    <x v="0"/>
    <x v="1"/>
    <x v="0"/>
    <x v="0"/>
    <x v="3"/>
    <x v="0"/>
    <x v="0"/>
    <x v="0"/>
    <x v="0"/>
    <x v="0"/>
    <x v="0"/>
    <s v="09"/>
    <x v="0"/>
    <x v="0"/>
    <x v="2"/>
    <x v="5"/>
    <n v="123034.33"/>
  </r>
  <r>
    <x v="1"/>
    <x v="0"/>
    <x v="1"/>
    <x v="0"/>
    <x v="0"/>
    <x v="3"/>
    <x v="0"/>
    <x v="0"/>
    <x v="0"/>
    <x v="0"/>
    <x v="0"/>
    <x v="0"/>
    <s v="09"/>
    <x v="0"/>
    <x v="0"/>
    <x v="2"/>
    <x v="6"/>
    <n v="64272.11"/>
  </r>
  <r>
    <x v="1"/>
    <x v="0"/>
    <x v="1"/>
    <x v="0"/>
    <x v="0"/>
    <x v="3"/>
    <x v="0"/>
    <x v="0"/>
    <x v="0"/>
    <x v="0"/>
    <x v="0"/>
    <x v="0"/>
    <s v="09"/>
    <x v="0"/>
    <x v="0"/>
    <x v="2"/>
    <x v="1"/>
    <n v="259625.71"/>
  </r>
  <r>
    <x v="1"/>
    <x v="0"/>
    <x v="1"/>
    <x v="0"/>
    <x v="0"/>
    <x v="3"/>
    <x v="0"/>
    <x v="0"/>
    <x v="0"/>
    <x v="0"/>
    <x v="0"/>
    <x v="0"/>
    <s v="09"/>
    <x v="0"/>
    <x v="0"/>
    <x v="3"/>
    <x v="0"/>
    <n v="11475.42"/>
  </r>
  <r>
    <x v="1"/>
    <x v="0"/>
    <x v="1"/>
    <x v="0"/>
    <x v="0"/>
    <x v="3"/>
    <x v="0"/>
    <x v="0"/>
    <x v="0"/>
    <x v="0"/>
    <x v="0"/>
    <x v="0"/>
    <s v="09"/>
    <x v="0"/>
    <x v="0"/>
    <x v="3"/>
    <x v="2"/>
    <n v="102924.92"/>
  </r>
  <r>
    <x v="1"/>
    <x v="0"/>
    <x v="1"/>
    <x v="0"/>
    <x v="0"/>
    <x v="3"/>
    <x v="0"/>
    <x v="0"/>
    <x v="0"/>
    <x v="0"/>
    <x v="0"/>
    <x v="0"/>
    <s v="09"/>
    <x v="0"/>
    <x v="0"/>
    <x v="3"/>
    <x v="8"/>
    <n v="28021.99"/>
  </r>
  <r>
    <x v="1"/>
    <x v="0"/>
    <x v="1"/>
    <x v="0"/>
    <x v="0"/>
    <x v="3"/>
    <x v="0"/>
    <x v="0"/>
    <x v="0"/>
    <x v="0"/>
    <x v="0"/>
    <x v="0"/>
    <s v="09"/>
    <x v="0"/>
    <x v="0"/>
    <x v="3"/>
    <x v="9"/>
    <n v="48719.09"/>
  </r>
  <r>
    <x v="1"/>
    <x v="0"/>
    <x v="1"/>
    <x v="0"/>
    <x v="0"/>
    <x v="3"/>
    <x v="0"/>
    <x v="0"/>
    <x v="0"/>
    <x v="0"/>
    <x v="0"/>
    <x v="0"/>
    <s v="09"/>
    <x v="0"/>
    <x v="0"/>
    <x v="3"/>
    <x v="10"/>
    <n v="56635.63"/>
  </r>
  <r>
    <x v="1"/>
    <x v="0"/>
    <x v="1"/>
    <x v="0"/>
    <x v="0"/>
    <x v="3"/>
    <x v="0"/>
    <x v="0"/>
    <x v="0"/>
    <x v="0"/>
    <x v="0"/>
    <x v="0"/>
    <s v="09"/>
    <x v="0"/>
    <x v="0"/>
    <x v="3"/>
    <x v="11"/>
    <n v="93247.23"/>
  </r>
  <r>
    <x v="1"/>
    <x v="0"/>
    <x v="1"/>
    <x v="0"/>
    <x v="0"/>
    <x v="3"/>
    <x v="0"/>
    <x v="0"/>
    <x v="0"/>
    <x v="0"/>
    <x v="0"/>
    <x v="0"/>
    <s v="09"/>
    <x v="0"/>
    <x v="0"/>
    <x v="3"/>
    <x v="3"/>
    <n v="107720.98"/>
  </r>
  <r>
    <x v="1"/>
    <x v="0"/>
    <x v="1"/>
    <x v="0"/>
    <x v="0"/>
    <x v="3"/>
    <x v="0"/>
    <x v="0"/>
    <x v="0"/>
    <x v="0"/>
    <x v="0"/>
    <x v="0"/>
    <s v="09"/>
    <x v="0"/>
    <x v="0"/>
    <x v="3"/>
    <x v="4"/>
    <n v="39836.93"/>
  </r>
  <r>
    <x v="1"/>
    <x v="0"/>
    <x v="1"/>
    <x v="0"/>
    <x v="0"/>
    <x v="3"/>
    <x v="0"/>
    <x v="0"/>
    <x v="0"/>
    <x v="0"/>
    <x v="0"/>
    <x v="0"/>
    <s v="09"/>
    <x v="0"/>
    <x v="0"/>
    <x v="3"/>
    <x v="7"/>
    <n v="67232.789999999994"/>
  </r>
  <r>
    <x v="1"/>
    <x v="0"/>
    <x v="1"/>
    <x v="0"/>
    <x v="0"/>
    <x v="3"/>
    <x v="0"/>
    <x v="0"/>
    <x v="0"/>
    <x v="0"/>
    <x v="0"/>
    <x v="0"/>
    <s v="09"/>
    <x v="0"/>
    <x v="0"/>
    <x v="3"/>
    <x v="5"/>
    <n v="105601.49"/>
  </r>
  <r>
    <x v="1"/>
    <x v="0"/>
    <x v="1"/>
    <x v="0"/>
    <x v="0"/>
    <x v="3"/>
    <x v="0"/>
    <x v="0"/>
    <x v="0"/>
    <x v="0"/>
    <x v="0"/>
    <x v="0"/>
    <s v="09"/>
    <x v="0"/>
    <x v="0"/>
    <x v="3"/>
    <x v="6"/>
    <n v="65372.13"/>
  </r>
  <r>
    <x v="1"/>
    <x v="0"/>
    <x v="1"/>
    <x v="0"/>
    <x v="0"/>
    <x v="3"/>
    <x v="0"/>
    <x v="0"/>
    <x v="0"/>
    <x v="0"/>
    <x v="0"/>
    <x v="0"/>
    <s v="09"/>
    <x v="0"/>
    <x v="0"/>
    <x v="3"/>
    <x v="1"/>
    <n v="286361.31"/>
  </r>
  <r>
    <x v="1"/>
    <x v="0"/>
    <x v="1"/>
    <x v="0"/>
    <x v="0"/>
    <x v="3"/>
    <x v="0"/>
    <x v="0"/>
    <x v="0"/>
    <x v="0"/>
    <x v="0"/>
    <x v="0"/>
    <s v="16"/>
    <x v="20"/>
    <x v="0"/>
    <x v="2"/>
    <x v="2"/>
    <n v="400"/>
  </r>
  <r>
    <x v="1"/>
    <x v="0"/>
    <x v="1"/>
    <x v="0"/>
    <x v="0"/>
    <x v="3"/>
    <x v="0"/>
    <x v="0"/>
    <x v="0"/>
    <x v="0"/>
    <x v="0"/>
    <x v="0"/>
    <s v="16"/>
    <x v="20"/>
    <x v="0"/>
    <x v="2"/>
    <x v="11"/>
    <n v="-400"/>
  </r>
  <r>
    <x v="1"/>
    <x v="0"/>
    <x v="1"/>
    <x v="0"/>
    <x v="0"/>
    <x v="3"/>
    <x v="0"/>
    <x v="0"/>
    <x v="0"/>
    <x v="0"/>
    <x v="0"/>
    <x v="0"/>
    <s v="16"/>
    <x v="20"/>
    <x v="0"/>
    <x v="3"/>
    <x v="9"/>
    <n v="750"/>
  </r>
  <r>
    <x v="1"/>
    <x v="0"/>
    <x v="1"/>
    <x v="0"/>
    <x v="0"/>
    <x v="3"/>
    <x v="0"/>
    <x v="0"/>
    <x v="0"/>
    <x v="0"/>
    <x v="0"/>
    <x v="0"/>
    <s v="16"/>
    <x v="20"/>
    <x v="0"/>
    <x v="3"/>
    <x v="10"/>
    <n v="1500"/>
  </r>
  <r>
    <x v="1"/>
    <x v="0"/>
    <x v="1"/>
    <x v="0"/>
    <x v="0"/>
    <x v="3"/>
    <x v="0"/>
    <x v="0"/>
    <x v="0"/>
    <x v="0"/>
    <x v="0"/>
    <x v="0"/>
    <s v="16"/>
    <x v="20"/>
    <x v="0"/>
    <x v="3"/>
    <x v="3"/>
    <n v="-18.690000000000001"/>
  </r>
  <r>
    <x v="1"/>
    <x v="0"/>
    <x v="1"/>
    <x v="0"/>
    <x v="0"/>
    <x v="3"/>
    <x v="0"/>
    <x v="0"/>
    <x v="0"/>
    <x v="0"/>
    <x v="0"/>
    <x v="0"/>
    <s v="16"/>
    <x v="20"/>
    <x v="0"/>
    <x v="3"/>
    <x v="4"/>
    <n v="18.690000000000001"/>
  </r>
  <r>
    <x v="1"/>
    <x v="0"/>
    <x v="1"/>
    <x v="0"/>
    <x v="0"/>
    <x v="3"/>
    <x v="0"/>
    <x v="0"/>
    <x v="0"/>
    <x v="0"/>
    <x v="0"/>
    <x v="0"/>
    <s v="16"/>
    <x v="20"/>
    <x v="0"/>
    <x v="3"/>
    <x v="5"/>
    <n v="7.5"/>
  </r>
  <r>
    <x v="1"/>
    <x v="0"/>
    <x v="1"/>
    <x v="0"/>
    <x v="0"/>
    <x v="3"/>
    <x v="0"/>
    <x v="0"/>
    <x v="0"/>
    <x v="0"/>
    <x v="0"/>
    <x v="0"/>
    <s v="16"/>
    <x v="20"/>
    <x v="0"/>
    <x v="3"/>
    <x v="6"/>
    <n v="-7.5"/>
  </r>
  <r>
    <x v="1"/>
    <x v="0"/>
    <x v="1"/>
    <x v="0"/>
    <x v="0"/>
    <x v="3"/>
    <x v="0"/>
    <x v="0"/>
    <x v="0"/>
    <x v="0"/>
    <x v="0"/>
    <x v="0"/>
    <s v="16"/>
    <x v="20"/>
    <x v="0"/>
    <x v="3"/>
    <x v="1"/>
    <n v="-2250"/>
  </r>
  <r>
    <x v="1"/>
    <x v="0"/>
    <x v="1"/>
    <x v="0"/>
    <x v="0"/>
    <x v="3"/>
    <x v="0"/>
    <x v="0"/>
    <x v="0"/>
    <x v="0"/>
    <x v="0"/>
    <x v="0"/>
    <s v="20"/>
    <x v="7"/>
    <x v="0"/>
    <x v="2"/>
    <x v="0"/>
    <n v="1470.82"/>
  </r>
  <r>
    <x v="1"/>
    <x v="0"/>
    <x v="1"/>
    <x v="0"/>
    <x v="0"/>
    <x v="3"/>
    <x v="0"/>
    <x v="0"/>
    <x v="0"/>
    <x v="0"/>
    <x v="0"/>
    <x v="0"/>
    <s v="20"/>
    <x v="7"/>
    <x v="0"/>
    <x v="2"/>
    <x v="9"/>
    <n v="-5.6"/>
  </r>
  <r>
    <x v="1"/>
    <x v="0"/>
    <x v="1"/>
    <x v="0"/>
    <x v="0"/>
    <x v="3"/>
    <x v="0"/>
    <x v="0"/>
    <x v="0"/>
    <x v="0"/>
    <x v="0"/>
    <x v="0"/>
    <s v="20"/>
    <x v="7"/>
    <x v="0"/>
    <x v="2"/>
    <x v="11"/>
    <n v="5.6"/>
  </r>
  <r>
    <x v="1"/>
    <x v="0"/>
    <x v="1"/>
    <x v="0"/>
    <x v="0"/>
    <x v="3"/>
    <x v="0"/>
    <x v="0"/>
    <x v="0"/>
    <x v="0"/>
    <x v="0"/>
    <x v="0"/>
    <s v="20"/>
    <x v="7"/>
    <x v="0"/>
    <x v="2"/>
    <x v="3"/>
    <n v="526.19000000000005"/>
  </r>
  <r>
    <x v="1"/>
    <x v="0"/>
    <x v="1"/>
    <x v="0"/>
    <x v="0"/>
    <x v="3"/>
    <x v="0"/>
    <x v="0"/>
    <x v="0"/>
    <x v="0"/>
    <x v="0"/>
    <x v="0"/>
    <s v="20"/>
    <x v="7"/>
    <x v="0"/>
    <x v="2"/>
    <x v="7"/>
    <n v="-1465.82"/>
  </r>
  <r>
    <x v="1"/>
    <x v="0"/>
    <x v="1"/>
    <x v="0"/>
    <x v="0"/>
    <x v="3"/>
    <x v="0"/>
    <x v="0"/>
    <x v="0"/>
    <x v="0"/>
    <x v="0"/>
    <x v="0"/>
    <s v="20"/>
    <x v="7"/>
    <x v="0"/>
    <x v="2"/>
    <x v="5"/>
    <n v="-531.19000000000005"/>
  </r>
  <r>
    <x v="1"/>
    <x v="0"/>
    <x v="1"/>
    <x v="0"/>
    <x v="0"/>
    <x v="3"/>
    <x v="0"/>
    <x v="0"/>
    <x v="0"/>
    <x v="0"/>
    <x v="0"/>
    <x v="0"/>
    <s v="20"/>
    <x v="7"/>
    <x v="0"/>
    <x v="3"/>
    <x v="9"/>
    <n v="950.81"/>
  </r>
  <r>
    <x v="1"/>
    <x v="0"/>
    <x v="1"/>
    <x v="0"/>
    <x v="0"/>
    <x v="3"/>
    <x v="0"/>
    <x v="0"/>
    <x v="0"/>
    <x v="0"/>
    <x v="0"/>
    <x v="0"/>
    <s v="20"/>
    <x v="7"/>
    <x v="0"/>
    <x v="3"/>
    <x v="10"/>
    <n v="-950.81"/>
  </r>
  <r>
    <x v="1"/>
    <x v="0"/>
    <x v="1"/>
    <x v="0"/>
    <x v="0"/>
    <x v="3"/>
    <x v="0"/>
    <x v="0"/>
    <x v="0"/>
    <x v="0"/>
    <x v="0"/>
    <x v="0"/>
    <s v="20"/>
    <x v="7"/>
    <x v="0"/>
    <x v="3"/>
    <x v="3"/>
    <n v="16.45"/>
  </r>
  <r>
    <x v="1"/>
    <x v="0"/>
    <x v="1"/>
    <x v="0"/>
    <x v="0"/>
    <x v="3"/>
    <x v="0"/>
    <x v="0"/>
    <x v="0"/>
    <x v="0"/>
    <x v="0"/>
    <x v="0"/>
    <s v="20"/>
    <x v="7"/>
    <x v="0"/>
    <x v="3"/>
    <x v="4"/>
    <n v="13.6"/>
  </r>
  <r>
    <x v="1"/>
    <x v="0"/>
    <x v="1"/>
    <x v="0"/>
    <x v="0"/>
    <x v="3"/>
    <x v="0"/>
    <x v="0"/>
    <x v="0"/>
    <x v="0"/>
    <x v="0"/>
    <x v="0"/>
    <s v="20"/>
    <x v="7"/>
    <x v="0"/>
    <x v="3"/>
    <x v="7"/>
    <n v="-30.05"/>
  </r>
  <r>
    <x v="1"/>
    <x v="0"/>
    <x v="1"/>
    <x v="0"/>
    <x v="0"/>
    <x v="3"/>
    <x v="0"/>
    <x v="0"/>
    <x v="0"/>
    <x v="0"/>
    <x v="0"/>
    <x v="0"/>
    <s v="21"/>
    <x v="17"/>
    <x v="0"/>
    <x v="2"/>
    <x v="10"/>
    <n v="177.43"/>
  </r>
  <r>
    <x v="1"/>
    <x v="0"/>
    <x v="1"/>
    <x v="0"/>
    <x v="0"/>
    <x v="3"/>
    <x v="0"/>
    <x v="0"/>
    <x v="0"/>
    <x v="0"/>
    <x v="0"/>
    <x v="0"/>
    <s v="21"/>
    <x v="17"/>
    <x v="0"/>
    <x v="2"/>
    <x v="7"/>
    <n v="-177.43"/>
  </r>
  <r>
    <x v="1"/>
    <x v="0"/>
    <x v="1"/>
    <x v="0"/>
    <x v="0"/>
    <x v="3"/>
    <x v="0"/>
    <x v="0"/>
    <x v="0"/>
    <x v="0"/>
    <x v="0"/>
    <x v="0"/>
    <s v="21"/>
    <x v="17"/>
    <x v="0"/>
    <x v="3"/>
    <x v="5"/>
    <n v="12"/>
  </r>
  <r>
    <x v="1"/>
    <x v="0"/>
    <x v="1"/>
    <x v="0"/>
    <x v="0"/>
    <x v="3"/>
    <x v="0"/>
    <x v="0"/>
    <x v="0"/>
    <x v="0"/>
    <x v="0"/>
    <x v="0"/>
    <s v="21"/>
    <x v="17"/>
    <x v="0"/>
    <x v="3"/>
    <x v="6"/>
    <n v="-12"/>
  </r>
  <r>
    <x v="1"/>
    <x v="0"/>
    <x v="1"/>
    <x v="0"/>
    <x v="0"/>
    <x v="3"/>
    <x v="0"/>
    <x v="0"/>
    <x v="0"/>
    <x v="0"/>
    <x v="0"/>
    <x v="0"/>
    <s v="24"/>
    <x v="1"/>
    <x v="0"/>
    <x v="2"/>
    <x v="0"/>
    <n v="14191005.800000001"/>
  </r>
  <r>
    <x v="1"/>
    <x v="0"/>
    <x v="1"/>
    <x v="0"/>
    <x v="0"/>
    <x v="3"/>
    <x v="0"/>
    <x v="0"/>
    <x v="0"/>
    <x v="0"/>
    <x v="0"/>
    <x v="0"/>
    <s v="24"/>
    <x v="1"/>
    <x v="0"/>
    <x v="2"/>
    <x v="2"/>
    <n v="23598098.920000002"/>
  </r>
  <r>
    <x v="1"/>
    <x v="0"/>
    <x v="1"/>
    <x v="0"/>
    <x v="0"/>
    <x v="3"/>
    <x v="0"/>
    <x v="0"/>
    <x v="0"/>
    <x v="0"/>
    <x v="0"/>
    <x v="0"/>
    <s v="24"/>
    <x v="1"/>
    <x v="0"/>
    <x v="2"/>
    <x v="8"/>
    <n v="20051847.84"/>
  </r>
  <r>
    <x v="1"/>
    <x v="0"/>
    <x v="1"/>
    <x v="0"/>
    <x v="0"/>
    <x v="3"/>
    <x v="0"/>
    <x v="0"/>
    <x v="0"/>
    <x v="0"/>
    <x v="0"/>
    <x v="0"/>
    <s v="24"/>
    <x v="1"/>
    <x v="0"/>
    <x v="2"/>
    <x v="9"/>
    <n v="2475746.34"/>
  </r>
  <r>
    <x v="1"/>
    <x v="0"/>
    <x v="1"/>
    <x v="0"/>
    <x v="0"/>
    <x v="3"/>
    <x v="0"/>
    <x v="0"/>
    <x v="0"/>
    <x v="0"/>
    <x v="0"/>
    <x v="0"/>
    <s v="24"/>
    <x v="1"/>
    <x v="0"/>
    <x v="2"/>
    <x v="10"/>
    <n v="11000703.33"/>
  </r>
  <r>
    <x v="1"/>
    <x v="0"/>
    <x v="1"/>
    <x v="0"/>
    <x v="0"/>
    <x v="3"/>
    <x v="0"/>
    <x v="0"/>
    <x v="0"/>
    <x v="0"/>
    <x v="0"/>
    <x v="0"/>
    <s v="24"/>
    <x v="1"/>
    <x v="0"/>
    <x v="2"/>
    <x v="11"/>
    <n v="25715375.190000001"/>
  </r>
  <r>
    <x v="1"/>
    <x v="0"/>
    <x v="1"/>
    <x v="0"/>
    <x v="0"/>
    <x v="3"/>
    <x v="0"/>
    <x v="0"/>
    <x v="0"/>
    <x v="0"/>
    <x v="0"/>
    <x v="0"/>
    <s v="24"/>
    <x v="1"/>
    <x v="0"/>
    <x v="2"/>
    <x v="3"/>
    <n v="7265130.2400000002"/>
  </r>
  <r>
    <x v="1"/>
    <x v="0"/>
    <x v="1"/>
    <x v="0"/>
    <x v="0"/>
    <x v="3"/>
    <x v="0"/>
    <x v="0"/>
    <x v="0"/>
    <x v="0"/>
    <x v="0"/>
    <x v="0"/>
    <s v="24"/>
    <x v="1"/>
    <x v="0"/>
    <x v="2"/>
    <x v="4"/>
    <n v="5647784.8600000003"/>
  </r>
  <r>
    <x v="1"/>
    <x v="0"/>
    <x v="1"/>
    <x v="0"/>
    <x v="0"/>
    <x v="3"/>
    <x v="0"/>
    <x v="0"/>
    <x v="0"/>
    <x v="0"/>
    <x v="0"/>
    <x v="0"/>
    <s v="24"/>
    <x v="1"/>
    <x v="0"/>
    <x v="2"/>
    <x v="7"/>
    <n v="30656379.23"/>
  </r>
  <r>
    <x v="1"/>
    <x v="0"/>
    <x v="1"/>
    <x v="0"/>
    <x v="0"/>
    <x v="3"/>
    <x v="0"/>
    <x v="0"/>
    <x v="0"/>
    <x v="0"/>
    <x v="0"/>
    <x v="0"/>
    <s v="24"/>
    <x v="1"/>
    <x v="0"/>
    <x v="2"/>
    <x v="5"/>
    <n v="5584391.7999999998"/>
  </r>
  <r>
    <x v="1"/>
    <x v="0"/>
    <x v="1"/>
    <x v="0"/>
    <x v="0"/>
    <x v="3"/>
    <x v="0"/>
    <x v="0"/>
    <x v="0"/>
    <x v="0"/>
    <x v="0"/>
    <x v="0"/>
    <s v="24"/>
    <x v="1"/>
    <x v="0"/>
    <x v="2"/>
    <x v="6"/>
    <n v="2023712.91"/>
  </r>
  <r>
    <x v="1"/>
    <x v="0"/>
    <x v="1"/>
    <x v="0"/>
    <x v="0"/>
    <x v="3"/>
    <x v="0"/>
    <x v="0"/>
    <x v="0"/>
    <x v="0"/>
    <x v="0"/>
    <x v="0"/>
    <s v="24"/>
    <x v="1"/>
    <x v="0"/>
    <x v="2"/>
    <x v="1"/>
    <n v="-123792.57"/>
  </r>
  <r>
    <x v="1"/>
    <x v="0"/>
    <x v="1"/>
    <x v="0"/>
    <x v="0"/>
    <x v="3"/>
    <x v="0"/>
    <x v="0"/>
    <x v="0"/>
    <x v="0"/>
    <x v="0"/>
    <x v="0"/>
    <s v="24"/>
    <x v="1"/>
    <x v="0"/>
    <x v="3"/>
    <x v="0"/>
    <n v="13683899.140000001"/>
  </r>
  <r>
    <x v="1"/>
    <x v="0"/>
    <x v="1"/>
    <x v="0"/>
    <x v="0"/>
    <x v="3"/>
    <x v="0"/>
    <x v="0"/>
    <x v="0"/>
    <x v="0"/>
    <x v="0"/>
    <x v="0"/>
    <s v="24"/>
    <x v="1"/>
    <x v="0"/>
    <x v="3"/>
    <x v="2"/>
    <n v="24080743.949999999"/>
  </r>
  <r>
    <x v="1"/>
    <x v="0"/>
    <x v="1"/>
    <x v="0"/>
    <x v="0"/>
    <x v="3"/>
    <x v="0"/>
    <x v="0"/>
    <x v="0"/>
    <x v="0"/>
    <x v="0"/>
    <x v="0"/>
    <s v="24"/>
    <x v="1"/>
    <x v="0"/>
    <x v="3"/>
    <x v="8"/>
    <n v="26645948.379999999"/>
  </r>
  <r>
    <x v="1"/>
    <x v="0"/>
    <x v="1"/>
    <x v="0"/>
    <x v="0"/>
    <x v="3"/>
    <x v="0"/>
    <x v="0"/>
    <x v="0"/>
    <x v="0"/>
    <x v="0"/>
    <x v="0"/>
    <s v="24"/>
    <x v="1"/>
    <x v="0"/>
    <x v="3"/>
    <x v="9"/>
    <n v="4749336.21"/>
  </r>
  <r>
    <x v="1"/>
    <x v="0"/>
    <x v="1"/>
    <x v="0"/>
    <x v="0"/>
    <x v="3"/>
    <x v="0"/>
    <x v="0"/>
    <x v="0"/>
    <x v="0"/>
    <x v="0"/>
    <x v="0"/>
    <s v="24"/>
    <x v="1"/>
    <x v="0"/>
    <x v="3"/>
    <x v="10"/>
    <n v="12371223.109999999"/>
  </r>
  <r>
    <x v="1"/>
    <x v="0"/>
    <x v="1"/>
    <x v="0"/>
    <x v="0"/>
    <x v="3"/>
    <x v="0"/>
    <x v="0"/>
    <x v="0"/>
    <x v="0"/>
    <x v="0"/>
    <x v="0"/>
    <s v="24"/>
    <x v="1"/>
    <x v="0"/>
    <x v="3"/>
    <x v="11"/>
    <n v="29305761.84"/>
  </r>
  <r>
    <x v="1"/>
    <x v="0"/>
    <x v="1"/>
    <x v="0"/>
    <x v="0"/>
    <x v="3"/>
    <x v="0"/>
    <x v="0"/>
    <x v="0"/>
    <x v="0"/>
    <x v="0"/>
    <x v="0"/>
    <s v="24"/>
    <x v="1"/>
    <x v="0"/>
    <x v="3"/>
    <x v="3"/>
    <n v="7925760.0099999998"/>
  </r>
  <r>
    <x v="1"/>
    <x v="0"/>
    <x v="1"/>
    <x v="0"/>
    <x v="0"/>
    <x v="3"/>
    <x v="0"/>
    <x v="0"/>
    <x v="0"/>
    <x v="0"/>
    <x v="0"/>
    <x v="0"/>
    <s v="24"/>
    <x v="1"/>
    <x v="0"/>
    <x v="3"/>
    <x v="4"/>
    <n v="7953596.96"/>
  </r>
  <r>
    <x v="1"/>
    <x v="0"/>
    <x v="1"/>
    <x v="0"/>
    <x v="0"/>
    <x v="3"/>
    <x v="0"/>
    <x v="0"/>
    <x v="0"/>
    <x v="0"/>
    <x v="0"/>
    <x v="0"/>
    <s v="24"/>
    <x v="1"/>
    <x v="0"/>
    <x v="3"/>
    <x v="7"/>
    <n v="32908842.640000001"/>
  </r>
  <r>
    <x v="1"/>
    <x v="0"/>
    <x v="1"/>
    <x v="0"/>
    <x v="0"/>
    <x v="3"/>
    <x v="0"/>
    <x v="0"/>
    <x v="0"/>
    <x v="0"/>
    <x v="0"/>
    <x v="0"/>
    <s v="24"/>
    <x v="1"/>
    <x v="0"/>
    <x v="3"/>
    <x v="5"/>
    <n v="5681878.0899999999"/>
  </r>
  <r>
    <x v="1"/>
    <x v="0"/>
    <x v="1"/>
    <x v="0"/>
    <x v="0"/>
    <x v="3"/>
    <x v="0"/>
    <x v="0"/>
    <x v="0"/>
    <x v="0"/>
    <x v="0"/>
    <x v="0"/>
    <s v="24"/>
    <x v="1"/>
    <x v="0"/>
    <x v="3"/>
    <x v="6"/>
    <n v="3063950.95"/>
  </r>
  <r>
    <x v="1"/>
    <x v="0"/>
    <x v="1"/>
    <x v="0"/>
    <x v="0"/>
    <x v="3"/>
    <x v="0"/>
    <x v="0"/>
    <x v="0"/>
    <x v="0"/>
    <x v="0"/>
    <x v="0"/>
    <s v="24"/>
    <x v="1"/>
    <x v="0"/>
    <x v="3"/>
    <x v="1"/>
    <n v="-5804227.5"/>
  </r>
  <r>
    <x v="1"/>
    <x v="0"/>
    <x v="1"/>
    <x v="0"/>
    <x v="0"/>
    <x v="3"/>
    <x v="0"/>
    <x v="0"/>
    <x v="0"/>
    <x v="0"/>
    <x v="0"/>
    <x v="0"/>
    <s v="30"/>
    <x v="3"/>
    <x v="0"/>
    <x v="2"/>
    <x v="0"/>
    <n v="-190.4"/>
  </r>
  <r>
    <x v="1"/>
    <x v="0"/>
    <x v="1"/>
    <x v="0"/>
    <x v="0"/>
    <x v="3"/>
    <x v="0"/>
    <x v="0"/>
    <x v="0"/>
    <x v="0"/>
    <x v="0"/>
    <x v="0"/>
    <s v="30"/>
    <x v="3"/>
    <x v="0"/>
    <x v="2"/>
    <x v="2"/>
    <n v="21065.72"/>
  </r>
  <r>
    <x v="1"/>
    <x v="0"/>
    <x v="1"/>
    <x v="0"/>
    <x v="0"/>
    <x v="3"/>
    <x v="0"/>
    <x v="0"/>
    <x v="0"/>
    <x v="0"/>
    <x v="0"/>
    <x v="0"/>
    <s v="30"/>
    <x v="3"/>
    <x v="0"/>
    <x v="2"/>
    <x v="8"/>
    <n v="129.68"/>
  </r>
  <r>
    <x v="1"/>
    <x v="0"/>
    <x v="1"/>
    <x v="0"/>
    <x v="0"/>
    <x v="3"/>
    <x v="0"/>
    <x v="0"/>
    <x v="0"/>
    <x v="0"/>
    <x v="0"/>
    <x v="0"/>
    <s v="30"/>
    <x v="3"/>
    <x v="0"/>
    <x v="2"/>
    <x v="9"/>
    <n v="-6029.25"/>
  </r>
  <r>
    <x v="1"/>
    <x v="0"/>
    <x v="1"/>
    <x v="0"/>
    <x v="0"/>
    <x v="3"/>
    <x v="0"/>
    <x v="0"/>
    <x v="0"/>
    <x v="0"/>
    <x v="0"/>
    <x v="0"/>
    <s v="30"/>
    <x v="3"/>
    <x v="0"/>
    <x v="2"/>
    <x v="10"/>
    <n v="5679.28"/>
  </r>
  <r>
    <x v="1"/>
    <x v="0"/>
    <x v="1"/>
    <x v="0"/>
    <x v="0"/>
    <x v="3"/>
    <x v="0"/>
    <x v="0"/>
    <x v="0"/>
    <x v="0"/>
    <x v="0"/>
    <x v="0"/>
    <s v="30"/>
    <x v="3"/>
    <x v="0"/>
    <x v="2"/>
    <x v="11"/>
    <n v="-20915"/>
  </r>
  <r>
    <x v="1"/>
    <x v="0"/>
    <x v="1"/>
    <x v="0"/>
    <x v="0"/>
    <x v="3"/>
    <x v="0"/>
    <x v="0"/>
    <x v="0"/>
    <x v="0"/>
    <x v="0"/>
    <x v="0"/>
    <s v="30"/>
    <x v="3"/>
    <x v="0"/>
    <x v="2"/>
    <x v="3"/>
    <n v="21253.279999999999"/>
  </r>
  <r>
    <x v="1"/>
    <x v="0"/>
    <x v="1"/>
    <x v="0"/>
    <x v="0"/>
    <x v="3"/>
    <x v="0"/>
    <x v="0"/>
    <x v="0"/>
    <x v="0"/>
    <x v="0"/>
    <x v="0"/>
    <s v="30"/>
    <x v="3"/>
    <x v="0"/>
    <x v="2"/>
    <x v="4"/>
    <n v="-21253.279999999999"/>
  </r>
  <r>
    <x v="1"/>
    <x v="0"/>
    <x v="1"/>
    <x v="0"/>
    <x v="0"/>
    <x v="3"/>
    <x v="0"/>
    <x v="0"/>
    <x v="0"/>
    <x v="0"/>
    <x v="0"/>
    <x v="0"/>
    <s v="30"/>
    <x v="3"/>
    <x v="0"/>
    <x v="2"/>
    <x v="7"/>
    <n v="242.97"/>
  </r>
  <r>
    <x v="1"/>
    <x v="0"/>
    <x v="1"/>
    <x v="0"/>
    <x v="0"/>
    <x v="3"/>
    <x v="0"/>
    <x v="0"/>
    <x v="0"/>
    <x v="0"/>
    <x v="0"/>
    <x v="0"/>
    <s v="30"/>
    <x v="3"/>
    <x v="0"/>
    <x v="2"/>
    <x v="5"/>
    <n v="17"/>
  </r>
  <r>
    <x v="1"/>
    <x v="0"/>
    <x v="1"/>
    <x v="0"/>
    <x v="0"/>
    <x v="3"/>
    <x v="0"/>
    <x v="0"/>
    <x v="0"/>
    <x v="0"/>
    <x v="0"/>
    <x v="0"/>
    <s v="30"/>
    <x v="3"/>
    <x v="0"/>
    <x v="3"/>
    <x v="0"/>
    <n v="3158.87"/>
  </r>
  <r>
    <x v="1"/>
    <x v="0"/>
    <x v="1"/>
    <x v="0"/>
    <x v="0"/>
    <x v="3"/>
    <x v="0"/>
    <x v="0"/>
    <x v="0"/>
    <x v="0"/>
    <x v="0"/>
    <x v="0"/>
    <s v="30"/>
    <x v="3"/>
    <x v="0"/>
    <x v="3"/>
    <x v="2"/>
    <n v="90.2"/>
  </r>
  <r>
    <x v="1"/>
    <x v="0"/>
    <x v="1"/>
    <x v="0"/>
    <x v="0"/>
    <x v="3"/>
    <x v="0"/>
    <x v="0"/>
    <x v="0"/>
    <x v="0"/>
    <x v="0"/>
    <x v="0"/>
    <s v="30"/>
    <x v="3"/>
    <x v="0"/>
    <x v="3"/>
    <x v="8"/>
    <n v="5442.16"/>
  </r>
  <r>
    <x v="1"/>
    <x v="0"/>
    <x v="1"/>
    <x v="0"/>
    <x v="0"/>
    <x v="3"/>
    <x v="0"/>
    <x v="0"/>
    <x v="0"/>
    <x v="0"/>
    <x v="0"/>
    <x v="0"/>
    <s v="30"/>
    <x v="3"/>
    <x v="0"/>
    <x v="3"/>
    <x v="9"/>
    <n v="6297.94"/>
  </r>
  <r>
    <x v="1"/>
    <x v="0"/>
    <x v="1"/>
    <x v="0"/>
    <x v="0"/>
    <x v="3"/>
    <x v="0"/>
    <x v="0"/>
    <x v="0"/>
    <x v="0"/>
    <x v="0"/>
    <x v="0"/>
    <s v="30"/>
    <x v="3"/>
    <x v="0"/>
    <x v="3"/>
    <x v="10"/>
    <n v="-6225"/>
  </r>
  <r>
    <x v="1"/>
    <x v="0"/>
    <x v="1"/>
    <x v="0"/>
    <x v="0"/>
    <x v="3"/>
    <x v="0"/>
    <x v="0"/>
    <x v="0"/>
    <x v="0"/>
    <x v="0"/>
    <x v="0"/>
    <s v="30"/>
    <x v="3"/>
    <x v="0"/>
    <x v="3"/>
    <x v="11"/>
    <n v="189"/>
  </r>
  <r>
    <x v="1"/>
    <x v="0"/>
    <x v="1"/>
    <x v="0"/>
    <x v="0"/>
    <x v="3"/>
    <x v="0"/>
    <x v="0"/>
    <x v="0"/>
    <x v="0"/>
    <x v="0"/>
    <x v="0"/>
    <s v="30"/>
    <x v="3"/>
    <x v="0"/>
    <x v="3"/>
    <x v="3"/>
    <n v="-199.5"/>
  </r>
  <r>
    <x v="1"/>
    <x v="0"/>
    <x v="1"/>
    <x v="0"/>
    <x v="0"/>
    <x v="3"/>
    <x v="0"/>
    <x v="0"/>
    <x v="0"/>
    <x v="0"/>
    <x v="0"/>
    <x v="0"/>
    <s v="30"/>
    <x v="3"/>
    <x v="0"/>
    <x v="3"/>
    <x v="7"/>
    <n v="-8688.67"/>
  </r>
  <r>
    <x v="1"/>
    <x v="0"/>
    <x v="1"/>
    <x v="0"/>
    <x v="0"/>
    <x v="3"/>
    <x v="0"/>
    <x v="0"/>
    <x v="0"/>
    <x v="0"/>
    <x v="0"/>
    <x v="0"/>
    <s v="30"/>
    <x v="3"/>
    <x v="0"/>
    <x v="3"/>
    <x v="5"/>
    <n v="-65"/>
  </r>
  <r>
    <x v="1"/>
    <x v="0"/>
    <x v="1"/>
    <x v="0"/>
    <x v="0"/>
    <x v="3"/>
    <x v="0"/>
    <x v="0"/>
    <x v="0"/>
    <x v="0"/>
    <x v="0"/>
    <x v="0"/>
    <s v="30"/>
    <x v="3"/>
    <x v="0"/>
    <x v="3"/>
    <x v="1"/>
    <n v="152"/>
  </r>
  <r>
    <x v="1"/>
    <x v="0"/>
    <x v="1"/>
    <x v="0"/>
    <x v="0"/>
    <x v="3"/>
    <x v="0"/>
    <x v="0"/>
    <x v="0"/>
    <x v="0"/>
    <x v="0"/>
    <x v="0"/>
    <s v="31"/>
    <x v="8"/>
    <x v="0"/>
    <x v="2"/>
    <x v="2"/>
    <n v="50"/>
  </r>
  <r>
    <x v="1"/>
    <x v="0"/>
    <x v="1"/>
    <x v="0"/>
    <x v="0"/>
    <x v="3"/>
    <x v="0"/>
    <x v="0"/>
    <x v="0"/>
    <x v="0"/>
    <x v="0"/>
    <x v="0"/>
    <s v="31"/>
    <x v="8"/>
    <x v="0"/>
    <x v="2"/>
    <x v="8"/>
    <n v="-110.01"/>
  </r>
  <r>
    <x v="1"/>
    <x v="0"/>
    <x v="1"/>
    <x v="0"/>
    <x v="0"/>
    <x v="3"/>
    <x v="0"/>
    <x v="0"/>
    <x v="0"/>
    <x v="0"/>
    <x v="0"/>
    <x v="0"/>
    <s v="31"/>
    <x v="8"/>
    <x v="0"/>
    <x v="2"/>
    <x v="9"/>
    <n v="-50"/>
  </r>
  <r>
    <x v="1"/>
    <x v="0"/>
    <x v="1"/>
    <x v="0"/>
    <x v="0"/>
    <x v="3"/>
    <x v="0"/>
    <x v="0"/>
    <x v="0"/>
    <x v="0"/>
    <x v="0"/>
    <x v="0"/>
    <s v="31"/>
    <x v="8"/>
    <x v="0"/>
    <x v="2"/>
    <x v="10"/>
    <n v="110.01"/>
  </r>
  <r>
    <x v="1"/>
    <x v="0"/>
    <x v="1"/>
    <x v="0"/>
    <x v="0"/>
    <x v="3"/>
    <x v="0"/>
    <x v="0"/>
    <x v="0"/>
    <x v="0"/>
    <x v="0"/>
    <x v="0"/>
    <s v="31"/>
    <x v="8"/>
    <x v="0"/>
    <x v="2"/>
    <x v="11"/>
    <n v="2460.9"/>
  </r>
  <r>
    <x v="1"/>
    <x v="0"/>
    <x v="1"/>
    <x v="0"/>
    <x v="0"/>
    <x v="3"/>
    <x v="0"/>
    <x v="0"/>
    <x v="0"/>
    <x v="0"/>
    <x v="0"/>
    <x v="0"/>
    <s v="31"/>
    <x v="8"/>
    <x v="0"/>
    <x v="2"/>
    <x v="3"/>
    <n v="75"/>
  </r>
  <r>
    <x v="1"/>
    <x v="0"/>
    <x v="1"/>
    <x v="0"/>
    <x v="0"/>
    <x v="3"/>
    <x v="0"/>
    <x v="0"/>
    <x v="0"/>
    <x v="0"/>
    <x v="0"/>
    <x v="0"/>
    <s v="31"/>
    <x v="8"/>
    <x v="0"/>
    <x v="2"/>
    <x v="7"/>
    <n v="-2446.9"/>
  </r>
  <r>
    <x v="1"/>
    <x v="0"/>
    <x v="1"/>
    <x v="0"/>
    <x v="0"/>
    <x v="3"/>
    <x v="0"/>
    <x v="0"/>
    <x v="0"/>
    <x v="0"/>
    <x v="0"/>
    <x v="0"/>
    <s v="31"/>
    <x v="8"/>
    <x v="0"/>
    <x v="2"/>
    <x v="5"/>
    <n v="-89"/>
  </r>
  <r>
    <x v="1"/>
    <x v="0"/>
    <x v="1"/>
    <x v="0"/>
    <x v="0"/>
    <x v="3"/>
    <x v="0"/>
    <x v="0"/>
    <x v="0"/>
    <x v="0"/>
    <x v="0"/>
    <x v="0"/>
    <s v="31"/>
    <x v="8"/>
    <x v="0"/>
    <x v="3"/>
    <x v="10"/>
    <n v="11993.4"/>
  </r>
  <r>
    <x v="1"/>
    <x v="0"/>
    <x v="1"/>
    <x v="0"/>
    <x v="0"/>
    <x v="3"/>
    <x v="0"/>
    <x v="0"/>
    <x v="0"/>
    <x v="0"/>
    <x v="0"/>
    <x v="0"/>
    <s v="31"/>
    <x v="8"/>
    <x v="0"/>
    <x v="3"/>
    <x v="11"/>
    <n v="-12180"/>
  </r>
  <r>
    <x v="1"/>
    <x v="0"/>
    <x v="1"/>
    <x v="0"/>
    <x v="0"/>
    <x v="3"/>
    <x v="0"/>
    <x v="0"/>
    <x v="0"/>
    <x v="0"/>
    <x v="0"/>
    <x v="0"/>
    <s v="31"/>
    <x v="8"/>
    <x v="0"/>
    <x v="3"/>
    <x v="3"/>
    <n v="-57"/>
  </r>
  <r>
    <x v="1"/>
    <x v="0"/>
    <x v="1"/>
    <x v="0"/>
    <x v="0"/>
    <x v="3"/>
    <x v="0"/>
    <x v="0"/>
    <x v="0"/>
    <x v="0"/>
    <x v="0"/>
    <x v="0"/>
    <s v="80"/>
    <x v="11"/>
    <x v="0"/>
    <x v="2"/>
    <x v="8"/>
    <n v="-7036207.1200000001"/>
  </r>
  <r>
    <x v="1"/>
    <x v="0"/>
    <x v="1"/>
    <x v="0"/>
    <x v="0"/>
    <x v="3"/>
    <x v="0"/>
    <x v="0"/>
    <x v="0"/>
    <x v="0"/>
    <x v="0"/>
    <x v="0"/>
    <s v="80"/>
    <x v="11"/>
    <x v="0"/>
    <x v="2"/>
    <x v="7"/>
    <n v="4200"/>
  </r>
  <r>
    <x v="1"/>
    <x v="0"/>
    <x v="1"/>
    <x v="0"/>
    <x v="0"/>
    <x v="3"/>
    <x v="0"/>
    <x v="0"/>
    <x v="0"/>
    <x v="0"/>
    <x v="0"/>
    <x v="0"/>
    <s v="80"/>
    <x v="11"/>
    <x v="0"/>
    <x v="2"/>
    <x v="1"/>
    <n v="-4581.38"/>
  </r>
  <r>
    <x v="1"/>
    <x v="0"/>
    <x v="1"/>
    <x v="0"/>
    <x v="0"/>
    <x v="3"/>
    <x v="0"/>
    <x v="0"/>
    <x v="0"/>
    <x v="0"/>
    <x v="0"/>
    <x v="0"/>
    <s v="80"/>
    <x v="11"/>
    <x v="0"/>
    <x v="3"/>
    <x v="0"/>
    <n v="1182"/>
  </r>
  <r>
    <x v="1"/>
    <x v="0"/>
    <x v="1"/>
    <x v="0"/>
    <x v="0"/>
    <x v="3"/>
    <x v="0"/>
    <x v="0"/>
    <x v="0"/>
    <x v="0"/>
    <x v="0"/>
    <x v="0"/>
    <s v="80"/>
    <x v="11"/>
    <x v="0"/>
    <x v="3"/>
    <x v="2"/>
    <n v="225000"/>
  </r>
  <r>
    <x v="1"/>
    <x v="0"/>
    <x v="1"/>
    <x v="0"/>
    <x v="0"/>
    <x v="3"/>
    <x v="0"/>
    <x v="0"/>
    <x v="0"/>
    <x v="0"/>
    <x v="0"/>
    <x v="0"/>
    <s v="80"/>
    <x v="11"/>
    <x v="0"/>
    <x v="3"/>
    <x v="9"/>
    <n v="-1182"/>
  </r>
  <r>
    <x v="1"/>
    <x v="0"/>
    <x v="1"/>
    <x v="0"/>
    <x v="0"/>
    <x v="3"/>
    <x v="0"/>
    <x v="0"/>
    <x v="0"/>
    <x v="0"/>
    <x v="0"/>
    <x v="0"/>
    <s v="80"/>
    <x v="11"/>
    <x v="0"/>
    <x v="3"/>
    <x v="10"/>
    <n v="665381.38"/>
  </r>
  <r>
    <x v="1"/>
    <x v="0"/>
    <x v="1"/>
    <x v="0"/>
    <x v="0"/>
    <x v="3"/>
    <x v="0"/>
    <x v="0"/>
    <x v="0"/>
    <x v="0"/>
    <x v="0"/>
    <x v="0"/>
    <s v="80"/>
    <x v="11"/>
    <x v="0"/>
    <x v="3"/>
    <x v="4"/>
    <n v="250000"/>
  </r>
  <r>
    <x v="1"/>
    <x v="0"/>
    <x v="1"/>
    <x v="0"/>
    <x v="0"/>
    <x v="3"/>
    <x v="0"/>
    <x v="0"/>
    <x v="0"/>
    <x v="0"/>
    <x v="0"/>
    <x v="0"/>
    <s v="80"/>
    <x v="11"/>
    <x v="0"/>
    <x v="3"/>
    <x v="6"/>
    <n v="74789.06"/>
  </r>
  <r>
    <x v="1"/>
    <x v="0"/>
    <x v="1"/>
    <x v="0"/>
    <x v="0"/>
    <x v="3"/>
    <x v="0"/>
    <x v="0"/>
    <x v="0"/>
    <x v="0"/>
    <x v="0"/>
    <x v="0"/>
    <s v="80"/>
    <x v="11"/>
    <x v="0"/>
    <x v="3"/>
    <x v="1"/>
    <n v="-914789.06"/>
  </r>
  <r>
    <x v="1"/>
    <x v="0"/>
    <x v="1"/>
    <x v="0"/>
    <x v="0"/>
    <x v="3"/>
    <x v="0"/>
    <x v="0"/>
    <x v="0"/>
    <x v="0"/>
    <x v="0"/>
    <x v="0"/>
    <s v="81"/>
    <x v="2"/>
    <x v="0"/>
    <x v="2"/>
    <x v="8"/>
    <n v="6925627.1200000001"/>
  </r>
  <r>
    <x v="1"/>
    <x v="0"/>
    <x v="1"/>
    <x v="0"/>
    <x v="0"/>
    <x v="3"/>
    <x v="0"/>
    <x v="0"/>
    <x v="0"/>
    <x v="0"/>
    <x v="0"/>
    <x v="0"/>
    <s v="81"/>
    <x v="2"/>
    <x v="0"/>
    <x v="2"/>
    <x v="10"/>
    <n v="-9722.9"/>
  </r>
  <r>
    <x v="1"/>
    <x v="0"/>
    <x v="1"/>
    <x v="0"/>
    <x v="0"/>
    <x v="3"/>
    <x v="0"/>
    <x v="0"/>
    <x v="0"/>
    <x v="0"/>
    <x v="0"/>
    <x v="0"/>
    <s v="81"/>
    <x v="2"/>
    <x v="0"/>
    <x v="2"/>
    <x v="11"/>
    <n v="110580"/>
  </r>
  <r>
    <x v="1"/>
    <x v="0"/>
    <x v="1"/>
    <x v="0"/>
    <x v="0"/>
    <x v="3"/>
    <x v="0"/>
    <x v="0"/>
    <x v="0"/>
    <x v="0"/>
    <x v="0"/>
    <x v="0"/>
    <s v="81"/>
    <x v="2"/>
    <x v="0"/>
    <x v="2"/>
    <x v="7"/>
    <n v="-4200"/>
  </r>
  <r>
    <x v="1"/>
    <x v="0"/>
    <x v="1"/>
    <x v="0"/>
    <x v="0"/>
    <x v="3"/>
    <x v="0"/>
    <x v="0"/>
    <x v="0"/>
    <x v="0"/>
    <x v="0"/>
    <x v="0"/>
    <s v="81"/>
    <x v="2"/>
    <x v="0"/>
    <x v="2"/>
    <x v="5"/>
    <n v="-15277.1"/>
  </r>
  <r>
    <x v="1"/>
    <x v="0"/>
    <x v="1"/>
    <x v="0"/>
    <x v="0"/>
    <x v="3"/>
    <x v="0"/>
    <x v="0"/>
    <x v="0"/>
    <x v="0"/>
    <x v="0"/>
    <x v="0"/>
    <s v="81"/>
    <x v="2"/>
    <x v="0"/>
    <x v="2"/>
    <x v="6"/>
    <n v="-25000"/>
  </r>
  <r>
    <x v="1"/>
    <x v="0"/>
    <x v="1"/>
    <x v="0"/>
    <x v="0"/>
    <x v="3"/>
    <x v="0"/>
    <x v="0"/>
    <x v="0"/>
    <x v="0"/>
    <x v="0"/>
    <x v="0"/>
    <s v="81"/>
    <x v="2"/>
    <x v="0"/>
    <x v="2"/>
    <x v="1"/>
    <n v="-149999"/>
  </r>
  <r>
    <x v="1"/>
    <x v="0"/>
    <x v="1"/>
    <x v="0"/>
    <x v="0"/>
    <x v="3"/>
    <x v="0"/>
    <x v="0"/>
    <x v="0"/>
    <x v="0"/>
    <x v="0"/>
    <x v="0"/>
    <s v="81"/>
    <x v="2"/>
    <x v="0"/>
    <x v="3"/>
    <x v="2"/>
    <n v="-228729"/>
  </r>
  <r>
    <x v="1"/>
    <x v="0"/>
    <x v="1"/>
    <x v="0"/>
    <x v="0"/>
    <x v="3"/>
    <x v="0"/>
    <x v="0"/>
    <x v="0"/>
    <x v="0"/>
    <x v="0"/>
    <x v="0"/>
    <s v="81"/>
    <x v="2"/>
    <x v="0"/>
    <x v="3"/>
    <x v="4"/>
    <n v="-246271"/>
  </r>
  <r>
    <x v="1"/>
    <x v="0"/>
    <x v="1"/>
    <x v="0"/>
    <x v="0"/>
    <x v="3"/>
    <x v="0"/>
    <x v="0"/>
    <x v="0"/>
    <x v="0"/>
    <x v="0"/>
    <x v="0"/>
    <s v="81"/>
    <x v="2"/>
    <x v="0"/>
    <x v="3"/>
    <x v="1"/>
    <n v="475000"/>
  </r>
  <r>
    <x v="1"/>
    <x v="0"/>
    <x v="1"/>
    <x v="0"/>
    <x v="0"/>
    <x v="3"/>
    <x v="0"/>
    <x v="0"/>
    <x v="0"/>
    <x v="0"/>
    <x v="0"/>
    <x v="0"/>
    <s v="90"/>
    <x v="16"/>
    <x v="0"/>
    <x v="2"/>
    <x v="0"/>
    <n v="-60.69"/>
  </r>
  <r>
    <x v="1"/>
    <x v="0"/>
    <x v="1"/>
    <x v="0"/>
    <x v="0"/>
    <x v="3"/>
    <x v="0"/>
    <x v="0"/>
    <x v="0"/>
    <x v="0"/>
    <x v="0"/>
    <x v="0"/>
    <s v="90"/>
    <x v="16"/>
    <x v="0"/>
    <x v="2"/>
    <x v="2"/>
    <n v="54.14"/>
  </r>
  <r>
    <x v="1"/>
    <x v="0"/>
    <x v="1"/>
    <x v="0"/>
    <x v="0"/>
    <x v="3"/>
    <x v="0"/>
    <x v="0"/>
    <x v="0"/>
    <x v="0"/>
    <x v="0"/>
    <x v="0"/>
    <s v="90"/>
    <x v="16"/>
    <x v="0"/>
    <x v="2"/>
    <x v="8"/>
    <n v="226.4"/>
  </r>
  <r>
    <x v="1"/>
    <x v="0"/>
    <x v="1"/>
    <x v="0"/>
    <x v="0"/>
    <x v="3"/>
    <x v="0"/>
    <x v="0"/>
    <x v="0"/>
    <x v="0"/>
    <x v="0"/>
    <x v="0"/>
    <s v="90"/>
    <x v="16"/>
    <x v="0"/>
    <x v="2"/>
    <x v="9"/>
    <n v="-293.98"/>
  </r>
  <r>
    <x v="1"/>
    <x v="0"/>
    <x v="1"/>
    <x v="0"/>
    <x v="0"/>
    <x v="3"/>
    <x v="0"/>
    <x v="0"/>
    <x v="0"/>
    <x v="0"/>
    <x v="0"/>
    <x v="0"/>
    <s v="90"/>
    <x v="16"/>
    <x v="0"/>
    <x v="2"/>
    <x v="10"/>
    <n v="74.13"/>
  </r>
  <r>
    <x v="1"/>
    <x v="0"/>
    <x v="1"/>
    <x v="0"/>
    <x v="0"/>
    <x v="3"/>
    <x v="0"/>
    <x v="0"/>
    <x v="0"/>
    <x v="0"/>
    <x v="0"/>
    <x v="0"/>
    <s v="90"/>
    <x v="16"/>
    <x v="0"/>
    <x v="2"/>
    <x v="11"/>
    <n v="0.63"/>
  </r>
  <r>
    <x v="1"/>
    <x v="0"/>
    <x v="1"/>
    <x v="0"/>
    <x v="0"/>
    <x v="3"/>
    <x v="0"/>
    <x v="0"/>
    <x v="0"/>
    <x v="0"/>
    <x v="0"/>
    <x v="0"/>
    <s v="90"/>
    <x v="16"/>
    <x v="0"/>
    <x v="2"/>
    <x v="3"/>
    <n v="-129.6"/>
  </r>
  <r>
    <x v="1"/>
    <x v="0"/>
    <x v="1"/>
    <x v="0"/>
    <x v="0"/>
    <x v="3"/>
    <x v="0"/>
    <x v="0"/>
    <x v="0"/>
    <x v="0"/>
    <x v="0"/>
    <x v="0"/>
    <s v="90"/>
    <x v="16"/>
    <x v="0"/>
    <x v="2"/>
    <x v="4"/>
    <n v="127.57"/>
  </r>
  <r>
    <x v="1"/>
    <x v="0"/>
    <x v="1"/>
    <x v="0"/>
    <x v="0"/>
    <x v="3"/>
    <x v="0"/>
    <x v="0"/>
    <x v="0"/>
    <x v="0"/>
    <x v="0"/>
    <x v="0"/>
    <s v="90"/>
    <x v="16"/>
    <x v="0"/>
    <x v="2"/>
    <x v="7"/>
    <n v="-1.6"/>
  </r>
  <r>
    <x v="1"/>
    <x v="0"/>
    <x v="1"/>
    <x v="0"/>
    <x v="0"/>
    <x v="3"/>
    <x v="0"/>
    <x v="0"/>
    <x v="0"/>
    <x v="0"/>
    <x v="0"/>
    <x v="0"/>
    <s v="90"/>
    <x v="16"/>
    <x v="0"/>
    <x v="2"/>
    <x v="5"/>
    <n v="-223.77"/>
  </r>
  <r>
    <x v="1"/>
    <x v="0"/>
    <x v="1"/>
    <x v="0"/>
    <x v="0"/>
    <x v="3"/>
    <x v="0"/>
    <x v="0"/>
    <x v="0"/>
    <x v="0"/>
    <x v="0"/>
    <x v="0"/>
    <s v="90"/>
    <x v="16"/>
    <x v="0"/>
    <x v="2"/>
    <x v="6"/>
    <n v="-25.05"/>
  </r>
  <r>
    <x v="1"/>
    <x v="0"/>
    <x v="1"/>
    <x v="0"/>
    <x v="0"/>
    <x v="3"/>
    <x v="0"/>
    <x v="0"/>
    <x v="0"/>
    <x v="0"/>
    <x v="0"/>
    <x v="0"/>
    <s v="90"/>
    <x v="16"/>
    <x v="0"/>
    <x v="2"/>
    <x v="1"/>
    <n v="251.82"/>
  </r>
  <r>
    <x v="1"/>
    <x v="0"/>
    <x v="1"/>
    <x v="0"/>
    <x v="0"/>
    <x v="3"/>
    <x v="0"/>
    <x v="0"/>
    <x v="0"/>
    <x v="0"/>
    <x v="0"/>
    <x v="0"/>
    <s v="90"/>
    <x v="16"/>
    <x v="0"/>
    <x v="3"/>
    <x v="2"/>
    <n v="-1"/>
  </r>
  <r>
    <x v="1"/>
    <x v="0"/>
    <x v="1"/>
    <x v="0"/>
    <x v="0"/>
    <x v="3"/>
    <x v="0"/>
    <x v="0"/>
    <x v="0"/>
    <x v="0"/>
    <x v="0"/>
    <x v="0"/>
    <s v="90"/>
    <x v="16"/>
    <x v="0"/>
    <x v="3"/>
    <x v="8"/>
    <n v="-0.22"/>
  </r>
  <r>
    <x v="1"/>
    <x v="0"/>
    <x v="1"/>
    <x v="0"/>
    <x v="0"/>
    <x v="3"/>
    <x v="0"/>
    <x v="0"/>
    <x v="0"/>
    <x v="0"/>
    <x v="0"/>
    <x v="0"/>
    <s v="90"/>
    <x v="16"/>
    <x v="0"/>
    <x v="3"/>
    <x v="9"/>
    <n v="-0.61"/>
  </r>
  <r>
    <x v="1"/>
    <x v="0"/>
    <x v="1"/>
    <x v="0"/>
    <x v="0"/>
    <x v="3"/>
    <x v="0"/>
    <x v="0"/>
    <x v="0"/>
    <x v="0"/>
    <x v="0"/>
    <x v="0"/>
    <s v="90"/>
    <x v="16"/>
    <x v="0"/>
    <x v="3"/>
    <x v="10"/>
    <n v="-503.06"/>
  </r>
  <r>
    <x v="1"/>
    <x v="0"/>
    <x v="1"/>
    <x v="0"/>
    <x v="0"/>
    <x v="3"/>
    <x v="0"/>
    <x v="0"/>
    <x v="0"/>
    <x v="0"/>
    <x v="0"/>
    <x v="0"/>
    <s v="90"/>
    <x v="16"/>
    <x v="0"/>
    <x v="3"/>
    <x v="11"/>
    <n v="-24.35"/>
  </r>
  <r>
    <x v="1"/>
    <x v="0"/>
    <x v="1"/>
    <x v="0"/>
    <x v="0"/>
    <x v="3"/>
    <x v="0"/>
    <x v="0"/>
    <x v="0"/>
    <x v="0"/>
    <x v="0"/>
    <x v="0"/>
    <s v="90"/>
    <x v="16"/>
    <x v="0"/>
    <x v="3"/>
    <x v="3"/>
    <n v="-9.9700000000000006"/>
  </r>
  <r>
    <x v="1"/>
    <x v="0"/>
    <x v="1"/>
    <x v="0"/>
    <x v="0"/>
    <x v="3"/>
    <x v="0"/>
    <x v="0"/>
    <x v="0"/>
    <x v="0"/>
    <x v="0"/>
    <x v="0"/>
    <s v="90"/>
    <x v="16"/>
    <x v="0"/>
    <x v="3"/>
    <x v="4"/>
    <n v="30"/>
  </r>
  <r>
    <x v="1"/>
    <x v="0"/>
    <x v="1"/>
    <x v="0"/>
    <x v="0"/>
    <x v="3"/>
    <x v="0"/>
    <x v="0"/>
    <x v="0"/>
    <x v="0"/>
    <x v="0"/>
    <x v="0"/>
    <s v="90"/>
    <x v="16"/>
    <x v="0"/>
    <x v="3"/>
    <x v="7"/>
    <n v="-18"/>
  </r>
  <r>
    <x v="1"/>
    <x v="0"/>
    <x v="1"/>
    <x v="0"/>
    <x v="0"/>
    <x v="3"/>
    <x v="0"/>
    <x v="0"/>
    <x v="0"/>
    <x v="0"/>
    <x v="0"/>
    <x v="0"/>
    <s v="90"/>
    <x v="16"/>
    <x v="0"/>
    <x v="3"/>
    <x v="5"/>
    <n v="14.35"/>
  </r>
  <r>
    <x v="1"/>
    <x v="0"/>
    <x v="1"/>
    <x v="0"/>
    <x v="0"/>
    <x v="3"/>
    <x v="0"/>
    <x v="0"/>
    <x v="0"/>
    <x v="0"/>
    <x v="0"/>
    <x v="0"/>
    <s v="90"/>
    <x v="16"/>
    <x v="0"/>
    <x v="3"/>
    <x v="6"/>
    <n v="8"/>
  </r>
  <r>
    <x v="1"/>
    <x v="0"/>
    <x v="1"/>
    <x v="0"/>
    <x v="0"/>
    <x v="3"/>
    <x v="0"/>
    <x v="0"/>
    <x v="0"/>
    <x v="0"/>
    <x v="0"/>
    <x v="0"/>
    <s v="90"/>
    <x v="16"/>
    <x v="0"/>
    <x v="3"/>
    <x v="1"/>
    <n v="0.82"/>
  </r>
  <r>
    <x v="1"/>
    <x v="0"/>
    <x v="1"/>
    <x v="0"/>
    <x v="0"/>
    <x v="3"/>
    <x v="0"/>
    <x v="0"/>
    <x v="0"/>
    <x v="0"/>
    <x v="0"/>
    <x v="0"/>
    <s v="99"/>
    <x v="9"/>
    <x v="0"/>
    <x v="2"/>
    <x v="0"/>
    <n v="2932.39"/>
  </r>
  <r>
    <x v="1"/>
    <x v="0"/>
    <x v="1"/>
    <x v="0"/>
    <x v="0"/>
    <x v="3"/>
    <x v="0"/>
    <x v="0"/>
    <x v="0"/>
    <x v="0"/>
    <x v="0"/>
    <x v="0"/>
    <s v="99"/>
    <x v="9"/>
    <x v="0"/>
    <x v="2"/>
    <x v="2"/>
    <n v="2056.0700000000002"/>
  </r>
  <r>
    <x v="1"/>
    <x v="0"/>
    <x v="1"/>
    <x v="0"/>
    <x v="0"/>
    <x v="3"/>
    <x v="0"/>
    <x v="0"/>
    <x v="0"/>
    <x v="0"/>
    <x v="0"/>
    <x v="0"/>
    <s v="99"/>
    <x v="9"/>
    <x v="0"/>
    <x v="2"/>
    <x v="8"/>
    <n v="-622.23"/>
  </r>
  <r>
    <x v="1"/>
    <x v="0"/>
    <x v="1"/>
    <x v="0"/>
    <x v="0"/>
    <x v="3"/>
    <x v="0"/>
    <x v="0"/>
    <x v="0"/>
    <x v="0"/>
    <x v="0"/>
    <x v="0"/>
    <s v="99"/>
    <x v="9"/>
    <x v="0"/>
    <x v="2"/>
    <x v="9"/>
    <n v="691.84"/>
  </r>
  <r>
    <x v="1"/>
    <x v="0"/>
    <x v="1"/>
    <x v="0"/>
    <x v="0"/>
    <x v="3"/>
    <x v="0"/>
    <x v="0"/>
    <x v="0"/>
    <x v="0"/>
    <x v="0"/>
    <x v="0"/>
    <s v="99"/>
    <x v="9"/>
    <x v="0"/>
    <x v="2"/>
    <x v="10"/>
    <n v="362.5"/>
  </r>
  <r>
    <x v="1"/>
    <x v="0"/>
    <x v="1"/>
    <x v="0"/>
    <x v="0"/>
    <x v="3"/>
    <x v="0"/>
    <x v="0"/>
    <x v="0"/>
    <x v="0"/>
    <x v="0"/>
    <x v="0"/>
    <s v="99"/>
    <x v="9"/>
    <x v="0"/>
    <x v="2"/>
    <x v="11"/>
    <n v="-27.6"/>
  </r>
  <r>
    <x v="1"/>
    <x v="0"/>
    <x v="1"/>
    <x v="0"/>
    <x v="0"/>
    <x v="3"/>
    <x v="0"/>
    <x v="0"/>
    <x v="0"/>
    <x v="0"/>
    <x v="0"/>
    <x v="0"/>
    <s v="99"/>
    <x v="9"/>
    <x v="0"/>
    <x v="2"/>
    <x v="3"/>
    <n v="7.5"/>
  </r>
  <r>
    <x v="1"/>
    <x v="0"/>
    <x v="1"/>
    <x v="0"/>
    <x v="0"/>
    <x v="3"/>
    <x v="0"/>
    <x v="0"/>
    <x v="0"/>
    <x v="0"/>
    <x v="0"/>
    <x v="0"/>
    <s v="99"/>
    <x v="9"/>
    <x v="0"/>
    <x v="2"/>
    <x v="4"/>
    <n v="-4515.5200000000004"/>
  </r>
  <r>
    <x v="1"/>
    <x v="0"/>
    <x v="1"/>
    <x v="0"/>
    <x v="0"/>
    <x v="3"/>
    <x v="0"/>
    <x v="0"/>
    <x v="0"/>
    <x v="0"/>
    <x v="0"/>
    <x v="0"/>
    <s v="99"/>
    <x v="9"/>
    <x v="0"/>
    <x v="2"/>
    <x v="7"/>
    <n v="-570.67999999999995"/>
  </r>
  <r>
    <x v="1"/>
    <x v="0"/>
    <x v="1"/>
    <x v="0"/>
    <x v="0"/>
    <x v="3"/>
    <x v="0"/>
    <x v="0"/>
    <x v="0"/>
    <x v="0"/>
    <x v="0"/>
    <x v="0"/>
    <s v="99"/>
    <x v="9"/>
    <x v="0"/>
    <x v="2"/>
    <x v="5"/>
    <n v="-23141.23"/>
  </r>
  <r>
    <x v="1"/>
    <x v="0"/>
    <x v="1"/>
    <x v="0"/>
    <x v="0"/>
    <x v="3"/>
    <x v="0"/>
    <x v="0"/>
    <x v="0"/>
    <x v="0"/>
    <x v="0"/>
    <x v="0"/>
    <s v="99"/>
    <x v="9"/>
    <x v="0"/>
    <x v="2"/>
    <x v="6"/>
    <n v="27740.05"/>
  </r>
  <r>
    <x v="1"/>
    <x v="0"/>
    <x v="1"/>
    <x v="0"/>
    <x v="0"/>
    <x v="3"/>
    <x v="0"/>
    <x v="0"/>
    <x v="0"/>
    <x v="0"/>
    <x v="0"/>
    <x v="0"/>
    <s v="99"/>
    <x v="9"/>
    <x v="0"/>
    <x v="2"/>
    <x v="1"/>
    <n v="-4913.09"/>
  </r>
  <r>
    <x v="1"/>
    <x v="0"/>
    <x v="1"/>
    <x v="0"/>
    <x v="0"/>
    <x v="3"/>
    <x v="0"/>
    <x v="0"/>
    <x v="0"/>
    <x v="0"/>
    <x v="0"/>
    <x v="0"/>
    <s v="99"/>
    <x v="9"/>
    <x v="0"/>
    <x v="3"/>
    <x v="0"/>
    <n v="2032.39"/>
  </r>
  <r>
    <x v="1"/>
    <x v="0"/>
    <x v="1"/>
    <x v="0"/>
    <x v="0"/>
    <x v="3"/>
    <x v="0"/>
    <x v="0"/>
    <x v="0"/>
    <x v="0"/>
    <x v="0"/>
    <x v="0"/>
    <s v="99"/>
    <x v="9"/>
    <x v="0"/>
    <x v="3"/>
    <x v="2"/>
    <n v="10"/>
  </r>
  <r>
    <x v="1"/>
    <x v="0"/>
    <x v="1"/>
    <x v="0"/>
    <x v="0"/>
    <x v="3"/>
    <x v="0"/>
    <x v="0"/>
    <x v="0"/>
    <x v="0"/>
    <x v="0"/>
    <x v="0"/>
    <s v="99"/>
    <x v="9"/>
    <x v="0"/>
    <x v="3"/>
    <x v="8"/>
    <n v="-30.56"/>
  </r>
  <r>
    <x v="1"/>
    <x v="0"/>
    <x v="1"/>
    <x v="0"/>
    <x v="0"/>
    <x v="3"/>
    <x v="0"/>
    <x v="0"/>
    <x v="0"/>
    <x v="0"/>
    <x v="0"/>
    <x v="0"/>
    <s v="99"/>
    <x v="9"/>
    <x v="0"/>
    <x v="3"/>
    <x v="9"/>
    <n v="7582.61"/>
  </r>
  <r>
    <x v="1"/>
    <x v="0"/>
    <x v="1"/>
    <x v="0"/>
    <x v="0"/>
    <x v="3"/>
    <x v="0"/>
    <x v="0"/>
    <x v="0"/>
    <x v="0"/>
    <x v="0"/>
    <x v="0"/>
    <s v="99"/>
    <x v="9"/>
    <x v="0"/>
    <x v="3"/>
    <x v="10"/>
    <n v="-6597.99"/>
  </r>
  <r>
    <x v="1"/>
    <x v="0"/>
    <x v="1"/>
    <x v="0"/>
    <x v="0"/>
    <x v="3"/>
    <x v="0"/>
    <x v="0"/>
    <x v="0"/>
    <x v="0"/>
    <x v="0"/>
    <x v="0"/>
    <s v="99"/>
    <x v="9"/>
    <x v="0"/>
    <x v="3"/>
    <x v="11"/>
    <n v="-187.24"/>
  </r>
  <r>
    <x v="1"/>
    <x v="0"/>
    <x v="1"/>
    <x v="0"/>
    <x v="0"/>
    <x v="3"/>
    <x v="0"/>
    <x v="0"/>
    <x v="0"/>
    <x v="0"/>
    <x v="0"/>
    <x v="0"/>
    <s v="99"/>
    <x v="9"/>
    <x v="0"/>
    <x v="3"/>
    <x v="3"/>
    <n v="-1001990.23"/>
  </r>
  <r>
    <x v="1"/>
    <x v="0"/>
    <x v="1"/>
    <x v="0"/>
    <x v="0"/>
    <x v="3"/>
    <x v="0"/>
    <x v="0"/>
    <x v="0"/>
    <x v="0"/>
    <x v="0"/>
    <x v="0"/>
    <s v="99"/>
    <x v="9"/>
    <x v="0"/>
    <x v="3"/>
    <x v="4"/>
    <n v="1014602.98"/>
  </r>
  <r>
    <x v="1"/>
    <x v="0"/>
    <x v="1"/>
    <x v="0"/>
    <x v="0"/>
    <x v="3"/>
    <x v="0"/>
    <x v="0"/>
    <x v="0"/>
    <x v="0"/>
    <x v="0"/>
    <x v="0"/>
    <s v="99"/>
    <x v="9"/>
    <x v="0"/>
    <x v="3"/>
    <x v="7"/>
    <n v="-12831.97"/>
  </r>
  <r>
    <x v="1"/>
    <x v="0"/>
    <x v="1"/>
    <x v="0"/>
    <x v="0"/>
    <x v="3"/>
    <x v="0"/>
    <x v="0"/>
    <x v="0"/>
    <x v="0"/>
    <x v="0"/>
    <x v="0"/>
    <s v="99"/>
    <x v="9"/>
    <x v="0"/>
    <x v="3"/>
    <x v="5"/>
    <n v="-338.3"/>
  </r>
  <r>
    <x v="1"/>
    <x v="0"/>
    <x v="1"/>
    <x v="0"/>
    <x v="0"/>
    <x v="3"/>
    <x v="0"/>
    <x v="0"/>
    <x v="0"/>
    <x v="0"/>
    <x v="0"/>
    <x v="0"/>
    <s v="99"/>
    <x v="9"/>
    <x v="0"/>
    <x v="3"/>
    <x v="6"/>
    <n v="-862.96"/>
  </r>
  <r>
    <x v="1"/>
    <x v="0"/>
    <x v="1"/>
    <x v="0"/>
    <x v="0"/>
    <x v="3"/>
    <x v="0"/>
    <x v="0"/>
    <x v="0"/>
    <x v="0"/>
    <x v="0"/>
    <x v="0"/>
    <s v="99"/>
    <x v="9"/>
    <x v="0"/>
    <x v="3"/>
    <x v="1"/>
    <n v="-1525.73"/>
  </r>
  <r>
    <x v="1"/>
    <x v="0"/>
    <x v="1"/>
    <x v="0"/>
    <x v="0"/>
    <x v="3"/>
    <x v="0"/>
    <x v="0"/>
    <x v="0"/>
    <x v="0"/>
    <x v="2"/>
    <x v="2"/>
    <s v="15"/>
    <x v="12"/>
    <x v="0"/>
    <x v="2"/>
    <x v="10"/>
    <n v="21253.279999999999"/>
  </r>
  <r>
    <x v="1"/>
    <x v="0"/>
    <x v="1"/>
    <x v="0"/>
    <x v="0"/>
    <x v="3"/>
    <x v="0"/>
    <x v="0"/>
    <x v="0"/>
    <x v="0"/>
    <x v="2"/>
    <x v="2"/>
    <s v="15"/>
    <x v="12"/>
    <x v="0"/>
    <x v="2"/>
    <x v="3"/>
    <n v="-21253.279999999999"/>
  </r>
  <r>
    <x v="1"/>
    <x v="0"/>
    <x v="1"/>
    <x v="0"/>
    <x v="0"/>
    <x v="3"/>
    <x v="0"/>
    <x v="0"/>
    <x v="0"/>
    <x v="0"/>
    <x v="2"/>
    <x v="2"/>
    <s v="30"/>
    <x v="14"/>
    <x v="0"/>
    <x v="2"/>
    <x v="9"/>
    <n v="-5601.75"/>
  </r>
  <r>
    <x v="1"/>
    <x v="0"/>
    <x v="1"/>
    <x v="0"/>
    <x v="0"/>
    <x v="3"/>
    <x v="0"/>
    <x v="0"/>
    <x v="0"/>
    <x v="0"/>
    <x v="2"/>
    <x v="2"/>
    <s v="30"/>
    <x v="14"/>
    <x v="0"/>
    <x v="2"/>
    <x v="11"/>
    <n v="2117"/>
  </r>
  <r>
    <x v="1"/>
    <x v="0"/>
    <x v="1"/>
    <x v="0"/>
    <x v="0"/>
    <x v="3"/>
    <x v="0"/>
    <x v="0"/>
    <x v="0"/>
    <x v="0"/>
    <x v="2"/>
    <x v="2"/>
    <s v="30"/>
    <x v="14"/>
    <x v="0"/>
    <x v="2"/>
    <x v="3"/>
    <n v="-7716.81"/>
  </r>
  <r>
    <x v="1"/>
    <x v="0"/>
    <x v="1"/>
    <x v="0"/>
    <x v="0"/>
    <x v="3"/>
    <x v="0"/>
    <x v="0"/>
    <x v="0"/>
    <x v="0"/>
    <x v="2"/>
    <x v="2"/>
    <s v="30"/>
    <x v="14"/>
    <x v="0"/>
    <x v="2"/>
    <x v="7"/>
    <n v="-4936.8100000000004"/>
  </r>
  <r>
    <x v="1"/>
    <x v="0"/>
    <x v="1"/>
    <x v="0"/>
    <x v="0"/>
    <x v="3"/>
    <x v="0"/>
    <x v="0"/>
    <x v="0"/>
    <x v="0"/>
    <x v="2"/>
    <x v="2"/>
    <s v="30"/>
    <x v="14"/>
    <x v="0"/>
    <x v="2"/>
    <x v="5"/>
    <n v="-10019.620000000001"/>
  </r>
  <r>
    <x v="1"/>
    <x v="0"/>
    <x v="1"/>
    <x v="0"/>
    <x v="0"/>
    <x v="3"/>
    <x v="0"/>
    <x v="0"/>
    <x v="0"/>
    <x v="0"/>
    <x v="2"/>
    <x v="2"/>
    <s v="30"/>
    <x v="14"/>
    <x v="0"/>
    <x v="2"/>
    <x v="1"/>
    <n v="26157.99"/>
  </r>
  <r>
    <x v="1"/>
    <x v="0"/>
    <x v="1"/>
    <x v="0"/>
    <x v="0"/>
    <x v="3"/>
    <x v="0"/>
    <x v="0"/>
    <x v="0"/>
    <x v="0"/>
    <x v="2"/>
    <x v="2"/>
    <s v="30"/>
    <x v="14"/>
    <x v="0"/>
    <x v="3"/>
    <x v="8"/>
    <n v="-3785.91"/>
  </r>
  <r>
    <x v="1"/>
    <x v="0"/>
    <x v="1"/>
    <x v="0"/>
    <x v="0"/>
    <x v="3"/>
    <x v="0"/>
    <x v="0"/>
    <x v="0"/>
    <x v="0"/>
    <x v="2"/>
    <x v="2"/>
    <s v="30"/>
    <x v="14"/>
    <x v="0"/>
    <x v="3"/>
    <x v="10"/>
    <n v="-1796.44"/>
  </r>
  <r>
    <x v="1"/>
    <x v="0"/>
    <x v="1"/>
    <x v="0"/>
    <x v="0"/>
    <x v="3"/>
    <x v="0"/>
    <x v="0"/>
    <x v="0"/>
    <x v="0"/>
    <x v="2"/>
    <x v="2"/>
    <s v="30"/>
    <x v="14"/>
    <x v="0"/>
    <x v="3"/>
    <x v="3"/>
    <n v="-6794.85"/>
  </r>
  <r>
    <x v="1"/>
    <x v="0"/>
    <x v="1"/>
    <x v="0"/>
    <x v="0"/>
    <x v="3"/>
    <x v="0"/>
    <x v="0"/>
    <x v="0"/>
    <x v="0"/>
    <x v="2"/>
    <x v="2"/>
    <s v="30"/>
    <x v="14"/>
    <x v="0"/>
    <x v="3"/>
    <x v="5"/>
    <n v="-6794.85"/>
  </r>
  <r>
    <x v="1"/>
    <x v="0"/>
    <x v="1"/>
    <x v="0"/>
    <x v="0"/>
    <x v="3"/>
    <x v="0"/>
    <x v="0"/>
    <x v="0"/>
    <x v="0"/>
    <x v="2"/>
    <x v="2"/>
    <s v="30"/>
    <x v="14"/>
    <x v="0"/>
    <x v="3"/>
    <x v="6"/>
    <n v="418"/>
  </r>
  <r>
    <x v="1"/>
    <x v="0"/>
    <x v="1"/>
    <x v="0"/>
    <x v="0"/>
    <x v="3"/>
    <x v="0"/>
    <x v="0"/>
    <x v="0"/>
    <x v="0"/>
    <x v="2"/>
    <x v="2"/>
    <s v="30"/>
    <x v="14"/>
    <x v="0"/>
    <x v="3"/>
    <x v="1"/>
    <n v="18754.05"/>
  </r>
  <r>
    <x v="1"/>
    <x v="0"/>
    <x v="1"/>
    <x v="0"/>
    <x v="0"/>
    <x v="3"/>
    <x v="0"/>
    <x v="0"/>
    <x v="0"/>
    <x v="0"/>
    <x v="2"/>
    <x v="2"/>
    <s v="91"/>
    <x v="10"/>
    <x v="0"/>
    <x v="2"/>
    <x v="0"/>
    <n v="4607.5"/>
  </r>
  <r>
    <x v="1"/>
    <x v="0"/>
    <x v="1"/>
    <x v="0"/>
    <x v="0"/>
    <x v="3"/>
    <x v="0"/>
    <x v="0"/>
    <x v="0"/>
    <x v="0"/>
    <x v="2"/>
    <x v="2"/>
    <s v="91"/>
    <x v="10"/>
    <x v="0"/>
    <x v="2"/>
    <x v="2"/>
    <n v="-3055.52"/>
  </r>
  <r>
    <x v="1"/>
    <x v="0"/>
    <x v="1"/>
    <x v="0"/>
    <x v="0"/>
    <x v="3"/>
    <x v="0"/>
    <x v="0"/>
    <x v="0"/>
    <x v="0"/>
    <x v="2"/>
    <x v="2"/>
    <s v="91"/>
    <x v="10"/>
    <x v="0"/>
    <x v="2"/>
    <x v="8"/>
    <n v="-1813.58"/>
  </r>
  <r>
    <x v="1"/>
    <x v="0"/>
    <x v="1"/>
    <x v="0"/>
    <x v="0"/>
    <x v="3"/>
    <x v="0"/>
    <x v="0"/>
    <x v="0"/>
    <x v="0"/>
    <x v="2"/>
    <x v="2"/>
    <s v="91"/>
    <x v="10"/>
    <x v="0"/>
    <x v="2"/>
    <x v="9"/>
    <n v="-82.03"/>
  </r>
  <r>
    <x v="1"/>
    <x v="0"/>
    <x v="1"/>
    <x v="0"/>
    <x v="0"/>
    <x v="3"/>
    <x v="0"/>
    <x v="0"/>
    <x v="0"/>
    <x v="0"/>
    <x v="2"/>
    <x v="2"/>
    <s v="91"/>
    <x v="10"/>
    <x v="0"/>
    <x v="2"/>
    <x v="10"/>
    <n v="2199.08"/>
  </r>
  <r>
    <x v="1"/>
    <x v="0"/>
    <x v="1"/>
    <x v="0"/>
    <x v="0"/>
    <x v="3"/>
    <x v="0"/>
    <x v="0"/>
    <x v="0"/>
    <x v="0"/>
    <x v="2"/>
    <x v="2"/>
    <s v="91"/>
    <x v="10"/>
    <x v="0"/>
    <x v="2"/>
    <x v="11"/>
    <n v="698.52"/>
  </r>
  <r>
    <x v="1"/>
    <x v="0"/>
    <x v="1"/>
    <x v="0"/>
    <x v="0"/>
    <x v="3"/>
    <x v="0"/>
    <x v="0"/>
    <x v="0"/>
    <x v="0"/>
    <x v="2"/>
    <x v="2"/>
    <s v="91"/>
    <x v="10"/>
    <x v="0"/>
    <x v="2"/>
    <x v="3"/>
    <n v="-180.76"/>
  </r>
  <r>
    <x v="1"/>
    <x v="0"/>
    <x v="1"/>
    <x v="0"/>
    <x v="0"/>
    <x v="3"/>
    <x v="0"/>
    <x v="0"/>
    <x v="0"/>
    <x v="0"/>
    <x v="2"/>
    <x v="2"/>
    <s v="91"/>
    <x v="10"/>
    <x v="0"/>
    <x v="2"/>
    <x v="4"/>
    <n v="1486.56"/>
  </r>
  <r>
    <x v="1"/>
    <x v="0"/>
    <x v="1"/>
    <x v="0"/>
    <x v="0"/>
    <x v="3"/>
    <x v="0"/>
    <x v="0"/>
    <x v="0"/>
    <x v="0"/>
    <x v="2"/>
    <x v="2"/>
    <s v="91"/>
    <x v="10"/>
    <x v="0"/>
    <x v="2"/>
    <x v="7"/>
    <n v="5791.28"/>
  </r>
  <r>
    <x v="1"/>
    <x v="0"/>
    <x v="1"/>
    <x v="0"/>
    <x v="0"/>
    <x v="3"/>
    <x v="0"/>
    <x v="0"/>
    <x v="0"/>
    <x v="0"/>
    <x v="2"/>
    <x v="2"/>
    <s v="91"/>
    <x v="10"/>
    <x v="0"/>
    <x v="2"/>
    <x v="5"/>
    <n v="-3506.52"/>
  </r>
  <r>
    <x v="1"/>
    <x v="0"/>
    <x v="1"/>
    <x v="0"/>
    <x v="0"/>
    <x v="3"/>
    <x v="0"/>
    <x v="0"/>
    <x v="0"/>
    <x v="0"/>
    <x v="2"/>
    <x v="2"/>
    <s v="91"/>
    <x v="10"/>
    <x v="0"/>
    <x v="2"/>
    <x v="6"/>
    <n v="5059"/>
  </r>
  <r>
    <x v="1"/>
    <x v="0"/>
    <x v="1"/>
    <x v="0"/>
    <x v="0"/>
    <x v="3"/>
    <x v="0"/>
    <x v="0"/>
    <x v="0"/>
    <x v="0"/>
    <x v="2"/>
    <x v="2"/>
    <s v="91"/>
    <x v="10"/>
    <x v="0"/>
    <x v="2"/>
    <x v="1"/>
    <n v="-11203.53"/>
  </r>
  <r>
    <x v="1"/>
    <x v="0"/>
    <x v="1"/>
    <x v="0"/>
    <x v="0"/>
    <x v="3"/>
    <x v="0"/>
    <x v="0"/>
    <x v="0"/>
    <x v="0"/>
    <x v="2"/>
    <x v="2"/>
    <s v="91"/>
    <x v="10"/>
    <x v="0"/>
    <x v="3"/>
    <x v="0"/>
    <n v="2125"/>
  </r>
  <r>
    <x v="1"/>
    <x v="0"/>
    <x v="1"/>
    <x v="0"/>
    <x v="0"/>
    <x v="3"/>
    <x v="0"/>
    <x v="0"/>
    <x v="0"/>
    <x v="0"/>
    <x v="2"/>
    <x v="2"/>
    <s v="91"/>
    <x v="10"/>
    <x v="0"/>
    <x v="3"/>
    <x v="2"/>
    <n v="-2166.3000000000002"/>
  </r>
  <r>
    <x v="1"/>
    <x v="0"/>
    <x v="1"/>
    <x v="0"/>
    <x v="0"/>
    <x v="3"/>
    <x v="0"/>
    <x v="0"/>
    <x v="0"/>
    <x v="0"/>
    <x v="2"/>
    <x v="2"/>
    <s v="91"/>
    <x v="10"/>
    <x v="0"/>
    <x v="3"/>
    <x v="8"/>
    <n v="44.35"/>
  </r>
  <r>
    <x v="1"/>
    <x v="0"/>
    <x v="1"/>
    <x v="0"/>
    <x v="0"/>
    <x v="3"/>
    <x v="0"/>
    <x v="0"/>
    <x v="0"/>
    <x v="0"/>
    <x v="2"/>
    <x v="2"/>
    <s v="91"/>
    <x v="10"/>
    <x v="0"/>
    <x v="3"/>
    <x v="9"/>
    <n v="-3456.75"/>
  </r>
  <r>
    <x v="1"/>
    <x v="0"/>
    <x v="1"/>
    <x v="0"/>
    <x v="0"/>
    <x v="3"/>
    <x v="0"/>
    <x v="0"/>
    <x v="0"/>
    <x v="0"/>
    <x v="2"/>
    <x v="2"/>
    <s v="91"/>
    <x v="10"/>
    <x v="0"/>
    <x v="3"/>
    <x v="10"/>
    <n v="5350"/>
  </r>
  <r>
    <x v="1"/>
    <x v="0"/>
    <x v="1"/>
    <x v="0"/>
    <x v="0"/>
    <x v="3"/>
    <x v="0"/>
    <x v="0"/>
    <x v="0"/>
    <x v="0"/>
    <x v="2"/>
    <x v="2"/>
    <s v="91"/>
    <x v="10"/>
    <x v="0"/>
    <x v="3"/>
    <x v="11"/>
    <n v="-3331.7"/>
  </r>
  <r>
    <x v="1"/>
    <x v="0"/>
    <x v="1"/>
    <x v="0"/>
    <x v="0"/>
    <x v="3"/>
    <x v="0"/>
    <x v="0"/>
    <x v="0"/>
    <x v="0"/>
    <x v="2"/>
    <x v="2"/>
    <s v="91"/>
    <x v="10"/>
    <x v="0"/>
    <x v="3"/>
    <x v="3"/>
    <n v="547.35"/>
  </r>
  <r>
    <x v="1"/>
    <x v="0"/>
    <x v="1"/>
    <x v="0"/>
    <x v="0"/>
    <x v="3"/>
    <x v="0"/>
    <x v="0"/>
    <x v="0"/>
    <x v="0"/>
    <x v="2"/>
    <x v="2"/>
    <s v="91"/>
    <x v="10"/>
    <x v="0"/>
    <x v="3"/>
    <x v="4"/>
    <n v="1996.95"/>
  </r>
  <r>
    <x v="1"/>
    <x v="0"/>
    <x v="1"/>
    <x v="0"/>
    <x v="0"/>
    <x v="3"/>
    <x v="0"/>
    <x v="0"/>
    <x v="0"/>
    <x v="0"/>
    <x v="2"/>
    <x v="2"/>
    <s v="91"/>
    <x v="10"/>
    <x v="0"/>
    <x v="3"/>
    <x v="7"/>
    <n v="-3878.3"/>
  </r>
  <r>
    <x v="1"/>
    <x v="0"/>
    <x v="1"/>
    <x v="0"/>
    <x v="0"/>
    <x v="3"/>
    <x v="0"/>
    <x v="0"/>
    <x v="0"/>
    <x v="0"/>
    <x v="2"/>
    <x v="2"/>
    <s v="91"/>
    <x v="10"/>
    <x v="0"/>
    <x v="3"/>
    <x v="5"/>
    <n v="-250.17"/>
  </r>
  <r>
    <x v="1"/>
    <x v="0"/>
    <x v="1"/>
    <x v="0"/>
    <x v="0"/>
    <x v="3"/>
    <x v="0"/>
    <x v="0"/>
    <x v="0"/>
    <x v="0"/>
    <x v="2"/>
    <x v="2"/>
    <s v="91"/>
    <x v="10"/>
    <x v="0"/>
    <x v="3"/>
    <x v="6"/>
    <n v="5205.45"/>
  </r>
  <r>
    <x v="1"/>
    <x v="0"/>
    <x v="1"/>
    <x v="0"/>
    <x v="0"/>
    <x v="3"/>
    <x v="0"/>
    <x v="0"/>
    <x v="0"/>
    <x v="0"/>
    <x v="2"/>
    <x v="2"/>
    <s v="91"/>
    <x v="10"/>
    <x v="0"/>
    <x v="3"/>
    <x v="1"/>
    <n v="-2185.88"/>
  </r>
  <r>
    <x v="2"/>
    <x v="0"/>
    <x v="0"/>
    <x v="0"/>
    <x v="0"/>
    <x v="0"/>
    <x v="0"/>
    <x v="0"/>
    <x v="0"/>
    <x v="0"/>
    <x v="0"/>
    <x v="4"/>
    <s v="09"/>
    <x v="0"/>
    <x v="0"/>
    <x v="4"/>
    <x v="0"/>
    <n v="-2275.7600000000002"/>
  </r>
  <r>
    <x v="2"/>
    <x v="0"/>
    <x v="0"/>
    <x v="0"/>
    <x v="0"/>
    <x v="0"/>
    <x v="0"/>
    <x v="0"/>
    <x v="0"/>
    <x v="0"/>
    <x v="0"/>
    <x v="4"/>
    <s v="09"/>
    <x v="0"/>
    <x v="0"/>
    <x v="4"/>
    <x v="3"/>
    <n v="-72638.960000000006"/>
  </r>
  <r>
    <x v="2"/>
    <x v="0"/>
    <x v="0"/>
    <x v="0"/>
    <x v="0"/>
    <x v="0"/>
    <x v="0"/>
    <x v="0"/>
    <x v="0"/>
    <x v="0"/>
    <x v="0"/>
    <x v="4"/>
    <s v="09"/>
    <x v="0"/>
    <x v="0"/>
    <x v="4"/>
    <x v="1"/>
    <n v="114133.59"/>
  </r>
  <r>
    <x v="2"/>
    <x v="0"/>
    <x v="0"/>
    <x v="0"/>
    <x v="0"/>
    <x v="0"/>
    <x v="0"/>
    <x v="0"/>
    <x v="0"/>
    <x v="0"/>
    <x v="0"/>
    <x v="4"/>
    <s v="09"/>
    <x v="0"/>
    <x v="0"/>
    <x v="5"/>
    <x v="0"/>
    <n v="-10647.15"/>
  </r>
  <r>
    <x v="2"/>
    <x v="0"/>
    <x v="0"/>
    <x v="0"/>
    <x v="0"/>
    <x v="0"/>
    <x v="0"/>
    <x v="0"/>
    <x v="0"/>
    <x v="0"/>
    <x v="0"/>
    <x v="4"/>
    <s v="09"/>
    <x v="0"/>
    <x v="0"/>
    <x v="5"/>
    <x v="2"/>
    <n v="-320.10000000000002"/>
  </r>
  <r>
    <x v="2"/>
    <x v="0"/>
    <x v="0"/>
    <x v="0"/>
    <x v="0"/>
    <x v="0"/>
    <x v="0"/>
    <x v="0"/>
    <x v="0"/>
    <x v="0"/>
    <x v="0"/>
    <x v="4"/>
    <s v="09"/>
    <x v="0"/>
    <x v="0"/>
    <x v="5"/>
    <x v="1"/>
    <n v="-1506.83"/>
  </r>
  <r>
    <x v="2"/>
    <x v="0"/>
    <x v="0"/>
    <x v="0"/>
    <x v="0"/>
    <x v="0"/>
    <x v="0"/>
    <x v="0"/>
    <x v="0"/>
    <x v="0"/>
    <x v="0"/>
    <x v="4"/>
    <s v="24"/>
    <x v="1"/>
    <x v="0"/>
    <x v="4"/>
    <x v="0"/>
    <n v="-764051.07"/>
  </r>
  <r>
    <x v="2"/>
    <x v="0"/>
    <x v="0"/>
    <x v="0"/>
    <x v="0"/>
    <x v="0"/>
    <x v="0"/>
    <x v="0"/>
    <x v="0"/>
    <x v="0"/>
    <x v="0"/>
    <x v="4"/>
    <s v="24"/>
    <x v="1"/>
    <x v="0"/>
    <x v="4"/>
    <x v="4"/>
    <n v="460624.98"/>
  </r>
  <r>
    <x v="2"/>
    <x v="0"/>
    <x v="0"/>
    <x v="0"/>
    <x v="0"/>
    <x v="0"/>
    <x v="0"/>
    <x v="0"/>
    <x v="0"/>
    <x v="0"/>
    <x v="0"/>
    <x v="4"/>
    <s v="24"/>
    <x v="1"/>
    <x v="0"/>
    <x v="4"/>
    <x v="1"/>
    <n v="535371.12"/>
  </r>
  <r>
    <x v="2"/>
    <x v="0"/>
    <x v="0"/>
    <x v="0"/>
    <x v="0"/>
    <x v="0"/>
    <x v="0"/>
    <x v="0"/>
    <x v="0"/>
    <x v="0"/>
    <x v="0"/>
    <x v="4"/>
    <s v="24"/>
    <x v="1"/>
    <x v="0"/>
    <x v="5"/>
    <x v="0"/>
    <n v="-644675.22"/>
  </r>
  <r>
    <x v="2"/>
    <x v="0"/>
    <x v="0"/>
    <x v="0"/>
    <x v="0"/>
    <x v="0"/>
    <x v="0"/>
    <x v="0"/>
    <x v="0"/>
    <x v="0"/>
    <x v="0"/>
    <x v="4"/>
    <s v="24"/>
    <x v="1"/>
    <x v="0"/>
    <x v="5"/>
    <x v="1"/>
    <n v="1475915.25"/>
  </r>
  <r>
    <x v="2"/>
    <x v="0"/>
    <x v="0"/>
    <x v="0"/>
    <x v="0"/>
    <x v="0"/>
    <x v="0"/>
    <x v="0"/>
    <x v="0"/>
    <x v="0"/>
    <x v="0"/>
    <x v="4"/>
    <s v="28"/>
    <x v="23"/>
    <x v="0"/>
    <x v="4"/>
    <x v="1"/>
    <n v="-47.28"/>
  </r>
  <r>
    <x v="2"/>
    <x v="0"/>
    <x v="0"/>
    <x v="0"/>
    <x v="0"/>
    <x v="0"/>
    <x v="0"/>
    <x v="0"/>
    <x v="0"/>
    <x v="0"/>
    <x v="0"/>
    <x v="4"/>
    <s v="28"/>
    <x v="23"/>
    <x v="0"/>
    <x v="5"/>
    <x v="0"/>
    <n v="47.28"/>
  </r>
  <r>
    <x v="2"/>
    <x v="0"/>
    <x v="0"/>
    <x v="0"/>
    <x v="0"/>
    <x v="0"/>
    <x v="0"/>
    <x v="0"/>
    <x v="0"/>
    <x v="0"/>
    <x v="0"/>
    <x v="4"/>
    <s v="28"/>
    <x v="23"/>
    <x v="0"/>
    <x v="5"/>
    <x v="1"/>
    <n v="33.5"/>
  </r>
  <r>
    <x v="2"/>
    <x v="0"/>
    <x v="0"/>
    <x v="0"/>
    <x v="0"/>
    <x v="0"/>
    <x v="0"/>
    <x v="0"/>
    <x v="0"/>
    <x v="0"/>
    <x v="0"/>
    <x v="4"/>
    <s v="85"/>
    <x v="21"/>
    <x v="0"/>
    <x v="4"/>
    <x v="4"/>
    <n v="-400"/>
  </r>
  <r>
    <x v="2"/>
    <x v="0"/>
    <x v="0"/>
    <x v="0"/>
    <x v="0"/>
    <x v="0"/>
    <x v="0"/>
    <x v="0"/>
    <x v="0"/>
    <x v="0"/>
    <x v="4"/>
    <x v="5"/>
    <s v="22"/>
    <x v="25"/>
    <x v="0"/>
    <x v="4"/>
    <x v="1"/>
    <n v="-485607.38"/>
  </r>
  <r>
    <x v="2"/>
    <x v="0"/>
    <x v="0"/>
    <x v="0"/>
    <x v="0"/>
    <x v="0"/>
    <x v="0"/>
    <x v="0"/>
    <x v="0"/>
    <x v="0"/>
    <x v="4"/>
    <x v="5"/>
    <s v="22"/>
    <x v="25"/>
    <x v="0"/>
    <x v="5"/>
    <x v="0"/>
    <n v="485607.38"/>
  </r>
  <r>
    <x v="2"/>
    <x v="0"/>
    <x v="0"/>
    <x v="0"/>
    <x v="0"/>
    <x v="0"/>
    <x v="0"/>
    <x v="0"/>
    <x v="0"/>
    <x v="0"/>
    <x v="4"/>
    <x v="5"/>
    <s v="22"/>
    <x v="25"/>
    <x v="0"/>
    <x v="5"/>
    <x v="1"/>
    <n v="-489509.28"/>
  </r>
  <r>
    <x v="2"/>
    <x v="0"/>
    <x v="0"/>
    <x v="0"/>
    <x v="0"/>
    <x v="6"/>
    <x v="0"/>
    <x v="0"/>
    <x v="0"/>
    <x v="0"/>
    <x v="0"/>
    <x v="4"/>
    <s v="24"/>
    <x v="1"/>
    <x v="0"/>
    <x v="5"/>
    <x v="1"/>
    <n v="-135855.37"/>
  </r>
  <r>
    <x v="2"/>
    <x v="0"/>
    <x v="0"/>
    <x v="0"/>
    <x v="0"/>
    <x v="6"/>
    <x v="0"/>
    <x v="0"/>
    <x v="0"/>
    <x v="0"/>
    <x v="0"/>
    <x v="4"/>
    <s v="31"/>
    <x v="8"/>
    <x v="0"/>
    <x v="5"/>
    <x v="1"/>
    <n v="-614.32000000000005"/>
  </r>
  <r>
    <x v="2"/>
    <x v="0"/>
    <x v="0"/>
    <x v="0"/>
    <x v="0"/>
    <x v="6"/>
    <x v="0"/>
    <x v="0"/>
    <x v="0"/>
    <x v="0"/>
    <x v="0"/>
    <x v="4"/>
    <s v="99"/>
    <x v="9"/>
    <x v="0"/>
    <x v="4"/>
    <x v="1"/>
    <n v="-11322567.720000001"/>
  </r>
  <r>
    <x v="2"/>
    <x v="0"/>
    <x v="0"/>
    <x v="0"/>
    <x v="0"/>
    <x v="6"/>
    <x v="0"/>
    <x v="0"/>
    <x v="0"/>
    <x v="0"/>
    <x v="0"/>
    <x v="4"/>
    <s v="99"/>
    <x v="9"/>
    <x v="0"/>
    <x v="5"/>
    <x v="5"/>
    <n v="11322567.720000001"/>
  </r>
  <r>
    <x v="2"/>
    <x v="0"/>
    <x v="0"/>
    <x v="0"/>
    <x v="0"/>
    <x v="6"/>
    <x v="0"/>
    <x v="0"/>
    <x v="0"/>
    <x v="0"/>
    <x v="5"/>
    <x v="6"/>
    <s v="40"/>
    <x v="26"/>
    <x v="0"/>
    <x v="5"/>
    <x v="5"/>
    <n v="-119063.93"/>
  </r>
  <r>
    <x v="2"/>
    <x v="0"/>
    <x v="0"/>
    <x v="0"/>
    <x v="0"/>
    <x v="6"/>
    <x v="1"/>
    <x v="0"/>
    <x v="0"/>
    <x v="0"/>
    <x v="0"/>
    <x v="4"/>
    <s v="31"/>
    <x v="8"/>
    <x v="0"/>
    <x v="4"/>
    <x v="11"/>
    <n v="-110"/>
  </r>
  <r>
    <x v="2"/>
    <x v="0"/>
    <x v="0"/>
    <x v="0"/>
    <x v="0"/>
    <x v="6"/>
    <x v="2"/>
    <x v="0"/>
    <x v="0"/>
    <x v="0"/>
    <x v="0"/>
    <x v="4"/>
    <s v="31"/>
    <x v="8"/>
    <x v="0"/>
    <x v="4"/>
    <x v="7"/>
    <n v="3750"/>
  </r>
  <r>
    <x v="2"/>
    <x v="0"/>
    <x v="0"/>
    <x v="0"/>
    <x v="0"/>
    <x v="6"/>
    <x v="2"/>
    <x v="0"/>
    <x v="0"/>
    <x v="0"/>
    <x v="0"/>
    <x v="4"/>
    <s v="31"/>
    <x v="8"/>
    <x v="0"/>
    <x v="4"/>
    <x v="5"/>
    <n v="-150"/>
  </r>
  <r>
    <x v="2"/>
    <x v="0"/>
    <x v="0"/>
    <x v="0"/>
    <x v="0"/>
    <x v="6"/>
    <x v="3"/>
    <x v="0"/>
    <x v="0"/>
    <x v="0"/>
    <x v="0"/>
    <x v="4"/>
    <s v="31"/>
    <x v="8"/>
    <x v="0"/>
    <x v="4"/>
    <x v="6"/>
    <n v="33.5"/>
  </r>
  <r>
    <x v="2"/>
    <x v="0"/>
    <x v="0"/>
    <x v="0"/>
    <x v="0"/>
    <x v="6"/>
    <x v="3"/>
    <x v="0"/>
    <x v="0"/>
    <x v="0"/>
    <x v="0"/>
    <x v="4"/>
    <s v="31"/>
    <x v="8"/>
    <x v="0"/>
    <x v="4"/>
    <x v="1"/>
    <n v="247.9"/>
  </r>
  <r>
    <x v="2"/>
    <x v="0"/>
    <x v="0"/>
    <x v="0"/>
    <x v="0"/>
    <x v="6"/>
    <x v="3"/>
    <x v="0"/>
    <x v="0"/>
    <x v="0"/>
    <x v="0"/>
    <x v="4"/>
    <s v="31"/>
    <x v="8"/>
    <x v="0"/>
    <x v="5"/>
    <x v="0"/>
    <n v="53.6"/>
  </r>
  <r>
    <x v="2"/>
    <x v="0"/>
    <x v="0"/>
    <x v="0"/>
    <x v="0"/>
    <x v="6"/>
    <x v="3"/>
    <x v="0"/>
    <x v="0"/>
    <x v="0"/>
    <x v="0"/>
    <x v="4"/>
    <s v="31"/>
    <x v="8"/>
    <x v="0"/>
    <x v="5"/>
    <x v="9"/>
    <n v="60.3"/>
  </r>
  <r>
    <x v="2"/>
    <x v="0"/>
    <x v="0"/>
    <x v="0"/>
    <x v="0"/>
    <x v="6"/>
    <x v="3"/>
    <x v="0"/>
    <x v="0"/>
    <x v="0"/>
    <x v="0"/>
    <x v="4"/>
    <s v="31"/>
    <x v="8"/>
    <x v="0"/>
    <x v="5"/>
    <x v="10"/>
    <n v="33.5"/>
  </r>
  <r>
    <x v="2"/>
    <x v="0"/>
    <x v="0"/>
    <x v="0"/>
    <x v="0"/>
    <x v="6"/>
    <x v="3"/>
    <x v="0"/>
    <x v="0"/>
    <x v="0"/>
    <x v="0"/>
    <x v="4"/>
    <s v="31"/>
    <x v="8"/>
    <x v="0"/>
    <x v="5"/>
    <x v="3"/>
    <n v="6.7"/>
  </r>
  <r>
    <x v="2"/>
    <x v="0"/>
    <x v="0"/>
    <x v="0"/>
    <x v="0"/>
    <x v="6"/>
    <x v="4"/>
    <x v="0"/>
    <x v="0"/>
    <x v="0"/>
    <x v="0"/>
    <x v="4"/>
    <s v="24"/>
    <x v="1"/>
    <x v="0"/>
    <x v="4"/>
    <x v="8"/>
    <n v="6677768.3899999997"/>
  </r>
  <r>
    <x v="2"/>
    <x v="0"/>
    <x v="0"/>
    <x v="0"/>
    <x v="0"/>
    <x v="6"/>
    <x v="4"/>
    <x v="0"/>
    <x v="0"/>
    <x v="0"/>
    <x v="0"/>
    <x v="4"/>
    <s v="24"/>
    <x v="1"/>
    <x v="0"/>
    <x v="4"/>
    <x v="9"/>
    <n v="355111.47"/>
  </r>
  <r>
    <x v="2"/>
    <x v="0"/>
    <x v="0"/>
    <x v="0"/>
    <x v="0"/>
    <x v="6"/>
    <x v="4"/>
    <x v="0"/>
    <x v="0"/>
    <x v="0"/>
    <x v="0"/>
    <x v="4"/>
    <s v="24"/>
    <x v="1"/>
    <x v="0"/>
    <x v="4"/>
    <x v="10"/>
    <n v="1692.72"/>
  </r>
  <r>
    <x v="2"/>
    <x v="0"/>
    <x v="0"/>
    <x v="0"/>
    <x v="0"/>
    <x v="6"/>
    <x v="4"/>
    <x v="0"/>
    <x v="0"/>
    <x v="0"/>
    <x v="0"/>
    <x v="4"/>
    <s v="24"/>
    <x v="1"/>
    <x v="0"/>
    <x v="4"/>
    <x v="11"/>
    <n v="6397784.6799999997"/>
  </r>
  <r>
    <x v="2"/>
    <x v="0"/>
    <x v="0"/>
    <x v="0"/>
    <x v="0"/>
    <x v="6"/>
    <x v="4"/>
    <x v="0"/>
    <x v="0"/>
    <x v="0"/>
    <x v="0"/>
    <x v="4"/>
    <s v="24"/>
    <x v="1"/>
    <x v="0"/>
    <x v="4"/>
    <x v="3"/>
    <n v="350510.8"/>
  </r>
  <r>
    <x v="2"/>
    <x v="0"/>
    <x v="0"/>
    <x v="0"/>
    <x v="0"/>
    <x v="6"/>
    <x v="4"/>
    <x v="0"/>
    <x v="0"/>
    <x v="0"/>
    <x v="0"/>
    <x v="4"/>
    <s v="24"/>
    <x v="1"/>
    <x v="0"/>
    <x v="4"/>
    <x v="4"/>
    <n v="17306.87"/>
  </r>
  <r>
    <x v="2"/>
    <x v="0"/>
    <x v="0"/>
    <x v="0"/>
    <x v="0"/>
    <x v="6"/>
    <x v="4"/>
    <x v="0"/>
    <x v="0"/>
    <x v="0"/>
    <x v="0"/>
    <x v="4"/>
    <s v="24"/>
    <x v="1"/>
    <x v="0"/>
    <x v="4"/>
    <x v="7"/>
    <n v="5960510.2400000002"/>
  </r>
  <r>
    <x v="2"/>
    <x v="0"/>
    <x v="0"/>
    <x v="0"/>
    <x v="0"/>
    <x v="6"/>
    <x v="4"/>
    <x v="0"/>
    <x v="0"/>
    <x v="0"/>
    <x v="0"/>
    <x v="4"/>
    <s v="24"/>
    <x v="1"/>
    <x v="0"/>
    <x v="4"/>
    <x v="5"/>
    <n v="517096.19"/>
  </r>
  <r>
    <x v="2"/>
    <x v="0"/>
    <x v="0"/>
    <x v="0"/>
    <x v="0"/>
    <x v="6"/>
    <x v="4"/>
    <x v="0"/>
    <x v="0"/>
    <x v="0"/>
    <x v="0"/>
    <x v="4"/>
    <s v="24"/>
    <x v="1"/>
    <x v="0"/>
    <x v="4"/>
    <x v="6"/>
    <n v="-736.6"/>
  </r>
  <r>
    <x v="2"/>
    <x v="0"/>
    <x v="0"/>
    <x v="0"/>
    <x v="0"/>
    <x v="6"/>
    <x v="4"/>
    <x v="0"/>
    <x v="0"/>
    <x v="0"/>
    <x v="0"/>
    <x v="4"/>
    <s v="24"/>
    <x v="1"/>
    <x v="0"/>
    <x v="4"/>
    <x v="1"/>
    <n v="8640.7999999999993"/>
  </r>
  <r>
    <x v="2"/>
    <x v="0"/>
    <x v="0"/>
    <x v="0"/>
    <x v="0"/>
    <x v="6"/>
    <x v="4"/>
    <x v="0"/>
    <x v="0"/>
    <x v="0"/>
    <x v="0"/>
    <x v="4"/>
    <s v="24"/>
    <x v="1"/>
    <x v="0"/>
    <x v="5"/>
    <x v="0"/>
    <n v="1785.1"/>
  </r>
  <r>
    <x v="2"/>
    <x v="0"/>
    <x v="0"/>
    <x v="0"/>
    <x v="0"/>
    <x v="6"/>
    <x v="4"/>
    <x v="0"/>
    <x v="0"/>
    <x v="0"/>
    <x v="0"/>
    <x v="4"/>
    <s v="24"/>
    <x v="1"/>
    <x v="0"/>
    <x v="5"/>
    <x v="2"/>
    <n v="7023678.1600000001"/>
  </r>
  <r>
    <x v="2"/>
    <x v="0"/>
    <x v="0"/>
    <x v="0"/>
    <x v="0"/>
    <x v="6"/>
    <x v="4"/>
    <x v="0"/>
    <x v="0"/>
    <x v="0"/>
    <x v="0"/>
    <x v="4"/>
    <s v="24"/>
    <x v="1"/>
    <x v="0"/>
    <x v="5"/>
    <x v="8"/>
    <n v="429060.13"/>
  </r>
  <r>
    <x v="2"/>
    <x v="0"/>
    <x v="0"/>
    <x v="0"/>
    <x v="0"/>
    <x v="6"/>
    <x v="4"/>
    <x v="0"/>
    <x v="0"/>
    <x v="0"/>
    <x v="0"/>
    <x v="4"/>
    <s v="24"/>
    <x v="1"/>
    <x v="0"/>
    <x v="5"/>
    <x v="9"/>
    <n v="140697.78"/>
  </r>
  <r>
    <x v="2"/>
    <x v="0"/>
    <x v="0"/>
    <x v="0"/>
    <x v="0"/>
    <x v="6"/>
    <x v="4"/>
    <x v="0"/>
    <x v="0"/>
    <x v="0"/>
    <x v="0"/>
    <x v="4"/>
    <s v="24"/>
    <x v="1"/>
    <x v="0"/>
    <x v="5"/>
    <x v="10"/>
    <n v="-15333.2"/>
  </r>
  <r>
    <x v="2"/>
    <x v="0"/>
    <x v="0"/>
    <x v="0"/>
    <x v="0"/>
    <x v="6"/>
    <x v="4"/>
    <x v="0"/>
    <x v="0"/>
    <x v="0"/>
    <x v="0"/>
    <x v="4"/>
    <s v="24"/>
    <x v="1"/>
    <x v="0"/>
    <x v="5"/>
    <x v="11"/>
    <n v="6479819.7999999998"/>
  </r>
  <r>
    <x v="2"/>
    <x v="0"/>
    <x v="0"/>
    <x v="0"/>
    <x v="0"/>
    <x v="6"/>
    <x v="4"/>
    <x v="0"/>
    <x v="0"/>
    <x v="0"/>
    <x v="0"/>
    <x v="4"/>
    <s v="24"/>
    <x v="1"/>
    <x v="0"/>
    <x v="5"/>
    <x v="3"/>
    <n v="797256.4"/>
  </r>
  <r>
    <x v="2"/>
    <x v="0"/>
    <x v="0"/>
    <x v="0"/>
    <x v="0"/>
    <x v="6"/>
    <x v="4"/>
    <x v="0"/>
    <x v="0"/>
    <x v="0"/>
    <x v="5"/>
    <x v="6"/>
    <s v="40"/>
    <x v="26"/>
    <x v="0"/>
    <x v="4"/>
    <x v="7"/>
    <n v="22745.81"/>
  </r>
  <r>
    <x v="2"/>
    <x v="0"/>
    <x v="0"/>
    <x v="0"/>
    <x v="0"/>
    <x v="6"/>
    <x v="4"/>
    <x v="0"/>
    <x v="0"/>
    <x v="0"/>
    <x v="5"/>
    <x v="6"/>
    <s v="40"/>
    <x v="26"/>
    <x v="0"/>
    <x v="4"/>
    <x v="5"/>
    <n v="26799.93"/>
  </r>
  <r>
    <x v="2"/>
    <x v="0"/>
    <x v="0"/>
    <x v="0"/>
    <x v="0"/>
    <x v="6"/>
    <x v="4"/>
    <x v="0"/>
    <x v="0"/>
    <x v="0"/>
    <x v="5"/>
    <x v="6"/>
    <s v="40"/>
    <x v="26"/>
    <x v="0"/>
    <x v="4"/>
    <x v="6"/>
    <n v="891"/>
  </r>
  <r>
    <x v="2"/>
    <x v="0"/>
    <x v="0"/>
    <x v="0"/>
    <x v="0"/>
    <x v="6"/>
    <x v="4"/>
    <x v="0"/>
    <x v="0"/>
    <x v="0"/>
    <x v="5"/>
    <x v="6"/>
    <s v="40"/>
    <x v="26"/>
    <x v="0"/>
    <x v="4"/>
    <x v="1"/>
    <n v="18016.400000000001"/>
  </r>
  <r>
    <x v="2"/>
    <x v="0"/>
    <x v="0"/>
    <x v="0"/>
    <x v="0"/>
    <x v="6"/>
    <x v="4"/>
    <x v="0"/>
    <x v="0"/>
    <x v="0"/>
    <x v="5"/>
    <x v="6"/>
    <s v="40"/>
    <x v="26"/>
    <x v="0"/>
    <x v="5"/>
    <x v="0"/>
    <n v="3117.08"/>
  </r>
  <r>
    <x v="2"/>
    <x v="0"/>
    <x v="0"/>
    <x v="0"/>
    <x v="0"/>
    <x v="6"/>
    <x v="4"/>
    <x v="0"/>
    <x v="0"/>
    <x v="0"/>
    <x v="5"/>
    <x v="6"/>
    <s v="40"/>
    <x v="26"/>
    <x v="0"/>
    <x v="5"/>
    <x v="2"/>
    <n v="1928.2"/>
  </r>
  <r>
    <x v="2"/>
    <x v="0"/>
    <x v="0"/>
    <x v="0"/>
    <x v="0"/>
    <x v="6"/>
    <x v="4"/>
    <x v="0"/>
    <x v="0"/>
    <x v="0"/>
    <x v="5"/>
    <x v="6"/>
    <s v="40"/>
    <x v="26"/>
    <x v="0"/>
    <x v="5"/>
    <x v="8"/>
    <n v="4734.0200000000004"/>
  </r>
  <r>
    <x v="2"/>
    <x v="0"/>
    <x v="0"/>
    <x v="0"/>
    <x v="0"/>
    <x v="6"/>
    <x v="4"/>
    <x v="0"/>
    <x v="0"/>
    <x v="0"/>
    <x v="5"/>
    <x v="6"/>
    <s v="40"/>
    <x v="26"/>
    <x v="0"/>
    <x v="5"/>
    <x v="9"/>
    <n v="16646.95"/>
  </r>
  <r>
    <x v="2"/>
    <x v="0"/>
    <x v="0"/>
    <x v="0"/>
    <x v="0"/>
    <x v="6"/>
    <x v="4"/>
    <x v="0"/>
    <x v="0"/>
    <x v="0"/>
    <x v="5"/>
    <x v="6"/>
    <s v="40"/>
    <x v="26"/>
    <x v="0"/>
    <x v="5"/>
    <x v="10"/>
    <n v="1083"/>
  </r>
  <r>
    <x v="2"/>
    <x v="0"/>
    <x v="0"/>
    <x v="0"/>
    <x v="0"/>
    <x v="6"/>
    <x v="4"/>
    <x v="0"/>
    <x v="0"/>
    <x v="0"/>
    <x v="5"/>
    <x v="6"/>
    <s v="40"/>
    <x v="26"/>
    <x v="0"/>
    <x v="5"/>
    <x v="11"/>
    <n v="641.5"/>
  </r>
  <r>
    <x v="2"/>
    <x v="0"/>
    <x v="0"/>
    <x v="0"/>
    <x v="0"/>
    <x v="6"/>
    <x v="4"/>
    <x v="0"/>
    <x v="0"/>
    <x v="0"/>
    <x v="5"/>
    <x v="6"/>
    <s v="40"/>
    <x v="26"/>
    <x v="0"/>
    <x v="5"/>
    <x v="3"/>
    <n v="22460.04"/>
  </r>
  <r>
    <x v="2"/>
    <x v="0"/>
    <x v="0"/>
    <x v="0"/>
    <x v="0"/>
    <x v="3"/>
    <x v="0"/>
    <x v="0"/>
    <x v="0"/>
    <x v="2"/>
    <x v="3"/>
    <x v="7"/>
    <s v="64"/>
    <x v="24"/>
    <x v="0"/>
    <x v="4"/>
    <x v="8"/>
    <n v="-29.21"/>
  </r>
  <r>
    <x v="2"/>
    <x v="0"/>
    <x v="0"/>
    <x v="0"/>
    <x v="0"/>
    <x v="3"/>
    <x v="0"/>
    <x v="0"/>
    <x v="0"/>
    <x v="2"/>
    <x v="3"/>
    <x v="7"/>
    <s v="64"/>
    <x v="24"/>
    <x v="0"/>
    <x v="4"/>
    <x v="3"/>
    <n v="29.21"/>
  </r>
  <r>
    <x v="2"/>
    <x v="0"/>
    <x v="0"/>
    <x v="0"/>
    <x v="0"/>
    <x v="3"/>
    <x v="0"/>
    <x v="0"/>
    <x v="0"/>
    <x v="1"/>
    <x v="1"/>
    <x v="8"/>
    <s v="41"/>
    <x v="4"/>
    <x v="0"/>
    <x v="4"/>
    <x v="0"/>
    <n v="-6330.36"/>
  </r>
  <r>
    <x v="2"/>
    <x v="0"/>
    <x v="0"/>
    <x v="0"/>
    <x v="0"/>
    <x v="3"/>
    <x v="0"/>
    <x v="0"/>
    <x v="0"/>
    <x v="1"/>
    <x v="1"/>
    <x v="8"/>
    <s v="41"/>
    <x v="4"/>
    <x v="0"/>
    <x v="4"/>
    <x v="2"/>
    <n v="-79176.179999999993"/>
  </r>
  <r>
    <x v="2"/>
    <x v="0"/>
    <x v="0"/>
    <x v="0"/>
    <x v="0"/>
    <x v="3"/>
    <x v="0"/>
    <x v="0"/>
    <x v="0"/>
    <x v="1"/>
    <x v="1"/>
    <x v="8"/>
    <s v="41"/>
    <x v="4"/>
    <x v="0"/>
    <x v="4"/>
    <x v="9"/>
    <n v="85506.54"/>
  </r>
  <r>
    <x v="2"/>
    <x v="0"/>
    <x v="0"/>
    <x v="0"/>
    <x v="0"/>
    <x v="3"/>
    <x v="0"/>
    <x v="0"/>
    <x v="0"/>
    <x v="1"/>
    <x v="1"/>
    <x v="8"/>
    <s v="41"/>
    <x v="4"/>
    <x v="0"/>
    <x v="4"/>
    <x v="3"/>
    <n v="170677.21"/>
  </r>
  <r>
    <x v="2"/>
    <x v="0"/>
    <x v="0"/>
    <x v="0"/>
    <x v="0"/>
    <x v="3"/>
    <x v="0"/>
    <x v="0"/>
    <x v="0"/>
    <x v="1"/>
    <x v="1"/>
    <x v="8"/>
    <s v="41"/>
    <x v="4"/>
    <x v="0"/>
    <x v="4"/>
    <x v="4"/>
    <n v="-170677.21"/>
  </r>
  <r>
    <x v="2"/>
    <x v="0"/>
    <x v="0"/>
    <x v="0"/>
    <x v="0"/>
    <x v="3"/>
    <x v="0"/>
    <x v="0"/>
    <x v="0"/>
    <x v="1"/>
    <x v="1"/>
    <x v="8"/>
    <s v="41"/>
    <x v="4"/>
    <x v="0"/>
    <x v="5"/>
    <x v="0"/>
    <n v="-189074.79"/>
  </r>
  <r>
    <x v="2"/>
    <x v="0"/>
    <x v="0"/>
    <x v="0"/>
    <x v="0"/>
    <x v="3"/>
    <x v="0"/>
    <x v="0"/>
    <x v="0"/>
    <x v="1"/>
    <x v="1"/>
    <x v="8"/>
    <s v="41"/>
    <x v="4"/>
    <x v="0"/>
    <x v="5"/>
    <x v="3"/>
    <n v="88526.81"/>
  </r>
  <r>
    <x v="2"/>
    <x v="0"/>
    <x v="0"/>
    <x v="0"/>
    <x v="0"/>
    <x v="3"/>
    <x v="0"/>
    <x v="0"/>
    <x v="0"/>
    <x v="1"/>
    <x v="1"/>
    <x v="8"/>
    <s v="41"/>
    <x v="4"/>
    <x v="0"/>
    <x v="5"/>
    <x v="4"/>
    <n v="-88526.81"/>
  </r>
  <r>
    <x v="2"/>
    <x v="0"/>
    <x v="0"/>
    <x v="0"/>
    <x v="0"/>
    <x v="3"/>
    <x v="0"/>
    <x v="0"/>
    <x v="0"/>
    <x v="1"/>
    <x v="1"/>
    <x v="8"/>
    <s v="41"/>
    <x v="4"/>
    <x v="0"/>
    <x v="5"/>
    <x v="6"/>
    <n v="51112.17"/>
  </r>
  <r>
    <x v="2"/>
    <x v="0"/>
    <x v="0"/>
    <x v="0"/>
    <x v="0"/>
    <x v="3"/>
    <x v="0"/>
    <x v="0"/>
    <x v="0"/>
    <x v="1"/>
    <x v="1"/>
    <x v="8"/>
    <s v="41"/>
    <x v="4"/>
    <x v="0"/>
    <x v="5"/>
    <x v="1"/>
    <n v="137962.62"/>
  </r>
  <r>
    <x v="2"/>
    <x v="0"/>
    <x v="0"/>
    <x v="0"/>
    <x v="0"/>
    <x v="3"/>
    <x v="0"/>
    <x v="0"/>
    <x v="0"/>
    <x v="0"/>
    <x v="0"/>
    <x v="4"/>
    <s v="05"/>
    <x v="6"/>
    <x v="0"/>
    <x v="4"/>
    <x v="5"/>
    <n v="-260"/>
  </r>
  <r>
    <x v="2"/>
    <x v="0"/>
    <x v="0"/>
    <x v="0"/>
    <x v="0"/>
    <x v="3"/>
    <x v="0"/>
    <x v="0"/>
    <x v="0"/>
    <x v="0"/>
    <x v="0"/>
    <x v="4"/>
    <s v="05"/>
    <x v="6"/>
    <x v="0"/>
    <x v="4"/>
    <x v="1"/>
    <n v="260"/>
  </r>
  <r>
    <x v="2"/>
    <x v="0"/>
    <x v="0"/>
    <x v="0"/>
    <x v="0"/>
    <x v="3"/>
    <x v="0"/>
    <x v="0"/>
    <x v="0"/>
    <x v="0"/>
    <x v="0"/>
    <x v="4"/>
    <s v="09"/>
    <x v="0"/>
    <x v="0"/>
    <x v="4"/>
    <x v="0"/>
    <n v="-9441.6"/>
  </r>
  <r>
    <x v="2"/>
    <x v="0"/>
    <x v="0"/>
    <x v="0"/>
    <x v="0"/>
    <x v="3"/>
    <x v="0"/>
    <x v="0"/>
    <x v="0"/>
    <x v="0"/>
    <x v="0"/>
    <x v="4"/>
    <s v="09"/>
    <x v="0"/>
    <x v="0"/>
    <x v="4"/>
    <x v="2"/>
    <n v="-326.7"/>
  </r>
  <r>
    <x v="2"/>
    <x v="0"/>
    <x v="0"/>
    <x v="0"/>
    <x v="0"/>
    <x v="3"/>
    <x v="0"/>
    <x v="0"/>
    <x v="0"/>
    <x v="0"/>
    <x v="0"/>
    <x v="4"/>
    <s v="09"/>
    <x v="0"/>
    <x v="0"/>
    <x v="4"/>
    <x v="8"/>
    <n v="2637.11"/>
  </r>
  <r>
    <x v="2"/>
    <x v="0"/>
    <x v="0"/>
    <x v="0"/>
    <x v="0"/>
    <x v="3"/>
    <x v="0"/>
    <x v="0"/>
    <x v="0"/>
    <x v="0"/>
    <x v="0"/>
    <x v="4"/>
    <s v="09"/>
    <x v="0"/>
    <x v="0"/>
    <x v="4"/>
    <x v="9"/>
    <n v="4483.29"/>
  </r>
  <r>
    <x v="2"/>
    <x v="0"/>
    <x v="0"/>
    <x v="0"/>
    <x v="0"/>
    <x v="3"/>
    <x v="0"/>
    <x v="0"/>
    <x v="0"/>
    <x v="0"/>
    <x v="0"/>
    <x v="4"/>
    <s v="09"/>
    <x v="0"/>
    <x v="0"/>
    <x v="4"/>
    <x v="10"/>
    <n v="-3727.6"/>
  </r>
  <r>
    <x v="2"/>
    <x v="0"/>
    <x v="0"/>
    <x v="0"/>
    <x v="0"/>
    <x v="3"/>
    <x v="0"/>
    <x v="0"/>
    <x v="0"/>
    <x v="0"/>
    <x v="0"/>
    <x v="4"/>
    <s v="09"/>
    <x v="0"/>
    <x v="0"/>
    <x v="4"/>
    <x v="11"/>
    <n v="-7877.34"/>
  </r>
  <r>
    <x v="2"/>
    <x v="0"/>
    <x v="0"/>
    <x v="0"/>
    <x v="0"/>
    <x v="3"/>
    <x v="0"/>
    <x v="0"/>
    <x v="0"/>
    <x v="0"/>
    <x v="0"/>
    <x v="4"/>
    <s v="09"/>
    <x v="0"/>
    <x v="0"/>
    <x v="4"/>
    <x v="3"/>
    <n v="1465.51"/>
  </r>
  <r>
    <x v="2"/>
    <x v="0"/>
    <x v="0"/>
    <x v="0"/>
    <x v="0"/>
    <x v="3"/>
    <x v="0"/>
    <x v="0"/>
    <x v="0"/>
    <x v="0"/>
    <x v="0"/>
    <x v="4"/>
    <s v="09"/>
    <x v="0"/>
    <x v="0"/>
    <x v="4"/>
    <x v="4"/>
    <n v="-13529.76"/>
  </r>
  <r>
    <x v="2"/>
    <x v="0"/>
    <x v="0"/>
    <x v="0"/>
    <x v="0"/>
    <x v="3"/>
    <x v="0"/>
    <x v="0"/>
    <x v="0"/>
    <x v="0"/>
    <x v="0"/>
    <x v="4"/>
    <s v="09"/>
    <x v="0"/>
    <x v="0"/>
    <x v="4"/>
    <x v="7"/>
    <n v="-826.88"/>
  </r>
  <r>
    <x v="2"/>
    <x v="0"/>
    <x v="0"/>
    <x v="0"/>
    <x v="0"/>
    <x v="3"/>
    <x v="0"/>
    <x v="0"/>
    <x v="0"/>
    <x v="0"/>
    <x v="0"/>
    <x v="4"/>
    <s v="09"/>
    <x v="0"/>
    <x v="0"/>
    <x v="4"/>
    <x v="5"/>
    <n v="1822.95"/>
  </r>
  <r>
    <x v="2"/>
    <x v="0"/>
    <x v="0"/>
    <x v="0"/>
    <x v="0"/>
    <x v="3"/>
    <x v="0"/>
    <x v="0"/>
    <x v="0"/>
    <x v="0"/>
    <x v="0"/>
    <x v="4"/>
    <s v="09"/>
    <x v="0"/>
    <x v="0"/>
    <x v="4"/>
    <x v="6"/>
    <n v="2385.67"/>
  </r>
  <r>
    <x v="2"/>
    <x v="0"/>
    <x v="0"/>
    <x v="0"/>
    <x v="0"/>
    <x v="3"/>
    <x v="0"/>
    <x v="0"/>
    <x v="0"/>
    <x v="0"/>
    <x v="0"/>
    <x v="4"/>
    <s v="09"/>
    <x v="0"/>
    <x v="0"/>
    <x v="4"/>
    <x v="1"/>
    <n v="19443.490000000002"/>
  </r>
  <r>
    <x v="2"/>
    <x v="0"/>
    <x v="0"/>
    <x v="0"/>
    <x v="0"/>
    <x v="3"/>
    <x v="0"/>
    <x v="0"/>
    <x v="0"/>
    <x v="0"/>
    <x v="0"/>
    <x v="4"/>
    <s v="09"/>
    <x v="0"/>
    <x v="0"/>
    <x v="5"/>
    <x v="0"/>
    <n v="-2726.92"/>
  </r>
  <r>
    <x v="2"/>
    <x v="0"/>
    <x v="0"/>
    <x v="0"/>
    <x v="0"/>
    <x v="3"/>
    <x v="0"/>
    <x v="0"/>
    <x v="0"/>
    <x v="0"/>
    <x v="0"/>
    <x v="4"/>
    <s v="09"/>
    <x v="0"/>
    <x v="0"/>
    <x v="5"/>
    <x v="2"/>
    <n v="1027.6199999999999"/>
  </r>
  <r>
    <x v="2"/>
    <x v="0"/>
    <x v="0"/>
    <x v="0"/>
    <x v="0"/>
    <x v="3"/>
    <x v="0"/>
    <x v="0"/>
    <x v="0"/>
    <x v="0"/>
    <x v="0"/>
    <x v="4"/>
    <s v="09"/>
    <x v="0"/>
    <x v="0"/>
    <x v="5"/>
    <x v="8"/>
    <n v="100.63"/>
  </r>
  <r>
    <x v="2"/>
    <x v="0"/>
    <x v="0"/>
    <x v="0"/>
    <x v="0"/>
    <x v="3"/>
    <x v="0"/>
    <x v="0"/>
    <x v="0"/>
    <x v="0"/>
    <x v="0"/>
    <x v="4"/>
    <s v="09"/>
    <x v="0"/>
    <x v="0"/>
    <x v="5"/>
    <x v="9"/>
    <n v="-510.48"/>
  </r>
  <r>
    <x v="2"/>
    <x v="0"/>
    <x v="0"/>
    <x v="0"/>
    <x v="0"/>
    <x v="3"/>
    <x v="0"/>
    <x v="0"/>
    <x v="0"/>
    <x v="0"/>
    <x v="0"/>
    <x v="4"/>
    <s v="09"/>
    <x v="0"/>
    <x v="0"/>
    <x v="5"/>
    <x v="10"/>
    <n v="3241.95"/>
  </r>
  <r>
    <x v="2"/>
    <x v="0"/>
    <x v="0"/>
    <x v="0"/>
    <x v="0"/>
    <x v="3"/>
    <x v="0"/>
    <x v="0"/>
    <x v="0"/>
    <x v="0"/>
    <x v="0"/>
    <x v="4"/>
    <s v="09"/>
    <x v="0"/>
    <x v="0"/>
    <x v="5"/>
    <x v="11"/>
    <n v="-143.99"/>
  </r>
  <r>
    <x v="2"/>
    <x v="0"/>
    <x v="0"/>
    <x v="0"/>
    <x v="0"/>
    <x v="3"/>
    <x v="0"/>
    <x v="0"/>
    <x v="0"/>
    <x v="0"/>
    <x v="0"/>
    <x v="4"/>
    <s v="09"/>
    <x v="0"/>
    <x v="0"/>
    <x v="5"/>
    <x v="3"/>
    <n v="-168.03"/>
  </r>
  <r>
    <x v="2"/>
    <x v="0"/>
    <x v="0"/>
    <x v="0"/>
    <x v="0"/>
    <x v="3"/>
    <x v="0"/>
    <x v="0"/>
    <x v="0"/>
    <x v="0"/>
    <x v="0"/>
    <x v="4"/>
    <s v="09"/>
    <x v="0"/>
    <x v="0"/>
    <x v="5"/>
    <x v="4"/>
    <n v="1312.13"/>
  </r>
  <r>
    <x v="2"/>
    <x v="0"/>
    <x v="0"/>
    <x v="0"/>
    <x v="0"/>
    <x v="3"/>
    <x v="0"/>
    <x v="0"/>
    <x v="0"/>
    <x v="0"/>
    <x v="0"/>
    <x v="4"/>
    <s v="09"/>
    <x v="0"/>
    <x v="0"/>
    <x v="5"/>
    <x v="7"/>
    <n v="-1074.74"/>
  </r>
  <r>
    <x v="2"/>
    <x v="0"/>
    <x v="0"/>
    <x v="0"/>
    <x v="0"/>
    <x v="3"/>
    <x v="0"/>
    <x v="0"/>
    <x v="0"/>
    <x v="0"/>
    <x v="0"/>
    <x v="4"/>
    <s v="09"/>
    <x v="0"/>
    <x v="0"/>
    <x v="5"/>
    <x v="5"/>
    <n v="-252.8"/>
  </r>
  <r>
    <x v="2"/>
    <x v="0"/>
    <x v="0"/>
    <x v="0"/>
    <x v="0"/>
    <x v="3"/>
    <x v="0"/>
    <x v="0"/>
    <x v="0"/>
    <x v="0"/>
    <x v="0"/>
    <x v="4"/>
    <s v="09"/>
    <x v="0"/>
    <x v="0"/>
    <x v="5"/>
    <x v="6"/>
    <n v="12633.09"/>
  </r>
  <r>
    <x v="2"/>
    <x v="0"/>
    <x v="0"/>
    <x v="0"/>
    <x v="0"/>
    <x v="3"/>
    <x v="0"/>
    <x v="0"/>
    <x v="0"/>
    <x v="0"/>
    <x v="0"/>
    <x v="4"/>
    <s v="09"/>
    <x v="0"/>
    <x v="0"/>
    <x v="5"/>
    <x v="1"/>
    <n v="38936.1"/>
  </r>
  <r>
    <x v="2"/>
    <x v="0"/>
    <x v="0"/>
    <x v="0"/>
    <x v="0"/>
    <x v="3"/>
    <x v="0"/>
    <x v="0"/>
    <x v="0"/>
    <x v="0"/>
    <x v="0"/>
    <x v="4"/>
    <s v="20"/>
    <x v="7"/>
    <x v="0"/>
    <x v="5"/>
    <x v="0"/>
    <n v="-6.64"/>
  </r>
  <r>
    <x v="2"/>
    <x v="0"/>
    <x v="0"/>
    <x v="0"/>
    <x v="0"/>
    <x v="3"/>
    <x v="0"/>
    <x v="0"/>
    <x v="0"/>
    <x v="0"/>
    <x v="0"/>
    <x v="4"/>
    <s v="20"/>
    <x v="7"/>
    <x v="0"/>
    <x v="5"/>
    <x v="8"/>
    <n v="6.64"/>
  </r>
  <r>
    <x v="2"/>
    <x v="0"/>
    <x v="0"/>
    <x v="0"/>
    <x v="0"/>
    <x v="3"/>
    <x v="0"/>
    <x v="0"/>
    <x v="0"/>
    <x v="0"/>
    <x v="0"/>
    <x v="4"/>
    <s v="24"/>
    <x v="1"/>
    <x v="0"/>
    <x v="4"/>
    <x v="0"/>
    <n v="1794463.46"/>
  </r>
  <r>
    <x v="2"/>
    <x v="0"/>
    <x v="0"/>
    <x v="0"/>
    <x v="0"/>
    <x v="3"/>
    <x v="0"/>
    <x v="0"/>
    <x v="0"/>
    <x v="0"/>
    <x v="0"/>
    <x v="4"/>
    <s v="24"/>
    <x v="1"/>
    <x v="0"/>
    <x v="4"/>
    <x v="2"/>
    <n v="1097537.94"/>
  </r>
  <r>
    <x v="2"/>
    <x v="0"/>
    <x v="0"/>
    <x v="0"/>
    <x v="0"/>
    <x v="3"/>
    <x v="0"/>
    <x v="0"/>
    <x v="0"/>
    <x v="0"/>
    <x v="0"/>
    <x v="4"/>
    <s v="24"/>
    <x v="1"/>
    <x v="0"/>
    <x v="4"/>
    <x v="8"/>
    <n v="-1569301.17"/>
  </r>
  <r>
    <x v="2"/>
    <x v="0"/>
    <x v="0"/>
    <x v="0"/>
    <x v="0"/>
    <x v="3"/>
    <x v="0"/>
    <x v="0"/>
    <x v="0"/>
    <x v="0"/>
    <x v="0"/>
    <x v="4"/>
    <s v="24"/>
    <x v="1"/>
    <x v="0"/>
    <x v="4"/>
    <x v="9"/>
    <n v="-1041583.28"/>
  </r>
  <r>
    <x v="2"/>
    <x v="0"/>
    <x v="0"/>
    <x v="0"/>
    <x v="0"/>
    <x v="3"/>
    <x v="0"/>
    <x v="0"/>
    <x v="0"/>
    <x v="0"/>
    <x v="0"/>
    <x v="4"/>
    <s v="24"/>
    <x v="1"/>
    <x v="0"/>
    <x v="4"/>
    <x v="10"/>
    <n v="1347225.81"/>
  </r>
  <r>
    <x v="2"/>
    <x v="0"/>
    <x v="0"/>
    <x v="0"/>
    <x v="0"/>
    <x v="3"/>
    <x v="0"/>
    <x v="0"/>
    <x v="0"/>
    <x v="0"/>
    <x v="0"/>
    <x v="4"/>
    <s v="24"/>
    <x v="1"/>
    <x v="0"/>
    <x v="4"/>
    <x v="11"/>
    <n v="-140672.22"/>
  </r>
  <r>
    <x v="2"/>
    <x v="0"/>
    <x v="0"/>
    <x v="0"/>
    <x v="0"/>
    <x v="3"/>
    <x v="0"/>
    <x v="0"/>
    <x v="0"/>
    <x v="0"/>
    <x v="0"/>
    <x v="4"/>
    <s v="24"/>
    <x v="1"/>
    <x v="0"/>
    <x v="4"/>
    <x v="3"/>
    <n v="-750507.68"/>
  </r>
  <r>
    <x v="2"/>
    <x v="0"/>
    <x v="0"/>
    <x v="0"/>
    <x v="0"/>
    <x v="3"/>
    <x v="0"/>
    <x v="0"/>
    <x v="0"/>
    <x v="0"/>
    <x v="0"/>
    <x v="4"/>
    <s v="24"/>
    <x v="1"/>
    <x v="0"/>
    <x v="4"/>
    <x v="4"/>
    <n v="512947.47"/>
  </r>
  <r>
    <x v="2"/>
    <x v="0"/>
    <x v="0"/>
    <x v="0"/>
    <x v="0"/>
    <x v="3"/>
    <x v="0"/>
    <x v="0"/>
    <x v="0"/>
    <x v="0"/>
    <x v="0"/>
    <x v="4"/>
    <s v="24"/>
    <x v="1"/>
    <x v="0"/>
    <x v="4"/>
    <x v="7"/>
    <n v="1053301"/>
  </r>
  <r>
    <x v="2"/>
    <x v="0"/>
    <x v="0"/>
    <x v="0"/>
    <x v="0"/>
    <x v="3"/>
    <x v="0"/>
    <x v="0"/>
    <x v="0"/>
    <x v="0"/>
    <x v="0"/>
    <x v="4"/>
    <s v="24"/>
    <x v="1"/>
    <x v="0"/>
    <x v="4"/>
    <x v="5"/>
    <n v="-1870358.16"/>
  </r>
  <r>
    <x v="2"/>
    <x v="0"/>
    <x v="0"/>
    <x v="0"/>
    <x v="0"/>
    <x v="3"/>
    <x v="0"/>
    <x v="0"/>
    <x v="0"/>
    <x v="0"/>
    <x v="0"/>
    <x v="4"/>
    <s v="24"/>
    <x v="1"/>
    <x v="0"/>
    <x v="4"/>
    <x v="6"/>
    <n v="-26349.439999999999"/>
  </r>
  <r>
    <x v="2"/>
    <x v="0"/>
    <x v="0"/>
    <x v="0"/>
    <x v="0"/>
    <x v="3"/>
    <x v="0"/>
    <x v="0"/>
    <x v="0"/>
    <x v="0"/>
    <x v="0"/>
    <x v="4"/>
    <s v="24"/>
    <x v="1"/>
    <x v="0"/>
    <x v="4"/>
    <x v="1"/>
    <n v="-441331.14"/>
  </r>
  <r>
    <x v="2"/>
    <x v="0"/>
    <x v="0"/>
    <x v="0"/>
    <x v="0"/>
    <x v="3"/>
    <x v="0"/>
    <x v="0"/>
    <x v="0"/>
    <x v="0"/>
    <x v="0"/>
    <x v="4"/>
    <s v="24"/>
    <x v="1"/>
    <x v="0"/>
    <x v="5"/>
    <x v="0"/>
    <n v="2023881.59"/>
  </r>
  <r>
    <x v="2"/>
    <x v="0"/>
    <x v="0"/>
    <x v="0"/>
    <x v="0"/>
    <x v="3"/>
    <x v="0"/>
    <x v="0"/>
    <x v="0"/>
    <x v="0"/>
    <x v="0"/>
    <x v="4"/>
    <s v="24"/>
    <x v="1"/>
    <x v="0"/>
    <x v="5"/>
    <x v="2"/>
    <n v="-696189.43999999994"/>
  </r>
  <r>
    <x v="2"/>
    <x v="0"/>
    <x v="0"/>
    <x v="0"/>
    <x v="0"/>
    <x v="3"/>
    <x v="0"/>
    <x v="0"/>
    <x v="0"/>
    <x v="0"/>
    <x v="0"/>
    <x v="4"/>
    <s v="24"/>
    <x v="1"/>
    <x v="0"/>
    <x v="5"/>
    <x v="8"/>
    <n v="-198980.7"/>
  </r>
  <r>
    <x v="2"/>
    <x v="0"/>
    <x v="0"/>
    <x v="0"/>
    <x v="0"/>
    <x v="3"/>
    <x v="0"/>
    <x v="0"/>
    <x v="0"/>
    <x v="0"/>
    <x v="0"/>
    <x v="4"/>
    <s v="24"/>
    <x v="1"/>
    <x v="0"/>
    <x v="5"/>
    <x v="9"/>
    <n v="-848619.9"/>
  </r>
  <r>
    <x v="2"/>
    <x v="0"/>
    <x v="0"/>
    <x v="0"/>
    <x v="0"/>
    <x v="3"/>
    <x v="0"/>
    <x v="0"/>
    <x v="0"/>
    <x v="0"/>
    <x v="0"/>
    <x v="4"/>
    <s v="24"/>
    <x v="1"/>
    <x v="0"/>
    <x v="5"/>
    <x v="10"/>
    <n v="1583001.38"/>
  </r>
  <r>
    <x v="2"/>
    <x v="0"/>
    <x v="0"/>
    <x v="0"/>
    <x v="0"/>
    <x v="3"/>
    <x v="0"/>
    <x v="0"/>
    <x v="0"/>
    <x v="0"/>
    <x v="0"/>
    <x v="4"/>
    <s v="24"/>
    <x v="1"/>
    <x v="0"/>
    <x v="5"/>
    <x v="11"/>
    <n v="-740084.11"/>
  </r>
  <r>
    <x v="2"/>
    <x v="0"/>
    <x v="0"/>
    <x v="0"/>
    <x v="0"/>
    <x v="3"/>
    <x v="0"/>
    <x v="0"/>
    <x v="0"/>
    <x v="0"/>
    <x v="0"/>
    <x v="4"/>
    <s v="24"/>
    <x v="1"/>
    <x v="0"/>
    <x v="5"/>
    <x v="3"/>
    <n v="-660832.18999999994"/>
  </r>
  <r>
    <x v="2"/>
    <x v="0"/>
    <x v="0"/>
    <x v="0"/>
    <x v="0"/>
    <x v="3"/>
    <x v="0"/>
    <x v="0"/>
    <x v="0"/>
    <x v="0"/>
    <x v="0"/>
    <x v="4"/>
    <s v="24"/>
    <x v="1"/>
    <x v="0"/>
    <x v="5"/>
    <x v="4"/>
    <n v="794099.48"/>
  </r>
  <r>
    <x v="2"/>
    <x v="0"/>
    <x v="0"/>
    <x v="0"/>
    <x v="0"/>
    <x v="3"/>
    <x v="0"/>
    <x v="0"/>
    <x v="0"/>
    <x v="0"/>
    <x v="0"/>
    <x v="4"/>
    <s v="24"/>
    <x v="1"/>
    <x v="0"/>
    <x v="5"/>
    <x v="7"/>
    <n v="381376.94"/>
  </r>
  <r>
    <x v="2"/>
    <x v="0"/>
    <x v="0"/>
    <x v="0"/>
    <x v="0"/>
    <x v="3"/>
    <x v="0"/>
    <x v="0"/>
    <x v="0"/>
    <x v="0"/>
    <x v="0"/>
    <x v="4"/>
    <s v="24"/>
    <x v="1"/>
    <x v="0"/>
    <x v="5"/>
    <x v="5"/>
    <n v="-1370570.11"/>
  </r>
  <r>
    <x v="2"/>
    <x v="0"/>
    <x v="0"/>
    <x v="0"/>
    <x v="0"/>
    <x v="3"/>
    <x v="0"/>
    <x v="0"/>
    <x v="0"/>
    <x v="0"/>
    <x v="0"/>
    <x v="4"/>
    <s v="24"/>
    <x v="1"/>
    <x v="0"/>
    <x v="5"/>
    <x v="6"/>
    <n v="-115793.61"/>
  </r>
  <r>
    <x v="2"/>
    <x v="0"/>
    <x v="0"/>
    <x v="0"/>
    <x v="0"/>
    <x v="3"/>
    <x v="0"/>
    <x v="0"/>
    <x v="0"/>
    <x v="0"/>
    <x v="0"/>
    <x v="4"/>
    <s v="24"/>
    <x v="1"/>
    <x v="0"/>
    <x v="5"/>
    <x v="1"/>
    <n v="-156810.29999999999"/>
  </r>
  <r>
    <x v="2"/>
    <x v="0"/>
    <x v="0"/>
    <x v="0"/>
    <x v="0"/>
    <x v="3"/>
    <x v="0"/>
    <x v="0"/>
    <x v="0"/>
    <x v="0"/>
    <x v="0"/>
    <x v="4"/>
    <s v="30"/>
    <x v="3"/>
    <x v="0"/>
    <x v="4"/>
    <x v="2"/>
    <n v="-252"/>
  </r>
  <r>
    <x v="2"/>
    <x v="0"/>
    <x v="0"/>
    <x v="0"/>
    <x v="0"/>
    <x v="3"/>
    <x v="0"/>
    <x v="0"/>
    <x v="0"/>
    <x v="0"/>
    <x v="0"/>
    <x v="4"/>
    <s v="30"/>
    <x v="3"/>
    <x v="0"/>
    <x v="4"/>
    <x v="8"/>
    <n v="377.55"/>
  </r>
  <r>
    <x v="2"/>
    <x v="0"/>
    <x v="0"/>
    <x v="0"/>
    <x v="0"/>
    <x v="3"/>
    <x v="0"/>
    <x v="0"/>
    <x v="0"/>
    <x v="0"/>
    <x v="0"/>
    <x v="4"/>
    <s v="30"/>
    <x v="3"/>
    <x v="0"/>
    <x v="4"/>
    <x v="4"/>
    <n v="-268.8"/>
  </r>
  <r>
    <x v="2"/>
    <x v="0"/>
    <x v="0"/>
    <x v="0"/>
    <x v="0"/>
    <x v="3"/>
    <x v="0"/>
    <x v="0"/>
    <x v="0"/>
    <x v="0"/>
    <x v="0"/>
    <x v="4"/>
    <s v="30"/>
    <x v="3"/>
    <x v="0"/>
    <x v="4"/>
    <x v="6"/>
    <n v="143.25"/>
  </r>
  <r>
    <x v="2"/>
    <x v="0"/>
    <x v="0"/>
    <x v="0"/>
    <x v="0"/>
    <x v="3"/>
    <x v="0"/>
    <x v="0"/>
    <x v="0"/>
    <x v="0"/>
    <x v="0"/>
    <x v="4"/>
    <s v="30"/>
    <x v="3"/>
    <x v="0"/>
    <x v="5"/>
    <x v="2"/>
    <n v="-450"/>
  </r>
  <r>
    <x v="2"/>
    <x v="0"/>
    <x v="0"/>
    <x v="0"/>
    <x v="0"/>
    <x v="3"/>
    <x v="0"/>
    <x v="0"/>
    <x v="0"/>
    <x v="0"/>
    <x v="0"/>
    <x v="4"/>
    <s v="30"/>
    <x v="3"/>
    <x v="0"/>
    <x v="5"/>
    <x v="8"/>
    <n v="450"/>
  </r>
  <r>
    <x v="2"/>
    <x v="0"/>
    <x v="0"/>
    <x v="0"/>
    <x v="0"/>
    <x v="3"/>
    <x v="0"/>
    <x v="0"/>
    <x v="0"/>
    <x v="0"/>
    <x v="0"/>
    <x v="4"/>
    <s v="30"/>
    <x v="3"/>
    <x v="0"/>
    <x v="5"/>
    <x v="10"/>
    <n v="450"/>
  </r>
  <r>
    <x v="2"/>
    <x v="0"/>
    <x v="0"/>
    <x v="0"/>
    <x v="0"/>
    <x v="3"/>
    <x v="0"/>
    <x v="0"/>
    <x v="0"/>
    <x v="0"/>
    <x v="0"/>
    <x v="4"/>
    <s v="30"/>
    <x v="3"/>
    <x v="0"/>
    <x v="5"/>
    <x v="11"/>
    <n v="-450"/>
  </r>
  <r>
    <x v="2"/>
    <x v="0"/>
    <x v="0"/>
    <x v="0"/>
    <x v="0"/>
    <x v="3"/>
    <x v="0"/>
    <x v="0"/>
    <x v="0"/>
    <x v="0"/>
    <x v="0"/>
    <x v="4"/>
    <s v="31"/>
    <x v="8"/>
    <x v="0"/>
    <x v="4"/>
    <x v="9"/>
    <n v="762.41"/>
  </r>
  <r>
    <x v="2"/>
    <x v="0"/>
    <x v="0"/>
    <x v="0"/>
    <x v="0"/>
    <x v="3"/>
    <x v="0"/>
    <x v="0"/>
    <x v="0"/>
    <x v="0"/>
    <x v="0"/>
    <x v="4"/>
    <s v="31"/>
    <x v="8"/>
    <x v="0"/>
    <x v="4"/>
    <x v="11"/>
    <n v="-762.41"/>
  </r>
  <r>
    <x v="2"/>
    <x v="0"/>
    <x v="0"/>
    <x v="0"/>
    <x v="0"/>
    <x v="3"/>
    <x v="0"/>
    <x v="0"/>
    <x v="0"/>
    <x v="0"/>
    <x v="0"/>
    <x v="4"/>
    <s v="85"/>
    <x v="21"/>
    <x v="0"/>
    <x v="4"/>
    <x v="0"/>
    <n v="1167.44"/>
  </r>
  <r>
    <x v="2"/>
    <x v="0"/>
    <x v="0"/>
    <x v="0"/>
    <x v="0"/>
    <x v="3"/>
    <x v="0"/>
    <x v="0"/>
    <x v="0"/>
    <x v="0"/>
    <x v="0"/>
    <x v="4"/>
    <s v="85"/>
    <x v="21"/>
    <x v="0"/>
    <x v="4"/>
    <x v="2"/>
    <n v="-79520.27"/>
  </r>
  <r>
    <x v="2"/>
    <x v="0"/>
    <x v="0"/>
    <x v="0"/>
    <x v="0"/>
    <x v="3"/>
    <x v="0"/>
    <x v="0"/>
    <x v="0"/>
    <x v="0"/>
    <x v="0"/>
    <x v="4"/>
    <s v="85"/>
    <x v="21"/>
    <x v="0"/>
    <x v="4"/>
    <x v="8"/>
    <n v="773.17"/>
  </r>
  <r>
    <x v="2"/>
    <x v="0"/>
    <x v="0"/>
    <x v="0"/>
    <x v="0"/>
    <x v="3"/>
    <x v="0"/>
    <x v="0"/>
    <x v="0"/>
    <x v="0"/>
    <x v="0"/>
    <x v="4"/>
    <s v="85"/>
    <x v="21"/>
    <x v="0"/>
    <x v="4"/>
    <x v="9"/>
    <n v="79741.03"/>
  </r>
  <r>
    <x v="2"/>
    <x v="0"/>
    <x v="0"/>
    <x v="0"/>
    <x v="0"/>
    <x v="3"/>
    <x v="0"/>
    <x v="0"/>
    <x v="0"/>
    <x v="0"/>
    <x v="0"/>
    <x v="4"/>
    <s v="85"/>
    <x v="21"/>
    <x v="0"/>
    <x v="4"/>
    <x v="10"/>
    <n v="-35239.269999999997"/>
  </r>
  <r>
    <x v="2"/>
    <x v="0"/>
    <x v="0"/>
    <x v="0"/>
    <x v="0"/>
    <x v="3"/>
    <x v="0"/>
    <x v="0"/>
    <x v="0"/>
    <x v="0"/>
    <x v="0"/>
    <x v="4"/>
    <s v="85"/>
    <x v="21"/>
    <x v="0"/>
    <x v="4"/>
    <x v="11"/>
    <n v="-39328.67"/>
  </r>
  <r>
    <x v="2"/>
    <x v="0"/>
    <x v="0"/>
    <x v="0"/>
    <x v="0"/>
    <x v="3"/>
    <x v="0"/>
    <x v="0"/>
    <x v="0"/>
    <x v="0"/>
    <x v="0"/>
    <x v="4"/>
    <s v="85"/>
    <x v="21"/>
    <x v="0"/>
    <x v="4"/>
    <x v="3"/>
    <n v="273126.17"/>
  </r>
  <r>
    <x v="2"/>
    <x v="0"/>
    <x v="0"/>
    <x v="0"/>
    <x v="0"/>
    <x v="3"/>
    <x v="0"/>
    <x v="0"/>
    <x v="0"/>
    <x v="0"/>
    <x v="0"/>
    <x v="4"/>
    <s v="85"/>
    <x v="21"/>
    <x v="0"/>
    <x v="4"/>
    <x v="4"/>
    <n v="373921.84"/>
  </r>
  <r>
    <x v="2"/>
    <x v="0"/>
    <x v="0"/>
    <x v="0"/>
    <x v="0"/>
    <x v="3"/>
    <x v="0"/>
    <x v="0"/>
    <x v="0"/>
    <x v="0"/>
    <x v="0"/>
    <x v="4"/>
    <s v="85"/>
    <x v="21"/>
    <x v="0"/>
    <x v="4"/>
    <x v="7"/>
    <n v="24725.16"/>
  </r>
  <r>
    <x v="2"/>
    <x v="0"/>
    <x v="0"/>
    <x v="0"/>
    <x v="0"/>
    <x v="3"/>
    <x v="0"/>
    <x v="0"/>
    <x v="0"/>
    <x v="0"/>
    <x v="0"/>
    <x v="4"/>
    <s v="85"/>
    <x v="21"/>
    <x v="0"/>
    <x v="4"/>
    <x v="5"/>
    <n v="112.14"/>
  </r>
  <r>
    <x v="2"/>
    <x v="0"/>
    <x v="0"/>
    <x v="0"/>
    <x v="0"/>
    <x v="3"/>
    <x v="0"/>
    <x v="0"/>
    <x v="0"/>
    <x v="0"/>
    <x v="0"/>
    <x v="4"/>
    <s v="85"/>
    <x v="21"/>
    <x v="0"/>
    <x v="4"/>
    <x v="6"/>
    <n v="-64872.73"/>
  </r>
  <r>
    <x v="2"/>
    <x v="0"/>
    <x v="0"/>
    <x v="0"/>
    <x v="0"/>
    <x v="3"/>
    <x v="0"/>
    <x v="0"/>
    <x v="0"/>
    <x v="0"/>
    <x v="0"/>
    <x v="4"/>
    <s v="85"/>
    <x v="21"/>
    <x v="0"/>
    <x v="4"/>
    <x v="1"/>
    <n v="77081.929999999993"/>
  </r>
  <r>
    <x v="2"/>
    <x v="0"/>
    <x v="0"/>
    <x v="0"/>
    <x v="0"/>
    <x v="3"/>
    <x v="0"/>
    <x v="0"/>
    <x v="0"/>
    <x v="0"/>
    <x v="0"/>
    <x v="4"/>
    <s v="85"/>
    <x v="21"/>
    <x v="0"/>
    <x v="5"/>
    <x v="0"/>
    <n v="-3254.92"/>
  </r>
  <r>
    <x v="2"/>
    <x v="0"/>
    <x v="0"/>
    <x v="0"/>
    <x v="0"/>
    <x v="3"/>
    <x v="0"/>
    <x v="0"/>
    <x v="0"/>
    <x v="0"/>
    <x v="0"/>
    <x v="4"/>
    <s v="85"/>
    <x v="21"/>
    <x v="0"/>
    <x v="5"/>
    <x v="2"/>
    <n v="-9449.84"/>
  </r>
  <r>
    <x v="2"/>
    <x v="0"/>
    <x v="0"/>
    <x v="0"/>
    <x v="0"/>
    <x v="3"/>
    <x v="0"/>
    <x v="0"/>
    <x v="0"/>
    <x v="0"/>
    <x v="0"/>
    <x v="4"/>
    <s v="85"/>
    <x v="21"/>
    <x v="0"/>
    <x v="5"/>
    <x v="8"/>
    <n v="7606.36"/>
  </r>
  <r>
    <x v="2"/>
    <x v="0"/>
    <x v="0"/>
    <x v="0"/>
    <x v="0"/>
    <x v="3"/>
    <x v="0"/>
    <x v="0"/>
    <x v="0"/>
    <x v="0"/>
    <x v="0"/>
    <x v="4"/>
    <s v="85"/>
    <x v="21"/>
    <x v="0"/>
    <x v="5"/>
    <x v="9"/>
    <n v="750.27"/>
  </r>
  <r>
    <x v="2"/>
    <x v="0"/>
    <x v="0"/>
    <x v="0"/>
    <x v="0"/>
    <x v="3"/>
    <x v="0"/>
    <x v="0"/>
    <x v="0"/>
    <x v="0"/>
    <x v="0"/>
    <x v="4"/>
    <s v="85"/>
    <x v="21"/>
    <x v="0"/>
    <x v="5"/>
    <x v="10"/>
    <n v="-199.58"/>
  </r>
  <r>
    <x v="2"/>
    <x v="0"/>
    <x v="0"/>
    <x v="0"/>
    <x v="0"/>
    <x v="3"/>
    <x v="0"/>
    <x v="0"/>
    <x v="0"/>
    <x v="0"/>
    <x v="0"/>
    <x v="4"/>
    <s v="85"/>
    <x v="21"/>
    <x v="0"/>
    <x v="5"/>
    <x v="11"/>
    <n v="1079.8699999999999"/>
  </r>
  <r>
    <x v="2"/>
    <x v="0"/>
    <x v="0"/>
    <x v="0"/>
    <x v="0"/>
    <x v="3"/>
    <x v="0"/>
    <x v="0"/>
    <x v="0"/>
    <x v="0"/>
    <x v="0"/>
    <x v="4"/>
    <s v="85"/>
    <x v="21"/>
    <x v="0"/>
    <x v="5"/>
    <x v="3"/>
    <n v="6447.81"/>
  </r>
  <r>
    <x v="2"/>
    <x v="0"/>
    <x v="0"/>
    <x v="0"/>
    <x v="0"/>
    <x v="3"/>
    <x v="0"/>
    <x v="0"/>
    <x v="0"/>
    <x v="0"/>
    <x v="0"/>
    <x v="4"/>
    <s v="85"/>
    <x v="21"/>
    <x v="0"/>
    <x v="5"/>
    <x v="4"/>
    <n v="-83.27"/>
  </r>
  <r>
    <x v="2"/>
    <x v="0"/>
    <x v="0"/>
    <x v="0"/>
    <x v="0"/>
    <x v="3"/>
    <x v="0"/>
    <x v="0"/>
    <x v="0"/>
    <x v="0"/>
    <x v="0"/>
    <x v="4"/>
    <s v="85"/>
    <x v="21"/>
    <x v="0"/>
    <x v="5"/>
    <x v="7"/>
    <n v="2702.75"/>
  </r>
  <r>
    <x v="2"/>
    <x v="0"/>
    <x v="0"/>
    <x v="0"/>
    <x v="0"/>
    <x v="3"/>
    <x v="0"/>
    <x v="0"/>
    <x v="0"/>
    <x v="0"/>
    <x v="0"/>
    <x v="4"/>
    <s v="85"/>
    <x v="21"/>
    <x v="0"/>
    <x v="5"/>
    <x v="5"/>
    <n v="13779.17"/>
  </r>
  <r>
    <x v="2"/>
    <x v="0"/>
    <x v="0"/>
    <x v="0"/>
    <x v="0"/>
    <x v="3"/>
    <x v="0"/>
    <x v="0"/>
    <x v="0"/>
    <x v="0"/>
    <x v="0"/>
    <x v="4"/>
    <s v="85"/>
    <x v="21"/>
    <x v="0"/>
    <x v="5"/>
    <x v="6"/>
    <n v="-318"/>
  </r>
  <r>
    <x v="2"/>
    <x v="0"/>
    <x v="0"/>
    <x v="0"/>
    <x v="0"/>
    <x v="3"/>
    <x v="0"/>
    <x v="0"/>
    <x v="0"/>
    <x v="0"/>
    <x v="0"/>
    <x v="4"/>
    <s v="85"/>
    <x v="21"/>
    <x v="0"/>
    <x v="5"/>
    <x v="1"/>
    <n v="-9744.48"/>
  </r>
  <r>
    <x v="2"/>
    <x v="0"/>
    <x v="0"/>
    <x v="0"/>
    <x v="0"/>
    <x v="3"/>
    <x v="0"/>
    <x v="0"/>
    <x v="0"/>
    <x v="0"/>
    <x v="0"/>
    <x v="4"/>
    <s v="90"/>
    <x v="16"/>
    <x v="0"/>
    <x v="5"/>
    <x v="3"/>
    <n v="45"/>
  </r>
  <r>
    <x v="2"/>
    <x v="0"/>
    <x v="0"/>
    <x v="0"/>
    <x v="0"/>
    <x v="3"/>
    <x v="0"/>
    <x v="0"/>
    <x v="0"/>
    <x v="0"/>
    <x v="0"/>
    <x v="4"/>
    <s v="90"/>
    <x v="16"/>
    <x v="0"/>
    <x v="5"/>
    <x v="1"/>
    <n v="-45"/>
  </r>
  <r>
    <x v="2"/>
    <x v="0"/>
    <x v="0"/>
    <x v="0"/>
    <x v="0"/>
    <x v="3"/>
    <x v="0"/>
    <x v="0"/>
    <x v="0"/>
    <x v="0"/>
    <x v="0"/>
    <x v="4"/>
    <s v="99"/>
    <x v="9"/>
    <x v="0"/>
    <x v="4"/>
    <x v="0"/>
    <n v="1361"/>
  </r>
  <r>
    <x v="2"/>
    <x v="0"/>
    <x v="0"/>
    <x v="0"/>
    <x v="0"/>
    <x v="3"/>
    <x v="0"/>
    <x v="0"/>
    <x v="0"/>
    <x v="0"/>
    <x v="0"/>
    <x v="4"/>
    <s v="99"/>
    <x v="9"/>
    <x v="0"/>
    <x v="4"/>
    <x v="2"/>
    <n v="-1661"/>
  </r>
  <r>
    <x v="2"/>
    <x v="0"/>
    <x v="0"/>
    <x v="0"/>
    <x v="0"/>
    <x v="3"/>
    <x v="0"/>
    <x v="0"/>
    <x v="0"/>
    <x v="0"/>
    <x v="0"/>
    <x v="4"/>
    <s v="99"/>
    <x v="9"/>
    <x v="0"/>
    <x v="4"/>
    <x v="8"/>
    <n v="-124.63"/>
  </r>
  <r>
    <x v="2"/>
    <x v="0"/>
    <x v="0"/>
    <x v="0"/>
    <x v="0"/>
    <x v="3"/>
    <x v="0"/>
    <x v="0"/>
    <x v="0"/>
    <x v="0"/>
    <x v="0"/>
    <x v="4"/>
    <s v="99"/>
    <x v="9"/>
    <x v="0"/>
    <x v="4"/>
    <x v="9"/>
    <n v="-6"/>
  </r>
  <r>
    <x v="2"/>
    <x v="0"/>
    <x v="0"/>
    <x v="0"/>
    <x v="0"/>
    <x v="3"/>
    <x v="0"/>
    <x v="0"/>
    <x v="0"/>
    <x v="0"/>
    <x v="0"/>
    <x v="4"/>
    <s v="99"/>
    <x v="9"/>
    <x v="0"/>
    <x v="4"/>
    <x v="10"/>
    <n v="50"/>
  </r>
  <r>
    <x v="2"/>
    <x v="0"/>
    <x v="0"/>
    <x v="0"/>
    <x v="0"/>
    <x v="3"/>
    <x v="0"/>
    <x v="0"/>
    <x v="0"/>
    <x v="0"/>
    <x v="0"/>
    <x v="4"/>
    <s v="99"/>
    <x v="9"/>
    <x v="0"/>
    <x v="4"/>
    <x v="3"/>
    <n v="43"/>
  </r>
  <r>
    <x v="2"/>
    <x v="0"/>
    <x v="0"/>
    <x v="0"/>
    <x v="0"/>
    <x v="3"/>
    <x v="0"/>
    <x v="0"/>
    <x v="0"/>
    <x v="0"/>
    <x v="0"/>
    <x v="4"/>
    <s v="99"/>
    <x v="9"/>
    <x v="0"/>
    <x v="4"/>
    <x v="6"/>
    <n v="379.63"/>
  </r>
  <r>
    <x v="2"/>
    <x v="0"/>
    <x v="0"/>
    <x v="0"/>
    <x v="0"/>
    <x v="3"/>
    <x v="0"/>
    <x v="0"/>
    <x v="0"/>
    <x v="0"/>
    <x v="0"/>
    <x v="4"/>
    <s v="99"/>
    <x v="9"/>
    <x v="0"/>
    <x v="4"/>
    <x v="1"/>
    <n v="-42"/>
  </r>
  <r>
    <x v="2"/>
    <x v="0"/>
    <x v="0"/>
    <x v="0"/>
    <x v="0"/>
    <x v="3"/>
    <x v="0"/>
    <x v="0"/>
    <x v="0"/>
    <x v="0"/>
    <x v="0"/>
    <x v="4"/>
    <s v="99"/>
    <x v="9"/>
    <x v="0"/>
    <x v="5"/>
    <x v="0"/>
    <n v="-6561.9"/>
  </r>
  <r>
    <x v="2"/>
    <x v="0"/>
    <x v="0"/>
    <x v="0"/>
    <x v="0"/>
    <x v="3"/>
    <x v="0"/>
    <x v="0"/>
    <x v="0"/>
    <x v="0"/>
    <x v="0"/>
    <x v="4"/>
    <s v="99"/>
    <x v="9"/>
    <x v="0"/>
    <x v="5"/>
    <x v="2"/>
    <n v="63708.27"/>
  </r>
  <r>
    <x v="2"/>
    <x v="0"/>
    <x v="0"/>
    <x v="0"/>
    <x v="0"/>
    <x v="3"/>
    <x v="0"/>
    <x v="0"/>
    <x v="0"/>
    <x v="0"/>
    <x v="0"/>
    <x v="4"/>
    <s v="99"/>
    <x v="9"/>
    <x v="0"/>
    <x v="5"/>
    <x v="8"/>
    <n v="-63270"/>
  </r>
  <r>
    <x v="2"/>
    <x v="0"/>
    <x v="0"/>
    <x v="0"/>
    <x v="0"/>
    <x v="3"/>
    <x v="0"/>
    <x v="0"/>
    <x v="0"/>
    <x v="0"/>
    <x v="0"/>
    <x v="4"/>
    <s v="99"/>
    <x v="9"/>
    <x v="0"/>
    <x v="5"/>
    <x v="9"/>
    <n v="5753.9"/>
  </r>
  <r>
    <x v="2"/>
    <x v="0"/>
    <x v="0"/>
    <x v="0"/>
    <x v="0"/>
    <x v="3"/>
    <x v="0"/>
    <x v="0"/>
    <x v="0"/>
    <x v="0"/>
    <x v="0"/>
    <x v="4"/>
    <s v="99"/>
    <x v="9"/>
    <x v="0"/>
    <x v="5"/>
    <x v="10"/>
    <n v="57.96"/>
  </r>
  <r>
    <x v="2"/>
    <x v="0"/>
    <x v="0"/>
    <x v="0"/>
    <x v="0"/>
    <x v="3"/>
    <x v="0"/>
    <x v="0"/>
    <x v="0"/>
    <x v="0"/>
    <x v="0"/>
    <x v="4"/>
    <s v="99"/>
    <x v="9"/>
    <x v="0"/>
    <x v="5"/>
    <x v="11"/>
    <n v="185.64"/>
  </r>
  <r>
    <x v="2"/>
    <x v="0"/>
    <x v="0"/>
    <x v="0"/>
    <x v="0"/>
    <x v="3"/>
    <x v="0"/>
    <x v="0"/>
    <x v="0"/>
    <x v="0"/>
    <x v="0"/>
    <x v="4"/>
    <s v="99"/>
    <x v="9"/>
    <x v="0"/>
    <x v="5"/>
    <x v="3"/>
    <n v="275"/>
  </r>
  <r>
    <x v="2"/>
    <x v="0"/>
    <x v="0"/>
    <x v="0"/>
    <x v="0"/>
    <x v="3"/>
    <x v="0"/>
    <x v="0"/>
    <x v="0"/>
    <x v="0"/>
    <x v="0"/>
    <x v="4"/>
    <s v="99"/>
    <x v="9"/>
    <x v="0"/>
    <x v="5"/>
    <x v="4"/>
    <n v="-45"/>
  </r>
  <r>
    <x v="2"/>
    <x v="0"/>
    <x v="0"/>
    <x v="0"/>
    <x v="0"/>
    <x v="3"/>
    <x v="0"/>
    <x v="0"/>
    <x v="0"/>
    <x v="0"/>
    <x v="0"/>
    <x v="4"/>
    <s v="99"/>
    <x v="9"/>
    <x v="0"/>
    <x v="5"/>
    <x v="7"/>
    <n v="-568"/>
  </r>
  <r>
    <x v="2"/>
    <x v="0"/>
    <x v="0"/>
    <x v="0"/>
    <x v="0"/>
    <x v="3"/>
    <x v="0"/>
    <x v="0"/>
    <x v="0"/>
    <x v="0"/>
    <x v="0"/>
    <x v="4"/>
    <s v="99"/>
    <x v="9"/>
    <x v="0"/>
    <x v="5"/>
    <x v="5"/>
    <n v="5959.81"/>
  </r>
  <r>
    <x v="2"/>
    <x v="0"/>
    <x v="0"/>
    <x v="0"/>
    <x v="0"/>
    <x v="3"/>
    <x v="0"/>
    <x v="0"/>
    <x v="0"/>
    <x v="0"/>
    <x v="0"/>
    <x v="4"/>
    <s v="99"/>
    <x v="9"/>
    <x v="0"/>
    <x v="5"/>
    <x v="6"/>
    <n v="-5623.51"/>
  </r>
  <r>
    <x v="2"/>
    <x v="0"/>
    <x v="0"/>
    <x v="0"/>
    <x v="0"/>
    <x v="3"/>
    <x v="0"/>
    <x v="0"/>
    <x v="0"/>
    <x v="0"/>
    <x v="0"/>
    <x v="4"/>
    <s v="99"/>
    <x v="9"/>
    <x v="0"/>
    <x v="5"/>
    <x v="1"/>
    <n v="127.83"/>
  </r>
  <r>
    <x v="2"/>
    <x v="0"/>
    <x v="0"/>
    <x v="0"/>
    <x v="0"/>
    <x v="3"/>
    <x v="0"/>
    <x v="0"/>
    <x v="0"/>
    <x v="0"/>
    <x v="5"/>
    <x v="6"/>
    <s v="40"/>
    <x v="26"/>
    <x v="0"/>
    <x v="4"/>
    <x v="0"/>
    <n v="1656.25"/>
  </r>
  <r>
    <x v="2"/>
    <x v="0"/>
    <x v="0"/>
    <x v="0"/>
    <x v="0"/>
    <x v="3"/>
    <x v="0"/>
    <x v="0"/>
    <x v="0"/>
    <x v="0"/>
    <x v="5"/>
    <x v="6"/>
    <s v="40"/>
    <x v="26"/>
    <x v="0"/>
    <x v="4"/>
    <x v="2"/>
    <n v="-1793.55"/>
  </r>
  <r>
    <x v="2"/>
    <x v="0"/>
    <x v="0"/>
    <x v="0"/>
    <x v="0"/>
    <x v="3"/>
    <x v="0"/>
    <x v="0"/>
    <x v="0"/>
    <x v="0"/>
    <x v="5"/>
    <x v="6"/>
    <s v="40"/>
    <x v="26"/>
    <x v="0"/>
    <x v="4"/>
    <x v="8"/>
    <n v="291.3"/>
  </r>
  <r>
    <x v="2"/>
    <x v="0"/>
    <x v="0"/>
    <x v="0"/>
    <x v="0"/>
    <x v="3"/>
    <x v="0"/>
    <x v="0"/>
    <x v="0"/>
    <x v="0"/>
    <x v="5"/>
    <x v="6"/>
    <s v="40"/>
    <x v="26"/>
    <x v="0"/>
    <x v="4"/>
    <x v="9"/>
    <n v="4924.6000000000004"/>
  </r>
  <r>
    <x v="2"/>
    <x v="0"/>
    <x v="0"/>
    <x v="0"/>
    <x v="0"/>
    <x v="3"/>
    <x v="0"/>
    <x v="0"/>
    <x v="0"/>
    <x v="0"/>
    <x v="5"/>
    <x v="6"/>
    <s v="40"/>
    <x v="26"/>
    <x v="0"/>
    <x v="4"/>
    <x v="10"/>
    <n v="-6607.6"/>
  </r>
  <r>
    <x v="2"/>
    <x v="0"/>
    <x v="0"/>
    <x v="0"/>
    <x v="0"/>
    <x v="3"/>
    <x v="0"/>
    <x v="0"/>
    <x v="0"/>
    <x v="0"/>
    <x v="5"/>
    <x v="6"/>
    <s v="40"/>
    <x v="26"/>
    <x v="0"/>
    <x v="4"/>
    <x v="11"/>
    <n v="1304"/>
  </r>
  <r>
    <x v="2"/>
    <x v="0"/>
    <x v="0"/>
    <x v="0"/>
    <x v="0"/>
    <x v="3"/>
    <x v="0"/>
    <x v="0"/>
    <x v="0"/>
    <x v="0"/>
    <x v="5"/>
    <x v="6"/>
    <s v="40"/>
    <x v="26"/>
    <x v="0"/>
    <x v="4"/>
    <x v="3"/>
    <n v="2420.75"/>
  </r>
  <r>
    <x v="2"/>
    <x v="0"/>
    <x v="0"/>
    <x v="0"/>
    <x v="0"/>
    <x v="3"/>
    <x v="0"/>
    <x v="0"/>
    <x v="0"/>
    <x v="0"/>
    <x v="5"/>
    <x v="6"/>
    <s v="40"/>
    <x v="26"/>
    <x v="0"/>
    <x v="4"/>
    <x v="4"/>
    <n v="-1744.37"/>
  </r>
  <r>
    <x v="2"/>
    <x v="0"/>
    <x v="0"/>
    <x v="0"/>
    <x v="0"/>
    <x v="3"/>
    <x v="0"/>
    <x v="0"/>
    <x v="0"/>
    <x v="0"/>
    <x v="5"/>
    <x v="6"/>
    <s v="40"/>
    <x v="26"/>
    <x v="0"/>
    <x v="4"/>
    <x v="7"/>
    <n v="-451.38"/>
  </r>
  <r>
    <x v="2"/>
    <x v="0"/>
    <x v="0"/>
    <x v="0"/>
    <x v="0"/>
    <x v="3"/>
    <x v="0"/>
    <x v="0"/>
    <x v="0"/>
    <x v="0"/>
    <x v="5"/>
    <x v="6"/>
    <s v="40"/>
    <x v="26"/>
    <x v="0"/>
    <x v="4"/>
    <x v="5"/>
    <n v="2345.1999999999998"/>
  </r>
  <r>
    <x v="2"/>
    <x v="0"/>
    <x v="0"/>
    <x v="0"/>
    <x v="0"/>
    <x v="3"/>
    <x v="0"/>
    <x v="0"/>
    <x v="0"/>
    <x v="0"/>
    <x v="5"/>
    <x v="6"/>
    <s v="40"/>
    <x v="26"/>
    <x v="0"/>
    <x v="4"/>
    <x v="6"/>
    <n v="-3074.7"/>
  </r>
  <r>
    <x v="2"/>
    <x v="0"/>
    <x v="0"/>
    <x v="0"/>
    <x v="0"/>
    <x v="3"/>
    <x v="0"/>
    <x v="0"/>
    <x v="0"/>
    <x v="0"/>
    <x v="5"/>
    <x v="6"/>
    <s v="40"/>
    <x v="26"/>
    <x v="0"/>
    <x v="4"/>
    <x v="1"/>
    <n v="729.5"/>
  </r>
  <r>
    <x v="2"/>
    <x v="0"/>
    <x v="0"/>
    <x v="0"/>
    <x v="0"/>
    <x v="3"/>
    <x v="0"/>
    <x v="0"/>
    <x v="0"/>
    <x v="0"/>
    <x v="5"/>
    <x v="6"/>
    <s v="40"/>
    <x v="26"/>
    <x v="0"/>
    <x v="5"/>
    <x v="0"/>
    <n v="-297.75"/>
  </r>
  <r>
    <x v="2"/>
    <x v="0"/>
    <x v="0"/>
    <x v="0"/>
    <x v="0"/>
    <x v="3"/>
    <x v="0"/>
    <x v="0"/>
    <x v="0"/>
    <x v="0"/>
    <x v="5"/>
    <x v="6"/>
    <s v="40"/>
    <x v="26"/>
    <x v="0"/>
    <x v="5"/>
    <x v="2"/>
    <n v="136.55000000000001"/>
  </r>
  <r>
    <x v="2"/>
    <x v="0"/>
    <x v="0"/>
    <x v="0"/>
    <x v="0"/>
    <x v="3"/>
    <x v="0"/>
    <x v="0"/>
    <x v="0"/>
    <x v="0"/>
    <x v="5"/>
    <x v="6"/>
    <s v="40"/>
    <x v="26"/>
    <x v="0"/>
    <x v="5"/>
    <x v="8"/>
    <n v="1839.7"/>
  </r>
  <r>
    <x v="2"/>
    <x v="0"/>
    <x v="0"/>
    <x v="0"/>
    <x v="0"/>
    <x v="3"/>
    <x v="0"/>
    <x v="0"/>
    <x v="0"/>
    <x v="0"/>
    <x v="5"/>
    <x v="6"/>
    <s v="40"/>
    <x v="26"/>
    <x v="0"/>
    <x v="5"/>
    <x v="9"/>
    <n v="-19.84"/>
  </r>
  <r>
    <x v="2"/>
    <x v="0"/>
    <x v="0"/>
    <x v="0"/>
    <x v="0"/>
    <x v="3"/>
    <x v="0"/>
    <x v="0"/>
    <x v="0"/>
    <x v="0"/>
    <x v="5"/>
    <x v="6"/>
    <s v="40"/>
    <x v="26"/>
    <x v="0"/>
    <x v="5"/>
    <x v="10"/>
    <n v="-4716.41"/>
  </r>
  <r>
    <x v="2"/>
    <x v="0"/>
    <x v="0"/>
    <x v="0"/>
    <x v="0"/>
    <x v="3"/>
    <x v="0"/>
    <x v="0"/>
    <x v="0"/>
    <x v="0"/>
    <x v="5"/>
    <x v="6"/>
    <s v="40"/>
    <x v="26"/>
    <x v="0"/>
    <x v="5"/>
    <x v="11"/>
    <n v="1514"/>
  </r>
  <r>
    <x v="2"/>
    <x v="0"/>
    <x v="0"/>
    <x v="0"/>
    <x v="0"/>
    <x v="3"/>
    <x v="0"/>
    <x v="0"/>
    <x v="0"/>
    <x v="0"/>
    <x v="5"/>
    <x v="6"/>
    <s v="40"/>
    <x v="26"/>
    <x v="0"/>
    <x v="5"/>
    <x v="3"/>
    <n v="2025.55"/>
  </r>
  <r>
    <x v="2"/>
    <x v="0"/>
    <x v="0"/>
    <x v="0"/>
    <x v="0"/>
    <x v="3"/>
    <x v="0"/>
    <x v="0"/>
    <x v="0"/>
    <x v="0"/>
    <x v="5"/>
    <x v="6"/>
    <s v="40"/>
    <x v="26"/>
    <x v="0"/>
    <x v="5"/>
    <x v="4"/>
    <n v="-2864.8"/>
  </r>
  <r>
    <x v="2"/>
    <x v="0"/>
    <x v="0"/>
    <x v="0"/>
    <x v="0"/>
    <x v="3"/>
    <x v="0"/>
    <x v="0"/>
    <x v="0"/>
    <x v="0"/>
    <x v="5"/>
    <x v="6"/>
    <s v="40"/>
    <x v="26"/>
    <x v="0"/>
    <x v="5"/>
    <x v="7"/>
    <n v="668.85"/>
  </r>
  <r>
    <x v="2"/>
    <x v="0"/>
    <x v="0"/>
    <x v="0"/>
    <x v="0"/>
    <x v="3"/>
    <x v="0"/>
    <x v="0"/>
    <x v="0"/>
    <x v="0"/>
    <x v="5"/>
    <x v="6"/>
    <s v="40"/>
    <x v="26"/>
    <x v="0"/>
    <x v="5"/>
    <x v="5"/>
    <n v="1651.65"/>
  </r>
  <r>
    <x v="2"/>
    <x v="0"/>
    <x v="0"/>
    <x v="0"/>
    <x v="0"/>
    <x v="3"/>
    <x v="0"/>
    <x v="0"/>
    <x v="0"/>
    <x v="0"/>
    <x v="5"/>
    <x v="6"/>
    <s v="40"/>
    <x v="26"/>
    <x v="0"/>
    <x v="5"/>
    <x v="6"/>
    <n v="62.5"/>
  </r>
  <r>
    <x v="2"/>
    <x v="0"/>
    <x v="1"/>
    <x v="0"/>
    <x v="0"/>
    <x v="4"/>
    <x v="0"/>
    <x v="0"/>
    <x v="0"/>
    <x v="1"/>
    <x v="1"/>
    <x v="8"/>
    <s v="41"/>
    <x v="4"/>
    <x v="0"/>
    <x v="4"/>
    <x v="5"/>
    <n v="2000"/>
  </r>
  <r>
    <x v="2"/>
    <x v="0"/>
    <x v="1"/>
    <x v="0"/>
    <x v="0"/>
    <x v="4"/>
    <x v="0"/>
    <x v="0"/>
    <x v="0"/>
    <x v="1"/>
    <x v="1"/>
    <x v="8"/>
    <s v="41"/>
    <x v="4"/>
    <x v="0"/>
    <x v="5"/>
    <x v="7"/>
    <n v="2000"/>
  </r>
  <r>
    <x v="2"/>
    <x v="0"/>
    <x v="1"/>
    <x v="0"/>
    <x v="0"/>
    <x v="4"/>
    <x v="0"/>
    <x v="0"/>
    <x v="0"/>
    <x v="1"/>
    <x v="1"/>
    <x v="8"/>
    <s v="41"/>
    <x v="4"/>
    <x v="0"/>
    <x v="5"/>
    <x v="1"/>
    <n v="-4000"/>
  </r>
  <r>
    <x v="2"/>
    <x v="0"/>
    <x v="1"/>
    <x v="0"/>
    <x v="0"/>
    <x v="4"/>
    <x v="0"/>
    <x v="0"/>
    <x v="0"/>
    <x v="0"/>
    <x v="0"/>
    <x v="4"/>
    <s v="02"/>
    <x v="5"/>
    <x v="0"/>
    <x v="4"/>
    <x v="3"/>
    <n v="-96.3"/>
  </r>
  <r>
    <x v="2"/>
    <x v="0"/>
    <x v="1"/>
    <x v="0"/>
    <x v="0"/>
    <x v="4"/>
    <x v="0"/>
    <x v="0"/>
    <x v="0"/>
    <x v="0"/>
    <x v="0"/>
    <x v="4"/>
    <s v="02"/>
    <x v="5"/>
    <x v="0"/>
    <x v="5"/>
    <x v="10"/>
    <n v="-96.3"/>
  </r>
  <r>
    <x v="2"/>
    <x v="0"/>
    <x v="1"/>
    <x v="0"/>
    <x v="0"/>
    <x v="4"/>
    <x v="0"/>
    <x v="0"/>
    <x v="0"/>
    <x v="0"/>
    <x v="0"/>
    <x v="4"/>
    <s v="02"/>
    <x v="5"/>
    <x v="0"/>
    <x v="5"/>
    <x v="1"/>
    <n v="-3054.66"/>
  </r>
  <r>
    <x v="2"/>
    <x v="0"/>
    <x v="1"/>
    <x v="0"/>
    <x v="0"/>
    <x v="4"/>
    <x v="0"/>
    <x v="0"/>
    <x v="0"/>
    <x v="0"/>
    <x v="0"/>
    <x v="4"/>
    <s v="05"/>
    <x v="6"/>
    <x v="0"/>
    <x v="5"/>
    <x v="7"/>
    <n v="-13"/>
  </r>
  <r>
    <x v="2"/>
    <x v="0"/>
    <x v="1"/>
    <x v="0"/>
    <x v="0"/>
    <x v="4"/>
    <x v="0"/>
    <x v="0"/>
    <x v="0"/>
    <x v="0"/>
    <x v="0"/>
    <x v="4"/>
    <s v="05"/>
    <x v="6"/>
    <x v="0"/>
    <x v="5"/>
    <x v="1"/>
    <n v="13"/>
  </r>
  <r>
    <x v="2"/>
    <x v="0"/>
    <x v="1"/>
    <x v="0"/>
    <x v="0"/>
    <x v="4"/>
    <x v="0"/>
    <x v="0"/>
    <x v="0"/>
    <x v="0"/>
    <x v="0"/>
    <x v="4"/>
    <s v="09"/>
    <x v="0"/>
    <x v="0"/>
    <x v="4"/>
    <x v="7"/>
    <n v="431565"/>
  </r>
  <r>
    <x v="2"/>
    <x v="0"/>
    <x v="1"/>
    <x v="0"/>
    <x v="0"/>
    <x v="4"/>
    <x v="0"/>
    <x v="0"/>
    <x v="0"/>
    <x v="0"/>
    <x v="0"/>
    <x v="4"/>
    <s v="09"/>
    <x v="0"/>
    <x v="0"/>
    <x v="5"/>
    <x v="8"/>
    <n v="448402"/>
  </r>
  <r>
    <x v="2"/>
    <x v="0"/>
    <x v="1"/>
    <x v="0"/>
    <x v="0"/>
    <x v="4"/>
    <x v="0"/>
    <x v="0"/>
    <x v="0"/>
    <x v="0"/>
    <x v="0"/>
    <x v="4"/>
    <s v="20"/>
    <x v="7"/>
    <x v="0"/>
    <x v="4"/>
    <x v="0"/>
    <n v="1751.6"/>
  </r>
  <r>
    <x v="2"/>
    <x v="0"/>
    <x v="1"/>
    <x v="0"/>
    <x v="0"/>
    <x v="4"/>
    <x v="0"/>
    <x v="0"/>
    <x v="0"/>
    <x v="0"/>
    <x v="0"/>
    <x v="4"/>
    <s v="20"/>
    <x v="7"/>
    <x v="0"/>
    <x v="4"/>
    <x v="8"/>
    <n v="1476.12"/>
  </r>
  <r>
    <x v="2"/>
    <x v="0"/>
    <x v="1"/>
    <x v="0"/>
    <x v="0"/>
    <x v="4"/>
    <x v="0"/>
    <x v="0"/>
    <x v="0"/>
    <x v="0"/>
    <x v="0"/>
    <x v="4"/>
    <s v="20"/>
    <x v="7"/>
    <x v="0"/>
    <x v="4"/>
    <x v="9"/>
    <n v="8649.74"/>
  </r>
  <r>
    <x v="2"/>
    <x v="0"/>
    <x v="1"/>
    <x v="0"/>
    <x v="0"/>
    <x v="4"/>
    <x v="0"/>
    <x v="0"/>
    <x v="0"/>
    <x v="0"/>
    <x v="0"/>
    <x v="4"/>
    <s v="20"/>
    <x v="7"/>
    <x v="0"/>
    <x v="4"/>
    <x v="10"/>
    <n v="-8773.58"/>
  </r>
  <r>
    <x v="2"/>
    <x v="0"/>
    <x v="1"/>
    <x v="0"/>
    <x v="0"/>
    <x v="4"/>
    <x v="0"/>
    <x v="0"/>
    <x v="0"/>
    <x v="0"/>
    <x v="0"/>
    <x v="4"/>
    <s v="20"/>
    <x v="7"/>
    <x v="0"/>
    <x v="4"/>
    <x v="11"/>
    <n v="-26.66"/>
  </r>
  <r>
    <x v="2"/>
    <x v="0"/>
    <x v="1"/>
    <x v="0"/>
    <x v="0"/>
    <x v="4"/>
    <x v="0"/>
    <x v="0"/>
    <x v="0"/>
    <x v="0"/>
    <x v="0"/>
    <x v="4"/>
    <s v="20"/>
    <x v="7"/>
    <x v="0"/>
    <x v="4"/>
    <x v="4"/>
    <n v="487.37"/>
  </r>
  <r>
    <x v="2"/>
    <x v="0"/>
    <x v="1"/>
    <x v="0"/>
    <x v="0"/>
    <x v="4"/>
    <x v="0"/>
    <x v="0"/>
    <x v="0"/>
    <x v="0"/>
    <x v="0"/>
    <x v="4"/>
    <s v="20"/>
    <x v="7"/>
    <x v="0"/>
    <x v="4"/>
    <x v="7"/>
    <n v="1863.64"/>
  </r>
  <r>
    <x v="2"/>
    <x v="0"/>
    <x v="1"/>
    <x v="0"/>
    <x v="0"/>
    <x v="4"/>
    <x v="0"/>
    <x v="0"/>
    <x v="0"/>
    <x v="0"/>
    <x v="0"/>
    <x v="4"/>
    <s v="20"/>
    <x v="7"/>
    <x v="0"/>
    <x v="4"/>
    <x v="5"/>
    <n v="6029.01"/>
  </r>
  <r>
    <x v="2"/>
    <x v="0"/>
    <x v="1"/>
    <x v="0"/>
    <x v="0"/>
    <x v="4"/>
    <x v="0"/>
    <x v="0"/>
    <x v="0"/>
    <x v="0"/>
    <x v="0"/>
    <x v="4"/>
    <s v="20"/>
    <x v="7"/>
    <x v="0"/>
    <x v="4"/>
    <x v="6"/>
    <n v="13499.55"/>
  </r>
  <r>
    <x v="2"/>
    <x v="0"/>
    <x v="1"/>
    <x v="0"/>
    <x v="0"/>
    <x v="4"/>
    <x v="0"/>
    <x v="0"/>
    <x v="0"/>
    <x v="0"/>
    <x v="0"/>
    <x v="4"/>
    <s v="20"/>
    <x v="7"/>
    <x v="0"/>
    <x v="4"/>
    <x v="1"/>
    <n v="1023.01"/>
  </r>
  <r>
    <x v="2"/>
    <x v="0"/>
    <x v="1"/>
    <x v="0"/>
    <x v="0"/>
    <x v="4"/>
    <x v="0"/>
    <x v="0"/>
    <x v="0"/>
    <x v="0"/>
    <x v="0"/>
    <x v="4"/>
    <s v="20"/>
    <x v="7"/>
    <x v="0"/>
    <x v="5"/>
    <x v="0"/>
    <n v="45"/>
  </r>
  <r>
    <x v="2"/>
    <x v="0"/>
    <x v="1"/>
    <x v="0"/>
    <x v="0"/>
    <x v="4"/>
    <x v="0"/>
    <x v="0"/>
    <x v="0"/>
    <x v="0"/>
    <x v="0"/>
    <x v="4"/>
    <s v="20"/>
    <x v="7"/>
    <x v="0"/>
    <x v="5"/>
    <x v="2"/>
    <n v="835.78"/>
  </r>
  <r>
    <x v="2"/>
    <x v="0"/>
    <x v="1"/>
    <x v="0"/>
    <x v="0"/>
    <x v="4"/>
    <x v="0"/>
    <x v="0"/>
    <x v="0"/>
    <x v="0"/>
    <x v="0"/>
    <x v="4"/>
    <s v="20"/>
    <x v="7"/>
    <x v="0"/>
    <x v="5"/>
    <x v="10"/>
    <n v="3272.37"/>
  </r>
  <r>
    <x v="2"/>
    <x v="0"/>
    <x v="1"/>
    <x v="0"/>
    <x v="0"/>
    <x v="4"/>
    <x v="0"/>
    <x v="0"/>
    <x v="0"/>
    <x v="0"/>
    <x v="0"/>
    <x v="4"/>
    <s v="20"/>
    <x v="7"/>
    <x v="0"/>
    <x v="5"/>
    <x v="11"/>
    <n v="1219.19"/>
  </r>
  <r>
    <x v="2"/>
    <x v="0"/>
    <x v="1"/>
    <x v="0"/>
    <x v="0"/>
    <x v="4"/>
    <x v="0"/>
    <x v="0"/>
    <x v="0"/>
    <x v="0"/>
    <x v="0"/>
    <x v="4"/>
    <s v="20"/>
    <x v="7"/>
    <x v="0"/>
    <x v="5"/>
    <x v="3"/>
    <n v="-32.08"/>
  </r>
  <r>
    <x v="2"/>
    <x v="0"/>
    <x v="1"/>
    <x v="0"/>
    <x v="0"/>
    <x v="4"/>
    <x v="0"/>
    <x v="0"/>
    <x v="0"/>
    <x v="0"/>
    <x v="0"/>
    <x v="4"/>
    <s v="20"/>
    <x v="7"/>
    <x v="0"/>
    <x v="5"/>
    <x v="4"/>
    <n v="1453.72"/>
  </r>
  <r>
    <x v="2"/>
    <x v="0"/>
    <x v="1"/>
    <x v="0"/>
    <x v="0"/>
    <x v="4"/>
    <x v="0"/>
    <x v="0"/>
    <x v="0"/>
    <x v="0"/>
    <x v="0"/>
    <x v="4"/>
    <s v="20"/>
    <x v="7"/>
    <x v="0"/>
    <x v="5"/>
    <x v="7"/>
    <n v="2382.0100000000002"/>
  </r>
  <r>
    <x v="2"/>
    <x v="0"/>
    <x v="1"/>
    <x v="0"/>
    <x v="0"/>
    <x v="4"/>
    <x v="0"/>
    <x v="0"/>
    <x v="0"/>
    <x v="0"/>
    <x v="0"/>
    <x v="4"/>
    <s v="20"/>
    <x v="7"/>
    <x v="0"/>
    <x v="5"/>
    <x v="5"/>
    <n v="-68.849999999999994"/>
  </r>
  <r>
    <x v="2"/>
    <x v="0"/>
    <x v="1"/>
    <x v="0"/>
    <x v="0"/>
    <x v="4"/>
    <x v="0"/>
    <x v="0"/>
    <x v="0"/>
    <x v="0"/>
    <x v="0"/>
    <x v="4"/>
    <s v="20"/>
    <x v="7"/>
    <x v="0"/>
    <x v="5"/>
    <x v="6"/>
    <n v="-19714.87"/>
  </r>
  <r>
    <x v="2"/>
    <x v="0"/>
    <x v="1"/>
    <x v="0"/>
    <x v="0"/>
    <x v="4"/>
    <x v="0"/>
    <x v="0"/>
    <x v="0"/>
    <x v="0"/>
    <x v="0"/>
    <x v="4"/>
    <s v="20"/>
    <x v="7"/>
    <x v="0"/>
    <x v="5"/>
    <x v="1"/>
    <n v="-4296.92"/>
  </r>
  <r>
    <x v="2"/>
    <x v="0"/>
    <x v="1"/>
    <x v="0"/>
    <x v="0"/>
    <x v="4"/>
    <x v="0"/>
    <x v="0"/>
    <x v="0"/>
    <x v="0"/>
    <x v="0"/>
    <x v="4"/>
    <s v="24"/>
    <x v="1"/>
    <x v="0"/>
    <x v="4"/>
    <x v="2"/>
    <n v="3608"/>
  </r>
  <r>
    <x v="2"/>
    <x v="0"/>
    <x v="1"/>
    <x v="0"/>
    <x v="0"/>
    <x v="4"/>
    <x v="0"/>
    <x v="0"/>
    <x v="0"/>
    <x v="0"/>
    <x v="0"/>
    <x v="4"/>
    <s v="24"/>
    <x v="1"/>
    <x v="0"/>
    <x v="4"/>
    <x v="9"/>
    <n v="-36"/>
  </r>
  <r>
    <x v="2"/>
    <x v="0"/>
    <x v="1"/>
    <x v="0"/>
    <x v="0"/>
    <x v="4"/>
    <x v="0"/>
    <x v="0"/>
    <x v="0"/>
    <x v="0"/>
    <x v="0"/>
    <x v="4"/>
    <s v="24"/>
    <x v="1"/>
    <x v="0"/>
    <x v="4"/>
    <x v="10"/>
    <n v="65091865.640000001"/>
  </r>
  <r>
    <x v="2"/>
    <x v="0"/>
    <x v="1"/>
    <x v="0"/>
    <x v="0"/>
    <x v="4"/>
    <x v="0"/>
    <x v="0"/>
    <x v="0"/>
    <x v="0"/>
    <x v="0"/>
    <x v="4"/>
    <s v="24"/>
    <x v="1"/>
    <x v="0"/>
    <x v="4"/>
    <x v="11"/>
    <n v="1409903.04"/>
  </r>
  <r>
    <x v="2"/>
    <x v="0"/>
    <x v="1"/>
    <x v="0"/>
    <x v="0"/>
    <x v="4"/>
    <x v="0"/>
    <x v="0"/>
    <x v="0"/>
    <x v="0"/>
    <x v="0"/>
    <x v="4"/>
    <s v="24"/>
    <x v="1"/>
    <x v="0"/>
    <x v="4"/>
    <x v="4"/>
    <n v="62281215.93"/>
  </r>
  <r>
    <x v="2"/>
    <x v="0"/>
    <x v="1"/>
    <x v="0"/>
    <x v="0"/>
    <x v="4"/>
    <x v="0"/>
    <x v="0"/>
    <x v="0"/>
    <x v="0"/>
    <x v="0"/>
    <x v="4"/>
    <s v="24"/>
    <x v="1"/>
    <x v="0"/>
    <x v="4"/>
    <x v="7"/>
    <n v="475972.71"/>
  </r>
  <r>
    <x v="2"/>
    <x v="0"/>
    <x v="1"/>
    <x v="0"/>
    <x v="0"/>
    <x v="4"/>
    <x v="0"/>
    <x v="0"/>
    <x v="0"/>
    <x v="0"/>
    <x v="0"/>
    <x v="4"/>
    <s v="24"/>
    <x v="1"/>
    <x v="0"/>
    <x v="4"/>
    <x v="5"/>
    <n v="31183987.489999998"/>
  </r>
  <r>
    <x v="2"/>
    <x v="0"/>
    <x v="1"/>
    <x v="0"/>
    <x v="0"/>
    <x v="4"/>
    <x v="0"/>
    <x v="0"/>
    <x v="0"/>
    <x v="0"/>
    <x v="0"/>
    <x v="4"/>
    <s v="24"/>
    <x v="1"/>
    <x v="0"/>
    <x v="4"/>
    <x v="6"/>
    <n v="28679137.600000001"/>
  </r>
  <r>
    <x v="2"/>
    <x v="0"/>
    <x v="1"/>
    <x v="0"/>
    <x v="0"/>
    <x v="4"/>
    <x v="0"/>
    <x v="0"/>
    <x v="0"/>
    <x v="0"/>
    <x v="0"/>
    <x v="4"/>
    <s v="24"/>
    <x v="1"/>
    <x v="0"/>
    <x v="4"/>
    <x v="1"/>
    <n v="315516.92"/>
  </r>
  <r>
    <x v="2"/>
    <x v="0"/>
    <x v="1"/>
    <x v="0"/>
    <x v="0"/>
    <x v="4"/>
    <x v="0"/>
    <x v="0"/>
    <x v="0"/>
    <x v="0"/>
    <x v="0"/>
    <x v="4"/>
    <s v="24"/>
    <x v="1"/>
    <x v="0"/>
    <x v="5"/>
    <x v="9"/>
    <n v="36807122.689999998"/>
  </r>
  <r>
    <x v="2"/>
    <x v="0"/>
    <x v="1"/>
    <x v="0"/>
    <x v="0"/>
    <x v="4"/>
    <x v="0"/>
    <x v="0"/>
    <x v="0"/>
    <x v="0"/>
    <x v="0"/>
    <x v="4"/>
    <s v="24"/>
    <x v="1"/>
    <x v="0"/>
    <x v="5"/>
    <x v="10"/>
    <n v="34329629.390000001"/>
  </r>
  <r>
    <x v="2"/>
    <x v="0"/>
    <x v="1"/>
    <x v="0"/>
    <x v="0"/>
    <x v="4"/>
    <x v="0"/>
    <x v="0"/>
    <x v="0"/>
    <x v="0"/>
    <x v="0"/>
    <x v="4"/>
    <s v="24"/>
    <x v="1"/>
    <x v="0"/>
    <x v="5"/>
    <x v="3"/>
    <n v="1374935.63"/>
  </r>
  <r>
    <x v="2"/>
    <x v="0"/>
    <x v="1"/>
    <x v="0"/>
    <x v="0"/>
    <x v="4"/>
    <x v="0"/>
    <x v="0"/>
    <x v="0"/>
    <x v="0"/>
    <x v="0"/>
    <x v="4"/>
    <s v="24"/>
    <x v="1"/>
    <x v="0"/>
    <x v="5"/>
    <x v="4"/>
    <n v="39660989.890000001"/>
  </r>
  <r>
    <x v="2"/>
    <x v="0"/>
    <x v="1"/>
    <x v="0"/>
    <x v="0"/>
    <x v="4"/>
    <x v="0"/>
    <x v="0"/>
    <x v="0"/>
    <x v="0"/>
    <x v="0"/>
    <x v="4"/>
    <s v="24"/>
    <x v="1"/>
    <x v="0"/>
    <x v="5"/>
    <x v="5"/>
    <n v="67130004.989999995"/>
  </r>
  <r>
    <x v="2"/>
    <x v="0"/>
    <x v="1"/>
    <x v="0"/>
    <x v="0"/>
    <x v="4"/>
    <x v="0"/>
    <x v="0"/>
    <x v="0"/>
    <x v="0"/>
    <x v="0"/>
    <x v="4"/>
    <s v="24"/>
    <x v="1"/>
    <x v="0"/>
    <x v="5"/>
    <x v="1"/>
    <n v="29848838.57"/>
  </r>
  <r>
    <x v="2"/>
    <x v="0"/>
    <x v="1"/>
    <x v="0"/>
    <x v="0"/>
    <x v="4"/>
    <x v="0"/>
    <x v="0"/>
    <x v="0"/>
    <x v="0"/>
    <x v="0"/>
    <x v="4"/>
    <s v="30"/>
    <x v="3"/>
    <x v="0"/>
    <x v="4"/>
    <x v="0"/>
    <n v="869.5"/>
  </r>
  <r>
    <x v="2"/>
    <x v="0"/>
    <x v="1"/>
    <x v="0"/>
    <x v="0"/>
    <x v="4"/>
    <x v="0"/>
    <x v="0"/>
    <x v="0"/>
    <x v="0"/>
    <x v="0"/>
    <x v="4"/>
    <s v="30"/>
    <x v="3"/>
    <x v="0"/>
    <x v="4"/>
    <x v="2"/>
    <n v="100"/>
  </r>
  <r>
    <x v="2"/>
    <x v="0"/>
    <x v="1"/>
    <x v="0"/>
    <x v="0"/>
    <x v="4"/>
    <x v="0"/>
    <x v="0"/>
    <x v="0"/>
    <x v="0"/>
    <x v="0"/>
    <x v="4"/>
    <s v="30"/>
    <x v="3"/>
    <x v="0"/>
    <x v="4"/>
    <x v="8"/>
    <n v="20996.89"/>
  </r>
  <r>
    <x v="2"/>
    <x v="0"/>
    <x v="1"/>
    <x v="0"/>
    <x v="0"/>
    <x v="4"/>
    <x v="0"/>
    <x v="0"/>
    <x v="0"/>
    <x v="0"/>
    <x v="0"/>
    <x v="4"/>
    <s v="30"/>
    <x v="3"/>
    <x v="0"/>
    <x v="4"/>
    <x v="9"/>
    <n v="110"/>
  </r>
  <r>
    <x v="2"/>
    <x v="0"/>
    <x v="1"/>
    <x v="0"/>
    <x v="0"/>
    <x v="4"/>
    <x v="0"/>
    <x v="0"/>
    <x v="0"/>
    <x v="0"/>
    <x v="0"/>
    <x v="4"/>
    <s v="30"/>
    <x v="3"/>
    <x v="0"/>
    <x v="4"/>
    <x v="11"/>
    <n v="2095.29"/>
  </r>
  <r>
    <x v="2"/>
    <x v="0"/>
    <x v="1"/>
    <x v="0"/>
    <x v="0"/>
    <x v="4"/>
    <x v="0"/>
    <x v="0"/>
    <x v="0"/>
    <x v="0"/>
    <x v="0"/>
    <x v="4"/>
    <s v="30"/>
    <x v="3"/>
    <x v="0"/>
    <x v="4"/>
    <x v="3"/>
    <n v="22"/>
  </r>
  <r>
    <x v="2"/>
    <x v="0"/>
    <x v="1"/>
    <x v="0"/>
    <x v="0"/>
    <x v="4"/>
    <x v="0"/>
    <x v="0"/>
    <x v="0"/>
    <x v="0"/>
    <x v="0"/>
    <x v="4"/>
    <s v="30"/>
    <x v="3"/>
    <x v="0"/>
    <x v="4"/>
    <x v="4"/>
    <n v="-270"/>
  </r>
  <r>
    <x v="2"/>
    <x v="0"/>
    <x v="1"/>
    <x v="0"/>
    <x v="0"/>
    <x v="4"/>
    <x v="0"/>
    <x v="0"/>
    <x v="0"/>
    <x v="0"/>
    <x v="0"/>
    <x v="4"/>
    <s v="30"/>
    <x v="3"/>
    <x v="0"/>
    <x v="4"/>
    <x v="7"/>
    <n v="2401.75"/>
  </r>
  <r>
    <x v="2"/>
    <x v="0"/>
    <x v="1"/>
    <x v="0"/>
    <x v="0"/>
    <x v="4"/>
    <x v="0"/>
    <x v="0"/>
    <x v="0"/>
    <x v="0"/>
    <x v="0"/>
    <x v="4"/>
    <s v="30"/>
    <x v="3"/>
    <x v="0"/>
    <x v="4"/>
    <x v="5"/>
    <n v="-40"/>
  </r>
  <r>
    <x v="2"/>
    <x v="0"/>
    <x v="1"/>
    <x v="0"/>
    <x v="0"/>
    <x v="4"/>
    <x v="0"/>
    <x v="0"/>
    <x v="0"/>
    <x v="0"/>
    <x v="0"/>
    <x v="4"/>
    <s v="30"/>
    <x v="3"/>
    <x v="0"/>
    <x v="4"/>
    <x v="6"/>
    <n v="-23.5"/>
  </r>
  <r>
    <x v="2"/>
    <x v="0"/>
    <x v="1"/>
    <x v="0"/>
    <x v="0"/>
    <x v="4"/>
    <x v="0"/>
    <x v="0"/>
    <x v="0"/>
    <x v="0"/>
    <x v="0"/>
    <x v="4"/>
    <s v="30"/>
    <x v="3"/>
    <x v="0"/>
    <x v="4"/>
    <x v="1"/>
    <n v="9935.4599999999991"/>
  </r>
  <r>
    <x v="2"/>
    <x v="0"/>
    <x v="1"/>
    <x v="0"/>
    <x v="0"/>
    <x v="4"/>
    <x v="0"/>
    <x v="0"/>
    <x v="0"/>
    <x v="0"/>
    <x v="0"/>
    <x v="4"/>
    <s v="30"/>
    <x v="3"/>
    <x v="0"/>
    <x v="5"/>
    <x v="10"/>
    <n v="-10"/>
  </r>
  <r>
    <x v="2"/>
    <x v="0"/>
    <x v="1"/>
    <x v="0"/>
    <x v="0"/>
    <x v="4"/>
    <x v="0"/>
    <x v="0"/>
    <x v="0"/>
    <x v="0"/>
    <x v="0"/>
    <x v="4"/>
    <s v="30"/>
    <x v="3"/>
    <x v="0"/>
    <x v="5"/>
    <x v="11"/>
    <n v="974.76"/>
  </r>
  <r>
    <x v="2"/>
    <x v="0"/>
    <x v="1"/>
    <x v="0"/>
    <x v="0"/>
    <x v="4"/>
    <x v="0"/>
    <x v="0"/>
    <x v="0"/>
    <x v="0"/>
    <x v="0"/>
    <x v="4"/>
    <s v="30"/>
    <x v="3"/>
    <x v="0"/>
    <x v="5"/>
    <x v="3"/>
    <n v="5193.05"/>
  </r>
  <r>
    <x v="2"/>
    <x v="0"/>
    <x v="1"/>
    <x v="0"/>
    <x v="0"/>
    <x v="4"/>
    <x v="0"/>
    <x v="0"/>
    <x v="0"/>
    <x v="0"/>
    <x v="0"/>
    <x v="4"/>
    <s v="30"/>
    <x v="3"/>
    <x v="0"/>
    <x v="5"/>
    <x v="4"/>
    <n v="11821.29"/>
  </r>
  <r>
    <x v="2"/>
    <x v="0"/>
    <x v="1"/>
    <x v="0"/>
    <x v="0"/>
    <x v="4"/>
    <x v="0"/>
    <x v="0"/>
    <x v="0"/>
    <x v="0"/>
    <x v="0"/>
    <x v="4"/>
    <s v="30"/>
    <x v="3"/>
    <x v="0"/>
    <x v="5"/>
    <x v="7"/>
    <n v="704.48"/>
  </r>
  <r>
    <x v="2"/>
    <x v="0"/>
    <x v="1"/>
    <x v="0"/>
    <x v="0"/>
    <x v="4"/>
    <x v="0"/>
    <x v="0"/>
    <x v="0"/>
    <x v="0"/>
    <x v="0"/>
    <x v="4"/>
    <s v="30"/>
    <x v="3"/>
    <x v="0"/>
    <x v="5"/>
    <x v="5"/>
    <n v="1830.77"/>
  </r>
  <r>
    <x v="2"/>
    <x v="0"/>
    <x v="1"/>
    <x v="0"/>
    <x v="0"/>
    <x v="4"/>
    <x v="0"/>
    <x v="0"/>
    <x v="0"/>
    <x v="0"/>
    <x v="0"/>
    <x v="4"/>
    <s v="30"/>
    <x v="3"/>
    <x v="0"/>
    <x v="5"/>
    <x v="6"/>
    <n v="257.5"/>
  </r>
  <r>
    <x v="2"/>
    <x v="0"/>
    <x v="1"/>
    <x v="0"/>
    <x v="0"/>
    <x v="4"/>
    <x v="0"/>
    <x v="0"/>
    <x v="0"/>
    <x v="0"/>
    <x v="0"/>
    <x v="4"/>
    <s v="30"/>
    <x v="3"/>
    <x v="0"/>
    <x v="5"/>
    <x v="1"/>
    <n v="-56812.65"/>
  </r>
  <r>
    <x v="2"/>
    <x v="0"/>
    <x v="1"/>
    <x v="0"/>
    <x v="0"/>
    <x v="4"/>
    <x v="0"/>
    <x v="0"/>
    <x v="0"/>
    <x v="0"/>
    <x v="4"/>
    <x v="5"/>
    <s v="21"/>
    <x v="27"/>
    <x v="0"/>
    <x v="4"/>
    <x v="9"/>
    <n v="4800"/>
  </r>
  <r>
    <x v="2"/>
    <x v="0"/>
    <x v="1"/>
    <x v="0"/>
    <x v="0"/>
    <x v="4"/>
    <x v="0"/>
    <x v="0"/>
    <x v="0"/>
    <x v="0"/>
    <x v="4"/>
    <x v="5"/>
    <s v="21"/>
    <x v="27"/>
    <x v="0"/>
    <x v="4"/>
    <x v="4"/>
    <n v="-1469577"/>
  </r>
  <r>
    <x v="2"/>
    <x v="0"/>
    <x v="1"/>
    <x v="0"/>
    <x v="0"/>
    <x v="4"/>
    <x v="0"/>
    <x v="0"/>
    <x v="0"/>
    <x v="0"/>
    <x v="4"/>
    <x v="5"/>
    <s v="21"/>
    <x v="27"/>
    <x v="0"/>
    <x v="4"/>
    <x v="5"/>
    <n v="-336388.03"/>
  </r>
  <r>
    <x v="2"/>
    <x v="0"/>
    <x v="1"/>
    <x v="0"/>
    <x v="0"/>
    <x v="4"/>
    <x v="0"/>
    <x v="0"/>
    <x v="0"/>
    <x v="0"/>
    <x v="4"/>
    <x v="5"/>
    <s v="21"/>
    <x v="27"/>
    <x v="0"/>
    <x v="4"/>
    <x v="1"/>
    <n v="-17891.23"/>
  </r>
  <r>
    <x v="2"/>
    <x v="0"/>
    <x v="1"/>
    <x v="0"/>
    <x v="0"/>
    <x v="4"/>
    <x v="0"/>
    <x v="0"/>
    <x v="0"/>
    <x v="0"/>
    <x v="4"/>
    <x v="5"/>
    <s v="21"/>
    <x v="27"/>
    <x v="0"/>
    <x v="5"/>
    <x v="2"/>
    <n v="-73147.62"/>
  </r>
  <r>
    <x v="2"/>
    <x v="0"/>
    <x v="1"/>
    <x v="0"/>
    <x v="0"/>
    <x v="4"/>
    <x v="0"/>
    <x v="0"/>
    <x v="0"/>
    <x v="0"/>
    <x v="4"/>
    <x v="5"/>
    <s v="21"/>
    <x v="27"/>
    <x v="0"/>
    <x v="5"/>
    <x v="8"/>
    <n v="-67835"/>
  </r>
  <r>
    <x v="2"/>
    <x v="0"/>
    <x v="1"/>
    <x v="0"/>
    <x v="0"/>
    <x v="4"/>
    <x v="0"/>
    <x v="0"/>
    <x v="0"/>
    <x v="0"/>
    <x v="4"/>
    <x v="5"/>
    <s v="21"/>
    <x v="27"/>
    <x v="0"/>
    <x v="5"/>
    <x v="11"/>
    <n v="140983"/>
  </r>
  <r>
    <x v="2"/>
    <x v="0"/>
    <x v="1"/>
    <x v="0"/>
    <x v="0"/>
    <x v="4"/>
    <x v="0"/>
    <x v="0"/>
    <x v="0"/>
    <x v="0"/>
    <x v="4"/>
    <x v="5"/>
    <s v="21"/>
    <x v="27"/>
    <x v="0"/>
    <x v="5"/>
    <x v="5"/>
    <n v="-4800"/>
  </r>
  <r>
    <x v="2"/>
    <x v="0"/>
    <x v="1"/>
    <x v="0"/>
    <x v="0"/>
    <x v="4"/>
    <x v="0"/>
    <x v="0"/>
    <x v="0"/>
    <x v="0"/>
    <x v="4"/>
    <x v="5"/>
    <s v="21"/>
    <x v="27"/>
    <x v="0"/>
    <x v="5"/>
    <x v="1"/>
    <n v="18029.240000000002"/>
  </r>
  <r>
    <x v="2"/>
    <x v="0"/>
    <x v="1"/>
    <x v="0"/>
    <x v="0"/>
    <x v="4"/>
    <x v="0"/>
    <x v="0"/>
    <x v="0"/>
    <x v="0"/>
    <x v="4"/>
    <x v="5"/>
    <s v="22"/>
    <x v="25"/>
    <x v="0"/>
    <x v="4"/>
    <x v="8"/>
    <n v="-49693"/>
  </r>
  <r>
    <x v="2"/>
    <x v="0"/>
    <x v="1"/>
    <x v="0"/>
    <x v="0"/>
    <x v="4"/>
    <x v="0"/>
    <x v="0"/>
    <x v="0"/>
    <x v="0"/>
    <x v="4"/>
    <x v="5"/>
    <s v="22"/>
    <x v="25"/>
    <x v="0"/>
    <x v="4"/>
    <x v="3"/>
    <n v="-8487"/>
  </r>
  <r>
    <x v="2"/>
    <x v="0"/>
    <x v="1"/>
    <x v="0"/>
    <x v="0"/>
    <x v="4"/>
    <x v="0"/>
    <x v="0"/>
    <x v="0"/>
    <x v="0"/>
    <x v="4"/>
    <x v="5"/>
    <s v="22"/>
    <x v="25"/>
    <x v="0"/>
    <x v="4"/>
    <x v="4"/>
    <n v="-7880"/>
  </r>
  <r>
    <x v="2"/>
    <x v="0"/>
    <x v="1"/>
    <x v="0"/>
    <x v="0"/>
    <x v="4"/>
    <x v="0"/>
    <x v="0"/>
    <x v="0"/>
    <x v="0"/>
    <x v="4"/>
    <x v="5"/>
    <s v="22"/>
    <x v="25"/>
    <x v="0"/>
    <x v="4"/>
    <x v="7"/>
    <n v="-174401"/>
  </r>
  <r>
    <x v="2"/>
    <x v="0"/>
    <x v="1"/>
    <x v="0"/>
    <x v="0"/>
    <x v="4"/>
    <x v="0"/>
    <x v="0"/>
    <x v="0"/>
    <x v="0"/>
    <x v="4"/>
    <x v="5"/>
    <s v="22"/>
    <x v="25"/>
    <x v="0"/>
    <x v="5"/>
    <x v="3"/>
    <n v="-9707"/>
  </r>
  <r>
    <x v="2"/>
    <x v="0"/>
    <x v="1"/>
    <x v="0"/>
    <x v="0"/>
    <x v="4"/>
    <x v="0"/>
    <x v="0"/>
    <x v="0"/>
    <x v="0"/>
    <x v="4"/>
    <x v="5"/>
    <s v="22"/>
    <x v="25"/>
    <x v="0"/>
    <x v="5"/>
    <x v="7"/>
    <n v="-174401"/>
  </r>
  <r>
    <x v="2"/>
    <x v="0"/>
    <x v="1"/>
    <x v="0"/>
    <x v="0"/>
    <x v="4"/>
    <x v="0"/>
    <x v="0"/>
    <x v="0"/>
    <x v="0"/>
    <x v="4"/>
    <x v="5"/>
    <s v="22"/>
    <x v="25"/>
    <x v="0"/>
    <x v="5"/>
    <x v="1"/>
    <n v="113"/>
  </r>
  <r>
    <x v="2"/>
    <x v="0"/>
    <x v="1"/>
    <x v="0"/>
    <x v="0"/>
    <x v="4"/>
    <x v="0"/>
    <x v="0"/>
    <x v="0"/>
    <x v="0"/>
    <x v="4"/>
    <x v="5"/>
    <s v="94"/>
    <x v="28"/>
    <x v="0"/>
    <x v="4"/>
    <x v="0"/>
    <n v="-209997.7"/>
  </r>
  <r>
    <x v="2"/>
    <x v="0"/>
    <x v="1"/>
    <x v="0"/>
    <x v="0"/>
    <x v="4"/>
    <x v="0"/>
    <x v="0"/>
    <x v="0"/>
    <x v="0"/>
    <x v="4"/>
    <x v="5"/>
    <s v="94"/>
    <x v="28"/>
    <x v="0"/>
    <x v="4"/>
    <x v="2"/>
    <n v="-75959.75"/>
  </r>
  <r>
    <x v="2"/>
    <x v="0"/>
    <x v="1"/>
    <x v="0"/>
    <x v="0"/>
    <x v="4"/>
    <x v="0"/>
    <x v="0"/>
    <x v="0"/>
    <x v="0"/>
    <x v="4"/>
    <x v="5"/>
    <s v="94"/>
    <x v="28"/>
    <x v="0"/>
    <x v="4"/>
    <x v="8"/>
    <n v="-459.69"/>
  </r>
  <r>
    <x v="2"/>
    <x v="0"/>
    <x v="1"/>
    <x v="0"/>
    <x v="0"/>
    <x v="4"/>
    <x v="0"/>
    <x v="0"/>
    <x v="0"/>
    <x v="0"/>
    <x v="4"/>
    <x v="5"/>
    <s v="94"/>
    <x v="28"/>
    <x v="0"/>
    <x v="4"/>
    <x v="9"/>
    <n v="-1271208.83"/>
  </r>
  <r>
    <x v="2"/>
    <x v="0"/>
    <x v="1"/>
    <x v="0"/>
    <x v="0"/>
    <x v="4"/>
    <x v="0"/>
    <x v="0"/>
    <x v="0"/>
    <x v="0"/>
    <x v="4"/>
    <x v="5"/>
    <s v="94"/>
    <x v="28"/>
    <x v="0"/>
    <x v="4"/>
    <x v="10"/>
    <n v="-443.4"/>
  </r>
  <r>
    <x v="2"/>
    <x v="0"/>
    <x v="1"/>
    <x v="0"/>
    <x v="0"/>
    <x v="4"/>
    <x v="0"/>
    <x v="0"/>
    <x v="0"/>
    <x v="0"/>
    <x v="4"/>
    <x v="5"/>
    <s v="94"/>
    <x v="28"/>
    <x v="0"/>
    <x v="4"/>
    <x v="11"/>
    <n v="-481525.06"/>
  </r>
  <r>
    <x v="2"/>
    <x v="0"/>
    <x v="1"/>
    <x v="0"/>
    <x v="0"/>
    <x v="4"/>
    <x v="0"/>
    <x v="0"/>
    <x v="0"/>
    <x v="0"/>
    <x v="4"/>
    <x v="5"/>
    <s v="94"/>
    <x v="28"/>
    <x v="0"/>
    <x v="4"/>
    <x v="3"/>
    <n v="-872018.25"/>
  </r>
  <r>
    <x v="2"/>
    <x v="0"/>
    <x v="1"/>
    <x v="0"/>
    <x v="0"/>
    <x v="4"/>
    <x v="0"/>
    <x v="0"/>
    <x v="0"/>
    <x v="0"/>
    <x v="4"/>
    <x v="5"/>
    <s v="94"/>
    <x v="28"/>
    <x v="0"/>
    <x v="4"/>
    <x v="4"/>
    <n v="-76125.7"/>
  </r>
  <r>
    <x v="2"/>
    <x v="0"/>
    <x v="1"/>
    <x v="0"/>
    <x v="0"/>
    <x v="4"/>
    <x v="0"/>
    <x v="0"/>
    <x v="0"/>
    <x v="0"/>
    <x v="4"/>
    <x v="5"/>
    <s v="94"/>
    <x v="28"/>
    <x v="0"/>
    <x v="4"/>
    <x v="7"/>
    <n v="-437.64"/>
  </r>
  <r>
    <x v="2"/>
    <x v="0"/>
    <x v="1"/>
    <x v="0"/>
    <x v="0"/>
    <x v="4"/>
    <x v="0"/>
    <x v="0"/>
    <x v="0"/>
    <x v="0"/>
    <x v="4"/>
    <x v="5"/>
    <s v="94"/>
    <x v="28"/>
    <x v="0"/>
    <x v="4"/>
    <x v="5"/>
    <n v="-337527.9"/>
  </r>
  <r>
    <x v="2"/>
    <x v="0"/>
    <x v="1"/>
    <x v="0"/>
    <x v="0"/>
    <x v="4"/>
    <x v="0"/>
    <x v="0"/>
    <x v="0"/>
    <x v="0"/>
    <x v="4"/>
    <x v="5"/>
    <s v="94"/>
    <x v="28"/>
    <x v="0"/>
    <x v="4"/>
    <x v="6"/>
    <n v="-493001.26"/>
  </r>
  <r>
    <x v="2"/>
    <x v="0"/>
    <x v="1"/>
    <x v="0"/>
    <x v="0"/>
    <x v="4"/>
    <x v="0"/>
    <x v="0"/>
    <x v="0"/>
    <x v="0"/>
    <x v="4"/>
    <x v="5"/>
    <s v="94"/>
    <x v="28"/>
    <x v="0"/>
    <x v="4"/>
    <x v="1"/>
    <n v="-954538.09"/>
  </r>
  <r>
    <x v="2"/>
    <x v="0"/>
    <x v="1"/>
    <x v="0"/>
    <x v="0"/>
    <x v="4"/>
    <x v="0"/>
    <x v="0"/>
    <x v="0"/>
    <x v="0"/>
    <x v="4"/>
    <x v="5"/>
    <s v="94"/>
    <x v="28"/>
    <x v="0"/>
    <x v="5"/>
    <x v="0"/>
    <n v="-320183.57"/>
  </r>
  <r>
    <x v="2"/>
    <x v="0"/>
    <x v="1"/>
    <x v="0"/>
    <x v="0"/>
    <x v="4"/>
    <x v="0"/>
    <x v="0"/>
    <x v="0"/>
    <x v="0"/>
    <x v="4"/>
    <x v="5"/>
    <s v="94"/>
    <x v="28"/>
    <x v="0"/>
    <x v="5"/>
    <x v="2"/>
    <n v="-75842.039999999994"/>
  </r>
  <r>
    <x v="2"/>
    <x v="0"/>
    <x v="1"/>
    <x v="0"/>
    <x v="0"/>
    <x v="4"/>
    <x v="0"/>
    <x v="0"/>
    <x v="0"/>
    <x v="0"/>
    <x v="4"/>
    <x v="5"/>
    <s v="94"/>
    <x v="28"/>
    <x v="0"/>
    <x v="5"/>
    <x v="8"/>
    <n v="-427.74"/>
  </r>
  <r>
    <x v="2"/>
    <x v="0"/>
    <x v="1"/>
    <x v="0"/>
    <x v="0"/>
    <x v="4"/>
    <x v="0"/>
    <x v="0"/>
    <x v="0"/>
    <x v="0"/>
    <x v="4"/>
    <x v="5"/>
    <s v="94"/>
    <x v="28"/>
    <x v="0"/>
    <x v="5"/>
    <x v="9"/>
    <n v="-1292613.25"/>
  </r>
  <r>
    <x v="2"/>
    <x v="0"/>
    <x v="1"/>
    <x v="0"/>
    <x v="0"/>
    <x v="4"/>
    <x v="0"/>
    <x v="0"/>
    <x v="0"/>
    <x v="0"/>
    <x v="4"/>
    <x v="5"/>
    <s v="94"/>
    <x v="28"/>
    <x v="0"/>
    <x v="5"/>
    <x v="10"/>
    <n v="-175104.11"/>
  </r>
  <r>
    <x v="2"/>
    <x v="0"/>
    <x v="1"/>
    <x v="0"/>
    <x v="0"/>
    <x v="4"/>
    <x v="0"/>
    <x v="0"/>
    <x v="0"/>
    <x v="0"/>
    <x v="4"/>
    <x v="5"/>
    <s v="94"/>
    <x v="28"/>
    <x v="0"/>
    <x v="5"/>
    <x v="11"/>
    <n v="-284961.78000000003"/>
  </r>
  <r>
    <x v="2"/>
    <x v="0"/>
    <x v="1"/>
    <x v="0"/>
    <x v="0"/>
    <x v="4"/>
    <x v="0"/>
    <x v="0"/>
    <x v="0"/>
    <x v="0"/>
    <x v="4"/>
    <x v="5"/>
    <s v="94"/>
    <x v="28"/>
    <x v="0"/>
    <x v="5"/>
    <x v="3"/>
    <n v="-759611.2"/>
  </r>
  <r>
    <x v="2"/>
    <x v="0"/>
    <x v="1"/>
    <x v="0"/>
    <x v="0"/>
    <x v="4"/>
    <x v="0"/>
    <x v="0"/>
    <x v="0"/>
    <x v="0"/>
    <x v="4"/>
    <x v="5"/>
    <s v="94"/>
    <x v="28"/>
    <x v="0"/>
    <x v="5"/>
    <x v="4"/>
    <n v="-76099.72"/>
  </r>
  <r>
    <x v="2"/>
    <x v="0"/>
    <x v="1"/>
    <x v="0"/>
    <x v="0"/>
    <x v="4"/>
    <x v="0"/>
    <x v="0"/>
    <x v="0"/>
    <x v="0"/>
    <x v="4"/>
    <x v="5"/>
    <s v="94"/>
    <x v="28"/>
    <x v="0"/>
    <x v="5"/>
    <x v="7"/>
    <n v="-692.46"/>
  </r>
  <r>
    <x v="2"/>
    <x v="0"/>
    <x v="1"/>
    <x v="0"/>
    <x v="0"/>
    <x v="4"/>
    <x v="0"/>
    <x v="0"/>
    <x v="0"/>
    <x v="0"/>
    <x v="4"/>
    <x v="5"/>
    <s v="94"/>
    <x v="28"/>
    <x v="0"/>
    <x v="5"/>
    <x v="5"/>
    <n v="-312201.23"/>
  </r>
  <r>
    <x v="2"/>
    <x v="0"/>
    <x v="1"/>
    <x v="0"/>
    <x v="0"/>
    <x v="4"/>
    <x v="0"/>
    <x v="0"/>
    <x v="0"/>
    <x v="0"/>
    <x v="4"/>
    <x v="5"/>
    <s v="94"/>
    <x v="28"/>
    <x v="0"/>
    <x v="5"/>
    <x v="6"/>
    <n v="-500456.8"/>
  </r>
  <r>
    <x v="2"/>
    <x v="0"/>
    <x v="1"/>
    <x v="0"/>
    <x v="0"/>
    <x v="4"/>
    <x v="0"/>
    <x v="0"/>
    <x v="0"/>
    <x v="0"/>
    <x v="4"/>
    <x v="5"/>
    <s v="94"/>
    <x v="28"/>
    <x v="0"/>
    <x v="5"/>
    <x v="1"/>
    <n v="-790475.24"/>
  </r>
  <r>
    <x v="2"/>
    <x v="0"/>
    <x v="1"/>
    <x v="0"/>
    <x v="0"/>
    <x v="4"/>
    <x v="0"/>
    <x v="0"/>
    <x v="0"/>
    <x v="0"/>
    <x v="5"/>
    <x v="6"/>
    <s v="20"/>
    <x v="29"/>
    <x v="0"/>
    <x v="5"/>
    <x v="11"/>
    <n v="-61.85"/>
  </r>
  <r>
    <x v="2"/>
    <x v="0"/>
    <x v="1"/>
    <x v="0"/>
    <x v="0"/>
    <x v="4"/>
    <x v="0"/>
    <x v="0"/>
    <x v="0"/>
    <x v="0"/>
    <x v="5"/>
    <x v="6"/>
    <s v="20"/>
    <x v="29"/>
    <x v="0"/>
    <x v="5"/>
    <x v="5"/>
    <n v="61.85"/>
  </r>
  <r>
    <x v="2"/>
    <x v="0"/>
    <x v="1"/>
    <x v="0"/>
    <x v="0"/>
    <x v="0"/>
    <x v="0"/>
    <x v="0"/>
    <x v="0"/>
    <x v="1"/>
    <x v="1"/>
    <x v="8"/>
    <s v="41"/>
    <x v="4"/>
    <x v="0"/>
    <x v="4"/>
    <x v="1"/>
    <n v="811984"/>
  </r>
  <r>
    <x v="2"/>
    <x v="0"/>
    <x v="1"/>
    <x v="0"/>
    <x v="0"/>
    <x v="0"/>
    <x v="0"/>
    <x v="0"/>
    <x v="0"/>
    <x v="1"/>
    <x v="1"/>
    <x v="8"/>
    <s v="41"/>
    <x v="4"/>
    <x v="0"/>
    <x v="5"/>
    <x v="9"/>
    <n v="1938630"/>
  </r>
  <r>
    <x v="2"/>
    <x v="0"/>
    <x v="1"/>
    <x v="0"/>
    <x v="0"/>
    <x v="0"/>
    <x v="0"/>
    <x v="0"/>
    <x v="0"/>
    <x v="1"/>
    <x v="1"/>
    <x v="8"/>
    <s v="41"/>
    <x v="4"/>
    <x v="0"/>
    <x v="5"/>
    <x v="10"/>
    <n v="2527530"/>
  </r>
  <r>
    <x v="2"/>
    <x v="0"/>
    <x v="1"/>
    <x v="0"/>
    <x v="0"/>
    <x v="0"/>
    <x v="0"/>
    <x v="0"/>
    <x v="0"/>
    <x v="0"/>
    <x v="0"/>
    <x v="4"/>
    <s v="09"/>
    <x v="0"/>
    <x v="0"/>
    <x v="4"/>
    <x v="0"/>
    <n v="19803.830000000002"/>
  </r>
  <r>
    <x v="2"/>
    <x v="0"/>
    <x v="1"/>
    <x v="0"/>
    <x v="0"/>
    <x v="0"/>
    <x v="0"/>
    <x v="0"/>
    <x v="0"/>
    <x v="0"/>
    <x v="0"/>
    <x v="4"/>
    <s v="09"/>
    <x v="0"/>
    <x v="0"/>
    <x v="4"/>
    <x v="2"/>
    <n v="9290.3700000000008"/>
  </r>
  <r>
    <x v="2"/>
    <x v="0"/>
    <x v="1"/>
    <x v="0"/>
    <x v="0"/>
    <x v="0"/>
    <x v="0"/>
    <x v="0"/>
    <x v="0"/>
    <x v="0"/>
    <x v="0"/>
    <x v="4"/>
    <s v="09"/>
    <x v="0"/>
    <x v="0"/>
    <x v="4"/>
    <x v="8"/>
    <n v="11741.69"/>
  </r>
  <r>
    <x v="2"/>
    <x v="0"/>
    <x v="1"/>
    <x v="0"/>
    <x v="0"/>
    <x v="0"/>
    <x v="0"/>
    <x v="0"/>
    <x v="0"/>
    <x v="0"/>
    <x v="0"/>
    <x v="4"/>
    <s v="09"/>
    <x v="0"/>
    <x v="0"/>
    <x v="4"/>
    <x v="9"/>
    <n v="33972.18"/>
  </r>
  <r>
    <x v="2"/>
    <x v="0"/>
    <x v="1"/>
    <x v="0"/>
    <x v="0"/>
    <x v="0"/>
    <x v="0"/>
    <x v="0"/>
    <x v="0"/>
    <x v="0"/>
    <x v="0"/>
    <x v="4"/>
    <s v="09"/>
    <x v="0"/>
    <x v="0"/>
    <x v="4"/>
    <x v="10"/>
    <n v="48449.41"/>
  </r>
  <r>
    <x v="2"/>
    <x v="0"/>
    <x v="1"/>
    <x v="0"/>
    <x v="0"/>
    <x v="0"/>
    <x v="0"/>
    <x v="0"/>
    <x v="0"/>
    <x v="0"/>
    <x v="0"/>
    <x v="4"/>
    <s v="09"/>
    <x v="0"/>
    <x v="0"/>
    <x v="4"/>
    <x v="11"/>
    <n v="30286.75"/>
  </r>
  <r>
    <x v="2"/>
    <x v="0"/>
    <x v="1"/>
    <x v="0"/>
    <x v="0"/>
    <x v="0"/>
    <x v="0"/>
    <x v="0"/>
    <x v="0"/>
    <x v="0"/>
    <x v="0"/>
    <x v="4"/>
    <s v="09"/>
    <x v="0"/>
    <x v="0"/>
    <x v="4"/>
    <x v="3"/>
    <n v="31998.14"/>
  </r>
  <r>
    <x v="2"/>
    <x v="0"/>
    <x v="1"/>
    <x v="0"/>
    <x v="0"/>
    <x v="0"/>
    <x v="0"/>
    <x v="0"/>
    <x v="0"/>
    <x v="0"/>
    <x v="0"/>
    <x v="4"/>
    <s v="09"/>
    <x v="0"/>
    <x v="0"/>
    <x v="4"/>
    <x v="4"/>
    <n v="38941.57"/>
  </r>
  <r>
    <x v="2"/>
    <x v="0"/>
    <x v="1"/>
    <x v="0"/>
    <x v="0"/>
    <x v="0"/>
    <x v="0"/>
    <x v="0"/>
    <x v="0"/>
    <x v="0"/>
    <x v="0"/>
    <x v="4"/>
    <s v="09"/>
    <x v="0"/>
    <x v="0"/>
    <x v="4"/>
    <x v="7"/>
    <n v="41068.589999999997"/>
  </r>
  <r>
    <x v="2"/>
    <x v="0"/>
    <x v="1"/>
    <x v="0"/>
    <x v="0"/>
    <x v="0"/>
    <x v="0"/>
    <x v="0"/>
    <x v="0"/>
    <x v="0"/>
    <x v="0"/>
    <x v="4"/>
    <s v="09"/>
    <x v="0"/>
    <x v="0"/>
    <x v="4"/>
    <x v="5"/>
    <n v="46306.49"/>
  </r>
  <r>
    <x v="2"/>
    <x v="0"/>
    <x v="1"/>
    <x v="0"/>
    <x v="0"/>
    <x v="0"/>
    <x v="0"/>
    <x v="0"/>
    <x v="0"/>
    <x v="0"/>
    <x v="0"/>
    <x v="4"/>
    <s v="09"/>
    <x v="0"/>
    <x v="0"/>
    <x v="4"/>
    <x v="6"/>
    <n v="9906.5400000000009"/>
  </r>
  <r>
    <x v="2"/>
    <x v="0"/>
    <x v="1"/>
    <x v="0"/>
    <x v="0"/>
    <x v="0"/>
    <x v="0"/>
    <x v="0"/>
    <x v="0"/>
    <x v="0"/>
    <x v="0"/>
    <x v="4"/>
    <s v="09"/>
    <x v="0"/>
    <x v="0"/>
    <x v="4"/>
    <x v="1"/>
    <n v="67404.100000000006"/>
  </r>
  <r>
    <x v="2"/>
    <x v="0"/>
    <x v="1"/>
    <x v="0"/>
    <x v="0"/>
    <x v="0"/>
    <x v="0"/>
    <x v="0"/>
    <x v="0"/>
    <x v="0"/>
    <x v="0"/>
    <x v="4"/>
    <s v="09"/>
    <x v="0"/>
    <x v="0"/>
    <x v="5"/>
    <x v="0"/>
    <n v="10647.15"/>
  </r>
  <r>
    <x v="2"/>
    <x v="0"/>
    <x v="1"/>
    <x v="0"/>
    <x v="0"/>
    <x v="0"/>
    <x v="0"/>
    <x v="0"/>
    <x v="0"/>
    <x v="0"/>
    <x v="0"/>
    <x v="4"/>
    <s v="09"/>
    <x v="0"/>
    <x v="0"/>
    <x v="5"/>
    <x v="2"/>
    <n v="3803.27"/>
  </r>
  <r>
    <x v="2"/>
    <x v="0"/>
    <x v="1"/>
    <x v="0"/>
    <x v="0"/>
    <x v="0"/>
    <x v="0"/>
    <x v="0"/>
    <x v="0"/>
    <x v="0"/>
    <x v="0"/>
    <x v="4"/>
    <s v="09"/>
    <x v="0"/>
    <x v="0"/>
    <x v="5"/>
    <x v="8"/>
    <n v="15511.62"/>
  </r>
  <r>
    <x v="2"/>
    <x v="0"/>
    <x v="1"/>
    <x v="0"/>
    <x v="0"/>
    <x v="0"/>
    <x v="0"/>
    <x v="0"/>
    <x v="0"/>
    <x v="0"/>
    <x v="0"/>
    <x v="4"/>
    <s v="09"/>
    <x v="0"/>
    <x v="0"/>
    <x v="5"/>
    <x v="9"/>
    <n v="33400.839999999997"/>
  </r>
  <r>
    <x v="2"/>
    <x v="0"/>
    <x v="1"/>
    <x v="0"/>
    <x v="0"/>
    <x v="0"/>
    <x v="0"/>
    <x v="0"/>
    <x v="0"/>
    <x v="0"/>
    <x v="0"/>
    <x v="4"/>
    <s v="09"/>
    <x v="0"/>
    <x v="0"/>
    <x v="5"/>
    <x v="10"/>
    <n v="39850.910000000003"/>
  </r>
  <r>
    <x v="2"/>
    <x v="0"/>
    <x v="1"/>
    <x v="0"/>
    <x v="0"/>
    <x v="0"/>
    <x v="0"/>
    <x v="0"/>
    <x v="0"/>
    <x v="0"/>
    <x v="0"/>
    <x v="4"/>
    <s v="09"/>
    <x v="0"/>
    <x v="0"/>
    <x v="5"/>
    <x v="11"/>
    <n v="47602.66"/>
  </r>
  <r>
    <x v="2"/>
    <x v="0"/>
    <x v="1"/>
    <x v="0"/>
    <x v="0"/>
    <x v="0"/>
    <x v="0"/>
    <x v="0"/>
    <x v="0"/>
    <x v="0"/>
    <x v="0"/>
    <x v="4"/>
    <s v="09"/>
    <x v="0"/>
    <x v="0"/>
    <x v="5"/>
    <x v="3"/>
    <n v="38536.21"/>
  </r>
  <r>
    <x v="2"/>
    <x v="0"/>
    <x v="1"/>
    <x v="0"/>
    <x v="0"/>
    <x v="0"/>
    <x v="0"/>
    <x v="0"/>
    <x v="0"/>
    <x v="0"/>
    <x v="0"/>
    <x v="4"/>
    <s v="09"/>
    <x v="0"/>
    <x v="0"/>
    <x v="5"/>
    <x v="4"/>
    <n v="61765.53"/>
  </r>
  <r>
    <x v="2"/>
    <x v="0"/>
    <x v="1"/>
    <x v="0"/>
    <x v="0"/>
    <x v="0"/>
    <x v="0"/>
    <x v="0"/>
    <x v="0"/>
    <x v="0"/>
    <x v="0"/>
    <x v="4"/>
    <s v="09"/>
    <x v="0"/>
    <x v="0"/>
    <x v="5"/>
    <x v="7"/>
    <n v="70577.63"/>
  </r>
  <r>
    <x v="2"/>
    <x v="0"/>
    <x v="1"/>
    <x v="0"/>
    <x v="0"/>
    <x v="0"/>
    <x v="0"/>
    <x v="0"/>
    <x v="0"/>
    <x v="0"/>
    <x v="0"/>
    <x v="4"/>
    <s v="09"/>
    <x v="0"/>
    <x v="0"/>
    <x v="5"/>
    <x v="5"/>
    <n v="60519.47"/>
  </r>
  <r>
    <x v="2"/>
    <x v="0"/>
    <x v="1"/>
    <x v="0"/>
    <x v="0"/>
    <x v="0"/>
    <x v="0"/>
    <x v="0"/>
    <x v="0"/>
    <x v="0"/>
    <x v="0"/>
    <x v="4"/>
    <s v="09"/>
    <x v="0"/>
    <x v="0"/>
    <x v="5"/>
    <x v="6"/>
    <n v="65438.63"/>
  </r>
  <r>
    <x v="2"/>
    <x v="0"/>
    <x v="1"/>
    <x v="0"/>
    <x v="0"/>
    <x v="0"/>
    <x v="0"/>
    <x v="0"/>
    <x v="0"/>
    <x v="0"/>
    <x v="0"/>
    <x v="4"/>
    <s v="09"/>
    <x v="0"/>
    <x v="0"/>
    <x v="5"/>
    <x v="1"/>
    <n v="39506.199999999997"/>
  </r>
  <r>
    <x v="2"/>
    <x v="0"/>
    <x v="1"/>
    <x v="0"/>
    <x v="0"/>
    <x v="0"/>
    <x v="0"/>
    <x v="0"/>
    <x v="0"/>
    <x v="0"/>
    <x v="0"/>
    <x v="4"/>
    <s v="20"/>
    <x v="7"/>
    <x v="0"/>
    <x v="4"/>
    <x v="2"/>
    <n v="30"/>
  </r>
  <r>
    <x v="2"/>
    <x v="0"/>
    <x v="1"/>
    <x v="0"/>
    <x v="0"/>
    <x v="0"/>
    <x v="0"/>
    <x v="0"/>
    <x v="0"/>
    <x v="0"/>
    <x v="0"/>
    <x v="4"/>
    <s v="20"/>
    <x v="7"/>
    <x v="0"/>
    <x v="4"/>
    <x v="8"/>
    <n v="-30"/>
  </r>
  <r>
    <x v="2"/>
    <x v="0"/>
    <x v="1"/>
    <x v="0"/>
    <x v="0"/>
    <x v="0"/>
    <x v="0"/>
    <x v="0"/>
    <x v="0"/>
    <x v="0"/>
    <x v="0"/>
    <x v="4"/>
    <s v="20"/>
    <x v="7"/>
    <x v="0"/>
    <x v="4"/>
    <x v="10"/>
    <n v="1593.71"/>
  </r>
  <r>
    <x v="2"/>
    <x v="0"/>
    <x v="1"/>
    <x v="0"/>
    <x v="0"/>
    <x v="0"/>
    <x v="0"/>
    <x v="0"/>
    <x v="0"/>
    <x v="0"/>
    <x v="0"/>
    <x v="4"/>
    <s v="20"/>
    <x v="7"/>
    <x v="0"/>
    <x v="4"/>
    <x v="11"/>
    <n v="-1618.71"/>
  </r>
  <r>
    <x v="2"/>
    <x v="0"/>
    <x v="1"/>
    <x v="0"/>
    <x v="0"/>
    <x v="0"/>
    <x v="0"/>
    <x v="0"/>
    <x v="0"/>
    <x v="0"/>
    <x v="0"/>
    <x v="4"/>
    <s v="20"/>
    <x v="7"/>
    <x v="0"/>
    <x v="4"/>
    <x v="3"/>
    <n v="-39.9"/>
  </r>
  <r>
    <x v="2"/>
    <x v="0"/>
    <x v="1"/>
    <x v="0"/>
    <x v="0"/>
    <x v="0"/>
    <x v="0"/>
    <x v="0"/>
    <x v="0"/>
    <x v="0"/>
    <x v="0"/>
    <x v="4"/>
    <s v="20"/>
    <x v="7"/>
    <x v="0"/>
    <x v="4"/>
    <x v="4"/>
    <n v="39.9"/>
  </r>
  <r>
    <x v="2"/>
    <x v="0"/>
    <x v="1"/>
    <x v="0"/>
    <x v="0"/>
    <x v="0"/>
    <x v="0"/>
    <x v="0"/>
    <x v="0"/>
    <x v="0"/>
    <x v="0"/>
    <x v="4"/>
    <s v="20"/>
    <x v="7"/>
    <x v="0"/>
    <x v="4"/>
    <x v="5"/>
    <n v="855.42"/>
  </r>
  <r>
    <x v="2"/>
    <x v="0"/>
    <x v="1"/>
    <x v="0"/>
    <x v="0"/>
    <x v="0"/>
    <x v="0"/>
    <x v="0"/>
    <x v="0"/>
    <x v="0"/>
    <x v="0"/>
    <x v="4"/>
    <s v="20"/>
    <x v="7"/>
    <x v="0"/>
    <x v="4"/>
    <x v="6"/>
    <n v="-855.42"/>
  </r>
  <r>
    <x v="2"/>
    <x v="0"/>
    <x v="1"/>
    <x v="0"/>
    <x v="0"/>
    <x v="0"/>
    <x v="0"/>
    <x v="0"/>
    <x v="0"/>
    <x v="0"/>
    <x v="0"/>
    <x v="4"/>
    <s v="20"/>
    <x v="7"/>
    <x v="0"/>
    <x v="4"/>
    <x v="1"/>
    <n v="25"/>
  </r>
  <r>
    <x v="2"/>
    <x v="0"/>
    <x v="1"/>
    <x v="0"/>
    <x v="0"/>
    <x v="0"/>
    <x v="0"/>
    <x v="0"/>
    <x v="0"/>
    <x v="0"/>
    <x v="0"/>
    <x v="4"/>
    <s v="20"/>
    <x v="7"/>
    <x v="0"/>
    <x v="5"/>
    <x v="0"/>
    <n v="1139.04"/>
  </r>
  <r>
    <x v="2"/>
    <x v="0"/>
    <x v="1"/>
    <x v="0"/>
    <x v="0"/>
    <x v="0"/>
    <x v="0"/>
    <x v="0"/>
    <x v="0"/>
    <x v="0"/>
    <x v="0"/>
    <x v="4"/>
    <s v="20"/>
    <x v="7"/>
    <x v="0"/>
    <x v="5"/>
    <x v="2"/>
    <n v="-1139.04"/>
  </r>
  <r>
    <x v="2"/>
    <x v="0"/>
    <x v="1"/>
    <x v="0"/>
    <x v="0"/>
    <x v="0"/>
    <x v="0"/>
    <x v="0"/>
    <x v="0"/>
    <x v="0"/>
    <x v="0"/>
    <x v="4"/>
    <s v="24"/>
    <x v="1"/>
    <x v="0"/>
    <x v="4"/>
    <x v="0"/>
    <n v="-12849.05"/>
  </r>
  <r>
    <x v="2"/>
    <x v="0"/>
    <x v="1"/>
    <x v="0"/>
    <x v="0"/>
    <x v="0"/>
    <x v="0"/>
    <x v="0"/>
    <x v="0"/>
    <x v="0"/>
    <x v="0"/>
    <x v="4"/>
    <s v="24"/>
    <x v="1"/>
    <x v="0"/>
    <x v="4"/>
    <x v="2"/>
    <n v="24869935.670000002"/>
  </r>
  <r>
    <x v="2"/>
    <x v="0"/>
    <x v="1"/>
    <x v="0"/>
    <x v="0"/>
    <x v="0"/>
    <x v="0"/>
    <x v="0"/>
    <x v="0"/>
    <x v="0"/>
    <x v="0"/>
    <x v="4"/>
    <s v="24"/>
    <x v="1"/>
    <x v="0"/>
    <x v="4"/>
    <x v="8"/>
    <n v="18410579.18"/>
  </r>
  <r>
    <x v="2"/>
    <x v="0"/>
    <x v="1"/>
    <x v="0"/>
    <x v="0"/>
    <x v="0"/>
    <x v="0"/>
    <x v="0"/>
    <x v="0"/>
    <x v="0"/>
    <x v="0"/>
    <x v="4"/>
    <s v="24"/>
    <x v="1"/>
    <x v="0"/>
    <x v="4"/>
    <x v="9"/>
    <n v="823923.47"/>
  </r>
  <r>
    <x v="2"/>
    <x v="0"/>
    <x v="1"/>
    <x v="0"/>
    <x v="0"/>
    <x v="0"/>
    <x v="0"/>
    <x v="0"/>
    <x v="0"/>
    <x v="0"/>
    <x v="0"/>
    <x v="4"/>
    <s v="24"/>
    <x v="1"/>
    <x v="0"/>
    <x v="4"/>
    <x v="10"/>
    <n v="724003.72"/>
  </r>
  <r>
    <x v="2"/>
    <x v="0"/>
    <x v="1"/>
    <x v="0"/>
    <x v="0"/>
    <x v="0"/>
    <x v="0"/>
    <x v="0"/>
    <x v="0"/>
    <x v="0"/>
    <x v="0"/>
    <x v="4"/>
    <s v="24"/>
    <x v="1"/>
    <x v="0"/>
    <x v="4"/>
    <x v="11"/>
    <n v="-343077.61"/>
  </r>
  <r>
    <x v="2"/>
    <x v="0"/>
    <x v="1"/>
    <x v="0"/>
    <x v="0"/>
    <x v="0"/>
    <x v="0"/>
    <x v="0"/>
    <x v="0"/>
    <x v="0"/>
    <x v="0"/>
    <x v="4"/>
    <s v="24"/>
    <x v="1"/>
    <x v="0"/>
    <x v="4"/>
    <x v="3"/>
    <n v="31862356.199999999"/>
  </r>
  <r>
    <x v="2"/>
    <x v="0"/>
    <x v="1"/>
    <x v="0"/>
    <x v="0"/>
    <x v="0"/>
    <x v="0"/>
    <x v="0"/>
    <x v="0"/>
    <x v="0"/>
    <x v="0"/>
    <x v="4"/>
    <s v="24"/>
    <x v="1"/>
    <x v="0"/>
    <x v="4"/>
    <x v="4"/>
    <n v="8521510.2899999991"/>
  </r>
  <r>
    <x v="2"/>
    <x v="0"/>
    <x v="1"/>
    <x v="0"/>
    <x v="0"/>
    <x v="0"/>
    <x v="0"/>
    <x v="0"/>
    <x v="0"/>
    <x v="0"/>
    <x v="0"/>
    <x v="4"/>
    <s v="24"/>
    <x v="1"/>
    <x v="0"/>
    <x v="4"/>
    <x v="7"/>
    <n v="317401.08"/>
  </r>
  <r>
    <x v="2"/>
    <x v="0"/>
    <x v="1"/>
    <x v="0"/>
    <x v="0"/>
    <x v="0"/>
    <x v="0"/>
    <x v="0"/>
    <x v="0"/>
    <x v="0"/>
    <x v="0"/>
    <x v="4"/>
    <s v="24"/>
    <x v="1"/>
    <x v="0"/>
    <x v="4"/>
    <x v="5"/>
    <n v="-242641.48"/>
  </r>
  <r>
    <x v="2"/>
    <x v="0"/>
    <x v="1"/>
    <x v="0"/>
    <x v="0"/>
    <x v="0"/>
    <x v="0"/>
    <x v="0"/>
    <x v="0"/>
    <x v="0"/>
    <x v="0"/>
    <x v="4"/>
    <s v="24"/>
    <x v="1"/>
    <x v="0"/>
    <x v="4"/>
    <x v="6"/>
    <n v="93403.839999999997"/>
  </r>
  <r>
    <x v="2"/>
    <x v="0"/>
    <x v="1"/>
    <x v="0"/>
    <x v="0"/>
    <x v="0"/>
    <x v="0"/>
    <x v="0"/>
    <x v="0"/>
    <x v="0"/>
    <x v="0"/>
    <x v="4"/>
    <s v="24"/>
    <x v="1"/>
    <x v="0"/>
    <x v="4"/>
    <x v="1"/>
    <n v="643677"/>
  </r>
  <r>
    <x v="2"/>
    <x v="0"/>
    <x v="1"/>
    <x v="0"/>
    <x v="0"/>
    <x v="0"/>
    <x v="0"/>
    <x v="0"/>
    <x v="0"/>
    <x v="0"/>
    <x v="0"/>
    <x v="4"/>
    <s v="24"/>
    <x v="1"/>
    <x v="0"/>
    <x v="5"/>
    <x v="0"/>
    <n v="-118425.5"/>
  </r>
  <r>
    <x v="2"/>
    <x v="0"/>
    <x v="1"/>
    <x v="0"/>
    <x v="0"/>
    <x v="0"/>
    <x v="0"/>
    <x v="0"/>
    <x v="0"/>
    <x v="0"/>
    <x v="0"/>
    <x v="4"/>
    <s v="24"/>
    <x v="1"/>
    <x v="0"/>
    <x v="5"/>
    <x v="2"/>
    <n v="30889682.260000002"/>
  </r>
  <r>
    <x v="2"/>
    <x v="0"/>
    <x v="1"/>
    <x v="0"/>
    <x v="0"/>
    <x v="0"/>
    <x v="0"/>
    <x v="0"/>
    <x v="0"/>
    <x v="0"/>
    <x v="0"/>
    <x v="4"/>
    <s v="24"/>
    <x v="1"/>
    <x v="0"/>
    <x v="5"/>
    <x v="8"/>
    <n v="16953990.109999999"/>
  </r>
  <r>
    <x v="2"/>
    <x v="0"/>
    <x v="1"/>
    <x v="0"/>
    <x v="0"/>
    <x v="0"/>
    <x v="0"/>
    <x v="0"/>
    <x v="0"/>
    <x v="0"/>
    <x v="0"/>
    <x v="4"/>
    <s v="24"/>
    <x v="1"/>
    <x v="0"/>
    <x v="5"/>
    <x v="9"/>
    <n v="1262785.21"/>
  </r>
  <r>
    <x v="2"/>
    <x v="0"/>
    <x v="1"/>
    <x v="0"/>
    <x v="0"/>
    <x v="0"/>
    <x v="0"/>
    <x v="0"/>
    <x v="0"/>
    <x v="0"/>
    <x v="0"/>
    <x v="4"/>
    <s v="24"/>
    <x v="1"/>
    <x v="0"/>
    <x v="5"/>
    <x v="10"/>
    <n v="378424.5"/>
  </r>
  <r>
    <x v="2"/>
    <x v="0"/>
    <x v="1"/>
    <x v="0"/>
    <x v="0"/>
    <x v="0"/>
    <x v="0"/>
    <x v="0"/>
    <x v="0"/>
    <x v="0"/>
    <x v="0"/>
    <x v="4"/>
    <s v="24"/>
    <x v="1"/>
    <x v="0"/>
    <x v="5"/>
    <x v="11"/>
    <n v="147198.25"/>
  </r>
  <r>
    <x v="2"/>
    <x v="0"/>
    <x v="1"/>
    <x v="0"/>
    <x v="0"/>
    <x v="0"/>
    <x v="0"/>
    <x v="0"/>
    <x v="0"/>
    <x v="0"/>
    <x v="0"/>
    <x v="4"/>
    <s v="24"/>
    <x v="1"/>
    <x v="0"/>
    <x v="5"/>
    <x v="3"/>
    <n v="36955372.640000001"/>
  </r>
  <r>
    <x v="2"/>
    <x v="0"/>
    <x v="1"/>
    <x v="0"/>
    <x v="0"/>
    <x v="0"/>
    <x v="0"/>
    <x v="0"/>
    <x v="0"/>
    <x v="0"/>
    <x v="0"/>
    <x v="4"/>
    <s v="24"/>
    <x v="1"/>
    <x v="0"/>
    <x v="5"/>
    <x v="4"/>
    <n v="8911206.25"/>
  </r>
  <r>
    <x v="2"/>
    <x v="0"/>
    <x v="1"/>
    <x v="0"/>
    <x v="0"/>
    <x v="0"/>
    <x v="0"/>
    <x v="0"/>
    <x v="0"/>
    <x v="0"/>
    <x v="0"/>
    <x v="4"/>
    <s v="24"/>
    <x v="1"/>
    <x v="0"/>
    <x v="5"/>
    <x v="7"/>
    <n v="-597510.55000000005"/>
  </r>
  <r>
    <x v="2"/>
    <x v="0"/>
    <x v="1"/>
    <x v="0"/>
    <x v="0"/>
    <x v="0"/>
    <x v="0"/>
    <x v="0"/>
    <x v="0"/>
    <x v="0"/>
    <x v="0"/>
    <x v="4"/>
    <s v="24"/>
    <x v="1"/>
    <x v="0"/>
    <x v="5"/>
    <x v="5"/>
    <n v="227206.16"/>
  </r>
  <r>
    <x v="2"/>
    <x v="0"/>
    <x v="1"/>
    <x v="0"/>
    <x v="0"/>
    <x v="0"/>
    <x v="0"/>
    <x v="0"/>
    <x v="0"/>
    <x v="0"/>
    <x v="0"/>
    <x v="4"/>
    <s v="24"/>
    <x v="1"/>
    <x v="0"/>
    <x v="5"/>
    <x v="6"/>
    <n v="-304637.63"/>
  </r>
  <r>
    <x v="2"/>
    <x v="0"/>
    <x v="1"/>
    <x v="0"/>
    <x v="0"/>
    <x v="0"/>
    <x v="0"/>
    <x v="0"/>
    <x v="0"/>
    <x v="0"/>
    <x v="0"/>
    <x v="4"/>
    <s v="24"/>
    <x v="1"/>
    <x v="0"/>
    <x v="5"/>
    <x v="1"/>
    <n v="10144.290000000001"/>
  </r>
  <r>
    <x v="2"/>
    <x v="0"/>
    <x v="1"/>
    <x v="0"/>
    <x v="0"/>
    <x v="0"/>
    <x v="0"/>
    <x v="0"/>
    <x v="0"/>
    <x v="0"/>
    <x v="0"/>
    <x v="4"/>
    <s v="28"/>
    <x v="23"/>
    <x v="0"/>
    <x v="4"/>
    <x v="9"/>
    <n v="4770.8999999999996"/>
  </r>
  <r>
    <x v="2"/>
    <x v="0"/>
    <x v="1"/>
    <x v="0"/>
    <x v="0"/>
    <x v="0"/>
    <x v="0"/>
    <x v="0"/>
    <x v="0"/>
    <x v="0"/>
    <x v="0"/>
    <x v="4"/>
    <s v="28"/>
    <x v="23"/>
    <x v="0"/>
    <x v="4"/>
    <x v="10"/>
    <n v="-4770.8999999999996"/>
  </r>
  <r>
    <x v="2"/>
    <x v="0"/>
    <x v="1"/>
    <x v="0"/>
    <x v="0"/>
    <x v="0"/>
    <x v="0"/>
    <x v="0"/>
    <x v="0"/>
    <x v="0"/>
    <x v="0"/>
    <x v="4"/>
    <s v="28"/>
    <x v="23"/>
    <x v="0"/>
    <x v="4"/>
    <x v="4"/>
    <n v="2576.6"/>
  </r>
  <r>
    <x v="2"/>
    <x v="0"/>
    <x v="1"/>
    <x v="0"/>
    <x v="0"/>
    <x v="0"/>
    <x v="0"/>
    <x v="0"/>
    <x v="0"/>
    <x v="0"/>
    <x v="0"/>
    <x v="4"/>
    <s v="28"/>
    <x v="23"/>
    <x v="0"/>
    <x v="4"/>
    <x v="7"/>
    <n v="-2576.6"/>
  </r>
  <r>
    <x v="2"/>
    <x v="0"/>
    <x v="1"/>
    <x v="0"/>
    <x v="0"/>
    <x v="0"/>
    <x v="0"/>
    <x v="0"/>
    <x v="0"/>
    <x v="0"/>
    <x v="0"/>
    <x v="4"/>
    <s v="28"/>
    <x v="23"/>
    <x v="0"/>
    <x v="4"/>
    <x v="1"/>
    <n v="47.28"/>
  </r>
  <r>
    <x v="2"/>
    <x v="0"/>
    <x v="1"/>
    <x v="0"/>
    <x v="0"/>
    <x v="0"/>
    <x v="0"/>
    <x v="0"/>
    <x v="0"/>
    <x v="0"/>
    <x v="0"/>
    <x v="4"/>
    <s v="28"/>
    <x v="23"/>
    <x v="0"/>
    <x v="5"/>
    <x v="0"/>
    <n v="-47.28"/>
  </r>
  <r>
    <x v="2"/>
    <x v="0"/>
    <x v="1"/>
    <x v="0"/>
    <x v="0"/>
    <x v="0"/>
    <x v="0"/>
    <x v="0"/>
    <x v="0"/>
    <x v="0"/>
    <x v="0"/>
    <x v="4"/>
    <s v="28"/>
    <x v="23"/>
    <x v="0"/>
    <x v="5"/>
    <x v="7"/>
    <n v="400.46"/>
  </r>
  <r>
    <x v="2"/>
    <x v="0"/>
    <x v="1"/>
    <x v="0"/>
    <x v="0"/>
    <x v="0"/>
    <x v="0"/>
    <x v="0"/>
    <x v="0"/>
    <x v="0"/>
    <x v="0"/>
    <x v="4"/>
    <s v="28"/>
    <x v="23"/>
    <x v="0"/>
    <x v="5"/>
    <x v="5"/>
    <n v="-400.46"/>
  </r>
  <r>
    <x v="2"/>
    <x v="0"/>
    <x v="1"/>
    <x v="0"/>
    <x v="0"/>
    <x v="0"/>
    <x v="0"/>
    <x v="0"/>
    <x v="0"/>
    <x v="0"/>
    <x v="0"/>
    <x v="4"/>
    <s v="30"/>
    <x v="3"/>
    <x v="0"/>
    <x v="5"/>
    <x v="5"/>
    <n v="5500"/>
  </r>
  <r>
    <x v="2"/>
    <x v="0"/>
    <x v="1"/>
    <x v="0"/>
    <x v="0"/>
    <x v="0"/>
    <x v="0"/>
    <x v="0"/>
    <x v="0"/>
    <x v="0"/>
    <x v="0"/>
    <x v="4"/>
    <s v="30"/>
    <x v="3"/>
    <x v="0"/>
    <x v="5"/>
    <x v="6"/>
    <n v="-5500"/>
  </r>
  <r>
    <x v="2"/>
    <x v="0"/>
    <x v="1"/>
    <x v="0"/>
    <x v="0"/>
    <x v="0"/>
    <x v="0"/>
    <x v="0"/>
    <x v="0"/>
    <x v="0"/>
    <x v="4"/>
    <x v="5"/>
    <s v="21"/>
    <x v="27"/>
    <x v="0"/>
    <x v="5"/>
    <x v="11"/>
    <n v="400"/>
  </r>
  <r>
    <x v="2"/>
    <x v="0"/>
    <x v="1"/>
    <x v="0"/>
    <x v="0"/>
    <x v="0"/>
    <x v="0"/>
    <x v="0"/>
    <x v="0"/>
    <x v="0"/>
    <x v="4"/>
    <x v="5"/>
    <s v="21"/>
    <x v="27"/>
    <x v="0"/>
    <x v="5"/>
    <x v="3"/>
    <n v="1331497"/>
  </r>
  <r>
    <x v="2"/>
    <x v="0"/>
    <x v="1"/>
    <x v="0"/>
    <x v="0"/>
    <x v="0"/>
    <x v="0"/>
    <x v="0"/>
    <x v="0"/>
    <x v="0"/>
    <x v="4"/>
    <x v="5"/>
    <s v="21"/>
    <x v="27"/>
    <x v="0"/>
    <x v="5"/>
    <x v="4"/>
    <n v="-400"/>
  </r>
  <r>
    <x v="2"/>
    <x v="0"/>
    <x v="1"/>
    <x v="0"/>
    <x v="0"/>
    <x v="0"/>
    <x v="0"/>
    <x v="0"/>
    <x v="0"/>
    <x v="0"/>
    <x v="4"/>
    <x v="5"/>
    <s v="22"/>
    <x v="25"/>
    <x v="0"/>
    <x v="4"/>
    <x v="0"/>
    <n v="-775406.51"/>
  </r>
  <r>
    <x v="2"/>
    <x v="0"/>
    <x v="1"/>
    <x v="0"/>
    <x v="0"/>
    <x v="0"/>
    <x v="0"/>
    <x v="0"/>
    <x v="0"/>
    <x v="0"/>
    <x v="4"/>
    <x v="5"/>
    <s v="22"/>
    <x v="25"/>
    <x v="0"/>
    <x v="4"/>
    <x v="2"/>
    <n v="-25054.080000000002"/>
  </r>
  <r>
    <x v="2"/>
    <x v="0"/>
    <x v="1"/>
    <x v="0"/>
    <x v="0"/>
    <x v="0"/>
    <x v="0"/>
    <x v="0"/>
    <x v="0"/>
    <x v="0"/>
    <x v="4"/>
    <x v="5"/>
    <s v="22"/>
    <x v="25"/>
    <x v="0"/>
    <x v="4"/>
    <x v="8"/>
    <n v="-329808.27"/>
  </r>
  <r>
    <x v="2"/>
    <x v="0"/>
    <x v="1"/>
    <x v="0"/>
    <x v="0"/>
    <x v="0"/>
    <x v="0"/>
    <x v="0"/>
    <x v="0"/>
    <x v="0"/>
    <x v="4"/>
    <x v="5"/>
    <s v="22"/>
    <x v="25"/>
    <x v="0"/>
    <x v="4"/>
    <x v="9"/>
    <n v="-52.16"/>
  </r>
  <r>
    <x v="2"/>
    <x v="0"/>
    <x v="1"/>
    <x v="0"/>
    <x v="0"/>
    <x v="0"/>
    <x v="0"/>
    <x v="0"/>
    <x v="0"/>
    <x v="0"/>
    <x v="4"/>
    <x v="5"/>
    <s v="22"/>
    <x v="25"/>
    <x v="0"/>
    <x v="4"/>
    <x v="10"/>
    <n v="-13970.71"/>
  </r>
  <r>
    <x v="2"/>
    <x v="0"/>
    <x v="1"/>
    <x v="0"/>
    <x v="0"/>
    <x v="0"/>
    <x v="0"/>
    <x v="0"/>
    <x v="0"/>
    <x v="0"/>
    <x v="4"/>
    <x v="5"/>
    <s v="22"/>
    <x v="25"/>
    <x v="0"/>
    <x v="4"/>
    <x v="11"/>
    <n v="-42777.37"/>
  </r>
  <r>
    <x v="2"/>
    <x v="0"/>
    <x v="1"/>
    <x v="0"/>
    <x v="0"/>
    <x v="0"/>
    <x v="0"/>
    <x v="0"/>
    <x v="0"/>
    <x v="0"/>
    <x v="4"/>
    <x v="5"/>
    <s v="22"/>
    <x v="25"/>
    <x v="0"/>
    <x v="4"/>
    <x v="3"/>
    <n v="-658520.65"/>
  </r>
  <r>
    <x v="2"/>
    <x v="0"/>
    <x v="1"/>
    <x v="0"/>
    <x v="0"/>
    <x v="0"/>
    <x v="0"/>
    <x v="0"/>
    <x v="0"/>
    <x v="0"/>
    <x v="4"/>
    <x v="5"/>
    <s v="22"/>
    <x v="25"/>
    <x v="0"/>
    <x v="4"/>
    <x v="4"/>
    <n v="-25051.49"/>
  </r>
  <r>
    <x v="2"/>
    <x v="0"/>
    <x v="1"/>
    <x v="0"/>
    <x v="0"/>
    <x v="0"/>
    <x v="0"/>
    <x v="0"/>
    <x v="0"/>
    <x v="0"/>
    <x v="4"/>
    <x v="5"/>
    <s v="22"/>
    <x v="25"/>
    <x v="0"/>
    <x v="4"/>
    <x v="7"/>
    <n v="-11601.33"/>
  </r>
  <r>
    <x v="2"/>
    <x v="0"/>
    <x v="1"/>
    <x v="0"/>
    <x v="0"/>
    <x v="0"/>
    <x v="0"/>
    <x v="0"/>
    <x v="0"/>
    <x v="0"/>
    <x v="4"/>
    <x v="5"/>
    <s v="22"/>
    <x v="25"/>
    <x v="0"/>
    <x v="4"/>
    <x v="5"/>
    <n v="-68.16"/>
  </r>
  <r>
    <x v="2"/>
    <x v="0"/>
    <x v="1"/>
    <x v="0"/>
    <x v="0"/>
    <x v="0"/>
    <x v="0"/>
    <x v="0"/>
    <x v="0"/>
    <x v="0"/>
    <x v="4"/>
    <x v="5"/>
    <s v="22"/>
    <x v="25"/>
    <x v="0"/>
    <x v="4"/>
    <x v="6"/>
    <n v="-38963.49"/>
  </r>
  <r>
    <x v="2"/>
    <x v="0"/>
    <x v="1"/>
    <x v="0"/>
    <x v="0"/>
    <x v="0"/>
    <x v="0"/>
    <x v="0"/>
    <x v="0"/>
    <x v="0"/>
    <x v="4"/>
    <x v="5"/>
    <s v="22"/>
    <x v="25"/>
    <x v="0"/>
    <x v="4"/>
    <x v="1"/>
    <n v="-122773.37"/>
  </r>
  <r>
    <x v="2"/>
    <x v="0"/>
    <x v="1"/>
    <x v="0"/>
    <x v="0"/>
    <x v="0"/>
    <x v="0"/>
    <x v="0"/>
    <x v="0"/>
    <x v="0"/>
    <x v="4"/>
    <x v="5"/>
    <s v="22"/>
    <x v="25"/>
    <x v="0"/>
    <x v="5"/>
    <x v="0"/>
    <n v="-1232555.71"/>
  </r>
  <r>
    <x v="2"/>
    <x v="0"/>
    <x v="1"/>
    <x v="0"/>
    <x v="0"/>
    <x v="0"/>
    <x v="0"/>
    <x v="0"/>
    <x v="0"/>
    <x v="0"/>
    <x v="4"/>
    <x v="5"/>
    <s v="22"/>
    <x v="25"/>
    <x v="0"/>
    <x v="5"/>
    <x v="2"/>
    <n v="-25051.74"/>
  </r>
  <r>
    <x v="2"/>
    <x v="0"/>
    <x v="1"/>
    <x v="0"/>
    <x v="0"/>
    <x v="0"/>
    <x v="0"/>
    <x v="0"/>
    <x v="0"/>
    <x v="0"/>
    <x v="4"/>
    <x v="5"/>
    <s v="22"/>
    <x v="25"/>
    <x v="0"/>
    <x v="5"/>
    <x v="8"/>
    <n v="-341609.31"/>
  </r>
  <r>
    <x v="2"/>
    <x v="0"/>
    <x v="1"/>
    <x v="0"/>
    <x v="0"/>
    <x v="0"/>
    <x v="0"/>
    <x v="0"/>
    <x v="0"/>
    <x v="0"/>
    <x v="4"/>
    <x v="5"/>
    <s v="22"/>
    <x v="25"/>
    <x v="0"/>
    <x v="5"/>
    <x v="9"/>
    <n v="-91.44"/>
  </r>
  <r>
    <x v="2"/>
    <x v="0"/>
    <x v="1"/>
    <x v="0"/>
    <x v="0"/>
    <x v="0"/>
    <x v="0"/>
    <x v="0"/>
    <x v="0"/>
    <x v="0"/>
    <x v="4"/>
    <x v="5"/>
    <s v="22"/>
    <x v="25"/>
    <x v="0"/>
    <x v="5"/>
    <x v="10"/>
    <n v="-13349.25"/>
  </r>
  <r>
    <x v="2"/>
    <x v="0"/>
    <x v="1"/>
    <x v="0"/>
    <x v="0"/>
    <x v="0"/>
    <x v="0"/>
    <x v="0"/>
    <x v="0"/>
    <x v="0"/>
    <x v="4"/>
    <x v="5"/>
    <s v="22"/>
    <x v="25"/>
    <x v="0"/>
    <x v="5"/>
    <x v="11"/>
    <n v="-40718.550000000003"/>
  </r>
  <r>
    <x v="2"/>
    <x v="0"/>
    <x v="1"/>
    <x v="0"/>
    <x v="0"/>
    <x v="0"/>
    <x v="0"/>
    <x v="0"/>
    <x v="0"/>
    <x v="0"/>
    <x v="4"/>
    <x v="5"/>
    <s v="22"/>
    <x v="25"/>
    <x v="0"/>
    <x v="5"/>
    <x v="3"/>
    <n v="-1993259.14"/>
  </r>
  <r>
    <x v="2"/>
    <x v="0"/>
    <x v="1"/>
    <x v="0"/>
    <x v="0"/>
    <x v="0"/>
    <x v="0"/>
    <x v="0"/>
    <x v="0"/>
    <x v="0"/>
    <x v="4"/>
    <x v="5"/>
    <s v="22"/>
    <x v="25"/>
    <x v="0"/>
    <x v="5"/>
    <x v="4"/>
    <n v="-25087.46"/>
  </r>
  <r>
    <x v="2"/>
    <x v="0"/>
    <x v="1"/>
    <x v="0"/>
    <x v="0"/>
    <x v="0"/>
    <x v="0"/>
    <x v="0"/>
    <x v="0"/>
    <x v="0"/>
    <x v="4"/>
    <x v="5"/>
    <s v="22"/>
    <x v="25"/>
    <x v="0"/>
    <x v="5"/>
    <x v="7"/>
    <n v="-95.99"/>
  </r>
  <r>
    <x v="2"/>
    <x v="0"/>
    <x v="1"/>
    <x v="0"/>
    <x v="0"/>
    <x v="0"/>
    <x v="0"/>
    <x v="0"/>
    <x v="0"/>
    <x v="0"/>
    <x v="4"/>
    <x v="5"/>
    <s v="22"/>
    <x v="25"/>
    <x v="0"/>
    <x v="5"/>
    <x v="5"/>
    <n v="-126.59"/>
  </r>
  <r>
    <x v="2"/>
    <x v="0"/>
    <x v="1"/>
    <x v="0"/>
    <x v="0"/>
    <x v="0"/>
    <x v="0"/>
    <x v="0"/>
    <x v="0"/>
    <x v="0"/>
    <x v="4"/>
    <x v="5"/>
    <s v="22"/>
    <x v="25"/>
    <x v="0"/>
    <x v="5"/>
    <x v="6"/>
    <n v="-38398.160000000003"/>
  </r>
  <r>
    <x v="2"/>
    <x v="0"/>
    <x v="1"/>
    <x v="0"/>
    <x v="0"/>
    <x v="0"/>
    <x v="0"/>
    <x v="0"/>
    <x v="0"/>
    <x v="0"/>
    <x v="4"/>
    <x v="5"/>
    <s v="22"/>
    <x v="25"/>
    <x v="0"/>
    <x v="5"/>
    <x v="1"/>
    <n v="-110803.38"/>
  </r>
  <r>
    <x v="2"/>
    <x v="0"/>
    <x v="1"/>
    <x v="0"/>
    <x v="0"/>
    <x v="1"/>
    <x v="0"/>
    <x v="0"/>
    <x v="0"/>
    <x v="0"/>
    <x v="0"/>
    <x v="4"/>
    <s v="09"/>
    <x v="0"/>
    <x v="0"/>
    <x v="4"/>
    <x v="0"/>
    <n v="9380.66"/>
  </r>
  <r>
    <x v="2"/>
    <x v="0"/>
    <x v="1"/>
    <x v="0"/>
    <x v="0"/>
    <x v="1"/>
    <x v="0"/>
    <x v="0"/>
    <x v="0"/>
    <x v="0"/>
    <x v="0"/>
    <x v="4"/>
    <s v="09"/>
    <x v="0"/>
    <x v="0"/>
    <x v="4"/>
    <x v="2"/>
    <n v="9388.44"/>
  </r>
  <r>
    <x v="2"/>
    <x v="0"/>
    <x v="1"/>
    <x v="0"/>
    <x v="0"/>
    <x v="1"/>
    <x v="0"/>
    <x v="0"/>
    <x v="0"/>
    <x v="0"/>
    <x v="0"/>
    <x v="4"/>
    <s v="09"/>
    <x v="0"/>
    <x v="0"/>
    <x v="4"/>
    <x v="8"/>
    <n v="7146.13"/>
  </r>
  <r>
    <x v="2"/>
    <x v="0"/>
    <x v="1"/>
    <x v="0"/>
    <x v="0"/>
    <x v="1"/>
    <x v="0"/>
    <x v="0"/>
    <x v="0"/>
    <x v="0"/>
    <x v="0"/>
    <x v="4"/>
    <s v="09"/>
    <x v="0"/>
    <x v="0"/>
    <x v="4"/>
    <x v="9"/>
    <n v="13567.08"/>
  </r>
  <r>
    <x v="2"/>
    <x v="0"/>
    <x v="1"/>
    <x v="0"/>
    <x v="0"/>
    <x v="1"/>
    <x v="0"/>
    <x v="0"/>
    <x v="0"/>
    <x v="0"/>
    <x v="0"/>
    <x v="4"/>
    <s v="09"/>
    <x v="0"/>
    <x v="0"/>
    <x v="4"/>
    <x v="10"/>
    <n v="12370.05"/>
  </r>
  <r>
    <x v="2"/>
    <x v="0"/>
    <x v="1"/>
    <x v="0"/>
    <x v="0"/>
    <x v="1"/>
    <x v="0"/>
    <x v="0"/>
    <x v="0"/>
    <x v="0"/>
    <x v="0"/>
    <x v="4"/>
    <s v="09"/>
    <x v="0"/>
    <x v="0"/>
    <x v="4"/>
    <x v="11"/>
    <n v="11199.98"/>
  </r>
  <r>
    <x v="2"/>
    <x v="0"/>
    <x v="1"/>
    <x v="0"/>
    <x v="0"/>
    <x v="1"/>
    <x v="0"/>
    <x v="0"/>
    <x v="0"/>
    <x v="0"/>
    <x v="0"/>
    <x v="4"/>
    <s v="09"/>
    <x v="0"/>
    <x v="0"/>
    <x v="4"/>
    <x v="3"/>
    <n v="17160.89"/>
  </r>
  <r>
    <x v="2"/>
    <x v="0"/>
    <x v="1"/>
    <x v="0"/>
    <x v="0"/>
    <x v="1"/>
    <x v="0"/>
    <x v="0"/>
    <x v="0"/>
    <x v="0"/>
    <x v="0"/>
    <x v="4"/>
    <s v="09"/>
    <x v="0"/>
    <x v="0"/>
    <x v="4"/>
    <x v="4"/>
    <n v="15849.76"/>
  </r>
  <r>
    <x v="2"/>
    <x v="0"/>
    <x v="1"/>
    <x v="0"/>
    <x v="0"/>
    <x v="1"/>
    <x v="0"/>
    <x v="0"/>
    <x v="0"/>
    <x v="0"/>
    <x v="0"/>
    <x v="4"/>
    <s v="09"/>
    <x v="0"/>
    <x v="0"/>
    <x v="4"/>
    <x v="7"/>
    <n v="14880.3"/>
  </r>
  <r>
    <x v="2"/>
    <x v="0"/>
    <x v="1"/>
    <x v="0"/>
    <x v="0"/>
    <x v="1"/>
    <x v="0"/>
    <x v="0"/>
    <x v="0"/>
    <x v="0"/>
    <x v="0"/>
    <x v="4"/>
    <s v="09"/>
    <x v="0"/>
    <x v="0"/>
    <x v="4"/>
    <x v="5"/>
    <n v="20306.72"/>
  </r>
  <r>
    <x v="2"/>
    <x v="0"/>
    <x v="1"/>
    <x v="0"/>
    <x v="0"/>
    <x v="1"/>
    <x v="0"/>
    <x v="0"/>
    <x v="0"/>
    <x v="0"/>
    <x v="0"/>
    <x v="4"/>
    <s v="09"/>
    <x v="0"/>
    <x v="0"/>
    <x v="4"/>
    <x v="6"/>
    <n v="18786.77"/>
  </r>
  <r>
    <x v="2"/>
    <x v="0"/>
    <x v="1"/>
    <x v="0"/>
    <x v="0"/>
    <x v="1"/>
    <x v="0"/>
    <x v="0"/>
    <x v="0"/>
    <x v="0"/>
    <x v="0"/>
    <x v="4"/>
    <s v="09"/>
    <x v="0"/>
    <x v="0"/>
    <x v="4"/>
    <x v="1"/>
    <n v="72051.360000000001"/>
  </r>
  <r>
    <x v="2"/>
    <x v="0"/>
    <x v="1"/>
    <x v="0"/>
    <x v="0"/>
    <x v="1"/>
    <x v="0"/>
    <x v="0"/>
    <x v="0"/>
    <x v="0"/>
    <x v="0"/>
    <x v="4"/>
    <s v="09"/>
    <x v="0"/>
    <x v="0"/>
    <x v="5"/>
    <x v="0"/>
    <n v="11165.44"/>
  </r>
  <r>
    <x v="2"/>
    <x v="0"/>
    <x v="1"/>
    <x v="0"/>
    <x v="0"/>
    <x v="1"/>
    <x v="0"/>
    <x v="0"/>
    <x v="0"/>
    <x v="0"/>
    <x v="0"/>
    <x v="4"/>
    <s v="09"/>
    <x v="0"/>
    <x v="0"/>
    <x v="5"/>
    <x v="2"/>
    <n v="11174.7"/>
  </r>
  <r>
    <x v="2"/>
    <x v="0"/>
    <x v="1"/>
    <x v="0"/>
    <x v="0"/>
    <x v="1"/>
    <x v="0"/>
    <x v="0"/>
    <x v="0"/>
    <x v="0"/>
    <x v="0"/>
    <x v="4"/>
    <s v="09"/>
    <x v="0"/>
    <x v="0"/>
    <x v="5"/>
    <x v="8"/>
    <n v="8613.85"/>
  </r>
  <r>
    <x v="2"/>
    <x v="0"/>
    <x v="1"/>
    <x v="0"/>
    <x v="0"/>
    <x v="1"/>
    <x v="0"/>
    <x v="0"/>
    <x v="0"/>
    <x v="0"/>
    <x v="0"/>
    <x v="4"/>
    <s v="09"/>
    <x v="0"/>
    <x v="0"/>
    <x v="5"/>
    <x v="9"/>
    <n v="15316.21"/>
  </r>
  <r>
    <x v="2"/>
    <x v="0"/>
    <x v="1"/>
    <x v="0"/>
    <x v="0"/>
    <x v="1"/>
    <x v="0"/>
    <x v="0"/>
    <x v="0"/>
    <x v="0"/>
    <x v="0"/>
    <x v="4"/>
    <s v="09"/>
    <x v="0"/>
    <x v="0"/>
    <x v="5"/>
    <x v="10"/>
    <n v="13838.42"/>
  </r>
  <r>
    <x v="2"/>
    <x v="0"/>
    <x v="1"/>
    <x v="0"/>
    <x v="0"/>
    <x v="1"/>
    <x v="0"/>
    <x v="0"/>
    <x v="0"/>
    <x v="0"/>
    <x v="0"/>
    <x v="4"/>
    <s v="09"/>
    <x v="0"/>
    <x v="0"/>
    <x v="5"/>
    <x v="11"/>
    <n v="12286.75"/>
  </r>
  <r>
    <x v="2"/>
    <x v="0"/>
    <x v="1"/>
    <x v="0"/>
    <x v="0"/>
    <x v="1"/>
    <x v="0"/>
    <x v="0"/>
    <x v="0"/>
    <x v="0"/>
    <x v="0"/>
    <x v="4"/>
    <s v="09"/>
    <x v="0"/>
    <x v="0"/>
    <x v="5"/>
    <x v="3"/>
    <n v="15637.66"/>
  </r>
  <r>
    <x v="2"/>
    <x v="0"/>
    <x v="1"/>
    <x v="0"/>
    <x v="0"/>
    <x v="1"/>
    <x v="0"/>
    <x v="0"/>
    <x v="0"/>
    <x v="0"/>
    <x v="0"/>
    <x v="4"/>
    <s v="09"/>
    <x v="0"/>
    <x v="0"/>
    <x v="5"/>
    <x v="4"/>
    <n v="15872.93"/>
  </r>
  <r>
    <x v="2"/>
    <x v="0"/>
    <x v="1"/>
    <x v="0"/>
    <x v="0"/>
    <x v="1"/>
    <x v="0"/>
    <x v="0"/>
    <x v="0"/>
    <x v="0"/>
    <x v="0"/>
    <x v="4"/>
    <s v="09"/>
    <x v="0"/>
    <x v="0"/>
    <x v="5"/>
    <x v="7"/>
    <n v="14619.41"/>
  </r>
  <r>
    <x v="2"/>
    <x v="0"/>
    <x v="1"/>
    <x v="0"/>
    <x v="0"/>
    <x v="1"/>
    <x v="0"/>
    <x v="0"/>
    <x v="0"/>
    <x v="0"/>
    <x v="0"/>
    <x v="4"/>
    <s v="09"/>
    <x v="0"/>
    <x v="0"/>
    <x v="5"/>
    <x v="5"/>
    <n v="19571.79"/>
  </r>
  <r>
    <x v="2"/>
    <x v="0"/>
    <x v="1"/>
    <x v="0"/>
    <x v="0"/>
    <x v="1"/>
    <x v="0"/>
    <x v="0"/>
    <x v="0"/>
    <x v="0"/>
    <x v="0"/>
    <x v="4"/>
    <s v="09"/>
    <x v="0"/>
    <x v="0"/>
    <x v="5"/>
    <x v="6"/>
    <n v="17633.84"/>
  </r>
  <r>
    <x v="2"/>
    <x v="0"/>
    <x v="1"/>
    <x v="0"/>
    <x v="0"/>
    <x v="1"/>
    <x v="0"/>
    <x v="0"/>
    <x v="0"/>
    <x v="0"/>
    <x v="0"/>
    <x v="4"/>
    <s v="09"/>
    <x v="0"/>
    <x v="0"/>
    <x v="5"/>
    <x v="1"/>
    <n v="205937.11"/>
  </r>
  <r>
    <x v="2"/>
    <x v="0"/>
    <x v="1"/>
    <x v="0"/>
    <x v="0"/>
    <x v="1"/>
    <x v="0"/>
    <x v="0"/>
    <x v="0"/>
    <x v="0"/>
    <x v="0"/>
    <x v="4"/>
    <s v="13"/>
    <x v="30"/>
    <x v="0"/>
    <x v="4"/>
    <x v="1"/>
    <n v="-125700"/>
  </r>
  <r>
    <x v="2"/>
    <x v="0"/>
    <x v="1"/>
    <x v="0"/>
    <x v="0"/>
    <x v="1"/>
    <x v="0"/>
    <x v="0"/>
    <x v="0"/>
    <x v="0"/>
    <x v="0"/>
    <x v="4"/>
    <s v="13"/>
    <x v="30"/>
    <x v="0"/>
    <x v="5"/>
    <x v="1"/>
    <n v="-27600"/>
  </r>
  <r>
    <x v="2"/>
    <x v="0"/>
    <x v="1"/>
    <x v="0"/>
    <x v="0"/>
    <x v="1"/>
    <x v="0"/>
    <x v="0"/>
    <x v="0"/>
    <x v="0"/>
    <x v="0"/>
    <x v="4"/>
    <s v="24"/>
    <x v="1"/>
    <x v="0"/>
    <x v="4"/>
    <x v="9"/>
    <n v="9440010"/>
  </r>
  <r>
    <x v="2"/>
    <x v="0"/>
    <x v="1"/>
    <x v="0"/>
    <x v="0"/>
    <x v="1"/>
    <x v="0"/>
    <x v="0"/>
    <x v="0"/>
    <x v="0"/>
    <x v="0"/>
    <x v="4"/>
    <s v="24"/>
    <x v="1"/>
    <x v="0"/>
    <x v="4"/>
    <x v="10"/>
    <n v="323014.65999999997"/>
  </r>
  <r>
    <x v="2"/>
    <x v="0"/>
    <x v="1"/>
    <x v="0"/>
    <x v="0"/>
    <x v="1"/>
    <x v="0"/>
    <x v="0"/>
    <x v="0"/>
    <x v="0"/>
    <x v="0"/>
    <x v="4"/>
    <s v="24"/>
    <x v="1"/>
    <x v="0"/>
    <x v="4"/>
    <x v="11"/>
    <n v="288989.26"/>
  </r>
  <r>
    <x v="2"/>
    <x v="0"/>
    <x v="1"/>
    <x v="0"/>
    <x v="0"/>
    <x v="1"/>
    <x v="0"/>
    <x v="0"/>
    <x v="0"/>
    <x v="0"/>
    <x v="0"/>
    <x v="4"/>
    <s v="24"/>
    <x v="1"/>
    <x v="0"/>
    <x v="4"/>
    <x v="3"/>
    <n v="8910326.4100000001"/>
  </r>
  <r>
    <x v="2"/>
    <x v="0"/>
    <x v="1"/>
    <x v="0"/>
    <x v="0"/>
    <x v="1"/>
    <x v="0"/>
    <x v="0"/>
    <x v="0"/>
    <x v="0"/>
    <x v="0"/>
    <x v="4"/>
    <s v="24"/>
    <x v="1"/>
    <x v="0"/>
    <x v="4"/>
    <x v="4"/>
    <n v="263237.3"/>
  </r>
  <r>
    <x v="2"/>
    <x v="0"/>
    <x v="1"/>
    <x v="0"/>
    <x v="0"/>
    <x v="1"/>
    <x v="0"/>
    <x v="0"/>
    <x v="0"/>
    <x v="0"/>
    <x v="0"/>
    <x v="4"/>
    <s v="24"/>
    <x v="1"/>
    <x v="0"/>
    <x v="4"/>
    <x v="7"/>
    <n v="639670.75"/>
  </r>
  <r>
    <x v="2"/>
    <x v="0"/>
    <x v="1"/>
    <x v="0"/>
    <x v="0"/>
    <x v="1"/>
    <x v="0"/>
    <x v="0"/>
    <x v="0"/>
    <x v="0"/>
    <x v="0"/>
    <x v="4"/>
    <s v="24"/>
    <x v="1"/>
    <x v="0"/>
    <x v="4"/>
    <x v="5"/>
    <n v="8319940.2999999998"/>
  </r>
  <r>
    <x v="2"/>
    <x v="0"/>
    <x v="1"/>
    <x v="0"/>
    <x v="0"/>
    <x v="1"/>
    <x v="0"/>
    <x v="0"/>
    <x v="0"/>
    <x v="0"/>
    <x v="0"/>
    <x v="4"/>
    <s v="24"/>
    <x v="1"/>
    <x v="0"/>
    <x v="4"/>
    <x v="6"/>
    <n v="170159.15"/>
  </r>
  <r>
    <x v="2"/>
    <x v="0"/>
    <x v="1"/>
    <x v="0"/>
    <x v="0"/>
    <x v="1"/>
    <x v="0"/>
    <x v="0"/>
    <x v="0"/>
    <x v="0"/>
    <x v="0"/>
    <x v="4"/>
    <s v="24"/>
    <x v="1"/>
    <x v="0"/>
    <x v="4"/>
    <x v="1"/>
    <n v="58816.59"/>
  </r>
  <r>
    <x v="2"/>
    <x v="0"/>
    <x v="1"/>
    <x v="0"/>
    <x v="0"/>
    <x v="1"/>
    <x v="0"/>
    <x v="0"/>
    <x v="0"/>
    <x v="0"/>
    <x v="0"/>
    <x v="4"/>
    <s v="24"/>
    <x v="1"/>
    <x v="0"/>
    <x v="5"/>
    <x v="9"/>
    <n v="10182433.720000001"/>
  </r>
  <r>
    <x v="2"/>
    <x v="0"/>
    <x v="1"/>
    <x v="0"/>
    <x v="0"/>
    <x v="1"/>
    <x v="0"/>
    <x v="0"/>
    <x v="0"/>
    <x v="0"/>
    <x v="0"/>
    <x v="4"/>
    <s v="24"/>
    <x v="1"/>
    <x v="0"/>
    <x v="5"/>
    <x v="10"/>
    <n v="429118.31"/>
  </r>
  <r>
    <x v="2"/>
    <x v="0"/>
    <x v="1"/>
    <x v="0"/>
    <x v="0"/>
    <x v="1"/>
    <x v="0"/>
    <x v="0"/>
    <x v="0"/>
    <x v="0"/>
    <x v="0"/>
    <x v="4"/>
    <s v="24"/>
    <x v="1"/>
    <x v="0"/>
    <x v="5"/>
    <x v="11"/>
    <n v="663634.82999999996"/>
  </r>
  <r>
    <x v="2"/>
    <x v="0"/>
    <x v="1"/>
    <x v="0"/>
    <x v="0"/>
    <x v="1"/>
    <x v="0"/>
    <x v="0"/>
    <x v="0"/>
    <x v="0"/>
    <x v="0"/>
    <x v="4"/>
    <s v="24"/>
    <x v="1"/>
    <x v="0"/>
    <x v="5"/>
    <x v="3"/>
    <n v="6554541.1799999997"/>
  </r>
  <r>
    <x v="2"/>
    <x v="0"/>
    <x v="1"/>
    <x v="0"/>
    <x v="0"/>
    <x v="1"/>
    <x v="0"/>
    <x v="0"/>
    <x v="0"/>
    <x v="0"/>
    <x v="0"/>
    <x v="4"/>
    <s v="24"/>
    <x v="1"/>
    <x v="0"/>
    <x v="5"/>
    <x v="4"/>
    <n v="2832849.84"/>
  </r>
  <r>
    <x v="2"/>
    <x v="0"/>
    <x v="1"/>
    <x v="0"/>
    <x v="0"/>
    <x v="1"/>
    <x v="0"/>
    <x v="0"/>
    <x v="0"/>
    <x v="0"/>
    <x v="0"/>
    <x v="4"/>
    <s v="24"/>
    <x v="1"/>
    <x v="0"/>
    <x v="5"/>
    <x v="7"/>
    <n v="761356.4"/>
  </r>
  <r>
    <x v="2"/>
    <x v="0"/>
    <x v="1"/>
    <x v="0"/>
    <x v="0"/>
    <x v="1"/>
    <x v="0"/>
    <x v="0"/>
    <x v="0"/>
    <x v="0"/>
    <x v="0"/>
    <x v="4"/>
    <s v="24"/>
    <x v="1"/>
    <x v="0"/>
    <x v="5"/>
    <x v="5"/>
    <n v="8652500.4600000009"/>
  </r>
  <r>
    <x v="2"/>
    <x v="0"/>
    <x v="1"/>
    <x v="0"/>
    <x v="0"/>
    <x v="1"/>
    <x v="0"/>
    <x v="0"/>
    <x v="0"/>
    <x v="0"/>
    <x v="0"/>
    <x v="4"/>
    <s v="24"/>
    <x v="1"/>
    <x v="0"/>
    <x v="5"/>
    <x v="6"/>
    <n v="295675.78999999998"/>
  </r>
  <r>
    <x v="2"/>
    <x v="0"/>
    <x v="1"/>
    <x v="0"/>
    <x v="0"/>
    <x v="1"/>
    <x v="0"/>
    <x v="0"/>
    <x v="0"/>
    <x v="0"/>
    <x v="0"/>
    <x v="4"/>
    <s v="24"/>
    <x v="1"/>
    <x v="0"/>
    <x v="5"/>
    <x v="1"/>
    <n v="103280.79"/>
  </r>
  <r>
    <x v="2"/>
    <x v="0"/>
    <x v="1"/>
    <x v="0"/>
    <x v="0"/>
    <x v="1"/>
    <x v="0"/>
    <x v="0"/>
    <x v="0"/>
    <x v="0"/>
    <x v="4"/>
    <x v="5"/>
    <s v="22"/>
    <x v="25"/>
    <x v="0"/>
    <x v="4"/>
    <x v="1"/>
    <n v="-150000"/>
  </r>
  <r>
    <x v="2"/>
    <x v="0"/>
    <x v="1"/>
    <x v="0"/>
    <x v="0"/>
    <x v="1"/>
    <x v="0"/>
    <x v="0"/>
    <x v="0"/>
    <x v="0"/>
    <x v="4"/>
    <x v="5"/>
    <s v="22"/>
    <x v="25"/>
    <x v="0"/>
    <x v="5"/>
    <x v="1"/>
    <n v="-105000"/>
  </r>
  <r>
    <x v="2"/>
    <x v="0"/>
    <x v="1"/>
    <x v="0"/>
    <x v="0"/>
    <x v="5"/>
    <x v="0"/>
    <x v="0"/>
    <x v="0"/>
    <x v="0"/>
    <x v="0"/>
    <x v="4"/>
    <s v="09"/>
    <x v="0"/>
    <x v="0"/>
    <x v="4"/>
    <x v="1"/>
    <n v="69035.83"/>
  </r>
  <r>
    <x v="2"/>
    <x v="0"/>
    <x v="1"/>
    <x v="0"/>
    <x v="0"/>
    <x v="5"/>
    <x v="0"/>
    <x v="0"/>
    <x v="0"/>
    <x v="0"/>
    <x v="0"/>
    <x v="4"/>
    <s v="09"/>
    <x v="0"/>
    <x v="0"/>
    <x v="5"/>
    <x v="1"/>
    <n v="201748.6"/>
  </r>
  <r>
    <x v="2"/>
    <x v="0"/>
    <x v="1"/>
    <x v="0"/>
    <x v="0"/>
    <x v="5"/>
    <x v="0"/>
    <x v="0"/>
    <x v="0"/>
    <x v="0"/>
    <x v="0"/>
    <x v="4"/>
    <s v="24"/>
    <x v="1"/>
    <x v="0"/>
    <x v="4"/>
    <x v="9"/>
    <n v="-41054.379999999997"/>
  </r>
  <r>
    <x v="2"/>
    <x v="0"/>
    <x v="1"/>
    <x v="0"/>
    <x v="0"/>
    <x v="5"/>
    <x v="0"/>
    <x v="0"/>
    <x v="0"/>
    <x v="0"/>
    <x v="0"/>
    <x v="4"/>
    <s v="24"/>
    <x v="1"/>
    <x v="0"/>
    <x v="4"/>
    <x v="10"/>
    <n v="9235947.5999999996"/>
  </r>
  <r>
    <x v="2"/>
    <x v="0"/>
    <x v="1"/>
    <x v="0"/>
    <x v="0"/>
    <x v="5"/>
    <x v="0"/>
    <x v="0"/>
    <x v="0"/>
    <x v="0"/>
    <x v="0"/>
    <x v="4"/>
    <s v="24"/>
    <x v="1"/>
    <x v="0"/>
    <x v="4"/>
    <x v="4"/>
    <n v="8538249.1300000008"/>
  </r>
  <r>
    <x v="2"/>
    <x v="0"/>
    <x v="1"/>
    <x v="0"/>
    <x v="0"/>
    <x v="5"/>
    <x v="0"/>
    <x v="0"/>
    <x v="0"/>
    <x v="0"/>
    <x v="0"/>
    <x v="4"/>
    <s v="24"/>
    <x v="1"/>
    <x v="0"/>
    <x v="4"/>
    <x v="6"/>
    <n v="8200865.2699999996"/>
  </r>
  <r>
    <x v="2"/>
    <x v="0"/>
    <x v="1"/>
    <x v="0"/>
    <x v="0"/>
    <x v="5"/>
    <x v="0"/>
    <x v="0"/>
    <x v="0"/>
    <x v="0"/>
    <x v="0"/>
    <x v="4"/>
    <s v="24"/>
    <x v="1"/>
    <x v="0"/>
    <x v="4"/>
    <x v="1"/>
    <n v="-568718.56999999995"/>
  </r>
  <r>
    <x v="2"/>
    <x v="0"/>
    <x v="1"/>
    <x v="0"/>
    <x v="0"/>
    <x v="5"/>
    <x v="0"/>
    <x v="0"/>
    <x v="0"/>
    <x v="0"/>
    <x v="0"/>
    <x v="4"/>
    <s v="24"/>
    <x v="1"/>
    <x v="0"/>
    <x v="5"/>
    <x v="9"/>
    <n v="11352424.91"/>
  </r>
  <r>
    <x v="2"/>
    <x v="0"/>
    <x v="1"/>
    <x v="0"/>
    <x v="0"/>
    <x v="5"/>
    <x v="0"/>
    <x v="0"/>
    <x v="0"/>
    <x v="0"/>
    <x v="0"/>
    <x v="4"/>
    <s v="24"/>
    <x v="1"/>
    <x v="0"/>
    <x v="5"/>
    <x v="10"/>
    <n v="-189930.01"/>
  </r>
  <r>
    <x v="2"/>
    <x v="0"/>
    <x v="1"/>
    <x v="0"/>
    <x v="0"/>
    <x v="5"/>
    <x v="0"/>
    <x v="0"/>
    <x v="0"/>
    <x v="0"/>
    <x v="0"/>
    <x v="4"/>
    <s v="24"/>
    <x v="1"/>
    <x v="0"/>
    <x v="5"/>
    <x v="11"/>
    <n v="28212.560000000001"/>
  </r>
  <r>
    <x v="2"/>
    <x v="0"/>
    <x v="1"/>
    <x v="0"/>
    <x v="0"/>
    <x v="5"/>
    <x v="0"/>
    <x v="0"/>
    <x v="0"/>
    <x v="0"/>
    <x v="0"/>
    <x v="4"/>
    <s v="24"/>
    <x v="1"/>
    <x v="0"/>
    <x v="5"/>
    <x v="3"/>
    <n v="10827661.140000001"/>
  </r>
  <r>
    <x v="2"/>
    <x v="0"/>
    <x v="1"/>
    <x v="0"/>
    <x v="0"/>
    <x v="5"/>
    <x v="0"/>
    <x v="0"/>
    <x v="0"/>
    <x v="0"/>
    <x v="0"/>
    <x v="4"/>
    <s v="24"/>
    <x v="1"/>
    <x v="0"/>
    <x v="5"/>
    <x v="4"/>
    <n v="-42455.85"/>
  </r>
  <r>
    <x v="2"/>
    <x v="0"/>
    <x v="1"/>
    <x v="0"/>
    <x v="0"/>
    <x v="5"/>
    <x v="0"/>
    <x v="0"/>
    <x v="0"/>
    <x v="0"/>
    <x v="0"/>
    <x v="4"/>
    <s v="24"/>
    <x v="1"/>
    <x v="0"/>
    <x v="5"/>
    <x v="7"/>
    <n v="7604265.9500000002"/>
  </r>
  <r>
    <x v="2"/>
    <x v="0"/>
    <x v="1"/>
    <x v="0"/>
    <x v="0"/>
    <x v="5"/>
    <x v="0"/>
    <x v="0"/>
    <x v="0"/>
    <x v="0"/>
    <x v="0"/>
    <x v="4"/>
    <s v="24"/>
    <x v="1"/>
    <x v="0"/>
    <x v="5"/>
    <x v="5"/>
    <n v="321805.51"/>
  </r>
  <r>
    <x v="2"/>
    <x v="0"/>
    <x v="1"/>
    <x v="0"/>
    <x v="0"/>
    <x v="5"/>
    <x v="0"/>
    <x v="0"/>
    <x v="0"/>
    <x v="0"/>
    <x v="0"/>
    <x v="4"/>
    <s v="24"/>
    <x v="1"/>
    <x v="0"/>
    <x v="5"/>
    <x v="6"/>
    <n v="-1278542.04"/>
  </r>
  <r>
    <x v="2"/>
    <x v="0"/>
    <x v="1"/>
    <x v="0"/>
    <x v="0"/>
    <x v="5"/>
    <x v="0"/>
    <x v="0"/>
    <x v="0"/>
    <x v="0"/>
    <x v="0"/>
    <x v="4"/>
    <s v="24"/>
    <x v="1"/>
    <x v="0"/>
    <x v="5"/>
    <x v="1"/>
    <n v="-352526.5"/>
  </r>
  <r>
    <x v="2"/>
    <x v="0"/>
    <x v="1"/>
    <x v="0"/>
    <x v="0"/>
    <x v="5"/>
    <x v="0"/>
    <x v="0"/>
    <x v="0"/>
    <x v="0"/>
    <x v="4"/>
    <x v="5"/>
    <s v="21"/>
    <x v="27"/>
    <x v="0"/>
    <x v="4"/>
    <x v="10"/>
    <n v="1258192.1200000001"/>
  </r>
  <r>
    <x v="2"/>
    <x v="0"/>
    <x v="1"/>
    <x v="0"/>
    <x v="0"/>
    <x v="5"/>
    <x v="0"/>
    <x v="0"/>
    <x v="0"/>
    <x v="0"/>
    <x v="4"/>
    <x v="5"/>
    <s v="21"/>
    <x v="27"/>
    <x v="0"/>
    <x v="4"/>
    <x v="6"/>
    <n v="92.79"/>
  </r>
  <r>
    <x v="2"/>
    <x v="0"/>
    <x v="1"/>
    <x v="0"/>
    <x v="0"/>
    <x v="5"/>
    <x v="0"/>
    <x v="0"/>
    <x v="0"/>
    <x v="0"/>
    <x v="4"/>
    <x v="5"/>
    <s v="21"/>
    <x v="27"/>
    <x v="0"/>
    <x v="4"/>
    <x v="1"/>
    <n v="15498.76"/>
  </r>
  <r>
    <x v="2"/>
    <x v="0"/>
    <x v="1"/>
    <x v="0"/>
    <x v="0"/>
    <x v="5"/>
    <x v="0"/>
    <x v="0"/>
    <x v="0"/>
    <x v="0"/>
    <x v="4"/>
    <x v="5"/>
    <s v="21"/>
    <x v="27"/>
    <x v="0"/>
    <x v="5"/>
    <x v="7"/>
    <n v="69036"/>
  </r>
  <r>
    <x v="2"/>
    <x v="0"/>
    <x v="1"/>
    <x v="0"/>
    <x v="0"/>
    <x v="5"/>
    <x v="0"/>
    <x v="0"/>
    <x v="0"/>
    <x v="0"/>
    <x v="4"/>
    <x v="5"/>
    <s v="21"/>
    <x v="27"/>
    <x v="0"/>
    <x v="5"/>
    <x v="6"/>
    <n v="823658"/>
  </r>
  <r>
    <x v="2"/>
    <x v="0"/>
    <x v="1"/>
    <x v="0"/>
    <x v="0"/>
    <x v="5"/>
    <x v="0"/>
    <x v="0"/>
    <x v="0"/>
    <x v="0"/>
    <x v="4"/>
    <x v="5"/>
    <s v="22"/>
    <x v="25"/>
    <x v="0"/>
    <x v="4"/>
    <x v="0"/>
    <n v="-6357.98"/>
  </r>
  <r>
    <x v="2"/>
    <x v="0"/>
    <x v="1"/>
    <x v="0"/>
    <x v="0"/>
    <x v="5"/>
    <x v="0"/>
    <x v="0"/>
    <x v="0"/>
    <x v="0"/>
    <x v="4"/>
    <x v="5"/>
    <s v="22"/>
    <x v="25"/>
    <x v="0"/>
    <x v="4"/>
    <x v="9"/>
    <n v="-292650.82"/>
  </r>
  <r>
    <x v="2"/>
    <x v="0"/>
    <x v="1"/>
    <x v="0"/>
    <x v="0"/>
    <x v="5"/>
    <x v="0"/>
    <x v="0"/>
    <x v="0"/>
    <x v="0"/>
    <x v="4"/>
    <x v="5"/>
    <s v="22"/>
    <x v="25"/>
    <x v="0"/>
    <x v="4"/>
    <x v="10"/>
    <n v="-1258192.1200000001"/>
  </r>
  <r>
    <x v="2"/>
    <x v="0"/>
    <x v="1"/>
    <x v="0"/>
    <x v="0"/>
    <x v="5"/>
    <x v="0"/>
    <x v="0"/>
    <x v="0"/>
    <x v="0"/>
    <x v="4"/>
    <x v="5"/>
    <s v="22"/>
    <x v="25"/>
    <x v="0"/>
    <x v="4"/>
    <x v="3"/>
    <n v="-79243.75"/>
  </r>
  <r>
    <x v="2"/>
    <x v="0"/>
    <x v="1"/>
    <x v="0"/>
    <x v="0"/>
    <x v="5"/>
    <x v="0"/>
    <x v="0"/>
    <x v="0"/>
    <x v="0"/>
    <x v="4"/>
    <x v="5"/>
    <s v="22"/>
    <x v="25"/>
    <x v="0"/>
    <x v="4"/>
    <x v="5"/>
    <n v="-77138.320000000007"/>
  </r>
  <r>
    <x v="2"/>
    <x v="0"/>
    <x v="1"/>
    <x v="0"/>
    <x v="0"/>
    <x v="5"/>
    <x v="0"/>
    <x v="0"/>
    <x v="0"/>
    <x v="0"/>
    <x v="4"/>
    <x v="5"/>
    <s v="22"/>
    <x v="25"/>
    <x v="0"/>
    <x v="4"/>
    <x v="6"/>
    <n v="-500000"/>
  </r>
  <r>
    <x v="2"/>
    <x v="0"/>
    <x v="1"/>
    <x v="0"/>
    <x v="0"/>
    <x v="5"/>
    <x v="0"/>
    <x v="0"/>
    <x v="0"/>
    <x v="0"/>
    <x v="4"/>
    <x v="5"/>
    <s v="22"/>
    <x v="25"/>
    <x v="0"/>
    <x v="5"/>
    <x v="9"/>
    <n v="-297138.32"/>
  </r>
  <r>
    <x v="2"/>
    <x v="0"/>
    <x v="1"/>
    <x v="0"/>
    <x v="0"/>
    <x v="5"/>
    <x v="0"/>
    <x v="0"/>
    <x v="0"/>
    <x v="0"/>
    <x v="4"/>
    <x v="5"/>
    <s v="22"/>
    <x v="25"/>
    <x v="0"/>
    <x v="5"/>
    <x v="11"/>
    <n v="-33568.75"/>
  </r>
  <r>
    <x v="2"/>
    <x v="0"/>
    <x v="1"/>
    <x v="0"/>
    <x v="0"/>
    <x v="5"/>
    <x v="0"/>
    <x v="0"/>
    <x v="0"/>
    <x v="0"/>
    <x v="4"/>
    <x v="5"/>
    <s v="22"/>
    <x v="25"/>
    <x v="0"/>
    <x v="5"/>
    <x v="3"/>
    <n v="-53568.75"/>
  </r>
  <r>
    <x v="2"/>
    <x v="0"/>
    <x v="1"/>
    <x v="0"/>
    <x v="0"/>
    <x v="5"/>
    <x v="0"/>
    <x v="0"/>
    <x v="0"/>
    <x v="0"/>
    <x v="4"/>
    <x v="5"/>
    <s v="22"/>
    <x v="25"/>
    <x v="0"/>
    <x v="5"/>
    <x v="7"/>
    <n v="-69036"/>
  </r>
  <r>
    <x v="2"/>
    <x v="0"/>
    <x v="1"/>
    <x v="0"/>
    <x v="0"/>
    <x v="5"/>
    <x v="0"/>
    <x v="0"/>
    <x v="0"/>
    <x v="0"/>
    <x v="4"/>
    <x v="5"/>
    <s v="22"/>
    <x v="25"/>
    <x v="0"/>
    <x v="5"/>
    <x v="5"/>
    <n v="-71225.820000000007"/>
  </r>
  <r>
    <x v="2"/>
    <x v="0"/>
    <x v="1"/>
    <x v="0"/>
    <x v="0"/>
    <x v="5"/>
    <x v="0"/>
    <x v="0"/>
    <x v="0"/>
    <x v="0"/>
    <x v="4"/>
    <x v="5"/>
    <s v="22"/>
    <x v="25"/>
    <x v="0"/>
    <x v="5"/>
    <x v="6"/>
    <n v="-1075443"/>
  </r>
  <r>
    <x v="2"/>
    <x v="0"/>
    <x v="1"/>
    <x v="0"/>
    <x v="0"/>
    <x v="5"/>
    <x v="0"/>
    <x v="0"/>
    <x v="0"/>
    <x v="0"/>
    <x v="4"/>
    <x v="5"/>
    <s v="22"/>
    <x v="25"/>
    <x v="0"/>
    <x v="5"/>
    <x v="1"/>
    <n v="-100000"/>
  </r>
  <r>
    <x v="2"/>
    <x v="0"/>
    <x v="1"/>
    <x v="0"/>
    <x v="0"/>
    <x v="6"/>
    <x v="0"/>
    <x v="0"/>
    <x v="0"/>
    <x v="1"/>
    <x v="1"/>
    <x v="8"/>
    <s v="41"/>
    <x v="4"/>
    <x v="0"/>
    <x v="5"/>
    <x v="5"/>
    <n v="15715"/>
  </r>
  <r>
    <x v="2"/>
    <x v="0"/>
    <x v="1"/>
    <x v="0"/>
    <x v="0"/>
    <x v="6"/>
    <x v="0"/>
    <x v="0"/>
    <x v="0"/>
    <x v="0"/>
    <x v="0"/>
    <x v="4"/>
    <s v="20"/>
    <x v="7"/>
    <x v="0"/>
    <x v="5"/>
    <x v="5"/>
    <n v="-1631.5"/>
  </r>
  <r>
    <x v="2"/>
    <x v="0"/>
    <x v="1"/>
    <x v="0"/>
    <x v="0"/>
    <x v="6"/>
    <x v="0"/>
    <x v="0"/>
    <x v="0"/>
    <x v="0"/>
    <x v="0"/>
    <x v="4"/>
    <s v="24"/>
    <x v="1"/>
    <x v="0"/>
    <x v="5"/>
    <x v="5"/>
    <n v="6398.61"/>
  </r>
  <r>
    <x v="2"/>
    <x v="0"/>
    <x v="1"/>
    <x v="0"/>
    <x v="0"/>
    <x v="6"/>
    <x v="0"/>
    <x v="0"/>
    <x v="0"/>
    <x v="0"/>
    <x v="0"/>
    <x v="4"/>
    <s v="24"/>
    <x v="1"/>
    <x v="0"/>
    <x v="5"/>
    <x v="1"/>
    <n v="1112.08"/>
  </r>
  <r>
    <x v="2"/>
    <x v="0"/>
    <x v="1"/>
    <x v="0"/>
    <x v="0"/>
    <x v="6"/>
    <x v="0"/>
    <x v="0"/>
    <x v="0"/>
    <x v="0"/>
    <x v="0"/>
    <x v="4"/>
    <s v="31"/>
    <x v="8"/>
    <x v="0"/>
    <x v="5"/>
    <x v="5"/>
    <n v="-120"/>
  </r>
  <r>
    <x v="2"/>
    <x v="0"/>
    <x v="1"/>
    <x v="0"/>
    <x v="0"/>
    <x v="6"/>
    <x v="0"/>
    <x v="0"/>
    <x v="0"/>
    <x v="0"/>
    <x v="0"/>
    <x v="4"/>
    <s v="99"/>
    <x v="9"/>
    <x v="0"/>
    <x v="4"/>
    <x v="7"/>
    <n v="5016536.45"/>
  </r>
  <r>
    <x v="2"/>
    <x v="0"/>
    <x v="1"/>
    <x v="0"/>
    <x v="0"/>
    <x v="6"/>
    <x v="0"/>
    <x v="0"/>
    <x v="0"/>
    <x v="0"/>
    <x v="0"/>
    <x v="4"/>
    <s v="99"/>
    <x v="9"/>
    <x v="0"/>
    <x v="4"/>
    <x v="1"/>
    <n v="858499.03"/>
  </r>
  <r>
    <x v="2"/>
    <x v="0"/>
    <x v="1"/>
    <x v="0"/>
    <x v="0"/>
    <x v="6"/>
    <x v="0"/>
    <x v="0"/>
    <x v="0"/>
    <x v="0"/>
    <x v="0"/>
    <x v="4"/>
    <s v="99"/>
    <x v="9"/>
    <x v="0"/>
    <x v="5"/>
    <x v="5"/>
    <n v="-5873575.04"/>
  </r>
  <r>
    <x v="2"/>
    <x v="0"/>
    <x v="1"/>
    <x v="0"/>
    <x v="0"/>
    <x v="6"/>
    <x v="0"/>
    <x v="0"/>
    <x v="0"/>
    <x v="0"/>
    <x v="0"/>
    <x v="4"/>
    <s v="99"/>
    <x v="9"/>
    <x v="0"/>
    <x v="5"/>
    <x v="1"/>
    <n v="89.84"/>
  </r>
  <r>
    <x v="2"/>
    <x v="0"/>
    <x v="1"/>
    <x v="0"/>
    <x v="0"/>
    <x v="6"/>
    <x v="0"/>
    <x v="0"/>
    <x v="0"/>
    <x v="0"/>
    <x v="4"/>
    <x v="5"/>
    <s v="21"/>
    <x v="27"/>
    <x v="0"/>
    <x v="5"/>
    <x v="1"/>
    <n v="1027385.46"/>
  </r>
  <r>
    <x v="2"/>
    <x v="0"/>
    <x v="1"/>
    <x v="0"/>
    <x v="0"/>
    <x v="6"/>
    <x v="0"/>
    <x v="0"/>
    <x v="0"/>
    <x v="0"/>
    <x v="4"/>
    <x v="5"/>
    <s v="22"/>
    <x v="25"/>
    <x v="0"/>
    <x v="4"/>
    <x v="1"/>
    <n v="-400000"/>
  </r>
  <r>
    <x v="2"/>
    <x v="0"/>
    <x v="1"/>
    <x v="0"/>
    <x v="0"/>
    <x v="6"/>
    <x v="0"/>
    <x v="0"/>
    <x v="0"/>
    <x v="0"/>
    <x v="4"/>
    <x v="5"/>
    <s v="22"/>
    <x v="25"/>
    <x v="0"/>
    <x v="5"/>
    <x v="9"/>
    <n v="257000"/>
  </r>
  <r>
    <x v="2"/>
    <x v="0"/>
    <x v="1"/>
    <x v="0"/>
    <x v="0"/>
    <x v="6"/>
    <x v="0"/>
    <x v="0"/>
    <x v="0"/>
    <x v="0"/>
    <x v="4"/>
    <x v="5"/>
    <s v="22"/>
    <x v="25"/>
    <x v="0"/>
    <x v="5"/>
    <x v="5"/>
    <n v="-514096.4"/>
  </r>
  <r>
    <x v="2"/>
    <x v="0"/>
    <x v="1"/>
    <x v="0"/>
    <x v="0"/>
    <x v="6"/>
    <x v="0"/>
    <x v="0"/>
    <x v="0"/>
    <x v="0"/>
    <x v="4"/>
    <x v="5"/>
    <s v="22"/>
    <x v="25"/>
    <x v="0"/>
    <x v="5"/>
    <x v="6"/>
    <n v="-355625"/>
  </r>
  <r>
    <x v="2"/>
    <x v="0"/>
    <x v="1"/>
    <x v="0"/>
    <x v="0"/>
    <x v="6"/>
    <x v="0"/>
    <x v="0"/>
    <x v="0"/>
    <x v="0"/>
    <x v="4"/>
    <x v="5"/>
    <s v="22"/>
    <x v="25"/>
    <x v="0"/>
    <x v="5"/>
    <x v="1"/>
    <n v="-1027385.46"/>
  </r>
  <r>
    <x v="2"/>
    <x v="0"/>
    <x v="1"/>
    <x v="0"/>
    <x v="0"/>
    <x v="6"/>
    <x v="0"/>
    <x v="0"/>
    <x v="0"/>
    <x v="0"/>
    <x v="5"/>
    <x v="6"/>
    <s v="02"/>
    <x v="31"/>
    <x v="0"/>
    <x v="5"/>
    <x v="5"/>
    <n v="-2010"/>
  </r>
  <r>
    <x v="2"/>
    <x v="0"/>
    <x v="1"/>
    <x v="0"/>
    <x v="0"/>
    <x v="6"/>
    <x v="0"/>
    <x v="0"/>
    <x v="0"/>
    <x v="0"/>
    <x v="5"/>
    <x v="6"/>
    <s v="40"/>
    <x v="26"/>
    <x v="0"/>
    <x v="4"/>
    <x v="1"/>
    <n v="-211.35"/>
  </r>
  <r>
    <x v="2"/>
    <x v="0"/>
    <x v="1"/>
    <x v="0"/>
    <x v="0"/>
    <x v="6"/>
    <x v="0"/>
    <x v="0"/>
    <x v="0"/>
    <x v="0"/>
    <x v="5"/>
    <x v="6"/>
    <s v="40"/>
    <x v="26"/>
    <x v="0"/>
    <x v="5"/>
    <x v="5"/>
    <n v="120173.46"/>
  </r>
  <r>
    <x v="2"/>
    <x v="0"/>
    <x v="1"/>
    <x v="0"/>
    <x v="0"/>
    <x v="6"/>
    <x v="0"/>
    <x v="0"/>
    <x v="0"/>
    <x v="0"/>
    <x v="5"/>
    <x v="6"/>
    <s v="40"/>
    <x v="26"/>
    <x v="0"/>
    <x v="5"/>
    <x v="1"/>
    <n v="-1112.08"/>
  </r>
  <r>
    <x v="2"/>
    <x v="0"/>
    <x v="1"/>
    <x v="0"/>
    <x v="0"/>
    <x v="6"/>
    <x v="1"/>
    <x v="0"/>
    <x v="0"/>
    <x v="1"/>
    <x v="1"/>
    <x v="8"/>
    <s v="41"/>
    <x v="4"/>
    <x v="0"/>
    <x v="5"/>
    <x v="1"/>
    <n v="3922"/>
  </r>
  <r>
    <x v="2"/>
    <x v="0"/>
    <x v="1"/>
    <x v="0"/>
    <x v="0"/>
    <x v="6"/>
    <x v="1"/>
    <x v="0"/>
    <x v="0"/>
    <x v="0"/>
    <x v="0"/>
    <x v="4"/>
    <s v="05"/>
    <x v="6"/>
    <x v="0"/>
    <x v="4"/>
    <x v="1"/>
    <n v="6292.9"/>
  </r>
  <r>
    <x v="2"/>
    <x v="0"/>
    <x v="1"/>
    <x v="0"/>
    <x v="0"/>
    <x v="6"/>
    <x v="1"/>
    <x v="0"/>
    <x v="0"/>
    <x v="0"/>
    <x v="0"/>
    <x v="4"/>
    <s v="20"/>
    <x v="7"/>
    <x v="0"/>
    <x v="5"/>
    <x v="2"/>
    <n v="1772.66"/>
  </r>
  <r>
    <x v="2"/>
    <x v="0"/>
    <x v="1"/>
    <x v="0"/>
    <x v="0"/>
    <x v="6"/>
    <x v="1"/>
    <x v="0"/>
    <x v="0"/>
    <x v="0"/>
    <x v="0"/>
    <x v="4"/>
    <s v="20"/>
    <x v="7"/>
    <x v="0"/>
    <x v="5"/>
    <x v="3"/>
    <n v="37.200000000000003"/>
  </r>
  <r>
    <x v="2"/>
    <x v="0"/>
    <x v="1"/>
    <x v="0"/>
    <x v="0"/>
    <x v="6"/>
    <x v="1"/>
    <x v="0"/>
    <x v="0"/>
    <x v="0"/>
    <x v="0"/>
    <x v="4"/>
    <s v="20"/>
    <x v="7"/>
    <x v="0"/>
    <x v="5"/>
    <x v="4"/>
    <n v="-1772.66"/>
  </r>
  <r>
    <x v="2"/>
    <x v="0"/>
    <x v="1"/>
    <x v="0"/>
    <x v="0"/>
    <x v="6"/>
    <x v="1"/>
    <x v="0"/>
    <x v="0"/>
    <x v="0"/>
    <x v="0"/>
    <x v="4"/>
    <s v="20"/>
    <x v="7"/>
    <x v="0"/>
    <x v="5"/>
    <x v="6"/>
    <n v="420.83"/>
  </r>
  <r>
    <x v="2"/>
    <x v="0"/>
    <x v="1"/>
    <x v="0"/>
    <x v="0"/>
    <x v="6"/>
    <x v="1"/>
    <x v="0"/>
    <x v="0"/>
    <x v="0"/>
    <x v="0"/>
    <x v="4"/>
    <s v="24"/>
    <x v="1"/>
    <x v="0"/>
    <x v="5"/>
    <x v="6"/>
    <n v="-118486.75"/>
  </r>
  <r>
    <x v="2"/>
    <x v="0"/>
    <x v="1"/>
    <x v="0"/>
    <x v="0"/>
    <x v="6"/>
    <x v="1"/>
    <x v="0"/>
    <x v="0"/>
    <x v="0"/>
    <x v="0"/>
    <x v="4"/>
    <s v="24"/>
    <x v="1"/>
    <x v="0"/>
    <x v="5"/>
    <x v="1"/>
    <n v="116866.18"/>
  </r>
  <r>
    <x v="2"/>
    <x v="0"/>
    <x v="1"/>
    <x v="0"/>
    <x v="0"/>
    <x v="6"/>
    <x v="1"/>
    <x v="0"/>
    <x v="0"/>
    <x v="0"/>
    <x v="0"/>
    <x v="4"/>
    <s v="31"/>
    <x v="8"/>
    <x v="0"/>
    <x v="4"/>
    <x v="8"/>
    <n v="285.32"/>
  </r>
  <r>
    <x v="2"/>
    <x v="0"/>
    <x v="1"/>
    <x v="0"/>
    <x v="0"/>
    <x v="6"/>
    <x v="1"/>
    <x v="0"/>
    <x v="0"/>
    <x v="0"/>
    <x v="0"/>
    <x v="4"/>
    <s v="31"/>
    <x v="8"/>
    <x v="0"/>
    <x v="4"/>
    <x v="9"/>
    <n v="20"/>
  </r>
  <r>
    <x v="2"/>
    <x v="0"/>
    <x v="1"/>
    <x v="0"/>
    <x v="0"/>
    <x v="6"/>
    <x v="1"/>
    <x v="0"/>
    <x v="0"/>
    <x v="0"/>
    <x v="0"/>
    <x v="4"/>
    <s v="31"/>
    <x v="8"/>
    <x v="0"/>
    <x v="4"/>
    <x v="10"/>
    <n v="-248"/>
  </r>
  <r>
    <x v="2"/>
    <x v="0"/>
    <x v="1"/>
    <x v="0"/>
    <x v="0"/>
    <x v="6"/>
    <x v="1"/>
    <x v="0"/>
    <x v="0"/>
    <x v="0"/>
    <x v="0"/>
    <x v="4"/>
    <s v="31"/>
    <x v="8"/>
    <x v="0"/>
    <x v="4"/>
    <x v="11"/>
    <n v="142"/>
  </r>
  <r>
    <x v="2"/>
    <x v="0"/>
    <x v="1"/>
    <x v="0"/>
    <x v="0"/>
    <x v="6"/>
    <x v="1"/>
    <x v="0"/>
    <x v="0"/>
    <x v="0"/>
    <x v="0"/>
    <x v="4"/>
    <s v="31"/>
    <x v="8"/>
    <x v="0"/>
    <x v="5"/>
    <x v="1"/>
    <n v="64.78"/>
  </r>
  <r>
    <x v="2"/>
    <x v="0"/>
    <x v="1"/>
    <x v="0"/>
    <x v="0"/>
    <x v="6"/>
    <x v="1"/>
    <x v="0"/>
    <x v="0"/>
    <x v="0"/>
    <x v="0"/>
    <x v="4"/>
    <s v="90"/>
    <x v="16"/>
    <x v="0"/>
    <x v="5"/>
    <x v="1"/>
    <n v="-533.08000000000004"/>
  </r>
  <r>
    <x v="2"/>
    <x v="0"/>
    <x v="1"/>
    <x v="0"/>
    <x v="0"/>
    <x v="6"/>
    <x v="1"/>
    <x v="0"/>
    <x v="0"/>
    <x v="0"/>
    <x v="0"/>
    <x v="4"/>
    <s v="99"/>
    <x v="9"/>
    <x v="0"/>
    <x v="4"/>
    <x v="3"/>
    <n v="250"/>
  </r>
  <r>
    <x v="2"/>
    <x v="0"/>
    <x v="1"/>
    <x v="0"/>
    <x v="0"/>
    <x v="6"/>
    <x v="1"/>
    <x v="0"/>
    <x v="0"/>
    <x v="0"/>
    <x v="0"/>
    <x v="4"/>
    <s v="99"/>
    <x v="9"/>
    <x v="0"/>
    <x v="5"/>
    <x v="6"/>
    <n v="118436.75"/>
  </r>
  <r>
    <x v="2"/>
    <x v="0"/>
    <x v="1"/>
    <x v="0"/>
    <x v="0"/>
    <x v="6"/>
    <x v="1"/>
    <x v="0"/>
    <x v="0"/>
    <x v="0"/>
    <x v="0"/>
    <x v="4"/>
    <s v="99"/>
    <x v="9"/>
    <x v="0"/>
    <x v="5"/>
    <x v="1"/>
    <n v="-2402.34"/>
  </r>
  <r>
    <x v="2"/>
    <x v="0"/>
    <x v="1"/>
    <x v="0"/>
    <x v="0"/>
    <x v="6"/>
    <x v="1"/>
    <x v="0"/>
    <x v="0"/>
    <x v="0"/>
    <x v="4"/>
    <x v="5"/>
    <s v="21"/>
    <x v="27"/>
    <x v="0"/>
    <x v="5"/>
    <x v="1"/>
    <n v="-612721.4"/>
  </r>
  <r>
    <x v="2"/>
    <x v="0"/>
    <x v="1"/>
    <x v="0"/>
    <x v="0"/>
    <x v="6"/>
    <x v="1"/>
    <x v="0"/>
    <x v="0"/>
    <x v="0"/>
    <x v="4"/>
    <x v="5"/>
    <s v="22"/>
    <x v="25"/>
    <x v="0"/>
    <x v="5"/>
    <x v="1"/>
    <n v="612721.4"/>
  </r>
  <r>
    <x v="2"/>
    <x v="0"/>
    <x v="1"/>
    <x v="0"/>
    <x v="0"/>
    <x v="6"/>
    <x v="5"/>
    <x v="0"/>
    <x v="0"/>
    <x v="0"/>
    <x v="0"/>
    <x v="4"/>
    <s v="20"/>
    <x v="7"/>
    <x v="0"/>
    <x v="5"/>
    <x v="9"/>
    <n v="450"/>
  </r>
  <r>
    <x v="2"/>
    <x v="0"/>
    <x v="1"/>
    <x v="0"/>
    <x v="0"/>
    <x v="6"/>
    <x v="5"/>
    <x v="0"/>
    <x v="0"/>
    <x v="0"/>
    <x v="0"/>
    <x v="4"/>
    <s v="20"/>
    <x v="7"/>
    <x v="0"/>
    <x v="5"/>
    <x v="10"/>
    <n v="482.42"/>
  </r>
  <r>
    <x v="2"/>
    <x v="0"/>
    <x v="1"/>
    <x v="0"/>
    <x v="0"/>
    <x v="6"/>
    <x v="5"/>
    <x v="0"/>
    <x v="0"/>
    <x v="0"/>
    <x v="0"/>
    <x v="4"/>
    <s v="99"/>
    <x v="9"/>
    <x v="0"/>
    <x v="5"/>
    <x v="2"/>
    <n v="500"/>
  </r>
  <r>
    <x v="2"/>
    <x v="0"/>
    <x v="1"/>
    <x v="0"/>
    <x v="0"/>
    <x v="6"/>
    <x v="5"/>
    <x v="0"/>
    <x v="0"/>
    <x v="0"/>
    <x v="5"/>
    <x v="6"/>
    <s v="40"/>
    <x v="26"/>
    <x v="0"/>
    <x v="5"/>
    <x v="0"/>
    <n v="500"/>
  </r>
  <r>
    <x v="2"/>
    <x v="0"/>
    <x v="1"/>
    <x v="0"/>
    <x v="0"/>
    <x v="6"/>
    <x v="5"/>
    <x v="0"/>
    <x v="0"/>
    <x v="0"/>
    <x v="5"/>
    <x v="6"/>
    <s v="40"/>
    <x v="26"/>
    <x v="0"/>
    <x v="5"/>
    <x v="2"/>
    <n v="-500"/>
  </r>
  <r>
    <x v="2"/>
    <x v="0"/>
    <x v="1"/>
    <x v="0"/>
    <x v="0"/>
    <x v="6"/>
    <x v="2"/>
    <x v="0"/>
    <x v="0"/>
    <x v="0"/>
    <x v="0"/>
    <x v="4"/>
    <s v="20"/>
    <x v="7"/>
    <x v="0"/>
    <x v="4"/>
    <x v="8"/>
    <n v="179.15"/>
  </r>
  <r>
    <x v="2"/>
    <x v="0"/>
    <x v="1"/>
    <x v="0"/>
    <x v="0"/>
    <x v="6"/>
    <x v="2"/>
    <x v="0"/>
    <x v="0"/>
    <x v="0"/>
    <x v="0"/>
    <x v="4"/>
    <s v="20"/>
    <x v="7"/>
    <x v="0"/>
    <x v="4"/>
    <x v="9"/>
    <n v="4461.0600000000004"/>
  </r>
  <r>
    <x v="2"/>
    <x v="0"/>
    <x v="1"/>
    <x v="0"/>
    <x v="0"/>
    <x v="6"/>
    <x v="2"/>
    <x v="0"/>
    <x v="0"/>
    <x v="0"/>
    <x v="0"/>
    <x v="4"/>
    <s v="20"/>
    <x v="7"/>
    <x v="0"/>
    <x v="4"/>
    <x v="11"/>
    <n v="7508.16"/>
  </r>
  <r>
    <x v="2"/>
    <x v="0"/>
    <x v="1"/>
    <x v="0"/>
    <x v="0"/>
    <x v="6"/>
    <x v="2"/>
    <x v="0"/>
    <x v="0"/>
    <x v="0"/>
    <x v="0"/>
    <x v="4"/>
    <s v="20"/>
    <x v="7"/>
    <x v="0"/>
    <x v="4"/>
    <x v="4"/>
    <n v="-1833.09"/>
  </r>
  <r>
    <x v="2"/>
    <x v="0"/>
    <x v="1"/>
    <x v="0"/>
    <x v="0"/>
    <x v="6"/>
    <x v="2"/>
    <x v="0"/>
    <x v="0"/>
    <x v="0"/>
    <x v="0"/>
    <x v="4"/>
    <s v="20"/>
    <x v="7"/>
    <x v="0"/>
    <x v="4"/>
    <x v="7"/>
    <n v="1848.18"/>
  </r>
  <r>
    <x v="2"/>
    <x v="0"/>
    <x v="1"/>
    <x v="0"/>
    <x v="0"/>
    <x v="6"/>
    <x v="2"/>
    <x v="0"/>
    <x v="0"/>
    <x v="0"/>
    <x v="0"/>
    <x v="4"/>
    <s v="20"/>
    <x v="7"/>
    <x v="0"/>
    <x v="4"/>
    <x v="5"/>
    <n v="2403.27"/>
  </r>
  <r>
    <x v="2"/>
    <x v="0"/>
    <x v="1"/>
    <x v="0"/>
    <x v="0"/>
    <x v="6"/>
    <x v="2"/>
    <x v="0"/>
    <x v="0"/>
    <x v="0"/>
    <x v="0"/>
    <x v="4"/>
    <s v="20"/>
    <x v="7"/>
    <x v="0"/>
    <x v="4"/>
    <x v="1"/>
    <n v="7211.5"/>
  </r>
  <r>
    <x v="2"/>
    <x v="0"/>
    <x v="1"/>
    <x v="0"/>
    <x v="0"/>
    <x v="6"/>
    <x v="2"/>
    <x v="0"/>
    <x v="0"/>
    <x v="0"/>
    <x v="0"/>
    <x v="4"/>
    <s v="20"/>
    <x v="7"/>
    <x v="0"/>
    <x v="5"/>
    <x v="8"/>
    <n v="-39.29"/>
  </r>
  <r>
    <x v="2"/>
    <x v="0"/>
    <x v="1"/>
    <x v="0"/>
    <x v="0"/>
    <x v="6"/>
    <x v="2"/>
    <x v="0"/>
    <x v="0"/>
    <x v="0"/>
    <x v="0"/>
    <x v="4"/>
    <s v="20"/>
    <x v="7"/>
    <x v="0"/>
    <x v="5"/>
    <x v="9"/>
    <n v="12297.86"/>
  </r>
  <r>
    <x v="2"/>
    <x v="0"/>
    <x v="1"/>
    <x v="0"/>
    <x v="0"/>
    <x v="6"/>
    <x v="2"/>
    <x v="0"/>
    <x v="0"/>
    <x v="0"/>
    <x v="0"/>
    <x v="4"/>
    <s v="20"/>
    <x v="7"/>
    <x v="0"/>
    <x v="5"/>
    <x v="10"/>
    <n v="1344.13"/>
  </r>
  <r>
    <x v="2"/>
    <x v="0"/>
    <x v="1"/>
    <x v="0"/>
    <x v="0"/>
    <x v="6"/>
    <x v="2"/>
    <x v="0"/>
    <x v="0"/>
    <x v="0"/>
    <x v="0"/>
    <x v="4"/>
    <s v="20"/>
    <x v="7"/>
    <x v="0"/>
    <x v="5"/>
    <x v="11"/>
    <n v="-1900.08"/>
  </r>
  <r>
    <x v="2"/>
    <x v="0"/>
    <x v="1"/>
    <x v="0"/>
    <x v="0"/>
    <x v="6"/>
    <x v="2"/>
    <x v="0"/>
    <x v="0"/>
    <x v="0"/>
    <x v="0"/>
    <x v="4"/>
    <s v="20"/>
    <x v="7"/>
    <x v="0"/>
    <x v="5"/>
    <x v="4"/>
    <n v="2092.09"/>
  </r>
  <r>
    <x v="2"/>
    <x v="0"/>
    <x v="1"/>
    <x v="0"/>
    <x v="0"/>
    <x v="6"/>
    <x v="2"/>
    <x v="0"/>
    <x v="0"/>
    <x v="0"/>
    <x v="0"/>
    <x v="4"/>
    <s v="20"/>
    <x v="7"/>
    <x v="0"/>
    <x v="5"/>
    <x v="7"/>
    <n v="6606.14"/>
  </r>
  <r>
    <x v="2"/>
    <x v="0"/>
    <x v="1"/>
    <x v="0"/>
    <x v="0"/>
    <x v="6"/>
    <x v="2"/>
    <x v="0"/>
    <x v="0"/>
    <x v="0"/>
    <x v="0"/>
    <x v="4"/>
    <s v="20"/>
    <x v="7"/>
    <x v="0"/>
    <x v="5"/>
    <x v="5"/>
    <n v="1838.68"/>
  </r>
  <r>
    <x v="2"/>
    <x v="0"/>
    <x v="1"/>
    <x v="0"/>
    <x v="0"/>
    <x v="6"/>
    <x v="2"/>
    <x v="0"/>
    <x v="0"/>
    <x v="0"/>
    <x v="0"/>
    <x v="4"/>
    <s v="20"/>
    <x v="7"/>
    <x v="0"/>
    <x v="5"/>
    <x v="1"/>
    <n v="5417.37"/>
  </r>
  <r>
    <x v="2"/>
    <x v="0"/>
    <x v="1"/>
    <x v="0"/>
    <x v="0"/>
    <x v="6"/>
    <x v="2"/>
    <x v="0"/>
    <x v="0"/>
    <x v="0"/>
    <x v="0"/>
    <x v="4"/>
    <s v="24"/>
    <x v="1"/>
    <x v="0"/>
    <x v="5"/>
    <x v="3"/>
    <n v="24.39"/>
  </r>
  <r>
    <x v="2"/>
    <x v="0"/>
    <x v="1"/>
    <x v="0"/>
    <x v="0"/>
    <x v="6"/>
    <x v="2"/>
    <x v="0"/>
    <x v="0"/>
    <x v="0"/>
    <x v="0"/>
    <x v="4"/>
    <s v="24"/>
    <x v="1"/>
    <x v="0"/>
    <x v="5"/>
    <x v="6"/>
    <n v="12.5"/>
  </r>
  <r>
    <x v="2"/>
    <x v="0"/>
    <x v="1"/>
    <x v="0"/>
    <x v="0"/>
    <x v="6"/>
    <x v="2"/>
    <x v="0"/>
    <x v="0"/>
    <x v="0"/>
    <x v="0"/>
    <x v="4"/>
    <s v="31"/>
    <x v="8"/>
    <x v="0"/>
    <x v="5"/>
    <x v="7"/>
    <n v="6000"/>
  </r>
  <r>
    <x v="2"/>
    <x v="0"/>
    <x v="1"/>
    <x v="0"/>
    <x v="0"/>
    <x v="6"/>
    <x v="2"/>
    <x v="0"/>
    <x v="0"/>
    <x v="0"/>
    <x v="0"/>
    <x v="4"/>
    <s v="31"/>
    <x v="8"/>
    <x v="0"/>
    <x v="5"/>
    <x v="5"/>
    <n v="-6000"/>
  </r>
  <r>
    <x v="2"/>
    <x v="0"/>
    <x v="1"/>
    <x v="0"/>
    <x v="0"/>
    <x v="6"/>
    <x v="2"/>
    <x v="0"/>
    <x v="0"/>
    <x v="0"/>
    <x v="0"/>
    <x v="4"/>
    <s v="99"/>
    <x v="9"/>
    <x v="0"/>
    <x v="5"/>
    <x v="2"/>
    <n v="31"/>
  </r>
  <r>
    <x v="2"/>
    <x v="0"/>
    <x v="1"/>
    <x v="0"/>
    <x v="0"/>
    <x v="6"/>
    <x v="3"/>
    <x v="0"/>
    <x v="0"/>
    <x v="0"/>
    <x v="0"/>
    <x v="4"/>
    <s v="20"/>
    <x v="7"/>
    <x v="0"/>
    <x v="4"/>
    <x v="8"/>
    <n v="18745.5"/>
  </r>
  <r>
    <x v="2"/>
    <x v="0"/>
    <x v="1"/>
    <x v="0"/>
    <x v="0"/>
    <x v="6"/>
    <x v="3"/>
    <x v="0"/>
    <x v="0"/>
    <x v="0"/>
    <x v="0"/>
    <x v="4"/>
    <s v="20"/>
    <x v="7"/>
    <x v="0"/>
    <x v="4"/>
    <x v="7"/>
    <n v="22.5"/>
  </r>
  <r>
    <x v="2"/>
    <x v="0"/>
    <x v="1"/>
    <x v="0"/>
    <x v="0"/>
    <x v="6"/>
    <x v="3"/>
    <x v="0"/>
    <x v="0"/>
    <x v="0"/>
    <x v="0"/>
    <x v="4"/>
    <s v="20"/>
    <x v="7"/>
    <x v="0"/>
    <x v="4"/>
    <x v="5"/>
    <n v="-14966.5"/>
  </r>
  <r>
    <x v="2"/>
    <x v="0"/>
    <x v="1"/>
    <x v="0"/>
    <x v="0"/>
    <x v="6"/>
    <x v="3"/>
    <x v="0"/>
    <x v="0"/>
    <x v="0"/>
    <x v="0"/>
    <x v="4"/>
    <s v="20"/>
    <x v="7"/>
    <x v="0"/>
    <x v="4"/>
    <x v="6"/>
    <n v="-40"/>
  </r>
  <r>
    <x v="2"/>
    <x v="0"/>
    <x v="1"/>
    <x v="0"/>
    <x v="0"/>
    <x v="6"/>
    <x v="3"/>
    <x v="0"/>
    <x v="0"/>
    <x v="0"/>
    <x v="0"/>
    <x v="4"/>
    <s v="20"/>
    <x v="7"/>
    <x v="0"/>
    <x v="5"/>
    <x v="3"/>
    <n v="100"/>
  </r>
  <r>
    <x v="2"/>
    <x v="0"/>
    <x v="1"/>
    <x v="0"/>
    <x v="0"/>
    <x v="6"/>
    <x v="3"/>
    <x v="0"/>
    <x v="0"/>
    <x v="0"/>
    <x v="0"/>
    <x v="4"/>
    <s v="24"/>
    <x v="1"/>
    <x v="0"/>
    <x v="5"/>
    <x v="11"/>
    <n v="5"/>
  </r>
  <r>
    <x v="2"/>
    <x v="0"/>
    <x v="1"/>
    <x v="0"/>
    <x v="0"/>
    <x v="6"/>
    <x v="3"/>
    <x v="0"/>
    <x v="0"/>
    <x v="0"/>
    <x v="0"/>
    <x v="4"/>
    <s v="31"/>
    <x v="8"/>
    <x v="0"/>
    <x v="4"/>
    <x v="7"/>
    <n v="10"/>
  </r>
  <r>
    <x v="2"/>
    <x v="0"/>
    <x v="1"/>
    <x v="0"/>
    <x v="0"/>
    <x v="6"/>
    <x v="3"/>
    <x v="0"/>
    <x v="0"/>
    <x v="0"/>
    <x v="0"/>
    <x v="4"/>
    <s v="31"/>
    <x v="8"/>
    <x v="0"/>
    <x v="5"/>
    <x v="4"/>
    <n v="13.4"/>
  </r>
  <r>
    <x v="2"/>
    <x v="0"/>
    <x v="1"/>
    <x v="0"/>
    <x v="0"/>
    <x v="6"/>
    <x v="3"/>
    <x v="0"/>
    <x v="0"/>
    <x v="0"/>
    <x v="0"/>
    <x v="4"/>
    <s v="31"/>
    <x v="8"/>
    <x v="0"/>
    <x v="5"/>
    <x v="7"/>
    <n v="-6.7"/>
  </r>
  <r>
    <x v="2"/>
    <x v="0"/>
    <x v="1"/>
    <x v="0"/>
    <x v="0"/>
    <x v="6"/>
    <x v="3"/>
    <x v="0"/>
    <x v="0"/>
    <x v="0"/>
    <x v="0"/>
    <x v="4"/>
    <s v="31"/>
    <x v="8"/>
    <x v="0"/>
    <x v="5"/>
    <x v="5"/>
    <n v="20.100000000000001"/>
  </r>
  <r>
    <x v="2"/>
    <x v="0"/>
    <x v="1"/>
    <x v="0"/>
    <x v="0"/>
    <x v="6"/>
    <x v="3"/>
    <x v="0"/>
    <x v="0"/>
    <x v="0"/>
    <x v="0"/>
    <x v="4"/>
    <s v="31"/>
    <x v="8"/>
    <x v="0"/>
    <x v="5"/>
    <x v="6"/>
    <n v="-180.9"/>
  </r>
  <r>
    <x v="2"/>
    <x v="0"/>
    <x v="1"/>
    <x v="0"/>
    <x v="0"/>
    <x v="6"/>
    <x v="4"/>
    <x v="0"/>
    <x v="0"/>
    <x v="0"/>
    <x v="0"/>
    <x v="4"/>
    <s v="09"/>
    <x v="0"/>
    <x v="0"/>
    <x v="5"/>
    <x v="1"/>
    <n v="66549.08"/>
  </r>
  <r>
    <x v="2"/>
    <x v="0"/>
    <x v="1"/>
    <x v="0"/>
    <x v="0"/>
    <x v="6"/>
    <x v="4"/>
    <x v="0"/>
    <x v="0"/>
    <x v="0"/>
    <x v="0"/>
    <x v="4"/>
    <s v="20"/>
    <x v="7"/>
    <x v="0"/>
    <x v="4"/>
    <x v="8"/>
    <n v="16988.259999999998"/>
  </r>
  <r>
    <x v="2"/>
    <x v="0"/>
    <x v="1"/>
    <x v="0"/>
    <x v="0"/>
    <x v="6"/>
    <x v="4"/>
    <x v="0"/>
    <x v="0"/>
    <x v="0"/>
    <x v="0"/>
    <x v="4"/>
    <s v="20"/>
    <x v="7"/>
    <x v="0"/>
    <x v="4"/>
    <x v="5"/>
    <n v="-19517.259999999998"/>
  </r>
  <r>
    <x v="2"/>
    <x v="0"/>
    <x v="1"/>
    <x v="0"/>
    <x v="0"/>
    <x v="6"/>
    <x v="4"/>
    <x v="0"/>
    <x v="0"/>
    <x v="0"/>
    <x v="0"/>
    <x v="4"/>
    <s v="24"/>
    <x v="1"/>
    <x v="0"/>
    <x v="4"/>
    <x v="8"/>
    <n v="-458731.19"/>
  </r>
  <r>
    <x v="2"/>
    <x v="0"/>
    <x v="1"/>
    <x v="0"/>
    <x v="0"/>
    <x v="6"/>
    <x v="4"/>
    <x v="0"/>
    <x v="0"/>
    <x v="0"/>
    <x v="0"/>
    <x v="4"/>
    <s v="24"/>
    <x v="1"/>
    <x v="0"/>
    <x v="4"/>
    <x v="9"/>
    <n v="-39044.03"/>
  </r>
  <r>
    <x v="2"/>
    <x v="0"/>
    <x v="1"/>
    <x v="0"/>
    <x v="0"/>
    <x v="6"/>
    <x v="4"/>
    <x v="0"/>
    <x v="0"/>
    <x v="0"/>
    <x v="0"/>
    <x v="4"/>
    <s v="24"/>
    <x v="1"/>
    <x v="0"/>
    <x v="4"/>
    <x v="10"/>
    <n v="709.17"/>
  </r>
  <r>
    <x v="2"/>
    <x v="0"/>
    <x v="1"/>
    <x v="0"/>
    <x v="0"/>
    <x v="6"/>
    <x v="4"/>
    <x v="0"/>
    <x v="0"/>
    <x v="0"/>
    <x v="0"/>
    <x v="4"/>
    <s v="24"/>
    <x v="1"/>
    <x v="0"/>
    <x v="4"/>
    <x v="11"/>
    <n v="-440050.02"/>
  </r>
  <r>
    <x v="2"/>
    <x v="0"/>
    <x v="1"/>
    <x v="0"/>
    <x v="0"/>
    <x v="6"/>
    <x v="4"/>
    <x v="0"/>
    <x v="0"/>
    <x v="0"/>
    <x v="0"/>
    <x v="4"/>
    <s v="24"/>
    <x v="1"/>
    <x v="0"/>
    <x v="4"/>
    <x v="3"/>
    <n v="-22303.19"/>
  </r>
  <r>
    <x v="2"/>
    <x v="0"/>
    <x v="1"/>
    <x v="0"/>
    <x v="0"/>
    <x v="6"/>
    <x v="4"/>
    <x v="0"/>
    <x v="0"/>
    <x v="0"/>
    <x v="0"/>
    <x v="4"/>
    <s v="24"/>
    <x v="1"/>
    <x v="0"/>
    <x v="4"/>
    <x v="4"/>
    <n v="4633.59"/>
  </r>
  <r>
    <x v="2"/>
    <x v="0"/>
    <x v="1"/>
    <x v="0"/>
    <x v="0"/>
    <x v="6"/>
    <x v="4"/>
    <x v="0"/>
    <x v="0"/>
    <x v="0"/>
    <x v="0"/>
    <x v="4"/>
    <s v="24"/>
    <x v="1"/>
    <x v="0"/>
    <x v="4"/>
    <x v="7"/>
    <n v="-392917.28"/>
  </r>
  <r>
    <x v="2"/>
    <x v="0"/>
    <x v="1"/>
    <x v="0"/>
    <x v="0"/>
    <x v="6"/>
    <x v="4"/>
    <x v="0"/>
    <x v="0"/>
    <x v="0"/>
    <x v="0"/>
    <x v="4"/>
    <s v="24"/>
    <x v="1"/>
    <x v="0"/>
    <x v="4"/>
    <x v="5"/>
    <n v="-17746.88"/>
  </r>
  <r>
    <x v="2"/>
    <x v="0"/>
    <x v="1"/>
    <x v="0"/>
    <x v="0"/>
    <x v="6"/>
    <x v="4"/>
    <x v="0"/>
    <x v="0"/>
    <x v="0"/>
    <x v="0"/>
    <x v="4"/>
    <s v="24"/>
    <x v="1"/>
    <x v="0"/>
    <x v="4"/>
    <x v="6"/>
    <n v="6222.5"/>
  </r>
  <r>
    <x v="2"/>
    <x v="0"/>
    <x v="1"/>
    <x v="0"/>
    <x v="0"/>
    <x v="6"/>
    <x v="4"/>
    <x v="0"/>
    <x v="0"/>
    <x v="0"/>
    <x v="0"/>
    <x v="4"/>
    <s v="24"/>
    <x v="1"/>
    <x v="0"/>
    <x v="4"/>
    <x v="1"/>
    <n v="-136108.68"/>
  </r>
  <r>
    <x v="2"/>
    <x v="0"/>
    <x v="1"/>
    <x v="0"/>
    <x v="0"/>
    <x v="6"/>
    <x v="4"/>
    <x v="0"/>
    <x v="0"/>
    <x v="0"/>
    <x v="0"/>
    <x v="4"/>
    <s v="24"/>
    <x v="1"/>
    <x v="0"/>
    <x v="5"/>
    <x v="0"/>
    <n v="6825.09"/>
  </r>
  <r>
    <x v="2"/>
    <x v="0"/>
    <x v="1"/>
    <x v="0"/>
    <x v="0"/>
    <x v="6"/>
    <x v="4"/>
    <x v="0"/>
    <x v="0"/>
    <x v="0"/>
    <x v="0"/>
    <x v="4"/>
    <s v="24"/>
    <x v="1"/>
    <x v="0"/>
    <x v="5"/>
    <x v="2"/>
    <n v="-2.62"/>
  </r>
  <r>
    <x v="2"/>
    <x v="0"/>
    <x v="1"/>
    <x v="0"/>
    <x v="0"/>
    <x v="6"/>
    <x v="4"/>
    <x v="0"/>
    <x v="0"/>
    <x v="0"/>
    <x v="0"/>
    <x v="4"/>
    <s v="24"/>
    <x v="1"/>
    <x v="0"/>
    <x v="5"/>
    <x v="8"/>
    <n v="-496413.06"/>
  </r>
  <r>
    <x v="2"/>
    <x v="0"/>
    <x v="1"/>
    <x v="0"/>
    <x v="0"/>
    <x v="6"/>
    <x v="4"/>
    <x v="0"/>
    <x v="0"/>
    <x v="0"/>
    <x v="0"/>
    <x v="4"/>
    <s v="24"/>
    <x v="1"/>
    <x v="0"/>
    <x v="5"/>
    <x v="9"/>
    <n v="-17644.16"/>
  </r>
  <r>
    <x v="2"/>
    <x v="0"/>
    <x v="1"/>
    <x v="0"/>
    <x v="0"/>
    <x v="6"/>
    <x v="4"/>
    <x v="0"/>
    <x v="0"/>
    <x v="0"/>
    <x v="0"/>
    <x v="4"/>
    <s v="24"/>
    <x v="1"/>
    <x v="0"/>
    <x v="5"/>
    <x v="10"/>
    <n v="-886.94"/>
  </r>
  <r>
    <x v="2"/>
    <x v="0"/>
    <x v="1"/>
    <x v="0"/>
    <x v="0"/>
    <x v="6"/>
    <x v="4"/>
    <x v="0"/>
    <x v="0"/>
    <x v="0"/>
    <x v="0"/>
    <x v="4"/>
    <s v="24"/>
    <x v="1"/>
    <x v="0"/>
    <x v="5"/>
    <x v="11"/>
    <n v="-418719.85"/>
  </r>
  <r>
    <x v="2"/>
    <x v="0"/>
    <x v="1"/>
    <x v="0"/>
    <x v="0"/>
    <x v="6"/>
    <x v="4"/>
    <x v="0"/>
    <x v="0"/>
    <x v="0"/>
    <x v="0"/>
    <x v="4"/>
    <s v="24"/>
    <x v="1"/>
    <x v="0"/>
    <x v="5"/>
    <x v="3"/>
    <n v="-51476.49"/>
  </r>
  <r>
    <x v="2"/>
    <x v="0"/>
    <x v="1"/>
    <x v="0"/>
    <x v="0"/>
    <x v="6"/>
    <x v="4"/>
    <x v="0"/>
    <x v="0"/>
    <x v="0"/>
    <x v="0"/>
    <x v="4"/>
    <s v="24"/>
    <x v="1"/>
    <x v="0"/>
    <x v="5"/>
    <x v="4"/>
    <n v="18065.18"/>
  </r>
  <r>
    <x v="2"/>
    <x v="0"/>
    <x v="1"/>
    <x v="0"/>
    <x v="0"/>
    <x v="6"/>
    <x v="4"/>
    <x v="0"/>
    <x v="0"/>
    <x v="0"/>
    <x v="0"/>
    <x v="4"/>
    <s v="24"/>
    <x v="1"/>
    <x v="0"/>
    <x v="5"/>
    <x v="7"/>
    <n v="6130012.0099999998"/>
  </r>
  <r>
    <x v="2"/>
    <x v="0"/>
    <x v="1"/>
    <x v="0"/>
    <x v="0"/>
    <x v="6"/>
    <x v="4"/>
    <x v="0"/>
    <x v="0"/>
    <x v="0"/>
    <x v="0"/>
    <x v="4"/>
    <s v="24"/>
    <x v="1"/>
    <x v="0"/>
    <x v="5"/>
    <x v="5"/>
    <n v="381039.96"/>
  </r>
  <r>
    <x v="2"/>
    <x v="0"/>
    <x v="1"/>
    <x v="0"/>
    <x v="0"/>
    <x v="6"/>
    <x v="4"/>
    <x v="0"/>
    <x v="0"/>
    <x v="0"/>
    <x v="0"/>
    <x v="4"/>
    <s v="24"/>
    <x v="1"/>
    <x v="0"/>
    <x v="5"/>
    <x v="6"/>
    <n v="12219.98"/>
  </r>
  <r>
    <x v="2"/>
    <x v="0"/>
    <x v="1"/>
    <x v="0"/>
    <x v="0"/>
    <x v="6"/>
    <x v="4"/>
    <x v="0"/>
    <x v="0"/>
    <x v="0"/>
    <x v="0"/>
    <x v="4"/>
    <s v="24"/>
    <x v="1"/>
    <x v="0"/>
    <x v="5"/>
    <x v="1"/>
    <n v="-495.77"/>
  </r>
  <r>
    <x v="2"/>
    <x v="0"/>
    <x v="1"/>
    <x v="0"/>
    <x v="0"/>
    <x v="6"/>
    <x v="4"/>
    <x v="0"/>
    <x v="0"/>
    <x v="0"/>
    <x v="0"/>
    <x v="4"/>
    <s v="90"/>
    <x v="16"/>
    <x v="0"/>
    <x v="4"/>
    <x v="1"/>
    <n v="-7.9"/>
  </r>
  <r>
    <x v="2"/>
    <x v="0"/>
    <x v="1"/>
    <x v="0"/>
    <x v="0"/>
    <x v="6"/>
    <x v="4"/>
    <x v="0"/>
    <x v="0"/>
    <x v="0"/>
    <x v="0"/>
    <x v="4"/>
    <s v="90"/>
    <x v="16"/>
    <x v="0"/>
    <x v="5"/>
    <x v="0"/>
    <n v="16.100000000000001"/>
  </r>
  <r>
    <x v="2"/>
    <x v="0"/>
    <x v="1"/>
    <x v="0"/>
    <x v="0"/>
    <x v="6"/>
    <x v="4"/>
    <x v="0"/>
    <x v="0"/>
    <x v="0"/>
    <x v="0"/>
    <x v="4"/>
    <s v="90"/>
    <x v="16"/>
    <x v="0"/>
    <x v="5"/>
    <x v="4"/>
    <n v="240.36"/>
  </r>
  <r>
    <x v="2"/>
    <x v="0"/>
    <x v="1"/>
    <x v="0"/>
    <x v="0"/>
    <x v="6"/>
    <x v="4"/>
    <x v="0"/>
    <x v="0"/>
    <x v="0"/>
    <x v="0"/>
    <x v="4"/>
    <s v="90"/>
    <x v="16"/>
    <x v="0"/>
    <x v="5"/>
    <x v="7"/>
    <n v="15.67"/>
  </r>
  <r>
    <x v="2"/>
    <x v="0"/>
    <x v="1"/>
    <x v="0"/>
    <x v="0"/>
    <x v="6"/>
    <x v="4"/>
    <x v="0"/>
    <x v="0"/>
    <x v="0"/>
    <x v="0"/>
    <x v="4"/>
    <s v="99"/>
    <x v="9"/>
    <x v="0"/>
    <x v="4"/>
    <x v="8"/>
    <n v="1538.14"/>
  </r>
  <r>
    <x v="2"/>
    <x v="0"/>
    <x v="1"/>
    <x v="0"/>
    <x v="0"/>
    <x v="6"/>
    <x v="4"/>
    <x v="0"/>
    <x v="0"/>
    <x v="0"/>
    <x v="5"/>
    <x v="6"/>
    <s v="02"/>
    <x v="31"/>
    <x v="0"/>
    <x v="5"/>
    <x v="8"/>
    <n v="2010"/>
  </r>
  <r>
    <x v="2"/>
    <x v="0"/>
    <x v="1"/>
    <x v="0"/>
    <x v="0"/>
    <x v="6"/>
    <x v="4"/>
    <x v="0"/>
    <x v="0"/>
    <x v="0"/>
    <x v="5"/>
    <x v="6"/>
    <s v="40"/>
    <x v="26"/>
    <x v="0"/>
    <x v="4"/>
    <x v="7"/>
    <n v="-22730.560000000001"/>
  </r>
  <r>
    <x v="2"/>
    <x v="0"/>
    <x v="1"/>
    <x v="0"/>
    <x v="0"/>
    <x v="6"/>
    <x v="4"/>
    <x v="0"/>
    <x v="0"/>
    <x v="0"/>
    <x v="5"/>
    <x v="6"/>
    <s v="40"/>
    <x v="26"/>
    <x v="0"/>
    <x v="4"/>
    <x v="5"/>
    <n v="-27360.83"/>
  </r>
  <r>
    <x v="2"/>
    <x v="0"/>
    <x v="1"/>
    <x v="0"/>
    <x v="0"/>
    <x v="6"/>
    <x v="4"/>
    <x v="0"/>
    <x v="0"/>
    <x v="0"/>
    <x v="5"/>
    <x v="6"/>
    <s v="40"/>
    <x v="26"/>
    <x v="0"/>
    <x v="4"/>
    <x v="6"/>
    <n v="-4940"/>
  </r>
  <r>
    <x v="2"/>
    <x v="0"/>
    <x v="1"/>
    <x v="0"/>
    <x v="0"/>
    <x v="6"/>
    <x v="4"/>
    <x v="0"/>
    <x v="0"/>
    <x v="0"/>
    <x v="5"/>
    <x v="6"/>
    <s v="40"/>
    <x v="26"/>
    <x v="0"/>
    <x v="4"/>
    <x v="1"/>
    <n v="-13210.4"/>
  </r>
  <r>
    <x v="2"/>
    <x v="0"/>
    <x v="1"/>
    <x v="0"/>
    <x v="0"/>
    <x v="6"/>
    <x v="4"/>
    <x v="0"/>
    <x v="0"/>
    <x v="0"/>
    <x v="5"/>
    <x v="6"/>
    <s v="40"/>
    <x v="26"/>
    <x v="0"/>
    <x v="5"/>
    <x v="0"/>
    <n v="-4935.09"/>
  </r>
  <r>
    <x v="2"/>
    <x v="0"/>
    <x v="1"/>
    <x v="0"/>
    <x v="0"/>
    <x v="6"/>
    <x v="4"/>
    <x v="0"/>
    <x v="0"/>
    <x v="0"/>
    <x v="5"/>
    <x v="6"/>
    <s v="40"/>
    <x v="26"/>
    <x v="0"/>
    <x v="5"/>
    <x v="2"/>
    <n v="-38"/>
  </r>
  <r>
    <x v="2"/>
    <x v="0"/>
    <x v="1"/>
    <x v="0"/>
    <x v="0"/>
    <x v="6"/>
    <x v="4"/>
    <x v="0"/>
    <x v="0"/>
    <x v="0"/>
    <x v="5"/>
    <x v="6"/>
    <s v="40"/>
    <x v="26"/>
    <x v="0"/>
    <x v="5"/>
    <x v="8"/>
    <n v="-4759"/>
  </r>
  <r>
    <x v="2"/>
    <x v="0"/>
    <x v="1"/>
    <x v="0"/>
    <x v="0"/>
    <x v="6"/>
    <x v="4"/>
    <x v="0"/>
    <x v="0"/>
    <x v="0"/>
    <x v="5"/>
    <x v="6"/>
    <s v="40"/>
    <x v="26"/>
    <x v="0"/>
    <x v="5"/>
    <x v="9"/>
    <n v="-17679.97"/>
  </r>
  <r>
    <x v="2"/>
    <x v="0"/>
    <x v="1"/>
    <x v="0"/>
    <x v="0"/>
    <x v="6"/>
    <x v="4"/>
    <x v="0"/>
    <x v="0"/>
    <x v="0"/>
    <x v="5"/>
    <x v="6"/>
    <s v="40"/>
    <x v="26"/>
    <x v="0"/>
    <x v="5"/>
    <x v="10"/>
    <n v="-195"/>
  </r>
  <r>
    <x v="2"/>
    <x v="0"/>
    <x v="1"/>
    <x v="0"/>
    <x v="0"/>
    <x v="6"/>
    <x v="4"/>
    <x v="0"/>
    <x v="0"/>
    <x v="0"/>
    <x v="5"/>
    <x v="6"/>
    <s v="40"/>
    <x v="26"/>
    <x v="0"/>
    <x v="5"/>
    <x v="11"/>
    <n v="-606.5"/>
  </r>
  <r>
    <x v="2"/>
    <x v="0"/>
    <x v="1"/>
    <x v="0"/>
    <x v="0"/>
    <x v="6"/>
    <x v="4"/>
    <x v="0"/>
    <x v="0"/>
    <x v="0"/>
    <x v="5"/>
    <x v="6"/>
    <s v="40"/>
    <x v="26"/>
    <x v="0"/>
    <x v="5"/>
    <x v="3"/>
    <n v="-22240.54"/>
  </r>
  <r>
    <x v="2"/>
    <x v="0"/>
    <x v="1"/>
    <x v="0"/>
    <x v="0"/>
    <x v="6"/>
    <x v="4"/>
    <x v="0"/>
    <x v="0"/>
    <x v="0"/>
    <x v="5"/>
    <x v="6"/>
    <s v="40"/>
    <x v="26"/>
    <x v="0"/>
    <x v="5"/>
    <x v="4"/>
    <n v="-187.5"/>
  </r>
  <r>
    <x v="2"/>
    <x v="0"/>
    <x v="1"/>
    <x v="0"/>
    <x v="0"/>
    <x v="6"/>
    <x v="4"/>
    <x v="0"/>
    <x v="0"/>
    <x v="0"/>
    <x v="5"/>
    <x v="6"/>
    <s v="40"/>
    <x v="26"/>
    <x v="0"/>
    <x v="5"/>
    <x v="7"/>
    <n v="31.83"/>
  </r>
  <r>
    <x v="2"/>
    <x v="0"/>
    <x v="1"/>
    <x v="0"/>
    <x v="0"/>
    <x v="6"/>
    <x v="4"/>
    <x v="0"/>
    <x v="0"/>
    <x v="0"/>
    <x v="5"/>
    <x v="6"/>
    <s v="40"/>
    <x v="26"/>
    <x v="0"/>
    <x v="5"/>
    <x v="5"/>
    <n v="-100.47"/>
  </r>
  <r>
    <x v="2"/>
    <x v="0"/>
    <x v="1"/>
    <x v="0"/>
    <x v="0"/>
    <x v="6"/>
    <x v="4"/>
    <x v="0"/>
    <x v="0"/>
    <x v="0"/>
    <x v="5"/>
    <x v="6"/>
    <s v="40"/>
    <x v="26"/>
    <x v="0"/>
    <x v="5"/>
    <x v="6"/>
    <n v="102"/>
  </r>
  <r>
    <x v="2"/>
    <x v="0"/>
    <x v="1"/>
    <x v="0"/>
    <x v="0"/>
    <x v="6"/>
    <x v="6"/>
    <x v="0"/>
    <x v="0"/>
    <x v="0"/>
    <x v="0"/>
    <x v="4"/>
    <s v="02"/>
    <x v="5"/>
    <x v="0"/>
    <x v="4"/>
    <x v="8"/>
    <n v="192.8"/>
  </r>
  <r>
    <x v="2"/>
    <x v="0"/>
    <x v="1"/>
    <x v="0"/>
    <x v="0"/>
    <x v="6"/>
    <x v="6"/>
    <x v="0"/>
    <x v="0"/>
    <x v="0"/>
    <x v="0"/>
    <x v="4"/>
    <s v="02"/>
    <x v="5"/>
    <x v="0"/>
    <x v="4"/>
    <x v="9"/>
    <n v="32.25"/>
  </r>
  <r>
    <x v="2"/>
    <x v="0"/>
    <x v="1"/>
    <x v="0"/>
    <x v="0"/>
    <x v="6"/>
    <x v="6"/>
    <x v="0"/>
    <x v="0"/>
    <x v="0"/>
    <x v="0"/>
    <x v="4"/>
    <s v="02"/>
    <x v="5"/>
    <x v="0"/>
    <x v="4"/>
    <x v="10"/>
    <n v="96.4"/>
  </r>
  <r>
    <x v="2"/>
    <x v="0"/>
    <x v="1"/>
    <x v="0"/>
    <x v="0"/>
    <x v="6"/>
    <x v="6"/>
    <x v="0"/>
    <x v="0"/>
    <x v="0"/>
    <x v="0"/>
    <x v="4"/>
    <s v="02"/>
    <x v="5"/>
    <x v="0"/>
    <x v="4"/>
    <x v="11"/>
    <n v="96.4"/>
  </r>
  <r>
    <x v="2"/>
    <x v="0"/>
    <x v="1"/>
    <x v="0"/>
    <x v="0"/>
    <x v="6"/>
    <x v="6"/>
    <x v="0"/>
    <x v="0"/>
    <x v="0"/>
    <x v="0"/>
    <x v="4"/>
    <s v="02"/>
    <x v="5"/>
    <x v="0"/>
    <x v="4"/>
    <x v="3"/>
    <n v="96.4"/>
  </r>
  <r>
    <x v="2"/>
    <x v="0"/>
    <x v="1"/>
    <x v="0"/>
    <x v="0"/>
    <x v="6"/>
    <x v="6"/>
    <x v="0"/>
    <x v="0"/>
    <x v="0"/>
    <x v="0"/>
    <x v="4"/>
    <s v="02"/>
    <x v="5"/>
    <x v="0"/>
    <x v="4"/>
    <x v="4"/>
    <n v="96.4"/>
  </r>
  <r>
    <x v="2"/>
    <x v="0"/>
    <x v="1"/>
    <x v="0"/>
    <x v="0"/>
    <x v="6"/>
    <x v="6"/>
    <x v="0"/>
    <x v="0"/>
    <x v="0"/>
    <x v="0"/>
    <x v="4"/>
    <s v="02"/>
    <x v="5"/>
    <x v="0"/>
    <x v="4"/>
    <x v="7"/>
    <n v="192.8"/>
  </r>
  <r>
    <x v="2"/>
    <x v="0"/>
    <x v="1"/>
    <x v="0"/>
    <x v="0"/>
    <x v="6"/>
    <x v="6"/>
    <x v="0"/>
    <x v="0"/>
    <x v="0"/>
    <x v="0"/>
    <x v="4"/>
    <s v="02"/>
    <x v="5"/>
    <x v="0"/>
    <x v="4"/>
    <x v="5"/>
    <n v="196.4"/>
  </r>
  <r>
    <x v="2"/>
    <x v="0"/>
    <x v="1"/>
    <x v="0"/>
    <x v="0"/>
    <x v="6"/>
    <x v="6"/>
    <x v="0"/>
    <x v="0"/>
    <x v="0"/>
    <x v="0"/>
    <x v="4"/>
    <s v="02"/>
    <x v="5"/>
    <x v="0"/>
    <x v="4"/>
    <x v="6"/>
    <n v="96.4"/>
  </r>
  <r>
    <x v="2"/>
    <x v="0"/>
    <x v="1"/>
    <x v="0"/>
    <x v="0"/>
    <x v="6"/>
    <x v="6"/>
    <x v="0"/>
    <x v="0"/>
    <x v="0"/>
    <x v="0"/>
    <x v="4"/>
    <s v="02"/>
    <x v="5"/>
    <x v="0"/>
    <x v="4"/>
    <x v="1"/>
    <n v="442.8"/>
  </r>
  <r>
    <x v="2"/>
    <x v="0"/>
    <x v="1"/>
    <x v="0"/>
    <x v="0"/>
    <x v="6"/>
    <x v="6"/>
    <x v="0"/>
    <x v="0"/>
    <x v="0"/>
    <x v="0"/>
    <x v="4"/>
    <s v="02"/>
    <x v="5"/>
    <x v="0"/>
    <x v="5"/>
    <x v="2"/>
    <n v="646.4"/>
  </r>
  <r>
    <x v="2"/>
    <x v="0"/>
    <x v="1"/>
    <x v="0"/>
    <x v="0"/>
    <x v="6"/>
    <x v="6"/>
    <x v="0"/>
    <x v="0"/>
    <x v="0"/>
    <x v="0"/>
    <x v="4"/>
    <s v="02"/>
    <x v="5"/>
    <x v="0"/>
    <x v="5"/>
    <x v="8"/>
    <n v="196.4"/>
  </r>
  <r>
    <x v="2"/>
    <x v="0"/>
    <x v="1"/>
    <x v="0"/>
    <x v="0"/>
    <x v="6"/>
    <x v="6"/>
    <x v="0"/>
    <x v="0"/>
    <x v="0"/>
    <x v="0"/>
    <x v="4"/>
    <s v="02"/>
    <x v="5"/>
    <x v="0"/>
    <x v="5"/>
    <x v="9"/>
    <n v="96.4"/>
  </r>
  <r>
    <x v="2"/>
    <x v="0"/>
    <x v="1"/>
    <x v="0"/>
    <x v="0"/>
    <x v="6"/>
    <x v="6"/>
    <x v="0"/>
    <x v="0"/>
    <x v="0"/>
    <x v="0"/>
    <x v="4"/>
    <s v="02"/>
    <x v="5"/>
    <x v="0"/>
    <x v="5"/>
    <x v="11"/>
    <n v="-357.2"/>
  </r>
  <r>
    <x v="2"/>
    <x v="0"/>
    <x v="1"/>
    <x v="0"/>
    <x v="0"/>
    <x v="6"/>
    <x v="6"/>
    <x v="0"/>
    <x v="0"/>
    <x v="0"/>
    <x v="0"/>
    <x v="4"/>
    <s v="02"/>
    <x v="5"/>
    <x v="0"/>
    <x v="5"/>
    <x v="3"/>
    <n v="96.4"/>
  </r>
  <r>
    <x v="2"/>
    <x v="0"/>
    <x v="1"/>
    <x v="0"/>
    <x v="0"/>
    <x v="6"/>
    <x v="6"/>
    <x v="0"/>
    <x v="0"/>
    <x v="0"/>
    <x v="0"/>
    <x v="4"/>
    <s v="02"/>
    <x v="5"/>
    <x v="0"/>
    <x v="5"/>
    <x v="4"/>
    <n v="-578.4"/>
  </r>
  <r>
    <x v="2"/>
    <x v="0"/>
    <x v="1"/>
    <x v="0"/>
    <x v="0"/>
    <x v="6"/>
    <x v="6"/>
    <x v="0"/>
    <x v="0"/>
    <x v="0"/>
    <x v="0"/>
    <x v="4"/>
    <s v="02"/>
    <x v="5"/>
    <x v="0"/>
    <x v="5"/>
    <x v="7"/>
    <n v="75"/>
  </r>
  <r>
    <x v="2"/>
    <x v="0"/>
    <x v="1"/>
    <x v="0"/>
    <x v="0"/>
    <x v="6"/>
    <x v="6"/>
    <x v="0"/>
    <x v="0"/>
    <x v="0"/>
    <x v="0"/>
    <x v="4"/>
    <s v="05"/>
    <x v="6"/>
    <x v="0"/>
    <x v="5"/>
    <x v="0"/>
    <n v="50"/>
  </r>
  <r>
    <x v="2"/>
    <x v="0"/>
    <x v="1"/>
    <x v="0"/>
    <x v="0"/>
    <x v="6"/>
    <x v="6"/>
    <x v="0"/>
    <x v="0"/>
    <x v="0"/>
    <x v="0"/>
    <x v="4"/>
    <s v="05"/>
    <x v="6"/>
    <x v="0"/>
    <x v="5"/>
    <x v="11"/>
    <n v="-50"/>
  </r>
  <r>
    <x v="2"/>
    <x v="0"/>
    <x v="1"/>
    <x v="0"/>
    <x v="0"/>
    <x v="6"/>
    <x v="6"/>
    <x v="0"/>
    <x v="0"/>
    <x v="0"/>
    <x v="0"/>
    <x v="4"/>
    <s v="16"/>
    <x v="20"/>
    <x v="0"/>
    <x v="5"/>
    <x v="2"/>
    <n v="800"/>
  </r>
  <r>
    <x v="2"/>
    <x v="0"/>
    <x v="1"/>
    <x v="0"/>
    <x v="0"/>
    <x v="6"/>
    <x v="6"/>
    <x v="0"/>
    <x v="0"/>
    <x v="0"/>
    <x v="0"/>
    <x v="4"/>
    <s v="20"/>
    <x v="7"/>
    <x v="0"/>
    <x v="4"/>
    <x v="8"/>
    <n v="3750"/>
  </r>
  <r>
    <x v="2"/>
    <x v="0"/>
    <x v="1"/>
    <x v="0"/>
    <x v="0"/>
    <x v="6"/>
    <x v="6"/>
    <x v="0"/>
    <x v="0"/>
    <x v="0"/>
    <x v="0"/>
    <x v="4"/>
    <s v="20"/>
    <x v="7"/>
    <x v="0"/>
    <x v="4"/>
    <x v="5"/>
    <n v="-5000"/>
  </r>
  <r>
    <x v="2"/>
    <x v="0"/>
    <x v="1"/>
    <x v="0"/>
    <x v="0"/>
    <x v="6"/>
    <x v="6"/>
    <x v="0"/>
    <x v="0"/>
    <x v="0"/>
    <x v="0"/>
    <x v="4"/>
    <s v="20"/>
    <x v="7"/>
    <x v="0"/>
    <x v="5"/>
    <x v="1"/>
    <n v="101651.5"/>
  </r>
  <r>
    <x v="2"/>
    <x v="0"/>
    <x v="1"/>
    <x v="0"/>
    <x v="0"/>
    <x v="6"/>
    <x v="6"/>
    <x v="0"/>
    <x v="0"/>
    <x v="0"/>
    <x v="0"/>
    <x v="4"/>
    <s v="90"/>
    <x v="16"/>
    <x v="0"/>
    <x v="4"/>
    <x v="8"/>
    <n v="0.05"/>
  </r>
  <r>
    <x v="2"/>
    <x v="0"/>
    <x v="1"/>
    <x v="0"/>
    <x v="0"/>
    <x v="6"/>
    <x v="6"/>
    <x v="0"/>
    <x v="0"/>
    <x v="0"/>
    <x v="0"/>
    <x v="4"/>
    <s v="90"/>
    <x v="16"/>
    <x v="0"/>
    <x v="4"/>
    <x v="6"/>
    <n v="2.2599999999999998"/>
  </r>
  <r>
    <x v="2"/>
    <x v="0"/>
    <x v="1"/>
    <x v="0"/>
    <x v="0"/>
    <x v="6"/>
    <x v="6"/>
    <x v="0"/>
    <x v="0"/>
    <x v="0"/>
    <x v="0"/>
    <x v="4"/>
    <s v="99"/>
    <x v="9"/>
    <x v="0"/>
    <x v="5"/>
    <x v="1"/>
    <n v="2312.5"/>
  </r>
  <r>
    <x v="2"/>
    <x v="0"/>
    <x v="1"/>
    <x v="0"/>
    <x v="0"/>
    <x v="6"/>
    <x v="7"/>
    <x v="0"/>
    <x v="0"/>
    <x v="0"/>
    <x v="0"/>
    <x v="4"/>
    <s v="24"/>
    <x v="1"/>
    <x v="0"/>
    <x v="5"/>
    <x v="3"/>
    <n v="-7.5"/>
  </r>
  <r>
    <x v="2"/>
    <x v="0"/>
    <x v="1"/>
    <x v="0"/>
    <x v="0"/>
    <x v="6"/>
    <x v="7"/>
    <x v="0"/>
    <x v="0"/>
    <x v="0"/>
    <x v="0"/>
    <x v="4"/>
    <s v="99"/>
    <x v="9"/>
    <x v="0"/>
    <x v="5"/>
    <x v="5"/>
    <n v="-117619.71"/>
  </r>
  <r>
    <x v="2"/>
    <x v="0"/>
    <x v="1"/>
    <x v="0"/>
    <x v="0"/>
    <x v="2"/>
    <x v="0"/>
    <x v="0"/>
    <x v="0"/>
    <x v="2"/>
    <x v="3"/>
    <x v="7"/>
    <s v="81"/>
    <x v="32"/>
    <x v="0"/>
    <x v="4"/>
    <x v="7"/>
    <n v="90"/>
  </r>
  <r>
    <x v="2"/>
    <x v="0"/>
    <x v="1"/>
    <x v="0"/>
    <x v="0"/>
    <x v="2"/>
    <x v="0"/>
    <x v="0"/>
    <x v="0"/>
    <x v="2"/>
    <x v="3"/>
    <x v="7"/>
    <s v="81"/>
    <x v="32"/>
    <x v="0"/>
    <x v="4"/>
    <x v="5"/>
    <n v="-90"/>
  </r>
  <r>
    <x v="2"/>
    <x v="0"/>
    <x v="1"/>
    <x v="0"/>
    <x v="0"/>
    <x v="2"/>
    <x v="0"/>
    <x v="0"/>
    <x v="0"/>
    <x v="2"/>
    <x v="3"/>
    <x v="7"/>
    <s v="99"/>
    <x v="33"/>
    <x v="0"/>
    <x v="5"/>
    <x v="5"/>
    <n v="4000"/>
  </r>
  <r>
    <x v="2"/>
    <x v="0"/>
    <x v="1"/>
    <x v="0"/>
    <x v="0"/>
    <x v="2"/>
    <x v="0"/>
    <x v="0"/>
    <x v="0"/>
    <x v="2"/>
    <x v="3"/>
    <x v="7"/>
    <s v="99"/>
    <x v="33"/>
    <x v="0"/>
    <x v="5"/>
    <x v="6"/>
    <n v="-4000"/>
  </r>
  <r>
    <x v="2"/>
    <x v="0"/>
    <x v="1"/>
    <x v="0"/>
    <x v="0"/>
    <x v="2"/>
    <x v="0"/>
    <x v="0"/>
    <x v="0"/>
    <x v="1"/>
    <x v="1"/>
    <x v="8"/>
    <s v="41"/>
    <x v="4"/>
    <x v="0"/>
    <x v="4"/>
    <x v="9"/>
    <n v="3000"/>
  </r>
  <r>
    <x v="2"/>
    <x v="0"/>
    <x v="1"/>
    <x v="0"/>
    <x v="0"/>
    <x v="2"/>
    <x v="0"/>
    <x v="0"/>
    <x v="0"/>
    <x v="1"/>
    <x v="1"/>
    <x v="8"/>
    <s v="41"/>
    <x v="4"/>
    <x v="0"/>
    <x v="4"/>
    <x v="10"/>
    <n v="-3000"/>
  </r>
  <r>
    <x v="2"/>
    <x v="0"/>
    <x v="1"/>
    <x v="0"/>
    <x v="0"/>
    <x v="2"/>
    <x v="0"/>
    <x v="0"/>
    <x v="0"/>
    <x v="1"/>
    <x v="1"/>
    <x v="8"/>
    <s v="41"/>
    <x v="4"/>
    <x v="0"/>
    <x v="4"/>
    <x v="4"/>
    <n v="600"/>
  </r>
  <r>
    <x v="2"/>
    <x v="0"/>
    <x v="1"/>
    <x v="0"/>
    <x v="0"/>
    <x v="2"/>
    <x v="0"/>
    <x v="0"/>
    <x v="0"/>
    <x v="1"/>
    <x v="1"/>
    <x v="8"/>
    <s v="41"/>
    <x v="4"/>
    <x v="0"/>
    <x v="4"/>
    <x v="5"/>
    <n v="-500"/>
  </r>
  <r>
    <x v="2"/>
    <x v="0"/>
    <x v="1"/>
    <x v="0"/>
    <x v="0"/>
    <x v="2"/>
    <x v="0"/>
    <x v="0"/>
    <x v="0"/>
    <x v="1"/>
    <x v="1"/>
    <x v="8"/>
    <s v="41"/>
    <x v="4"/>
    <x v="0"/>
    <x v="4"/>
    <x v="6"/>
    <n v="-100"/>
  </r>
  <r>
    <x v="2"/>
    <x v="0"/>
    <x v="1"/>
    <x v="0"/>
    <x v="0"/>
    <x v="2"/>
    <x v="0"/>
    <x v="0"/>
    <x v="0"/>
    <x v="1"/>
    <x v="1"/>
    <x v="8"/>
    <s v="41"/>
    <x v="4"/>
    <x v="0"/>
    <x v="5"/>
    <x v="8"/>
    <n v="270"/>
  </r>
  <r>
    <x v="2"/>
    <x v="0"/>
    <x v="1"/>
    <x v="0"/>
    <x v="0"/>
    <x v="2"/>
    <x v="0"/>
    <x v="0"/>
    <x v="0"/>
    <x v="1"/>
    <x v="1"/>
    <x v="8"/>
    <s v="41"/>
    <x v="4"/>
    <x v="0"/>
    <x v="5"/>
    <x v="10"/>
    <n v="-270"/>
  </r>
  <r>
    <x v="2"/>
    <x v="0"/>
    <x v="1"/>
    <x v="0"/>
    <x v="0"/>
    <x v="2"/>
    <x v="0"/>
    <x v="0"/>
    <x v="0"/>
    <x v="1"/>
    <x v="1"/>
    <x v="8"/>
    <s v="41"/>
    <x v="4"/>
    <x v="0"/>
    <x v="5"/>
    <x v="5"/>
    <n v="-4000"/>
  </r>
  <r>
    <x v="2"/>
    <x v="0"/>
    <x v="1"/>
    <x v="0"/>
    <x v="0"/>
    <x v="2"/>
    <x v="0"/>
    <x v="0"/>
    <x v="0"/>
    <x v="1"/>
    <x v="1"/>
    <x v="8"/>
    <s v="41"/>
    <x v="4"/>
    <x v="0"/>
    <x v="5"/>
    <x v="6"/>
    <n v="4000"/>
  </r>
  <r>
    <x v="2"/>
    <x v="0"/>
    <x v="1"/>
    <x v="0"/>
    <x v="0"/>
    <x v="2"/>
    <x v="0"/>
    <x v="0"/>
    <x v="0"/>
    <x v="0"/>
    <x v="0"/>
    <x v="4"/>
    <s v="02"/>
    <x v="5"/>
    <x v="0"/>
    <x v="4"/>
    <x v="11"/>
    <n v="1208"/>
  </r>
  <r>
    <x v="2"/>
    <x v="0"/>
    <x v="1"/>
    <x v="0"/>
    <x v="0"/>
    <x v="2"/>
    <x v="0"/>
    <x v="0"/>
    <x v="0"/>
    <x v="0"/>
    <x v="0"/>
    <x v="4"/>
    <s v="02"/>
    <x v="5"/>
    <x v="0"/>
    <x v="4"/>
    <x v="1"/>
    <n v="-1208"/>
  </r>
  <r>
    <x v="2"/>
    <x v="0"/>
    <x v="1"/>
    <x v="0"/>
    <x v="0"/>
    <x v="2"/>
    <x v="0"/>
    <x v="0"/>
    <x v="0"/>
    <x v="0"/>
    <x v="0"/>
    <x v="4"/>
    <s v="09"/>
    <x v="0"/>
    <x v="0"/>
    <x v="4"/>
    <x v="0"/>
    <n v="-10018.01"/>
  </r>
  <r>
    <x v="2"/>
    <x v="0"/>
    <x v="1"/>
    <x v="0"/>
    <x v="0"/>
    <x v="2"/>
    <x v="0"/>
    <x v="0"/>
    <x v="0"/>
    <x v="0"/>
    <x v="0"/>
    <x v="4"/>
    <s v="09"/>
    <x v="0"/>
    <x v="0"/>
    <x v="4"/>
    <x v="2"/>
    <n v="12479.24"/>
  </r>
  <r>
    <x v="2"/>
    <x v="0"/>
    <x v="1"/>
    <x v="0"/>
    <x v="0"/>
    <x v="2"/>
    <x v="0"/>
    <x v="0"/>
    <x v="0"/>
    <x v="0"/>
    <x v="0"/>
    <x v="4"/>
    <s v="09"/>
    <x v="0"/>
    <x v="0"/>
    <x v="4"/>
    <x v="8"/>
    <n v="8532.26"/>
  </r>
  <r>
    <x v="2"/>
    <x v="0"/>
    <x v="1"/>
    <x v="0"/>
    <x v="0"/>
    <x v="2"/>
    <x v="0"/>
    <x v="0"/>
    <x v="0"/>
    <x v="0"/>
    <x v="0"/>
    <x v="4"/>
    <s v="09"/>
    <x v="0"/>
    <x v="0"/>
    <x v="4"/>
    <x v="9"/>
    <n v="11152.63"/>
  </r>
  <r>
    <x v="2"/>
    <x v="0"/>
    <x v="1"/>
    <x v="0"/>
    <x v="0"/>
    <x v="2"/>
    <x v="0"/>
    <x v="0"/>
    <x v="0"/>
    <x v="0"/>
    <x v="0"/>
    <x v="4"/>
    <s v="09"/>
    <x v="0"/>
    <x v="0"/>
    <x v="4"/>
    <x v="10"/>
    <n v="17264.009999999998"/>
  </r>
  <r>
    <x v="2"/>
    <x v="0"/>
    <x v="1"/>
    <x v="0"/>
    <x v="0"/>
    <x v="2"/>
    <x v="0"/>
    <x v="0"/>
    <x v="0"/>
    <x v="0"/>
    <x v="0"/>
    <x v="4"/>
    <s v="09"/>
    <x v="0"/>
    <x v="0"/>
    <x v="4"/>
    <x v="11"/>
    <n v="15552.39"/>
  </r>
  <r>
    <x v="2"/>
    <x v="0"/>
    <x v="1"/>
    <x v="0"/>
    <x v="0"/>
    <x v="2"/>
    <x v="0"/>
    <x v="0"/>
    <x v="0"/>
    <x v="0"/>
    <x v="0"/>
    <x v="4"/>
    <s v="09"/>
    <x v="0"/>
    <x v="0"/>
    <x v="4"/>
    <x v="3"/>
    <n v="17177.68"/>
  </r>
  <r>
    <x v="2"/>
    <x v="0"/>
    <x v="1"/>
    <x v="0"/>
    <x v="0"/>
    <x v="2"/>
    <x v="0"/>
    <x v="0"/>
    <x v="0"/>
    <x v="0"/>
    <x v="0"/>
    <x v="4"/>
    <s v="09"/>
    <x v="0"/>
    <x v="0"/>
    <x v="4"/>
    <x v="4"/>
    <n v="22540.92"/>
  </r>
  <r>
    <x v="2"/>
    <x v="0"/>
    <x v="1"/>
    <x v="0"/>
    <x v="0"/>
    <x v="2"/>
    <x v="0"/>
    <x v="0"/>
    <x v="0"/>
    <x v="0"/>
    <x v="0"/>
    <x v="4"/>
    <s v="09"/>
    <x v="0"/>
    <x v="0"/>
    <x v="4"/>
    <x v="7"/>
    <n v="19289.939999999999"/>
  </r>
  <r>
    <x v="2"/>
    <x v="0"/>
    <x v="1"/>
    <x v="0"/>
    <x v="0"/>
    <x v="2"/>
    <x v="0"/>
    <x v="0"/>
    <x v="0"/>
    <x v="0"/>
    <x v="0"/>
    <x v="4"/>
    <s v="09"/>
    <x v="0"/>
    <x v="0"/>
    <x v="4"/>
    <x v="5"/>
    <n v="18152.38"/>
  </r>
  <r>
    <x v="2"/>
    <x v="0"/>
    <x v="1"/>
    <x v="0"/>
    <x v="0"/>
    <x v="2"/>
    <x v="0"/>
    <x v="0"/>
    <x v="0"/>
    <x v="0"/>
    <x v="0"/>
    <x v="4"/>
    <s v="09"/>
    <x v="0"/>
    <x v="0"/>
    <x v="4"/>
    <x v="6"/>
    <n v="26803.53"/>
  </r>
  <r>
    <x v="2"/>
    <x v="0"/>
    <x v="1"/>
    <x v="0"/>
    <x v="0"/>
    <x v="2"/>
    <x v="0"/>
    <x v="0"/>
    <x v="0"/>
    <x v="0"/>
    <x v="0"/>
    <x v="4"/>
    <s v="09"/>
    <x v="0"/>
    <x v="0"/>
    <x v="4"/>
    <x v="1"/>
    <n v="46873.64"/>
  </r>
  <r>
    <x v="2"/>
    <x v="0"/>
    <x v="1"/>
    <x v="0"/>
    <x v="0"/>
    <x v="2"/>
    <x v="0"/>
    <x v="0"/>
    <x v="0"/>
    <x v="0"/>
    <x v="0"/>
    <x v="4"/>
    <s v="09"/>
    <x v="0"/>
    <x v="0"/>
    <x v="5"/>
    <x v="0"/>
    <n v="-10014.94"/>
  </r>
  <r>
    <x v="2"/>
    <x v="0"/>
    <x v="1"/>
    <x v="0"/>
    <x v="0"/>
    <x v="2"/>
    <x v="0"/>
    <x v="0"/>
    <x v="0"/>
    <x v="0"/>
    <x v="0"/>
    <x v="4"/>
    <s v="09"/>
    <x v="0"/>
    <x v="0"/>
    <x v="5"/>
    <x v="2"/>
    <n v="12593.03"/>
  </r>
  <r>
    <x v="2"/>
    <x v="0"/>
    <x v="1"/>
    <x v="0"/>
    <x v="0"/>
    <x v="2"/>
    <x v="0"/>
    <x v="0"/>
    <x v="0"/>
    <x v="0"/>
    <x v="0"/>
    <x v="4"/>
    <s v="09"/>
    <x v="0"/>
    <x v="0"/>
    <x v="5"/>
    <x v="8"/>
    <n v="10040.549999999999"/>
  </r>
  <r>
    <x v="2"/>
    <x v="0"/>
    <x v="1"/>
    <x v="0"/>
    <x v="0"/>
    <x v="2"/>
    <x v="0"/>
    <x v="0"/>
    <x v="0"/>
    <x v="0"/>
    <x v="0"/>
    <x v="4"/>
    <s v="09"/>
    <x v="0"/>
    <x v="0"/>
    <x v="5"/>
    <x v="9"/>
    <n v="15223.46"/>
  </r>
  <r>
    <x v="2"/>
    <x v="0"/>
    <x v="1"/>
    <x v="0"/>
    <x v="0"/>
    <x v="2"/>
    <x v="0"/>
    <x v="0"/>
    <x v="0"/>
    <x v="0"/>
    <x v="0"/>
    <x v="4"/>
    <s v="09"/>
    <x v="0"/>
    <x v="0"/>
    <x v="5"/>
    <x v="10"/>
    <n v="22389.03"/>
  </r>
  <r>
    <x v="2"/>
    <x v="0"/>
    <x v="1"/>
    <x v="0"/>
    <x v="0"/>
    <x v="2"/>
    <x v="0"/>
    <x v="0"/>
    <x v="0"/>
    <x v="0"/>
    <x v="0"/>
    <x v="4"/>
    <s v="09"/>
    <x v="0"/>
    <x v="0"/>
    <x v="5"/>
    <x v="11"/>
    <n v="19847.84"/>
  </r>
  <r>
    <x v="2"/>
    <x v="0"/>
    <x v="1"/>
    <x v="0"/>
    <x v="0"/>
    <x v="2"/>
    <x v="0"/>
    <x v="0"/>
    <x v="0"/>
    <x v="0"/>
    <x v="0"/>
    <x v="4"/>
    <s v="09"/>
    <x v="0"/>
    <x v="0"/>
    <x v="5"/>
    <x v="3"/>
    <n v="24797.53"/>
  </r>
  <r>
    <x v="2"/>
    <x v="0"/>
    <x v="1"/>
    <x v="0"/>
    <x v="0"/>
    <x v="2"/>
    <x v="0"/>
    <x v="0"/>
    <x v="0"/>
    <x v="0"/>
    <x v="0"/>
    <x v="4"/>
    <s v="09"/>
    <x v="0"/>
    <x v="0"/>
    <x v="5"/>
    <x v="7"/>
    <n v="72292.66"/>
  </r>
  <r>
    <x v="2"/>
    <x v="0"/>
    <x v="1"/>
    <x v="0"/>
    <x v="0"/>
    <x v="2"/>
    <x v="0"/>
    <x v="0"/>
    <x v="0"/>
    <x v="0"/>
    <x v="0"/>
    <x v="4"/>
    <s v="09"/>
    <x v="0"/>
    <x v="0"/>
    <x v="5"/>
    <x v="5"/>
    <n v="28105.06"/>
  </r>
  <r>
    <x v="2"/>
    <x v="0"/>
    <x v="1"/>
    <x v="0"/>
    <x v="0"/>
    <x v="2"/>
    <x v="0"/>
    <x v="0"/>
    <x v="0"/>
    <x v="0"/>
    <x v="0"/>
    <x v="4"/>
    <s v="09"/>
    <x v="0"/>
    <x v="0"/>
    <x v="5"/>
    <x v="6"/>
    <n v="52018.74"/>
  </r>
  <r>
    <x v="2"/>
    <x v="0"/>
    <x v="1"/>
    <x v="0"/>
    <x v="0"/>
    <x v="2"/>
    <x v="0"/>
    <x v="0"/>
    <x v="0"/>
    <x v="0"/>
    <x v="0"/>
    <x v="4"/>
    <s v="09"/>
    <x v="0"/>
    <x v="0"/>
    <x v="5"/>
    <x v="1"/>
    <n v="101181.41"/>
  </r>
  <r>
    <x v="2"/>
    <x v="0"/>
    <x v="1"/>
    <x v="0"/>
    <x v="0"/>
    <x v="2"/>
    <x v="0"/>
    <x v="0"/>
    <x v="0"/>
    <x v="0"/>
    <x v="0"/>
    <x v="4"/>
    <s v="13"/>
    <x v="30"/>
    <x v="0"/>
    <x v="4"/>
    <x v="4"/>
    <n v="500"/>
  </r>
  <r>
    <x v="2"/>
    <x v="0"/>
    <x v="1"/>
    <x v="0"/>
    <x v="0"/>
    <x v="2"/>
    <x v="0"/>
    <x v="0"/>
    <x v="0"/>
    <x v="0"/>
    <x v="0"/>
    <x v="4"/>
    <s v="13"/>
    <x v="30"/>
    <x v="0"/>
    <x v="4"/>
    <x v="5"/>
    <n v="-500"/>
  </r>
  <r>
    <x v="2"/>
    <x v="0"/>
    <x v="1"/>
    <x v="0"/>
    <x v="0"/>
    <x v="2"/>
    <x v="0"/>
    <x v="0"/>
    <x v="0"/>
    <x v="0"/>
    <x v="0"/>
    <x v="4"/>
    <s v="16"/>
    <x v="20"/>
    <x v="0"/>
    <x v="4"/>
    <x v="5"/>
    <n v="7422.4"/>
  </r>
  <r>
    <x v="2"/>
    <x v="0"/>
    <x v="1"/>
    <x v="0"/>
    <x v="0"/>
    <x v="2"/>
    <x v="0"/>
    <x v="0"/>
    <x v="0"/>
    <x v="0"/>
    <x v="0"/>
    <x v="4"/>
    <s v="16"/>
    <x v="20"/>
    <x v="0"/>
    <x v="4"/>
    <x v="6"/>
    <n v="-7422.4"/>
  </r>
  <r>
    <x v="2"/>
    <x v="0"/>
    <x v="1"/>
    <x v="0"/>
    <x v="0"/>
    <x v="2"/>
    <x v="0"/>
    <x v="0"/>
    <x v="0"/>
    <x v="0"/>
    <x v="0"/>
    <x v="4"/>
    <s v="20"/>
    <x v="7"/>
    <x v="0"/>
    <x v="4"/>
    <x v="9"/>
    <n v="11432"/>
  </r>
  <r>
    <x v="2"/>
    <x v="0"/>
    <x v="1"/>
    <x v="0"/>
    <x v="0"/>
    <x v="2"/>
    <x v="0"/>
    <x v="0"/>
    <x v="0"/>
    <x v="0"/>
    <x v="0"/>
    <x v="4"/>
    <s v="20"/>
    <x v="7"/>
    <x v="0"/>
    <x v="4"/>
    <x v="10"/>
    <n v="-11432"/>
  </r>
  <r>
    <x v="2"/>
    <x v="0"/>
    <x v="1"/>
    <x v="0"/>
    <x v="0"/>
    <x v="2"/>
    <x v="0"/>
    <x v="0"/>
    <x v="0"/>
    <x v="0"/>
    <x v="0"/>
    <x v="4"/>
    <s v="20"/>
    <x v="7"/>
    <x v="0"/>
    <x v="4"/>
    <x v="11"/>
    <n v="1500"/>
  </r>
  <r>
    <x v="2"/>
    <x v="0"/>
    <x v="1"/>
    <x v="0"/>
    <x v="0"/>
    <x v="2"/>
    <x v="0"/>
    <x v="0"/>
    <x v="0"/>
    <x v="0"/>
    <x v="0"/>
    <x v="4"/>
    <s v="20"/>
    <x v="7"/>
    <x v="0"/>
    <x v="4"/>
    <x v="3"/>
    <n v="-1565.8"/>
  </r>
  <r>
    <x v="2"/>
    <x v="0"/>
    <x v="1"/>
    <x v="0"/>
    <x v="0"/>
    <x v="2"/>
    <x v="0"/>
    <x v="0"/>
    <x v="0"/>
    <x v="0"/>
    <x v="0"/>
    <x v="4"/>
    <s v="20"/>
    <x v="7"/>
    <x v="0"/>
    <x v="4"/>
    <x v="5"/>
    <n v="65.8"/>
  </r>
  <r>
    <x v="2"/>
    <x v="0"/>
    <x v="1"/>
    <x v="0"/>
    <x v="0"/>
    <x v="2"/>
    <x v="0"/>
    <x v="0"/>
    <x v="0"/>
    <x v="0"/>
    <x v="0"/>
    <x v="4"/>
    <s v="20"/>
    <x v="7"/>
    <x v="0"/>
    <x v="4"/>
    <x v="6"/>
    <n v="154222.69"/>
  </r>
  <r>
    <x v="2"/>
    <x v="0"/>
    <x v="1"/>
    <x v="0"/>
    <x v="0"/>
    <x v="2"/>
    <x v="0"/>
    <x v="0"/>
    <x v="0"/>
    <x v="0"/>
    <x v="0"/>
    <x v="4"/>
    <s v="20"/>
    <x v="7"/>
    <x v="0"/>
    <x v="4"/>
    <x v="1"/>
    <n v="-112222.69"/>
  </r>
  <r>
    <x v="2"/>
    <x v="0"/>
    <x v="1"/>
    <x v="0"/>
    <x v="0"/>
    <x v="2"/>
    <x v="0"/>
    <x v="0"/>
    <x v="0"/>
    <x v="0"/>
    <x v="0"/>
    <x v="4"/>
    <s v="20"/>
    <x v="7"/>
    <x v="0"/>
    <x v="5"/>
    <x v="2"/>
    <n v="-10.5"/>
  </r>
  <r>
    <x v="2"/>
    <x v="0"/>
    <x v="1"/>
    <x v="0"/>
    <x v="0"/>
    <x v="2"/>
    <x v="0"/>
    <x v="0"/>
    <x v="0"/>
    <x v="0"/>
    <x v="0"/>
    <x v="4"/>
    <s v="20"/>
    <x v="7"/>
    <x v="0"/>
    <x v="5"/>
    <x v="9"/>
    <n v="1700"/>
  </r>
  <r>
    <x v="2"/>
    <x v="0"/>
    <x v="1"/>
    <x v="0"/>
    <x v="0"/>
    <x v="2"/>
    <x v="0"/>
    <x v="0"/>
    <x v="0"/>
    <x v="0"/>
    <x v="0"/>
    <x v="4"/>
    <s v="20"/>
    <x v="7"/>
    <x v="0"/>
    <x v="5"/>
    <x v="10"/>
    <n v="375"/>
  </r>
  <r>
    <x v="2"/>
    <x v="0"/>
    <x v="1"/>
    <x v="0"/>
    <x v="0"/>
    <x v="2"/>
    <x v="0"/>
    <x v="0"/>
    <x v="0"/>
    <x v="0"/>
    <x v="0"/>
    <x v="4"/>
    <s v="20"/>
    <x v="7"/>
    <x v="0"/>
    <x v="5"/>
    <x v="11"/>
    <n v="1000"/>
  </r>
  <r>
    <x v="2"/>
    <x v="0"/>
    <x v="1"/>
    <x v="0"/>
    <x v="0"/>
    <x v="2"/>
    <x v="0"/>
    <x v="0"/>
    <x v="0"/>
    <x v="0"/>
    <x v="0"/>
    <x v="4"/>
    <s v="20"/>
    <x v="7"/>
    <x v="0"/>
    <x v="5"/>
    <x v="3"/>
    <n v="625"/>
  </r>
  <r>
    <x v="2"/>
    <x v="0"/>
    <x v="1"/>
    <x v="0"/>
    <x v="0"/>
    <x v="2"/>
    <x v="0"/>
    <x v="0"/>
    <x v="0"/>
    <x v="0"/>
    <x v="0"/>
    <x v="4"/>
    <s v="20"/>
    <x v="7"/>
    <x v="0"/>
    <x v="5"/>
    <x v="4"/>
    <n v="900"/>
  </r>
  <r>
    <x v="2"/>
    <x v="0"/>
    <x v="1"/>
    <x v="0"/>
    <x v="0"/>
    <x v="2"/>
    <x v="0"/>
    <x v="0"/>
    <x v="0"/>
    <x v="0"/>
    <x v="0"/>
    <x v="4"/>
    <s v="20"/>
    <x v="7"/>
    <x v="0"/>
    <x v="5"/>
    <x v="7"/>
    <n v="-4439.5"/>
  </r>
  <r>
    <x v="2"/>
    <x v="0"/>
    <x v="1"/>
    <x v="0"/>
    <x v="0"/>
    <x v="2"/>
    <x v="0"/>
    <x v="0"/>
    <x v="0"/>
    <x v="0"/>
    <x v="0"/>
    <x v="4"/>
    <s v="20"/>
    <x v="7"/>
    <x v="0"/>
    <x v="5"/>
    <x v="5"/>
    <n v="800"/>
  </r>
  <r>
    <x v="2"/>
    <x v="0"/>
    <x v="1"/>
    <x v="0"/>
    <x v="0"/>
    <x v="2"/>
    <x v="0"/>
    <x v="0"/>
    <x v="0"/>
    <x v="0"/>
    <x v="0"/>
    <x v="4"/>
    <s v="20"/>
    <x v="7"/>
    <x v="0"/>
    <x v="5"/>
    <x v="6"/>
    <n v="-763.04"/>
  </r>
  <r>
    <x v="2"/>
    <x v="0"/>
    <x v="1"/>
    <x v="0"/>
    <x v="0"/>
    <x v="2"/>
    <x v="0"/>
    <x v="0"/>
    <x v="0"/>
    <x v="0"/>
    <x v="0"/>
    <x v="4"/>
    <s v="20"/>
    <x v="7"/>
    <x v="0"/>
    <x v="5"/>
    <x v="1"/>
    <n v="-186.96"/>
  </r>
  <r>
    <x v="2"/>
    <x v="0"/>
    <x v="1"/>
    <x v="0"/>
    <x v="0"/>
    <x v="2"/>
    <x v="0"/>
    <x v="0"/>
    <x v="0"/>
    <x v="0"/>
    <x v="0"/>
    <x v="4"/>
    <s v="24"/>
    <x v="1"/>
    <x v="0"/>
    <x v="4"/>
    <x v="0"/>
    <n v="-933.44"/>
  </r>
  <r>
    <x v="2"/>
    <x v="0"/>
    <x v="1"/>
    <x v="0"/>
    <x v="0"/>
    <x v="2"/>
    <x v="0"/>
    <x v="0"/>
    <x v="0"/>
    <x v="0"/>
    <x v="0"/>
    <x v="4"/>
    <s v="24"/>
    <x v="1"/>
    <x v="0"/>
    <x v="4"/>
    <x v="2"/>
    <n v="-2592.9299999999998"/>
  </r>
  <r>
    <x v="2"/>
    <x v="0"/>
    <x v="1"/>
    <x v="0"/>
    <x v="0"/>
    <x v="2"/>
    <x v="0"/>
    <x v="0"/>
    <x v="0"/>
    <x v="0"/>
    <x v="0"/>
    <x v="4"/>
    <s v="24"/>
    <x v="1"/>
    <x v="0"/>
    <x v="4"/>
    <x v="8"/>
    <n v="13498538.82"/>
  </r>
  <r>
    <x v="2"/>
    <x v="0"/>
    <x v="1"/>
    <x v="0"/>
    <x v="0"/>
    <x v="2"/>
    <x v="0"/>
    <x v="0"/>
    <x v="0"/>
    <x v="0"/>
    <x v="0"/>
    <x v="4"/>
    <s v="24"/>
    <x v="1"/>
    <x v="0"/>
    <x v="4"/>
    <x v="9"/>
    <n v="-221032.11"/>
  </r>
  <r>
    <x v="2"/>
    <x v="0"/>
    <x v="1"/>
    <x v="0"/>
    <x v="0"/>
    <x v="2"/>
    <x v="0"/>
    <x v="0"/>
    <x v="0"/>
    <x v="0"/>
    <x v="0"/>
    <x v="4"/>
    <s v="24"/>
    <x v="1"/>
    <x v="0"/>
    <x v="4"/>
    <x v="10"/>
    <n v="10832947.84"/>
  </r>
  <r>
    <x v="2"/>
    <x v="0"/>
    <x v="1"/>
    <x v="0"/>
    <x v="0"/>
    <x v="2"/>
    <x v="0"/>
    <x v="0"/>
    <x v="0"/>
    <x v="0"/>
    <x v="0"/>
    <x v="4"/>
    <s v="24"/>
    <x v="1"/>
    <x v="0"/>
    <x v="4"/>
    <x v="11"/>
    <n v="1568017.59"/>
  </r>
  <r>
    <x v="2"/>
    <x v="0"/>
    <x v="1"/>
    <x v="0"/>
    <x v="0"/>
    <x v="2"/>
    <x v="0"/>
    <x v="0"/>
    <x v="0"/>
    <x v="0"/>
    <x v="0"/>
    <x v="4"/>
    <s v="24"/>
    <x v="1"/>
    <x v="0"/>
    <x v="4"/>
    <x v="3"/>
    <n v="285833.08"/>
  </r>
  <r>
    <x v="2"/>
    <x v="0"/>
    <x v="1"/>
    <x v="0"/>
    <x v="0"/>
    <x v="2"/>
    <x v="0"/>
    <x v="0"/>
    <x v="0"/>
    <x v="0"/>
    <x v="0"/>
    <x v="4"/>
    <s v="24"/>
    <x v="1"/>
    <x v="0"/>
    <x v="4"/>
    <x v="4"/>
    <n v="4330141.53"/>
  </r>
  <r>
    <x v="2"/>
    <x v="0"/>
    <x v="1"/>
    <x v="0"/>
    <x v="0"/>
    <x v="2"/>
    <x v="0"/>
    <x v="0"/>
    <x v="0"/>
    <x v="0"/>
    <x v="0"/>
    <x v="4"/>
    <s v="24"/>
    <x v="1"/>
    <x v="0"/>
    <x v="4"/>
    <x v="7"/>
    <n v="7809993.8899999997"/>
  </r>
  <r>
    <x v="2"/>
    <x v="0"/>
    <x v="1"/>
    <x v="0"/>
    <x v="0"/>
    <x v="2"/>
    <x v="0"/>
    <x v="0"/>
    <x v="0"/>
    <x v="0"/>
    <x v="0"/>
    <x v="4"/>
    <s v="24"/>
    <x v="1"/>
    <x v="0"/>
    <x v="4"/>
    <x v="5"/>
    <n v="-207384.29"/>
  </r>
  <r>
    <x v="2"/>
    <x v="0"/>
    <x v="1"/>
    <x v="0"/>
    <x v="0"/>
    <x v="2"/>
    <x v="0"/>
    <x v="0"/>
    <x v="0"/>
    <x v="0"/>
    <x v="0"/>
    <x v="4"/>
    <s v="24"/>
    <x v="1"/>
    <x v="0"/>
    <x v="4"/>
    <x v="6"/>
    <n v="-52449.95"/>
  </r>
  <r>
    <x v="2"/>
    <x v="0"/>
    <x v="1"/>
    <x v="0"/>
    <x v="0"/>
    <x v="2"/>
    <x v="0"/>
    <x v="0"/>
    <x v="0"/>
    <x v="0"/>
    <x v="0"/>
    <x v="4"/>
    <s v="24"/>
    <x v="1"/>
    <x v="0"/>
    <x v="4"/>
    <x v="1"/>
    <n v="-27666.49"/>
  </r>
  <r>
    <x v="2"/>
    <x v="0"/>
    <x v="1"/>
    <x v="0"/>
    <x v="0"/>
    <x v="2"/>
    <x v="0"/>
    <x v="0"/>
    <x v="0"/>
    <x v="0"/>
    <x v="0"/>
    <x v="4"/>
    <s v="24"/>
    <x v="1"/>
    <x v="0"/>
    <x v="5"/>
    <x v="0"/>
    <n v="-1007.46"/>
  </r>
  <r>
    <x v="2"/>
    <x v="0"/>
    <x v="1"/>
    <x v="0"/>
    <x v="0"/>
    <x v="2"/>
    <x v="0"/>
    <x v="0"/>
    <x v="0"/>
    <x v="0"/>
    <x v="0"/>
    <x v="4"/>
    <s v="24"/>
    <x v="1"/>
    <x v="0"/>
    <x v="5"/>
    <x v="2"/>
    <n v="-2001.4"/>
  </r>
  <r>
    <x v="2"/>
    <x v="0"/>
    <x v="1"/>
    <x v="0"/>
    <x v="0"/>
    <x v="2"/>
    <x v="0"/>
    <x v="0"/>
    <x v="0"/>
    <x v="0"/>
    <x v="0"/>
    <x v="4"/>
    <s v="24"/>
    <x v="1"/>
    <x v="0"/>
    <x v="5"/>
    <x v="8"/>
    <n v="14597168.18"/>
  </r>
  <r>
    <x v="2"/>
    <x v="0"/>
    <x v="1"/>
    <x v="0"/>
    <x v="0"/>
    <x v="2"/>
    <x v="0"/>
    <x v="0"/>
    <x v="0"/>
    <x v="0"/>
    <x v="0"/>
    <x v="4"/>
    <s v="24"/>
    <x v="1"/>
    <x v="0"/>
    <x v="5"/>
    <x v="9"/>
    <n v="-105815.96"/>
  </r>
  <r>
    <x v="2"/>
    <x v="0"/>
    <x v="1"/>
    <x v="0"/>
    <x v="0"/>
    <x v="2"/>
    <x v="0"/>
    <x v="0"/>
    <x v="0"/>
    <x v="0"/>
    <x v="0"/>
    <x v="4"/>
    <s v="24"/>
    <x v="1"/>
    <x v="0"/>
    <x v="5"/>
    <x v="10"/>
    <n v="12836346.140000001"/>
  </r>
  <r>
    <x v="2"/>
    <x v="0"/>
    <x v="1"/>
    <x v="0"/>
    <x v="0"/>
    <x v="2"/>
    <x v="0"/>
    <x v="0"/>
    <x v="0"/>
    <x v="0"/>
    <x v="0"/>
    <x v="4"/>
    <s v="24"/>
    <x v="1"/>
    <x v="0"/>
    <x v="5"/>
    <x v="11"/>
    <n v="762903.87"/>
  </r>
  <r>
    <x v="2"/>
    <x v="0"/>
    <x v="1"/>
    <x v="0"/>
    <x v="0"/>
    <x v="2"/>
    <x v="0"/>
    <x v="0"/>
    <x v="0"/>
    <x v="0"/>
    <x v="0"/>
    <x v="4"/>
    <s v="24"/>
    <x v="1"/>
    <x v="0"/>
    <x v="5"/>
    <x v="3"/>
    <n v="232898.21"/>
  </r>
  <r>
    <x v="2"/>
    <x v="0"/>
    <x v="1"/>
    <x v="0"/>
    <x v="0"/>
    <x v="2"/>
    <x v="0"/>
    <x v="0"/>
    <x v="0"/>
    <x v="0"/>
    <x v="0"/>
    <x v="4"/>
    <s v="24"/>
    <x v="1"/>
    <x v="0"/>
    <x v="5"/>
    <x v="4"/>
    <n v="6966817.3200000003"/>
  </r>
  <r>
    <x v="2"/>
    <x v="0"/>
    <x v="1"/>
    <x v="0"/>
    <x v="0"/>
    <x v="2"/>
    <x v="0"/>
    <x v="0"/>
    <x v="0"/>
    <x v="0"/>
    <x v="0"/>
    <x v="4"/>
    <s v="24"/>
    <x v="1"/>
    <x v="0"/>
    <x v="5"/>
    <x v="7"/>
    <n v="6142617.0499999998"/>
  </r>
  <r>
    <x v="2"/>
    <x v="0"/>
    <x v="1"/>
    <x v="0"/>
    <x v="0"/>
    <x v="2"/>
    <x v="0"/>
    <x v="0"/>
    <x v="0"/>
    <x v="0"/>
    <x v="0"/>
    <x v="4"/>
    <s v="24"/>
    <x v="1"/>
    <x v="0"/>
    <x v="5"/>
    <x v="5"/>
    <n v="-126569.75"/>
  </r>
  <r>
    <x v="2"/>
    <x v="0"/>
    <x v="1"/>
    <x v="0"/>
    <x v="0"/>
    <x v="2"/>
    <x v="0"/>
    <x v="0"/>
    <x v="0"/>
    <x v="0"/>
    <x v="0"/>
    <x v="4"/>
    <s v="24"/>
    <x v="1"/>
    <x v="0"/>
    <x v="5"/>
    <x v="6"/>
    <n v="302334.71999999997"/>
  </r>
  <r>
    <x v="2"/>
    <x v="0"/>
    <x v="1"/>
    <x v="0"/>
    <x v="0"/>
    <x v="2"/>
    <x v="0"/>
    <x v="0"/>
    <x v="0"/>
    <x v="0"/>
    <x v="0"/>
    <x v="4"/>
    <s v="24"/>
    <x v="1"/>
    <x v="0"/>
    <x v="5"/>
    <x v="1"/>
    <n v="-40119.51"/>
  </r>
  <r>
    <x v="2"/>
    <x v="0"/>
    <x v="1"/>
    <x v="0"/>
    <x v="0"/>
    <x v="2"/>
    <x v="0"/>
    <x v="0"/>
    <x v="0"/>
    <x v="0"/>
    <x v="0"/>
    <x v="4"/>
    <s v="31"/>
    <x v="8"/>
    <x v="0"/>
    <x v="4"/>
    <x v="4"/>
    <n v="25"/>
  </r>
  <r>
    <x v="2"/>
    <x v="0"/>
    <x v="1"/>
    <x v="0"/>
    <x v="0"/>
    <x v="2"/>
    <x v="0"/>
    <x v="0"/>
    <x v="0"/>
    <x v="0"/>
    <x v="0"/>
    <x v="4"/>
    <s v="31"/>
    <x v="8"/>
    <x v="0"/>
    <x v="4"/>
    <x v="5"/>
    <n v="-25"/>
  </r>
  <r>
    <x v="2"/>
    <x v="0"/>
    <x v="1"/>
    <x v="0"/>
    <x v="0"/>
    <x v="2"/>
    <x v="0"/>
    <x v="0"/>
    <x v="0"/>
    <x v="0"/>
    <x v="0"/>
    <x v="4"/>
    <s v="31"/>
    <x v="8"/>
    <x v="0"/>
    <x v="5"/>
    <x v="10"/>
    <n v="10"/>
  </r>
  <r>
    <x v="2"/>
    <x v="0"/>
    <x v="1"/>
    <x v="0"/>
    <x v="0"/>
    <x v="2"/>
    <x v="0"/>
    <x v="0"/>
    <x v="0"/>
    <x v="0"/>
    <x v="0"/>
    <x v="4"/>
    <s v="31"/>
    <x v="8"/>
    <x v="0"/>
    <x v="5"/>
    <x v="4"/>
    <n v="-10"/>
  </r>
  <r>
    <x v="2"/>
    <x v="0"/>
    <x v="1"/>
    <x v="0"/>
    <x v="0"/>
    <x v="2"/>
    <x v="0"/>
    <x v="0"/>
    <x v="0"/>
    <x v="0"/>
    <x v="0"/>
    <x v="4"/>
    <s v="40"/>
    <x v="18"/>
    <x v="0"/>
    <x v="4"/>
    <x v="0"/>
    <n v="814.7"/>
  </r>
  <r>
    <x v="2"/>
    <x v="0"/>
    <x v="1"/>
    <x v="0"/>
    <x v="0"/>
    <x v="2"/>
    <x v="0"/>
    <x v="0"/>
    <x v="0"/>
    <x v="0"/>
    <x v="0"/>
    <x v="4"/>
    <s v="40"/>
    <x v="18"/>
    <x v="0"/>
    <x v="4"/>
    <x v="2"/>
    <n v="-803.45"/>
  </r>
  <r>
    <x v="2"/>
    <x v="0"/>
    <x v="1"/>
    <x v="0"/>
    <x v="0"/>
    <x v="2"/>
    <x v="0"/>
    <x v="0"/>
    <x v="0"/>
    <x v="0"/>
    <x v="0"/>
    <x v="4"/>
    <s v="40"/>
    <x v="18"/>
    <x v="0"/>
    <x v="4"/>
    <x v="8"/>
    <n v="-11.25"/>
  </r>
  <r>
    <x v="2"/>
    <x v="0"/>
    <x v="1"/>
    <x v="0"/>
    <x v="0"/>
    <x v="2"/>
    <x v="0"/>
    <x v="0"/>
    <x v="0"/>
    <x v="0"/>
    <x v="0"/>
    <x v="4"/>
    <s v="99"/>
    <x v="9"/>
    <x v="0"/>
    <x v="4"/>
    <x v="0"/>
    <n v="532.58000000000004"/>
  </r>
  <r>
    <x v="2"/>
    <x v="0"/>
    <x v="1"/>
    <x v="0"/>
    <x v="0"/>
    <x v="2"/>
    <x v="0"/>
    <x v="0"/>
    <x v="0"/>
    <x v="0"/>
    <x v="0"/>
    <x v="4"/>
    <s v="99"/>
    <x v="9"/>
    <x v="0"/>
    <x v="4"/>
    <x v="8"/>
    <n v="-532.58000000000004"/>
  </r>
  <r>
    <x v="2"/>
    <x v="0"/>
    <x v="1"/>
    <x v="0"/>
    <x v="0"/>
    <x v="2"/>
    <x v="0"/>
    <x v="0"/>
    <x v="0"/>
    <x v="0"/>
    <x v="4"/>
    <x v="5"/>
    <s v="21"/>
    <x v="27"/>
    <x v="0"/>
    <x v="4"/>
    <x v="2"/>
    <n v="91415"/>
  </r>
  <r>
    <x v="2"/>
    <x v="0"/>
    <x v="1"/>
    <x v="0"/>
    <x v="0"/>
    <x v="2"/>
    <x v="0"/>
    <x v="0"/>
    <x v="0"/>
    <x v="0"/>
    <x v="4"/>
    <x v="5"/>
    <s v="21"/>
    <x v="27"/>
    <x v="0"/>
    <x v="4"/>
    <x v="9"/>
    <n v="6423.52"/>
  </r>
  <r>
    <x v="2"/>
    <x v="0"/>
    <x v="1"/>
    <x v="0"/>
    <x v="0"/>
    <x v="2"/>
    <x v="0"/>
    <x v="0"/>
    <x v="0"/>
    <x v="0"/>
    <x v="4"/>
    <x v="5"/>
    <s v="21"/>
    <x v="27"/>
    <x v="0"/>
    <x v="4"/>
    <x v="10"/>
    <n v="33694.57"/>
  </r>
  <r>
    <x v="2"/>
    <x v="0"/>
    <x v="1"/>
    <x v="0"/>
    <x v="0"/>
    <x v="2"/>
    <x v="0"/>
    <x v="0"/>
    <x v="0"/>
    <x v="0"/>
    <x v="4"/>
    <x v="5"/>
    <s v="21"/>
    <x v="27"/>
    <x v="0"/>
    <x v="4"/>
    <x v="11"/>
    <n v="115598.82"/>
  </r>
  <r>
    <x v="2"/>
    <x v="0"/>
    <x v="1"/>
    <x v="0"/>
    <x v="0"/>
    <x v="2"/>
    <x v="0"/>
    <x v="0"/>
    <x v="0"/>
    <x v="0"/>
    <x v="4"/>
    <x v="5"/>
    <s v="21"/>
    <x v="27"/>
    <x v="0"/>
    <x v="4"/>
    <x v="3"/>
    <n v="153202.31"/>
  </r>
  <r>
    <x v="2"/>
    <x v="0"/>
    <x v="1"/>
    <x v="0"/>
    <x v="0"/>
    <x v="2"/>
    <x v="0"/>
    <x v="0"/>
    <x v="0"/>
    <x v="0"/>
    <x v="4"/>
    <x v="5"/>
    <s v="21"/>
    <x v="27"/>
    <x v="0"/>
    <x v="4"/>
    <x v="4"/>
    <n v="8337.7800000000007"/>
  </r>
  <r>
    <x v="2"/>
    <x v="0"/>
    <x v="1"/>
    <x v="0"/>
    <x v="0"/>
    <x v="2"/>
    <x v="0"/>
    <x v="0"/>
    <x v="0"/>
    <x v="0"/>
    <x v="4"/>
    <x v="5"/>
    <s v="21"/>
    <x v="27"/>
    <x v="0"/>
    <x v="4"/>
    <x v="7"/>
    <n v="126266.04"/>
  </r>
  <r>
    <x v="2"/>
    <x v="0"/>
    <x v="1"/>
    <x v="0"/>
    <x v="0"/>
    <x v="2"/>
    <x v="0"/>
    <x v="0"/>
    <x v="0"/>
    <x v="0"/>
    <x v="4"/>
    <x v="5"/>
    <s v="21"/>
    <x v="27"/>
    <x v="0"/>
    <x v="4"/>
    <x v="5"/>
    <n v="45429.25"/>
  </r>
  <r>
    <x v="2"/>
    <x v="0"/>
    <x v="1"/>
    <x v="0"/>
    <x v="0"/>
    <x v="2"/>
    <x v="0"/>
    <x v="0"/>
    <x v="0"/>
    <x v="0"/>
    <x v="4"/>
    <x v="5"/>
    <s v="21"/>
    <x v="27"/>
    <x v="0"/>
    <x v="4"/>
    <x v="6"/>
    <n v="27938"/>
  </r>
  <r>
    <x v="2"/>
    <x v="0"/>
    <x v="1"/>
    <x v="0"/>
    <x v="0"/>
    <x v="2"/>
    <x v="0"/>
    <x v="0"/>
    <x v="0"/>
    <x v="0"/>
    <x v="4"/>
    <x v="5"/>
    <s v="21"/>
    <x v="27"/>
    <x v="0"/>
    <x v="4"/>
    <x v="1"/>
    <n v="601632.56999999995"/>
  </r>
  <r>
    <x v="2"/>
    <x v="0"/>
    <x v="1"/>
    <x v="0"/>
    <x v="0"/>
    <x v="2"/>
    <x v="0"/>
    <x v="0"/>
    <x v="0"/>
    <x v="0"/>
    <x v="4"/>
    <x v="5"/>
    <s v="21"/>
    <x v="27"/>
    <x v="0"/>
    <x v="5"/>
    <x v="2"/>
    <n v="544988.38"/>
  </r>
  <r>
    <x v="2"/>
    <x v="0"/>
    <x v="1"/>
    <x v="0"/>
    <x v="0"/>
    <x v="2"/>
    <x v="0"/>
    <x v="0"/>
    <x v="0"/>
    <x v="0"/>
    <x v="4"/>
    <x v="5"/>
    <s v="21"/>
    <x v="27"/>
    <x v="0"/>
    <x v="5"/>
    <x v="8"/>
    <n v="106861.52"/>
  </r>
  <r>
    <x v="2"/>
    <x v="0"/>
    <x v="1"/>
    <x v="0"/>
    <x v="0"/>
    <x v="2"/>
    <x v="0"/>
    <x v="0"/>
    <x v="0"/>
    <x v="0"/>
    <x v="4"/>
    <x v="5"/>
    <s v="21"/>
    <x v="27"/>
    <x v="0"/>
    <x v="5"/>
    <x v="9"/>
    <n v="-291073.52"/>
  </r>
  <r>
    <x v="2"/>
    <x v="0"/>
    <x v="1"/>
    <x v="0"/>
    <x v="0"/>
    <x v="2"/>
    <x v="0"/>
    <x v="0"/>
    <x v="0"/>
    <x v="0"/>
    <x v="4"/>
    <x v="5"/>
    <s v="21"/>
    <x v="27"/>
    <x v="0"/>
    <x v="5"/>
    <x v="10"/>
    <n v="23994.2"/>
  </r>
  <r>
    <x v="2"/>
    <x v="0"/>
    <x v="1"/>
    <x v="0"/>
    <x v="0"/>
    <x v="2"/>
    <x v="0"/>
    <x v="0"/>
    <x v="0"/>
    <x v="0"/>
    <x v="4"/>
    <x v="5"/>
    <s v="21"/>
    <x v="27"/>
    <x v="0"/>
    <x v="5"/>
    <x v="11"/>
    <n v="99109"/>
  </r>
  <r>
    <x v="2"/>
    <x v="0"/>
    <x v="1"/>
    <x v="0"/>
    <x v="0"/>
    <x v="2"/>
    <x v="0"/>
    <x v="0"/>
    <x v="0"/>
    <x v="0"/>
    <x v="4"/>
    <x v="5"/>
    <s v="21"/>
    <x v="27"/>
    <x v="0"/>
    <x v="5"/>
    <x v="3"/>
    <n v="19885"/>
  </r>
  <r>
    <x v="2"/>
    <x v="0"/>
    <x v="1"/>
    <x v="0"/>
    <x v="0"/>
    <x v="2"/>
    <x v="0"/>
    <x v="0"/>
    <x v="0"/>
    <x v="0"/>
    <x v="4"/>
    <x v="5"/>
    <s v="21"/>
    <x v="27"/>
    <x v="0"/>
    <x v="5"/>
    <x v="4"/>
    <n v="10755"/>
  </r>
  <r>
    <x v="2"/>
    <x v="0"/>
    <x v="1"/>
    <x v="0"/>
    <x v="0"/>
    <x v="2"/>
    <x v="0"/>
    <x v="0"/>
    <x v="0"/>
    <x v="0"/>
    <x v="4"/>
    <x v="5"/>
    <s v="21"/>
    <x v="27"/>
    <x v="0"/>
    <x v="5"/>
    <x v="7"/>
    <n v="11196"/>
  </r>
  <r>
    <x v="2"/>
    <x v="0"/>
    <x v="1"/>
    <x v="0"/>
    <x v="0"/>
    <x v="2"/>
    <x v="0"/>
    <x v="0"/>
    <x v="0"/>
    <x v="0"/>
    <x v="4"/>
    <x v="5"/>
    <s v="21"/>
    <x v="27"/>
    <x v="0"/>
    <x v="5"/>
    <x v="5"/>
    <n v="82140.37"/>
  </r>
  <r>
    <x v="2"/>
    <x v="0"/>
    <x v="1"/>
    <x v="0"/>
    <x v="0"/>
    <x v="2"/>
    <x v="0"/>
    <x v="0"/>
    <x v="0"/>
    <x v="0"/>
    <x v="4"/>
    <x v="5"/>
    <s v="21"/>
    <x v="27"/>
    <x v="0"/>
    <x v="5"/>
    <x v="6"/>
    <n v="24503.57"/>
  </r>
  <r>
    <x v="2"/>
    <x v="0"/>
    <x v="1"/>
    <x v="0"/>
    <x v="0"/>
    <x v="2"/>
    <x v="0"/>
    <x v="0"/>
    <x v="0"/>
    <x v="0"/>
    <x v="4"/>
    <x v="5"/>
    <s v="21"/>
    <x v="27"/>
    <x v="0"/>
    <x v="5"/>
    <x v="1"/>
    <n v="1137729.75"/>
  </r>
  <r>
    <x v="2"/>
    <x v="0"/>
    <x v="1"/>
    <x v="0"/>
    <x v="0"/>
    <x v="2"/>
    <x v="0"/>
    <x v="0"/>
    <x v="0"/>
    <x v="0"/>
    <x v="4"/>
    <x v="5"/>
    <s v="22"/>
    <x v="25"/>
    <x v="0"/>
    <x v="4"/>
    <x v="2"/>
    <n v="-86498.53"/>
  </r>
  <r>
    <x v="2"/>
    <x v="0"/>
    <x v="1"/>
    <x v="0"/>
    <x v="0"/>
    <x v="2"/>
    <x v="0"/>
    <x v="0"/>
    <x v="0"/>
    <x v="0"/>
    <x v="4"/>
    <x v="5"/>
    <s v="22"/>
    <x v="25"/>
    <x v="0"/>
    <x v="4"/>
    <x v="8"/>
    <n v="-9000"/>
  </r>
  <r>
    <x v="2"/>
    <x v="0"/>
    <x v="1"/>
    <x v="0"/>
    <x v="0"/>
    <x v="2"/>
    <x v="0"/>
    <x v="0"/>
    <x v="0"/>
    <x v="0"/>
    <x v="4"/>
    <x v="5"/>
    <s v="22"/>
    <x v="25"/>
    <x v="0"/>
    <x v="4"/>
    <x v="9"/>
    <n v="-450"/>
  </r>
  <r>
    <x v="2"/>
    <x v="0"/>
    <x v="1"/>
    <x v="0"/>
    <x v="0"/>
    <x v="2"/>
    <x v="0"/>
    <x v="0"/>
    <x v="0"/>
    <x v="0"/>
    <x v="4"/>
    <x v="5"/>
    <s v="22"/>
    <x v="25"/>
    <x v="0"/>
    <x v="4"/>
    <x v="10"/>
    <n v="-50"/>
  </r>
  <r>
    <x v="2"/>
    <x v="0"/>
    <x v="1"/>
    <x v="0"/>
    <x v="0"/>
    <x v="2"/>
    <x v="0"/>
    <x v="0"/>
    <x v="0"/>
    <x v="0"/>
    <x v="4"/>
    <x v="5"/>
    <s v="22"/>
    <x v="25"/>
    <x v="0"/>
    <x v="4"/>
    <x v="11"/>
    <n v="-16000"/>
  </r>
  <r>
    <x v="2"/>
    <x v="0"/>
    <x v="1"/>
    <x v="0"/>
    <x v="0"/>
    <x v="2"/>
    <x v="0"/>
    <x v="0"/>
    <x v="0"/>
    <x v="0"/>
    <x v="4"/>
    <x v="5"/>
    <s v="22"/>
    <x v="25"/>
    <x v="0"/>
    <x v="4"/>
    <x v="3"/>
    <n v="-12065.11"/>
  </r>
  <r>
    <x v="2"/>
    <x v="0"/>
    <x v="1"/>
    <x v="0"/>
    <x v="0"/>
    <x v="2"/>
    <x v="0"/>
    <x v="0"/>
    <x v="0"/>
    <x v="0"/>
    <x v="4"/>
    <x v="5"/>
    <s v="22"/>
    <x v="25"/>
    <x v="0"/>
    <x v="4"/>
    <x v="4"/>
    <n v="-231987.78"/>
  </r>
  <r>
    <x v="2"/>
    <x v="0"/>
    <x v="1"/>
    <x v="0"/>
    <x v="0"/>
    <x v="2"/>
    <x v="0"/>
    <x v="0"/>
    <x v="0"/>
    <x v="0"/>
    <x v="4"/>
    <x v="5"/>
    <s v="22"/>
    <x v="25"/>
    <x v="0"/>
    <x v="4"/>
    <x v="7"/>
    <n v="-222182.17"/>
  </r>
  <r>
    <x v="2"/>
    <x v="0"/>
    <x v="1"/>
    <x v="0"/>
    <x v="0"/>
    <x v="2"/>
    <x v="0"/>
    <x v="0"/>
    <x v="0"/>
    <x v="0"/>
    <x v="4"/>
    <x v="5"/>
    <s v="22"/>
    <x v="25"/>
    <x v="0"/>
    <x v="4"/>
    <x v="5"/>
    <n v="-36632.54"/>
  </r>
  <r>
    <x v="2"/>
    <x v="0"/>
    <x v="1"/>
    <x v="0"/>
    <x v="0"/>
    <x v="2"/>
    <x v="0"/>
    <x v="0"/>
    <x v="0"/>
    <x v="0"/>
    <x v="4"/>
    <x v="5"/>
    <s v="22"/>
    <x v="25"/>
    <x v="0"/>
    <x v="4"/>
    <x v="6"/>
    <n v="1712"/>
  </r>
  <r>
    <x v="2"/>
    <x v="0"/>
    <x v="1"/>
    <x v="0"/>
    <x v="0"/>
    <x v="2"/>
    <x v="0"/>
    <x v="0"/>
    <x v="0"/>
    <x v="0"/>
    <x v="4"/>
    <x v="5"/>
    <s v="22"/>
    <x v="25"/>
    <x v="0"/>
    <x v="4"/>
    <x v="1"/>
    <n v="-699867.03"/>
  </r>
  <r>
    <x v="2"/>
    <x v="0"/>
    <x v="1"/>
    <x v="0"/>
    <x v="0"/>
    <x v="2"/>
    <x v="0"/>
    <x v="0"/>
    <x v="0"/>
    <x v="0"/>
    <x v="4"/>
    <x v="5"/>
    <s v="22"/>
    <x v="25"/>
    <x v="0"/>
    <x v="5"/>
    <x v="0"/>
    <n v="-5903.8"/>
  </r>
  <r>
    <x v="2"/>
    <x v="0"/>
    <x v="1"/>
    <x v="0"/>
    <x v="0"/>
    <x v="2"/>
    <x v="0"/>
    <x v="0"/>
    <x v="0"/>
    <x v="0"/>
    <x v="4"/>
    <x v="5"/>
    <s v="22"/>
    <x v="25"/>
    <x v="0"/>
    <x v="5"/>
    <x v="2"/>
    <n v="-42237.84"/>
  </r>
  <r>
    <x v="2"/>
    <x v="0"/>
    <x v="1"/>
    <x v="0"/>
    <x v="0"/>
    <x v="2"/>
    <x v="0"/>
    <x v="0"/>
    <x v="0"/>
    <x v="0"/>
    <x v="4"/>
    <x v="5"/>
    <s v="22"/>
    <x v="25"/>
    <x v="0"/>
    <x v="5"/>
    <x v="8"/>
    <n v="-298916.52"/>
  </r>
  <r>
    <x v="2"/>
    <x v="0"/>
    <x v="1"/>
    <x v="0"/>
    <x v="0"/>
    <x v="2"/>
    <x v="0"/>
    <x v="0"/>
    <x v="0"/>
    <x v="0"/>
    <x v="4"/>
    <x v="5"/>
    <s v="22"/>
    <x v="25"/>
    <x v="0"/>
    <x v="5"/>
    <x v="9"/>
    <n v="21160.52"/>
  </r>
  <r>
    <x v="2"/>
    <x v="0"/>
    <x v="1"/>
    <x v="0"/>
    <x v="0"/>
    <x v="2"/>
    <x v="0"/>
    <x v="0"/>
    <x v="0"/>
    <x v="0"/>
    <x v="4"/>
    <x v="5"/>
    <s v="22"/>
    <x v="25"/>
    <x v="0"/>
    <x v="5"/>
    <x v="10"/>
    <n v="-33065.29"/>
  </r>
  <r>
    <x v="2"/>
    <x v="0"/>
    <x v="1"/>
    <x v="0"/>
    <x v="0"/>
    <x v="2"/>
    <x v="0"/>
    <x v="0"/>
    <x v="0"/>
    <x v="0"/>
    <x v="4"/>
    <x v="5"/>
    <s v="22"/>
    <x v="25"/>
    <x v="0"/>
    <x v="5"/>
    <x v="11"/>
    <n v="-36842.050000000003"/>
  </r>
  <r>
    <x v="2"/>
    <x v="0"/>
    <x v="1"/>
    <x v="0"/>
    <x v="0"/>
    <x v="2"/>
    <x v="0"/>
    <x v="0"/>
    <x v="0"/>
    <x v="0"/>
    <x v="4"/>
    <x v="5"/>
    <s v="22"/>
    <x v="25"/>
    <x v="0"/>
    <x v="5"/>
    <x v="3"/>
    <n v="1292.6199999999999"/>
  </r>
  <r>
    <x v="2"/>
    <x v="0"/>
    <x v="1"/>
    <x v="0"/>
    <x v="0"/>
    <x v="2"/>
    <x v="0"/>
    <x v="0"/>
    <x v="0"/>
    <x v="0"/>
    <x v="4"/>
    <x v="5"/>
    <s v="22"/>
    <x v="25"/>
    <x v="0"/>
    <x v="5"/>
    <x v="4"/>
    <n v="-68957"/>
  </r>
  <r>
    <x v="2"/>
    <x v="0"/>
    <x v="1"/>
    <x v="0"/>
    <x v="0"/>
    <x v="2"/>
    <x v="0"/>
    <x v="0"/>
    <x v="0"/>
    <x v="0"/>
    <x v="4"/>
    <x v="5"/>
    <s v="22"/>
    <x v="25"/>
    <x v="0"/>
    <x v="5"/>
    <x v="7"/>
    <n v="-2050"/>
  </r>
  <r>
    <x v="2"/>
    <x v="0"/>
    <x v="1"/>
    <x v="0"/>
    <x v="0"/>
    <x v="2"/>
    <x v="0"/>
    <x v="0"/>
    <x v="0"/>
    <x v="0"/>
    <x v="4"/>
    <x v="5"/>
    <s v="22"/>
    <x v="25"/>
    <x v="0"/>
    <x v="5"/>
    <x v="5"/>
    <n v="-86937.25"/>
  </r>
  <r>
    <x v="2"/>
    <x v="0"/>
    <x v="1"/>
    <x v="0"/>
    <x v="0"/>
    <x v="2"/>
    <x v="0"/>
    <x v="0"/>
    <x v="0"/>
    <x v="0"/>
    <x v="4"/>
    <x v="5"/>
    <s v="22"/>
    <x v="25"/>
    <x v="0"/>
    <x v="5"/>
    <x v="6"/>
    <n v="-92160.15"/>
  </r>
  <r>
    <x v="2"/>
    <x v="0"/>
    <x v="1"/>
    <x v="0"/>
    <x v="0"/>
    <x v="2"/>
    <x v="0"/>
    <x v="0"/>
    <x v="0"/>
    <x v="0"/>
    <x v="4"/>
    <x v="5"/>
    <s v="22"/>
    <x v="25"/>
    <x v="0"/>
    <x v="5"/>
    <x v="1"/>
    <n v="-548520.49"/>
  </r>
  <r>
    <x v="2"/>
    <x v="0"/>
    <x v="1"/>
    <x v="0"/>
    <x v="0"/>
    <x v="3"/>
    <x v="0"/>
    <x v="0"/>
    <x v="0"/>
    <x v="2"/>
    <x v="3"/>
    <x v="7"/>
    <s v="64"/>
    <x v="24"/>
    <x v="0"/>
    <x v="4"/>
    <x v="7"/>
    <n v="2688"/>
  </r>
  <r>
    <x v="2"/>
    <x v="0"/>
    <x v="1"/>
    <x v="0"/>
    <x v="0"/>
    <x v="3"/>
    <x v="0"/>
    <x v="0"/>
    <x v="0"/>
    <x v="2"/>
    <x v="3"/>
    <x v="7"/>
    <s v="64"/>
    <x v="24"/>
    <x v="0"/>
    <x v="4"/>
    <x v="1"/>
    <n v="-2688"/>
  </r>
  <r>
    <x v="2"/>
    <x v="0"/>
    <x v="1"/>
    <x v="0"/>
    <x v="0"/>
    <x v="3"/>
    <x v="0"/>
    <x v="0"/>
    <x v="0"/>
    <x v="2"/>
    <x v="3"/>
    <x v="7"/>
    <s v="64"/>
    <x v="24"/>
    <x v="0"/>
    <x v="5"/>
    <x v="3"/>
    <n v="410"/>
  </r>
  <r>
    <x v="2"/>
    <x v="0"/>
    <x v="1"/>
    <x v="0"/>
    <x v="0"/>
    <x v="3"/>
    <x v="0"/>
    <x v="0"/>
    <x v="0"/>
    <x v="2"/>
    <x v="3"/>
    <x v="7"/>
    <s v="64"/>
    <x v="24"/>
    <x v="0"/>
    <x v="5"/>
    <x v="1"/>
    <n v="-410"/>
  </r>
  <r>
    <x v="2"/>
    <x v="0"/>
    <x v="1"/>
    <x v="0"/>
    <x v="0"/>
    <x v="3"/>
    <x v="0"/>
    <x v="0"/>
    <x v="0"/>
    <x v="2"/>
    <x v="3"/>
    <x v="7"/>
    <s v="84"/>
    <x v="34"/>
    <x v="0"/>
    <x v="4"/>
    <x v="2"/>
    <n v="1170"/>
  </r>
  <r>
    <x v="2"/>
    <x v="0"/>
    <x v="1"/>
    <x v="0"/>
    <x v="0"/>
    <x v="3"/>
    <x v="0"/>
    <x v="0"/>
    <x v="0"/>
    <x v="2"/>
    <x v="3"/>
    <x v="7"/>
    <s v="84"/>
    <x v="34"/>
    <x v="0"/>
    <x v="4"/>
    <x v="9"/>
    <n v="40"/>
  </r>
  <r>
    <x v="2"/>
    <x v="0"/>
    <x v="1"/>
    <x v="0"/>
    <x v="0"/>
    <x v="3"/>
    <x v="0"/>
    <x v="0"/>
    <x v="0"/>
    <x v="2"/>
    <x v="3"/>
    <x v="7"/>
    <s v="84"/>
    <x v="34"/>
    <x v="0"/>
    <x v="4"/>
    <x v="11"/>
    <n v="-1210"/>
  </r>
  <r>
    <x v="2"/>
    <x v="0"/>
    <x v="1"/>
    <x v="0"/>
    <x v="0"/>
    <x v="3"/>
    <x v="0"/>
    <x v="0"/>
    <x v="0"/>
    <x v="2"/>
    <x v="3"/>
    <x v="7"/>
    <s v="84"/>
    <x v="34"/>
    <x v="0"/>
    <x v="5"/>
    <x v="2"/>
    <n v="1550"/>
  </r>
  <r>
    <x v="2"/>
    <x v="0"/>
    <x v="1"/>
    <x v="0"/>
    <x v="0"/>
    <x v="3"/>
    <x v="0"/>
    <x v="0"/>
    <x v="0"/>
    <x v="2"/>
    <x v="3"/>
    <x v="7"/>
    <s v="84"/>
    <x v="34"/>
    <x v="0"/>
    <x v="5"/>
    <x v="8"/>
    <n v="-1550"/>
  </r>
  <r>
    <x v="2"/>
    <x v="0"/>
    <x v="1"/>
    <x v="0"/>
    <x v="0"/>
    <x v="3"/>
    <x v="0"/>
    <x v="0"/>
    <x v="0"/>
    <x v="2"/>
    <x v="3"/>
    <x v="7"/>
    <s v="84"/>
    <x v="34"/>
    <x v="0"/>
    <x v="5"/>
    <x v="5"/>
    <n v="1570"/>
  </r>
  <r>
    <x v="2"/>
    <x v="0"/>
    <x v="1"/>
    <x v="0"/>
    <x v="0"/>
    <x v="3"/>
    <x v="0"/>
    <x v="0"/>
    <x v="0"/>
    <x v="2"/>
    <x v="3"/>
    <x v="7"/>
    <s v="84"/>
    <x v="34"/>
    <x v="0"/>
    <x v="5"/>
    <x v="6"/>
    <n v="1460"/>
  </r>
  <r>
    <x v="2"/>
    <x v="0"/>
    <x v="1"/>
    <x v="0"/>
    <x v="0"/>
    <x v="3"/>
    <x v="0"/>
    <x v="0"/>
    <x v="0"/>
    <x v="2"/>
    <x v="3"/>
    <x v="7"/>
    <s v="84"/>
    <x v="34"/>
    <x v="0"/>
    <x v="5"/>
    <x v="1"/>
    <n v="-3030"/>
  </r>
  <r>
    <x v="2"/>
    <x v="0"/>
    <x v="1"/>
    <x v="0"/>
    <x v="0"/>
    <x v="3"/>
    <x v="0"/>
    <x v="0"/>
    <x v="0"/>
    <x v="1"/>
    <x v="1"/>
    <x v="8"/>
    <s v="41"/>
    <x v="4"/>
    <x v="0"/>
    <x v="4"/>
    <x v="0"/>
    <n v="6330.36"/>
  </r>
  <r>
    <x v="2"/>
    <x v="0"/>
    <x v="1"/>
    <x v="0"/>
    <x v="0"/>
    <x v="3"/>
    <x v="0"/>
    <x v="0"/>
    <x v="0"/>
    <x v="1"/>
    <x v="1"/>
    <x v="8"/>
    <s v="41"/>
    <x v="4"/>
    <x v="0"/>
    <x v="4"/>
    <x v="2"/>
    <n v="79426.179999999993"/>
  </r>
  <r>
    <x v="2"/>
    <x v="0"/>
    <x v="1"/>
    <x v="0"/>
    <x v="0"/>
    <x v="3"/>
    <x v="0"/>
    <x v="0"/>
    <x v="0"/>
    <x v="1"/>
    <x v="1"/>
    <x v="8"/>
    <s v="41"/>
    <x v="4"/>
    <x v="0"/>
    <x v="4"/>
    <x v="9"/>
    <n v="-83506.539999999994"/>
  </r>
  <r>
    <x v="2"/>
    <x v="0"/>
    <x v="1"/>
    <x v="0"/>
    <x v="0"/>
    <x v="3"/>
    <x v="0"/>
    <x v="0"/>
    <x v="0"/>
    <x v="1"/>
    <x v="1"/>
    <x v="8"/>
    <s v="41"/>
    <x v="4"/>
    <x v="0"/>
    <x v="4"/>
    <x v="10"/>
    <n v="7540"/>
  </r>
  <r>
    <x v="2"/>
    <x v="0"/>
    <x v="1"/>
    <x v="0"/>
    <x v="0"/>
    <x v="3"/>
    <x v="0"/>
    <x v="0"/>
    <x v="0"/>
    <x v="1"/>
    <x v="1"/>
    <x v="8"/>
    <s v="41"/>
    <x v="4"/>
    <x v="0"/>
    <x v="4"/>
    <x v="11"/>
    <n v="1000"/>
  </r>
  <r>
    <x v="2"/>
    <x v="0"/>
    <x v="1"/>
    <x v="0"/>
    <x v="0"/>
    <x v="3"/>
    <x v="0"/>
    <x v="0"/>
    <x v="0"/>
    <x v="1"/>
    <x v="1"/>
    <x v="8"/>
    <s v="41"/>
    <x v="4"/>
    <x v="0"/>
    <x v="4"/>
    <x v="3"/>
    <n v="-10540"/>
  </r>
  <r>
    <x v="2"/>
    <x v="0"/>
    <x v="1"/>
    <x v="0"/>
    <x v="0"/>
    <x v="3"/>
    <x v="0"/>
    <x v="0"/>
    <x v="0"/>
    <x v="1"/>
    <x v="1"/>
    <x v="8"/>
    <s v="41"/>
    <x v="4"/>
    <x v="0"/>
    <x v="4"/>
    <x v="4"/>
    <n v="174995.59"/>
  </r>
  <r>
    <x v="2"/>
    <x v="0"/>
    <x v="1"/>
    <x v="0"/>
    <x v="0"/>
    <x v="3"/>
    <x v="0"/>
    <x v="0"/>
    <x v="0"/>
    <x v="1"/>
    <x v="1"/>
    <x v="8"/>
    <s v="41"/>
    <x v="4"/>
    <x v="0"/>
    <x v="4"/>
    <x v="5"/>
    <n v="-4318.38"/>
  </r>
  <r>
    <x v="2"/>
    <x v="0"/>
    <x v="1"/>
    <x v="0"/>
    <x v="0"/>
    <x v="3"/>
    <x v="0"/>
    <x v="0"/>
    <x v="0"/>
    <x v="1"/>
    <x v="1"/>
    <x v="8"/>
    <s v="41"/>
    <x v="4"/>
    <x v="0"/>
    <x v="4"/>
    <x v="1"/>
    <n v="-170927.21"/>
  </r>
  <r>
    <x v="2"/>
    <x v="0"/>
    <x v="1"/>
    <x v="0"/>
    <x v="0"/>
    <x v="3"/>
    <x v="0"/>
    <x v="0"/>
    <x v="0"/>
    <x v="1"/>
    <x v="1"/>
    <x v="8"/>
    <s v="41"/>
    <x v="4"/>
    <x v="0"/>
    <x v="5"/>
    <x v="0"/>
    <n v="189074.79"/>
  </r>
  <r>
    <x v="2"/>
    <x v="0"/>
    <x v="1"/>
    <x v="0"/>
    <x v="0"/>
    <x v="3"/>
    <x v="0"/>
    <x v="0"/>
    <x v="0"/>
    <x v="1"/>
    <x v="1"/>
    <x v="8"/>
    <s v="41"/>
    <x v="4"/>
    <x v="0"/>
    <x v="5"/>
    <x v="3"/>
    <n v="113160.16"/>
  </r>
  <r>
    <x v="2"/>
    <x v="0"/>
    <x v="1"/>
    <x v="0"/>
    <x v="0"/>
    <x v="3"/>
    <x v="0"/>
    <x v="0"/>
    <x v="0"/>
    <x v="1"/>
    <x v="1"/>
    <x v="8"/>
    <s v="41"/>
    <x v="4"/>
    <x v="0"/>
    <x v="5"/>
    <x v="4"/>
    <n v="88526.81"/>
  </r>
  <r>
    <x v="2"/>
    <x v="0"/>
    <x v="1"/>
    <x v="0"/>
    <x v="0"/>
    <x v="3"/>
    <x v="0"/>
    <x v="0"/>
    <x v="0"/>
    <x v="1"/>
    <x v="1"/>
    <x v="8"/>
    <s v="41"/>
    <x v="4"/>
    <x v="0"/>
    <x v="5"/>
    <x v="1"/>
    <n v="-390761.76"/>
  </r>
  <r>
    <x v="2"/>
    <x v="0"/>
    <x v="1"/>
    <x v="0"/>
    <x v="0"/>
    <x v="3"/>
    <x v="0"/>
    <x v="0"/>
    <x v="0"/>
    <x v="0"/>
    <x v="0"/>
    <x v="4"/>
    <s v="02"/>
    <x v="5"/>
    <x v="0"/>
    <x v="4"/>
    <x v="5"/>
    <n v="224.86"/>
  </r>
  <r>
    <x v="2"/>
    <x v="0"/>
    <x v="1"/>
    <x v="0"/>
    <x v="0"/>
    <x v="3"/>
    <x v="0"/>
    <x v="0"/>
    <x v="0"/>
    <x v="0"/>
    <x v="0"/>
    <x v="4"/>
    <s v="02"/>
    <x v="5"/>
    <x v="0"/>
    <x v="4"/>
    <x v="6"/>
    <n v="9936"/>
  </r>
  <r>
    <x v="2"/>
    <x v="0"/>
    <x v="1"/>
    <x v="0"/>
    <x v="0"/>
    <x v="3"/>
    <x v="0"/>
    <x v="0"/>
    <x v="0"/>
    <x v="0"/>
    <x v="0"/>
    <x v="4"/>
    <s v="02"/>
    <x v="5"/>
    <x v="0"/>
    <x v="4"/>
    <x v="1"/>
    <n v="-10160.86"/>
  </r>
  <r>
    <x v="2"/>
    <x v="0"/>
    <x v="1"/>
    <x v="0"/>
    <x v="0"/>
    <x v="3"/>
    <x v="0"/>
    <x v="0"/>
    <x v="0"/>
    <x v="0"/>
    <x v="0"/>
    <x v="4"/>
    <s v="02"/>
    <x v="5"/>
    <x v="0"/>
    <x v="5"/>
    <x v="0"/>
    <n v="1575"/>
  </r>
  <r>
    <x v="2"/>
    <x v="0"/>
    <x v="1"/>
    <x v="0"/>
    <x v="0"/>
    <x v="3"/>
    <x v="0"/>
    <x v="0"/>
    <x v="0"/>
    <x v="0"/>
    <x v="0"/>
    <x v="4"/>
    <s v="02"/>
    <x v="5"/>
    <x v="0"/>
    <x v="5"/>
    <x v="8"/>
    <n v="-1575"/>
  </r>
  <r>
    <x v="2"/>
    <x v="0"/>
    <x v="1"/>
    <x v="0"/>
    <x v="0"/>
    <x v="3"/>
    <x v="0"/>
    <x v="0"/>
    <x v="0"/>
    <x v="0"/>
    <x v="0"/>
    <x v="4"/>
    <s v="05"/>
    <x v="6"/>
    <x v="0"/>
    <x v="4"/>
    <x v="4"/>
    <n v="5"/>
  </r>
  <r>
    <x v="2"/>
    <x v="0"/>
    <x v="1"/>
    <x v="0"/>
    <x v="0"/>
    <x v="3"/>
    <x v="0"/>
    <x v="0"/>
    <x v="0"/>
    <x v="0"/>
    <x v="0"/>
    <x v="4"/>
    <s v="05"/>
    <x v="6"/>
    <x v="0"/>
    <x v="4"/>
    <x v="5"/>
    <n v="372.4"/>
  </r>
  <r>
    <x v="2"/>
    <x v="0"/>
    <x v="1"/>
    <x v="0"/>
    <x v="0"/>
    <x v="3"/>
    <x v="0"/>
    <x v="0"/>
    <x v="0"/>
    <x v="0"/>
    <x v="0"/>
    <x v="4"/>
    <s v="05"/>
    <x v="6"/>
    <x v="0"/>
    <x v="4"/>
    <x v="6"/>
    <n v="-417.95"/>
  </r>
  <r>
    <x v="2"/>
    <x v="0"/>
    <x v="1"/>
    <x v="0"/>
    <x v="0"/>
    <x v="3"/>
    <x v="0"/>
    <x v="0"/>
    <x v="0"/>
    <x v="0"/>
    <x v="0"/>
    <x v="4"/>
    <s v="05"/>
    <x v="6"/>
    <x v="0"/>
    <x v="4"/>
    <x v="1"/>
    <n v="40.549999999999997"/>
  </r>
  <r>
    <x v="2"/>
    <x v="0"/>
    <x v="1"/>
    <x v="0"/>
    <x v="0"/>
    <x v="3"/>
    <x v="0"/>
    <x v="0"/>
    <x v="0"/>
    <x v="0"/>
    <x v="0"/>
    <x v="4"/>
    <s v="05"/>
    <x v="6"/>
    <x v="0"/>
    <x v="5"/>
    <x v="4"/>
    <n v="15058"/>
  </r>
  <r>
    <x v="2"/>
    <x v="0"/>
    <x v="1"/>
    <x v="0"/>
    <x v="0"/>
    <x v="3"/>
    <x v="0"/>
    <x v="0"/>
    <x v="0"/>
    <x v="0"/>
    <x v="0"/>
    <x v="4"/>
    <s v="05"/>
    <x v="6"/>
    <x v="0"/>
    <x v="5"/>
    <x v="7"/>
    <n v="-15000"/>
  </r>
  <r>
    <x v="2"/>
    <x v="0"/>
    <x v="1"/>
    <x v="0"/>
    <x v="0"/>
    <x v="3"/>
    <x v="0"/>
    <x v="0"/>
    <x v="0"/>
    <x v="0"/>
    <x v="0"/>
    <x v="4"/>
    <s v="05"/>
    <x v="6"/>
    <x v="0"/>
    <x v="5"/>
    <x v="5"/>
    <n v="-58"/>
  </r>
  <r>
    <x v="2"/>
    <x v="0"/>
    <x v="1"/>
    <x v="0"/>
    <x v="0"/>
    <x v="3"/>
    <x v="0"/>
    <x v="0"/>
    <x v="0"/>
    <x v="0"/>
    <x v="0"/>
    <x v="4"/>
    <s v="09"/>
    <x v="0"/>
    <x v="0"/>
    <x v="4"/>
    <x v="0"/>
    <n v="10038.82"/>
  </r>
  <r>
    <x v="2"/>
    <x v="0"/>
    <x v="1"/>
    <x v="0"/>
    <x v="0"/>
    <x v="3"/>
    <x v="0"/>
    <x v="0"/>
    <x v="0"/>
    <x v="0"/>
    <x v="0"/>
    <x v="4"/>
    <s v="09"/>
    <x v="0"/>
    <x v="0"/>
    <x v="4"/>
    <x v="2"/>
    <n v="26734.639999999999"/>
  </r>
  <r>
    <x v="2"/>
    <x v="0"/>
    <x v="1"/>
    <x v="0"/>
    <x v="0"/>
    <x v="3"/>
    <x v="0"/>
    <x v="0"/>
    <x v="0"/>
    <x v="0"/>
    <x v="0"/>
    <x v="4"/>
    <s v="09"/>
    <x v="0"/>
    <x v="0"/>
    <x v="4"/>
    <x v="8"/>
    <n v="22460.37"/>
  </r>
  <r>
    <x v="2"/>
    <x v="0"/>
    <x v="1"/>
    <x v="0"/>
    <x v="0"/>
    <x v="3"/>
    <x v="0"/>
    <x v="0"/>
    <x v="0"/>
    <x v="0"/>
    <x v="0"/>
    <x v="4"/>
    <s v="09"/>
    <x v="0"/>
    <x v="0"/>
    <x v="4"/>
    <x v="9"/>
    <n v="46654.53"/>
  </r>
  <r>
    <x v="2"/>
    <x v="0"/>
    <x v="1"/>
    <x v="0"/>
    <x v="0"/>
    <x v="3"/>
    <x v="0"/>
    <x v="0"/>
    <x v="0"/>
    <x v="0"/>
    <x v="0"/>
    <x v="4"/>
    <s v="09"/>
    <x v="0"/>
    <x v="0"/>
    <x v="4"/>
    <x v="10"/>
    <n v="55077.27"/>
  </r>
  <r>
    <x v="2"/>
    <x v="0"/>
    <x v="1"/>
    <x v="0"/>
    <x v="0"/>
    <x v="3"/>
    <x v="0"/>
    <x v="0"/>
    <x v="0"/>
    <x v="0"/>
    <x v="0"/>
    <x v="4"/>
    <s v="09"/>
    <x v="0"/>
    <x v="0"/>
    <x v="4"/>
    <x v="11"/>
    <n v="41113.51"/>
  </r>
  <r>
    <x v="2"/>
    <x v="0"/>
    <x v="1"/>
    <x v="0"/>
    <x v="0"/>
    <x v="3"/>
    <x v="0"/>
    <x v="0"/>
    <x v="0"/>
    <x v="0"/>
    <x v="0"/>
    <x v="4"/>
    <s v="09"/>
    <x v="0"/>
    <x v="0"/>
    <x v="4"/>
    <x v="3"/>
    <n v="64260.1"/>
  </r>
  <r>
    <x v="2"/>
    <x v="0"/>
    <x v="1"/>
    <x v="0"/>
    <x v="0"/>
    <x v="3"/>
    <x v="0"/>
    <x v="0"/>
    <x v="0"/>
    <x v="0"/>
    <x v="0"/>
    <x v="4"/>
    <s v="09"/>
    <x v="0"/>
    <x v="0"/>
    <x v="4"/>
    <x v="4"/>
    <n v="66083.45"/>
  </r>
  <r>
    <x v="2"/>
    <x v="0"/>
    <x v="1"/>
    <x v="0"/>
    <x v="0"/>
    <x v="3"/>
    <x v="0"/>
    <x v="0"/>
    <x v="0"/>
    <x v="0"/>
    <x v="0"/>
    <x v="4"/>
    <s v="09"/>
    <x v="0"/>
    <x v="0"/>
    <x v="4"/>
    <x v="7"/>
    <n v="72510.62"/>
  </r>
  <r>
    <x v="2"/>
    <x v="0"/>
    <x v="1"/>
    <x v="0"/>
    <x v="0"/>
    <x v="3"/>
    <x v="0"/>
    <x v="0"/>
    <x v="0"/>
    <x v="0"/>
    <x v="0"/>
    <x v="4"/>
    <s v="09"/>
    <x v="0"/>
    <x v="0"/>
    <x v="4"/>
    <x v="5"/>
    <n v="65755.399999999994"/>
  </r>
  <r>
    <x v="2"/>
    <x v="0"/>
    <x v="1"/>
    <x v="0"/>
    <x v="0"/>
    <x v="3"/>
    <x v="0"/>
    <x v="0"/>
    <x v="0"/>
    <x v="0"/>
    <x v="0"/>
    <x v="4"/>
    <s v="09"/>
    <x v="0"/>
    <x v="0"/>
    <x v="4"/>
    <x v="6"/>
    <n v="42640.480000000003"/>
  </r>
  <r>
    <x v="2"/>
    <x v="0"/>
    <x v="1"/>
    <x v="0"/>
    <x v="0"/>
    <x v="3"/>
    <x v="0"/>
    <x v="0"/>
    <x v="0"/>
    <x v="0"/>
    <x v="0"/>
    <x v="4"/>
    <s v="09"/>
    <x v="0"/>
    <x v="0"/>
    <x v="4"/>
    <x v="1"/>
    <n v="217573.36"/>
  </r>
  <r>
    <x v="2"/>
    <x v="0"/>
    <x v="1"/>
    <x v="0"/>
    <x v="0"/>
    <x v="3"/>
    <x v="0"/>
    <x v="0"/>
    <x v="0"/>
    <x v="0"/>
    <x v="0"/>
    <x v="4"/>
    <s v="09"/>
    <x v="0"/>
    <x v="0"/>
    <x v="5"/>
    <x v="0"/>
    <n v="8306.99"/>
  </r>
  <r>
    <x v="2"/>
    <x v="0"/>
    <x v="1"/>
    <x v="0"/>
    <x v="0"/>
    <x v="3"/>
    <x v="0"/>
    <x v="0"/>
    <x v="0"/>
    <x v="0"/>
    <x v="0"/>
    <x v="4"/>
    <s v="09"/>
    <x v="0"/>
    <x v="0"/>
    <x v="5"/>
    <x v="2"/>
    <n v="22990.71"/>
  </r>
  <r>
    <x v="2"/>
    <x v="0"/>
    <x v="1"/>
    <x v="0"/>
    <x v="0"/>
    <x v="3"/>
    <x v="0"/>
    <x v="0"/>
    <x v="0"/>
    <x v="0"/>
    <x v="0"/>
    <x v="4"/>
    <s v="09"/>
    <x v="0"/>
    <x v="0"/>
    <x v="5"/>
    <x v="8"/>
    <n v="23065.119999999999"/>
  </r>
  <r>
    <x v="2"/>
    <x v="0"/>
    <x v="1"/>
    <x v="0"/>
    <x v="0"/>
    <x v="3"/>
    <x v="0"/>
    <x v="0"/>
    <x v="0"/>
    <x v="0"/>
    <x v="0"/>
    <x v="4"/>
    <s v="09"/>
    <x v="0"/>
    <x v="0"/>
    <x v="5"/>
    <x v="9"/>
    <n v="56566.61"/>
  </r>
  <r>
    <x v="2"/>
    <x v="0"/>
    <x v="1"/>
    <x v="0"/>
    <x v="0"/>
    <x v="3"/>
    <x v="0"/>
    <x v="0"/>
    <x v="0"/>
    <x v="0"/>
    <x v="0"/>
    <x v="4"/>
    <s v="09"/>
    <x v="0"/>
    <x v="0"/>
    <x v="5"/>
    <x v="10"/>
    <n v="44854.91"/>
  </r>
  <r>
    <x v="2"/>
    <x v="0"/>
    <x v="1"/>
    <x v="0"/>
    <x v="0"/>
    <x v="3"/>
    <x v="0"/>
    <x v="0"/>
    <x v="0"/>
    <x v="0"/>
    <x v="0"/>
    <x v="4"/>
    <s v="09"/>
    <x v="0"/>
    <x v="0"/>
    <x v="5"/>
    <x v="11"/>
    <n v="47141.37"/>
  </r>
  <r>
    <x v="2"/>
    <x v="0"/>
    <x v="1"/>
    <x v="0"/>
    <x v="0"/>
    <x v="3"/>
    <x v="0"/>
    <x v="0"/>
    <x v="0"/>
    <x v="0"/>
    <x v="0"/>
    <x v="4"/>
    <s v="09"/>
    <x v="0"/>
    <x v="0"/>
    <x v="5"/>
    <x v="3"/>
    <n v="79742.05"/>
  </r>
  <r>
    <x v="2"/>
    <x v="0"/>
    <x v="1"/>
    <x v="0"/>
    <x v="0"/>
    <x v="3"/>
    <x v="0"/>
    <x v="0"/>
    <x v="0"/>
    <x v="0"/>
    <x v="0"/>
    <x v="4"/>
    <s v="09"/>
    <x v="0"/>
    <x v="0"/>
    <x v="5"/>
    <x v="4"/>
    <n v="70679.94"/>
  </r>
  <r>
    <x v="2"/>
    <x v="0"/>
    <x v="1"/>
    <x v="0"/>
    <x v="0"/>
    <x v="3"/>
    <x v="0"/>
    <x v="0"/>
    <x v="0"/>
    <x v="0"/>
    <x v="0"/>
    <x v="4"/>
    <s v="09"/>
    <x v="0"/>
    <x v="0"/>
    <x v="5"/>
    <x v="7"/>
    <n v="58900.27"/>
  </r>
  <r>
    <x v="2"/>
    <x v="0"/>
    <x v="1"/>
    <x v="0"/>
    <x v="0"/>
    <x v="3"/>
    <x v="0"/>
    <x v="0"/>
    <x v="0"/>
    <x v="0"/>
    <x v="0"/>
    <x v="4"/>
    <s v="09"/>
    <x v="0"/>
    <x v="0"/>
    <x v="5"/>
    <x v="5"/>
    <n v="118889.92"/>
  </r>
  <r>
    <x v="2"/>
    <x v="0"/>
    <x v="1"/>
    <x v="0"/>
    <x v="0"/>
    <x v="3"/>
    <x v="0"/>
    <x v="0"/>
    <x v="0"/>
    <x v="0"/>
    <x v="0"/>
    <x v="4"/>
    <s v="09"/>
    <x v="0"/>
    <x v="0"/>
    <x v="5"/>
    <x v="6"/>
    <n v="128657.79"/>
  </r>
  <r>
    <x v="2"/>
    <x v="0"/>
    <x v="1"/>
    <x v="0"/>
    <x v="0"/>
    <x v="3"/>
    <x v="0"/>
    <x v="0"/>
    <x v="0"/>
    <x v="0"/>
    <x v="0"/>
    <x v="4"/>
    <s v="09"/>
    <x v="0"/>
    <x v="0"/>
    <x v="5"/>
    <x v="1"/>
    <n v="378413.18"/>
  </r>
  <r>
    <x v="2"/>
    <x v="0"/>
    <x v="1"/>
    <x v="0"/>
    <x v="0"/>
    <x v="3"/>
    <x v="0"/>
    <x v="0"/>
    <x v="0"/>
    <x v="0"/>
    <x v="0"/>
    <x v="4"/>
    <s v="16"/>
    <x v="20"/>
    <x v="0"/>
    <x v="4"/>
    <x v="0"/>
    <n v="-15"/>
  </r>
  <r>
    <x v="2"/>
    <x v="0"/>
    <x v="1"/>
    <x v="0"/>
    <x v="0"/>
    <x v="3"/>
    <x v="0"/>
    <x v="0"/>
    <x v="0"/>
    <x v="0"/>
    <x v="0"/>
    <x v="4"/>
    <s v="16"/>
    <x v="20"/>
    <x v="0"/>
    <x v="4"/>
    <x v="8"/>
    <n v="15"/>
  </r>
  <r>
    <x v="2"/>
    <x v="0"/>
    <x v="1"/>
    <x v="0"/>
    <x v="0"/>
    <x v="3"/>
    <x v="0"/>
    <x v="0"/>
    <x v="0"/>
    <x v="0"/>
    <x v="0"/>
    <x v="4"/>
    <s v="16"/>
    <x v="20"/>
    <x v="0"/>
    <x v="4"/>
    <x v="9"/>
    <n v="-16.25"/>
  </r>
  <r>
    <x v="2"/>
    <x v="0"/>
    <x v="1"/>
    <x v="0"/>
    <x v="0"/>
    <x v="3"/>
    <x v="0"/>
    <x v="0"/>
    <x v="0"/>
    <x v="0"/>
    <x v="0"/>
    <x v="4"/>
    <s v="16"/>
    <x v="20"/>
    <x v="0"/>
    <x v="4"/>
    <x v="10"/>
    <n v="16.25"/>
  </r>
  <r>
    <x v="2"/>
    <x v="0"/>
    <x v="1"/>
    <x v="0"/>
    <x v="0"/>
    <x v="3"/>
    <x v="0"/>
    <x v="0"/>
    <x v="0"/>
    <x v="0"/>
    <x v="0"/>
    <x v="4"/>
    <s v="16"/>
    <x v="20"/>
    <x v="0"/>
    <x v="4"/>
    <x v="4"/>
    <n v="-16.3"/>
  </r>
  <r>
    <x v="2"/>
    <x v="0"/>
    <x v="1"/>
    <x v="0"/>
    <x v="0"/>
    <x v="3"/>
    <x v="0"/>
    <x v="0"/>
    <x v="0"/>
    <x v="0"/>
    <x v="0"/>
    <x v="4"/>
    <s v="16"/>
    <x v="20"/>
    <x v="0"/>
    <x v="4"/>
    <x v="7"/>
    <n v="16.3"/>
  </r>
  <r>
    <x v="2"/>
    <x v="0"/>
    <x v="1"/>
    <x v="0"/>
    <x v="0"/>
    <x v="3"/>
    <x v="0"/>
    <x v="0"/>
    <x v="0"/>
    <x v="0"/>
    <x v="0"/>
    <x v="4"/>
    <s v="16"/>
    <x v="20"/>
    <x v="0"/>
    <x v="5"/>
    <x v="2"/>
    <n v="-30.35"/>
  </r>
  <r>
    <x v="2"/>
    <x v="0"/>
    <x v="1"/>
    <x v="0"/>
    <x v="0"/>
    <x v="3"/>
    <x v="0"/>
    <x v="0"/>
    <x v="0"/>
    <x v="0"/>
    <x v="0"/>
    <x v="4"/>
    <s v="16"/>
    <x v="20"/>
    <x v="0"/>
    <x v="5"/>
    <x v="8"/>
    <n v="30.35"/>
  </r>
  <r>
    <x v="2"/>
    <x v="0"/>
    <x v="1"/>
    <x v="0"/>
    <x v="0"/>
    <x v="3"/>
    <x v="0"/>
    <x v="0"/>
    <x v="0"/>
    <x v="0"/>
    <x v="0"/>
    <x v="4"/>
    <s v="16"/>
    <x v="20"/>
    <x v="0"/>
    <x v="5"/>
    <x v="11"/>
    <n v="-18.89"/>
  </r>
  <r>
    <x v="2"/>
    <x v="0"/>
    <x v="1"/>
    <x v="0"/>
    <x v="0"/>
    <x v="3"/>
    <x v="0"/>
    <x v="0"/>
    <x v="0"/>
    <x v="0"/>
    <x v="0"/>
    <x v="4"/>
    <s v="16"/>
    <x v="20"/>
    <x v="0"/>
    <x v="5"/>
    <x v="3"/>
    <n v="18.89"/>
  </r>
  <r>
    <x v="2"/>
    <x v="0"/>
    <x v="1"/>
    <x v="0"/>
    <x v="0"/>
    <x v="3"/>
    <x v="0"/>
    <x v="0"/>
    <x v="0"/>
    <x v="0"/>
    <x v="0"/>
    <x v="4"/>
    <s v="20"/>
    <x v="7"/>
    <x v="0"/>
    <x v="4"/>
    <x v="7"/>
    <n v="21"/>
  </r>
  <r>
    <x v="2"/>
    <x v="0"/>
    <x v="1"/>
    <x v="0"/>
    <x v="0"/>
    <x v="3"/>
    <x v="0"/>
    <x v="0"/>
    <x v="0"/>
    <x v="0"/>
    <x v="0"/>
    <x v="4"/>
    <s v="20"/>
    <x v="7"/>
    <x v="0"/>
    <x v="4"/>
    <x v="5"/>
    <n v="50"/>
  </r>
  <r>
    <x v="2"/>
    <x v="0"/>
    <x v="1"/>
    <x v="0"/>
    <x v="0"/>
    <x v="3"/>
    <x v="0"/>
    <x v="0"/>
    <x v="0"/>
    <x v="0"/>
    <x v="0"/>
    <x v="4"/>
    <s v="20"/>
    <x v="7"/>
    <x v="0"/>
    <x v="4"/>
    <x v="6"/>
    <n v="-50"/>
  </r>
  <r>
    <x v="2"/>
    <x v="0"/>
    <x v="1"/>
    <x v="0"/>
    <x v="0"/>
    <x v="3"/>
    <x v="0"/>
    <x v="0"/>
    <x v="0"/>
    <x v="0"/>
    <x v="0"/>
    <x v="4"/>
    <s v="20"/>
    <x v="7"/>
    <x v="0"/>
    <x v="4"/>
    <x v="1"/>
    <n v="-21"/>
  </r>
  <r>
    <x v="2"/>
    <x v="0"/>
    <x v="1"/>
    <x v="0"/>
    <x v="0"/>
    <x v="3"/>
    <x v="0"/>
    <x v="0"/>
    <x v="0"/>
    <x v="0"/>
    <x v="0"/>
    <x v="4"/>
    <s v="20"/>
    <x v="7"/>
    <x v="0"/>
    <x v="5"/>
    <x v="0"/>
    <n v="11.64"/>
  </r>
  <r>
    <x v="2"/>
    <x v="0"/>
    <x v="1"/>
    <x v="0"/>
    <x v="0"/>
    <x v="3"/>
    <x v="0"/>
    <x v="0"/>
    <x v="0"/>
    <x v="0"/>
    <x v="0"/>
    <x v="4"/>
    <s v="20"/>
    <x v="7"/>
    <x v="0"/>
    <x v="5"/>
    <x v="8"/>
    <n v="-6.64"/>
  </r>
  <r>
    <x v="2"/>
    <x v="0"/>
    <x v="1"/>
    <x v="0"/>
    <x v="0"/>
    <x v="3"/>
    <x v="0"/>
    <x v="0"/>
    <x v="0"/>
    <x v="0"/>
    <x v="0"/>
    <x v="4"/>
    <s v="20"/>
    <x v="7"/>
    <x v="0"/>
    <x v="5"/>
    <x v="9"/>
    <n v="50"/>
  </r>
  <r>
    <x v="2"/>
    <x v="0"/>
    <x v="1"/>
    <x v="0"/>
    <x v="0"/>
    <x v="3"/>
    <x v="0"/>
    <x v="0"/>
    <x v="0"/>
    <x v="0"/>
    <x v="0"/>
    <x v="4"/>
    <s v="20"/>
    <x v="7"/>
    <x v="0"/>
    <x v="5"/>
    <x v="10"/>
    <n v="-50"/>
  </r>
  <r>
    <x v="2"/>
    <x v="0"/>
    <x v="1"/>
    <x v="0"/>
    <x v="0"/>
    <x v="3"/>
    <x v="0"/>
    <x v="0"/>
    <x v="0"/>
    <x v="0"/>
    <x v="0"/>
    <x v="4"/>
    <s v="20"/>
    <x v="7"/>
    <x v="0"/>
    <x v="5"/>
    <x v="1"/>
    <n v="-5"/>
  </r>
  <r>
    <x v="2"/>
    <x v="0"/>
    <x v="1"/>
    <x v="0"/>
    <x v="0"/>
    <x v="3"/>
    <x v="0"/>
    <x v="0"/>
    <x v="0"/>
    <x v="0"/>
    <x v="0"/>
    <x v="4"/>
    <s v="24"/>
    <x v="1"/>
    <x v="0"/>
    <x v="4"/>
    <x v="0"/>
    <n v="19533648.859999999"/>
  </r>
  <r>
    <x v="2"/>
    <x v="0"/>
    <x v="1"/>
    <x v="0"/>
    <x v="0"/>
    <x v="3"/>
    <x v="0"/>
    <x v="0"/>
    <x v="0"/>
    <x v="0"/>
    <x v="0"/>
    <x v="4"/>
    <s v="24"/>
    <x v="1"/>
    <x v="0"/>
    <x v="4"/>
    <x v="2"/>
    <n v="25303260.609999999"/>
  </r>
  <r>
    <x v="2"/>
    <x v="0"/>
    <x v="1"/>
    <x v="0"/>
    <x v="0"/>
    <x v="3"/>
    <x v="0"/>
    <x v="0"/>
    <x v="0"/>
    <x v="0"/>
    <x v="0"/>
    <x v="4"/>
    <s v="24"/>
    <x v="1"/>
    <x v="0"/>
    <x v="4"/>
    <x v="8"/>
    <n v="29168868.510000002"/>
  </r>
  <r>
    <x v="2"/>
    <x v="0"/>
    <x v="1"/>
    <x v="0"/>
    <x v="0"/>
    <x v="3"/>
    <x v="0"/>
    <x v="0"/>
    <x v="0"/>
    <x v="0"/>
    <x v="0"/>
    <x v="4"/>
    <s v="24"/>
    <x v="1"/>
    <x v="0"/>
    <x v="4"/>
    <x v="9"/>
    <n v="3197172.51"/>
  </r>
  <r>
    <x v="2"/>
    <x v="0"/>
    <x v="1"/>
    <x v="0"/>
    <x v="0"/>
    <x v="3"/>
    <x v="0"/>
    <x v="0"/>
    <x v="0"/>
    <x v="0"/>
    <x v="0"/>
    <x v="4"/>
    <s v="24"/>
    <x v="1"/>
    <x v="0"/>
    <x v="4"/>
    <x v="10"/>
    <n v="13508985.34"/>
  </r>
  <r>
    <x v="2"/>
    <x v="0"/>
    <x v="1"/>
    <x v="0"/>
    <x v="0"/>
    <x v="3"/>
    <x v="0"/>
    <x v="0"/>
    <x v="0"/>
    <x v="0"/>
    <x v="0"/>
    <x v="4"/>
    <s v="24"/>
    <x v="1"/>
    <x v="0"/>
    <x v="4"/>
    <x v="11"/>
    <n v="33009218.300000001"/>
  </r>
  <r>
    <x v="2"/>
    <x v="0"/>
    <x v="1"/>
    <x v="0"/>
    <x v="0"/>
    <x v="3"/>
    <x v="0"/>
    <x v="0"/>
    <x v="0"/>
    <x v="0"/>
    <x v="0"/>
    <x v="4"/>
    <s v="24"/>
    <x v="1"/>
    <x v="0"/>
    <x v="4"/>
    <x v="3"/>
    <n v="7007709.75"/>
  </r>
  <r>
    <x v="2"/>
    <x v="0"/>
    <x v="1"/>
    <x v="0"/>
    <x v="0"/>
    <x v="3"/>
    <x v="0"/>
    <x v="0"/>
    <x v="0"/>
    <x v="0"/>
    <x v="0"/>
    <x v="4"/>
    <s v="24"/>
    <x v="1"/>
    <x v="0"/>
    <x v="4"/>
    <x v="4"/>
    <n v="6421902.9400000004"/>
  </r>
  <r>
    <x v="2"/>
    <x v="0"/>
    <x v="1"/>
    <x v="0"/>
    <x v="0"/>
    <x v="3"/>
    <x v="0"/>
    <x v="0"/>
    <x v="0"/>
    <x v="0"/>
    <x v="0"/>
    <x v="4"/>
    <s v="24"/>
    <x v="1"/>
    <x v="0"/>
    <x v="4"/>
    <x v="7"/>
    <n v="40990001.359999999"/>
  </r>
  <r>
    <x v="2"/>
    <x v="0"/>
    <x v="1"/>
    <x v="0"/>
    <x v="0"/>
    <x v="3"/>
    <x v="0"/>
    <x v="0"/>
    <x v="0"/>
    <x v="0"/>
    <x v="0"/>
    <x v="4"/>
    <s v="24"/>
    <x v="1"/>
    <x v="0"/>
    <x v="4"/>
    <x v="5"/>
    <n v="6080205.5300000003"/>
  </r>
  <r>
    <x v="2"/>
    <x v="0"/>
    <x v="1"/>
    <x v="0"/>
    <x v="0"/>
    <x v="3"/>
    <x v="0"/>
    <x v="0"/>
    <x v="0"/>
    <x v="0"/>
    <x v="0"/>
    <x v="4"/>
    <s v="24"/>
    <x v="1"/>
    <x v="0"/>
    <x v="4"/>
    <x v="6"/>
    <n v="932338.02"/>
  </r>
  <r>
    <x v="2"/>
    <x v="0"/>
    <x v="1"/>
    <x v="0"/>
    <x v="0"/>
    <x v="3"/>
    <x v="0"/>
    <x v="0"/>
    <x v="0"/>
    <x v="0"/>
    <x v="0"/>
    <x v="4"/>
    <s v="24"/>
    <x v="1"/>
    <x v="0"/>
    <x v="4"/>
    <x v="1"/>
    <n v="-2301960.59"/>
  </r>
  <r>
    <x v="2"/>
    <x v="0"/>
    <x v="1"/>
    <x v="0"/>
    <x v="0"/>
    <x v="3"/>
    <x v="0"/>
    <x v="0"/>
    <x v="0"/>
    <x v="0"/>
    <x v="0"/>
    <x v="4"/>
    <s v="24"/>
    <x v="1"/>
    <x v="0"/>
    <x v="5"/>
    <x v="0"/>
    <n v="19749112.809999999"/>
  </r>
  <r>
    <x v="2"/>
    <x v="0"/>
    <x v="1"/>
    <x v="0"/>
    <x v="0"/>
    <x v="3"/>
    <x v="0"/>
    <x v="0"/>
    <x v="0"/>
    <x v="0"/>
    <x v="0"/>
    <x v="4"/>
    <s v="24"/>
    <x v="1"/>
    <x v="0"/>
    <x v="5"/>
    <x v="2"/>
    <n v="29774071.760000002"/>
  </r>
  <r>
    <x v="2"/>
    <x v="0"/>
    <x v="1"/>
    <x v="0"/>
    <x v="0"/>
    <x v="3"/>
    <x v="0"/>
    <x v="0"/>
    <x v="0"/>
    <x v="0"/>
    <x v="0"/>
    <x v="4"/>
    <s v="24"/>
    <x v="1"/>
    <x v="0"/>
    <x v="5"/>
    <x v="8"/>
    <n v="27348896.199999999"/>
  </r>
  <r>
    <x v="2"/>
    <x v="0"/>
    <x v="1"/>
    <x v="0"/>
    <x v="0"/>
    <x v="3"/>
    <x v="0"/>
    <x v="0"/>
    <x v="0"/>
    <x v="0"/>
    <x v="0"/>
    <x v="4"/>
    <s v="24"/>
    <x v="1"/>
    <x v="0"/>
    <x v="5"/>
    <x v="9"/>
    <n v="3752454.21"/>
  </r>
  <r>
    <x v="2"/>
    <x v="0"/>
    <x v="1"/>
    <x v="0"/>
    <x v="0"/>
    <x v="3"/>
    <x v="0"/>
    <x v="0"/>
    <x v="0"/>
    <x v="0"/>
    <x v="0"/>
    <x v="4"/>
    <s v="24"/>
    <x v="1"/>
    <x v="0"/>
    <x v="5"/>
    <x v="10"/>
    <n v="13519726.539999999"/>
  </r>
  <r>
    <x v="2"/>
    <x v="0"/>
    <x v="1"/>
    <x v="0"/>
    <x v="0"/>
    <x v="3"/>
    <x v="0"/>
    <x v="0"/>
    <x v="0"/>
    <x v="0"/>
    <x v="0"/>
    <x v="4"/>
    <s v="24"/>
    <x v="1"/>
    <x v="0"/>
    <x v="5"/>
    <x v="11"/>
    <n v="39153161.219999999"/>
  </r>
  <r>
    <x v="2"/>
    <x v="0"/>
    <x v="1"/>
    <x v="0"/>
    <x v="0"/>
    <x v="3"/>
    <x v="0"/>
    <x v="0"/>
    <x v="0"/>
    <x v="0"/>
    <x v="0"/>
    <x v="4"/>
    <s v="24"/>
    <x v="1"/>
    <x v="0"/>
    <x v="5"/>
    <x v="3"/>
    <n v="7337995.6200000001"/>
  </r>
  <r>
    <x v="2"/>
    <x v="0"/>
    <x v="1"/>
    <x v="0"/>
    <x v="0"/>
    <x v="3"/>
    <x v="0"/>
    <x v="0"/>
    <x v="0"/>
    <x v="0"/>
    <x v="0"/>
    <x v="4"/>
    <s v="24"/>
    <x v="1"/>
    <x v="0"/>
    <x v="5"/>
    <x v="4"/>
    <n v="5703610.4500000002"/>
  </r>
  <r>
    <x v="2"/>
    <x v="0"/>
    <x v="1"/>
    <x v="0"/>
    <x v="0"/>
    <x v="3"/>
    <x v="0"/>
    <x v="0"/>
    <x v="0"/>
    <x v="0"/>
    <x v="0"/>
    <x v="4"/>
    <s v="24"/>
    <x v="1"/>
    <x v="0"/>
    <x v="5"/>
    <x v="7"/>
    <n v="44413460.049999997"/>
  </r>
  <r>
    <x v="2"/>
    <x v="0"/>
    <x v="1"/>
    <x v="0"/>
    <x v="0"/>
    <x v="3"/>
    <x v="0"/>
    <x v="0"/>
    <x v="0"/>
    <x v="0"/>
    <x v="0"/>
    <x v="4"/>
    <s v="24"/>
    <x v="1"/>
    <x v="0"/>
    <x v="5"/>
    <x v="5"/>
    <n v="6280801.7300000004"/>
  </r>
  <r>
    <x v="2"/>
    <x v="0"/>
    <x v="1"/>
    <x v="0"/>
    <x v="0"/>
    <x v="3"/>
    <x v="0"/>
    <x v="0"/>
    <x v="0"/>
    <x v="0"/>
    <x v="0"/>
    <x v="4"/>
    <s v="24"/>
    <x v="1"/>
    <x v="0"/>
    <x v="5"/>
    <x v="6"/>
    <n v="2326789.36"/>
  </r>
  <r>
    <x v="2"/>
    <x v="0"/>
    <x v="1"/>
    <x v="0"/>
    <x v="0"/>
    <x v="3"/>
    <x v="0"/>
    <x v="0"/>
    <x v="0"/>
    <x v="0"/>
    <x v="0"/>
    <x v="4"/>
    <s v="24"/>
    <x v="1"/>
    <x v="0"/>
    <x v="5"/>
    <x v="1"/>
    <n v="1248721.96"/>
  </r>
  <r>
    <x v="2"/>
    <x v="0"/>
    <x v="1"/>
    <x v="0"/>
    <x v="0"/>
    <x v="3"/>
    <x v="0"/>
    <x v="0"/>
    <x v="0"/>
    <x v="0"/>
    <x v="0"/>
    <x v="4"/>
    <s v="30"/>
    <x v="3"/>
    <x v="0"/>
    <x v="4"/>
    <x v="0"/>
    <n v="589.67999999999995"/>
  </r>
  <r>
    <x v="2"/>
    <x v="0"/>
    <x v="1"/>
    <x v="0"/>
    <x v="0"/>
    <x v="3"/>
    <x v="0"/>
    <x v="0"/>
    <x v="0"/>
    <x v="0"/>
    <x v="0"/>
    <x v="4"/>
    <s v="30"/>
    <x v="3"/>
    <x v="0"/>
    <x v="4"/>
    <x v="2"/>
    <n v="266.83999999999997"/>
  </r>
  <r>
    <x v="2"/>
    <x v="0"/>
    <x v="1"/>
    <x v="0"/>
    <x v="0"/>
    <x v="3"/>
    <x v="0"/>
    <x v="0"/>
    <x v="0"/>
    <x v="0"/>
    <x v="0"/>
    <x v="4"/>
    <s v="30"/>
    <x v="3"/>
    <x v="0"/>
    <x v="4"/>
    <x v="8"/>
    <n v="5173"/>
  </r>
  <r>
    <x v="2"/>
    <x v="0"/>
    <x v="1"/>
    <x v="0"/>
    <x v="0"/>
    <x v="3"/>
    <x v="0"/>
    <x v="0"/>
    <x v="0"/>
    <x v="0"/>
    <x v="0"/>
    <x v="4"/>
    <s v="30"/>
    <x v="3"/>
    <x v="0"/>
    <x v="4"/>
    <x v="9"/>
    <n v="30"/>
  </r>
  <r>
    <x v="2"/>
    <x v="0"/>
    <x v="1"/>
    <x v="0"/>
    <x v="0"/>
    <x v="3"/>
    <x v="0"/>
    <x v="0"/>
    <x v="0"/>
    <x v="0"/>
    <x v="0"/>
    <x v="4"/>
    <s v="30"/>
    <x v="3"/>
    <x v="0"/>
    <x v="4"/>
    <x v="10"/>
    <n v="30"/>
  </r>
  <r>
    <x v="2"/>
    <x v="0"/>
    <x v="1"/>
    <x v="0"/>
    <x v="0"/>
    <x v="3"/>
    <x v="0"/>
    <x v="0"/>
    <x v="0"/>
    <x v="0"/>
    <x v="0"/>
    <x v="4"/>
    <s v="30"/>
    <x v="3"/>
    <x v="0"/>
    <x v="4"/>
    <x v="11"/>
    <n v="-60"/>
  </r>
  <r>
    <x v="2"/>
    <x v="0"/>
    <x v="1"/>
    <x v="0"/>
    <x v="0"/>
    <x v="3"/>
    <x v="0"/>
    <x v="0"/>
    <x v="0"/>
    <x v="0"/>
    <x v="0"/>
    <x v="4"/>
    <s v="30"/>
    <x v="3"/>
    <x v="0"/>
    <x v="4"/>
    <x v="4"/>
    <n v="-6298.32"/>
  </r>
  <r>
    <x v="2"/>
    <x v="0"/>
    <x v="1"/>
    <x v="0"/>
    <x v="0"/>
    <x v="3"/>
    <x v="0"/>
    <x v="0"/>
    <x v="0"/>
    <x v="0"/>
    <x v="0"/>
    <x v="4"/>
    <s v="30"/>
    <x v="3"/>
    <x v="0"/>
    <x v="4"/>
    <x v="7"/>
    <n v="-5436.2"/>
  </r>
  <r>
    <x v="2"/>
    <x v="0"/>
    <x v="1"/>
    <x v="0"/>
    <x v="0"/>
    <x v="3"/>
    <x v="0"/>
    <x v="0"/>
    <x v="0"/>
    <x v="0"/>
    <x v="0"/>
    <x v="4"/>
    <s v="30"/>
    <x v="3"/>
    <x v="0"/>
    <x v="4"/>
    <x v="5"/>
    <n v="5700"/>
  </r>
  <r>
    <x v="2"/>
    <x v="0"/>
    <x v="1"/>
    <x v="0"/>
    <x v="0"/>
    <x v="3"/>
    <x v="0"/>
    <x v="0"/>
    <x v="0"/>
    <x v="0"/>
    <x v="0"/>
    <x v="4"/>
    <s v="30"/>
    <x v="3"/>
    <x v="0"/>
    <x v="4"/>
    <x v="6"/>
    <n v="5"/>
  </r>
  <r>
    <x v="2"/>
    <x v="0"/>
    <x v="1"/>
    <x v="0"/>
    <x v="0"/>
    <x v="3"/>
    <x v="0"/>
    <x v="0"/>
    <x v="0"/>
    <x v="0"/>
    <x v="0"/>
    <x v="4"/>
    <s v="30"/>
    <x v="3"/>
    <x v="0"/>
    <x v="5"/>
    <x v="0"/>
    <n v="600"/>
  </r>
  <r>
    <x v="2"/>
    <x v="0"/>
    <x v="1"/>
    <x v="0"/>
    <x v="0"/>
    <x v="3"/>
    <x v="0"/>
    <x v="0"/>
    <x v="0"/>
    <x v="0"/>
    <x v="0"/>
    <x v="4"/>
    <s v="30"/>
    <x v="3"/>
    <x v="0"/>
    <x v="5"/>
    <x v="2"/>
    <n v="450"/>
  </r>
  <r>
    <x v="2"/>
    <x v="0"/>
    <x v="1"/>
    <x v="0"/>
    <x v="0"/>
    <x v="3"/>
    <x v="0"/>
    <x v="0"/>
    <x v="0"/>
    <x v="0"/>
    <x v="0"/>
    <x v="4"/>
    <s v="30"/>
    <x v="3"/>
    <x v="0"/>
    <x v="5"/>
    <x v="8"/>
    <n v="-450"/>
  </r>
  <r>
    <x v="2"/>
    <x v="0"/>
    <x v="1"/>
    <x v="0"/>
    <x v="0"/>
    <x v="3"/>
    <x v="0"/>
    <x v="0"/>
    <x v="0"/>
    <x v="0"/>
    <x v="0"/>
    <x v="4"/>
    <s v="30"/>
    <x v="3"/>
    <x v="0"/>
    <x v="5"/>
    <x v="9"/>
    <n v="-6827"/>
  </r>
  <r>
    <x v="2"/>
    <x v="0"/>
    <x v="1"/>
    <x v="0"/>
    <x v="0"/>
    <x v="3"/>
    <x v="0"/>
    <x v="0"/>
    <x v="0"/>
    <x v="0"/>
    <x v="0"/>
    <x v="4"/>
    <s v="30"/>
    <x v="3"/>
    <x v="0"/>
    <x v="5"/>
    <x v="10"/>
    <n v="-475"/>
  </r>
  <r>
    <x v="2"/>
    <x v="0"/>
    <x v="1"/>
    <x v="0"/>
    <x v="0"/>
    <x v="3"/>
    <x v="0"/>
    <x v="0"/>
    <x v="0"/>
    <x v="0"/>
    <x v="0"/>
    <x v="4"/>
    <s v="30"/>
    <x v="3"/>
    <x v="0"/>
    <x v="5"/>
    <x v="11"/>
    <n v="7302"/>
  </r>
  <r>
    <x v="2"/>
    <x v="0"/>
    <x v="1"/>
    <x v="0"/>
    <x v="0"/>
    <x v="3"/>
    <x v="0"/>
    <x v="0"/>
    <x v="0"/>
    <x v="0"/>
    <x v="0"/>
    <x v="4"/>
    <s v="30"/>
    <x v="3"/>
    <x v="0"/>
    <x v="5"/>
    <x v="1"/>
    <n v="-600"/>
  </r>
  <r>
    <x v="2"/>
    <x v="0"/>
    <x v="1"/>
    <x v="0"/>
    <x v="0"/>
    <x v="3"/>
    <x v="0"/>
    <x v="0"/>
    <x v="0"/>
    <x v="0"/>
    <x v="0"/>
    <x v="4"/>
    <s v="31"/>
    <x v="8"/>
    <x v="0"/>
    <x v="4"/>
    <x v="11"/>
    <n v="762.41"/>
  </r>
  <r>
    <x v="2"/>
    <x v="0"/>
    <x v="1"/>
    <x v="0"/>
    <x v="0"/>
    <x v="3"/>
    <x v="0"/>
    <x v="0"/>
    <x v="0"/>
    <x v="0"/>
    <x v="0"/>
    <x v="4"/>
    <s v="31"/>
    <x v="8"/>
    <x v="0"/>
    <x v="4"/>
    <x v="4"/>
    <n v="-775.41"/>
  </r>
  <r>
    <x v="2"/>
    <x v="0"/>
    <x v="1"/>
    <x v="0"/>
    <x v="0"/>
    <x v="3"/>
    <x v="0"/>
    <x v="0"/>
    <x v="0"/>
    <x v="0"/>
    <x v="0"/>
    <x v="4"/>
    <s v="31"/>
    <x v="8"/>
    <x v="0"/>
    <x v="4"/>
    <x v="5"/>
    <n v="13"/>
  </r>
  <r>
    <x v="2"/>
    <x v="0"/>
    <x v="1"/>
    <x v="0"/>
    <x v="0"/>
    <x v="3"/>
    <x v="0"/>
    <x v="0"/>
    <x v="0"/>
    <x v="0"/>
    <x v="0"/>
    <x v="4"/>
    <s v="31"/>
    <x v="8"/>
    <x v="0"/>
    <x v="5"/>
    <x v="8"/>
    <n v="-15"/>
  </r>
  <r>
    <x v="2"/>
    <x v="0"/>
    <x v="1"/>
    <x v="0"/>
    <x v="0"/>
    <x v="3"/>
    <x v="0"/>
    <x v="0"/>
    <x v="0"/>
    <x v="0"/>
    <x v="0"/>
    <x v="4"/>
    <s v="31"/>
    <x v="8"/>
    <x v="0"/>
    <x v="5"/>
    <x v="9"/>
    <n v="15"/>
  </r>
  <r>
    <x v="2"/>
    <x v="0"/>
    <x v="1"/>
    <x v="0"/>
    <x v="0"/>
    <x v="3"/>
    <x v="0"/>
    <x v="0"/>
    <x v="0"/>
    <x v="0"/>
    <x v="0"/>
    <x v="4"/>
    <s v="31"/>
    <x v="8"/>
    <x v="0"/>
    <x v="5"/>
    <x v="10"/>
    <n v="-12.96"/>
  </r>
  <r>
    <x v="2"/>
    <x v="0"/>
    <x v="1"/>
    <x v="0"/>
    <x v="0"/>
    <x v="3"/>
    <x v="0"/>
    <x v="0"/>
    <x v="0"/>
    <x v="0"/>
    <x v="0"/>
    <x v="4"/>
    <s v="31"/>
    <x v="8"/>
    <x v="0"/>
    <x v="5"/>
    <x v="11"/>
    <n v="-10"/>
  </r>
  <r>
    <x v="2"/>
    <x v="0"/>
    <x v="1"/>
    <x v="0"/>
    <x v="0"/>
    <x v="3"/>
    <x v="0"/>
    <x v="0"/>
    <x v="0"/>
    <x v="0"/>
    <x v="0"/>
    <x v="4"/>
    <s v="31"/>
    <x v="8"/>
    <x v="0"/>
    <x v="5"/>
    <x v="3"/>
    <n v="10"/>
  </r>
  <r>
    <x v="2"/>
    <x v="0"/>
    <x v="1"/>
    <x v="0"/>
    <x v="0"/>
    <x v="3"/>
    <x v="0"/>
    <x v="0"/>
    <x v="0"/>
    <x v="0"/>
    <x v="0"/>
    <x v="4"/>
    <s v="90"/>
    <x v="16"/>
    <x v="0"/>
    <x v="4"/>
    <x v="0"/>
    <n v="-15"/>
  </r>
  <r>
    <x v="2"/>
    <x v="0"/>
    <x v="1"/>
    <x v="0"/>
    <x v="0"/>
    <x v="3"/>
    <x v="0"/>
    <x v="0"/>
    <x v="0"/>
    <x v="0"/>
    <x v="0"/>
    <x v="4"/>
    <s v="90"/>
    <x v="16"/>
    <x v="0"/>
    <x v="4"/>
    <x v="9"/>
    <n v="15"/>
  </r>
  <r>
    <x v="2"/>
    <x v="0"/>
    <x v="1"/>
    <x v="0"/>
    <x v="0"/>
    <x v="3"/>
    <x v="0"/>
    <x v="0"/>
    <x v="0"/>
    <x v="0"/>
    <x v="0"/>
    <x v="4"/>
    <s v="90"/>
    <x v="16"/>
    <x v="0"/>
    <x v="4"/>
    <x v="10"/>
    <n v="0.1"/>
  </r>
  <r>
    <x v="2"/>
    <x v="0"/>
    <x v="1"/>
    <x v="0"/>
    <x v="0"/>
    <x v="3"/>
    <x v="0"/>
    <x v="0"/>
    <x v="0"/>
    <x v="0"/>
    <x v="0"/>
    <x v="4"/>
    <s v="90"/>
    <x v="16"/>
    <x v="0"/>
    <x v="4"/>
    <x v="11"/>
    <n v="-0.1"/>
  </r>
  <r>
    <x v="2"/>
    <x v="0"/>
    <x v="1"/>
    <x v="0"/>
    <x v="0"/>
    <x v="3"/>
    <x v="0"/>
    <x v="0"/>
    <x v="0"/>
    <x v="0"/>
    <x v="0"/>
    <x v="4"/>
    <s v="90"/>
    <x v="16"/>
    <x v="0"/>
    <x v="4"/>
    <x v="7"/>
    <n v="-0.2"/>
  </r>
  <r>
    <x v="2"/>
    <x v="0"/>
    <x v="1"/>
    <x v="0"/>
    <x v="0"/>
    <x v="3"/>
    <x v="0"/>
    <x v="0"/>
    <x v="0"/>
    <x v="0"/>
    <x v="0"/>
    <x v="4"/>
    <s v="90"/>
    <x v="16"/>
    <x v="0"/>
    <x v="4"/>
    <x v="6"/>
    <n v="0.2"/>
  </r>
  <r>
    <x v="2"/>
    <x v="0"/>
    <x v="1"/>
    <x v="0"/>
    <x v="0"/>
    <x v="3"/>
    <x v="0"/>
    <x v="0"/>
    <x v="0"/>
    <x v="0"/>
    <x v="0"/>
    <x v="4"/>
    <s v="90"/>
    <x v="16"/>
    <x v="0"/>
    <x v="5"/>
    <x v="2"/>
    <n v="-5.0599999999999996"/>
  </r>
  <r>
    <x v="2"/>
    <x v="0"/>
    <x v="1"/>
    <x v="0"/>
    <x v="0"/>
    <x v="3"/>
    <x v="0"/>
    <x v="0"/>
    <x v="0"/>
    <x v="0"/>
    <x v="0"/>
    <x v="4"/>
    <s v="90"/>
    <x v="16"/>
    <x v="0"/>
    <x v="5"/>
    <x v="10"/>
    <n v="42.47"/>
  </r>
  <r>
    <x v="2"/>
    <x v="0"/>
    <x v="1"/>
    <x v="0"/>
    <x v="0"/>
    <x v="3"/>
    <x v="0"/>
    <x v="0"/>
    <x v="0"/>
    <x v="0"/>
    <x v="0"/>
    <x v="4"/>
    <s v="90"/>
    <x v="16"/>
    <x v="0"/>
    <x v="5"/>
    <x v="11"/>
    <n v="-39.53"/>
  </r>
  <r>
    <x v="2"/>
    <x v="0"/>
    <x v="1"/>
    <x v="0"/>
    <x v="0"/>
    <x v="3"/>
    <x v="0"/>
    <x v="0"/>
    <x v="0"/>
    <x v="0"/>
    <x v="0"/>
    <x v="4"/>
    <s v="90"/>
    <x v="16"/>
    <x v="0"/>
    <x v="5"/>
    <x v="5"/>
    <n v="-0.3"/>
  </r>
  <r>
    <x v="2"/>
    <x v="0"/>
    <x v="1"/>
    <x v="0"/>
    <x v="0"/>
    <x v="3"/>
    <x v="0"/>
    <x v="0"/>
    <x v="0"/>
    <x v="0"/>
    <x v="0"/>
    <x v="4"/>
    <s v="90"/>
    <x v="16"/>
    <x v="0"/>
    <x v="5"/>
    <x v="6"/>
    <n v="-44.7"/>
  </r>
  <r>
    <x v="2"/>
    <x v="0"/>
    <x v="1"/>
    <x v="0"/>
    <x v="0"/>
    <x v="3"/>
    <x v="0"/>
    <x v="0"/>
    <x v="0"/>
    <x v="0"/>
    <x v="0"/>
    <x v="4"/>
    <s v="90"/>
    <x v="16"/>
    <x v="0"/>
    <x v="5"/>
    <x v="1"/>
    <n v="47.12"/>
  </r>
  <r>
    <x v="2"/>
    <x v="0"/>
    <x v="1"/>
    <x v="0"/>
    <x v="0"/>
    <x v="3"/>
    <x v="0"/>
    <x v="0"/>
    <x v="0"/>
    <x v="0"/>
    <x v="0"/>
    <x v="4"/>
    <s v="99"/>
    <x v="9"/>
    <x v="0"/>
    <x v="4"/>
    <x v="0"/>
    <n v="-159.59"/>
  </r>
  <r>
    <x v="2"/>
    <x v="0"/>
    <x v="1"/>
    <x v="0"/>
    <x v="0"/>
    <x v="3"/>
    <x v="0"/>
    <x v="0"/>
    <x v="0"/>
    <x v="0"/>
    <x v="0"/>
    <x v="4"/>
    <s v="99"/>
    <x v="9"/>
    <x v="0"/>
    <x v="4"/>
    <x v="2"/>
    <n v="1661"/>
  </r>
  <r>
    <x v="2"/>
    <x v="0"/>
    <x v="1"/>
    <x v="0"/>
    <x v="0"/>
    <x v="3"/>
    <x v="0"/>
    <x v="0"/>
    <x v="0"/>
    <x v="0"/>
    <x v="0"/>
    <x v="4"/>
    <s v="99"/>
    <x v="9"/>
    <x v="0"/>
    <x v="4"/>
    <x v="8"/>
    <n v="645"/>
  </r>
  <r>
    <x v="2"/>
    <x v="0"/>
    <x v="1"/>
    <x v="0"/>
    <x v="0"/>
    <x v="3"/>
    <x v="0"/>
    <x v="0"/>
    <x v="0"/>
    <x v="0"/>
    <x v="0"/>
    <x v="4"/>
    <s v="99"/>
    <x v="9"/>
    <x v="0"/>
    <x v="4"/>
    <x v="9"/>
    <n v="-206.26"/>
  </r>
  <r>
    <x v="2"/>
    <x v="0"/>
    <x v="1"/>
    <x v="0"/>
    <x v="0"/>
    <x v="3"/>
    <x v="0"/>
    <x v="0"/>
    <x v="0"/>
    <x v="0"/>
    <x v="0"/>
    <x v="4"/>
    <s v="99"/>
    <x v="9"/>
    <x v="0"/>
    <x v="4"/>
    <x v="10"/>
    <n v="-26113.82"/>
  </r>
  <r>
    <x v="2"/>
    <x v="0"/>
    <x v="1"/>
    <x v="0"/>
    <x v="0"/>
    <x v="3"/>
    <x v="0"/>
    <x v="0"/>
    <x v="0"/>
    <x v="0"/>
    <x v="0"/>
    <x v="4"/>
    <s v="99"/>
    <x v="9"/>
    <x v="0"/>
    <x v="4"/>
    <x v="11"/>
    <n v="33864"/>
  </r>
  <r>
    <x v="2"/>
    <x v="0"/>
    <x v="1"/>
    <x v="0"/>
    <x v="0"/>
    <x v="3"/>
    <x v="0"/>
    <x v="0"/>
    <x v="0"/>
    <x v="0"/>
    <x v="0"/>
    <x v="4"/>
    <s v="99"/>
    <x v="9"/>
    <x v="0"/>
    <x v="4"/>
    <x v="3"/>
    <n v="-9000.49"/>
  </r>
  <r>
    <x v="2"/>
    <x v="0"/>
    <x v="1"/>
    <x v="0"/>
    <x v="0"/>
    <x v="3"/>
    <x v="0"/>
    <x v="0"/>
    <x v="0"/>
    <x v="0"/>
    <x v="0"/>
    <x v="4"/>
    <s v="99"/>
    <x v="9"/>
    <x v="0"/>
    <x v="4"/>
    <x v="4"/>
    <n v="-136.93"/>
  </r>
  <r>
    <x v="2"/>
    <x v="0"/>
    <x v="1"/>
    <x v="0"/>
    <x v="0"/>
    <x v="3"/>
    <x v="0"/>
    <x v="0"/>
    <x v="0"/>
    <x v="0"/>
    <x v="0"/>
    <x v="4"/>
    <s v="99"/>
    <x v="9"/>
    <x v="0"/>
    <x v="4"/>
    <x v="7"/>
    <n v="185.5"/>
  </r>
  <r>
    <x v="2"/>
    <x v="0"/>
    <x v="1"/>
    <x v="0"/>
    <x v="0"/>
    <x v="3"/>
    <x v="0"/>
    <x v="0"/>
    <x v="0"/>
    <x v="0"/>
    <x v="0"/>
    <x v="4"/>
    <s v="99"/>
    <x v="9"/>
    <x v="0"/>
    <x v="4"/>
    <x v="5"/>
    <n v="334.57"/>
  </r>
  <r>
    <x v="2"/>
    <x v="0"/>
    <x v="1"/>
    <x v="0"/>
    <x v="0"/>
    <x v="3"/>
    <x v="0"/>
    <x v="0"/>
    <x v="0"/>
    <x v="0"/>
    <x v="0"/>
    <x v="4"/>
    <s v="99"/>
    <x v="9"/>
    <x v="0"/>
    <x v="4"/>
    <x v="6"/>
    <n v="-2045.77"/>
  </r>
  <r>
    <x v="2"/>
    <x v="0"/>
    <x v="1"/>
    <x v="0"/>
    <x v="0"/>
    <x v="3"/>
    <x v="0"/>
    <x v="0"/>
    <x v="0"/>
    <x v="0"/>
    <x v="0"/>
    <x v="4"/>
    <s v="99"/>
    <x v="9"/>
    <x v="0"/>
    <x v="4"/>
    <x v="1"/>
    <n v="972.79"/>
  </r>
  <r>
    <x v="2"/>
    <x v="0"/>
    <x v="1"/>
    <x v="0"/>
    <x v="0"/>
    <x v="3"/>
    <x v="0"/>
    <x v="0"/>
    <x v="0"/>
    <x v="0"/>
    <x v="0"/>
    <x v="4"/>
    <s v="99"/>
    <x v="9"/>
    <x v="0"/>
    <x v="5"/>
    <x v="0"/>
    <n v="908.43"/>
  </r>
  <r>
    <x v="2"/>
    <x v="0"/>
    <x v="1"/>
    <x v="0"/>
    <x v="0"/>
    <x v="3"/>
    <x v="0"/>
    <x v="0"/>
    <x v="0"/>
    <x v="0"/>
    <x v="0"/>
    <x v="4"/>
    <s v="99"/>
    <x v="9"/>
    <x v="0"/>
    <x v="5"/>
    <x v="2"/>
    <n v="11291.73"/>
  </r>
  <r>
    <x v="2"/>
    <x v="0"/>
    <x v="1"/>
    <x v="0"/>
    <x v="0"/>
    <x v="3"/>
    <x v="0"/>
    <x v="0"/>
    <x v="0"/>
    <x v="0"/>
    <x v="0"/>
    <x v="4"/>
    <s v="99"/>
    <x v="9"/>
    <x v="0"/>
    <x v="5"/>
    <x v="8"/>
    <n v="-11828.15"/>
  </r>
  <r>
    <x v="2"/>
    <x v="0"/>
    <x v="1"/>
    <x v="0"/>
    <x v="0"/>
    <x v="3"/>
    <x v="0"/>
    <x v="0"/>
    <x v="0"/>
    <x v="0"/>
    <x v="0"/>
    <x v="4"/>
    <s v="99"/>
    <x v="9"/>
    <x v="0"/>
    <x v="5"/>
    <x v="9"/>
    <n v="-25.15"/>
  </r>
  <r>
    <x v="2"/>
    <x v="0"/>
    <x v="1"/>
    <x v="0"/>
    <x v="0"/>
    <x v="3"/>
    <x v="0"/>
    <x v="0"/>
    <x v="0"/>
    <x v="0"/>
    <x v="0"/>
    <x v="4"/>
    <s v="99"/>
    <x v="9"/>
    <x v="0"/>
    <x v="5"/>
    <x v="10"/>
    <n v="309.04000000000002"/>
  </r>
  <r>
    <x v="2"/>
    <x v="0"/>
    <x v="1"/>
    <x v="0"/>
    <x v="0"/>
    <x v="3"/>
    <x v="0"/>
    <x v="0"/>
    <x v="0"/>
    <x v="0"/>
    <x v="0"/>
    <x v="4"/>
    <s v="99"/>
    <x v="9"/>
    <x v="0"/>
    <x v="5"/>
    <x v="11"/>
    <n v="-484.89"/>
  </r>
  <r>
    <x v="2"/>
    <x v="0"/>
    <x v="1"/>
    <x v="0"/>
    <x v="0"/>
    <x v="3"/>
    <x v="0"/>
    <x v="0"/>
    <x v="0"/>
    <x v="0"/>
    <x v="0"/>
    <x v="4"/>
    <s v="99"/>
    <x v="9"/>
    <x v="0"/>
    <x v="5"/>
    <x v="4"/>
    <n v="240.39"/>
  </r>
  <r>
    <x v="2"/>
    <x v="0"/>
    <x v="1"/>
    <x v="0"/>
    <x v="0"/>
    <x v="3"/>
    <x v="0"/>
    <x v="0"/>
    <x v="0"/>
    <x v="0"/>
    <x v="0"/>
    <x v="4"/>
    <s v="99"/>
    <x v="9"/>
    <x v="0"/>
    <x v="5"/>
    <x v="7"/>
    <n v="231.84"/>
  </r>
  <r>
    <x v="2"/>
    <x v="0"/>
    <x v="1"/>
    <x v="0"/>
    <x v="0"/>
    <x v="3"/>
    <x v="0"/>
    <x v="0"/>
    <x v="0"/>
    <x v="0"/>
    <x v="0"/>
    <x v="4"/>
    <s v="99"/>
    <x v="9"/>
    <x v="0"/>
    <x v="5"/>
    <x v="5"/>
    <n v="2699.89"/>
  </r>
  <r>
    <x v="2"/>
    <x v="0"/>
    <x v="1"/>
    <x v="0"/>
    <x v="0"/>
    <x v="3"/>
    <x v="0"/>
    <x v="0"/>
    <x v="0"/>
    <x v="0"/>
    <x v="0"/>
    <x v="4"/>
    <s v="99"/>
    <x v="9"/>
    <x v="0"/>
    <x v="5"/>
    <x v="6"/>
    <n v="-59841.66"/>
  </r>
  <r>
    <x v="2"/>
    <x v="0"/>
    <x v="1"/>
    <x v="0"/>
    <x v="0"/>
    <x v="3"/>
    <x v="0"/>
    <x v="0"/>
    <x v="0"/>
    <x v="0"/>
    <x v="0"/>
    <x v="4"/>
    <s v="99"/>
    <x v="9"/>
    <x v="0"/>
    <x v="5"/>
    <x v="1"/>
    <n v="56498.53"/>
  </r>
  <r>
    <x v="2"/>
    <x v="0"/>
    <x v="1"/>
    <x v="0"/>
    <x v="0"/>
    <x v="3"/>
    <x v="0"/>
    <x v="0"/>
    <x v="0"/>
    <x v="0"/>
    <x v="4"/>
    <x v="5"/>
    <s v="21"/>
    <x v="27"/>
    <x v="0"/>
    <x v="4"/>
    <x v="4"/>
    <n v="175.45"/>
  </r>
  <r>
    <x v="2"/>
    <x v="0"/>
    <x v="1"/>
    <x v="0"/>
    <x v="0"/>
    <x v="3"/>
    <x v="0"/>
    <x v="0"/>
    <x v="0"/>
    <x v="0"/>
    <x v="4"/>
    <x v="5"/>
    <s v="21"/>
    <x v="27"/>
    <x v="0"/>
    <x v="4"/>
    <x v="7"/>
    <n v="-175.45"/>
  </r>
  <r>
    <x v="2"/>
    <x v="0"/>
    <x v="1"/>
    <x v="0"/>
    <x v="0"/>
    <x v="3"/>
    <x v="0"/>
    <x v="0"/>
    <x v="0"/>
    <x v="0"/>
    <x v="4"/>
    <x v="5"/>
    <s v="21"/>
    <x v="27"/>
    <x v="0"/>
    <x v="5"/>
    <x v="0"/>
    <n v="26107"/>
  </r>
  <r>
    <x v="2"/>
    <x v="0"/>
    <x v="1"/>
    <x v="0"/>
    <x v="0"/>
    <x v="3"/>
    <x v="0"/>
    <x v="0"/>
    <x v="0"/>
    <x v="0"/>
    <x v="4"/>
    <x v="5"/>
    <s v="21"/>
    <x v="27"/>
    <x v="0"/>
    <x v="5"/>
    <x v="9"/>
    <n v="-26107"/>
  </r>
  <r>
    <x v="2"/>
    <x v="0"/>
    <x v="1"/>
    <x v="0"/>
    <x v="0"/>
    <x v="3"/>
    <x v="0"/>
    <x v="0"/>
    <x v="0"/>
    <x v="0"/>
    <x v="4"/>
    <x v="5"/>
    <s v="21"/>
    <x v="27"/>
    <x v="0"/>
    <x v="5"/>
    <x v="11"/>
    <n v="-62901"/>
  </r>
  <r>
    <x v="2"/>
    <x v="0"/>
    <x v="1"/>
    <x v="0"/>
    <x v="0"/>
    <x v="3"/>
    <x v="0"/>
    <x v="0"/>
    <x v="0"/>
    <x v="0"/>
    <x v="4"/>
    <x v="5"/>
    <s v="21"/>
    <x v="27"/>
    <x v="0"/>
    <x v="5"/>
    <x v="6"/>
    <n v="99425"/>
  </r>
  <r>
    <x v="2"/>
    <x v="0"/>
    <x v="1"/>
    <x v="0"/>
    <x v="0"/>
    <x v="3"/>
    <x v="0"/>
    <x v="0"/>
    <x v="0"/>
    <x v="0"/>
    <x v="4"/>
    <x v="5"/>
    <s v="21"/>
    <x v="27"/>
    <x v="0"/>
    <x v="5"/>
    <x v="1"/>
    <n v="-36524"/>
  </r>
  <r>
    <x v="2"/>
    <x v="0"/>
    <x v="1"/>
    <x v="0"/>
    <x v="0"/>
    <x v="3"/>
    <x v="0"/>
    <x v="0"/>
    <x v="0"/>
    <x v="0"/>
    <x v="4"/>
    <x v="5"/>
    <s v="22"/>
    <x v="25"/>
    <x v="0"/>
    <x v="4"/>
    <x v="3"/>
    <n v="-405000"/>
  </r>
  <r>
    <x v="2"/>
    <x v="0"/>
    <x v="1"/>
    <x v="0"/>
    <x v="0"/>
    <x v="3"/>
    <x v="0"/>
    <x v="0"/>
    <x v="0"/>
    <x v="0"/>
    <x v="4"/>
    <x v="5"/>
    <s v="22"/>
    <x v="25"/>
    <x v="0"/>
    <x v="4"/>
    <x v="4"/>
    <n v="-380000"/>
  </r>
  <r>
    <x v="2"/>
    <x v="0"/>
    <x v="1"/>
    <x v="0"/>
    <x v="0"/>
    <x v="3"/>
    <x v="0"/>
    <x v="0"/>
    <x v="0"/>
    <x v="0"/>
    <x v="4"/>
    <x v="5"/>
    <s v="22"/>
    <x v="25"/>
    <x v="0"/>
    <x v="4"/>
    <x v="5"/>
    <n v="-15"/>
  </r>
  <r>
    <x v="2"/>
    <x v="0"/>
    <x v="1"/>
    <x v="0"/>
    <x v="0"/>
    <x v="3"/>
    <x v="0"/>
    <x v="0"/>
    <x v="0"/>
    <x v="0"/>
    <x v="4"/>
    <x v="5"/>
    <s v="22"/>
    <x v="25"/>
    <x v="0"/>
    <x v="4"/>
    <x v="6"/>
    <n v="785015"/>
  </r>
  <r>
    <x v="2"/>
    <x v="0"/>
    <x v="1"/>
    <x v="0"/>
    <x v="0"/>
    <x v="3"/>
    <x v="0"/>
    <x v="0"/>
    <x v="0"/>
    <x v="0"/>
    <x v="4"/>
    <x v="5"/>
    <s v="22"/>
    <x v="25"/>
    <x v="0"/>
    <x v="4"/>
    <x v="1"/>
    <n v="-88047.32"/>
  </r>
  <r>
    <x v="2"/>
    <x v="0"/>
    <x v="1"/>
    <x v="0"/>
    <x v="0"/>
    <x v="3"/>
    <x v="0"/>
    <x v="0"/>
    <x v="0"/>
    <x v="0"/>
    <x v="4"/>
    <x v="5"/>
    <s v="22"/>
    <x v="25"/>
    <x v="0"/>
    <x v="5"/>
    <x v="10"/>
    <n v="-1000"/>
  </r>
  <r>
    <x v="2"/>
    <x v="0"/>
    <x v="1"/>
    <x v="0"/>
    <x v="0"/>
    <x v="3"/>
    <x v="0"/>
    <x v="0"/>
    <x v="0"/>
    <x v="0"/>
    <x v="4"/>
    <x v="5"/>
    <s v="22"/>
    <x v="25"/>
    <x v="0"/>
    <x v="5"/>
    <x v="11"/>
    <n v="1000"/>
  </r>
  <r>
    <x v="2"/>
    <x v="0"/>
    <x v="1"/>
    <x v="0"/>
    <x v="0"/>
    <x v="3"/>
    <x v="0"/>
    <x v="0"/>
    <x v="0"/>
    <x v="0"/>
    <x v="4"/>
    <x v="5"/>
    <s v="22"/>
    <x v="25"/>
    <x v="0"/>
    <x v="5"/>
    <x v="1"/>
    <n v="-224232.32000000001"/>
  </r>
  <r>
    <x v="2"/>
    <x v="0"/>
    <x v="1"/>
    <x v="0"/>
    <x v="0"/>
    <x v="3"/>
    <x v="0"/>
    <x v="0"/>
    <x v="0"/>
    <x v="0"/>
    <x v="5"/>
    <x v="6"/>
    <s v="20"/>
    <x v="29"/>
    <x v="0"/>
    <x v="4"/>
    <x v="0"/>
    <n v="-1164"/>
  </r>
  <r>
    <x v="2"/>
    <x v="0"/>
    <x v="1"/>
    <x v="0"/>
    <x v="0"/>
    <x v="3"/>
    <x v="0"/>
    <x v="0"/>
    <x v="0"/>
    <x v="0"/>
    <x v="5"/>
    <x v="6"/>
    <s v="20"/>
    <x v="29"/>
    <x v="0"/>
    <x v="4"/>
    <x v="8"/>
    <n v="-1164"/>
  </r>
  <r>
    <x v="2"/>
    <x v="0"/>
    <x v="1"/>
    <x v="0"/>
    <x v="0"/>
    <x v="3"/>
    <x v="0"/>
    <x v="0"/>
    <x v="0"/>
    <x v="0"/>
    <x v="5"/>
    <x v="6"/>
    <s v="20"/>
    <x v="29"/>
    <x v="0"/>
    <x v="4"/>
    <x v="9"/>
    <n v="-9432.2800000000007"/>
  </r>
  <r>
    <x v="2"/>
    <x v="0"/>
    <x v="1"/>
    <x v="0"/>
    <x v="0"/>
    <x v="3"/>
    <x v="0"/>
    <x v="0"/>
    <x v="0"/>
    <x v="0"/>
    <x v="5"/>
    <x v="6"/>
    <s v="20"/>
    <x v="29"/>
    <x v="0"/>
    <x v="4"/>
    <x v="10"/>
    <n v="-11760.28"/>
  </r>
  <r>
    <x v="2"/>
    <x v="0"/>
    <x v="1"/>
    <x v="0"/>
    <x v="0"/>
    <x v="3"/>
    <x v="0"/>
    <x v="0"/>
    <x v="0"/>
    <x v="0"/>
    <x v="5"/>
    <x v="6"/>
    <s v="20"/>
    <x v="29"/>
    <x v="0"/>
    <x v="4"/>
    <x v="11"/>
    <n v="18031.330000000002"/>
  </r>
  <r>
    <x v="2"/>
    <x v="0"/>
    <x v="1"/>
    <x v="0"/>
    <x v="0"/>
    <x v="3"/>
    <x v="0"/>
    <x v="0"/>
    <x v="0"/>
    <x v="0"/>
    <x v="5"/>
    <x v="6"/>
    <s v="20"/>
    <x v="29"/>
    <x v="0"/>
    <x v="4"/>
    <x v="3"/>
    <n v="-15519"/>
  </r>
  <r>
    <x v="2"/>
    <x v="0"/>
    <x v="1"/>
    <x v="0"/>
    <x v="0"/>
    <x v="3"/>
    <x v="0"/>
    <x v="0"/>
    <x v="0"/>
    <x v="0"/>
    <x v="5"/>
    <x v="6"/>
    <s v="20"/>
    <x v="29"/>
    <x v="0"/>
    <x v="4"/>
    <x v="4"/>
    <n v="21008.23"/>
  </r>
  <r>
    <x v="2"/>
    <x v="0"/>
    <x v="1"/>
    <x v="0"/>
    <x v="0"/>
    <x v="3"/>
    <x v="0"/>
    <x v="0"/>
    <x v="0"/>
    <x v="0"/>
    <x v="5"/>
    <x v="6"/>
    <s v="20"/>
    <x v="29"/>
    <x v="0"/>
    <x v="4"/>
    <x v="7"/>
    <n v="3973.15"/>
  </r>
  <r>
    <x v="2"/>
    <x v="0"/>
    <x v="1"/>
    <x v="0"/>
    <x v="0"/>
    <x v="3"/>
    <x v="0"/>
    <x v="0"/>
    <x v="0"/>
    <x v="0"/>
    <x v="5"/>
    <x v="6"/>
    <s v="20"/>
    <x v="29"/>
    <x v="0"/>
    <x v="4"/>
    <x v="5"/>
    <n v="-3973.15"/>
  </r>
  <r>
    <x v="2"/>
    <x v="0"/>
    <x v="1"/>
    <x v="0"/>
    <x v="0"/>
    <x v="3"/>
    <x v="0"/>
    <x v="0"/>
    <x v="0"/>
    <x v="0"/>
    <x v="5"/>
    <x v="6"/>
    <s v="20"/>
    <x v="29"/>
    <x v="0"/>
    <x v="5"/>
    <x v="2"/>
    <n v="-2291.14"/>
  </r>
  <r>
    <x v="2"/>
    <x v="0"/>
    <x v="1"/>
    <x v="0"/>
    <x v="0"/>
    <x v="3"/>
    <x v="0"/>
    <x v="0"/>
    <x v="0"/>
    <x v="0"/>
    <x v="5"/>
    <x v="6"/>
    <s v="20"/>
    <x v="29"/>
    <x v="0"/>
    <x v="5"/>
    <x v="8"/>
    <n v="-15522.96"/>
  </r>
  <r>
    <x v="2"/>
    <x v="0"/>
    <x v="1"/>
    <x v="0"/>
    <x v="0"/>
    <x v="3"/>
    <x v="0"/>
    <x v="0"/>
    <x v="0"/>
    <x v="0"/>
    <x v="5"/>
    <x v="6"/>
    <s v="20"/>
    <x v="29"/>
    <x v="0"/>
    <x v="5"/>
    <x v="9"/>
    <n v="-6282.24"/>
  </r>
  <r>
    <x v="2"/>
    <x v="0"/>
    <x v="1"/>
    <x v="0"/>
    <x v="0"/>
    <x v="3"/>
    <x v="0"/>
    <x v="0"/>
    <x v="0"/>
    <x v="0"/>
    <x v="5"/>
    <x v="6"/>
    <s v="20"/>
    <x v="29"/>
    <x v="0"/>
    <x v="5"/>
    <x v="10"/>
    <n v="900"/>
  </r>
  <r>
    <x v="2"/>
    <x v="0"/>
    <x v="1"/>
    <x v="0"/>
    <x v="0"/>
    <x v="3"/>
    <x v="0"/>
    <x v="0"/>
    <x v="0"/>
    <x v="0"/>
    <x v="5"/>
    <x v="6"/>
    <s v="20"/>
    <x v="29"/>
    <x v="0"/>
    <x v="5"/>
    <x v="11"/>
    <n v="-25698.87"/>
  </r>
  <r>
    <x v="2"/>
    <x v="0"/>
    <x v="1"/>
    <x v="0"/>
    <x v="0"/>
    <x v="3"/>
    <x v="0"/>
    <x v="0"/>
    <x v="0"/>
    <x v="0"/>
    <x v="5"/>
    <x v="6"/>
    <s v="20"/>
    <x v="29"/>
    <x v="0"/>
    <x v="5"/>
    <x v="3"/>
    <n v="51216.21"/>
  </r>
  <r>
    <x v="2"/>
    <x v="0"/>
    <x v="1"/>
    <x v="0"/>
    <x v="0"/>
    <x v="3"/>
    <x v="0"/>
    <x v="0"/>
    <x v="0"/>
    <x v="0"/>
    <x v="5"/>
    <x v="6"/>
    <s v="20"/>
    <x v="29"/>
    <x v="0"/>
    <x v="5"/>
    <x v="4"/>
    <n v="-4810"/>
  </r>
  <r>
    <x v="2"/>
    <x v="0"/>
    <x v="1"/>
    <x v="0"/>
    <x v="0"/>
    <x v="3"/>
    <x v="0"/>
    <x v="0"/>
    <x v="0"/>
    <x v="0"/>
    <x v="5"/>
    <x v="6"/>
    <s v="20"/>
    <x v="29"/>
    <x v="0"/>
    <x v="5"/>
    <x v="7"/>
    <n v="4406"/>
  </r>
  <r>
    <x v="2"/>
    <x v="0"/>
    <x v="1"/>
    <x v="0"/>
    <x v="0"/>
    <x v="3"/>
    <x v="0"/>
    <x v="0"/>
    <x v="0"/>
    <x v="0"/>
    <x v="5"/>
    <x v="6"/>
    <s v="20"/>
    <x v="29"/>
    <x v="0"/>
    <x v="5"/>
    <x v="5"/>
    <n v="-1917"/>
  </r>
  <r>
    <x v="2"/>
    <x v="0"/>
    <x v="1"/>
    <x v="0"/>
    <x v="0"/>
    <x v="3"/>
    <x v="0"/>
    <x v="0"/>
    <x v="0"/>
    <x v="0"/>
    <x v="5"/>
    <x v="6"/>
    <s v="40"/>
    <x v="26"/>
    <x v="0"/>
    <x v="4"/>
    <x v="0"/>
    <n v="-1656.25"/>
  </r>
  <r>
    <x v="2"/>
    <x v="0"/>
    <x v="1"/>
    <x v="0"/>
    <x v="0"/>
    <x v="3"/>
    <x v="0"/>
    <x v="0"/>
    <x v="0"/>
    <x v="0"/>
    <x v="5"/>
    <x v="6"/>
    <s v="40"/>
    <x v="26"/>
    <x v="0"/>
    <x v="4"/>
    <x v="2"/>
    <n v="1793.55"/>
  </r>
  <r>
    <x v="2"/>
    <x v="0"/>
    <x v="1"/>
    <x v="0"/>
    <x v="0"/>
    <x v="3"/>
    <x v="0"/>
    <x v="0"/>
    <x v="0"/>
    <x v="0"/>
    <x v="5"/>
    <x v="6"/>
    <s v="40"/>
    <x v="26"/>
    <x v="0"/>
    <x v="4"/>
    <x v="8"/>
    <n v="-261.3"/>
  </r>
  <r>
    <x v="2"/>
    <x v="0"/>
    <x v="1"/>
    <x v="0"/>
    <x v="0"/>
    <x v="3"/>
    <x v="0"/>
    <x v="0"/>
    <x v="0"/>
    <x v="0"/>
    <x v="5"/>
    <x v="6"/>
    <s v="40"/>
    <x v="26"/>
    <x v="0"/>
    <x v="4"/>
    <x v="9"/>
    <n v="-4924.6000000000004"/>
  </r>
  <r>
    <x v="2"/>
    <x v="0"/>
    <x v="1"/>
    <x v="0"/>
    <x v="0"/>
    <x v="3"/>
    <x v="0"/>
    <x v="0"/>
    <x v="0"/>
    <x v="0"/>
    <x v="5"/>
    <x v="6"/>
    <s v="40"/>
    <x v="26"/>
    <x v="0"/>
    <x v="4"/>
    <x v="10"/>
    <n v="6607.6"/>
  </r>
  <r>
    <x v="2"/>
    <x v="0"/>
    <x v="1"/>
    <x v="0"/>
    <x v="0"/>
    <x v="3"/>
    <x v="0"/>
    <x v="0"/>
    <x v="0"/>
    <x v="0"/>
    <x v="5"/>
    <x v="6"/>
    <s v="40"/>
    <x v="26"/>
    <x v="0"/>
    <x v="4"/>
    <x v="11"/>
    <n v="-1304"/>
  </r>
  <r>
    <x v="2"/>
    <x v="0"/>
    <x v="1"/>
    <x v="0"/>
    <x v="0"/>
    <x v="3"/>
    <x v="0"/>
    <x v="0"/>
    <x v="0"/>
    <x v="0"/>
    <x v="5"/>
    <x v="6"/>
    <s v="40"/>
    <x v="26"/>
    <x v="0"/>
    <x v="4"/>
    <x v="3"/>
    <n v="-2420.75"/>
  </r>
  <r>
    <x v="2"/>
    <x v="0"/>
    <x v="1"/>
    <x v="0"/>
    <x v="0"/>
    <x v="3"/>
    <x v="0"/>
    <x v="0"/>
    <x v="0"/>
    <x v="0"/>
    <x v="5"/>
    <x v="6"/>
    <s v="40"/>
    <x v="26"/>
    <x v="0"/>
    <x v="4"/>
    <x v="4"/>
    <n v="1704.37"/>
  </r>
  <r>
    <x v="2"/>
    <x v="0"/>
    <x v="1"/>
    <x v="0"/>
    <x v="0"/>
    <x v="3"/>
    <x v="0"/>
    <x v="0"/>
    <x v="0"/>
    <x v="0"/>
    <x v="5"/>
    <x v="6"/>
    <s v="40"/>
    <x v="26"/>
    <x v="0"/>
    <x v="4"/>
    <x v="7"/>
    <n v="461.38"/>
  </r>
  <r>
    <x v="2"/>
    <x v="0"/>
    <x v="1"/>
    <x v="0"/>
    <x v="0"/>
    <x v="3"/>
    <x v="0"/>
    <x v="0"/>
    <x v="0"/>
    <x v="0"/>
    <x v="5"/>
    <x v="6"/>
    <s v="40"/>
    <x v="26"/>
    <x v="0"/>
    <x v="4"/>
    <x v="5"/>
    <n v="-2345.1999999999998"/>
  </r>
  <r>
    <x v="2"/>
    <x v="0"/>
    <x v="1"/>
    <x v="0"/>
    <x v="0"/>
    <x v="3"/>
    <x v="0"/>
    <x v="0"/>
    <x v="0"/>
    <x v="0"/>
    <x v="5"/>
    <x v="6"/>
    <s v="40"/>
    <x v="26"/>
    <x v="0"/>
    <x v="4"/>
    <x v="6"/>
    <n v="3074.7"/>
  </r>
  <r>
    <x v="2"/>
    <x v="0"/>
    <x v="1"/>
    <x v="0"/>
    <x v="0"/>
    <x v="3"/>
    <x v="0"/>
    <x v="0"/>
    <x v="0"/>
    <x v="0"/>
    <x v="5"/>
    <x v="6"/>
    <s v="40"/>
    <x v="26"/>
    <x v="0"/>
    <x v="4"/>
    <x v="1"/>
    <n v="-729.5"/>
  </r>
  <r>
    <x v="2"/>
    <x v="0"/>
    <x v="1"/>
    <x v="0"/>
    <x v="0"/>
    <x v="3"/>
    <x v="0"/>
    <x v="0"/>
    <x v="0"/>
    <x v="0"/>
    <x v="5"/>
    <x v="6"/>
    <s v="40"/>
    <x v="26"/>
    <x v="0"/>
    <x v="5"/>
    <x v="0"/>
    <n v="297.75"/>
  </r>
  <r>
    <x v="2"/>
    <x v="0"/>
    <x v="1"/>
    <x v="0"/>
    <x v="0"/>
    <x v="3"/>
    <x v="0"/>
    <x v="0"/>
    <x v="0"/>
    <x v="0"/>
    <x v="5"/>
    <x v="6"/>
    <s v="40"/>
    <x v="26"/>
    <x v="0"/>
    <x v="5"/>
    <x v="2"/>
    <n v="-136.55000000000001"/>
  </r>
  <r>
    <x v="2"/>
    <x v="0"/>
    <x v="1"/>
    <x v="0"/>
    <x v="0"/>
    <x v="3"/>
    <x v="0"/>
    <x v="0"/>
    <x v="0"/>
    <x v="0"/>
    <x v="5"/>
    <x v="6"/>
    <s v="40"/>
    <x v="26"/>
    <x v="0"/>
    <x v="5"/>
    <x v="8"/>
    <n v="-1839.7"/>
  </r>
  <r>
    <x v="2"/>
    <x v="0"/>
    <x v="1"/>
    <x v="0"/>
    <x v="0"/>
    <x v="3"/>
    <x v="0"/>
    <x v="0"/>
    <x v="0"/>
    <x v="0"/>
    <x v="5"/>
    <x v="6"/>
    <s v="40"/>
    <x v="26"/>
    <x v="0"/>
    <x v="5"/>
    <x v="9"/>
    <n v="-256.66000000000003"/>
  </r>
  <r>
    <x v="2"/>
    <x v="0"/>
    <x v="1"/>
    <x v="0"/>
    <x v="0"/>
    <x v="3"/>
    <x v="0"/>
    <x v="0"/>
    <x v="0"/>
    <x v="0"/>
    <x v="5"/>
    <x v="6"/>
    <s v="40"/>
    <x v="26"/>
    <x v="0"/>
    <x v="5"/>
    <x v="10"/>
    <n v="4716.41"/>
  </r>
  <r>
    <x v="2"/>
    <x v="0"/>
    <x v="1"/>
    <x v="0"/>
    <x v="0"/>
    <x v="3"/>
    <x v="0"/>
    <x v="0"/>
    <x v="0"/>
    <x v="0"/>
    <x v="5"/>
    <x v="6"/>
    <s v="40"/>
    <x v="26"/>
    <x v="0"/>
    <x v="5"/>
    <x v="11"/>
    <n v="-1236.5"/>
  </r>
  <r>
    <x v="2"/>
    <x v="0"/>
    <x v="1"/>
    <x v="0"/>
    <x v="0"/>
    <x v="3"/>
    <x v="0"/>
    <x v="0"/>
    <x v="0"/>
    <x v="0"/>
    <x v="5"/>
    <x v="6"/>
    <s v="40"/>
    <x v="26"/>
    <x v="0"/>
    <x v="5"/>
    <x v="3"/>
    <n v="-2026.55"/>
  </r>
  <r>
    <x v="2"/>
    <x v="0"/>
    <x v="1"/>
    <x v="0"/>
    <x v="0"/>
    <x v="3"/>
    <x v="0"/>
    <x v="0"/>
    <x v="0"/>
    <x v="0"/>
    <x v="5"/>
    <x v="6"/>
    <s v="40"/>
    <x v="26"/>
    <x v="0"/>
    <x v="5"/>
    <x v="4"/>
    <n v="2864.8"/>
  </r>
  <r>
    <x v="2"/>
    <x v="0"/>
    <x v="1"/>
    <x v="0"/>
    <x v="0"/>
    <x v="3"/>
    <x v="0"/>
    <x v="0"/>
    <x v="0"/>
    <x v="0"/>
    <x v="5"/>
    <x v="6"/>
    <s v="40"/>
    <x v="26"/>
    <x v="0"/>
    <x v="5"/>
    <x v="7"/>
    <n v="-668.85"/>
  </r>
  <r>
    <x v="2"/>
    <x v="0"/>
    <x v="1"/>
    <x v="0"/>
    <x v="0"/>
    <x v="3"/>
    <x v="0"/>
    <x v="0"/>
    <x v="0"/>
    <x v="0"/>
    <x v="5"/>
    <x v="6"/>
    <s v="40"/>
    <x v="26"/>
    <x v="0"/>
    <x v="5"/>
    <x v="5"/>
    <n v="-1651.65"/>
  </r>
  <r>
    <x v="2"/>
    <x v="0"/>
    <x v="1"/>
    <x v="0"/>
    <x v="0"/>
    <x v="3"/>
    <x v="0"/>
    <x v="0"/>
    <x v="0"/>
    <x v="0"/>
    <x v="5"/>
    <x v="6"/>
    <s v="40"/>
    <x v="26"/>
    <x v="0"/>
    <x v="5"/>
    <x v="6"/>
    <n v="-62.5"/>
  </r>
  <r>
    <x v="3"/>
    <x v="0"/>
    <x v="0"/>
    <x v="0"/>
    <x v="0"/>
    <x v="0"/>
    <x v="0"/>
    <x v="0"/>
    <x v="0"/>
    <x v="0"/>
    <x v="0"/>
    <x v="4"/>
    <s v="09"/>
    <x v="0"/>
    <x v="0"/>
    <x v="6"/>
    <x v="0"/>
    <n v="-12966.49"/>
  </r>
  <r>
    <x v="3"/>
    <x v="0"/>
    <x v="0"/>
    <x v="0"/>
    <x v="0"/>
    <x v="0"/>
    <x v="0"/>
    <x v="0"/>
    <x v="0"/>
    <x v="0"/>
    <x v="0"/>
    <x v="4"/>
    <s v="09"/>
    <x v="0"/>
    <x v="0"/>
    <x v="6"/>
    <x v="4"/>
    <n v="-88726.52"/>
  </r>
  <r>
    <x v="3"/>
    <x v="0"/>
    <x v="0"/>
    <x v="0"/>
    <x v="0"/>
    <x v="0"/>
    <x v="0"/>
    <x v="0"/>
    <x v="0"/>
    <x v="0"/>
    <x v="0"/>
    <x v="4"/>
    <s v="09"/>
    <x v="0"/>
    <x v="0"/>
    <x v="6"/>
    <x v="1"/>
    <n v="326647.53000000003"/>
  </r>
  <r>
    <x v="3"/>
    <x v="0"/>
    <x v="0"/>
    <x v="0"/>
    <x v="0"/>
    <x v="0"/>
    <x v="0"/>
    <x v="0"/>
    <x v="0"/>
    <x v="0"/>
    <x v="0"/>
    <x v="4"/>
    <s v="09"/>
    <x v="0"/>
    <x v="0"/>
    <x v="7"/>
    <x v="0"/>
    <n v="-177292.45"/>
  </r>
  <r>
    <x v="3"/>
    <x v="0"/>
    <x v="0"/>
    <x v="0"/>
    <x v="0"/>
    <x v="0"/>
    <x v="0"/>
    <x v="0"/>
    <x v="0"/>
    <x v="0"/>
    <x v="0"/>
    <x v="4"/>
    <s v="09"/>
    <x v="0"/>
    <x v="0"/>
    <x v="7"/>
    <x v="7"/>
    <n v="-149355.07999999999"/>
  </r>
  <r>
    <x v="3"/>
    <x v="0"/>
    <x v="0"/>
    <x v="0"/>
    <x v="0"/>
    <x v="0"/>
    <x v="0"/>
    <x v="0"/>
    <x v="0"/>
    <x v="0"/>
    <x v="0"/>
    <x v="4"/>
    <s v="09"/>
    <x v="0"/>
    <x v="0"/>
    <x v="7"/>
    <x v="1"/>
    <n v="46812.56"/>
  </r>
  <r>
    <x v="3"/>
    <x v="0"/>
    <x v="0"/>
    <x v="0"/>
    <x v="0"/>
    <x v="0"/>
    <x v="0"/>
    <x v="0"/>
    <x v="0"/>
    <x v="0"/>
    <x v="0"/>
    <x v="4"/>
    <s v="24"/>
    <x v="1"/>
    <x v="0"/>
    <x v="6"/>
    <x v="0"/>
    <n v="-700346.37"/>
  </r>
  <r>
    <x v="3"/>
    <x v="0"/>
    <x v="0"/>
    <x v="0"/>
    <x v="0"/>
    <x v="0"/>
    <x v="0"/>
    <x v="0"/>
    <x v="0"/>
    <x v="0"/>
    <x v="0"/>
    <x v="4"/>
    <s v="24"/>
    <x v="1"/>
    <x v="0"/>
    <x v="6"/>
    <x v="1"/>
    <n v="786460"/>
  </r>
  <r>
    <x v="3"/>
    <x v="0"/>
    <x v="0"/>
    <x v="0"/>
    <x v="0"/>
    <x v="0"/>
    <x v="0"/>
    <x v="0"/>
    <x v="0"/>
    <x v="0"/>
    <x v="0"/>
    <x v="4"/>
    <s v="24"/>
    <x v="1"/>
    <x v="0"/>
    <x v="7"/>
    <x v="0"/>
    <n v="-786460"/>
  </r>
  <r>
    <x v="3"/>
    <x v="0"/>
    <x v="0"/>
    <x v="0"/>
    <x v="0"/>
    <x v="0"/>
    <x v="0"/>
    <x v="0"/>
    <x v="0"/>
    <x v="0"/>
    <x v="0"/>
    <x v="4"/>
    <s v="24"/>
    <x v="1"/>
    <x v="0"/>
    <x v="7"/>
    <x v="1"/>
    <n v="855718.47"/>
  </r>
  <r>
    <x v="3"/>
    <x v="0"/>
    <x v="0"/>
    <x v="0"/>
    <x v="0"/>
    <x v="0"/>
    <x v="0"/>
    <x v="0"/>
    <x v="0"/>
    <x v="0"/>
    <x v="0"/>
    <x v="4"/>
    <s v="30"/>
    <x v="3"/>
    <x v="0"/>
    <x v="7"/>
    <x v="0"/>
    <n v="602.5"/>
  </r>
  <r>
    <x v="3"/>
    <x v="0"/>
    <x v="0"/>
    <x v="0"/>
    <x v="0"/>
    <x v="0"/>
    <x v="0"/>
    <x v="0"/>
    <x v="0"/>
    <x v="0"/>
    <x v="4"/>
    <x v="5"/>
    <s v="21"/>
    <x v="27"/>
    <x v="0"/>
    <x v="7"/>
    <x v="1"/>
    <n v="154941.60999999999"/>
  </r>
  <r>
    <x v="3"/>
    <x v="0"/>
    <x v="0"/>
    <x v="0"/>
    <x v="0"/>
    <x v="0"/>
    <x v="0"/>
    <x v="0"/>
    <x v="0"/>
    <x v="0"/>
    <x v="4"/>
    <x v="5"/>
    <s v="22"/>
    <x v="25"/>
    <x v="0"/>
    <x v="6"/>
    <x v="0"/>
    <n v="489509.28"/>
  </r>
  <r>
    <x v="3"/>
    <x v="0"/>
    <x v="0"/>
    <x v="0"/>
    <x v="0"/>
    <x v="0"/>
    <x v="0"/>
    <x v="0"/>
    <x v="0"/>
    <x v="0"/>
    <x v="4"/>
    <x v="5"/>
    <s v="22"/>
    <x v="25"/>
    <x v="0"/>
    <x v="6"/>
    <x v="1"/>
    <n v="-656215.99"/>
  </r>
  <r>
    <x v="3"/>
    <x v="0"/>
    <x v="0"/>
    <x v="0"/>
    <x v="0"/>
    <x v="0"/>
    <x v="0"/>
    <x v="0"/>
    <x v="0"/>
    <x v="0"/>
    <x v="4"/>
    <x v="5"/>
    <s v="22"/>
    <x v="25"/>
    <x v="0"/>
    <x v="7"/>
    <x v="0"/>
    <n v="656215.99"/>
  </r>
  <r>
    <x v="3"/>
    <x v="0"/>
    <x v="0"/>
    <x v="0"/>
    <x v="0"/>
    <x v="0"/>
    <x v="0"/>
    <x v="0"/>
    <x v="0"/>
    <x v="0"/>
    <x v="4"/>
    <x v="5"/>
    <s v="22"/>
    <x v="25"/>
    <x v="0"/>
    <x v="7"/>
    <x v="1"/>
    <n v="-154941.60999999999"/>
  </r>
  <r>
    <x v="3"/>
    <x v="0"/>
    <x v="0"/>
    <x v="0"/>
    <x v="0"/>
    <x v="5"/>
    <x v="0"/>
    <x v="0"/>
    <x v="0"/>
    <x v="0"/>
    <x v="0"/>
    <x v="4"/>
    <s v="85"/>
    <x v="21"/>
    <x v="0"/>
    <x v="6"/>
    <x v="1"/>
    <n v="12539"/>
  </r>
  <r>
    <x v="3"/>
    <x v="0"/>
    <x v="0"/>
    <x v="0"/>
    <x v="0"/>
    <x v="5"/>
    <x v="0"/>
    <x v="0"/>
    <x v="0"/>
    <x v="0"/>
    <x v="0"/>
    <x v="4"/>
    <s v="85"/>
    <x v="21"/>
    <x v="0"/>
    <x v="7"/>
    <x v="10"/>
    <n v="-25000"/>
  </r>
  <r>
    <x v="3"/>
    <x v="0"/>
    <x v="0"/>
    <x v="0"/>
    <x v="0"/>
    <x v="5"/>
    <x v="0"/>
    <x v="0"/>
    <x v="0"/>
    <x v="0"/>
    <x v="0"/>
    <x v="4"/>
    <s v="85"/>
    <x v="21"/>
    <x v="0"/>
    <x v="7"/>
    <x v="6"/>
    <n v="25000"/>
  </r>
  <r>
    <x v="3"/>
    <x v="0"/>
    <x v="0"/>
    <x v="0"/>
    <x v="0"/>
    <x v="2"/>
    <x v="0"/>
    <x v="0"/>
    <x v="0"/>
    <x v="0"/>
    <x v="0"/>
    <x v="4"/>
    <s v="20"/>
    <x v="7"/>
    <x v="0"/>
    <x v="6"/>
    <x v="2"/>
    <n v="-390"/>
  </r>
  <r>
    <x v="3"/>
    <x v="0"/>
    <x v="0"/>
    <x v="0"/>
    <x v="0"/>
    <x v="2"/>
    <x v="0"/>
    <x v="0"/>
    <x v="0"/>
    <x v="0"/>
    <x v="0"/>
    <x v="4"/>
    <s v="85"/>
    <x v="21"/>
    <x v="0"/>
    <x v="6"/>
    <x v="11"/>
    <n v="-22006"/>
  </r>
  <r>
    <x v="3"/>
    <x v="0"/>
    <x v="0"/>
    <x v="0"/>
    <x v="0"/>
    <x v="2"/>
    <x v="0"/>
    <x v="0"/>
    <x v="0"/>
    <x v="0"/>
    <x v="0"/>
    <x v="4"/>
    <s v="85"/>
    <x v="21"/>
    <x v="0"/>
    <x v="6"/>
    <x v="5"/>
    <n v="22006"/>
  </r>
  <r>
    <x v="3"/>
    <x v="0"/>
    <x v="0"/>
    <x v="0"/>
    <x v="0"/>
    <x v="3"/>
    <x v="0"/>
    <x v="0"/>
    <x v="0"/>
    <x v="1"/>
    <x v="1"/>
    <x v="8"/>
    <s v="41"/>
    <x v="4"/>
    <x v="0"/>
    <x v="6"/>
    <x v="10"/>
    <n v="28288.59"/>
  </r>
  <r>
    <x v="3"/>
    <x v="0"/>
    <x v="0"/>
    <x v="0"/>
    <x v="0"/>
    <x v="3"/>
    <x v="0"/>
    <x v="0"/>
    <x v="0"/>
    <x v="1"/>
    <x v="1"/>
    <x v="8"/>
    <s v="41"/>
    <x v="4"/>
    <x v="0"/>
    <x v="6"/>
    <x v="11"/>
    <n v="-23314.04"/>
  </r>
  <r>
    <x v="3"/>
    <x v="0"/>
    <x v="0"/>
    <x v="0"/>
    <x v="0"/>
    <x v="3"/>
    <x v="0"/>
    <x v="0"/>
    <x v="0"/>
    <x v="1"/>
    <x v="1"/>
    <x v="8"/>
    <s v="41"/>
    <x v="4"/>
    <x v="0"/>
    <x v="6"/>
    <x v="3"/>
    <n v="251015.8"/>
  </r>
  <r>
    <x v="3"/>
    <x v="0"/>
    <x v="0"/>
    <x v="0"/>
    <x v="0"/>
    <x v="3"/>
    <x v="0"/>
    <x v="0"/>
    <x v="0"/>
    <x v="1"/>
    <x v="1"/>
    <x v="8"/>
    <s v="41"/>
    <x v="4"/>
    <x v="0"/>
    <x v="6"/>
    <x v="4"/>
    <n v="-251684.24"/>
  </r>
  <r>
    <x v="3"/>
    <x v="0"/>
    <x v="0"/>
    <x v="0"/>
    <x v="0"/>
    <x v="3"/>
    <x v="0"/>
    <x v="0"/>
    <x v="0"/>
    <x v="1"/>
    <x v="1"/>
    <x v="8"/>
    <s v="41"/>
    <x v="4"/>
    <x v="0"/>
    <x v="6"/>
    <x v="7"/>
    <n v="-4306.1099999999997"/>
  </r>
  <r>
    <x v="3"/>
    <x v="0"/>
    <x v="0"/>
    <x v="0"/>
    <x v="0"/>
    <x v="3"/>
    <x v="0"/>
    <x v="0"/>
    <x v="0"/>
    <x v="1"/>
    <x v="1"/>
    <x v="8"/>
    <s v="41"/>
    <x v="4"/>
    <x v="0"/>
    <x v="6"/>
    <x v="5"/>
    <n v="39365.94"/>
  </r>
  <r>
    <x v="3"/>
    <x v="0"/>
    <x v="0"/>
    <x v="0"/>
    <x v="0"/>
    <x v="3"/>
    <x v="0"/>
    <x v="0"/>
    <x v="0"/>
    <x v="1"/>
    <x v="1"/>
    <x v="8"/>
    <s v="41"/>
    <x v="4"/>
    <x v="0"/>
    <x v="6"/>
    <x v="6"/>
    <n v="-39365.94"/>
  </r>
  <r>
    <x v="3"/>
    <x v="0"/>
    <x v="0"/>
    <x v="0"/>
    <x v="0"/>
    <x v="3"/>
    <x v="0"/>
    <x v="0"/>
    <x v="0"/>
    <x v="1"/>
    <x v="1"/>
    <x v="8"/>
    <s v="41"/>
    <x v="4"/>
    <x v="0"/>
    <x v="7"/>
    <x v="3"/>
    <n v="132311.35"/>
  </r>
  <r>
    <x v="3"/>
    <x v="0"/>
    <x v="0"/>
    <x v="0"/>
    <x v="0"/>
    <x v="3"/>
    <x v="0"/>
    <x v="0"/>
    <x v="0"/>
    <x v="1"/>
    <x v="1"/>
    <x v="8"/>
    <s v="41"/>
    <x v="4"/>
    <x v="0"/>
    <x v="7"/>
    <x v="4"/>
    <n v="-132311.35"/>
  </r>
  <r>
    <x v="3"/>
    <x v="0"/>
    <x v="0"/>
    <x v="0"/>
    <x v="0"/>
    <x v="3"/>
    <x v="0"/>
    <x v="0"/>
    <x v="0"/>
    <x v="1"/>
    <x v="1"/>
    <x v="8"/>
    <s v="41"/>
    <x v="4"/>
    <x v="0"/>
    <x v="7"/>
    <x v="6"/>
    <n v="10000"/>
  </r>
  <r>
    <x v="3"/>
    <x v="0"/>
    <x v="0"/>
    <x v="0"/>
    <x v="0"/>
    <x v="3"/>
    <x v="0"/>
    <x v="0"/>
    <x v="0"/>
    <x v="1"/>
    <x v="1"/>
    <x v="8"/>
    <s v="41"/>
    <x v="4"/>
    <x v="0"/>
    <x v="7"/>
    <x v="1"/>
    <n v="-10000"/>
  </r>
  <r>
    <x v="3"/>
    <x v="0"/>
    <x v="0"/>
    <x v="0"/>
    <x v="0"/>
    <x v="3"/>
    <x v="0"/>
    <x v="0"/>
    <x v="0"/>
    <x v="0"/>
    <x v="0"/>
    <x v="4"/>
    <s v="09"/>
    <x v="0"/>
    <x v="0"/>
    <x v="6"/>
    <x v="0"/>
    <n v="-1882.87"/>
  </r>
  <r>
    <x v="3"/>
    <x v="0"/>
    <x v="0"/>
    <x v="0"/>
    <x v="0"/>
    <x v="3"/>
    <x v="0"/>
    <x v="0"/>
    <x v="0"/>
    <x v="0"/>
    <x v="0"/>
    <x v="4"/>
    <s v="09"/>
    <x v="0"/>
    <x v="0"/>
    <x v="6"/>
    <x v="2"/>
    <n v="-4918.97"/>
  </r>
  <r>
    <x v="3"/>
    <x v="0"/>
    <x v="0"/>
    <x v="0"/>
    <x v="0"/>
    <x v="3"/>
    <x v="0"/>
    <x v="0"/>
    <x v="0"/>
    <x v="0"/>
    <x v="0"/>
    <x v="4"/>
    <s v="09"/>
    <x v="0"/>
    <x v="0"/>
    <x v="6"/>
    <x v="8"/>
    <n v="-4515.29"/>
  </r>
  <r>
    <x v="3"/>
    <x v="0"/>
    <x v="0"/>
    <x v="0"/>
    <x v="0"/>
    <x v="3"/>
    <x v="0"/>
    <x v="0"/>
    <x v="0"/>
    <x v="0"/>
    <x v="0"/>
    <x v="4"/>
    <s v="09"/>
    <x v="0"/>
    <x v="0"/>
    <x v="6"/>
    <x v="9"/>
    <n v="214.59"/>
  </r>
  <r>
    <x v="3"/>
    <x v="0"/>
    <x v="0"/>
    <x v="0"/>
    <x v="0"/>
    <x v="3"/>
    <x v="0"/>
    <x v="0"/>
    <x v="0"/>
    <x v="0"/>
    <x v="0"/>
    <x v="4"/>
    <s v="09"/>
    <x v="0"/>
    <x v="0"/>
    <x v="6"/>
    <x v="10"/>
    <n v="4453.21"/>
  </r>
  <r>
    <x v="3"/>
    <x v="0"/>
    <x v="0"/>
    <x v="0"/>
    <x v="0"/>
    <x v="3"/>
    <x v="0"/>
    <x v="0"/>
    <x v="0"/>
    <x v="0"/>
    <x v="0"/>
    <x v="4"/>
    <s v="09"/>
    <x v="0"/>
    <x v="0"/>
    <x v="6"/>
    <x v="11"/>
    <n v="26.55"/>
  </r>
  <r>
    <x v="3"/>
    <x v="0"/>
    <x v="0"/>
    <x v="0"/>
    <x v="0"/>
    <x v="3"/>
    <x v="0"/>
    <x v="0"/>
    <x v="0"/>
    <x v="0"/>
    <x v="0"/>
    <x v="4"/>
    <s v="09"/>
    <x v="0"/>
    <x v="0"/>
    <x v="6"/>
    <x v="3"/>
    <n v="1417.87"/>
  </r>
  <r>
    <x v="3"/>
    <x v="0"/>
    <x v="0"/>
    <x v="0"/>
    <x v="0"/>
    <x v="3"/>
    <x v="0"/>
    <x v="0"/>
    <x v="0"/>
    <x v="0"/>
    <x v="0"/>
    <x v="4"/>
    <s v="09"/>
    <x v="0"/>
    <x v="0"/>
    <x v="6"/>
    <x v="4"/>
    <n v="5312.58"/>
  </r>
  <r>
    <x v="3"/>
    <x v="0"/>
    <x v="0"/>
    <x v="0"/>
    <x v="0"/>
    <x v="3"/>
    <x v="0"/>
    <x v="0"/>
    <x v="0"/>
    <x v="0"/>
    <x v="0"/>
    <x v="4"/>
    <s v="09"/>
    <x v="0"/>
    <x v="0"/>
    <x v="6"/>
    <x v="7"/>
    <n v="379.23"/>
  </r>
  <r>
    <x v="3"/>
    <x v="0"/>
    <x v="0"/>
    <x v="0"/>
    <x v="0"/>
    <x v="3"/>
    <x v="0"/>
    <x v="0"/>
    <x v="0"/>
    <x v="0"/>
    <x v="0"/>
    <x v="4"/>
    <s v="09"/>
    <x v="0"/>
    <x v="0"/>
    <x v="6"/>
    <x v="5"/>
    <n v="622.53"/>
  </r>
  <r>
    <x v="3"/>
    <x v="0"/>
    <x v="0"/>
    <x v="0"/>
    <x v="0"/>
    <x v="3"/>
    <x v="0"/>
    <x v="0"/>
    <x v="0"/>
    <x v="0"/>
    <x v="0"/>
    <x v="4"/>
    <s v="09"/>
    <x v="0"/>
    <x v="0"/>
    <x v="6"/>
    <x v="6"/>
    <n v="4100.53"/>
  </r>
  <r>
    <x v="3"/>
    <x v="0"/>
    <x v="0"/>
    <x v="0"/>
    <x v="0"/>
    <x v="3"/>
    <x v="0"/>
    <x v="0"/>
    <x v="0"/>
    <x v="0"/>
    <x v="0"/>
    <x v="4"/>
    <s v="09"/>
    <x v="0"/>
    <x v="0"/>
    <x v="6"/>
    <x v="1"/>
    <n v="28448.84"/>
  </r>
  <r>
    <x v="3"/>
    <x v="0"/>
    <x v="0"/>
    <x v="0"/>
    <x v="0"/>
    <x v="3"/>
    <x v="0"/>
    <x v="0"/>
    <x v="0"/>
    <x v="0"/>
    <x v="0"/>
    <x v="4"/>
    <s v="09"/>
    <x v="0"/>
    <x v="0"/>
    <x v="7"/>
    <x v="0"/>
    <n v="-3171.02"/>
  </r>
  <r>
    <x v="3"/>
    <x v="0"/>
    <x v="0"/>
    <x v="0"/>
    <x v="0"/>
    <x v="3"/>
    <x v="0"/>
    <x v="0"/>
    <x v="0"/>
    <x v="0"/>
    <x v="0"/>
    <x v="4"/>
    <s v="09"/>
    <x v="0"/>
    <x v="0"/>
    <x v="7"/>
    <x v="2"/>
    <n v="4045.39"/>
  </r>
  <r>
    <x v="3"/>
    <x v="0"/>
    <x v="0"/>
    <x v="0"/>
    <x v="0"/>
    <x v="3"/>
    <x v="0"/>
    <x v="0"/>
    <x v="0"/>
    <x v="0"/>
    <x v="0"/>
    <x v="4"/>
    <s v="09"/>
    <x v="0"/>
    <x v="0"/>
    <x v="7"/>
    <x v="8"/>
    <n v="617.29"/>
  </r>
  <r>
    <x v="3"/>
    <x v="0"/>
    <x v="0"/>
    <x v="0"/>
    <x v="0"/>
    <x v="3"/>
    <x v="0"/>
    <x v="0"/>
    <x v="0"/>
    <x v="0"/>
    <x v="0"/>
    <x v="4"/>
    <s v="09"/>
    <x v="0"/>
    <x v="0"/>
    <x v="7"/>
    <x v="9"/>
    <n v="5459.46"/>
  </r>
  <r>
    <x v="3"/>
    <x v="0"/>
    <x v="0"/>
    <x v="0"/>
    <x v="0"/>
    <x v="3"/>
    <x v="0"/>
    <x v="0"/>
    <x v="0"/>
    <x v="0"/>
    <x v="0"/>
    <x v="4"/>
    <s v="09"/>
    <x v="0"/>
    <x v="0"/>
    <x v="7"/>
    <x v="10"/>
    <n v="-4039.23"/>
  </r>
  <r>
    <x v="3"/>
    <x v="0"/>
    <x v="0"/>
    <x v="0"/>
    <x v="0"/>
    <x v="3"/>
    <x v="0"/>
    <x v="0"/>
    <x v="0"/>
    <x v="0"/>
    <x v="0"/>
    <x v="4"/>
    <s v="09"/>
    <x v="0"/>
    <x v="0"/>
    <x v="7"/>
    <x v="11"/>
    <n v="-1376.52"/>
  </r>
  <r>
    <x v="3"/>
    <x v="0"/>
    <x v="0"/>
    <x v="0"/>
    <x v="0"/>
    <x v="3"/>
    <x v="0"/>
    <x v="0"/>
    <x v="0"/>
    <x v="0"/>
    <x v="0"/>
    <x v="4"/>
    <s v="09"/>
    <x v="0"/>
    <x v="0"/>
    <x v="7"/>
    <x v="3"/>
    <n v="132.58000000000001"/>
  </r>
  <r>
    <x v="3"/>
    <x v="0"/>
    <x v="0"/>
    <x v="0"/>
    <x v="0"/>
    <x v="3"/>
    <x v="0"/>
    <x v="0"/>
    <x v="0"/>
    <x v="0"/>
    <x v="0"/>
    <x v="4"/>
    <s v="09"/>
    <x v="0"/>
    <x v="0"/>
    <x v="7"/>
    <x v="4"/>
    <n v="-1673.15"/>
  </r>
  <r>
    <x v="3"/>
    <x v="0"/>
    <x v="0"/>
    <x v="0"/>
    <x v="0"/>
    <x v="3"/>
    <x v="0"/>
    <x v="0"/>
    <x v="0"/>
    <x v="0"/>
    <x v="0"/>
    <x v="4"/>
    <s v="09"/>
    <x v="0"/>
    <x v="0"/>
    <x v="7"/>
    <x v="7"/>
    <n v="4391.93"/>
  </r>
  <r>
    <x v="3"/>
    <x v="0"/>
    <x v="0"/>
    <x v="0"/>
    <x v="0"/>
    <x v="3"/>
    <x v="0"/>
    <x v="0"/>
    <x v="0"/>
    <x v="0"/>
    <x v="0"/>
    <x v="4"/>
    <s v="09"/>
    <x v="0"/>
    <x v="0"/>
    <x v="7"/>
    <x v="5"/>
    <n v="3479.77"/>
  </r>
  <r>
    <x v="3"/>
    <x v="0"/>
    <x v="0"/>
    <x v="0"/>
    <x v="0"/>
    <x v="3"/>
    <x v="0"/>
    <x v="0"/>
    <x v="0"/>
    <x v="0"/>
    <x v="0"/>
    <x v="4"/>
    <s v="09"/>
    <x v="0"/>
    <x v="0"/>
    <x v="7"/>
    <x v="6"/>
    <n v="2739.95"/>
  </r>
  <r>
    <x v="3"/>
    <x v="0"/>
    <x v="0"/>
    <x v="0"/>
    <x v="0"/>
    <x v="3"/>
    <x v="0"/>
    <x v="0"/>
    <x v="0"/>
    <x v="0"/>
    <x v="0"/>
    <x v="4"/>
    <s v="09"/>
    <x v="0"/>
    <x v="0"/>
    <x v="7"/>
    <x v="1"/>
    <n v="11307.31"/>
  </r>
  <r>
    <x v="3"/>
    <x v="0"/>
    <x v="0"/>
    <x v="0"/>
    <x v="0"/>
    <x v="3"/>
    <x v="0"/>
    <x v="0"/>
    <x v="0"/>
    <x v="0"/>
    <x v="0"/>
    <x v="4"/>
    <s v="20"/>
    <x v="7"/>
    <x v="0"/>
    <x v="7"/>
    <x v="0"/>
    <n v="2000"/>
  </r>
  <r>
    <x v="3"/>
    <x v="0"/>
    <x v="0"/>
    <x v="0"/>
    <x v="0"/>
    <x v="3"/>
    <x v="0"/>
    <x v="0"/>
    <x v="0"/>
    <x v="0"/>
    <x v="0"/>
    <x v="4"/>
    <s v="20"/>
    <x v="7"/>
    <x v="0"/>
    <x v="7"/>
    <x v="8"/>
    <n v="-4000"/>
  </r>
  <r>
    <x v="3"/>
    <x v="0"/>
    <x v="0"/>
    <x v="0"/>
    <x v="0"/>
    <x v="3"/>
    <x v="0"/>
    <x v="0"/>
    <x v="0"/>
    <x v="0"/>
    <x v="0"/>
    <x v="4"/>
    <s v="20"/>
    <x v="7"/>
    <x v="0"/>
    <x v="7"/>
    <x v="10"/>
    <n v="2000"/>
  </r>
  <r>
    <x v="3"/>
    <x v="0"/>
    <x v="0"/>
    <x v="0"/>
    <x v="0"/>
    <x v="3"/>
    <x v="0"/>
    <x v="0"/>
    <x v="0"/>
    <x v="0"/>
    <x v="0"/>
    <x v="4"/>
    <s v="20"/>
    <x v="7"/>
    <x v="0"/>
    <x v="7"/>
    <x v="7"/>
    <n v="200"/>
  </r>
  <r>
    <x v="3"/>
    <x v="0"/>
    <x v="0"/>
    <x v="0"/>
    <x v="0"/>
    <x v="3"/>
    <x v="0"/>
    <x v="0"/>
    <x v="0"/>
    <x v="0"/>
    <x v="0"/>
    <x v="4"/>
    <s v="20"/>
    <x v="7"/>
    <x v="0"/>
    <x v="7"/>
    <x v="6"/>
    <n v="-200"/>
  </r>
  <r>
    <x v="3"/>
    <x v="0"/>
    <x v="0"/>
    <x v="0"/>
    <x v="0"/>
    <x v="3"/>
    <x v="0"/>
    <x v="0"/>
    <x v="0"/>
    <x v="0"/>
    <x v="0"/>
    <x v="4"/>
    <s v="24"/>
    <x v="1"/>
    <x v="0"/>
    <x v="6"/>
    <x v="0"/>
    <n v="1690391.57"/>
  </r>
  <r>
    <x v="3"/>
    <x v="0"/>
    <x v="0"/>
    <x v="0"/>
    <x v="0"/>
    <x v="3"/>
    <x v="0"/>
    <x v="0"/>
    <x v="0"/>
    <x v="0"/>
    <x v="0"/>
    <x v="4"/>
    <s v="24"/>
    <x v="1"/>
    <x v="0"/>
    <x v="6"/>
    <x v="2"/>
    <n v="-267808.84999999998"/>
  </r>
  <r>
    <x v="3"/>
    <x v="0"/>
    <x v="0"/>
    <x v="0"/>
    <x v="0"/>
    <x v="3"/>
    <x v="0"/>
    <x v="0"/>
    <x v="0"/>
    <x v="0"/>
    <x v="0"/>
    <x v="4"/>
    <s v="24"/>
    <x v="1"/>
    <x v="0"/>
    <x v="6"/>
    <x v="8"/>
    <n v="-229643.04"/>
  </r>
  <r>
    <x v="3"/>
    <x v="0"/>
    <x v="0"/>
    <x v="0"/>
    <x v="0"/>
    <x v="3"/>
    <x v="0"/>
    <x v="0"/>
    <x v="0"/>
    <x v="0"/>
    <x v="0"/>
    <x v="4"/>
    <s v="24"/>
    <x v="1"/>
    <x v="0"/>
    <x v="6"/>
    <x v="9"/>
    <n v="-163002.68"/>
  </r>
  <r>
    <x v="3"/>
    <x v="0"/>
    <x v="0"/>
    <x v="0"/>
    <x v="0"/>
    <x v="3"/>
    <x v="0"/>
    <x v="0"/>
    <x v="0"/>
    <x v="0"/>
    <x v="0"/>
    <x v="4"/>
    <s v="24"/>
    <x v="1"/>
    <x v="0"/>
    <x v="6"/>
    <x v="10"/>
    <n v="747702.37"/>
  </r>
  <r>
    <x v="3"/>
    <x v="0"/>
    <x v="0"/>
    <x v="0"/>
    <x v="0"/>
    <x v="3"/>
    <x v="0"/>
    <x v="0"/>
    <x v="0"/>
    <x v="0"/>
    <x v="0"/>
    <x v="4"/>
    <s v="24"/>
    <x v="1"/>
    <x v="0"/>
    <x v="6"/>
    <x v="11"/>
    <n v="-749017.98"/>
  </r>
  <r>
    <x v="3"/>
    <x v="0"/>
    <x v="0"/>
    <x v="0"/>
    <x v="0"/>
    <x v="3"/>
    <x v="0"/>
    <x v="0"/>
    <x v="0"/>
    <x v="0"/>
    <x v="0"/>
    <x v="4"/>
    <s v="24"/>
    <x v="1"/>
    <x v="0"/>
    <x v="6"/>
    <x v="3"/>
    <n v="-293521.48"/>
  </r>
  <r>
    <x v="3"/>
    <x v="0"/>
    <x v="0"/>
    <x v="0"/>
    <x v="0"/>
    <x v="3"/>
    <x v="0"/>
    <x v="0"/>
    <x v="0"/>
    <x v="0"/>
    <x v="0"/>
    <x v="4"/>
    <s v="24"/>
    <x v="1"/>
    <x v="0"/>
    <x v="6"/>
    <x v="4"/>
    <n v="-161074.48000000001"/>
  </r>
  <r>
    <x v="3"/>
    <x v="0"/>
    <x v="0"/>
    <x v="0"/>
    <x v="0"/>
    <x v="3"/>
    <x v="0"/>
    <x v="0"/>
    <x v="0"/>
    <x v="0"/>
    <x v="0"/>
    <x v="4"/>
    <s v="24"/>
    <x v="1"/>
    <x v="0"/>
    <x v="6"/>
    <x v="7"/>
    <n v="2010310.53"/>
  </r>
  <r>
    <x v="3"/>
    <x v="0"/>
    <x v="0"/>
    <x v="0"/>
    <x v="0"/>
    <x v="3"/>
    <x v="0"/>
    <x v="0"/>
    <x v="0"/>
    <x v="0"/>
    <x v="0"/>
    <x v="4"/>
    <s v="24"/>
    <x v="1"/>
    <x v="0"/>
    <x v="6"/>
    <x v="5"/>
    <n v="-1938695.68"/>
  </r>
  <r>
    <x v="3"/>
    <x v="0"/>
    <x v="0"/>
    <x v="0"/>
    <x v="0"/>
    <x v="3"/>
    <x v="0"/>
    <x v="0"/>
    <x v="0"/>
    <x v="0"/>
    <x v="0"/>
    <x v="4"/>
    <s v="24"/>
    <x v="1"/>
    <x v="0"/>
    <x v="6"/>
    <x v="6"/>
    <n v="-398.95"/>
  </r>
  <r>
    <x v="3"/>
    <x v="0"/>
    <x v="0"/>
    <x v="0"/>
    <x v="0"/>
    <x v="3"/>
    <x v="0"/>
    <x v="0"/>
    <x v="0"/>
    <x v="0"/>
    <x v="0"/>
    <x v="4"/>
    <s v="24"/>
    <x v="1"/>
    <x v="0"/>
    <x v="6"/>
    <x v="1"/>
    <n v="-636093.23"/>
  </r>
  <r>
    <x v="3"/>
    <x v="0"/>
    <x v="0"/>
    <x v="0"/>
    <x v="0"/>
    <x v="3"/>
    <x v="0"/>
    <x v="0"/>
    <x v="0"/>
    <x v="0"/>
    <x v="0"/>
    <x v="4"/>
    <s v="24"/>
    <x v="1"/>
    <x v="0"/>
    <x v="7"/>
    <x v="0"/>
    <n v="1637694.29"/>
  </r>
  <r>
    <x v="3"/>
    <x v="0"/>
    <x v="0"/>
    <x v="0"/>
    <x v="0"/>
    <x v="3"/>
    <x v="0"/>
    <x v="0"/>
    <x v="0"/>
    <x v="0"/>
    <x v="0"/>
    <x v="4"/>
    <s v="24"/>
    <x v="1"/>
    <x v="0"/>
    <x v="7"/>
    <x v="2"/>
    <n v="-428372.4"/>
  </r>
  <r>
    <x v="3"/>
    <x v="0"/>
    <x v="0"/>
    <x v="0"/>
    <x v="0"/>
    <x v="3"/>
    <x v="0"/>
    <x v="0"/>
    <x v="0"/>
    <x v="0"/>
    <x v="0"/>
    <x v="4"/>
    <s v="24"/>
    <x v="1"/>
    <x v="0"/>
    <x v="7"/>
    <x v="8"/>
    <n v="-43511.58"/>
  </r>
  <r>
    <x v="3"/>
    <x v="0"/>
    <x v="0"/>
    <x v="0"/>
    <x v="0"/>
    <x v="3"/>
    <x v="0"/>
    <x v="0"/>
    <x v="0"/>
    <x v="0"/>
    <x v="0"/>
    <x v="4"/>
    <s v="24"/>
    <x v="1"/>
    <x v="0"/>
    <x v="7"/>
    <x v="9"/>
    <n v="-1056402.54"/>
  </r>
  <r>
    <x v="3"/>
    <x v="0"/>
    <x v="0"/>
    <x v="0"/>
    <x v="0"/>
    <x v="3"/>
    <x v="0"/>
    <x v="0"/>
    <x v="0"/>
    <x v="0"/>
    <x v="0"/>
    <x v="4"/>
    <s v="24"/>
    <x v="1"/>
    <x v="0"/>
    <x v="7"/>
    <x v="10"/>
    <n v="1330391.74"/>
  </r>
  <r>
    <x v="3"/>
    <x v="0"/>
    <x v="0"/>
    <x v="0"/>
    <x v="0"/>
    <x v="3"/>
    <x v="0"/>
    <x v="0"/>
    <x v="0"/>
    <x v="0"/>
    <x v="0"/>
    <x v="4"/>
    <s v="24"/>
    <x v="1"/>
    <x v="0"/>
    <x v="7"/>
    <x v="11"/>
    <n v="-335368.23"/>
  </r>
  <r>
    <x v="3"/>
    <x v="0"/>
    <x v="0"/>
    <x v="0"/>
    <x v="0"/>
    <x v="3"/>
    <x v="0"/>
    <x v="0"/>
    <x v="0"/>
    <x v="0"/>
    <x v="0"/>
    <x v="4"/>
    <s v="24"/>
    <x v="1"/>
    <x v="0"/>
    <x v="7"/>
    <x v="3"/>
    <n v="-697328.08"/>
  </r>
  <r>
    <x v="3"/>
    <x v="0"/>
    <x v="0"/>
    <x v="0"/>
    <x v="0"/>
    <x v="3"/>
    <x v="0"/>
    <x v="0"/>
    <x v="0"/>
    <x v="0"/>
    <x v="0"/>
    <x v="4"/>
    <s v="24"/>
    <x v="1"/>
    <x v="0"/>
    <x v="7"/>
    <x v="4"/>
    <n v="94540.31"/>
  </r>
  <r>
    <x v="3"/>
    <x v="0"/>
    <x v="0"/>
    <x v="0"/>
    <x v="0"/>
    <x v="3"/>
    <x v="0"/>
    <x v="0"/>
    <x v="0"/>
    <x v="0"/>
    <x v="0"/>
    <x v="4"/>
    <s v="24"/>
    <x v="1"/>
    <x v="0"/>
    <x v="7"/>
    <x v="7"/>
    <n v="1740363.06"/>
  </r>
  <r>
    <x v="3"/>
    <x v="0"/>
    <x v="0"/>
    <x v="0"/>
    <x v="0"/>
    <x v="3"/>
    <x v="0"/>
    <x v="0"/>
    <x v="0"/>
    <x v="0"/>
    <x v="0"/>
    <x v="4"/>
    <s v="24"/>
    <x v="1"/>
    <x v="0"/>
    <x v="7"/>
    <x v="5"/>
    <n v="-1922124.21"/>
  </r>
  <r>
    <x v="3"/>
    <x v="0"/>
    <x v="0"/>
    <x v="0"/>
    <x v="0"/>
    <x v="3"/>
    <x v="0"/>
    <x v="0"/>
    <x v="0"/>
    <x v="0"/>
    <x v="0"/>
    <x v="4"/>
    <s v="24"/>
    <x v="1"/>
    <x v="0"/>
    <x v="7"/>
    <x v="6"/>
    <n v="-20084.169999999998"/>
  </r>
  <r>
    <x v="3"/>
    <x v="0"/>
    <x v="0"/>
    <x v="0"/>
    <x v="0"/>
    <x v="3"/>
    <x v="0"/>
    <x v="0"/>
    <x v="0"/>
    <x v="0"/>
    <x v="0"/>
    <x v="4"/>
    <s v="24"/>
    <x v="1"/>
    <x v="0"/>
    <x v="7"/>
    <x v="1"/>
    <n v="-400358.82"/>
  </r>
  <r>
    <x v="3"/>
    <x v="0"/>
    <x v="0"/>
    <x v="0"/>
    <x v="0"/>
    <x v="3"/>
    <x v="0"/>
    <x v="0"/>
    <x v="0"/>
    <x v="0"/>
    <x v="0"/>
    <x v="4"/>
    <s v="30"/>
    <x v="3"/>
    <x v="0"/>
    <x v="7"/>
    <x v="0"/>
    <n v="53.5"/>
  </r>
  <r>
    <x v="3"/>
    <x v="0"/>
    <x v="0"/>
    <x v="0"/>
    <x v="0"/>
    <x v="3"/>
    <x v="0"/>
    <x v="0"/>
    <x v="0"/>
    <x v="0"/>
    <x v="0"/>
    <x v="4"/>
    <s v="30"/>
    <x v="3"/>
    <x v="0"/>
    <x v="7"/>
    <x v="8"/>
    <n v="-53.5"/>
  </r>
  <r>
    <x v="3"/>
    <x v="0"/>
    <x v="0"/>
    <x v="0"/>
    <x v="0"/>
    <x v="3"/>
    <x v="0"/>
    <x v="0"/>
    <x v="0"/>
    <x v="0"/>
    <x v="0"/>
    <x v="4"/>
    <s v="30"/>
    <x v="3"/>
    <x v="0"/>
    <x v="7"/>
    <x v="4"/>
    <n v="4000"/>
  </r>
  <r>
    <x v="3"/>
    <x v="0"/>
    <x v="0"/>
    <x v="0"/>
    <x v="0"/>
    <x v="3"/>
    <x v="0"/>
    <x v="0"/>
    <x v="0"/>
    <x v="0"/>
    <x v="0"/>
    <x v="4"/>
    <s v="30"/>
    <x v="3"/>
    <x v="0"/>
    <x v="7"/>
    <x v="6"/>
    <n v="-4000"/>
  </r>
  <r>
    <x v="3"/>
    <x v="0"/>
    <x v="0"/>
    <x v="0"/>
    <x v="0"/>
    <x v="3"/>
    <x v="0"/>
    <x v="0"/>
    <x v="0"/>
    <x v="0"/>
    <x v="0"/>
    <x v="4"/>
    <s v="85"/>
    <x v="21"/>
    <x v="0"/>
    <x v="6"/>
    <x v="0"/>
    <n v="-214.72"/>
  </r>
  <r>
    <x v="3"/>
    <x v="0"/>
    <x v="0"/>
    <x v="0"/>
    <x v="0"/>
    <x v="3"/>
    <x v="0"/>
    <x v="0"/>
    <x v="0"/>
    <x v="0"/>
    <x v="0"/>
    <x v="4"/>
    <s v="85"/>
    <x v="21"/>
    <x v="0"/>
    <x v="6"/>
    <x v="2"/>
    <n v="-2584.2600000000002"/>
  </r>
  <r>
    <x v="3"/>
    <x v="0"/>
    <x v="0"/>
    <x v="0"/>
    <x v="0"/>
    <x v="3"/>
    <x v="0"/>
    <x v="0"/>
    <x v="0"/>
    <x v="0"/>
    <x v="0"/>
    <x v="4"/>
    <s v="85"/>
    <x v="21"/>
    <x v="0"/>
    <x v="6"/>
    <x v="8"/>
    <n v="868.83"/>
  </r>
  <r>
    <x v="3"/>
    <x v="0"/>
    <x v="0"/>
    <x v="0"/>
    <x v="0"/>
    <x v="3"/>
    <x v="0"/>
    <x v="0"/>
    <x v="0"/>
    <x v="0"/>
    <x v="0"/>
    <x v="4"/>
    <s v="85"/>
    <x v="21"/>
    <x v="0"/>
    <x v="6"/>
    <x v="9"/>
    <n v="503.66"/>
  </r>
  <r>
    <x v="3"/>
    <x v="0"/>
    <x v="0"/>
    <x v="0"/>
    <x v="0"/>
    <x v="3"/>
    <x v="0"/>
    <x v="0"/>
    <x v="0"/>
    <x v="0"/>
    <x v="0"/>
    <x v="4"/>
    <s v="85"/>
    <x v="21"/>
    <x v="0"/>
    <x v="6"/>
    <x v="10"/>
    <n v="-2233.75"/>
  </r>
  <r>
    <x v="3"/>
    <x v="0"/>
    <x v="0"/>
    <x v="0"/>
    <x v="0"/>
    <x v="3"/>
    <x v="0"/>
    <x v="0"/>
    <x v="0"/>
    <x v="0"/>
    <x v="0"/>
    <x v="4"/>
    <s v="85"/>
    <x v="21"/>
    <x v="0"/>
    <x v="6"/>
    <x v="11"/>
    <n v="-74468.3"/>
  </r>
  <r>
    <x v="3"/>
    <x v="0"/>
    <x v="0"/>
    <x v="0"/>
    <x v="0"/>
    <x v="3"/>
    <x v="0"/>
    <x v="0"/>
    <x v="0"/>
    <x v="0"/>
    <x v="0"/>
    <x v="4"/>
    <s v="85"/>
    <x v="21"/>
    <x v="0"/>
    <x v="6"/>
    <x v="3"/>
    <n v="1950742.5"/>
  </r>
  <r>
    <x v="3"/>
    <x v="0"/>
    <x v="0"/>
    <x v="0"/>
    <x v="0"/>
    <x v="3"/>
    <x v="0"/>
    <x v="0"/>
    <x v="0"/>
    <x v="0"/>
    <x v="0"/>
    <x v="4"/>
    <s v="85"/>
    <x v="21"/>
    <x v="0"/>
    <x v="6"/>
    <x v="4"/>
    <n v="-756.89"/>
  </r>
  <r>
    <x v="3"/>
    <x v="0"/>
    <x v="0"/>
    <x v="0"/>
    <x v="0"/>
    <x v="3"/>
    <x v="0"/>
    <x v="0"/>
    <x v="0"/>
    <x v="0"/>
    <x v="0"/>
    <x v="4"/>
    <s v="85"/>
    <x v="21"/>
    <x v="0"/>
    <x v="6"/>
    <x v="7"/>
    <n v="-9214.8799999999992"/>
  </r>
  <r>
    <x v="3"/>
    <x v="0"/>
    <x v="0"/>
    <x v="0"/>
    <x v="0"/>
    <x v="3"/>
    <x v="0"/>
    <x v="0"/>
    <x v="0"/>
    <x v="0"/>
    <x v="0"/>
    <x v="4"/>
    <s v="85"/>
    <x v="21"/>
    <x v="0"/>
    <x v="6"/>
    <x v="5"/>
    <n v="13417.69"/>
  </r>
  <r>
    <x v="3"/>
    <x v="0"/>
    <x v="0"/>
    <x v="0"/>
    <x v="0"/>
    <x v="3"/>
    <x v="0"/>
    <x v="0"/>
    <x v="0"/>
    <x v="0"/>
    <x v="0"/>
    <x v="4"/>
    <s v="85"/>
    <x v="21"/>
    <x v="0"/>
    <x v="6"/>
    <x v="6"/>
    <n v="-4999.51"/>
  </r>
  <r>
    <x v="3"/>
    <x v="0"/>
    <x v="0"/>
    <x v="0"/>
    <x v="0"/>
    <x v="3"/>
    <x v="0"/>
    <x v="0"/>
    <x v="0"/>
    <x v="0"/>
    <x v="0"/>
    <x v="4"/>
    <s v="85"/>
    <x v="21"/>
    <x v="0"/>
    <x v="6"/>
    <x v="1"/>
    <n v="21651.63"/>
  </r>
  <r>
    <x v="3"/>
    <x v="0"/>
    <x v="0"/>
    <x v="0"/>
    <x v="0"/>
    <x v="3"/>
    <x v="0"/>
    <x v="0"/>
    <x v="0"/>
    <x v="0"/>
    <x v="0"/>
    <x v="4"/>
    <s v="85"/>
    <x v="21"/>
    <x v="0"/>
    <x v="7"/>
    <x v="0"/>
    <n v="4656"/>
  </r>
  <r>
    <x v="3"/>
    <x v="0"/>
    <x v="0"/>
    <x v="0"/>
    <x v="0"/>
    <x v="3"/>
    <x v="0"/>
    <x v="0"/>
    <x v="0"/>
    <x v="0"/>
    <x v="0"/>
    <x v="4"/>
    <s v="85"/>
    <x v="21"/>
    <x v="0"/>
    <x v="7"/>
    <x v="2"/>
    <n v="13655.38"/>
  </r>
  <r>
    <x v="3"/>
    <x v="0"/>
    <x v="0"/>
    <x v="0"/>
    <x v="0"/>
    <x v="3"/>
    <x v="0"/>
    <x v="0"/>
    <x v="0"/>
    <x v="0"/>
    <x v="0"/>
    <x v="4"/>
    <s v="85"/>
    <x v="21"/>
    <x v="0"/>
    <x v="7"/>
    <x v="8"/>
    <n v="1012.96"/>
  </r>
  <r>
    <x v="3"/>
    <x v="0"/>
    <x v="0"/>
    <x v="0"/>
    <x v="0"/>
    <x v="3"/>
    <x v="0"/>
    <x v="0"/>
    <x v="0"/>
    <x v="0"/>
    <x v="0"/>
    <x v="4"/>
    <s v="85"/>
    <x v="21"/>
    <x v="0"/>
    <x v="7"/>
    <x v="9"/>
    <n v="4605.5"/>
  </r>
  <r>
    <x v="3"/>
    <x v="0"/>
    <x v="0"/>
    <x v="0"/>
    <x v="0"/>
    <x v="3"/>
    <x v="0"/>
    <x v="0"/>
    <x v="0"/>
    <x v="0"/>
    <x v="0"/>
    <x v="4"/>
    <s v="85"/>
    <x v="21"/>
    <x v="0"/>
    <x v="7"/>
    <x v="10"/>
    <n v="-8732.6"/>
  </r>
  <r>
    <x v="3"/>
    <x v="0"/>
    <x v="0"/>
    <x v="0"/>
    <x v="0"/>
    <x v="3"/>
    <x v="0"/>
    <x v="0"/>
    <x v="0"/>
    <x v="0"/>
    <x v="0"/>
    <x v="4"/>
    <s v="85"/>
    <x v="21"/>
    <x v="0"/>
    <x v="7"/>
    <x v="11"/>
    <n v="10168.14"/>
  </r>
  <r>
    <x v="3"/>
    <x v="0"/>
    <x v="0"/>
    <x v="0"/>
    <x v="0"/>
    <x v="3"/>
    <x v="0"/>
    <x v="0"/>
    <x v="0"/>
    <x v="0"/>
    <x v="0"/>
    <x v="4"/>
    <s v="85"/>
    <x v="21"/>
    <x v="0"/>
    <x v="7"/>
    <x v="3"/>
    <n v="13202.12"/>
  </r>
  <r>
    <x v="3"/>
    <x v="0"/>
    <x v="0"/>
    <x v="0"/>
    <x v="0"/>
    <x v="3"/>
    <x v="0"/>
    <x v="0"/>
    <x v="0"/>
    <x v="0"/>
    <x v="0"/>
    <x v="4"/>
    <s v="85"/>
    <x v="21"/>
    <x v="0"/>
    <x v="7"/>
    <x v="4"/>
    <n v="9145.8799999999992"/>
  </r>
  <r>
    <x v="3"/>
    <x v="0"/>
    <x v="0"/>
    <x v="0"/>
    <x v="0"/>
    <x v="3"/>
    <x v="0"/>
    <x v="0"/>
    <x v="0"/>
    <x v="0"/>
    <x v="0"/>
    <x v="4"/>
    <s v="85"/>
    <x v="21"/>
    <x v="0"/>
    <x v="7"/>
    <x v="7"/>
    <n v="3471.33"/>
  </r>
  <r>
    <x v="3"/>
    <x v="0"/>
    <x v="0"/>
    <x v="0"/>
    <x v="0"/>
    <x v="3"/>
    <x v="0"/>
    <x v="0"/>
    <x v="0"/>
    <x v="0"/>
    <x v="0"/>
    <x v="4"/>
    <s v="85"/>
    <x v="21"/>
    <x v="0"/>
    <x v="7"/>
    <x v="5"/>
    <n v="2832.15"/>
  </r>
  <r>
    <x v="3"/>
    <x v="0"/>
    <x v="0"/>
    <x v="0"/>
    <x v="0"/>
    <x v="3"/>
    <x v="0"/>
    <x v="0"/>
    <x v="0"/>
    <x v="0"/>
    <x v="0"/>
    <x v="4"/>
    <s v="85"/>
    <x v="21"/>
    <x v="0"/>
    <x v="7"/>
    <x v="6"/>
    <n v="20694.71"/>
  </r>
  <r>
    <x v="3"/>
    <x v="0"/>
    <x v="0"/>
    <x v="0"/>
    <x v="0"/>
    <x v="3"/>
    <x v="0"/>
    <x v="0"/>
    <x v="0"/>
    <x v="0"/>
    <x v="0"/>
    <x v="4"/>
    <s v="85"/>
    <x v="21"/>
    <x v="0"/>
    <x v="7"/>
    <x v="1"/>
    <n v="1428.6"/>
  </r>
  <r>
    <x v="3"/>
    <x v="0"/>
    <x v="0"/>
    <x v="0"/>
    <x v="0"/>
    <x v="3"/>
    <x v="0"/>
    <x v="0"/>
    <x v="0"/>
    <x v="0"/>
    <x v="0"/>
    <x v="4"/>
    <s v="99"/>
    <x v="9"/>
    <x v="0"/>
    <x v="6"/>
    <x v="0"/>
    <n v="-641.32000000000005"/>
  </r>
  <r>
    <x v="3"/>
    <x v="0"/>
    <x v="0"/>
    <x v="0"/>
    <x v="0"/>
    <x v="3"/>
    <x v="0"/>
    <x v="0"/>
    <x v="0"/>
    <x v="0"/>
    <x v="0"/>
    <x v="4"/>
    <s v="99"/>
    <x v="9"/>
    <x v="0"/>
    <x v="6"/>
    <x v="2"/>
    <n v="-592.83000000000004"/>
  </r>
  <r>
    <x v="3"/>
    <x v="0"/>
    <x v="0"/>
    <x v="0"/>
    <x v="0"/>
    <x v="3"/>
    <x v="0"/>
    <x v="0"/>
    <x v="0"/>
    <x v="0"/>
    <x v="0"/>
    <x v="4"/>
    <s v="99"/>
    <x v="9"/>
    <x v="0"/>
    <x v="6"/>
    <x v="8"/>
    <n v="4401.0600000000004"/>
  </r>
  <r>
    <x v="3"/>
    <x v="0"/>
    <x v="0"/>
    <x v="0"/>
    <x v="0"/>
    <x v="3"/>
    <x v="0"/>
    <x v="0"/>
    <x v="0"/>
    <x v="0"/>
    <x v="0"/>
    <x v="4"/>
    <s v="99"/>
    <x v="9"/>
    <x v="0"/>
    <x v="6"/>
    <x v="9"/>
    <n v="4644.3500000000004"/>
  </r>
  <r>
    <x v="3"/>
    <x v="0"/>
    <x v="0"/>
    <x v="0"/>
    <x v="0"/>
    <x v="3"/>
    <x v="0"/>
    <x v="0"/>
    <x v="0"/>
    <x v="0"/>
    <x v="0"/>
    <x v="4"/>
    <s v="99"/>
    <x v="9"/>
    <x v="0"/>
    <x v="6"/>
    <x v="10"/>
    <n v="4533.17"/>
  </r>
  <r>
    <x v="3"/>
    <x v="0"/>
    <x v="0"/>
    <x v="0"/>
    <x v="0"/>
    <x v="3"/>
    <x v="0"/>
    <x v="0"/>
    <x v="0"/>
    <x v="0"/>
    <x v="0"/>
    <x v="4"/>
    <s v="99"/>
    <x v="9"/>
    <x v="0"/>
    <x v="6"/>
    <x v="11"/>
    <n v="3456.89"/>
  </r>
  <r>
    <x v="3"/>
    <x v="0"/>
    <x v="0"/>
    <x v="0"/>
    <x v="0"/>
    <x v="3"/>
    <x v="0"/>
    <x v="0"/>
    <x v="0"/>
    <x v="0"/>
    <x v="0"/>
    <x v="4"/>
    <s v="99"/>
    <x v="9"/>
    <x v="0"/>
    <x v="6"/>
    <x v="3"/>
    <n v="1372.6"/>
  </r>
  <r>
    <x v="3"/>
    <x v="0"/>
    <x v="0"/>
    <x v="0"/>
    <x v="0"/>
    <x v="3"/>
    <x v="0"/>
    <x v="0"/>
    <x v="0"/>
    <x v="0"/>
    <x v="0"/>
    <x v="4"/>
    <s v="99"/>
    <x v="9"/>
    <x v="0"/>
    <x v="6"/>
    <x v="7"/>
    <n v="6537.39"/>
  </r>
  <r>
    <x v="3"/>
    <x v="0"/>
    <x v="0"/>
    <x v="0"/>
    <x v="0"/>
    <x v="3"/>
    <x v="0"/>
    <x v="0"/>
    <x v="0"/>
    <x v="0"/>
    <x v="0"/>
    <x v="4"/>
    <s v="99"/>
    <x v="9"/>
    <x v="0"/>
    <x v="6"/>
    <x v="5"/>
    <n v="-325"/>
  </r>
  <r>
    <x v="3"/>
    <x v="0"/>
    <x v="0"/>
    <x v="0"/>
    <x v="0"/>
    <x v="3"/>
    <x v="0"/>
    <x v="0"/>
    <x v="0"/>
    <x v="0"/>
    <x v="0"/>
    <x v="4"/>
    <s v="99"/>
    <x v="9"/>
    <x v="0"/>
    <x v="6"/>
    <x v="6"/>
    <n v="23046.19"/>
  </r>
  <r>
    <x v="3"/>
    <x v="0"/>
    <x v="0"/>
    <x v="0"/>
    <x v="0"/>
    <x v="3"/>
    <x v="0"/>
    <x v="0"/>
    <x v="0"/>
    <x v="0"/>
    <x v="0"/>
    <x v="4"/>
    <s v="99"/>
    <x v="9"/>
    <x v="0"/>
    <x v="6"/>
    <x v="1"/>
    <n v="-46432.5"/>
  </r>
  <r>
    <x v="3"/>
    <x v="0"/>
    <x v="0"/>
    <x v="0"/>
    <x v="0"/>
    <x v="3"/>
    <x v="0"/>
    <x v="0"/>
    <x v="0"/>
    <x v="0"/>
    <x v="0"/>
    <x v="4"/>
    <s v="99"/>
    <x v="9"/>
    <x v="0"/>
    <x v="7"/>
    <x v="0"/>
    <n v="-766.97"/>
  </r>
  <r>
    <x v="3"/>
    <x v="0"/>
    <x v="0"/>
    <x v="0"/>
    <x v="0"/>
    <x v="3"/>
    <x v="0"/>
    <x v="0"/>
    <x v="0"/>
    <x v="0"/>
    <x v="0"/>
    <x v="4"/>
    <s v="99"/>
    <x v="9"/>
    <x v="0"/>
    <x v="7"/>
    <x v="2"/>
    <n v="-88.47"/>
  </r>
  <r>
    <x v="3"/>
    <x v="0"/>
    <x v="0"/>
    <x v="0"/>
    <x v="0"/>
    <x v="3"/>
    <x v="0"/>
    <x v="0"/>
    <x v="0"/>
    <x v="0"/>
    <x v="0"/>
    <x v="4"/>
    <s v="99"/>
    <x v="9"/>
    <x v="0"/>
    <x v="7"/>
    <x v="8"/>
    <n v="921.99"/>
  </r>
  <r>
    <x v="3"/>
    <x v="0"/>
    <x v="0"/>
    <x v="0"/>
    <x v="0"/>
    <x v="3"/>
    <x v="0"/>
    <x v="0"/>
    <x v="0"/>
    <x v="0"/>
    <x v="0"/>
    <x v="4"/>
    <s v="99"/>
    <x v="9"/>
    <x v="0"/>
    <x v="7"/>
    <x v="10"/>
    <n v="440"/>
  </r>
  <r>
    <x v="3"/>
    <x v="0"/>
    <x v="0"/>
    <x v="0"/>
    <x v="0"/>
    <x v="3"/>
    <x v="0"/>
    <x v="0"/>
    <x v="0"/>
    <x v="0"/>
    <x v="0"/>
    <x v="4"/>
    <s v="99"/>
    <x v="9"/>
    <x v="0"/>
    <x v="7"/>
    <x v="11"/>
    <n v="-644.85"/>
  </r>
  <r>
    <x v="3"/>
    <x v="0"/>
    <x v="0"/>
    <x v="0"/>
    <x v="0"/>
    <x v="3"/>
    <x v="0"/>
    <x v="0"/>
    <x v="0"/>
    <x v="0"/>
    <x v="0"/>
    <x v="4"/>
    <s v="99"/>
    <x v="9"/>
    <x v="0"/>
    <x v="7"/>
    <x v="3"/>
    <n v="-790.14"/>
  </r>
  <r>
    <x v="3"/>
    <x v="0"/>
    <x v="0"/>
    <x v="0"/>
    <x v="0"/>
    <x v="3"/>
    <x v="0"/>
    <x v="0"/>
    <x v="0"/>
    <x v="0"/>
    <x v="0"/>
    <x v="4"/>
    <s v="99"/>
    <x v="9"/>
    <x v="0"/>
    <x v="7"/>
    <x v="4"/>
    <n v="848.97"/>
  </r>
  <r>
    <x v="3"/>
    <x v="0"/>
    <x v="0"/>
    <x v="0"/>
    <x v="0"/>
    <x v="3"/>
    <x v="0"/>
    <x v="0"/>
    <x v="0"/>
    <x v="0"/>
    <x v="0"/>
    <x v="4"/>
    <s v="99"/>
    <x v="9"/>
    <x v="0"/>
    <x v="7"/>
    <x v="7"/>
    <n v="2561.0300000000002"/>
  </r>
  <r>
    <x v="3"/>
    <x v="0"/>
    <x v="0"/>
    <x v="0"/>
    <x v="0"/>
    <x v="3"/>
    <x v="0"/>
    <x v="0"/>
    <x v="0"/>
    <x v="0"/>
    <x v="0"/>
    <x v="4"/>
    <s v="99"/>
    <x v="9"/>
    <x v="0"/>
    <x v="7"/>
    <x v="5"/>
    <n v="5200.6499999999996"/>
  </r>
  <r>
    <x v="3"/>
    <x v="0"/>
    <x v="0"/>
    <x v="0"/>
    <x v="0"/>
    <x v="3"/>
    <x v="0"/>
    <x v="0"/>
    <x v="0"/>
    <x v="0"/>
    <x v="0"/>
    <x v="4"/>
    <s v="99"/>
    <x v="9"/>
    <x v="0"/>
    <x v="7"/>
    <x v="6"/>
    <n v="800.81"/>
  </r>
  <r>
    <x v="3"/>
    <x v="0"/>
    <x v="0"/>
    <x v="0"/>
    <x v="0"/>
    <x v="3"/>
    <x v="0"/>
    <x v="0"/>
    <x v="0"/>
    <x v="0"/>
    <x v="0"/>
    <x v="4"/>
    <s v="99"/>
    <x v="9"/>
    <x v="0"/>
    <x v="7"/>
    <x v="1"/>
    <n v="-8362.02"/>
  </r>
  <r>
    <x v="3"/>
    <x v="0"/>
    <x v="0"/>
    <x v="0"/>
    <x v="0"/>
    <x v="3"/>
    <x v="0"/>
    <x v="0"/>
    <x v="0"/>
    <x v="0"/>
    <x v="5"/>
    <x v="6"/>
    <s v="20"/>
    <x v="29"/>
    <x v="0"/>
    <x v="7"/>
    <x v="11"/>
    <n v="1040"/>
  </r>
  <r>
    <x v="3"/>
    <x v="0"/>
    <x v="0"/>
    <x v="0"/>
    <x v="0"/>
    <x v="3"/>
    <x v="0"/>
    <x v="0"/>
    <x v="0"/>
    <x v="0"/>
    <x v="5"/>
    <x v="6"/>
    <s v="20"/>
    <x v="29"/>
    <x v="0"/>
    <x v="7"/>
    <x v="3"/>
    <n v="-600"/>
  </r>
  <r>
    <x v="3"/>
    <x v="0"/>
    <x v="0"/>
    <x v="0"/>
    <x v="0"/>
    <x v="3"/>
    <x v="0"/>
    <x v="0"/>
    <x v="0"/>
    <x v="0"/>
    <x v="5"/>
    <x v="6"/>
    <s v="20"/>
    <x v="29"/>
    <x v="0"/>
    <x v="7"/>
    <x v="4"/>
    <n v="-200"/>
  </r>
  <r>
    <x v="3"/>
    <x v="0"/>
    <x v="0"/>
    <x v="0"/>
    <x v="0"/>
    <x v="3"/>
    <x v="0"/>
    <x v="0"/>
    <x v="0"/>
    <x v="0"/>
    <x v="5"/>
    <x v="6"/>
    <s v="20"/>
    <x v="29"/>
    <x v="0"/>
    <x v="7"/>
    <x v="7"/>
    <n v="-240"/>
  </r>
  <r>
    <x v="3"/>
    <x v="0"/>
    <x v="0"/>
    <x v="0"/>
    <x v="0"/>
    <x v="3"/>
    <x v="0"/>
    <x v="0"/>
    <x v="0"/>
    <x v="0"/>
    <x v="5"/>
    <x v="6"/>
    <s v="40"/>
    <x v="26"/>
    <x v="0"/>
    <x v="6"/>
    <x v="0"/>
    <n v="-2559.61"/>
  </r>
  <r>
    <x v="3"/>
    <x v="0"/>
    <x v="0"/>
    <x v="0"/>
    <x v="0"/>
    <x v="3"/>
    <x v="0"/>
    <x v="0"/>
    <x v="0"/>
    <x v="0"/>
    <x v="5"/>
    <x v="6"/>
    <s v="40"/>
    <x v="26"/>
    <x v="0"/>
    <x v="6"/>
    <x v="2"/>
    <n v="2997.63"/>
  </r>
  <r>
    <x v="3"/>
    <x v="0"/>
    <x v="0"/>
    <x v="0"/>
    <x v="0"/>
    <x v="3"/>
    <x v="0"/>
    <x v="0"/>
    <x v="0"/>
    <x v="0"/>
    <x v="5"/>
    <x v="6"/>
    <s v="40"/>
    <x v="26"/>
    <x v="0"/>
    <x v="6"/>
    <x v="8"/>
    <n v="3761.02"/>
  </r>
  <r>
    <x v="3"/>
    <x v="0"/>
    <x v="0"/>
    <x v="0"/>
    <x v="0"/>
    <x v="3"/>
    <x v="0"/>
    <x v="0"/>
    <x v="0"/>
    <x v="0"/>
    <x v="5"/>
    <x v="6"/>
    <s v="40"/>
    <x v="26"/>
    <x v="0"/>
    <x v="6"/>
    <x v="9"/>
    <n v="-3151.8"/>
  </r>
  <r>
    <x v="3"/>
    <x v="0"/>
    <x v="0"/>
    <x v="0"/>
    <x v="0"/>
    <x v="3"/>
    <x v="0"/>
    <x v="0"/>
    <x v="0"/>
    <x v="0"/>
    <x v="5"/>
    <x v="6"/>
    <s v="40"/>
    <x v="26"/>
    <x v="0"/>
    <x v="6"/>
    <x v="10"/>
    <n v="-3701.1"/>
  </r>
  <r>
    <x v="3"/>
    <x v="0"/>
    <x v="0"/>
    <x v="0"/>
    <x v="0"/>
    <x v="3"/>
    <x v="0"/>
    <x v="0"/>
    <x v="0"/>
    <x v="0"/>
    <x v="5"/>
    <x v="6"/>
    <s v="40"/>
    <x v="26"/>
    <x v="0"/>
    <x v="6"/>
    <x v="11"/>
    <n v="3025.25"/>
  </r>
  <r>
    <x v="3"/>
    <x v="0"/>
    <x v="0"/>
    <x v="0"/>
    <x v="0"/>
    <x v="3"/>
    <x v="0"/>
    <x v="0"/>
    <x v="0"/>
    <x v="0"/>
    <x v="5"/>
    <x v="6"/>
    <s v="40"/>
    <x v="26"/>
    <x v="0"/>
    <x v="6"/>
    <x v="3"/>
    <n v="-1584"/>
  </r>
  <r>
    <x v="3"/>
    <x v="0"/>
    <x v="0"/>
    <x v="0"/>
    <x v="0"/>
    <x v="3"/>
    <x v="0"/>
    <x v="0"/>
    <x v="0"/>
    <x v="0"/>
    <x v="5"/>
    <x v="6"/>
    <s v="40"/>
    <x v="26"/>
    <x v="0"/>
    <x v="6"/>
    <x v="4"/>
    <n v="-1657"/>
  </r>
  <r>
    <x v="3"/>
    <x v="0"/>
    <x v="0"/>
    <x v="0"/>
    <x v="0"/>
    <x v="3"/>
    <x v="0"/>
    <x v="0"/>
    <x v="0"/>
    <x v="0"/>
    <x v="5"/>
    <x v="6"/>
    <s v="40"/>
    <x v="26"/>
    <x v="0"/>
    <x v="6"/>
    <x v="7"/>
    <n v="-30"/>
  </r>
  <r>
    <x v="3"/>
    <x v="0"/>
    <x v="0"/>
    <x v="0"/>
    <x v="0"/>
    <x v="3"/>
    <x v="0"/>
    <x v="0"/>
    <x v="0"/>
    <x v="0"/>
    <x v="5"/>
    <x v="6"/>
    <s v="40"/>
    <x v="26"/>
    <x v="0"/>
    <x v="6"/>
    <x v="5"/>
    <n v="4143"/>
  </r>
  <r>
    <x v="3"/>
    <x v="0"/>
    <x v="0"/>
    <x v="0"/>
    <x v="0"/>
    <x v="3"/>
    <x v="0"/>
    <x v="0"/>
    <x v="0"/>
    <x v="0"/>
    <x v="5"/>
    <x v="6"/>
    <s v="40"/>
    <x v="26"/>
    <x v="0"/>
    <x v="6"/>
    <x v="6"/>
    <n v="-3530.2"/>
  </r>
  <r>
    <x v="3"/>
    <x v="0"/>
    <x v="0"/>
    <x v="0"/>
    <x v="0"/>
    <x v="3"/>
    <x v="0"/>
    <x v="0"/>
    <x v="0"/>
    <x v="0"/>
    <x v="5"/>
    <x v="6"/>
    <s v="40"/>
    <x v="26"/>
    <x v="0"/>
    <x v="6"/>
    <x v="1"/>
    <n v="2286.81"/>
  </r>
  <r>
    <x v="3"/>
    <x v="0"/>
    <x v="0"/>
    <x v="0"/>
    <x v="0"/>
    <x v="3"/>
    <x v="0"/>
    <x v="0"/>
    <x v="0"/>
    <x v="0"/>
    <x v="5"/>
    <x v="6"/>
    <s v="40"/>
    <x v="26"/>
    <x v="0"/>
    <x v="7"/>
    <x v="0"/>
    <n v="200"/>
  </r>
  <r>
    <x v="3"/>
    <x v="0"/>
    <x v="0"/>
    <x v="0"/>
    <x v="0"/>
    <x v="3"/>
    <x v="0"/>
    <x v="0"/>
    <x v="0"/>
    <x v="0"/>
    <x v="5"/>
    <x v="6"/>
    <s v="40"/>
    <x v="26"/>
    <x v="0"/>
    <x v="7"/>
    <x v="2"/>
    <n v="-157"/>
  </r>
  <r>
    <x v="3"/>
    <x v="0"/>
    <x v="0"/>
    <x v="0"/>
    <x v="0"/>
    <x v="3"/>
    <x v="0"/>
    <x v="0"/>
    <x v="0"/>
    <x v="0"/>
    <x v="5"/>
    <x v="6"/>
    <s v="40"/>
    <x v="26"/>
    <x v="0"/>
    <x v="7"/>
    <x v="8"/>
    <n v="1854.75"/>
  </r>
  <r>
    <x v="3"/>
    <x v="0"/>
    <x v="0"/>
    <x v="0"/>
    <x v="0"/>
    <x v="3"/>
    <x v="0"/>
    <x v="0"/>
    <x v="0"/>
    <x v="0"/>
    <x v="5"/>
    <x v="6"/>
    <s v="40"/>
    <x v="26"/>
    <x v="0"/>
    <x v="7"/>
    <x v="9"/>
    <n v="1220.25"/>
  </r>
  <r>
    <x v="3"/>
    <x v="0"/>
    <x v="0"/>
    <x v="0"/>
    <x v="0"/>
    <x v="3"/>
    <x v="0"/>
    <x v="0"/>
    <x v="0"/>
    <x v="0"/>
    <x v="5"/>
    <x v="6"/>
    <s v="40"/>
    <x v="26"/>
    <x v="0"/>
    <x v="7"/>
    <x v="10"/>
    <n v="-3092"/>
  </r>
  <r>
    <x v="3"/>
    <x v="0"/>
    <x v="0"/>
    <x v="0"/>
    <x v="0"/>
    <x v="3"/>
    <x v="0"/>
    <x v="0"/>
    <x v="0"/>
    <x v="0"/>
    <x v="5"/>
    <x v="6"/>
    <s v="40"/>
    <x v="26"/>
    <x v="0"/>
    <x v="7"/>
    <x v="11"/>
    <n v="4321.3999999999996"/>
  </r>
  <r>
    <x v="3"/>
    <x v="0"/>
    <x v="0"/>
    <x v="0"/>
    <x v="0"/>
    <x v="3"/>
    <x v="0"/>
    <x v="0"/>
    <x v="0"/>
    <x v="0"/>
    <x v="5"/>
    <x v="6"/>
    <s v="40"/>
    <x v="26"/>
    <x v="0"/>
    <x v="7"/>
    <x v="3"/>
    <n v="201.4"/>
  </r>
  <r>
    <x v="3"/>
    <x v="0"/>
    <x v="0"/>
    <x v="0"/>
    <x v="0"/>
    <x v="3"/>
    <x v="0"/>
    <x v="0"/>
    <x v="0"/>
    <x v="0"/>
    <x v="5"/>
    <x v="6"/>
    <s v="40"/>
    <x v="26"/>
    <x v="0"/>
    <x v="7"/>
    <x v="4"/>
    <n v="-4210.8"/>
  </r>
  <r>
    <x v="3"/>
    <x v="0"/>
    <x v="0"/>
    <x v="0"/>
    <x v="0"/>
    <x v="3"/>
    <x v="0"/>
    <x v="0"/>
    <x v="0"/>
    <x v="0"/>
    <x v="5"/>
    <x v="6"/>
    <s v="40"/>
    <x v="26"/>
    <x v="0"/>
    <x v="7"/>
    <x v="7"/>
    <n v="630.5"/>
  </r>
  <r>
    <x v="3"/>
    <x v="0"/>
    <x v="0"/>
    <x v="0"/>
    <x v="0"/>
    <x v="3"/>
    <x v="0"/>
    <x v="0"/>
    <x v="0"/>
    <x v="0"/>
    <x v="5"/>
    <x v="6"/>
    <s v="40"/>
    <x v="26"/>
    <x v="0"/>
    <x v="7"/>
    <x v="5"/>
    <n v="-1127.6500000000001"/>
  </r>
  <r>
    <x v="3"/>
    <x v="0"/>
    <x v="0"/>
    <x v="0"/>
    <x v="0"/>
    <x v="3"/>
    <x v="0"/>
    <x v="0"/>
    <x v="0"/>
    <x v="0"/>
    <x v="5"/>
    <x v="6"/>
    <s v="40"/>
    <x v="26"/>
    <x v="0"/>
    <x v="7"/>
    <x v="6"/>
    <n v="-120.6"/>
  </r>
  <r>
    <x v="3"/>
    <x v="0"/>
    <x v="0"/>
    <x v="0"/>
    <x v="0"/>
    <x v="3"/>
    <x v="0"/>
    <x v="0"/>
    <x v="0"/>
    <x v="0"/>
    <x v="5"/>
    <x v="6"/>
    <s v="40"/>
    <x v="26"/>
    <x v="0"/>
    <x v="7"/>
    <x v="1"/>
    <n v="279.75"/>
  </r>
  <r>
    <x v="3"/>
    <x v="0"/>
    <x v="1"/>
    <x v="0"/>
    <x v="0"/>
    <x v="4"/>
    <x v="0"/>
    <x v="0"/>
    <x v="0"/>
    <x v="1"/>
    <x v="1"/>
    <x v="8"/>
    <s v="41"/>
    <x v="4"/>
    <x v="0"/>
    <x v="7"/>
    <x v="5"/>
    <n v="558"/>
  </r>
  <r>
    <x v="3"/>
    <x v="0"/>
    <x v="1"/>
    <x v="0"/>
    <x v="0"/>
    <x v="4"/>
    <x v="0"/>
    <x v="0"/>
    <x v="0"/>
    <x v="1"/>
    <x v="1"/>
    <x v="8"/>
    <s v="41"/>
    <x v="4"/>
    <x v="0"/>
    <x v="7"/>
    <x v="6"/>
    <n v="-558"/>
  </r>
  <r>
    <x v="3"/>
    <x v="0"/>
    <x v="1"/>
    <x v="0"/>
    <x v="0"/>
    <x v="4"/>
    <x v="0"/>
    <x v="0"/>
    <x v="0"/>
    <x v="0"/>
    <x v="0"/>
    <x v="4"/>
    <s v="02"/>
    <x v="5"/>
    <x v="0"/>
    <x v="6"/>
    <x v="9"/>
    <n v="-96.29"/>
  </r>
  <r>
    <x v="3"/>
    <x v="0"/>
    <x v="1"/>
    <x v="0"/>
    <x v="0"/>
    <x v="4"/>
    <x v="0"/>
    <x v="0"/>
    <x v="0"/>
    <x v="0"/>
    <x v="0"/>
    <x v="4"/>
    <s v="02"/>
    <x v="5"/>
    <x v="0"/>
    <x v="6"/>
    <x v="11"/>
    <n v="-1692.6"/>
  </r>
  <r>
    <x v="3"/>
    <x v="0"/>
    <x v="1"/>
    <x v="0"/>
    <x v="0"/>
    <x v="4"/>
    <x v="0"/>
    <x v="0"/>
    <x v="0"/>
    <x v="0"/>
    <x v="0"/>
    <x v="4"/>
    <s v="02"/>
    <x v="5"/>
    <x v="0"/>
    <x v="6"/>
    <x v="7"/>
    <n v="1692.6"/>
  </r>
  <r>
    <x v="3"/>
    <x v="0"/>
    <x v="1"/>
    <x v="0"/>
    <x v="0"/>
    <x v="4"/>
    <x v="0"/>
    <x v="0"/>
    <x v="0"/>
    <x v="0"/>
    <x v="0"/>
    <x v="4"/>
    <s v="02"/>
    <x v="5"/>
    <x v="0"/>
    <x v="7"/>
    <x v="0"/>
    <n v="4594.01"/>
  </r>
  <r>
    <x v="3"/>
    <x v="0"/>
    <x v="1"/>
    <x v="0"/>
    <x v="0"/>
    <x v="4"/>
    <x v="0"/>
    <x v="0"/>
    <x v="0"/>
    <x v="0"/>
    <x v="0"/>
    <x v="4"/>
    <s v="02"/>
    <x v="5"/>
    <x v="0"/>
    <x v="7"/>
    <x v="11"/>
    <n v="-210.06"/>
  </r>
  <r>
    <x v="3"/>
    <x v="0"/>
    <x v="1"/>
    <x v="0"/>
    <x v="0"/>
    <x v="4"/>
    <x v="0"/>
    <x v="0"/>
    <x v="0"/>
    <x v="0"/>
    <x v="0"/>
    <x v="4"/>
    <s v="02"/>
    <x v="5"/>
    <x v="0"/>
    <x v="7"/>
    <x v="6"/>
    <n v="5087.92"/>
  </r>
  <r>
    <x v="3"/>
    <x v="0"/>
    <x v="1"/>
    <x v="0"/>
    <x v="0"/>
    <x v="4"/>
    <x v="0"/>
    <x v="0"/>
    <x v="0"/>
    <x v="0"/>
    <x v="0"/>
    <x v="4"/>
    <s v="02"/>
    <x v="5"/>
    <x v="0"/>
    <x v="7"/>
    <x v="1"/>
    <n v="-9568.14"/>
  </r>
  <r>
    <x v="3"/>
    <x v="0"/>
    <x v="1"/>
    <x v="0"/>
    <x v="0"/>
    <x v="4"/>
    <x v="0"/>
    <x v="0"/>
    <x v="0"/>
    <x v="0"/>
    <x v="0"/>
    <x v="4"/>
    <s v="05"/>
    <x v="6"/>
    <x v="0"/>
    <x v="6"/>
    <x v="10"/>
    <n v="-14.47"/>
  </r>
  <r>
    <x v="3"/>
    <x v="0"/>
    <x v="1"/>
    <x v="0"/>
    <x v="0"/>
    <x v="4"/>
    <x v="0"/>
    <x v="0"/>
    <x v="0"/>
    <x v="0"/>
    <x v="0"/>
    <x v="4"/>
    <s v="05"/>
    <x v="6"/>
    <x v="0"/>
    <x v="7"/>
    <x v="1"/>
    <n v="14.47"/>
  </r>
  <r>
    <x v="3"/>
    <x v="0"/>
    <x v="1"/>
    <x v="0"/>
    <x v="0"/>
    <x v="4"/>
    <x v="0"/>
    <x v="0"/>
    <x v="0"/>
    <x v="0"/>
    <x v="0"/>
    <x v="4"/>
    <s v="09"/>
    <x v="0"/>
    <x v="0"/>
    <x v="6"/>
    <x v="11"/>
    <n v="36931"/>
  </r>
  <r>
    <x v="3"/>
    <x v="0"/>
    <x v="1"/>
    <x v="0"/>
    <x v="0"/>
    <x v="4"/>
    <x v="0"/>
    <x v="0"/>
    <x v="0"/>
    <x v="0"/>
    <x v="0"/>
    <x v="4"/>
    <s v="09"/>
    <x v="0"/>
    <x v="0"/>
    <x v="6"/>
    <x v="1"/>
    <n v="480234"/>
  </r>
  <r>
    <x v="3"/>
    <x v="0"/>
    <x v="1"/>
    <x v="0"/>
    <x v="0"/>
    <x v="4"/>
    <x v="0"/>
    <x v="0"/>
    <x v="0"/>
    <x v="0"/>
    <x v="0"/>
    <x v="4"/>
    <s v="09"/>
    <x v="0"/>
    <x v="0"/>
    <x v="7"/>
    <x v="1"/>
    <n v="541366"/>
  </r>
  <r>
    <x v="3"/>
    <x v="0"/>
    <x v="1"/>
    <x v="0"/>
    <x v="0"/>
    <x v="4"/>
    <x v="0"/>
    <x v="0"/>
    <x v="0"/>
    <x v="0"/>
    <x v="0"/>
    <x v="4"/>
    <s v="20"/>
    <x v="7"/>
    <x v="0"/>
    <x v="6"/>
    <x v="8"/>
    <n v="5285.58"/>
  </r>
  <r>
    <x v="3"/>
    <x v="0"/>
    <x v="1"/>
    <x v="0"/>
    <x v="0"/>
    <x v="4"/>
    <x v="0"/>
    <x v="0"/>
    <x v="0"/>
    <x v="0"/>
    <x v="0"/>
    <x v="4"/>
    <s v="20"/>
    <x v="7"/>
    <x v="0"/>
    <x v="6"/>
    <x v="9"/>
    <n v="19823.689999999999"/>
  </r>
  <r>
    <x v="3"/>
    <x v="0"/>
    <x v="1"/>
    <x v="0"/>
    <x v="0"/>
    <x v="4"/>
    <x v="0"/>
    <x v="0"/>
    <x v="0"/>
    <x v="0"/>
    <x v="0"/>
    <x v="4"/>
    <s v="20"/>
    <x v="7"/>
    <x v="0"/>
    <x v="6"/>
    <x v="10"/>
    <n v="-4479.3599999999997"/>
  </r>
  <r>
    <x v="3"/>
    <x v="0"/>
    <x v="1"/>
    <x v="0"/>
    <x v="0"/>
    <x v="4"/>
    <x v="0"/>
    <x v="0"/>
    <x v="0"/>
    <x v="0"/>
    <x v="0"/>
    <x v="4"/>
    <s v="20"/>
    <x v="7"/>
    <x v="0"/>
    <x v="6"/>
    <x v="11"/>
    <n v="156499.07"/>
  </r>
  <r>
    <x v="3"/>
    <x v="0"/>
    <x v="1"/>
    <x v="0"/>
    <x v="0"/>
    <x v="4"/>
    <x v="0"/>
    <x v="0"/>
    <x v="0"/>
    <x v="0"/>
    <x v="0"/>
    <x v="4"/>
    <s v="20"/>
    <x v="7"/>
    <x v="0"/>
    <x v="6"/>
    <x v="3"/>
    <n v="-129310.71"/>
  </r>
  <r>
    <x v="3"/>
    <x v="0"/>
    <x v="1"/>
    <x v="0"/>
    <x v="0"/>
    <x v="4"/>
    <x v="0"/>
    <x v="0"/>
    <x v="0"/>
    <x v="0"/>
    <x v="0"/>
    <x v="4"/>
    <s v="20"/>
    <x v="7"/>
    <x v="0"/>
    <x v="6"/>
    <x v="4"/>
    <n v="18999.759999999998"/>
  </r>
  <r>
    <x v="3"/>
    <x v="0"/>
    <x v="1"/>
    <x v="0"/>
    <x v="0"/>
    <x v="4"/>
    <x v="0"/>
    <x v="0"/>
    <x v="0"/>
    <x v="0"/>
    <x v="0"/>
    <x v="4"/>
    <s v="20"/>
    <x v="7"/>
    <x v="0"/>
    <x v="6"/>
    <x v="7"/>
    <n v="-23416.62"/>
  </r>
  <r>
    <x v="3"/>
    <x v="0"/>
    <x v="1"/>
    <x v="0"/>
    <x v="0"/>
    <x v="4"/>
    <x v="0"/>
    <x v="0"/>
    <x v="0"/>
    <x v="0"/>
    <x v="0"/>
    <x v="4"/>
    <s v="20"/>
    <x v="7"/>
    <x v="0"/>
    <x v="6"/>
    <x v="5"/>
    <n v="10612.58"/>
  </r>
  <r>
    <x v="3"/>
    <x v="0"/>
    <x v="1"/>
    <x v="0"/>
    <x v="0"/>
    <x v="4"/>
    <x v="0"/>
    <x v="0"/>
    <x v="0"/>
    <x v="0"/>
    <x v="0"/>
    <x v="4"/>
    <s v="20"/>
    <x v="7"/>
    <x v="0"/>
    <x v="6"/>
    <x v="6"/>
    <n v="317.33"/>
  </r>
  <r>
    <x v="3"/>
    <x v="0"/>
    <x v="1"/>
    <x v="0"/>
    <x v="0"/>
    <x v="4"/>
    <x v="0"/>
    <x v="0"/>
    <x v="0"/>
    <x v="0"/>
    <x v="0"/>
    <x v="4"/>
    <s v="20"/>
    <x v="7"/>
    <x v="0"/>
    <x v="6"/>
    <x v="1"/>
    <n v="8695.56"/>
  </r>
  <r>
    <x v="3"/>
    <x v="0"/>
    <x v="1"/>
    <x v="0"/>
    <x v="0"/>
    <x v="4"/>
    <x v="0"/>
    <x v="0"/>
    <x v="0"/>
    <x v="0"/>
    <x v="0"/>
    <x v="4"/>
    <s v="20"/>
    <x v="7"/>
    <x v="0"/>
    <x v="7"/>
    <x v="0"/>
    <n v="2085"/>
  </r>
  <r>
    <x v="3"/>
    <x v="0"/>
    <x v="1"/>
    <x v="0"/>
    <x v="0"/>
    <x v="4"/>
    <x v="0"/>
    <x v="0"/>
    <x v="0"/>
    <x v="0"/>
    <x v="0"/>
    <x v="4"/>
    <s v="20"/>
    <x v="7"/>
    <x v="0"/>
    <x v="7"/>
    <x v="2"/>
    <n v="2155.0300000000002"/>
  </r>
  <r>
    <x v="3"/>
    <x v="0"/>
    <x v="1"/>
    <x v="0"/>
    <x v="0"/>
    <x v="4"/>
    <x v="0"/>
    <x v="0"/>
    <x v="0"/>
    <x v="0"/>
    <x v="0"/>
    <x v="4"/>
    <s v="20"/>
    <x v="7"/>
    <x v="0"/>
    <x v="7"/>
    <x v="8"/>
    <n v="-517.91999999999996"/>
  </r>
  <r>
    <x v="3"/>
    <x v="0"/>
    <x v="1"/>
    <x v="0"/>
    <x v="0"/>
    <x v="4"/>
    <x v="0"/>
    <x v="0"/>
    <x v="0"/>
    <x v="0"/>
    <x v="0"/>
    <x v="4"/>
    <s v="20"/>
    <x v="7"/>
    <x v="0"/>
    <x v="7"/>
    <x v="9"/>
    <n v="16046.19"/>
  </r>
  <r>
    <x v="3"/>
    <x v="0"/>
    <x v="1"/>
    <x v="0"/>
    <x v="0"/>
    <x v="4"/>
    <x v="0"/>
    <x v="0"/>
    <x v="0"/>
    <x v="0"/>
    <x v="0"/>
    <x v="4"/>
    <s v="20"/>
    <x v="7"/>
    <x v="0"/>
    <x v="7"/>
    <x v="10"/>
    <n v="546.45000000000005"/>
  </r>
  <r>
    <x v="3"/>
    <x v="0"/>
    <x v="1"/>
    <x v="0"/>
    <x v="0"/>
    <x v="4"/>
    <x v="0"/>
    <x v="0"/>
    <x v="0"/>
    <x v="0"/>
    <x v="0"/>
    <x v="4"/>
    <s v="20"/>
    <x v="7"/>
    <x v="0"/>
    <x v="7"/>
    <x v="11"/>
    <n v="74.010000000000005"/>
  </r>
  <r>
    <x v="3"/>
    <x v="0"/>
    <x v="1"/>
    <x v="0"/>
    <x v="0"/>
    <x v="4"/>
    <x v="0"/>
    <x v="0"/>
    <x v="0"/>
    <x v="0"/>
    <x v="0"/>
    <x v="4"/>
    <s v="20"/>
    <x v="7"/>
    <x v="0"/>
    <x v="7"/>
    <x v="3"/>
    <n v="52489.87"/>
  </r>
  <r>
    <x v="3"/>
    <x v="0"/>
    <x v="1"/>
    <x v="0"/>
    <x v="0"/>
    <x v="4"/>
    <x v="0"/>
    <x v="0"/>
    <x v="0"/>
    <x v="0"/>
    <x v="0"/>
    <x v="4"/>
    <s v="20"/>
    <x v="7"/>
    <x v="0"/>
    <x v="7"/>
    <x v="4"/>
    <n v="3474.97"/>
  </r>
  <r>
    <x v="3"/>
    <x v="0"/>
    <x v="1"/>
    <x v="0"/>
    <x v="0"/>
    <x v="4"/>
    <x v="0"/>
    <x v="0"/>
    <x v="0"/>
    <x v="0"/>
    <x v="0"/>
    <x v="4"/>
    <s v="20"/>
    <x v="7"/>
    <x v="0"/>
    <x v="7"/>
    <x v="7"/>
    <n v="-5208.1000000000004"/>
  </r>
  <r>
    <x v="3"/>
    <x v="0"/>
    <x v="1"/>
    <x v="0"/>
    <x v="0"/>
    <x v="4"/>
    <x v="0"/>
    <x v="0"/>
    <x v="0"/>
    <x v="0"/>
    <x v="0"/>
    <x v="4"/>
    <s v="20"/>
    <x v="7"/>
    <x v="0"/>
    <x v="7"/>
    <x v="5"/>
    <n v="-5019.75"/>
  </r>
  <r>
    <x v="3"/>
    <x v="0"/>
    <x v="1"/>
    <x v="0"/>
    <x v="0"/>
    <x v="4"/>
    <x v="0"/>
    <x v="0"/>
    <x v="0"/>
    <x v="0"/>
    <x v="0"/>
    <x v="4"/>
    <s v="20"/>
    <x v="7"/>
    <x v="0"/>
    <x v="7"/>
    <x v="6"/>
    <n v="3762.42"/>
  </r>
  <r>
    <x v="3"/>
    <x v="0"/>
    <x v="1"/>
    <x v="0"/>
    <x v="0"/>
    <x v="4"/>
    <x v="0"/>
    <x v="0"/>
    <x v="0"/>
    <x v="0"/>
    <x v="0"/>
    <x v="4"/>
    <s v="20"/>
    <x v="7"/>
    <x v="0"/>
    <x v="7"/>
    <x v="1"/>
    <n v="-112321.18"/>
  </r>
  <r>
    <x v="3"/>
    <x v="0"/>
    <x v="1"/>
    <x v="0"/>
    <x v="0"/>
    <x v="4"/>
    <x v="0"/>
    <x v="0"/>
    <x v="0"/>
    <x v="0"/>
    <x v="0"/>
    <x v="4"/>
    <s v="24"/>
    <x v="1"/>
    <x v="0"/>
    <x v="6"/>
    <x v="9"/>
    <n v="41853600.869999997"/>
  </r>
  <r>
    <x v="3"/>
    <x v="0"/>
    <x v="1"/>
    <x v="0"/>
    <x v="0"/>
    <x v="4"/>
    <x v="0"/>
    <x v="0"/>
    <x v="0"/>
    <x v="0"/>
    <x v="0"/>
    <x v="4"/>
    <s v="24"/>
    <x v="1"/>
    <x v="0"/>
    <x v="6"/>
    <x v="3"/>
    <n v="37210091.850000001"/>
  </r>
  <r>
    <x v="3"/>
    <x v="0"/>
    <x v="1"/>
    <x v="0"/>
    <x v="0"/>
    <x v="4"/>
    <x v="0"/>
    <x v="0"/>
    <x v="0"/>
    <x v="0"/>
    <x v="0"/>
    <x v="4"/>
    <s v="24"/>
    <x v="1"/>
    <x v="0"/>
    <x v="6"/>
    <x v="4"/>
    <n v="70728050.900000006"/>
  </r>
  <r>
    <x v="3"/>
    <x v="0"/>
    <x v="1"/>
    <x v="0"/>
    <x v="0"/>
    <x v="4"/>
    <x v="0"/>
    <x v="0"/>
    <x v="0"/>
    <x v="0"/>
    <x v="0"/>
    <x v="4"/>
    <s v="24"/>
    <x v="1"/>
    <x v="0"/>
    <x v="6"/>
    <x v="7"/>
    <n v="5920780.1100000003"/>
  </r>
  <r>
    <x v="3"/>
    <x v="0"/>
    <x v="1"/>
    <x v="0"/>
    <x v="0"/>
    <x v="4"/>
    <x v="0"/>
    <x v="0"/>
    <x v="0"/>
    <x v="0"/>
    <x v="0"/>
    <x v="4"/>
    <s v="24"/>
    <x v="1"/>
    <x v="0"/>
    <x v="6"/>
    <x v="6"/>
    <n v="67055191.600000001"/>
  </r>
  <r>
    <x v="3"/>
    <x v="0"/>
    <x v="1"/>
    <x v="0"/>
    <x v="0"/>
    <x v="4"/>
    <x v="0"/>
    <x v="0"/>
    <x v="0"/>
    <x v="0"/>
    <x v="0"/>
    <x v="4"/>
    <s v="24"/>
    <x v="1"/>
    <x v="0"/>
    <x v="6"/>
    <x v="1"/>
    <n v="6842497.7699999996"/>
  </r>
  <r>
    <x v="3"/>
    <x v="0"/>
    <x v="1"/>
    <x v="0"/>
    <x v="0"/>
    <x v="4"/>
    <x v="0"/>
    <x v="0"/>
    <x v="0"/>
    <x v="0"/>
    <x v="0"/>
    <x v="4"/>
    <s v="24"/>
    <x v="1"/>
    <x v="0"/>
    <x v="7"/>
    <x v="10"/>
    <n v="80739157.599999994"/>
  </r>
  <r>
    <x v="3"/>
    <x v="0"/>
    <x v="1"/>
    <x v="0"/>
    <x v="0"/>
    <x v="4"/>
    <x v="0"/>
    <x v="0"/>
    <x v="0"/>
    <x v="0"/>
    <x v="0"/>
    <x v="4"/>
    <s v="24"/>
    <x v="1"/>
    <x v="0"/>
    <x v="7"/>
    <x v="3"/>
    <n v="6698266.5599999996"/>
  </r>
  <r>
    <x v="3"/>
    <x v="0"/>
    <x v="1"/>
    <x v="0"/>
    <x v="0"/>
    <x v="4"/>
    <x v="0"/>
    <x v="0"/>
    <x v="0"/>
    <x v="0"/>
    <x v="0"/>
    <x v="4"/>
    <s v="24"/>
    <x v="1"/>
    <x v="0"/>
    <x v="7"/>
    <x v="4"/>
    <n v="55919781.380000003"/>
  </r>
  <r>
    <x v="3"/>
    <x v="0"/>
    <x v="1"/>
    <x v="0"/>
    <x v="0"/>
    <x v="4"/>
    <x v="0"/>
    <x v="0"/>
    <x v="0"/>
    <x v="0"/>
    <x v="0"/>
    <x v="4"/>
    <s v="24"/>
    <x v="1"/>
    <x v="0"/>
    <x v="7"/>
    <x v="5"/>
    <n v="29159707.489999998"/>
  </r>
  <r>
    <x v="3"/>
    <x v="0"/>
    <x v="1"/>
    <x v="0"/>
    <x v="0"/>
    <x v="4"/>
    <x v="0"/>
    <x v="0"/>
    <x v="0"/>
    <x v="0"/>
    <x v="0"/>
    <x v="4"/>
    <s v="24"/>
    <x v="1"/>
    <x v="0"/>
    <x v="7"/>
    <x v="6"/>
    <n v="75093355.069999993"/>
  </r>
  <r>
    <x v="3"/>
    <x v="0"/>
    <x v="1"/>
    <x v="0"/>
    <x v="0"/>
    <x v="4"/>
    <x v="0"/>
    <x v="0"/>
    <x v="0"/>
    <x v="0"/>
    <x v="0"/>
    <x v="4"/>
    <s v="24"/>
    <x v="1"/>
    <x v="0"/>
    <x v="7"/>
    <x v="1"/>
    <n v="6912760.4400000004"/>
  </r>
  <r>
    <x v="3"/>
    <x v="0"/>
    <x v="1"/>
    <x v="0"/>
    <x v="0"/>
    <x v="4"/>
    <x v="0"/>
    <x v="0"/>
    <x v="0"/>
    <x v="0"/>
    <x v="0"/>
    <x v="4"/>
    <s v="30"/>
    <x v="3"/>
    <x v="0"/>
    <x v="6"/>
    <x v="8"/>
    <n v="6704.5"/>
  </r>
  <r>
    <x v="3"/>
    <x v="0"/>
    <x v="1"/>
    <x v="0"/>
    <x v="0"/>
    <x v="4"/>
    <x v="0"/>
    <x v="0"/>
    <x v="0"/>
    <x v="0"/>
    <x v="0"/>
    <x v="4"/>
    <s v="30"/>
    <x v="3"/>
    <x v="0"/>
    <x v="6"/>
    <x v="9"/>
    <n v="12946.14"/>
  </r>
  <r>
    <x v="3"/>
    <x v="0"/>
    <x v="1"/>
    <x v="0"/>
    <x v="0"/>
    <x v="4"/>
    <x v="0"/>
    <x v="0"/>
    <x v="0"/>
    <x v="0"/>
    <x v="0"/>
    <x v="4"/>
    <s v="30"/>
    <x v="3"/>
    <x v="0"/>
    <x v="6"/>
    <x v="10"/>
    <n v="717.83"/>
  </r>
  <r>
    <x v="3"/>
    <x v="0"/>
    <x v="1"/>
    <x v="0"/>
    <x v="0"/>
    <x v="4"/>
    <x v="0"/>
    <x v="0"/>
    <x v="0"/>
    <x v="0"/>
    <x v="0"/>
    <x v="4"/>
    <s v="30"/>
    <x v="3"/>
    <x v="0"/>
    <x v="6"/>
    <x v="11"/>
    <n v="1296.93"/>
  </r>
  <r>
    <x v="3"/>
    <x v="0"/>
    <x v="1"/>
    <x v="0"/>
    <x v="0"/>
    <x v="4"/>
    <x v="0"/>
    <x v="0"/>
    <x v="0"/>
    <x v="0"/>
    <x v="0"/>
    <x v="4"/>
    <s v="30"/>
    <x v="3"/>
    <x v="0"/>
    <x v="6"/>
    <x v="3"/>
    <n v="8698.56"/>
  </r>
  <r>
    <x v="3"/>
    <x v="0"/>
    <x v="1"/>
    <x v="0"/>
    <x v="0"/>
    <x v="4"/>
    <x v="0"/>
    <x v="0"/>
    <x v="0"/>
    <x v="0"/>
    <x v="0"/>
    <x v="4"/>
    <s v="30"/>
    <x v="3"/>
    <x v="0"/>
    <x v="6"/>
    <x v="4"/>
    <n v="-675.05"/>
  </r>
  <r>
    <x v="3"/>
    <x v="0"/>
    <x v="1"/>
    <x v="0"/>
    <x v="0"/>
    <x v="4"/>
    <x v="0"/>
    <x v="0"/>
    <x v="0"/>
    <x v="0"/>
    <x v="0"/>
    <x v="4"/>
    <s v="30"/>
    <x v="3"/>
    <x v="0"/>
    <x v="6"/>
    <x v="7"/>
    <n v="50"/>
  </r>
  <r>
    <x v="3"/>
    <x v="0"/>
    <x v="1"/>
    <x v="0"/>
    <x v="0"/>
    <x v="4"/>
    <x v="0"/>
    <x v="0"/>
    <x v="0"/>
    <x v="0"/>
    <x v="0"/>
    <x v="4"/>
    <s v="30"/>
    <x v="3"/>
    <x v="0"/>
    <x v="6"/>
    <x v="5"/>
    <n v="11292.8"/>
  </r>
  <r>
    <x v="3"/>
    <x v="0"/>
    <x v="1"/>
    <x v="0"/>
    <x v="0"/>
    <x v="4"/>
    <x v="0"/>
    <x v="0"/>
    <x v="0"/>
    <x v="0"/>
    <x v="0"/>
    <x v="4"/>
    <s v="30"/>
    <x v="3"/>
    <x v="0"/>
    <x v="6"/>
    <x v="6"/>
    <n v="-6168.63"/>
  </r>
  <r>
    <x v="3"/>
    <x v="0"/>
    <x v="1"/>
    <x v="0"/>
    <x v="0"/>
    <x v="4"/>
    <x v="0"/>
    <x v="0"/>
    <x v="0"/>
    <x v="0"/>
    <x v="0"/>
    <x v="4"/>
    <s v="30"/>
    <x v="3"/>
    <x v="0"/>
    <x v="6"/>
    <x v="1"/>
    <n v="-6666.8"/>
  </r>
  <r>
    <x v="3"/>
    <x v="0"/>
    <x v="1"/>
    <x v="0"/>
    <x v="0"/>
    <x v="4"/>
    <x v="0"/>
    <x v="0"/>
    <x v="0"/>
    <x v="0"/>
    <x v="0"/>
    <x v="4"/>
    <s v="30"/>
    <x v="3"/>
    <x v="0"/>
    <x v="7"/>
    <x v="0"/>
    <n v="2689.95"/>
  </r>
  <r>
    <x v="3"/>
    <x v="0"/>
    <x v="1"/>
    <x v="0"/>
    <x v="0"/>
    <x v="4"/>
    <x v="0"/>
    <x v="0"/>
    <x v="0"/>
    <x v="0"/>
    <x v="0"/>
    <x v="4"/>
    <s v="30"/>
    <x v="3"/>
    <x v="0"/>
    <x v="7"/>
    <x v="2"/>
    <n v="-548.54"/>
  </r>
  <r>
    <x v="3"/>
    <x v="0"/>
    <x v="1"/>
    <x v="0"/>
    <x v="0"/>
    <x v="4"/>
    <x v="0"/>
    <x v="0"/>
    <x v="0"/>
    <x v="0"/>
    <x v="0"/>
    <x v="4"/>
    <s v="30"/>
    <x v="3"/>
    <x v="0"/>
    <x v="7"/>
    <x v="8"/>
    <n v="4614.34"/>
  </r>
  <r>
    <x v="3"/>
    <x v="0"/>
    <x v="1"/>
    <x v="0"/>
    <x v="0"/>
    <x v="4"/>
    <x v="0"/>
    <x v="0"/>
    <x v="0"/>
    <x v="0"/>
    <x v="0"/>
    <x v="4"/>
    <s v="30"/>
    <x v="3"/>
    <x v="0"/>
    <x v="7"/>
    <x v="9"/>
    <n v="1283.9000000000001"/>
  </r>
  <r>
    <x v="3"/>
    <x v="0"/>
    <x v="1"/>
    <x v="0"/>
    <x v="0"/>
    <x v="4"/>
    <x v="0"/>
    <x v="0"/>
    <x v="0"/>
    <x v="0"/>
    <x v="0"/>
    <x v="4"/>
    <s v="30"/>
    <x v="3"/>
    <x v="0"/>
    <x v="7"/>
    <x v="10"/>
    <n v="1194.78"/>
  </r>
  <r>
    <x v="3"/>
    <x v="0"/>
    <x v="1"/>
    <x v="0"/>
    <x v="0"/>
    <x v="4"/>
    <x v="0"/>
    <x v="0"/>
    <x v="0"/>
    <x v="0"/>
    <x v="0"/>
    <x v="4"/>
    <s v="30"/>
    <x v="3"/>
    <x v="0"/>
    <x v="7"/>
    <x v="11"/>
    <n v="2839.15"/>
  </r>
  <r>
    <x v="3"/>
    <x v="0"/>
    <x v="1"/>
    <x v="0"/>
    <x v="0"/>
    <x v="4"/>
    <x v="0"/>
    <x v="0"/>
    <x v="0"/>
    <x v="0"/>
    <x v="0"/>
    <x v="4"/>
    <s v="30"/>
    <x v="3"/>
    <x v="0"/>
    <x v="7"/>
    <x v="3"/>
    <n v="9513.42"/>
  </r>
  <r>
    <x v="3"/>
    <x v="0"/>
    <x v="1"/>
    <x v="0"/>
    <x v="0"/>
    <x v="4"/>
    <x v="0"/>
    <x v="0"/>
    <x v="0"/>
    <x v="0"/>
    <x v="0"/>
    <x v="4"/>
    <s v="30"/>
    <x v="3"/>
    <x v="0"/>
    <x v="7"/>
    <x v="4"/>
    <n v="802.25"/>
  </r>
  <r>
    <x v="3"/>
    <x v="0"/>
    <x v="1"/>
    <x v="0"/>
    <x v="0"/>
    <x v="4"/>
    <x v="0"/>
    <x v="0"/>
    <x v="0"/>
    <x v="0"/>
    <x v="0"/>
    <x v="4"/>
    <s v="30"/>
    <x v="3"/>
    <x v="0"/>
    <x v="7"/>
    <x v="7"/>
    <n v="2041.02"/>
  </r>
  <r>
    <x v="3"/>
    <x v="0"/>
    <x v="1"/>
    <x v="0"/>
    <x v="0"/>
    <x v="4"/>
    <x v="0"/>
    <x v="0"/>
    <x v="0"/>
    <x v="0"/>
    <x v="0"/>
    <x v="4"/>
    <s v="30"/>
    <x v="3"/>
    <x v="0"/>
    <x v="7"/>
    <x v="5"/>
    <n v="1047.54"/>
  </r>
  <r>
    <x v="3"/>
    <x v="0"/>
    <x v="1"/>
    <x v="0"/>
    <x v="0"/>
    <x v="4"/>
    <x v="0"/>
    <x v="0"/>
    <x v="0"/>
    <x v="0"/>
    <x v="0"/>
    <x v="4"/>
    <s v="30"/>
    <x v="3"/>
    <x v="0"/>
    <x v="7"/>
    <x v="6"/>
    <n v="2210.5700000000002"/>
  </r>
  <r>
    <x v="3"/>
    <x v="0"/>
    <x v="1"/>
    <x v="0"/>
    <x v="0"/>
    <x v="4"/>
    <x v="0"/>
    <x v="0"/>
    <x v="0"/>
    <x v="0"/>
    <x v="0"/>
    <x v="4"/>
    <s v="30"/>
    <x v="3"/>
    <x v="0"/>
    <x v="7"/>
    <x v="1"/>
    <n v="-55519.17"/>
  </r>
  <r>
    <x v="3"/>
    <x v="0"/>
    <x v="1"/>
    <x v="0"/>
    <x v="0"/>
    <x v="4"/>
    <x v="0"/>
    <x v="0"/>
    <x v="0"/>
    <x v="0"/>
    <x v="0"/>
    <x v="4"/>
    <s v="99"/>
    <x v="9"/>
    <x v="0"/>
    <x v="6"/>
    <x v="9"/>
    <n v="-2771.6"/>
  </r>
  <r>
    <x v="3"/>
    <x v="0"/>
    <x v="1"/>
    <x v="0"/>
    <x v="0"/>
    <x v="4"/>
    <x v="0"/>
    <x v="0"/>
    <x v="0"/>
    <x v="0"/>
    <x v="0"/>
    <x v="4"/>
    <s v="99"/>
    <x v="9"/>
    <x v="0"/>
    <x v="6"/>
    <x v="10"/>
    <n v="803.21"/>
  </r>
  <r>
    <x v="3"/>
    <x v="0"/>
    <x v="1"/>
    <x v="0"/>
    <x v="0"/>
    <x v="4"/>
    <x v="0"/>
    <x v="0"/>
    <x v="0"/>
    <x v="0"/>
    <x v="0"/>
    <x v="4"/>
    <s v="99"/>
    <x v="9"/>
    <x v="0"/>
    <x v="6"/>
    <x v="3"/>
    <n v="2309.08"/>
  </r>
  <r>
    <x v="3"/>
    <x v="0"/>
    <x v="1"/>
    <x v="0"/>
    <x v="0"/>
    <x v="4"/>
    <x v="0"/>
    <x v="0"/>
    <x v="0"/>
    <x v="0"/>
    <x v="0"/>
    <x v="4"/>
    <s v="99"/>
    <x v="9"/>
    <x v="0"/>
    <x v="6"/>
    <x v="7"/>
    <n v="1075.17"/>
  </r>
  <r>
    <x v="3"/>
    <x v="0"/>
    <x v="1"/>
    <x v="0"/>
    <x v="0"/>
    <x v="4"/>
    <x v="0"/>
    <x v="0"/>
    <x v="0"/>
    <x v="0"/>
    <x v="0"/>
    <x v="4"/>
    <s v="99"/>
    <x v="9"/>
    <x v="0"/>
    <x v="6"/>
    <x v="5"/>
    <n v="2584.9"/>
  </r>
  <r>
    <x v="3"/>
    <x v="0"/>
    <x v="1"/>
    <x v="0"/>
    <x v="0"/>
    <x v="4"/>
    <x v="0"/>
    <x v="0"/>
    <x v="0"/>
    <x v="0"/>
    <x v="0"/>
    <x v="4"/>
    <s v="99"/>
    <x v="9"/>
    <x v="0"/>
    <x v="6"/>
    <x v="6"/>
    <n v="1479.11"/>
  </r>
  <r>
    <x v="3"/>
    <x v="0"/>
    <x v="1"/>
    <x v="0"/>
    <x v="0"/>
    <x v="4"/>
    <x v="0"/>
    <x v="0"/>
    <x v="0"/>
    <x v="0"/>
    <x v="0"/>
    <x v="4"/>
    <s v="99"/>
    <x v="9"/>
    <x v="0"/>
    <x v="6"/>
    <x v="1"/>
    <n v="-5479.87"/>
  </r>
  <r>
    <x v="3"/>
    <x v="0"/>
    <x v="1"/>
    <x v="0"/>
    <x v="0"/>
    <x v="4"/>
    <x v="0"/>
    <x v="0"/>
    <x v="0"/>
    <x v="0"/>
    <x v="0"/>
    <x v="4"/>
    <s v="99"/>
    <x v="9"/>
    <x v="0"/>
    <x v="7"/>
    <x v="9"/>
    <n v="-2392.9"/>
  </r>
  <r>
    <x v="3"/>
    <x v="0"/>
    <x v="1"/>
    <x v="0"/>
    <x v="0"/>
    <x v="4"/>
    <x v="0"/>
    <x v="0"/>
    <x v="0"/>
    <x v="0"/>
    <x v="0"/>
    <x v="4"/>
    <s v="99"/>
    <x v="9"/>
    <x v="0"/>
    <x v="7"/>
    <x v="4"/>
    <n v="2392.9"/>
  </r>
  <r>
    <x v="3"/>
    <x v="0"/>
    <x v="1"/>
    <x v="0"/>
    <x v="0"/>
    <x v="4"/>
    <x v="0"/>
    <x v="0"/>
    <x v="0"/>
    <x v="0"/>
    <x v="0"/>
    <x v="4"/>
    <s v="99"/>
    <x v="9"/>
    <x v="0"/>
    <x v="7"/>
    <x v="1"/>
    <n v="94980.61"/>
  </r>
  <r>
    <x v="3"/>
    <x v="0"/>
    <x v="1"/>
    <x v="0"/>
    <x v="0"/>
    <x v="4"/>
    <x v="0"/>
    <x v="0"/>
    <x v="0"/>
    <x v="0"/>
    <x v="4"/>
    <x v="5"/>
    <s v="21"/>
    <x v="27"/>
    <x v="0"/>
    <x v="6"/>
    <x v="1"/>
    <n v="3014"/>
  </r>
  <r>
    <x v="3"/>
    <x v="0"/>
    <x v="1"/>
    <x v="0"/>
    <x v="0"/>
    <x v="4"/>
    <x v="0"/>
    <x v="0"/>
    <x v="0"/>
    <x v="0"/>
    <x v="4"/>
    <x v="5"/>
    <s v="21"/>
    <x v="27"/>
    <x v="0"/>
    <x v="7"/>
    <x v="0"/>
    <n v="30"/>
  </r>
  <r>
    <x v="3"/>
    <x v="0"/>
    <x v="1"/>
    <x v="0"/>
    <x v="0"/>
    <x v="4"/>
    <x v="0"/>
    <x v="0"/>
    <x v="0"/>
    <x v="0"/>
    <x v="4"/>
    <x v="5"/>
    <s v="21"/>
    <x v="27"/>
    <x v="0"/>
    <x v="7"/>
    <x v="2"/>
    <n v="-30"/>
  </r>
  <r>
    <x v="3"/>
    <x v="0"/>
    <x v="1"/>
    <x v="0"/>
    <x v="0"/>
    <x v="4"/>
    <x v="0"/>
    <x v="0"/>
    <x v="0"/>
    <x v="0"/>
    <x v="4"/>
    <x v="5"/>
    <s v="21"/>
    <x v="27"/>
    <x v="0"/>
    <x v="7"/>
    <x v="10"/>
    <n v="-10000"/>
  </r>
  <r>
    <x v="3"/>
    <x v="0"/>
    <x v="1"/>
    <x v="0"/>
    <x v="0"/>
    <x v="4"/>
    <x v="0"/>
    <x v="0"/>
    <x v="0"/>
    <x v="0"/>
    <x v="4"/>
    <x v="5"/>
    <s v="21"/>
    <x v="27"/>
    <x v="0"/>
    <x v="7"/>
    <x v="7"/>
    <n v="17000"/>
  </r>
  <r>
    <x v="3"/>
    <x v="0"/>
    <x v="1"/>
    <x v="0"/>
    <x v="0"/>
    <x v="4"/>
    <x v="0"/>
    <x v="0"/>
    <x v="0"/>
    <x v="0"/>
    <x v="4"/>
    <x v="5"/>
    <s v="21"/>
    <x v="27"/>
    <x v="0"/>
    <x v="7"/>
    <x v="5"/>
    <n v="-10000"/>
  </r>
  <r>
    <x v="3"/>
    <x v="0"/>
    <x v="1"/>
    <x v="0"/>
    <x v="0"/>
    <x v="4"/>
    <x v="0"/>
    <x v="0"/>
    <x v="0"/>
    <x v="0"/>
    <x v="4"/>
    <x v="5"/>
    <s v="21"/>
    <x v="27"/>
    <x v="0"/>
    <x v="7"/>
    <x v="6"/>
    <n v="-1255"/>
  </r>
  <r>
    <x v="3"/>
    <x v="0"/>
    <x v="1"/>
    <x v="0"/>
    <x v="0"/>
    <x v="4"/>
    <x v="0"/>
    <x v="0"/>
    <x v="0"/>
    <x v="0"/>
    <x v="4"/>
    <x v="5"/>
    <s v="21"/>
    <x v="27"/>
    <x v="0"/>
    <x v="7"/>
    <x v="1"/>
    <n v="4278.62"/>
  </r>
  <r>
    <x v="3"/>
    <x v="0"/>
    <x v="1"/>
    <x v="0"/>
    <x v="0"/>
    <x v="4"/>
    <x v="0"/>
    <x v="0"/>
    <x v="0"/>
    <x v="0"/>
    <x v="4"/>
    <x v="5"/>
    <s v="22"/>
    <x v="25"/>
    <x v="0"/>
    <x v="6"/>
    <x v="9"/>
    <n v="-2093.92"/>
  </r>
  <r>
    <x v="3"/>
    <x v="0"/>
    <x v="1"/>
    <x v="0"/>
    <x v="0"/>
    <x v="4"/>
    <x v="0"/>
    <x v="0"/>
    <x v="0"/>
    <x v="0"/>
    <x v="4"/>
    <x v="5"/>
    <s v="22"/>
    <x v="25"/>
    <x v="0"/>
    <x v="6"/>
    <x v="11"/>
    <n v="-1875"/>
  </r>
  <r>
    <x v="3"/>
    <x v="0"/>
    <x v="1"/>
    <x v="0"/>
    <x v="0"/>
    <x v="4"/>
    <x v="0"/>
    <x v="0"/>
    <x v="0"/>
    <x v="0"/>
    <x v="4"/>
    <x v="5"/>
    <s v="22"/>
    <x v="25"/>
    <x v="0"/>
    <x v="6"/>
    <x v="7"/>
    <n v="-33600"/>
  </r>
  <r>
    <x v="3"/>
    <x v="0"/>
    <x v="1"/>
    <x v="0"/>
    <x v="0"/>
    <x v="4"/>
    <x v="0"/>
    <x v="0"/>
    <x v="0"/>
    <x v="0"/>
    <x v="4"/>
    <x v="5"/>
    <s v="22"/>
    <x v="25"/>
    <x v="0"/>
    <x v="6"/>
    <x v="6"/>
    <n v="-3014"/>
  </r>
  <r>
    <x v="3"/>
    <x v="0"/>
    <x v="1"/>
    <x v="0"/>
    <x v="0"/>
    <x v="4"/>
    <x v="0"/>
    <x v="0"/>
    <x v="0"/>
    <x v="0"/>
    <x v="4"/>
    <x v="5"/>
    <s v="22"/>
    <x v="25"/>
    <x v="0"/>
    <x v="7"/>
    <x v="9"/>
    <n v="-39747"/>
  </r>
  <r>
    <x v="3"/>
    <x v="0"/>
    <x v="1"/>
    <x v="0"/>
    <x v="0"/>
    <x v="4"/>
    <x v="0"/>
    <x v="0"/>
    <x v="0"/>
    <x v="0"/>
    <x v="4"/>
    <x v="5"/>
    <s v="94"/>
    <x v="28"/>
    <x v="0"/>
    <x v="6"/>
    <x v="0"/>
    <n v="-314875.34999999998"/>
  </r>
  <r>
    <x v="3"/>
    <x v="0"/>
    <x v="1"/>
    <x v="0"/>
    <x v="0"/>
    <x v="4"/>
    <x v="0"/>
    <x v="0"/>
    <x v="0"/>
    <x v="0"/>
    <x v="4"/>
    <x v="5"/>
    <s v="94"/>
    <x v="28"/>
    <x v="0"/>
    <x v="6"/>
    <x v="2"/>
    <n v="-76303.600000000006"/>
  </r>
  <r>
    <x v="3"/>
    <x v="0"/>
    <x v="1"/>
    <x v="0"/>
    <x v="0"/>
    <x v="4"/>
    <x v="0"/>
    <x v="0"/>
    <x v="0"/>
    <x v="0"/>
    <x v="4"/>
    <x v="5"/>
    <s v="94"/>
    <x v="28"/>
    <x v="0"/>
    <x v="6"/>
    <x v="8"/>
    <n v="-1123.45"/>
  </r>
  <r>
    <x v="3"/>
    <x v="0"/>
    <x v="1"/>
    <x v="0"/>
    <x v="0"/>
    <x v="4"/>
    <x v="0"/>
    <x v="0"/>
    <x v="0"/>
    <x v="0"/>
    <x v="4"/>
    <x v="5"/>
    <s v="94"/>
    <x v="28"/>
    <x v="0"/>
    <x v="6"/>
    <x v="9"/>
    <n v="-963.66"/>
  </r>
  <r>
    <x v="3"/>
    <x v="0"/>
    <x v="1"/>
    <x v="0"/>
    <x v="0"/>
    <x v="4"/>
    <x v="0"/>
    <x v="0"/>
    <x v="0"/>
    <x v="0"/>
    <x v="4"/>
    <x v="5"/>
    <s v="94"/>
    <x v="28"/>
    <x v="0"/>
    <x v="6"/>
    <x v="10"/>
    <n v="-167046.6"/>
  </r>
  <r>
    <x v="3"/>
    <x v="0"/>
    <x v="1"/>
    <x v="0"/>
    <x v="0"/>
    <x v="4"/>
    <x v="0"/>
    <x v="0"/>
    <x v="0"/>
    <x v="0"/>
    <x v="4"/>
    <x v="5"/>
    <s v="94"/>
    <x v="28"/>
    <x v="0"/>
    <x v="6"/>
    <x v="11"/>
    <n v="-271109.56"/>
  </r>
  <r>
    <x v="3"/>
    <x v="0"/>
    <x v="1"/>
    <x v="0"/>
    <x v="0"/>
    <x v="4"/>
    <x v="0"/>
    <x v="0"/>
    <x v="0"/>
    <x v="0"/>
    <x v="4"/>
    <x v="5"/>
    <s v="94"/>
    <x v="28"/>
    <x v="0"/>
    <x v="6"/>
    <x v="3"/>
    <n v="-2243789.7599999998"/>
  </r>
  <r>
    <x v="3"/>
    <x v="0"/>
    <x v="1"/>
    <x v="0"/>
    <x v="0"/>
    <x v="4"/>
    <x v="0"/>
    <x v="0"/>
    <x v="0"/>
    <x v="0"/>
    <x v="4"/>
    <x v="5"/>
    <s v="94"/>
    <x v="28"/>
    <x v="0"/>
    <x v="6"/>
    <x v="4"/>
    <n v="-76576.23"/>
  </r>
  <r>
    <x v="3"/>
    <x v="0"/>
    <x v="1"/>
    <x v="0"/>
    <x v="0"/>
    <x v="4"/>
    <x v="0"/>
    <x v="0"/>
    <x v="0"/>
    <x v="0"/>
    <x v="4"/>
    <x v="5"/>
    <s v="94"/>
    <x v="28"/>
    <x v="0"/>
    <x v="6"/>
    <x v="7"/>
    <n v="-1180.5999999999999"/>
  </r>
  <r>
    <x v="3"/>
    <x v="0"/>
    <x v="1"/>
    <x v="0"/>
    <x v="0"/>
    <x v="4"/>
    <x v="0"/>
    <x v="0"/>
    <x v="0"/>
    <x v="0"/>
    <x v="4"/>
    <x v="5"/>
    <s v="94"/>
    <x v="28"/>
    <x v="0"/>
    <x v="6"/>
    <x v="5"/>
    <n v="-1056.55"/>
  </r>
  <r>
    <x v="3"/>
    <x v="0"/>
    <x v="1"/>
    <x v="0"/>
    <x v="0"/>
    <x v="4"/>
    <x v="0"/>
    <x v="0"/>
    <x v="0"/>
    <x v="0"/>
    <x v="4"/>
    <x v="5"/>
    <s v="94"/>
    <x v="28"/>
    <x v="0"/>
    <x v="6"/>
    <x v="6"/>
    <n v="-507274.69"/>
  </r>
  <r>
    <x v="3"/>
    <x v="0"/>
    <x v="1"/>
    <x v="0"/>
    <x v="0"/>
    <x v="4"/>
    <x v="0"/>
    <x v="0"/>
    <x v="0"/>
    <x v="0"/>
    <x v="4"/>
    <x v="5"/>
    <s v="94"/>
    <x v="28"/>
    <x v="0"/>
    <x v="6"/>
    <x v="1"/>
    <n v="-765072.58"/>
  </r>
  <r>
    <x v="3"/>
    <x v="0"/>
    <x v="1"/>
    <x v="0"/>
    <x v="0"/>
    <x v="4"/>
    <x v="0"/>
    <x v="0"/>
    <x v="0"/>
    <x v="0"/>
    <x v="4"/>
    <x v="5"/>
    <s v="94"/>
    <x v="28"/>
    <x v="0"/>
    <x v="7"/>
    <x v="0"/>
    <n v="-596277.98"/>
  </r>
  <r>
    <x v="3"/>
    <x v="0"/>
    <x v="1"/>
    <x v="0"/>
    <x v="0"/>
    <x v="4"/>
    <x v="0"/>
    <x v="0"/>
    <x v="0"/>
    <x v="0"/>
    <x v="4"/>
    <x v="5"/>
    <s v="94"/>
    <x v="28"/>
    <x v="0"/>
    <x v="7"/>
    <x v="2"/>
    <n v="-76830.55"/>
  </r>
  <r>
    <x v="3"/>
    <x v="0"/>
    <x v="1"/>
    <x v="0"/>
    <x v="0"/>
    <x v="4"/>
    <x v="0"/>
    <x v="0"/>
    <x v="0"/>
    <x v="0"/>
    <x v="4"/>
    <x v="5"/>
    <s v="94"/>
    <x v="28"/>
    <x v="0"/>
    <x v="7"/>
    <x v="8"/>
    <n v="-1669.58"/>
  </r>
  <r>
    <x v="3"/>
    <x v="0"/>
    <x v="1"/>
    <x v="0"/>
    <x v="0"/>
    <x v="4"/>
    <x v="0"/>
    <x v="0"/>
    <x v="0"/>
    <x v="0"/>
    <x v="4"/>
    <x v="5"/>
    <s v="94"/>
    <x v="28"/>
    <x v="0"/>
    <x v="7"/>
    <x v="9"/>
    <n v="-1373.33"/>
  </r>
  <r>
    <x v="3"/>
    <x v="0"/>
    <x v="1"/>
    <x v="0"/>
    <x v="0"/>
    <x v="4"/>
    <x v="0"/>
    <x v="0"/>
    <x v="0"/>
    <x v="0"/>
    <x v="4"/>
    <x v="5"/>
    <s v="94"/>
    <x v="28"/>
    <x v="0"/>
    <x v="7"/>
    <x v="10"/>
    <n v="-158152.21"/>
  </r>
  <r>
    <x v="3"/>
    <x v="0"/>
    <x v="1"/>
    <x v="0"/>
    <x v="0"/>
    <x v="4"/>
    <x v="0"/>
    <x v="0"/>
    <x v="0"/>
    <x v="0"/>
    <x v="4"/>
    <x v="5"/>
    <s v="94"/>
    <x v="28"/>
    <x v="0"/>
    <x v="7"/>
    <x v="11"/>
    <n v="-254609.7"/>
  </r>
  <r>
    <x v="3"/>
    <x v="0"/>
    <x v="1"/>
    <x v="0"/>
    <x v="0"/>
    <x v="4"/>
    <x v="0"/>
    <x v="0"/>
    <x v="0"/>
    <x v="0"/>
    <x v="4"/>
    <x v="5"/>
    <s v="94"/>
    <x v="28"/>
    <x v="0"/>
    <x v="7"/>
    <x v="3"/>
    <n v="-1660213.18"/>
  </r>
  <r>
    <x v="3"/>
    <x v="0"/>
    <x v="1"/>
    <x v="0"/>
    <x v="0"/>
    <x v="4"/>
    <x v="0"/>
    <x v="0"/>
    <x v="0"/>
    <x v="0"/>
    <x v="4"/>
    <x v="5"/>
    <s v="94"/>
    <x v="28"/>
    <x v="0"/>
    <x v="7"/>
    <x v="4"/>
    <n v="-502166.04"/>
  </r>
  <r>
    <x v="3"/>
    <x v="0"/>
    <x v="1"/>
    <x v="0"/>
    <x v="0"/>
    <x v="4"/>
    <x v="0"/>
    <x v="0"/>
    <x v="0"/>
    <x v="0"/>
    <x v="4"/>
    <x v="5"/>
    <s v="94"/>
    <x v="28"/>
    <x v="0"/>
    <x v="7"/>
    <x v="7"/>
    <n v="-1369.46"/>
  </r>
  <r>
    <x v="3"/>
    <x v="0"/>
    <x v="1"/>
    <x v="0"/>
    <x v="0"/>
    <x v="4"/>
    <x v="0"/>
    <x v="0"/>
    <x v="0"/>
    <x v="0"/>
    <x v="4"/>
    <x v="5"/>
    <s v="94"/>
    <x v="28"/>
    <x v="0"/>
    <x v="7"/>
    <x v="5"/>
    <n v="-1376.72"/>
  </r>
  <r>
    <x v="3"/>
    <x v="0"/>
    <x v="1"/>
    <x v="0"/>
    <x v="0"/>
    <x v="4"/>
    <x v="0"/>
    <x v="0"/>
    <x v="0"/>
    <x v="0"/>
    <x v="4"/>
    <x v="5"/>
    <s v="94"/>
    <x v="28"/>
    <x v="0"/>
    <x v="7"/>
    <x v="6"/>
    <n v="-343241.79"/>
  </r>
  <r>
    <x v="3"/>
    <x v="0"/>
    <x v="1"/>
    <x v="0"/>
    <x v="0"/>
    <x v="4"/>
    <x v="0"/>
    <x v="0"/>
    <x v="0"/>
    <x v="0"/>
    <x v="4"/>
    <x v="5"/>
    <s v="94"/>
    <x v="28"/>
    <x v="0"/>
    <x v="7"/>
    <x v="1"/>
    <n v="-919712.78"/>
  </r>
  <r>
    <x v="3"/>
    <x v="0"/>
    <x v="1"/>
    <x v="0"/>
    <x v="0"/>
    <x v="0"/>
    <x v="0"/>
    <x v="0"/>
    <x v="0"/>
    <x v="1"/>
    <x v="1"/>
    <x v="8"/>
    <s v="41"/>
    <x v="4"/>
    <x v="0"/>
    <x v="7"/>
    <x v="1"/>
    <n v="729.3"/>
  </r>
  <r>
    <x v="3"/>
    <x v="0"/>
    <x v="1"/>
    <x v="0"/>
    <x v="0"/>
    <x v="0"/>
    <x v="0"/>
    <x v="0"/>
    <x v="0"/>
    <x v="0"/>
    <x v="0"/>
    <x v="4"/>
    <s v="09"/>
    <x v="0"/>
    <x v="0"/>
    <x v="6"/>
    <x v="0"/>
    <n v="12966.49"/>
  </r>
  <r>
    <x v="3"/>
    <x v="0"/>
    <x v="1"/>
    <x v="0"/>
    <x v="0"/>
    <x v="0"/>
    <x v="0"/>
    <x v="0"/>
    <x v="0"/>
    <x v="0"/>
    <x v="0"/>
    <x v="4"/>
    <s v="09"/>
    <x v="0"/>
    <x v="0"/>
    <x v="6"/>
    <x v="2"/>
    <n v="5711.39"/>
  </r>
  <r>
    <x v="3"/>
    <x v="0"/>
    <x v="1"/>
    <x v="0"/>
    <x v="0"/>
    <x v="0"/>
    <x v="0"/>
    <x v="0"/>
    <x v="0"/>
    <x v="0"/>
    <x v="0"/>
    <x v="4"/>
    <s v="09"/>
    <x v="0"/>
    <x v="0"/>
    <x v="6"/>
    <x v="8"/>
    <n v="41985.49"/>
  </r>
  <r>
    <x v="3"/>
    <x v="0"/>
    <x v="1"/>
    <x v="0"/>
    <x v="0"/>
    <x v="0"/>
    <x v="0"/>
    <x v="0"/>
    <x v="0"/>
    <x v="0"/>
    <x v="0"/>
    <x v="4"/>
    <s v="09"/>
    <x v="0"/>
    <x v="0"/>
    <x v="6"/>
    <x v="9"/>
    <n v="100050.34"/>
  </r>
  <r>
    <x v="3"/>
    <x v="0"/>
    <x v="1"/>
    <x v="0"/>
    <x v="0"/>
    <x v="0"/>
    <x v="0"/>
    <x v="0"/>
    <x v="0"/>
    <x v="0"/>
    <x v="0"/>
    <x v="4"/>
    <s v="09"/>
    <x v="0"/>
    <x v="0"/>
    <x v="6"/>
    <x v="10"/>
    <n v="101059.89"/>
  </r>
  <r>
    <x v="3"/>
    <x v="0"/>
    <x v="1"/>
    <x v="0"/>
    <x v="0"/>
    <x v="0"/>
    <x v="0"/>
    <x v="0"/>
    <x v="0"/>
    <x v="0"/>
    <x v="0"/>
    <x v="4"/>
    <s v="09"/>
    <x v="0"/>
    <x v="0"/>
    <x v="6"/>
    <x v="11"/>
    <n v="63098.33"/>
  </r>
  <r>
    <x v="3"/>
    <x v="0"/>
    <x v="1"/>
    <x v="0"/>
    <x v="0"/>
    <x v="0"/>
    <x v="0"/>
    <x v="0"/>
    <x v="0"/>
    <x v="0"/>
    <x v="0"/>
    <x v="4"/>
    <s v="09"/>
    <x v="0"/>
    <x v="0"/>
    <x v="6"/>
    <x v="3"/>
    <n v="64777.53"/>
  </r>
  <r>
    <x v="3"/>
    <x v="0"/>
    <x v="1"/>
    <x v="0"/>
    <x v="0"/>
    <x v="0"/>
    <x v="0"/>
    <x v="0"/>
    <x v="0"/>
    <x v="0"/>
    <x v="0"/>
    <x v="4"/>
    <s v="09"/>
    <x v="0"/>
    <x v="0"/>
    <x v="6"/>
    <x v="5"/>
    <n v="381100.71"/>
  </r>
  <r>
    <x v="3"/>
    <x v="0"/>
    <x v="1"/>
    <x v="0"/>
    <x v="0"/>
    <x v="0"/>
    <x v="0"/>
    <x v="0"/>
    <x v="0"/>
    <x v="0"/>
    <x v="0"/>
    <x v="4"/>
    <s v="09"/>
    <x v="0"/>
    <x v="0"/>
    <x v="7"/>
    <x v="0"/>
    <n v="177292.45"/>
  </r>
  <r>
    <x v="3"/>
    <x v="0"/>
    <x v="1"/>
    <x v="0"/>
    <x v="0"/>
    <x v="0"/>
    <x v="0"/>
    <x v="0"/>
    <x v="0"/>
    <x v="0"/>
    <x v="0"/>
    <x v="4"/>
    <s v="09"/>
    <x v="0"/>
    <x v="0"/>
    <x v="7"/>
    <x v="9"/>
    <n v="197971.32"/>
  </r>
  <r>
    <x v="3"/>
    <x v="0"/>
    <x v="1"/>
    <x v="0"/>
    <x v="0"/>
    <x v="0"/>
    <x v="0"/>
    <x v="0"/>
    <x v="0"/>
    <x v="0"/>
    <x v="0"/>
    <x v="4"/>
    <s v="09"/>
    <x v="0"/>
    <x v="0"/>
    <x v="7"/>
    <x v="3"/>
    <n v="201974.88"/>
  </r>
  <r>
    <x v="3"/>
    <x v="0"/>
    <x v="1"/>
    <x v="0"/>
    <x v="0"/>
    <x v="0"/>
    <x v="0"/>
    <x v="0"/>
    <x v="0"/>
    <x v="0"/>
    <x v="0"/>
    <x v="4"/>
    <s v="09"/>
    <x v="0"/>
    <x v="0"/>
    <x v="7"/>
    <x v="6"/>
    <n v="496018.27"/>
  </r>
  <r>
    <x v="3"/>
    <x v="0"/>
    <x v="1"/>
    <x v="0"/>
    <x v="0"/>
    <x v="0"/>
    <x v="0"/>
    <x v="0"/>
    <x v="0"/>
    <x v="0"/>
    <x v="0"/>
    <x v="4"/>
    <s v="20"/>
    <x v="7"/>
    <x v="0"/>
    <x v="6"/>
    <x v="2"/>
    <n v="1820.08"/>
  </r>
  <r>
    <x v="3"/>
    <x v="0"/>
    <x v="1"/>
    <x v="0"/>
    <x v="0"/>
    <x v="0"/>
    <x v="0"/>
    <x v="0"/>
    <x v="0"/>
    <x v="0"/>
    <x v="0"/>
    <x v="4"/>
    <s v="20"/>
    <x v="7"/>
    <x v="0"/>
    <x v="6"/>
    <x v="8"/>
    <n v="-1820.08"/>
  </r>
  <r>
    <x v="3"/>
    <x v="0"/>
    <x v="1"/>
    <x v="0"/>
    <x v="0"/>
    <x v="0"/>
    <x v="0"/>
    <x v="0"/>
    <x v="0"/>
    <x v="0"/>
    <x v="0"/>
    <x v="4"/>
    <s v="20"/>
    <x v="7"/>
    <x v="0"/>
    <x v="6"/>
    <x v="9"/>
    <n v="280"/>
  </r>
  <r>
    <x v="3"/>
    <x v="0"/>
    <x v="1"/>
    <x v="0"/>
    <x v="0"/>
    <x v="0"/>
    <x v="0"/>
    <x v="0"/>
    <x v="0"/>
    <x v="0"/>
    <x v="0"/>
    <x v="4"/>
    <s v="20"/>
    <x v="7"/>
    <x v="0"/>
    <x v="6"/>
    <x v="10"/>
    <n v="-280"/>
  </r>
  <r>
    <x v="3"/>
    <x v="0"/>
    <x v="1"/>
    <x v="0"/>
    <x v="0"/>
    <x v="0"/>
    <x v="0"/>
    <x v="0"/>
    <x v="0"/>
    <x v="0"/>
    <x v="0"/>
    <x v="4"/>
    <s v="20"/>
    <x v="7"/>
    <x v="0"/>
    <x v="7"/>
    <x v="11"/>
    <n v="524.42999999999995"/>
  </r>
  <r>
    <x v="3"/>
    <x v="0"/>
    <x v="1"/>
    <x v="0"/>
    <x v="0"/>
    <x v="0"/>
    <x v="0"/>
    <x v="0"/>
    <x v="0"/>
    <x v="0"/>
    <x v="0"/>
    <x v="4"/>
    <s v="20"/>
    <x v="7"/>
    <x v="0"/>
    <x v="7"/>
    <x v="7"/>
    <n v="-524.42999999999995"/>
  </r>
  <r>
    <x v="3"/>
    <x v="0"/>
    <x v="1"/>
    <x v="0"/>
    <x v="0"/>
    <x v="0"/>
    <x v="0"/>
    <x v="0"/>
    <x v="0"/>
    <x v="0"/>
    <x v="0"/>
    <x v="4"/>
    <s v="20"/>
    <x v="7"/>
    <x v="0"/>
    <x v="7"/>
    <x v="6"/>
    <n v="-14.1"/>
  </r>
  <r>
    <x v="3"/>
    <x v="0"/>
    <x v="1"/>
    <x v="0"/>
    <x v="0"/>
    <x v="0"/>
    <x v="0"/>
    <x v="0"/>
    <x v="0"/>
    <x v="0"/>
    <x v="0"/>
    <x v="4"/>
    <s v="20"/>
    <x v="7"/>
    <x v="0"/>
    <x v="7"/>
    <x v="1"/>
    <n v="-10"/>
  </r>
  <r>
    <x v="3"/>
    <x v="0"/>
    <x v="1"/>
    <x v="0"/>
    <x v="0"/>
    <x v="0"/>
    <x v="0"/>
    <x v="0"/>
    <x v="0"/>
    <x v="0"/>
    <x v="0"/>
    <x v="4"/>
    <s v="24"/>
    <x v="1"/>
    <x v="0"/>
    <x v="6"/>
    <x v="0"/>
    <n v="14032.79"/>
  </r>
  <r>
    <x v="3"/>
    <x v="0"/>
    <x v="1"/>
    <x v="0"/>
    <x v="0"/>
    <x v="0"/>
    <x v="0"/>
    <x v="0"/>
    <x v="0"/>
    <x v="0"/>
    <x v="0"/>
    <x v="4"/>
    <s v="24"/>
    <x v="1"/>
    <x v="0"/>
    <x v="6"/>
    <x v="2"/>
    <n v="41292531.520000003"/>
  </r>
  <r>
    <x v="3"/>
    <x v="0"/>
    <x v="1"/>
    <x v="0"/>
    <x v="0"/>
    <x v="0"/>
    <x v="0"/>
    <x v="0"/>
    <x v="0"/>
    <x v="0"/>
    <x v="0"/>
    <x v="4"/>
    <s v="24"/>
    <x v="1"/>
    <x v="0"/>
    <x v="6"/>
    <x v="8"/>
    <n v="11074165.720000001"/>
  </r>
  <r>
    <x v="3"/>
    <x v="0"/>
    <x v="1"/>
    <x v="0"/>
    <x v="0"/>
    <x v="0"/>
    <x v="0"/>
    <x v="0"/>
    <x v="0"/>
    <x v="0"/>
    <x v="0"/>
    <x v="4"/>
    <s v="24"/>
    <x v="1"/>
    <x v="0"/>
    <x v="6"/>
    <x v="9"/>
    <n v="1137777.8400000001"/>
  </r>
  <r>
    <x v="3"/>
    <x v="0"/>
    <x v="1"/>
    <x v="0"/>
    <x v="0"/>
    <x v="0"/>
    <x v="0"/>
    <x v="0"/>
    <x v="0"/>
    <x v="0"/>
    <x v="0"/>
    <x v="4"/>
    <s v="24"/>
    <x v="1"/>
    <x v="0"/>
    <x v="6"/>
    <x v="10"/>
    <n v="326089.28999999998"/>
  </r>
  <r>
    <x v="3"/>
    <x v="0"/>
    <x v="1"/>
    <x v="0"/>
    <x v="0"/>
    <x v="0"/>
    <x v="0"/>
    <x v="0"/>
    <x v="0"/>
    <x v="0"/>
    <x v="0"/>
    <x v="4"/>
    <s v="24"/>
    <x v="1"/>
    <x v="0"/>
    <x v="6"/>
    <x v="11"/>
    <n v="164629.23000000001"/>
  </r>
  <r>
    <x v="3"/>
    <x v="0"/>
    <x v="1"/>
    <x v="0"/>
    <x v="0"/>
    <x v="0"/>
    <x v="0"/>
    <x v="0"/>
    <x v="0"/>
    <x v="0"/>
    <x v="0"/>
    <x v="4"/>
    <s v="24"/>
    <x v="1"/>
    <x v="0"/>
    <x v="6"/>
    <x v="3"/>
    <n v="48744411.590000004"/>
  </r>
  <r>
    <x v="3"/>
    <x v="0"/>
    <x v="1"/>
    <x v="0"/>
    <x v="0"/>
    <x v="0"/>
    <x v="0"/>
    <x v="0"/>
    <x v="0"/>
    <x v="0"/>
    <x v="0"/>
    <x v="4"/>
    <s v="24"/>
    <x v="1"/>
    <x v="0"/>
    <x v="6"/>
    <x v="4"/>
    <n v="1244058.6100000001"/>
  </r>
  <r>
    <x v="3"/>
    <x v="0"/>
    <x v="1"/>
    <x v="0"/>
    <x v="0"/>
    <x v="0"/>
    <x v="0"/>
    <x v="0"/>
    <x v="0"/>
    <x v="0"/>
    <x v="0"/>
    <x v="4"/>
    <s v="24"/>
    <x v="1"/>
    <x v="0"/>
    <x v="6"/>
    <x v="7"/>
    <n v="368728.24"/>
  </r>
  <r>
    <x v="3"/>
    <x v="0"/>
    <x v="1"/>
    <x v="0"/>
    <x v="0"/>
    <x v="0"/>
    <x v="0"/>
    <x v="0"/>
    <x v="0"/>
    <x v="0"/>
    <x v="0"/>
    <x v="4"/>
    <s v="24"/>
    <x v="1"/>
    <x v="0"/>
    <x v="6"/>
    <x v="5"/>
    <n v="245050.9"/>
  </r>
  <r>
    <x v="3"/>
    <x v="0"/>
    <x v="1"/>
    <x v="0"/>
    <x v="0"/>
    <x v="0"/>
    <x v="0"/>
    <x v="0"/>
    <x v="0"/>
    <x v="0"/>
    <x v="0"/>
    <x v="4"/>
    <s v="24"/>
    <x v="1"/>
    <x v="0"/>
    <x v="6"/>
    <x v="6"/>
    <n v="-313336.44"/>
  </r>
  <r>
    <x v="3"/>
    <x v="0"/>
    <x v="1"/>
    <x v="0"/>
    <x v="0"/>
    <x v="0"/>
    <x v="0"/>
    <x v="0"/>
    <x v="0"/>
    <x v="0"/>
    <x v="0"/>
    <x v="4"/>
    <s v="24"/>
    <x v="1"/>
    <x v="0"/>
    <x v="6"/>
    <x v="1"/>
    <n v="-23229.7"/>
  </r>
  <r>
    <x v="3"/>
    <x v="0"/>
    <x v="1"/>
    <x v="0"/>
    <x v="0"/>
    <x v="0"/>
    <x v="0"/>
    <x v="0"/>
    <x v="0"/>
    <x v="0"/>
    <x v="0"/>
    <x v="4"/>
    <s v="24"/>
    <x v="1"/>
    <x v="0"/>
    <x v="7"/>
    <x v="0"/>
    <n v="12625.66"/>
  </r>
  <r>
    <x v="3"/>
    <x v="0"/>
    <x v="1"/>
    <x v="0"/>
    <x v="0"/>
    <x v="0"/>
    <x v="0"/>
    <x v="0"/>
    <x v="0"/>
    <x v="0"/>
    <x v="0"/>
    <x v="4"/>
    <s v="24"/>
    <x v="1"/>
    <x v="0"/>
    <x v="7"/>
    <x v="2"/>
    <n v="46447180.479999997"/>
  </r>
  <r>
    <x v="3"/>
    <x v="0"/>
    <x v="1"/>
    <x v="0"/>
    <x v="0"/>
    <x v="0"/>
    <x v="0"/>
    <x v="0"/>
    <x v="0"/>
    <x v="0"/>
    <x v="0"/>
    <x v="4"/>
    <s v="24"/>
    <x v="1"/>
    <x v="0"/>
    <x v="7"/>
    <x v="8"/>
    <n v="9530070.4900000002"/>
  </r>
  <r>
    <x v="3"/>
    <x v="0"/>
    <x v="1"/>
    <x v="0"/>
    <x v="0"/>
    <x v="0"/>
    <x v="0"/>
    <x v="0"/>
    <x v="0"/>
    <x v="0"/>
    <x v="0"/>
    <x v="4"/>
    <s v="24"/>
    <x v="1"/>
    <x v="0"/>
    <x v="7"/>
    <x v="9"/>
    <n v="744627.94"/>
  </r>
  <r>
    <x v="3"/>
    <x v="0"/>
    <x v="1"/>
    <x v="0"/>
    <x v="0"/>
    <x v="0"/>
    <x v="0"/>
    <x v="0"/>
    <x v="0"/>
    <x v="0"/>
    <x v="0"/>
    <x v="4"/>
    <s v="24"/>
    <x v="1"/>
    <x v="0"/>
    <x v="7"/>
    <x v="10"/>
    <n v="412765.24"/>
  </r>
  <r>
    <x v="3"/>
    <x v="0"/>
    <x v="1"/>
    <x v="0"/>
    <x v="0"/>
    <x v="0"/>
    <x v="0"/>
    <x v="0"/>
    <x v="0"/>
    <x v="0"/>
    <x v="0"/>
    <x v="4"/>
    <s v="24"/>
    <x v="1"/>
    <x v="0"/>
    <x v="7"/>
    <x v="11"/>
    <n v="243770.73"/>
  </r>
  <r>
    <x v="3"/>
    <x v="0"/>
    <x v="1"/>
    <x v="0"/>
    <x v="0"/>
    <x v="0"/>
    <x v="0"/>
    <x v="0"/>
    <x v="0"/>
    <x v="0"/>
    <x v="0"/>
    <x v="4"/>
    <s v="24"/>
    <x v="1"/>
    <x v="0"/>
    <x v="7"/>
    <x v="3"/>
    <n v="52257054.780000001"/>
  </r>
  <r>
    <x v="3"/>
    <x v="0"/>
    <x v="1"/>
    <x v="0"/>
    <x v="0"/>
    <x v="0"/>
    <x v="0"/>
    <x v="0"/>
    <x v="0"/>
    <x v="0"/>
    <x v="0"/>
    <x v="4"/>
    <s v="24"/>
    <x v="1"/>
    <x v="0"/>
    <x v="7"/>
    <x v="4"/>
    <n v="-365851.76"/>
  </r>
  <r>
    <x v="3"/>
    <x v="0"/>
    <x v="1"/>
    <x v="0"/>
    <x v="0"/>
    <x v="0"/>
    <x v="0"/>
    <x v="0"/>
    <x v="0"/>
    <x v="0"/>
    <x v="0"/>
    <x v="4"/>
    <s v="24"/>
    <x v="1"/>
    <x v="0"/>
    <x v="7"/>
    <x v="7"/>
    <n v="279760.86"/>
  </r>
  <r>
    <x v="3"/>
    <x v="0"/>
    <x v="1"/>
    <x v="0"/>
    <x v="0"/>
    <x v="0"/>
    <x v="0"/>
    <x v="0"/>
    <x v="0"/>
    <x v="0"/>
    <x v="0"/>
    <x v="4"/>
    <s v="24"/>
    <x v="1"/>
    <x v="0"/>
    <x v="7"/>
    <x v="5"/>
    <n v="258522.28"/>
  </r>
  <r>
    <x v="3"/>
    <x v="0"/>
    <x v="1"/>
    <x v="0"/>
    <x v="0"/>
    <x v="0"/>
    <x v="0"/>
    <x v="0"/>
    <x v="0"/>
    <x v="0"/>
    <x v="0"/>
    <x v="4"/>
    <s v="24"/>
    <x v="1"/>
    <x v="0"/>
    <x v="7"/>
    <x v="6"/>
    <n v="34488.160000000003"/>
  </r>
  <r>
    <x v="3"/>
    <x v="0"/>
    <x v="1"/>
    <x v="0"/>
    <x v="0"/>
    <x v="0"/>
    <x v="0"/>
    <x v="0"/>
    <x v="0"/>
    <x v="0"/>
    <x v="0"/>
    <x v="4"/>
    <s v="24"/>
    <x v="1"/>
    <x v="0"/>
    <x v="7"/>
    <x v="1"/>
    <n v="-354507.23"/>
  </r>
  <r>
    <x v="3"/>
    <x v="0"/>
    <x v="1"/>
    <x v="0"/>
    <x v="0"/>
    <x v="0"/>
    <x v="0"/>
    <x v="0"/>
    <x v="0"/>
    <x v="0"/>
    <x v="0"/>
    <x v="4"/>
    <s v="28"/>
    <x v="23"/>
    <x v="0"/>
    <x v="6"/>
    <x v="0"/>
    <n v="3.1"/>
  </r>
  <r>
    <x v="3"/>
    <x v="0"/>
    <x v="1"/>
    <x v="0"/>
    <x v="0"/>
    <x v="0"/>
    <x v="0"/>
    <x v="0"/>
    <x v="0"/>
    <x v="0"/>
    <x v="0"/>
    <x v="4"/>
    <s v="28"/>
    <x v="23"/>
    <x v="0"/>
    <x v="6"/>
    <x v="2"/>
    <n v="-36.6"/>
  </r>
  <r>
    <x v="3"/>
    <x v="0"/>
    <x v="1"/>
    <x v="0"/>
    <x v="0"/>
    <x v="0"/>
    <x v="0"/>
    <x v="0"/>
    <x v="0"/>
    <x v="0"/>
    <x v="0"/>
    <x v="4"/>
    <s v="28"/>
    <x v="23"/>
    <x v="0"/>
    <x v="6"/>
    <x v="9"/>
    <n v="652.36"/>
  </r>
  <r>
    <x v="3"/>
    <x v="0"/>
    <x v="1"/>
    <x v="0"/>
    <x v="0"/>
    <x v="0"/>
    <x v="0"/>
    <x v="0"/>
    <x v="0"/>
    <x v="0"/>
    <x v="0"/>
    <x v="4"/>
    <s v="28"/>
    <x v="23"/>
    <x v="0"/>
    <x v="6"/>
    <x v="10"/>
    <n v="-652.36"/>
  </r>
  <r>
    <x v="3"/>
    <x v="0"/>
    <x v="1"/>
    <x v="0"/>
    <x v="0"/>
    <x v="0"/>
    <x v="0"/>
    <x v="0"/>
    <x v="0"/>
    <x v="0"/>
    <x v="0"/>
    <x v="4"/>
    <s v="28"/>
    <x v="23"/>
    <x v="0"/>
    <x v="6"/>
    <x v="5"/>
    <n v="596.95000000000005"/>
  </r>
  <r>
    <x v="3"/>
    <x v="0"/>
    <x v="1"/>
    <x v="0"/>
    <x v="0"/>
    <x v="0"/>
    <x v="0"/>
    <x v="0"/>
    <x v="0"/>
    <x v="0"/>
    <x v="0"/>
    <x v="4"/>
    <s v="28"/>
    <x v="23"/>
    <x v="0"/>
    <x v="6"/>
    <x v="6"/>
    <n v="-596.95000000000005"/>
  </r>
  <r>
    <x v="3"/>
    <x v="0"/>
    <x v="1"/>
    <x v="0"/>
    <x v="0"/>
    <x v="0"/>
    <x v="0"/>
    <x v="0"/>
    <x v="0"/>
    <x v="0"/>
    <x v="0"/>
    <x v="4"/>
    <s v="99"/>
    <x v="9"/>
    <x v="0"/>
    <x v="6"/>
    <x v="8"/>
    <n v="6000"/>
  </r>
  <r>
    <x v="3"/>
    <x v="0"/>
    <x v="1"/>
    <x v="0"/>
    <x v="0"/>
    <x v="0"/>
    <x v="0"/>
    <x v="0"/>
    <x v="0"/>
    <x v="0"/>
    <x v="0"/>
    <x v="4"/>
    <s v="99"/>
    <x v="9"/>
    <x v="0"/>
    <x v="6"/>
    <x v="9"/>
    <n v="-6000"/>
  </r>
  <r>
    <x v="3"/>
    <x v="0"/>
    <x v="1"/>
    <x v="0"/>
    <x v="0"/>
    <x v="0"/>
    <x v="0"/>
    <x v="0"/>
    <x v="0"/>
    <x v="0"/>
    <x v="0"/>
    <x v="4"/>
    <s v="99"/>
    <x v="9"/>
    <x v="0"/>
    <x v="7"/>
    <x v="9"/>
    <n v="6000"/>
  </r>
  <r>
    <x v="3"/>
    <x v="0"/>
    <x v="1"/>
    <x v="0"/>
    <x v="0"/>
    <x v="0"/>
    <x v="0"/>
    <x v="0"/>
    <x v="0"/>
    <x v="0"/>
    <x v="0"/>
    <x v="4"/>
    <s v="99"/>
    <x v="9"/>
    <x v="0"/>
    <x v="7"/>
    <x v="10"/>
    <n v="-6000"/>
  </r>
  <r>
    <x v="3"/>
    <x v="0"/>
    <x v="1"/>
    <x v="0"/>
    <x v="0"/>
    <x v="0"/>
    <x v="0"/>
    <x v="0"/>
    <x v="0"/>
    <x v="0"/>
    <x v="0"/>
    <x v="4"/>
    <s v="99"/>
    <x v="9"/>
    <x v="0"/>
    <x v="7"/>
    <x v="1"/>
    <n v="150"/>
  </r>
  <r>
    <x v="3"/>
    <x v="0"/>
    <x v="1"/>
    <x v="0"/>
    <x v="0"/>
    <x v="0"/>
    <x v="0"/>
    <x v="0"/>
    <x v="0"/>
    <x v="0"/>
    <x v="4"/>
    <x v="5"/>
    <s v="21"/>
    <x v="27"/>
    <x v="0"/>
    <x v="7"/>
    <x v="11"/>
    <n v="1460000"/>
  </r>
  <r>
    <x v="3"/>
    <x v="0"/>
    <x v="1"/>
    <x v="0"/>
    <x v="0"/>
    <x v="0"/>
    <x v="0"/>
    <x v="0"/>
    <x v="0"/>
    <x v="0"/>
    <x v="4"/>
    <x v="5"/>
    <s v="21"/>
    <x v="27"/>
    <x v="0"/>
    <x v="7"/>
    <x v="3"/>
    <n v="5517956.2999999998"/>
  </r>
  <r>
    <x v="3"/>
    <x v="0"/>
    <x v="1"/>
    <x v="0"/>
    <x v="0"/>
    <x v="0"/>
    <x v="0"/>
    <x v="0"/>
    <x v="0"/>
    <x v="0"/>
    <x v="4"/>
    <x v="5"/>
    <s v="21"/>
    <x v="27"/>
    <x v="0"/>
    <x v="7"/>
    <x v="7"/>
    <n v="4279270.1100000003"/>
  </r>
  <r>
    <x v="3"/>
    <x v="0"/>
    <x v="1"/>
    <x v="0"/>
    <x v="0"/>
    <x v="0"/>
    <x v="0"/>
    <x v="0"/>
    <x v="0"/>
    <x v="0"/>
    <x v="4"/>
    <x v="5"/>
    <s v="21"/>
    <x v="27"/>
    <x v="0"/>
    <x v="7"/>
    <x v="6"/>
    <n v="5281055.63"/>
  </r>
  <r>
    <x v="3"/>
    <x v="0"/>
    <x v="1"/>
    <x v="0"/>
    <x v="0"/>
    <x v="0"/>
    <x v="0"/>
    <x v="0"/>
    <x v="0"/>
    <x v="0"/>
    <x v="4"/>
    <x v="5"/>
    <s v="21"/>
    <x v="27"/>
    <x v="0"/>
    <x v="7"/>
    <x v="1"/>
    <n v="1725306.83"/>
  </r>
  <r>
    <x v="3"/>
    <x v="0"/>
    <x v="1"/>
    <x v="0"/>
    <x v="0"/>
    <x v="0"/>
    <x v="0"/>
    <x v="0"/>
    <x v="0"/>
    <x v="0"/>
    <x v="4"/>
    <x v="5"/>
    <s v="22"/>
    <x v="25"/>
    <x v="0"/>
    <x v="6"/>
    <x v="0"/>
    <n v="-1198277.94"/>
  </r>
  <r>
    <x v="3"/>
    <x v="0"/>
    <x v="1"/>
    <x v="0"/>
    <x v="0"/>
    <x v="0"/>
    <x v="0"/>
    <x v="0"/>
    <x v="0"/>
    <x v="0"/>
    <x v="4"/>
    <x v="5"/>
    <s v="22"/>
    <x v="25"/>
    <x v="0"/>
    <x v="6"/>
    <x v="2"/>
    <n v="-25115.72"/>
  </r>
  <r>
    <x v="3"/>
    <x v="0"/>
    <x v="1"/>
    <x v="0"/>
    <x v="0"/>
    <x v="0"/>
    <x v="0"/>
    <x v="0"/>
    <x v="0"/>
    <x v="0"/>
    <x v="4"/>
    <x v="5"/>
    <s v="22"/>
    <x v="25"/>
    <x v="0"/>
    <x v="6"/>
    <x v="8"/>
    <n v="-155.72999999999999"/>
  </r>
  <r>
    <x v="3"/>
    <x v="0"/>
    <x v="1"/>
    <x v="0"/>
    <x v="0"/>
    <x v="0"/>
    <x v="0"/>
    <x v="0"/>
    <x v="0"/>
    <x v="0"/>
    <x v="4"/>
    <x v="5"/>
    <s v="22"/>
    <x v="25"/>
    <x v="0"/>
    <x v="6"/>
    <x v="9"/>
    <n v="-133.58000000000001"/>
  </r>
  <r>
    <x v="3"/>
    <x v="0"/>
    <x v="1"/>
    <x v="0"/>
    <x v="0"/>
    <x v="0"/>
    <x v="0"/>
    <x v="0"/>
    <x v="0"/>
    <x v="0"/>
    <x v="4"/>
    <x v="5"/>
    <s v="22"/>
    <x v="25"/>
    <x v="0"/>
    <x v="6"/>
    <x v="10"/>
    <n v="-12741.23"/>
  </r>
  <r>
    <x v="3"/>
    <x v="0"/>
    <x v="1"/>
    <x v="0"/>
    <x v="0"/>
    <x v="0"/>
    <x v="0"/>
    <x v="0"/>
    <x v="0"/>
    <x v="0"/>
    <x v="4"/>
    <x v="5"/>
    <s v="22"/>
    <x v="25"/>
    <x v="0"/>
    <x v="6"/>
    <x v="11"/>
    <n v="-38738.480000000003"/>
  </r>
  <r>
    <x v="3"/>
    <x v="0"/>
    <x v="1"/>
    <x v="0"/>
    <x v="0"/>
    <x v="0"/>
    <x v="0"/>
    <x v="0"/>
    <x v="0"/>
    <x v="0"/>
    <x v="4"/>
    <x v="5"/>
    <s v="22"/>
    <x v="25"/>
    <x v="0"/>
    <x v="6"/>
    <x v="3"/>
    <n v="-1023161.09"/>
  </r>
  <r>
    <x v="3"/>
    <x v="0"/>
    <x v="1"/>
    <x v="0"/>
    <x v="0"/>
    <x v="0"/>
    <x v="0"/>
    <x v="0"/>
    <x v="0"/>
    <x v="0"/>
    <x v="4"/>
    <x v="5"/>
    <s v="22"/>
    <x v="25"/>
    <x v="0"/>
    <x v="6"/>
    <x v="4"/>
    <n v="-25153.51"/>
  </r>
  <r>
    <x v="3"/>
    <x v="0"/>
    <x v="1"/>
    <x v="0"/>
    <x v="0"/>
    <x v="0"/>
    <x v="0"/>
    <x v="0"/>
    <x v="0"/>
    <x v="0"/>
    <x v="4"/>
    <x v="5"/>
    <s v="22"/>
    <x v="25"/>
    <x v="0"/>
    <x v="6"/>
    <x v="7"/>
    <n v="-163.65"/>
  </r>
  <r>
    <x v="3"/>
    <x v="0"/>
    <x v="1"/>
    <x v="0"/>
    <x v="0"/>
    <x v="0"/>
    <x v="0"/>
    <x v="0"/>
    <x v="0"/>
    <x v="0"/>
    <x v="4"/>
    <x v="5"/>
    <s v="22"/>
    <x v="25"/>
    <x v="0"/>
    <x v="6"/>
    <x v="5"/>
    <n v="-203.92"/>
  </r>
  <r>
    <x v="3"/>
    <x v="0"/>
    <x v="1"/>
    <x v="0"/>
    <x v="0"/>
    <x v="0"/>
    <x v="0"/>
    <x v="0"/>
    <x v="0"/>
    <x v="0"/>
    <x v="4"/>
    <x v="5"/>
    <s v="22"/>
    <x v="25"/>
    <x v="0"/>
    <x v="6"/>
    <x v="6"/>
    <n v="-37790.300000000003"/>
  </r>
  <r>
    <x v="3"/>
    <x v="0"/>
    <x v="1"/>
    <x v="0"/>
    <x v="0"/>
    <x v="0"/>
    <x v="0"/>
    <x v="0"/>
    <x v="0"/>
    <x v="0"/>
    <x v="4"/>
    <x v="5"/>
    <s v="22"/>
    <x v="25"/>
    <x v="0"/>
    <x v="6"/>
    <x v="1"/>
    <n v="-113777.08"/>
  </r>
  <r>
    <x v="3"/>
    <x v="0"/>
    <x v="1"/>
    <x v="0"/>
    <x v="0"/>
    <x v="0"/>
    <x v="0"/>
    <x v="0"/>
    <x v="0"/>
    <x v="0"/>
    <x v="4"/>
    <x v="5"/>
    <s v="22"/>
    <x v="25"/>
    <x v="0"/>
    <x v="7"/>
    <x v="0"/>
    <n v="-1317819.04"/>
  </r>
  <r>
    <x v="3"/>
    <x v="0"/>
    <x v="1"/>
    <x v="0"/>
    <x v="0"/>
    <x v="0"/>
    <x v="0"/>
    <x v="0"/>
    <x v="0"/>
    <x v="0"/>
    <x v="4"/>
    <x v="5"/>
    <s v="22"/>
    <x v="25"/>
    <x v="0"/>
    <x v="7"/>
    <x v="2"/>
    <n v="-25188.75"/>
  </r>
  <r>
    <x v="3"/>
    <x v="0"/>
    <x v="1"/>
    <x v="0"/>
    <x v="0"/>
    <x v="0"/>
    <x v="0"/>
    <x v="0"/>
    <x v="0"/>
    <x v="0"/>
    <x v="4"/>
    <x v="5"/>
    <s v="22"/>
    <x v="25"/>
    <x v="0"/>
    <x v="7"/>
    <x v="8"/>
    <n v="-231.44"/>
  </r>
  <r>
    <x v="3"/>
    <x v="0"/>
    <x v="1"/>
    <x v="0"/>
    <x v="0"/>
    <x v="0"/>
    <x v="0"/>
    <x v="0"/>
    <x v="0"/>
    <x v="0"/>
    <x v="4"/>
    <x v="5"/>
    <s v="22"/>
    <x v="25"/>
    <x v="0"/>
    <x v="7"/>
    <x v="9"/>
    <n v="-190.36"/>
  </r>
  <r>
    <x v="3"/>
    <x v="0"/>
    <x v="1"/>
    <x v="0"/>
    <x v="0"/>
    <x v="0"/>
    <x v="0"/>
    <x v="0"/>
    <x v="0"/>
    <x v="0"/>
    <x v="4"/>
    <x v="5"/>
    <s v="22"/>
    <x v="25"/>
    <x v="0"/>
    <x v="7"/>
    <x v="10"/>
    <n v="-12120.51"/>
  </r>
  <r>
    <x v="3"/>
    <x v="0"/>
    <x v="1"/>
    <x v="0"/>
    <x v="0"/>
    <x v="0"/>
    <x v="0"/>
    <x v="0"/>
    <x v="0"/>
    <x v="0"/>
    <x v="4"/>
    <x v="5"/>
    <s v="22"/>
    <x v="25"/>
    <x v="0"/>
    <x v="7"/>
    <x v="11"/>
    <n v="-36499.31"/>
  </r>
  <r>
    <x v="3"/>
    <x v="0"/>
    <x v="1"/>
    <x v="0"/>
    <x v="0"/>
    <x v="0"/>
    <x v="0"/>
    <x v="0"/>
    <x v="0"/>
    <x v="0"/>
    <x v="4"/>
    <x v="5"/>
    <s v="22"/>
    <x v="25"/>
    <x v="0"/>
    <x v="7"/>
    <x v="3"/>
    <n v="-7117602.0999999996"/>
  </r>
  <r>
    <x v="3"/>
    <x v="0"/>
    <x v="1"/>
    <x v="0"/>
    <x v="0"/>
    <x v="0"/>
    <x v="0"/>
    <x v="0"/>
    <x v="0"/>
    <x v="0"/>
    <x v="4"/>
    <x v="5"/>
    <s v="22"/>
    <x v="25"/>
    <x v="0"/>
    <x v="7"/>
    <x v="4"/>
    <n v="-165235.26999999999"/>
  </r>
  <r>
    <x v="3"/>
    <x v="0"/>
    <x v="1"/>
    <x v="0"/>
    <x v="0"/>
    <x v="0"/>
    <x v="0"/>
    <x v="0"/>
    <x v="0"/>
    <x v="0"/>
    <x v="4"/>
    <x v="5"/>
    <s v="22"/>
    <x v="25"/>
    <x v="0"/>
    <x v="7"/>
    <x v="7"/>
    <n v="-4279459.93"/>
  </r>
  <r>
    <x v="3"/>
    <x v="0"/>
    <x v="1"/>
    <x v="0"/>
    <x v="0"/>
    <x v="0"/>
    <x v="0"/>
    <x v="0"/>
    <x v="0"/>
    <x v="0"/>
    <x v="4"/>
    <x v="5"/>
    <s v="22"/>
    <x v="25"/>
    <x v="0"/>
    <x v="7"/>
    <x v="5"/>
    <n v="-190.83"/>
  </r>
  <r>
    <x v="3"/>
    <x v="0"/>
    <x v="1"/>
    <x v="0"/>
    <x v="0"/>
    <x v="0"/>
    <x v="0"/>
    <x v="0"/>
    <x v="0"/>
    <x v="0"/>
    <x v="4"/>
    <x v="5"/>
    <s v="22"/>
    <x v="25"/>
    <x v="0"/>
    <x v="7"/>
    <x v="6"/>
    <n v="-6108188.5599999996"/>
  </r>
  <r>
    <x v="3"/>
    <x v="0"/>
    <x v="1"/>
    <x v="0"/>
    <x v="0"/>
    <x v="0"/>
    <x v="0"/>
    <x v="0"/>
    <x v="0"/>
    <x v="0"/>
    <x v="4"/>
    <x v="5"/>
    <s v="22"/>
    <x v="25"/>
    <x v="0"/>
    <x v="7"/>
    <x v="1"/>
    <n v="-2519433.58"/>
  </r>
  <r>
    <x v="3"/>
    <x v="0"/>
    <x v="1"/>
    <x v="0"/>
    <x v="0"/>
    <x v="1"/>
    <x v="0"/>
    <x v="0"/>
    <x v="0"/>
    <x v="0"/>
    <x v="0"/>
    <x v="4"/>
    <s v="09"/>
    <x v="0"/>
    <x v="0"/>
    <x v="6"/>
    <x v="0"/>
    <n v="18189.96"/>
  </r>
  <r>
    <x v="3"/>
    <x v="0"/>
    <x v="1"/>
    <x v="0"/>
    <x v="0"/>
    <x v="1"/>
    <x v="0"/>
    <x v="0"/>
    <x v="0"/>
    <x v="0"/>
    <x v="0"/>
    <x v="4"/>
    <s v="09"/>
    <x v="0"/>
    <x v="0"/>
    <x v="6"/>
    <x v="2"/>
    <n v="16191.86"/>
  </r>
  <r>
    <x v="3"/>
    <x v="0"/>
    <x v="1"/>
    <x v="0"/>
    <x v="0"/>
    <x v="1"/>
    <x v="0"/>
    <x v="0"/>
    <x v="0"/>
    <x v="0"/>
    <x v="0"/>
    <x v="4"/>
    <s v="09"/>
    <x v="0"/>
    <x v="0"/>
    <x v="6"/>
    <x v="8"/>
    <n v="11913.64"/>
  </r>
  <r>
    <x v="3"/>
    <x v="0"/>
    <x v="1"/>
    <x v="0"/>
    <x v="0"/>
    <x v="1"/>
    <x v="0"/>
    <x v="0"/>
    <x v="0"/>
    <x v="0"/>
    <x v="0"/>
    <x v="4"/>
    <s v="09"/>
    <x v="0"/>
    <x v="0"/>
    <x v="6"/>
    <x v="9"/>
    <n v="22481.57"/>
  </r>
  <r>
    <x v="3"/>
    <x v="0"/>
    <x v="1"/>
    <x v="0"/>
    <x v="0"/>
    <x v="1"/>
    <x v="0"/>
    <x v="0"/>
    <x v="0"/>
    <x v="0"/>
    <x v="0"/>
    <x v="4"/>
    <s v="09"/>
    <x v="0"/>
    <x v="0"/>
    <x v="6"/>
    <x v="10"/>
    <n v="19818.310000000001"/>
  </r>
  <r>
    <x v="3"/>
    <x v="0"/>
    <x v="1"/>
    <x v="0"/>
    <x v="0"/>
    <x v="1"/>
    <x v="0"/>
    <x v="0"/>
    <x v="0"/>
    <x v="0"/>
    <x v="0"/>
    <x v="4"/>
    <s v="09"/>
    <x v="0"/>
    <x v="0"/>
    <x v="6"/>
    <x v="11"/>
    <n v="17104.990000000002"/>
  </r>
  <r>
    <x v="3"/>
    <x v="0"/>
    <x v="1"/>
    <x v="0"/>
    <x v="0"/>
    <x v="1"/>
    <x v="0"/>
    <x v="0"/>
    <x v="0"/>
    <x v="0"/>
    <x v="0"/>
    <x v="4"/>
    <s v="09"/>
    <x v="0"/>
    <x v="0"/>
    <x v="6"/>
    <x v="3"/>
    <n v="36050.71"/>
  </r>
  <r>
    <x v="3"/>
    <x v="0"/>
    <x v="1"/>
    <x v="0"/>
    <x v="0"/>
    <x v="1"/>
    <x v="0"/>
    <x v="0"/>
    <x v="0"/>
    <x v="0"/>
    <x v="0"/>
    <x v="4"/>
    <s v="09"/>
    <x v="0"/>
    <x v="0"/>
    <x v="6"/>
    <x v="4"/>
    <n v="32298.85"/>
  </r>
  <r>
    <x v="3"/>
    <x v="0"/>
    <x v="1"/>
    <x v="0"/>
    <x v="0"/>
    <x v="1"/>
    <x v="0"/>
    <x v="0"/>
    <x v="0"/>
    <x v="0"/>
    <x v="0"/>
    <x v="4"/>
    <s v="09"/>
    <x v="0"/>
    <x v="0"/>
    <x v="6"/>
    <x v="7"/>
    <n v="28859.19"/>
  </r>
  <r>
    <x v="3"/>
    <x v="0"/>
    <x v="1"/>
    <x v="0"/>
    <x v="0"/>
    <x v="1"/>
    <x v="0"/>
    <x v="0"/>
    <x v="0"/>
    <x v="0"/>
    <x v="0"/>
    <x v="4"/>
    <s v="09"/>
    <x v="0"/>
    <x v="0"/>
    <x v="6"/>
    <x v="5"/>
    <n v="40949.19"/>
  </r>
  <r>
    <x v="3"/>
    <x v="0"/>
    <x v="1"/>
    <x v="0"/>
    <x v="0"/>
    <x v="1"/>
    <x v="0"/>
    <x v="0"/>
    <x v="0"/>
    <x v="0"/>
    <x v="0"/>
    <x v="4"/>
    <s v="09"/>
    <x v="0"/>
    <x v="0"/>
    <x v="6"/>
    <x v="6"/>
    <n v="38641.589999999997"/>
  </r>
  <r>
    <x v="3"/>
    <x v="0"/>
    <x v="1"/>
    <x v="0"/>
    <x v="0"/>
    <x v="1"/>
    <x v="0"/>
    <x v="0"/>
    <x v="0"/>
    <x v="0"/>
    <x v="0"/>
    <x v="4"/>
    <s v="09"/>
    <x v="0"/>
    <x v="0"/>
    <x v="6"/>
    <x v="1"/>
    <n v="334626.28000000003"/>
  </r>
  <r>
    <x v="3"/>
    <x v="0"/>
    <x v="1"/>
    <x v="0"/>
    <x v="0"/>
    <x v="1"/>
    <x v="0"/>
    <x v="0"/>
    <x v="0"/>
    <x v="0"/>
    <x v="0"/>
    <x v="4"/>
    <s v="09"/>
    <x v="0"/>
    <x v="0"/>
    <x v="7"/>
    <x v="0"/>
    <n v="37716.269999999997"/>
  </r>
  <r>
    <x v="3"/>
    <x v="0"/>
    <x v="1"/>
    <x v="0"/>
    <x v="0"/>
    <x v="1"/>
    <x v="0"/>
    <x v="0"/>
    <x v="0"/>
    <x v="0"/>
    <x v="0"/>
    <x v="4"/>
    <s v="09"/>
    <x v="0"/>
    <x v="0"/>
    <x v="7"/>
    <x v="2"/>
    <n v="33268.730000000003"/>
  </r>
  <r>
    <x v="3"/>
    <x v="0"/>
    <x v="1"/>
    <x v="0"/>
    <x v="0"/>
    <x v="1"/>
    <x v="0"/>
    <x v="0"/>
    <x v="0"/>
    <x v="0"/>
    <x v="0"/>
    <x v="4"/>
    <s v="09"/>
    <x v="0"/>
    <x v="0"/>
    <x v="7"/>
    <x v="8"/>
    <n v="46716.36"/>
  </r>
  <r>
    <x v="3"/>
    <x v="0"/>
    <x v="1"/>
    <x v="0"/>
    <x v="0"/>
    <x v="1"/>
    <x v="0"/>
    <x v="0"/>
    <x v="0"/>
    <x v="0"/>
    <x v="0"/>
    <x v="4"/>
    <s v="09"/>
    <x v="0"/>
    <x v="0"/>
    <x v="7"/>
    <x v="9"/>
    <n v="43785.06"/>
  </r>
  <r>
    <x v="3"/>
    <x v="0"/>
    <x v="1"/>
    <x v="0"/>
    <x v="0"/>
    <x v="1"/>
    <x v="0"/>
    <x v="0"/>
    <x v="0"/>
    <x v="0"/>
    <x v="0"/>
    <x v="4"/>
    <s v="09"/>
    <x v="0"/>
    <x v="0"/>
    <x v="7"/>
    <x v="11"/>
    <n v="85815.72"/>
  </r>
  <r>
    <x v="3"/>
    <x v="0"/>
    <x v="1"/>
    <x v="0"/>
    <x v="0"/>
    <x v="1"/>
    <x v="0"/>
    <x v="0"/>
    <x v="0"/>
    <x v="0"/>
    <x v="0"/>
    <x v="4"/>
    <s v="09"/>
    <x v="0"/>
    <x v="0"/>
    <x v="7"/>
    <x v="3"/>
    <n v="50287.98"/>
  </r>
  <r>
    <x v="3"/>
    <x v="0"/>
    <x v="1"/>
    <x v="0"/>
    <x v="0"/>
    <x v="1"/>
    <x v="0"/>
    <x v="0"/>
    <x v="0"/>
    <x v="0"/>
    <x v="0"/>
    <x v="4"/>
    <s v="09"/>
    <x v="0"/>
    <x v="0"/>
    <x v="7"/>
    <x v="4"/>
    <n v="39802.67"/>
  </r>
  <r>
    <x v="3"/>
    <x v="0"/>
    <x v="1"/>
    <x v="0"/>
    <x v="0"/>
    <x v="1"/>
    <x v="0"/>
    <x v="0"/>
    <x v="0"/>
    <x v="0"/>
    <x v="0"/>
    <x v="4"/>
    <s v="09"/>
    <x v="0"/>
    <x v="0"/>
    <x v="7"/>
    <x v="7"/>
    <n v="55648.72"/>
  </r>
  <r>
    <x v="3"/>
    <x v="0"/>
    <x v="1"/>
    <x v="0"/>
    <x v="0"/>
    <x v="1"/>
    <x v="0"/>
    <x v="0"/>
    <x v="0"/>
    <x v="0"/>
    <x v="0"/>
    <x v="4"/>
    <s v="09"/>
    <x v="0"/>
    <x v="0"/>
    <x v="7"/>
    <x v="5"/>
    <n v="56430.18"/>
  </r>
  <r>
    <x v="3"/>
    <x v="0"/>
    <x v="1"/>
    <x v="0"/>
    <x v="0"/>
    <x v="1"/>
    <x v="0"/>
    <x v="0"/>
    <x v="0"/>
    <x v="0"/>
    <x v="0"/>
    <x v="4"/>
    <s v="09"/>
    <x v="0"/>
    <x v="0"/>
    <x v="7"/>
    <x v="6"/>
    <n v="53615.64"/>
  </r>
  <r>
    <x v="3"/>
    <x v="0"/>
    <x v="1"/>
    <x v="0"/>
    <x v="0"/>
    <x v="1"/>
    <x v="0"/>
    <x v="0"/>
    <x v="0"/>
    <x v="0"/>
    <x v="0"/>
    <x v="4"/>
    <s v="09"/>
    <x v="0"/>
    <x v="0"/>
    <x v="7"/>
    <x v="1"/>
    <n v="304359.59999999998"/>
  </r>
  <r>
    <x v="3"/>
    <x v="0"/>
    <x v="1"/>
    <x v="0"/>
    <x v="0"/>
    <x v="1"/>
    <x v="0"/>
    <x v="0"/>
    <x v="0"/>
    <x v="0"/>
    <x v="0"/>
    <x v="4"/>
    <s v="13"/>
    <x v="30"/>
    <x v="0"/>
    <x v="6"/>
    <x v="1"/>
    <n v="-46700"/>
  </r>
  <r>
    <x v="3"/>
    <x v="0"/>
    <x v="1"/>
    <x v="0"/>
    <x v="0"/>
    <x v="1"/>
    <x v="0"/>
    <x v="0"/>
    <x v="0"/>
    <x v="0"/>
    <x v="0"/>
    <x v="4"/>
    <s v="24"/>
    <x v="1"/>
    <x v="0"/>
    <x v="6"/>
    <x v="9"/>
    <n v="10965507.060000001"/>
  </r>
  <r>
    <x v="3"/>
    <x v="0"/>
    <x v="1"/>
    <x v="0"/>
    <x v="0"/>
    <x v="1"/>
    <x v="0"/>
    <x v="0"/>
    <x v="0"/>
    <x v="0"/>
    <x v="0"/>
    <x v="4"/>
    <s v="24"/>
    <x v="1"/>
    <x v="0"/>
    <x v="6"/>
    <x v="10"/>
    <n v="273795.90000000002"/>
  </r>
  <r>
    <x v="3"/>
    <x v="0"/>
    <x v="1"/>
    <x v="0"/>
    <x v="0"/>
    <x v="1"/>
    <x v="0"/>
    <x v="0"/>
    <x v="0"/>
    <x v="0"/>
    <x v="0"/>
    <x v="4"/>
    <s v="24"/>
    <x v="1"/>
    <x v="0"/>
    <x v="6"/>
    <x v="11"/>
    <n v="108562.4"/>
  </r>
  <r>
    <x v="3"/>
    <x v="0"/>
    <x v="1"/>
    <x v="0"/>
    <x v="0"/>
    <x v="1"/>
    <x v="0"/>
    <x v="0"/>
    <x v="0"/>
    <x v="0"/>
    <x v="0"/>
    <x v="4"/>
    <s v="24"/>
    <x v="1"/>
    <x v="0"/>
    <x v="6"/>
    <x v="3"/>
    <n v="10551569.01"/>
  </r>
  <r>
    <x v="3"/>
    <x v="0"/>
    <x v="1"/>
    <x v="0"/>
    <x v="0"/>
    <x v="1"/>
    <x v="0"/>
    <x v="0"/>
    <x v="0"/>
    <x v="0"/>
    <x v="0"/>
    <x v="4"/>
    <s v="24"/>
    <x v="1"/>
    <x v="0"/>
    <x v="6"/>
    <x v="4"/>
    <n v="294792.15999999997"/>
  </r>
  <r>
    <x v="3"/>
    <x v="0"/>
    <x v="1"/>
    <x v="0"/>
    <x v="0"/>
    <x v="1"/>
    <x v="0"/>
    <x v="0"/>
    <x v="0"/>
    <x v="0"/>
    <x v="0"/>
    <x v="4"/>
    <s v="24"/>
    <x v="1"/>
    <x v="0"/>
    <x v="6"/>
    <x v="7"/>
    <n v="437975.67"/>
  </r>
  <r>
    <x v="3"/>
    <x v="0"/>
    <x v="1"/>
    <x v="0"/>
    <x v="0"/>
    <x v="1"/>
    <x v="0"/>
    <x v="0"/>
    <x v="0"/>
    <x v="0"/>
    <x v="0"/>
    <x v="4"/>
    <s v="24"/>
    <x v="1"/>
    <x v="0"/>
    <x v="6"/>
    <x v="5"/>
    <n v="9692527.9900000002"/>
  </r>
  <r>
    <x v="3"/>
    <x v="0"/>
    <x v="1"/>
    <x v="0"/>
    <x v="0"/>
    <x v="1"/>
    <x v="0"/>
    <x v="0"/>
    <x v="0"/>
    <x v="0"/>
    <x v="0"/>
    <x v="4"/>
    <s v="24"/>
    <x v="1"/>
    <x v="0"/>
    <x v="6"/>
    <x v="6"/>
    <n v="277291.61"/>
  </r>
  <r>
    <x v="3"/>
    <x v="0"/>
    <x v="1"/>
    <x v="0"/>
    <x v="0"/>
    <x v="1"/>
    <x v="0"/>
    <x v="0"/>
    <x v="0"/>
    <x v="0"/>
    <x v="0"/>
    <x v="4"/>
    <s v="24"/>
    <x v="1"/>
    <x v="0"/>
    <x v="6"/>
    <x v="1"/>
    <n v="55950.96"/>
  </r>
  <r>
    <x v="3"/>
    <x v="0"/>
    <x v="1"/>
    <x v="0"/>
    <x v="0"/>
    <x v="1"/>
    <x v="0"/>
    <x v="0"/>
    <x v="0"/>
    <x v="0"/>
    <x v="0"/>
    <x v="4"/>
    <s v="24"/>
    <x v="1"/>
    <x v="0"/>
    <x v="7"/>
    <x v="0"/>
    <n v="60211.13"/>
  </r>
  <r>
    <x v="3"/>
    <x v="0"/>
    <x v="1"/>
    <x v="0"/>
    <x v="0"/>
    <x v="1"/>
    <x v="0"/>
    <x v="0"/>
    <x v="0"/>
    <x v="0"/>
    <x v="0"/>
    <x v="4"/>
    <s v="24"/>
    <x v="1"/>
    <x v="0"/>
    <x v="7"/>
    <x v="2"/>
    <n v="-9393.39"/>
  </r>
  <r>
    <x v="3"/>
    <x v="0"/>
    <x v="1"/>
    <x v="0"/>
    <x v="0"/>
    <x v="1"/>
    <x v="0"/>
    <x v="0"/>
    <x v="0"/>
    <x v="0"/>
    <x v="0"/>
    <x v="4"/>
    <s v="24"/>
    <x v="1"/>
    <x v="0"/>
    <x v="7"/>
    <x v="8"/>
    <n v="12557328.550000001"/>
  </r>
  <r>
    <x v="3"/>
    <x v="0"/>
    <x v="1"/>
    <x v="0"/>
    <x v="0"/>
    <x v="1"/>
    <x v="0"/>
    <x v="0"/>
    <x v="0"/>
    <x v="0"/>
    <x v="0"/>
    <x v="4"/>
    <s v="24"/>
    <x v="1"/>
    <x v="0"/>
    <x v="7"/>
    <x v="9"/>
    <n v="-114024.46"/>
  </r>
  <r>
    <x v="3"/>
    <x v="0"/>
    <x v="1"/>
    <x v="0"/>
    <x v="0"/>
    <x v="1"/>
    <x v="0"/>
    <x v="0"/>
    <x v="0"/>
    <x v="0"/>
    <x v="0"/>
    <x v="4"/>
    <s v="24"/>
    <x v="1"/>
    <x v="0"/>
    <x v="7"/>
    <x v="11"/>
    <n v="11684753.310000001"/>
  </r>
  <r>
    <x v="3"/>
    <x v="0"/>
    <x v="1"/>
    <x v="0"/>
    <x v="0"/>
    <x v="1"/>
    <x v="0"/>
    <x v="0"/>
    <x v="0"/>
    <x v="0"/>
    <x v="0"/>
    <x v="4"/>
    <s v="24"/>
    <x v="1"/>
    <x v="0"/>
    <x v="7"/>
    <x v="3"/>
    <n v="13452.39"/>
  </r>
  <r>
    <x v="3"/>
    <x v="0"/>
    <x v="1"/>
    <x v="0"/>
    <x v="0"/>
    <x v="1"/>
    <x v="0"/>
    <x v="0"/>
    <x v="0"/>
    <x v="0"/>
    <x v="0"/>
    <x v="4"/>
    <s v="24"/>
    <x v="1"/>
    <x v="0"/>
    <x v="7"/>
    <x v="4"/>
    <n v="-9503.06"/>
  </r>
  <r>
    <x v="3"/>
    <x v="0"/>
    <x v="1"/>
    <x v="0"/>
    <x v="0"/>
    <x v="1"/>
    <x v="0"/>
    <x v="0"/>
    <x v="0"/>
    <x v="0"/>
    <x v="0"/>
    <x v="4"/>
    <s v="24"/>
    <x v="1"/>
    <x v="0"/>
    <x v="7"/>
    <x v="7"/>
    <n v="11439832.279999999"/>
  </r>
  <r>
    <x v="3"/>
    <x v="0"/>
    <x v="1"/>
    <x v="0"/>
    <x v="0"/>
    <x v="1"/>
    <x v="0"/>
    <x v="0"/>
    <x v="0"/>
    <x v="0"/>
    <x v="0"/>
    <x v="4"/>
    <s v="24"/>
    <x v="1"/>
    <x v="0"/>
    <x v="7"/>
    <x v="5"/>
    <n v="-333523.74"/>
  </r>
  <r>
    <x v="3"/>
    <x v="0"/>
    <x v="1"/>
    <x v="0"/>
    <x v="0"/>
    <x v="1"/>
    <x v="0"/>
    <x v="0"/>
    <x v="0"/>
    <x v="0"/>
    <x v="0"/>
    <x v="4"/>
    <s v="24"/>
    <x v="1"/>
    <x v="0"/>
    <x v="7"/>
    <x v="6"/>
    <n v="-24013.22"/>
  </r>
  <r>
    <x v="3"/>
    <x v="0"/>
    <x v="1"/>
    <x v="0"/>
    <x v="0"/>
    <x v="1"/>
    <x v="0"/>
    <x v="0"/>
    <x v="0"/>
    <x v="0"/>
    <x v="0"/>
    <x v="4"/>
    <s v="24"/>
    <x v="1"/>
    <x v="0"/>
    <x v="7"/>
    <x v="1"/>
    <n v="-98319.87"/>
  </r>
  <r>
    <x v="3"/>
    <x v="0"/>
    <x v="1"/>
    <x v="0"/>
    <x v="0"/>
    <x v="1"/>
    <x v="0"/>
    <x v="0"/>
    <x v="0"/>
    <x v="0"/>
    <x v="4"/>
    <x v="5"/>
    <s v="22"/>
    <x v="25"/>
    <x v="0"/>
    <x v="6"/>
    <x v="1"/>
    <n v="-210334"/>
  </r>
  <r>
    <x v="3"/>
    <x v="0"/>
    <x v="1"/>
    <x v="0"/>
    <x v="0"/>
    <x v="5"/>
    <x v="0"/>
    <x v="0"/>
    <x v="0"/>
    <x v="0"/>
    <x v="0"/>
    <x v="4"/>
    <s v="09"/>
    <x v="0"/>
    <x v="0"/>
    <x v="6"/>
    <x v="1"/>
    <n v="306606.71000000002"/>
  </r>
  <r>
    <x v="3"/>
    <x v="0"/>
    <x v="1"/>
    <x v="0"/>
    <x v="0"/>
    <x v="5"/>
    <x v="0"/>
    <x v="0"/>
    <x v="0"/>
    <x v="0"/>
    <x v="0"/>
    <x v="4"/>
    <s v="09"/>
    <x v="0"/>
    <x v="0"/>
    <x v="7"/>
    <x v="1"/>
    <n v="447349.76000000001"/>
  </r>
  <r>
    <x v="3"/>
    <x v="0"/>
    <x v="1"/>
    <x v="0"/>
    <x v="0"/>
    <x v="5"/>
    <x v="0"/>
    <x v="0"/>
    <x v="0"/>
    <x v="0"/>
    <x v="0"/>
    <x v="4"/>
    <s v="24"/>
    <x v="1"/>
    <x v="0"/>
    <x v="6"/>
    <x v="0"/>
    <n v="2313.1999999999998"/>
  </r>
  <r>
    <x v="3"/>
    <x v="0"/>
    <x v="1"/>
    <x v="0"/>
    <x v="0"/>
    <x v="5"/>
    <x v="0"/>
    <x v="0"/>
    <x v="0"/>
    <x v="0"/>
    <x v="0"/>
    <x v="4"/>
    <s v="24"/>
    <x v="1"/>
    <x v="0"/>
    <x v="6"/>
    <x v="2"/>
    <n v="-95851.98"/>
  </r>
  <r>
    <x v="3"/>
    <x v="0"/>
    <x v="1"/>
    <x v="0"/>
    <x v="0"/>
    <x v="5"/>
    <x v="0"/>
    <x v="0"/>
    <x v="0"/>
    <x v="0"/>
    <x v="0"/>
    <x v="4"/>
    <s v="24"/>
    <x v="1"/>
    <x v="0"/>
    <x v="6"/>
    <x v="8"/>
    <n v="12202775.07"/>
  </r>
  <r>
    <x v="3"/>
    <x v="0"/>
    <x v="1"/>
    <x v="0"/>
    <x v="0"/>
    <x v="5"/>
    <x v="0"/>
    <x v="0"/>
    <x v="0"/>
    <x v="0"/>
    <x v="0"/>
    <x v="4"/>
    <s v="24"/>
    <x v="1"/>
    <x v="0"/>
    <x v="6"/>
    <x v="9"/>
    <n v="22406.47"/>
  </r>
  <r>
    <x v="3"/>
    <x v="0"/>
    <x v="1"/>
    <x v="0"/>
    <x v="0"/>
    <x v="5"/>
    <x v="0"/>
    <x v="0"/>
    <x v="0"/>
    <x v="0"/>
    <x v="0"/>
    <x v="4"/>
    <s v="24"/>
    <x v="1"/>
    <x v="0"/>
    <x v="6"/>
    <x v="10"/>
    <n v="22492.35"/>
  </r>
  <r>
    <x v="3"/>
    <x v="0"/>
    <x v="1"/>
    <x v="0"/>
    <x v="0"/>
    <x v="5"/>
    <x v="0"/>
    <x v="0"/>
    <x v="0"/>
    <x v="0"/>
    <x v="0"/>
    <x v="4"/>
    <s v="24"/>
    <x v="1"/>
    <x v="0"/>
    <x v="6"/>
    <x v="11"/>
    <n v="-1556973.96"/>
  </r>
  <r>
    <x v="3"/>
    <x v="0"/>
    <x v="1"/>
    <x v="0"/>
    <x v="0"/>
    <x v="5"/>
    <x v="0"/>
    <x v="0"/>
    <x v="0"/>
    <x v="0"/>
    <x v="0"/>
    <x v="4"/>
    <s v="24"/>
    <x v="1"/>
    <x v="0"/>
    <x v="6"/>
    <x v="3"/>
    <n v="10346767.09"/>
  </r>
  <r>
    <x v="3"/>
    <x v="0"/>
    <x v="1"/>
    <x v="0"/>
    <x v="0"/>
    <x v="5"/>
    <x v="0"/>
    <x v="0"/>
    <x v="0"/>
    <x v="0"/>
    <x v="0"/>
    <x v="4"/>
    <s v="24"/>
    <x v="1"/>
    <x v="0"/>
    <x v="6"/>
    <x v="4"/>
    <n v="-37065.230000000003"/>
  </r>
  <r>
    <x v="3"/>
    <x v="0"/>
    <x v="1"/>
    <x v="0"/>
    <x v="0"/>
    <x v="5"/>
    <x v="0"/>
    <x v="0"/>
    <x v="0"/>
    <x v="0"/>
    <x v="0"/>
    <x v="4"/>
    <s v="24"/>
    <x v="1"/>
    <x v="0"/>
    <x v="6"/>
    <x v="7"/>
    <n v="11246355.48"/>
  </r>
  <r>
    <x v="3"/>
    <x v="0"/>
    <x v="1"/>
    <x v="0"/>
    <x v="0"/>
    <x v="5"/>
    <x v="0"/>
    <x v="0"/>
    <x v="0"/>
    <x v="0"/>
    <x v="0"/>
    <x v="4"/>
    <s v="24"/>
    <x v="1"/>
    <x v="0"/>
    <x v="6"/>
    <x v="6"/>
    <n v="-1308876.78"/>
  </r>
  <r>
    <x v="3"/>
    <x v="0"/>
    <x v="1"/>
    <x v="0"/>
    <x v="0"/>
    <x v="5"/>
    <x v="0"/>
    <x v="0"/>
    <x v="0"/>
    <x v="0"/>
    <x v="0"/>
    <x v="4"/>
    <s v="24"/>
    <x v="1"/>
    <x v="0"/>
    <x v="6"/>
    <x v="1"/>
    <n v="254.2"/>
  </r>
  <r>
    <x v="3"/>
    <x v="0"/>
    <x v="1"/>
    <x v="0"/>
    <x v="0"/>
    <x v="5"/>
    <x v="0"/>
    <x v="0"/>
    <x v="0"/>
    <x v="0"/>
    <x v="0"/>
    <x v="4"/>
    <s v="24"/>
    <x v="1"/>
    <x v="0"/>
    <x v="7"/>
    <x v="2"/>
    <n v="-42988.79"/>
  </r>
  <r>
    <x v="3"/>
    <x v="0"/>
    <x v="1"/>
    <x v="0"/>
    <x v="0"/>
    <x v="5"/>
    <x v="0"/>
    <x v="0"/>
    <x v="0"/>
    <x v="0"/>
    <x v="0"/>
    <x v="4"/>
    <s v="24"/>
    <x v="1"/>
    <x v="0"/>
    <x v="7"/>
    <x v="9"/>
    <n v="-1523789.3"/>
  </r>
  <r>
    <x v="3"/>
    <x v="0"/>
    <x v="1"/>
    <x v="0"/>
    <x v="0"/>
    <x v="5"/>
    <x v="0"/>
    <x v="0"/>
    <x v="0"/>
    <x v="0"/>
    <x v="0"/>
    <x v="4"/>
    <s v="24"/>
    <x v="1"/>
    <x v="0"/>
    <x v="7"/>
    <x v="10"/>
    <n v="13327175.300000001"/>
  </r>
  <r>
    <x v="3"/>
    <x v="0"/>
    <x v="1"/>
    <x v="0"/>
    <x v="0"/>
    <x v="5"/>
    <x v="0"/>
    <x v="0"/>
    <x v="0"/>
    <x v="0"/>
    <x v="0"/>
    <x v="4"/>
    <s v="24"/>
    <x v="1"/>
    <x v="0"/>
    <x v="7"/>
    <x v="11"/>
    <n v="-113873.55"/>
  </r>
  <r>
    <x v="3"/>
    <x v="0"/>
    <x v="1"/>
    <x v="0"/>
    <x v="0"/>
    <x v="5"/>
    <x v="0"/>
    <x v="0"/>
    <x v="0"/>
    <x v="0"/>
    <x v="0"/>
    <x v="4"/>
    <s v="24"/>
    <x v="1"/>
    <x v="0"/>
    <x v="7"/>
    <x v="3"/>
    <n v="12837609.460000001"/>
  </r>
  <r>
    <x v="3"/>
    <x v="0"/>
    <x v="1"/>
    <x v="0"/>
    <x v="0"/>
    <x v="5"/>
    <x v="0"/>
    <x v="0"/>
    <x v="0"/>
    <x v="0"/>
    <x v="0"/>
    <x v="4"/>
    <s v="24"/>
    <x v="1"/>
    <x v="0"/>
    <x v="7"/>
    <x v="7"/>
    <n v="12084961.99"/>
  </r>
  <r>
    <x v="3"/>
    <x v="0"/>
    <x v="1"/>
    <x v="0"/>
    <x v="0"/>
    <x v="5"/>
    <x v="0"/>
    <x v="0"/>
    <x v="0"/>
    <x v="0"/>
    <x v="0"/>
    <x v="4"/>
    <s v="24"/>
    <x v="1"/>
    <x v="0"/>
    <x v="7"/>
    <x v="5"/>
    <n v="-1567966.93"/>
  </r>
  <r>
    <x v="3"/>
    <x v="0"/>
    <x v="1"/>
    <x v="0"/>
    <x v="0"/>
    <x v="5"/>
    <x v="0"/>
    <x v="0"/>
    <x v="0"/>
    <x v="0"/>
    <x v="0"/>
    <x v="4"/>
    <s v="24"/>
    <x v="1"/>
    <x v="0"/>
    <x v="7"/>
    <x v="6"/>
    <n v="-711.09"/>
  </r>
  <r>
    <x v="3"/>
    <x v="0"/>
    <x v="1"/>
    <x v="0"/>
    <x v="0"/>
    <x v="5"/>
    <x v="0"/>
    <x v="0"/>
    <x v="0"/>
    <x v="0"/>
    <x v="0"/>
    <x v="4"/>
    <s v="24"/>
    <x v="1"/>
    <x v="0"/>
    <x v="7"/>
    <x v="1"/>
    <n v="-1778311.45"/>
  </r>
  <r>
    <x v="3"/>
    <x v="0"/>
    <x v="1"/>
    <x v="0"/>
    <x v="0"/>
    <x v="5"/>
    <x v="0"/>
    <x v="0"/>
    <x v="0"/>
    <x v="0"/>
    <x v="0"/>
    <x v="4"/>
    <s v="99"/>
    <x v="9"/>
    <x v="0"/>
    <x v="6"/>
    <x v="1"/>
    <n v="-9468.9599999999991"/>
  </r>
  <r>
    <x v="3"/>
    <x v="0"/>
    <x v="1"/>
    <x v="0"/>
    <x v="0"/>
    <x v="5"/>
    <x v="0"/>
    <x v="0"/>
    <x v="0"/>
    <x v="0"/>
    <x v="4"/>
    <x v="5"/>
    <s v="22"/>
    <x v="25"/>
    <x v="0"/>
    <x v="6"/>
    <x v="0"/>
    <n v="-33368.75"/>
  </r>
  <r>
    <x v="3"/>
    <x v="0"/>
    <x v="1"/>
    <x v="0"/>
    <x v="0"/>
    <x v="5"/>
    <x v="0"/>
    <x v="0"/>
    <x v="0"/>
    <x v="0"/>
    <x v="4"/>
    <x v="5"/>
    <s v="22"/>
    <x v="25"/>
    <x v="0"/>
    <x v="6"/>
    <x v="9"/>
    <n v="-71225.820000000007"/>
  </r>
  <r>
    <x v="3"/>
    <x v="0"/>
    <x v="1"/>
    <x v="0"/>
    <x v="0"/>
    <x v="5"/>
    <x v="0"/>
    <x v="0"/>
    <x v="0"/>
    <x v="0"/>
    <x v="4"/>
    <x v="5"/>
    <s v="22"/>
    <x v="25"/>
    <x v="0"/>
    <x v="6"/>
    <x v="3"/>
    <n v="-278368.75"/>
  </r>
  <r>
    <x v="3"/>
    <x v="0"/>
    <x v="1"/>
    <x v="0"/>
    <x v="0"/>
    <x v="5"/>
    <x v="0"/>
    <x v="0"/>
    <x v="0"/>
    <x v="0"/>
    <x v="4"/>
    <x v="5"/>
    <s v="22"/>
    <x v="25"/>
    <x v="0"/>
    <x v="6"/>
    <x v="4"/>
    <n v="-39331.99"/>
  </r>
  <r>
    <x v="3"/>
    <x v="0"/>
    <x v="1"/>
    <x v="0"/>
    <x v="0"/>
    <x v="5"/>
    <x v="0"/>
    <x v="0"/>
    <x v="0"/>
    <x v="0"/>
    <x v="4"/>
    <x v="5"/>
    <s v="22"/>
    <x v="25"/>
    <x v="0"/>
    <x v="6"/>
    <x v="1"/>
    <n v="-161623"/>
  </r>
  <r>
    <x v="3"/>
    <x v="0"/>
    <x v="1"/>
    <x v="0"/>
    <x v="0"/>
    <x v="5"/>
    <x v="0"/>
    <x v="0"/>
    <x v="0"/>
    <x v="0"/>
    <x v="4"/>
    <x v="5"/>
    <s v="22"/>
    <x v="25"/>
    <x v="0"/>
    <x v="7"/>
    <x v="2"/>
    <n v="-200168.76"/>
  </r>
  <r>
    <x v="3"/>
    <x v="0"/>
    <x v="1"/>
    <x v="0"/>
    <x v="0"/>
    <x v="5"/>
    <x v="0"/>
    <x v="0"/>
    <x v="0"/>
    <x v="0"/>
    <x v="4"/>
    <x v="5"/>
    <s v="22"/>
    <x v="25"/>
    <x v="0"/>
    <x v="7"/>
    <x v="10"/>
    <n v="100084.38"/>
  </r>
  <r>
    <x v="3"/>
    <x v="0"/>
    <x v="1"/>
    <x v="0"/>
    <x v="0"/>
    <x v="5"/>
    <x v="0"/>
    <x v="0"/>
    <x v="0"/>
    <x v="0"/>
    <x v="4"/>
    <x v="5"/>
    <s v="22"/>
    <x v="25"/>
    <x v="0"/>
    <x v="7"/>
    <x v="4"/>
    <n v="-1166042.06"/>
  </r>
  <r>
    <x v="3"/>
    <x v="0"/>
    <x v="1"/>
    <x v="0"/>
    <x v="0"/>
    <x v="5"/>
    <x v="0"/>
    <x v="0"/>
    <x v="0"/>
    <x v="0"/>
    <x v="4"/>
    <x v="5"/>
    <s v="22"/>
    <x v="25"/>
    <x v="0"/>
    <x v="7"/>
    <x v="7"/>
    <n v="-350084.38"/>
  </r>
  <r>
    <x v="3"/>
    <x v="0"/>
    <x v="1"/>
    <x v="0"/>
    <x v="0"/>
    <x v="5"/>
    <x v="0"/>
    <x v="0"/>
    <x v="0"/>
    <x v="0"/>
    <x v="4"/>
    <x v="5"/>
    <s v="22"/>
    <x v="25"/>
    <x v="0"/>
    <x v="7"/>
    <x v="5"/>
    <n v="1166042.06"/>
  </r>
  <r>
    <x v="3"/>
    <x v="0"/>
    <x v="1"/>
    <x v="0"/>
    <x v="0"/>
    <x v="6"/>
    <x v="0"/>
    <x v="0"/>
    <x v="0"/>
    <x v="1"/>
    <x v="1"/>
    <x v="8"/>
    <s v="41"/>
    <x v="4"/>
    <x v="0"/>
    <x v="6"/>
    <x v="11"/>
    <n v="1198"/>
  </r>
  <r>
    <x v="3"/>
    <x v="0"/>
    <x v="1"/>
    <x v="0"/>
    <x v="0"/>
    <x v="6"/>
    <x v="0"/>
    <x v="0"/>
    <x v="0"/>
    <x v="1"/>
    <x v="1"/>
    <x v="8"/>
    <s v="41"/>
    <x v="4"/>
    <x v="0"/>
    <x v="6"/>
    <x v="1"/>
    <n v="45"/>
  </r>
  <r>
    <x v="3"/>
    <x v="0"/>
    <x v="1"/>
    <x v="0"/>
    <x v="0"/>
    <x v="6"/>
    <x v="0"/>
    <x v="0"/>
    <x v="0"/>
    <x v="1"/>
    <x v="1"/>
    <x v="8"/>
    <s v="41"/>
    <x v="4"/>
    <x v="0"/>
    <x v="7"/>
    <x v="7"/>
    <n v="1729"/>
  </r>
  <r>
    <x v="3"/>
    <x v="0"/>
    <x v="1"/>
    <x v="0"/>
    <x v="0"/>
    <x v="6"/>
    <x v="0"/>
    <x v="0"/>
    <x v="0"/>
    <x v="1"/>
    <x v="1"/>
    <x v="8"/>
    <s v="41"/>
    <x v="4"/>
    <x v="0"/>
    <x v="7"/>
    <x v="1"/>
    <n v="2525"/>
  </r>
  <r>
    <x v="3"/>
    <x v="0"/>
    <x v="1"/>
    <x v="0"/>
    <x v="0"/>
    <x v="6"/>
    <x v="0"/>
    <x v="0"/>
    <x v="0"/>
    <x v="0"/>
    <x v="0"/>
    <x v="4"/>
    <s v="20"/>
    <x v="7"/>
    <x v="0"/>
    <x v="6"/>
    <x v="9"/>
    <n v="2174.42"/>
  </r>
  <r>
    <x v="3"/>
    <x v="0"/>
    <x v="1"/>
    <x v="0"/>
    <x v="0"/>
    <x v="6"/>
    <x v="0"/>
    <x v="0"/>
    <x v="0"/>
    <x v="0"/>
    <x v="0"/>
    <x v="4"/>
    <s v="20"/>
    <x v="7"/>
    <x v="0"/>
    <x v="7"/>
    <x v="10"/>
    <n v="15"/>
  </r>
  <r>
    <x v="3"/>
    <x v="0"/>
    <x v="1"/>
    <x v="0"/>
    <x v="0"/>
    <x v="6"/>
    <x v="0"/>
    <x v="0"/>
    <x v="0"/>
    <x v="0"/>
    <x v="0"/>
    <x v="4"/>
    <s v="20"/>
    <x v="7"/>
    <x v="0"/>
    <x v="7"/>
    <x v="7"/>
    <n v="25"/>
  </r>
  <r>
    <x v="3"/>
    <x v="0"/>
    <x v="1"/>
    <x v="0"/>
    <x v="0"/>
    <x v="6"/>
    <x v="0"/>
    <x v="0"/>
    <x v="0"/>
    <x v="0"/>
    <x v="0"/>
    <x v="4"/>
    <s v="20"/>
    <x v="7"/>
    <x v="0"/>
    <x v="7"/>
    <x v="1"/>
    <n v="-12084.25"/>
  </r>
  <r>
    <x v="3"/>
    <x v="0"/>
    <x v="1"/>
    <x v="0"/>
    <x v="0"/>
    <x v="6"/>
    <x v="0"/>
    <x v="0"/>
    <x v="0"/>
    <x v="0"/>
    <x v="0"/>
    <x v="4"/>
    <s v="24"/>
    <x v="1"/>
    <x v="0"/>
    <x v="6"/>
    <x v="7"/>
    <n v="138908.57"/>
  </r>
  <r>
    <x v="3"/>
    <x v="0"/>
    <x v="1"/>
    <x v="0"/>
    <x v="0"/>
    <x v="6"/>
    <x v="0"/>
    <x v="0"/>
    <x v="0"/>
    <x v="0"/>
    <x v="0"/>
    <x v="4"/>
    <s v="24"/>
    <x v="1"/>
    <x v="0"/>
    <x v="6"/>
    <x v="1"/>
    <n v="-123510.89"/>
  </r>
  <r>
    <x v="3"/>
    <x v="0"/>
    <x v="1"/>
    <x v="0"/>
    <x v="0"/>
    <x v="6"/>
    <x v="0"/>
    <x v="0"/>
    <x v="0"/>
    <x v="0"/>
    <x v="0"/>
    <x v="4"/>
    <s v="24"/>
    <x v="1"/>
    <x v="0"/>
    <x v="7"/>
    <x v="5"/>
    <n v="13615.42"/>
  </r>
  <r>
    <x v="3"/>
    <x v="0"/>
    <x v="1"/>
    <x v="0"/>
    <x v="0"/>
    <x v="6"/>
    <x v="0"/>
    <x v="0"/>
    <x v="0"/>
    <x v="0"/>
    <x v="0"/>
    <x v="4"/>
    <s v="24"/>
    <x v="1"/>
    <x v="0"/>
    <x v="7"/>
    <x v="6"/>
    <n v="-13615.42"/>
  </r>
  <r>
    <x v="3"/>
    <x v="0"/>
    <x v="1"/>
    <x v="0"/>
    <x v="0"/>
    <x v="6"/>
    <x v="0"/>
    <x v="0"/>
    <x v="0"/>
    <x v="0"/>
    <x v="0"/>
    <x v="4"/>
    <s v="24"/>
    <x v="1"/>
    <x v="0"/>
    <x v="7"/>
    <x v="1"/>
    <n v="46608.59"/>
  </r>
  <r>
    <x v="3"/>
    <x v="0"/>
    <x v="1"/>
    <x v="0"/>
    <x v="0"/>
    <x v="6"/>
    <x v="0"/>
    <x v="0"/>
    <x v="0"/>
    <x v="0"/>
    <x v="0"/>
    <x v="4"/>
    <s v="99"/>
    <x v="9"/>
    <x v="0"/>
    <x v="6"/>
    <x v="1"/>
    <n v="132571.62"/>
  </r>
  <r>
    <x v="3"/>
    <x v="0"/>
    <x v="1"/>
    <x v="0"/>
    <x v="0"/>
    <x v="6"/>
    <x v="0"/>
    <x v="0"/>
    <x v="0"/>
    <x v="0"/>
    <x v="4"/>
    <x v="5"/>
    <s v="21"/>
    <x v="27"/>
    <x v="0"/>
    <x v="6"/>
    <x v="11"/>
    <n v="141908.57"/>
  </r>
  <r>
    <x v="3"/>
    <x v="0"/>
    <x v="1"/>
    <x v="0"/>
    <x v="0"/>
    <x v="6"/>
    <x v="0"/>
    <x v="0"/>
    <x v="0"/>
    <x v="0"/>
    <x v="4"/>
    <x v="5"/>
    <s v="21"/>
    <x v="27"/>
    <x v="0"/>
    <x v="7"/>
    <x v="8"/>
    <n v="0.05"/>
  </r>
  <r>
    <x v="3"/>
    <x v="0"/>
    <x v="1"/>
    <x v="0"/>
    <x v="0"/>
    <x v="6"/>
    <x v="0"/>
    <x v="0"/>
    <x v="0"/>
    <x v="0"/>
    <x v="4"/>
    <x v="5"/>
    <s v="21"/>
    <x v="27"/>
    <x v="0"/>
    <x v="7"/>
    <x v="3"/>
    <n v="0.01"/>
  </r>
  <r>
    <x v="3"/>
    <x v="0"/>
    <x v="1"/>
    <x v="0"/>
    <x v="0"/>
    <x v="6"/>
    <x v="0"/>
    <x v="0"/>
    <x v="0"/>
    <x v="0"/>
    <x v="4"/>
    <x v="5"/>
    <s v="22"/>
    <x v="25"/>
    <x v="0"/>
    <x v="6"/>
    <x v="10"/>
    <n v="139908.57"/>
  </r>
  <r>
    <x v="3"/>
    <x v="0"/>
    <x v="1"/>
    <x v="0"/>
    <x v="0"/>
    <x v="6"/>
    <x v="0"/>
    <x v="0"/>
    <x v="0"/>
    <x v="0"/>
    <x v="4"/>
    <x v="5"/>
    <s v="22"/>
    <x v="25"/>
    <x v="0"/>
    <x v="6"/>
    <x v="11"/>
    <n v="-727912.95"/>
  </r>
  <r>
    <x v="3"/>
    <x v="0"/>
    <x v="1"/>
    <x v="0"/>
    <x v="0"/>
    <x v="6"/>
    <x v="0"/>
    <x v="0"/>
    <x v="0"/>
    <x v="0"/>
    <x v="4"/>
    <x v="5"/>
    <s v="22"/>
    <x v="25"/>
    <x v="0"/>
    <x v="6"/>
    <x v="6"/>
    <n v="-110000"/>
  </r>
  <r>
    <x v="3"/>
    <x v="0"/>
    <x v="1"/>
    <x v="0"/>
    <x v="0"/>
    <x v="6"/>
    <x v="0"/>
    <x v="0"/>
    <x v="0"/>
    <x v="0"/>
    <x v="4"/>
    <x v="5"/>
    <s v="22"/>
    <x v="25"/>
    <x v="0"/>
    <x v="6"/>
    <x v="1"/>
    <n v="-147320.38"/>
  </r>
  <r>
    <x v="3"/>
    <x v="0"/>
    <x v="1"/>
    <x v="0"/>
    <x v="0"/>
    <x v="6"/>
    <x v="0"/>
    <x v="0"/>
    <x v="0"/>
    <x v="0"/>
    <x v="4"/>
    <x v="5"/>
    <s v="22"/>
    <x v="25"/>
    <x v="0"/>
    <x v="7"/>
    <x v="3"/>
    <n v="-2.3199999999999998"/>
  </r>
  <r>
    <x v="3"/>
    <x v="0"/>
    <x v="1"/>
    <x v="0"/>
    <x v="0"/>
    <x v="6"/>
    <x v="0"/>
    <x v="0"/>
    <x v="0"/>
    <x v="0"/>
    <x v="5"/>
    <x v="6"/>
    <s v="40"/>
    <x v="26"/>
    <x v="0"/>
    <x v="6"/>
    <x v="1"/>
    <n v="-11.11"/>
  </r>
  <r>
    <x v="3"/>
    <x v="0"/>
    <x v="1"/>
    <x v="0"/>
    <x v="0"/>
    <x v="6"/>
    <x v="1"/>
    <x v="0"/>
    <x v="0"/>
    <x v="1"/>
    <x v="1"/>
    <x v="8"/>
    <s v="41"/>
    <x v="4"/>
    <x v="0"/>
    <x v="6"/>
    <x v="8"/>
    <n v="2349"/>
  </r>
  <r>
    <x v="3"/>
    <x v="0"/>
    <x v="1"/>
    <x v="0"/>
    <x v="0"/>
    <x v="6"/>
    <x v="1"/>
    <x v="0"/>
    <x v="0"/>
    <x v="1"/>
    <x v="1"/>
    <x v="8"/>
    <s v="41"/>
    <x v="4"/>
    <x v="0"/>
    <x v="6"/>
    <x v="7"/>
    <n v="1478"/>
  </r>
  <r>
    <x v="3"/>
    <x v="0"/>
    <x v="1"/>
    <x v="0"/>
    <x v="0"/>
    <x v="6"/>
    <x v="1"/>
    <x v="0"/>
    <x v="0"/>
    <x v="0"/>
    <x v="0"/>
    <x v="4"/>
    <s v="02"/>
    <x v="5"/>
    <x v="0"/>
    <x v="7"/>
    <x v="10"/>
    <n v="300"/>
  </r>
  <r>
    <x v="3"/>
    <x v="0"/>
    <x v="1"/>
    <x v="0"/>
    <x v="0"/>
    <x v="6"/>
    <x v="1"/>
    <x v="0"/>
    <x v="0"/>
    <x v="0"/>
    <x v="0"/>
    <x v="4"/>
    <s v="05"/>
    <x v="6"/>
    <x v="0"/>
    <x v="6"/>
    <x v="1"/>
    <n v="150"/>
  </r>
  <r>
    <x v="3"/>
    <x v="0"/>
    <x v="1"/>
    <x v="0"/>
    <x v="0"/>
    <x v="6"/>
    <x v="1"/>
    <x v="0"/>
    <x v="0"/>
    <x v="0"/>
    <x v="0"/>
    <x v="4"/>
    <s v="05"/>
    <x v="6"/>
    <x v="0"/>
    <x v="7"/>
    <x v="0"/>
    <n v="-40"/>
  </r>
  <r>
    <x v="3"/>
    <x v="0"/>
    <x v="1"/>
    <x v="0"/>
    <x v="0"/>
    <x v="6"/>
    <x v="1"/>
    <x v="0"/>
    <x v="0"/>
    <x v="0"/>
    <x v="0"/>
    <x v="4"/>
    <s v="20"/>
    <x v="7"/>
    <x v="0"/>
    <x v="6"/>
    <x v="10"/>
    <n v="451.8"/>
  </r>
  <r>
    <x v="3"/>
    <x v="0"/>
    <x v="1"/>
    <x v="0"/>
    <x v="0"/>
    <x v="6"/>
    <x v="1"/>
    <x v="0"/>
    <x v="0"/>
    <x v="0"/>
    <x v="0"/>
    <x v="4"/>
    <s v="20"/>
    <x v="7"/>
    <x v="0"/>
    <x v="6"/>
    <x v="1"/>
    <n v="1377.21"/>
  </r>
  <r>
    <x v="3"/>
    <x v="0"/>
    <x v="1"/>
    <x v="0"/>
    <x v="0"/>
    <x v="6"/>
    <x v="1"/>
    <x v="0"/>
    <x v="0"/>
    <x v="0"/>
    <x v="0"/>
    <x v="4"/>
    <s v="24"/>
    <x v="1"/>
    <x v="0"/>
    <x v="7"/>
    <x v="1"/>
    <n v="-23.25"/>
  </r>
  <r>
    <x v="3"/>
    <x v="0"/>
    <x v="1"/>
    <x v="0"/>
    <x v="0"/>
    <x v="6"/>
    <x v="1"/>
    <x v="0"/>
    <x v="0"/>
    <x v="0"/>
    <x v="0"/>
    <x v="4"/>
    <s v="31"/>
    <x v="8"/>
    <x v="0"/>
    <x v="7"/>
    <x v="0"/>
    <n v="400"/>
  </r>
  <r>
    <x v="3"/>
    <x v="0"/>
    <x v="1"/>
    <x v="0"/>
    <x v="0"/>
    <x v="6"/>
    <x v="1"/>
    <x v="0"/>
    <x v="0"/>
    <x v="0"/>
    <x v="0"/>
    <x v="4"/>
    <s v="31"/>
    <x v="8"/>
    <x v="0"/>
    <x v="7"/>
    <x v="2"/>
    <n v="-25"/>
  </r>
  <r>
    <x v="3"/>
    <x v="0"/>
    <x v="1"/>
    <x v="0"/>
    <x v="0"/>
    <x v="6"/>
    <x v="1"/>
    <x v="0"/>
    <x v="0"/>
    <x v="0"/>
    <x v="0"/>
    <x v="4"/>
    <s v="99"/>
    <x v="9"/>
    <x v="0"/>
    <x v="6"/>
    <x v="1"/>
    <n v="148"/>
  </r>
  <r>
    <x v="3"/>
    <x v="0"/>
    <x v="1"/>
    <x v="0"/>
    <x v="0"/>
    <x v="6"/>
    <x v="5"/>
    <x v="0"/>
    <x v="0"/>
    <x v="0"/>
    <x v="0"/>
    <x v="4"/>
    <s v="02"/>
    <x v="5"/>
    <x v="0"/>
    <x v="6"/>
    <x v="0"/>
    <n v="70"/>
  </r>
  <r>
    <x v="3"/>
    <x v="0"/>
    <x v="1"/>
    <x v="0"/>
    <x v="0"/>
    <x v="6"/>
    <x v="5"/>
    <x v="0"/>
    <x v="0"/>
    <x v="0"/>
    <x v="0"/>
    <x v="4"/>
    <s v="02"/>
    <x v="5"/>
    <x v="0"/>
    <x v="6"/>
    <x v="3"/>
    <n v="231.25"/>
  </r>
  <r>
    <x v="3"/>
    <x v="0"/>
    <x v="1"/>
    <x v="0"/>
    <x v="0"/>
    <x v="6"/>
    <x v="5"/>
    <x v="0"/>
    <x v="0"/>
    <x v="0"/>
    <x v="0"/>
    <x v="4"/>
    <s v="24"/>
    <x v="1"/>
    <x v="0"/>
    <x v="7"/>
    <x v="2"/>
    <n v="30"/>
  </r>
  <r>
    <x v="3"/>
    <x v="0"/>
    <x v="1"/>
    <x v="0"/>
    <x v="0"/>
    <x v="6"/>
    <x v="5"/>
    <x v="0"/>
    <x v="0"/>
    <x v="0"/>
    <x v="0"/>
    <x v="4"/>
    <s v="24"/>
    <x v="1"/>
    <x v="0"/>
    <x v="7"/>
    <x v="11"/>
    <n v="-30"/>
  </r>
  <r>
    <x v="3"/>
    <x v="0"/>
    <x v="1"/>
    <x v="0"/>
    <x v="0"/>
    <x v="6"/>
    <x v="5"/>
    <x v="0"/>
    <x v="0"/>
    <x v="0"/>
    <x v="0"/>
    <x v="4"/>
    <s v="99"/>
    <x v="9"/>
    <x v="0"/>
    <x v="6"/>
    <x v="9"/>
    <n v="4108.42"/>
  </r>
  <r>
    <x v="3"/>
    <x v="0"/>
    <x v="1"/>
    <x v="0"/>
    <x v="0"/>
    <x v="6"/>
    <x v="5"/>
    <x v="0"/>
    <x v="0"/>
    <x v="0"/>
    <x v="0"/>
    <x v="4"/>
    <s v="99"/>
    <x v="9"/>
    <x v="0"/>
    <x v="6"/>
    <x v="1"/>
    <n v="12468.43"/>
  </r>
  <r>
    <x v="3"/>
    <x v="0"/>
    <x v="1"/>
    <x v="0"/>
    <x v="0"/>
    <x v="6"/>
    <x v="2"/>
    <x v="0"/>
    <x v="0"/>
    <x v="0"/>
    <x v="0"/>
    <x v="4"/>
    <s v="09"/>
    <x v="0"/>
    <x v="0"/>
    <x v="6"/>
    <x v="1"/>
    <n v="33.85"/>
  </r>
  <r>
    <x v="3"/>
    <x v="0"/>
    <x v="1"/>
    <x v="0"/>
    <x v="0"/>
    <x v="6"/>
    <x v="2"/>
    <x v="0"/>
    <x v="0"/>
    <x v="0"/>
    <x v="0"/>
    <x v="4"/>
    <s v="20"/>
    <x v="7"/>
    <x v="0"/>
    <x v="6"/>
    <x v="2"/>
    <n v="1092.9100000000001"/>
  </r>
  <r>
    <x v="3"/>
    <x v="0"/>
    <x v="1"/>
    <x v="0"/>
    <x v="0"/>
    <x v="6"/>
    <x v="2"/>
    <x v="0"/>
    <x v="0"/>
    <x v="0"/>
    <x v="0"/>
    <x v="4"/>
    <s v="20"/>
    <x v="7"/>
    <x v="0"/>
    <x v="6"/>
    <x v="8"/>
    <n v="5535.6"/>
  </r>
  <r>
    <x v="3"/>
    <x v="0"/>
    <x v="1"/>
    <x v="0"/>
    <x v="0"/>
    <x v="6"/>
    <x v="2"/>
    <x v="0"/>
    <x v="0"/>
    <x v="0"/>
    <x v="0"/>
    <x v="4"/>
    <s v="20"/>
    <x v="7"/>
    <x v="0"/>
    <x v="6"/>
    <x v="11"/>
    <n v="2839.4"/>
  </r>
  <r>
    <x v="3"/>
    <x v="0"/>
    <x v="1"/>
    <x v="0"/>
    <x v="0"/>
    <x v="6"/>
    <x v="2"/>
    <x v="0"/>
    <x v="0"/>
    <x v="0"/>
    <x v="0"/>
    <x v="4"/>
    <s v="20"/>
    <x v="7"/>
    <x v="0"/>
    <x v="6"/>
    <x v="3"/>
    <n v="493.11"/>
  </r>
  <r>
    <x v="3"/>
    <x v="0"/>
    <x v="1"/>
    <x v="0"/>
    <x v="0"/>
    <x v="6"/>
    <x v="2"/>
    <x v="0"/>
    <x v="0"/>
    <x v="0"/>
    <x v="0"/>
    <x v="4"/>
    <s v="20"/>
    <x v="7"/>
    <x v="0"/>
    <x v="6"/>
    <x v="7"/>
    <n v="1111.5"/>
  </r>
  <r>
    <x v="3"/>
    <x v="0"/>
    <x v="1"/>
    <x v="0"/>
    <x v="0"/>
    <x v="6"/>
    <x v="2"/>
    <x v="0"/>
    <x v="0"/>
    <x v="0"/>
    <x v="0"/>
    <x v="4"/>
    <s v="20"/>
    <x v="7"/>
    <x v="0"/>
    <x v="6"/>
    <x v="5"/>
    <n v="410.46"/>
  </r>
  <r>
    <x v="3"/>
    <x v="0"/>
    <x v="1"/>
    <x v="0"/>
    <x v="0"/>
    <x v="6"/>
    <x v="2"/>
    <x v="0"/>
    <x v="0"/>
    <x v="0"/>
    <x v="0"/>
    <x v="4"/>
    <s v="20"/>
    <x v="7"/>
    <x v="0"/>
    <x v="6"/>
    <x v="1"/>
    <n v="6314.51"/>
  </r>
  <r>
    <x v="3"/>
    <x v="0"/>
    <x v="1"/>
    <x v="0"/>
    <x v="0"/>
    <x v="6"/>
    <x v="2"/>
    <x v="0"/>
    <x v="0"/>
    <x v="0"/>
    <x v="0"/>
    <x v="4"/>
    <s v="20"/>
    <x v="7"/>
    <x v="0"/>
    <x v="7"/>
    <x v="8"/>
    <n v="1490.52"/>
  </r>
  <r>
    <x v="3"/>
    <x v="0"/>
    <x v="1"/>
    <x v="0"/>
    <x v="0"/>
    <x v="6"/>
    <x v="2"/>
    <x v="0"/>
    <x v="0"/>
    <x v="0"/>
    <x v="0"/>
    <x v="4"/>
    <s v="20"/>
    <x v="7"/>
    <x v="0"/>
    <x v="7"/>
    <x v="9"/>
    <n v="544.75"/>
  </r>
  <r>
    <x v="3"/>
    <x v="0"/>
    <x v="1"/>
    <x v="0"/>
    <x v="0"/>
    <x v="6"/>
    <x v="2"/>
    <x v="0"/>
    <x v="0"/>
    <x v="0"/>
    <x v="0"/>
    <x v="4"/>
    <s v="20"/>
    <x v="7"/>
    <x v="0"/>
    <x v="7"/>
    <x v="10"/>
    <n v="672.7"/>
  </r>
  <r>
    <x v="3"/>
    <x v="0"/>
    <x v="1"/>
    <x v="0"/>
    <x v="0"/>
    <x v="6"/>
    <x v="2"/>
    <x v="0"/>
    <x v="0"/>
    <x v="0"/>
    <x v="0"/>
    <x v="4"/>
    <s v="20"/>
    <x v="7"/>
    <x v="0"/>
    <x v="7"/>
    <x v="3"/>
    <n v="1038.43"/>
  </r>
  <r>
    <x v="3"/>
    <x v="0"/>
    <x v="1"/>
    <x v="0"/>
    <x v="0"/>
    <x v="6"/>
    <x v="2"/>
    <x v="0"/>
    <x v="0"/>
    <x v="0"/>
    <x v="0"/>
    <x v="4"/>
    <s v="20"/>
    <x v="7"/>
    <x v="0"/>
    <x v="7"/>
    <x v="7"/>
    <n v="5620.89"/>
  </r>
  <r>
    <x v="3"/>
    <x v="0"/>
    <x v="1"/>
    <x v="0"/>
    <x v="0"/>
    <x v="6"/>
    <x v="2"/>
    <x v="0"/>
    <x v="0"/>
    <x v="0"/>
    <x v="0"/>
    <x v="4"/>
    <s v="20"/>
    <x v="7"/>
    <x v="0"/>
    <x v="7"/>
    <x v="5"/>
    <n v="320.5"/>
  </r>
  <r>
    <x v="3"/>
    <x v="0"/>
    <x v="1"/>
    <x v="0"/>
    <x v="0"/>
    <x v="6"/>
    <x v="2"/>
    <x v="0"/>
    <x v="0"/>
    <x v="0"/>
    <x v="0"/>
    <x v="4"/>
    <s v="20"/>
    <x v="7"/>
    <x v="0"/>
    <x v="7"/>
    <x v="1"/>
    <n v="2333.21"/>
  </r>
  <r>
    <x v="3"/>
    <x v="0"/>
    <x v="1"/>
    <x v="0"/>
    <x v="0"/>
    <x v="6"/>
    <x v="3"/>
    <x v="0"/>
    <x v="0"/>
    <x v="0"/>
    <x v="0"/>
    <x v="4"/>
    <s v="24"/>
    <x v="1"/>
    <x v="0"/>
    <x v="6"/>
    <x v="7"/>
    <n v="16.2"/>
  </r>
  <r>
    <x v="3"/>
    <x v="0"/>
    <x v="1"/>
    <x v="0"/>
    <x v="0"/>
    <x v="6"/>
    <x v="3"/>
    <x v="0"/>
    <x v="0"/>
    <x v="0"/>
    <x v="0"/>
    <x v="4"/>
    <s v="24"/>
    <x v="1"/>
    <x v="0"/>
    <x v="6"/>
    <x v="5"/>
    <n v="-16.2"/>
  </r>
  <r>
    <x v="3"/>
    <x v="0"/>
    <x v="1"/>
    <x v="0"/>
    <x v="0"/>
    <x v="6"/>
    <x v="4"/>
    <x v="0"/>
    <x v="0"/>
    <x v="1"/>
    <x v="1"/>
    <x v="8"/>
    <s v="46"/>
    <x v="22"/>
    <x v="0"/>
    <x v="6"/>
    <x v="0"/>
    <n v="18006.150000000001"/>
  </r>
  <r>
    <x v="3"/>
    <x v="0"/>
    <x v="1"/>
    <x v="0"/>
    <x v="0"/>
    <x v="6"/>
    <x v="4"/>
    <x v="0"/>
    <x v="0"/>
    <x v="0"/>
    <x v="0"/>
    <x v="4"/>
    <s v="09"/>
    <x v="0"/>
    <x v="0"/>
    <x v="6"/>
    <x v="7"/>
    <n v="117360.71"/>
  </r>
  <r>
    <x v="3"/>
    <x v="0"/>
    <x v="1"/>
    <x v="0"/>
    <x v="0"/>
    <x v="6"/>
    <x v="4"/>
    <x v="0"/>
    <x v="0"/>
    <x v="0"/>
    <x v="0"/>
    <x v="4"/>
    <s v="09"/>
    <x v="0"/>
    <x v="0"/>
    <x v="6"/>
    <x v="1"/>
    <n v="165272.95000000001"/>
  </r>
  <r>
    <x v="3"/>
    <x v="0"/>
    <x v="1"/>
    <x v="0"/>
    <x v="0"/>
    <x v="6"/>
    <x v="4"/>
    <x v="0"/>
    <x v="0"/>
    <x v="0"/>
    <x v="0"/>
    <x v="4"/>
    <s v="09"/>
    <x v="0"/>
    <x v="0"/>
    <x v="7"/>
    <x v="8"/>
    <n v="56893.97"/>
  </r>
  <r>
    <x v="3"/>
    <x v="0"/>
    <x v="1"/>
    <x v="0"/>
    <x v="0"/>
    <x v="6"/>
    <x v="4"/>
    <x v="0"/>
    <x v="0"/>
    <x v="0"/>
    <x v="0"/>
    <x v="4"/>
    <s v="09"/>
    <x v="0"/>
    <x v="0"/>
    <x v="7"/>
    <x v="11"/>
    <n v="92579.92"/>
  </r>
  <r>
    <x v="3"/>
    <x v="0"/>
    <x v="1"/>
    <x v="0"/>
    <x v="0"/>
    <x v="6"/>
    <x v="4"/>
    <x v="0"/>
    <x v="0"/>
    <x v="0"/>
    <x v="0"/>
    <x v="4"/>
    <s v="09"/>
    <x v="0"/>
    <x v="0"/>
    <x v="7"/>
    <x v="7"/>
    <n v="133487.28"/>
  </r>
  <r>
    <x v="3"/>
    <x v="0"/>
    <x v="1"/>
    <x v="0"/>
    <x v="0"/>
    <x v="6"/>
    <x v="4"/>
    <x v="0"/>
    <x v="0"/>
    <x v="0"/>
    <x v="0"/>
    <x v="4"/>
    <s v="09"/>
    <x v="0"/>
    <x v="0"/>
    <x v="7"/>
    <x v="1"/>
    <n v="102551.72"/>
  </r>
  <r>
    <x v="3"/>
    <x v="0"/>
    <x v="1"/>
    <x v="0"/>
    <x v="0"/>
    <x v="6"/>
    <x v="4"/>
    <x v="0"/>
    <x v="0"/>
    <x v="0"/>
    <x v="0"/>
    <x v="4"/>
    <s v="24"/>
    <x v="1"/>
    <x v="0"/>
    <x v="6"/>
    <x v="0"/>
    <n v="-22517.01"/>
  </r>
  <r>
    <x v="3"/>
    <x v="0"/>
    <x v="1"/>
    <x v="0"/>
    <x v="0"/>
    <x v="6"/>
    <x v="4"/>
    <x v="0"/>
    <x v="0"/>
    <x v="0"/>
    <x v="0"/>
    <x v="4"/>
    <s v="24"/>
    <x v="1"/>
    <x v="0"/>
    <x v="6"/>
    <x v="2"/>
    <n v="-1013"/>
  </r>
  <r>
    <x v="3"/>
    <x v="0"/>
    <x v="1"/>
    <x v="0"/>
    <x v="0"/>
    <x v="6"/>
    <x v="4"/>
    <x v="0"/>
    <x v="0"/>
    <x v="0"/>
    <x v="0"/>
    <x v="4"/>
    <s v="24"/>
    <x v="1"/>
    <x v="0"/>
    <x v="6"/>
    <x v="8"/>
    <n v="7117698.4800000004"/>
  </r>
  <r>
    <x v="3"/>
    <x v="0"/>
    <x v="1"/>
    <x v="0"/>
    <x v="0"/>
    <x v="6"/>
    <x v="4"/>
    <x v="0"/>
    <x v="0"/>
    <x v="0"/>
    <x v="0"/>
    <x v="4"/>
    <s v="24"/>
    <x v="1"/>
    <x v="0"/>
    <x v="6"/>
    <x v="9"/>
    <n v="46564.99"/>
  </r>
  <r>
    <x v="3"/>
    <x v="0"/>
    <x v="1"/>
    <x v="0"/>
    <x v="0"/>
    <x v="6"/>
    <x v="4"/>
    <x v="0"/>
    <x v="0"/>
    <x v="0"/>
    <x v="0"/>
    <x v="4"/>
    <s v="24"/>
    <x v="1"/>
    <x v="0"/>
    <x v="6"/>
    <x v="10"/>
    <n v="-16624.54"/>
  </r>
  <r>
    <x v="3"/>
    <x v="0"/>
    <x v="1"/>
    <x v="0"/>
    <x v="0"/>
    <x v="6"/>
    <x v="4"/>
    <x v="0"/>
    <x v="0"/>
    <x v="0"/>
    <x v="0"/>
    <x v="4"/>
    <s v="24"/>
    <x v="1"/>
    <x v="0"/>
    <x v="6"/>
    <x v="11"/>
    <n v="6422701.2800000003"/>
  </r>
  <r>
    <x v="3"/>
    <x v="0"/>
    <x v="1"/>
    <x v="0"/>
    <x v="0"/>
    <x v="6"/>
    <x v="4"/>
    <x v="0"/>
    <x v="0"/>
    <x v="0"/>
    <x v="0"/>
    <x v="4"/>
    <s v="24"/>
    <x v="1"/>
    <x v="0"/>
    <x v="6"/>
    <x v="3"/>
    <n v="254814.75"/>
  </r>
  <r>
    <x v="3"/>
    <x v="0"/>
    <x v="1"/>
    <x v="0"/>
    <x v="0"/>
    <x v="6"/>
    <x v="4"/>
    <x v="0"/>
    <x v="0"/>
    <x v="0"/>
    <x v="0"/>
    <x v="4"/>
    <s v="24"/>
    <x v="1"/>
    <x v="0"/>
    <x v="6"/>
    <x v="4"/>
    <n v="16699.330000000002"/>
  </r>
  <r>
    <x v="3"/>
    <x v="0"/>
    <x v="1"/>
    <x v="0"/>
    <x v="0"/>
    <x v="6"/>
    <x v="4"/>
    <x v="0"/>
    <x v="0"/>
    <x v="0"/>
    <x v="0"/>
    <x v="4"/>
    <s v="24"/>
    <x v="1"/>
    <x v="0"/>
    <x v="6"/>
    <x v="7"/>
    <n v="5617901.3300000001"/>
  </r>
  <r>
    <x v="3"/>
    <x v="0"/>
    <x v="1"/>
    <x v="0"/>
    <x v="0"/>
    <x v="6"/>
    <x v="4"/>
    <x v="0"/>
    <x v="0"/>
    <x v="0"/>
    <x v="0"/>
    <x v="4"/>
    <s v="24"/>
    <x v="1"/>
    <x v="0"/>
    <x v="6"/>
    <x v="5"/>
    <n v="860921.9"/>
  </r>
  <r>
    <x v="3"/>
    <x v="0"/>
    <x v="1"/>
    <x v="0"/>
    <x v="0"/>
    <x v="6"/>
    <x v="4"/>
    <x v="0"/>
    <x v="0"/>
    <x v="0"/>
    <x v="0"/>
    <x v="4"/>
    <s v="24"/>
    <x v="1"/>
    <x v="0"/>
    <x v="6"/>
    <x v="6"/>
    <n v="16120.5"/>
  </r>
  <r>
    <x v="3"/>
    <x v="0"/>
    <x v="1"/>
    <x v="0"/>
    <x v="0"/>
    <x v="6"/>
    <x v="4"/>
    <x v="0"/>
    <x v="0"/>
    <x v="0"/>
    <x v="0"/>
    <x v="4"/>
    <s v="24"/>
    <x v="1"/>
    <x v="0"/>
    <x v="6"/>
    <x v="1"/>
    <n v="-15168.76"/>
  </r>
  <r>
    <x v="3"/>
    <x v="0"/>
    <x v="1"/>
    <x v="0"/>
    <x v="0"/>
    <x v="6"/>
    <x v="4"/>
    <x v="0"/>
    <x v="0"/>
    <x v="0"/>
    <x v="0"/>
    <x v="4"/>
    <s v="24"/>
    <x v="1"/>
    <x v="0"/>
    <x v="7"/>
    <x v="0"/>
    <n v="4122"/>
  </r>
  <r>
    <x v="3"/>
    <x v="0"/>
    <x v="1"/>
    <x v="0"/>
    <x v="0"/>
    <x v="6"/>
    <x v="4"/>
    <x v="0"/>
    <x v="0"/>
    <x v="0"/>
    <x v="0"/>
    <x v="4"/>
    <s v="24"/>
    <x v="1"/>
    <x v="0"/>
    <x v="7"/>
    <x v="2"/>
    <n v="14194.76"/>
  </r>
  <r>
    <x v="3"/>
    <x v="0"/>
    <x v="1"/>
    <x v="0"/>
    <x v="0"/>
    <x v="6"/>
    <x v="4"/>
    <x v="0"/>
    <x v="0"/>
    <x v="0"/>
    <x v="0"/>
    <x v="4"/>
    <s v="24"/>
    <x v="1"/>
    <x v="0"/>
    <x v="7"/>
    <x v="8"/>
    <n v="7208359.5700000003"/>
  </r>
  <r>
    <x v="3"/>
    <x v="0"/>
    <x v="1"/>
    <x v="0"/>
    <x v="0"/>
    <x v="6"/>
    <x v="4"/>
    <x v="0"/>
    <x v="0"/>
    <x v="0"/>
    <x v="0"/>
    <x v="4"/>
    <s v="24"/>
    <x v="1"/>
    <x v="0"/>
    <x v="7"/>
    <x v="9"/>
    <n v="13408.75"/>
  </r>
  <r>
    <x v="3"/>
    <x v="0"/>
    <x v="1"/>
    <x v="0"/>
    <x v="0"/>
    <x v="6"/>
    <x v="4"/>
    <x v="0"/>
    <x v="0"/>
    <x v="0"/>
    <x v="0"/>
    <x v="4"/>
    <s v="24"/>
    <x v="1"/>
    <x v="0"/>
    <x v="7"/>
    <x v="10"/>
    <n v="501.6"/>
  </r>
  <r>
    <x v="3"/>
    <x v="0"/>
    <x v="1"/>
    <x v="0"/>
    <x v="0"/>
    <x v="6"/>
    <x v="4"/>
    <x v="0"/>
    <x v="0"/>
    <x v="0"/>
    <x v="0"/>
    <x v="4"/>
    <s v="24"/>
    <x v="1"/>
    <x v="0"/>
    <x v="7"/>
    <x v="11"/>
    <n v="6462459.04"/>
  </r>
  <r>
    <x v="3"/>
    <x v="0"/>
    <x v="1"/>
    <x v="0"/>
    <x v="0"/>
    <x v="6"/>
    <x v="4"/>
    <x v="0"/>
    <x v="0"/>
    <x v="0"/>
    <x v="0"/>
    <x v="4"/>
    <s v="24"/>
    <x v="1"/>
    <x v="0"/>
    <x v="7"/>
    <x v="3"/>
    <n v="508295.56"/>
  </r>
  <r>
    <x v="3"/>
    <x v="0"/>
    <x v="1"/>
    <x v="0"/>
    <x v="0"/>
    <x v="6"/>
    <x v="4"/>
    <x v="0"/>
    <x v="0"/>
    <x v="0"/>
    <x v="0"/>
    <x v="4"/>
    <s v="24"/>
    <x v="1"/>
    <x v="0"/>
    <x v="7"/>
    <x v="4"/>
    <n v="2979369.05"/>
  </r>
  <r>
    <x v="3"/>
    <x v="0"/>
    <x v="1"/>
    <x v="0"/>
    <x v="0"/>
    <x v="6"/>
    <x v="4"/>
    <x v="0"/>
    <x v="0"/>
    <x v="0"/>
    <x v="0"/>
    <x v="4"/>
    <s v="24"/>
    <x v="1"/>
    <x v="0"/>
    <x v="7"/>
    <x v="7"/>
    <n v="2754378.11"/>
  </r>
  <r>
    <x v="3"/>
    <x v="0"/>
    <x v="1"/>
    <x v="0"/>
    <x v="0"/>
    <x v="6"/>
    <x v="4"/>
    <x v="0"/>
    <x v="0"/>
    <x v="0"/>
    <x v="0"/>
    <x v="4"/>
    <s v="24"/>
    <x v="1"/>
    <x v="0"/>
    <x v="7"/>
    <x v="5"/>
    <n v="801245.55"/>
  </r>
  <r>
    <x v="3"/>
    <x v="0"/>
    <x v="1"/>
    <x v="0"/>
    <x v="0"/>
    <x v="6"/>
    <x v="4"/>
    <x v="0"/>
    <x v="0"/>
    <x v="0"/>
    <x v="0"/>
    <x v="4"/>
    <s v="24"/>
    <x v="1"/>
    <x v="0"/>
    <x v="7"/>
    <x v="6"/>
    <n v="48554.5"/>
  </r>
  <r>
    <x v="3"/>
    <x v="0"/>
    <x v="1"/>
    <x v="0"/>
    <x v="0"/>
    <x v="6"/>
    <x v="4"/>
    <x v="0"/>
    <x v="0"/>
    <x v="0"/>
    <x v="0"/>
    <x v="4"/>
    <s v="24"/>
    <x v="1"/>
    <x v="0"/>
    <x v="7"/>
    <x v="1"/>
    <n v="-29932.07"/>
  </r>
  <r>
    <x v="3"/>
    <x v="0"/>
    <x v="1"/>
    <x v="0"/>
    <x v="0"/>
    <x v="6"/>
    <x v="4"/>
    <x v="0"/>
    <x v="0"/>
    <x v="0"/>
    <x v="0"/>
    <x v="4"/>
    <s v="90"/>
    <x v="16"/>
    <x v="0"/>
    <x v="6"/>
    <x v="9"/>
    <n v="-0.22"/>
  </r>
  <r>
    <x v="3"/>
    <x v="0"/>
    <x v="1"/>
    <x v="0"/>
    <x v="0"/>
    <x v="6"/>
    <x v="4"/>
    <x v="0"/>
    <x v="0"/>
    <x v="0"/>
    <x v="0"/>
    <x v="4"/>
    <s v="90"/>
    <x v="16"/>
    <x v="0"/>
    <x v="6"/>
    <x v="7"/>
    <n v="-1.74"/>
  </r>
  <r>
    <x v="3"/>
    <x v="0"/>
    <x v="1"/>
    <x v="0"/>
    <x v="0"/>
    <x v="6"/>
    <x v="4"/>
    <x v="0"/>
    <x v="0"/>
    <x v="0"/>
    <x v="0"/>
    <x v="4"/>
    <s v="90"/>
    <x v="16"/>
    <x v="0"/>
    <x v="6"/>
    <x v="5"/>
    <n v="2.59"/>
  </r>
  <r>
    <x v="3"/>
    <x v="0"/>
    <x v="1"/>
    <x v="0"/>
    <x v="0"/>
    <x v="6"/>
    <x v="4"/>
    <x v="0"/>
    <x v="0"/>
    <x v="0"/>
    <x v="0"/>
    <x v="4"/>
    <s v="90"/>
    <x v="16"/>
    <x v="0"/>
    <x v="6"/>
    <x v="1"/>
    <n v="-0.9"/>
  </r>
  <r>
    <x v="3"/>
    <x v="0"/>
    <x v="1"/>
    <x v="0"/>
    <x v="0"/>
    <x v="6"/>
    <x v="4"/>
    <x v="0"/>
    <x v="0"/>
    <x v="0"/>
    <x v="0"/>
    <x v="4"/>
    <s v="99"/>
    <x v="9"/>
    <x v="0"/>
    <x v="6"/>
    <x v="1"/>
    <n v="38.64"/>
  </r>
  <r>
    <x v="3"/>
    <x v="0"/>
    <x v="1"/>
    <x v="0"/>
    <x v="0"/>
    <x v="6"/>
    <x v="4"/>
    <x v="0"/>
    <x v="0"/>
    <x v="0"/>
    <x v="5"/>
    <x v="6"/>
    <s v="40"/>
    <x v="26"/>
    <x v="0"/>
    <x v="6"/>
    <x v="8"/>
    <n v="-2527.6"/>
  </r>
  <r>
    <x v="3"/>
    <x v="0"/>
    <x v="1"/>
    <x v="0"/>
    <x v="0"/>
    <x v="6"/>
    <x v="4"/>
    <x v="0"/>
    <x v="0"/>
    <x v="0"/>
    <x v="5"/>
    <x v="6"/>
    <s v="40"/>
    <x v="26"/>
    <x v="0"/>
    <x v="6"/>
    <x v="9"/>
    <n v="2989.42"/>
  </r>
  <r>
    <x v="3"/>
    <x v="0"/>
    <x v="1"/>
    <x v="0"/>
    <x v="0"/>
    <x v="6"/>
    <x v="4"/>
    <x v="0"/>
    <x v="0"/>
    <x v="0"/>
    <x v="5"/>
    <x v="6"/>
    <s v="40"/>
    <x v="26"/>
    <x v="0"/>
    <x v="6"/>
    <x v="10"/>
    <n v="-1202.78"/>
  </r>
  <r>
    <x v="3"/>
    <x v="0"/>
    <x v="1"/>
    <x v="0"/>
    <x v="0"/>
    <x v="6"/>
    <x v="4"/>
    <x v="0"/>
    <x v="0"/>
    <x v="0"/>
    <x v="5"/>
    <x v="6"/>
    <s v="40"/>
    <x v="26"/>
    <x v="0"/>
    <x v="6"/>
    <x v="11"/>
    <n v="1202.78"/>
  </r>
  <r>
    <x v="3"/>
    <x v="0"/>
    <x v="1"/>
    <x v="0"/>
    <x v="0"/>
    <x v="6"/>
    <x v="4"/>
    <x v="0"/>
    <x v="0"/>
    <x v="0"/>
    <x v="5"/>
    <x v="6"/>
    <s v="40"/>
    <x v="26"/>
    <x v="0"/>
    <x v="6"/>
    <x v="3"/>
    <n v="50"/>
  </r>
  <r>
    <x v="3"/>
    <x v="0"/>
    <x v="1"/>
    <x v="0"/>
    <x v="0"/>
    <x v="6"/>
    <x v="4"/>
    <x v="0"/>
    <x v="0"/>
    <x v="0"/>
    <x v="5"/>
    <x v="6"/>
    <s v="40"/>
    <x v="26"/>
    <x v="0"/>
    <x v="6"/>
    <x v="6"/>
    <n v="-511.82"/>
  </r>
  <r>
    <x v="3"/>
    <x v="0"/>
    <x v="1"/>
    <x v="0"/>
    <x v="0"/>
    <x v="6"/>
    <x v="4"/>
    <x v="0"/>
    <x v="0"/>
    <x v="0"/>
    <x v="5"/>
    <x v="6"/>
    <s v="40"/>
    <x v="26"/>
    <x v="0"/>
    <x v="6"/>
    <x v="1"/>
    <n v="11.11"/>
  </r>
  <r>
    <x v="3"/>
    <x v="0"/>
    <x v="1"/>
    <x v="0"/>
    <x v="0"/>
    <x v="6"/>
    <x v="4"/>
    <x v="0"/>
    <x v="0"/>
    <x v="0"/>
    <x v="5"/>
    <x v="6"/>
    <s v="40"/>
    <x v="26"/>
    <x v="0"/>
    <x v="7"/>
    <x v="8"/>
    <n v="-6937.2"/>
  </r>
  <r>
    <x v="3"/>
    <x v="0"/>
    <x v="1"/>
    <x v="0"/>
    <x v="0"/>
    <x v="6"/>
    <x v="4"/>
    <x v="0"/>
    <x v="0"/>
    <x v="0"/>
    <x v="5"/>
    <x v="6"/>
    <s v="40"/>
    <x v="26"/>
    <x v="0"/>
    <x v="7"/>
    <x v="9"/>
    <n v="6837.2"/>
  </r>
  <r>
    <x v="3"/>
    <x v="0"/>
    <x v="1"/>
    <x v="0"/>
    <x v="0"/>
    <x v="6"/>
    <x v="4"/>
    <x v="0"/>
    <x v="0"/>
    <x v="0"/>
    <x v="5"/>
    <x v="6"/>
    <s v="40"/>
    <x v="26"/>
    <x v="0"/>
    <x v="7"/>
    <x v="11"/>
    <n v="100"/>
  </r>
  <r>
    <x v="3"/>
    <x v="0"/>
    <x v="1"/>
    <x v="0"/>
    <x v="0"/>
    <x v="6"/>
    <x v="4"/>
    <x v="0"/>
    <x v="0"/>
    <x v="0"/>
    <x v="5"/>
    <x v="6"/>
    <s v="40"/>
    <x v="26"/>
    <x v="0"/>
    <x v="7"/>
    <x v="3"/>
    <n v="0.15"/>
  </r>
  <r>
    <x v="3"/>
    <x v="0"/>
    <x v="1"/>
    <x v="0"/>
    <x v="0"/>
    <x v="6"/>
    <x v="4"/>
    <x v="0"/>
    <x v="0"/>
    <x v="0"/>
    <x v="5"/>
    <x v="6"/>
    <s v="40"/>
    <x v="26"/>
    <x v="0"/>
    <x v="7"/>
    <x v="1"/>
    <n v="-0.15"/>
  </r>
  <r>
    <x v="3"/>
    <x v="0"/>
    <x v="1"/>
    <x v="0"/>
    <x v="0"/>
    <x v="6"/>
    <x v="6"/>
    <x v="0"/>
    <x v="0"/>
    <x v="1"/>
    <x v="1"/>
    <x v="8"/>
    <s v="41"/>
    <x v="4"/>
    <x v="0"/>
    <x v="7"/>
    <x v="9"/>
    <n v="1479"/>
  </r>
  <r>
    <x v="3"/>
    <x v="0"/>
    <x v="1"/>
    <x v="0"/>
    <x v="0"/>
    <x v="6"/>
    <x v="6"/>
    <x v="0"/>
    <x v="0"/>
    <x v="1"/>
    <x v="1"/>
    <x v="8"/>
    <s v="41"/>
    <x v="4"/>
    <x v="0"/>
    <x v="7"/>
    <x v="11"/>
    <n v="1729"/>
  </r>
  <r>
    <x v="3"/>
    <x v="0"/>
    <x v="1"/>
    <x v="0"/>
    <x v="0"/>
    <x v="6"/>
    <x v="6"/>
    <x v="0"/>
    <x v="0"/>
    <x v="0"/>
    <x v="0"/>
    <x v="4"/>
    <s v="05"/>
    <x v="6"/>
    <x v="0"/>
    <x v="7"/>
    <x v="3"/>
    <n v="69"/>
  </r>
  <r>
    <x v="3"/>
    <x v="0"/>
    <x v="1"/>
    <x v="0"/>
    <x v="0"/>
    <x v="6"/>
    <x v="6"/>
    <x v="0"/>
    <x v="0"/>
    <x v="0"/>
    <x v="0"/>
    <x v="4"/>
    <s v="20"/>
    <x v="7"/>
    <x v="0"/>
    <x v="6"/>
    <x v="8"/>
    <n v="-4472"/>
  </r>
  <r>
    <x v="3"/>
    <x v="0"/>
    <x v="1"/>
    <x v="0"/>
    <x v="0"/>
    <x v="6"/>
    <x v="6"/>
    <x v="0"/>
    <x v="0"/>
    <x v="0"/>
    <x v="0"/>
    <x v="4"/>
    <s v="20"/>
    <x v="7"/>
    <x v="0"/>
    <x v="6"/>
    <x v="10"/>
    <n v="4472"/>
  </r>
  <r>
    <x v="3"/>
    <x v="0"/>
    <x v="1"/>
    <x v="0"/>
    <x v="0"/>
    <x v="6"/>
    <x v="6"/>
    <x v="0"/>
    <x v="0"/>
    <x v="0"/>
    <x v="0"/>
    <x v="4"/>
    <s v="20"/>
    <x v="7"/>
    <x v="0"/>
    <x v="6"/>
    <x v="7"/>
    <n v="356.39"/>
  </r>
  <r>
    <x v="3"/>
    <x v="0"/>
    <x v="1"/>
    <x v="0"/>
    <x v="0"/>
    <x v="6"/>
    <x v="6"/>
    <x v="0"/>
    <x v="0"/>
    <x v="0"/>
    <x v="0"/>
    <x v="4"/>
    <s v="20"/>
    <x v="7"/>
    <x v="0"/>
    <x v="7"/>
    <x v="5"/>
    <n v="96.75"/>
  </r>
  <r>
    <x v="3"/>
    <x v="0"/>
    <x v="1"/>
    <x v="0"/>
    <x v="0"/>
    <x v="6"/>
    <x v="6"/>
    <x v="0"/>
    <x v="0"/>
    <x v="0"/>
    <x v="0"/>
    <x v="4"/>
    <s v="20"/>
    <x v="7"/>
    <x v="0"/>
    <x v="7"/>
    <x v="6"/>
    <n v="63"/>
  </r>
  <r>
    <x v="3"/>
    <x v="0"/>
    <x v="1"/>
    <x v="0"/>
    <x v="0"/>
    <x v="6"/>
    <x v="6"/>
    <x v="0"/>
    <x v="0"/>
    <x v="0"/>
    <x v="0"/>
    <x v="4"/>
    <s v="24"/>
    <x v="1"/>
    <x v="0"/>
    <x v="6"/>
    <x v="8"/>
    <n v="174.9"/>
  </r>
  <r>
    <x v="3"/>
    <x v="0"/>
    <x v="1"/>
    <x v="0"/>
    <x v="0"/>
    <x v="6"/>
    <x v="6"/>
    <x v="0"/>
    <x v="0"/>
    <x v="0"/>
    <x v="0"/>
    <x v="4"/>
    <s v="24"/>
    <x v="1"/>
    <x v="0"/>
    <x v="6"/>
    <x v="3"/>
    <n v="188.5"/>
  </r>
  <r>
    <x v="3"/>
    <x v="0"/>
    <x v="1"/>
    <x v="0"/>
    <x v="0"/>
    <x v="6"/>
    <x v="6"/>
    <x v="0"/>
    <x v="0"/>
    <x v="0"/>
    <x v="0"/>
    <x v="4"/>
    <s v="24"/>
    <x v="1"/>
    <x v="0"/>
    <x v="6"/>
    <x v="4"/>
    <n v="94.8"/>
  </r>
  <r>
    <x v="3"/>
    <x v="0"/>
    <x v="1"/>
    <x v="0"/>
    <x v="0"/>
    <x v="6"/>
    <x v="6"/>
    <x v="0"/>
    <x v="0"/>
    <x v="0"/>
    <x v="0"/>
    <x v="4"/>
    <s v="24"/>
    <x v="1"/>
    <x v="0"/>
    <x v="6"/>
    <x v="7"/>
    <n v="-458.2"/>
  </r>
  <r>
    <x v="3"/>
    <x v="0"/>
    <x v="1"/>
    <x v="0"/>
    <x v="0"/>
    <x v="6"/>
    <x v="6"/>
    <x v="0"/>
    <x v="0"/>
    <x v="0"/>
    <x v="0"/>
    <x v="4"/>
    <s v="90"/>
    <x v="16"/>
    <x v="0"/>
    <x v="6"/>
    <x v="9"/>
    <n v="-10"/>
  </r>
  <r>
    <x v="3"/>
    <x v="0"/>
    <x v="1"/>
    <x v="0"/>
    <x v="0"/>
    <x v="6"/>
    <x v="6"/>
    <x v="0"/>
    <x v="0"/>
    <x v="0"/>
    <x v="0"/>
    <x v="4"/>
    <s v="90"/>
    <x v="16"/>
    <x v="0"/>
    <x v="6"/>
    <x v="5"/>
    <n v="10"/>
  </r>
  <r>
    <x v="3"/>
    <x v="0"/>
    <x v="1"/>
    <x v="0"/>
    <x v="0"/>
    <x v="6"/>
    <x v="6"/>
    <x v="0"/>
    <x v="0"/>
    <x v="0"/>
    <x v="0"/>
    <x v="4"/>
    <s v="99"/>
    <x v="9"/>
    <x v="0"/>
    <x v="6"/>
    <x v="1"/>
    <n v="645"/>
  </r>
  <r>
    <x v="3"/>
    <x v="0"/>
    <x v="1"/>
    <x v="0"/>
    <x v="0"/>
    <x v="2"/>
    <x v="0"/>
    <x v="0"/>
    <x v="0"/>
    <x v="1"/>
    <x v="1"/>
    <x v="8"/>
    <s v="41"/>
    <x v="4"/>
    <x v="0"/>
    <x v="6"/>
    <x v="8"/>
    <n v="450"/>
  </r>
  <r>
    <x v="3"/>
    <x v="0"/>
    <x v="1"/>
    <x v="0"/>
    <x v="0"/>
    <x v="2"/>
    <x v="0"/>
    <x v="0"/>
    <x v="0"/>
    <x v="1"/>
    <x v="1"/>
    <x v="8"/>
    <s v="41"/>
    <x v="4"/>
    <x v="0"/>
    <x v="6"/>
    <x v="11"/>
    <n v="249.26"/>
  </r>
  <r>
    <x v="3"/>
    <x v="0"/>
    <x v="1"/>
    <x v="0"/>
    <x v="0"/>
    <x v="2"/>
    <x v="0"/>
    <x v="0"/>
    <x v="0"/>
    <x v="1"/>
    <x v="1"/>
    <x v="8"/>
    <s v="41"/>
    <x v="4"/>
    <x v="0"/>
    <x v="6"/>
    <x v="3"/>
    <n v="600"/>
  </r>
  <r>
    <x v="3"/>
    <x v="0"/>
    <x v="1"/>
    <x v="0"/>
    <x v="0"/>
    <x v="2"/>
    <x v="0"/>
    <x v="0"/>
    <x v="0"/>
    <x v="1"/>
    <x v="1"/>
    <x v="8"/>
    <s v="41"/>
    <x v="4"/>
    <x v="0"/>
    <x v="6"/>
    <x v="7"/>
    <n v="3135"/>
  </r>
  <r>
    <x v="3"/>
    <x v="0"/>
    <x v="1"/>
    <x v="0"/>
    <x v="0"/>
    <x v="2"/>
    <x v="0"/>
    <x v="0"/>
    <x v="0"/>
    <x v="1"/>
    <x v="1"/>
    <x v="8"/>
    <s v="41"/>
    <x v="4"/>
    <x v="0"/>
    <x v="6"/>
    <x v="5"/>
    <n v="-1299.26"/>
  </r>
  <r>
    <x v="3"/>
    <x v="0"/>
    <x v="1"/>
    <x v="0"/>
    <x v="0"/>
    <x v="2"/>
    <x v="0"/>
    <x v="0"/>
    <x v="0"/>
    <x v="1"/>
    <x v="1"/>
    <x v="8"/>
    <s v="41"/>
    <x v="4"/>
    <x v="0"/>
    <x v="6"/>
    <x v="1"/>
    <n v="-3135"/>
  </r>
  <r>
    <x v="3"/>
    <x v="0"/>
    <x v="1"/>
    <x v="0"/>
    <x v="0"/>
    <x v="2"/>
    <x v="0"/>
    <x v="0"/>
    <x v="0"/>
    <x v="1"/>
    <x v="1"/>
    <x v="8"/>
    <s v="41"/>
    <x v="4"/>
    <x v="0"/>
    <x v="7"/>
    <x v="2"/>
    <n v="180"/>
  </r>
  <r>
    <x v="3"/>
    <x v="0"/>
    <x v="1"/>
    <x v="0"/>
    <x v="0"/>
    <x v="2"/>
    <x v="0"/>
    <x v="0"/>
    <x v="0"/>
    <x v="1"/>
    <x v="1"/>
    <x v="8"/>
    <s v="41"/>
    <x v="4"/>
    <x v="0"/>
    <x v="7"/>
    <x v="3"/>
    <n v="100"/>
  </r>
  <r>
    <x v="3"/>
    <x v="0"/>
    <x v="1"/>
    <x v="0"/>
    <x v="0"/>
    <x v="2"/>
    <x v="0"/>
    <x v="0"/>
    <x v="0"/>
    <x v="1"/>
    <x v="1"/>
    <x v="8"/>
    <s v="41"/>
    <x v="4"/>
    <x v="0"/>
    <x v="7"/>
    <x v="1"/>
    <n v="66006.850000000006"/>
  </r>
  <r>
    <x v="3"/>
    <x v="0"/>
    <x v="1"/>
    <x v="0"/>
    <x v="0"/>
    <x v="2"/>
    <x v="0"/>
    <x v="0"/>
    <x v="0"/>
    <x v="0"/>
    <x v="0"/>
    <x v="4"/>
    <s v="05"/>
    <x v="6"/>
    <x v="0"/>
    <x v="7"/>
    <x v="7"/>
    <n v="35"/>
  </r>
  <r>
    <x v="3"/>
    <x v="0"/>
    <x v="1"/>
    <x v="0"/>
    <x v="0"/>
    <x v="2"/>
    <x v="0"/>
    <x v="0"/>
    <x v="0"/>
    <x v="0"/>
    <x v="0"/>
    <x v="4"/>
    <s v="05"/>
    <x v="6"/>
    <x v="0"/>
    <x v="7"/>
    <x v="1"/>
    <n v="-35"/>
  </r>
  <r>
    <x v="3"/>
    <x v="0"/>
    <x v="1"/>
    <x v="0"/>
    <x v="0"/>
    <x v="2"/>
    <x v="0"/>
    <x v="0"/>
    <x v="0"/>
    <x v="0"/>
    <x v="0"/>
    <x v="4"/>
    <s v="09"/>
    <x v="0"/>
    <x v="0"/>
    <x v="6"/>
    <x v="0"/>
    <n v="-10025.780000000001"/>
  </r>
  <r>
    <x v="3"/>
    <x v="0"/>
    <x v="1"/>
    <x v="0"/>
    <x v="0"/>
    <x v="2"/>
    <x v="0"/>
    <x v="0"/>
    <x v="0"/>
    <x v="0"/>
    <x v="0"/>
    <x v="4"/>
    <s v="09"/>
    <x v="0"/>
    <x v="0"/>
    <x v="6"/>
    <x v="2"/>
    <n v="25025.24"/>
  </r>
  <r>
    <x v="3"/>
    <x v="0"/>
    <x v="1"/>
    <x v="0"/>
    <x v="0"/>
    <x v="2"/>
    <x v="0"/>
    <x v="0"/>
    <x v="0"/>
    <x v="0"/>
    <x v="0"/>
    <x v="4"/>
    <s v="09"/>
    <x v="0"/>
    <x v="0"/>
    <x v="6"/>
    <x v="8"/>
    <n v="17011.68"/>
  </r>
  <r>
    <x v="3"/>
    <x v="0"/>
    <x v="1"/>
    <x v="0"/>
    <x v="0"/>
    <x v="2"/>
    <x v="0"/>
    <x v="0"/>
    <x v="0"/>
    <x v="0"/>
    <x v="0"/>
    <x v="4"/>
    <s v="09"/>
    <x v="0"/>
    <x v="0"/>
    <x v="6"/>
    <x v="9"/>
    <n v="27376.1"/>
  </r>
  <r>
    <x v="3"/>
    <x v="0"/>
    <x v="1"/>
    <x v="0"/>
    <x v="0"/>
    <x v="2"/>
    <x v="0"/>
    <x v="0"/>
    <x v="0"/>
    <x v="0"/>
    <x v="0"/>
    <x v="4"/>
    <s v="09"/>
    <x v="0"/>
    <x v="0"/>
    <x v="6"/>
    <x v="10"/>
    <n v="42578.61"/>
  </r>
  <r>
    <x v="3"/>
    <x v="0"/>
    <x v="1"/>
    <x v="0"/>
    <x v="0"/>
    <x v="2"/>
    <x v="0"/>
    <x v="0"/>
    <x v="0"/>
    <x v="0"/>
    <x v="0"/>
    <x v="4"/>
    <s v="09"/>
    <x v="0"/>
    <x v="0"/>
    <x v="6"/>
    <x v="11"/>
    <n v="37973.410000000003"/>
  </r>
  <r>
    <x v="3"/>
    <x v="0"/>
    <x v="1"/>
    <x v="0"/>
    <x v="0"/>
    <x v="2"/>
    <x v="0"/>
    <x v="0"/>
    <x v="0"/>
    <x v="0"/>
    <x v="0"/>
    <x v="4"/>
    <s v="09"/>
    <x v="0"/>
    <x v="0"/>
    <x v="6"/>
    <x v="3"/>
    <n v="42663.37"/>
  </r>
  <r>
    <x v="3"/>
    <x v="0"/>
    <x v="1"/>
    <x v="0"/>
    <x v="0"/>
    <x v="2"/>
    <x v="0"/>
    <x v="0"/>
    <x v="0"/>
    <x v="0"/>
    <x v="0"/>
    <x v="4"/>
    <s v="09"/>
    <x v="0"/>
    <x v="0"/>
    <x v="6"/>
    <x v="4"/>
    <n v="65169.19"/>
  </r>
  <r>
    <x v="3"/>
    <x v="0"/>
    <x v="1"/>
    <x v="0"/>
    <x v="0"/>
    <x v="2"/>
    <x v="0"/>
    <x v="0"/>
    <x v="0"/>
    <x v="0"/>
    <x v="0"/>
    <x v="4"/>
    <s v="09"/>
    <x v="0"/>
    <x v="0"/>
    <x v="6"/>
    <x v="7"/>
    <n v="58279.54"/>
  </r>
  <r>
    <x v="3"/>
    <x v="0"/>
    <x v="1"/>
    <x v="0"/>
    <x v="0"/>
    <x v="2"/>
    <x v="0"/>
    <x v="0"/>
    <x v="0"/>
    <x v="0"/>
    <x v="0"/>
    <x v="4"/>
    <s v="09"/>
    <x v="0"/>
    <x v="0"/>
    <x v="6"/>
    <x v="5"/>
    <n v="67689.83"/>
  </r>
  <r>
    <x v="3"/>
    <x v="0"/>
    <x v="1"/>
    <x v="0"/>
    <x v="0"/>
    <x v="2"/>
    <x v="0"/>
    <x v="0"/>
    <x v="0"/>
    <x v="0"/>
    <x v="0"/>
    <x v="4"/>
    <s v="09"/>
    <x v="0"/>
    <x v="0"/>
    <x v="6"/>
    <x v="6"/>
    <n v="92424.73"/>
  </r>
  <r>
    <x v="3"/>
    <x v="0"/>
    <x v="1"/>
    <x v="0"/>
    <x v="0"/>
    <x v="2"/>
    <x v="0"/>
    <x v="0"/>
    <x v="0"/>
    <x v="0"/>
    <x v="0"/>
    <x v="4"/>
    <s v="09"/>
    <x v="0"/>
    <x v="0"/>
    <x v="6"/>
    <x v="1"/>
    <n v="147545.44"/>
  </r>
  <r>
    <x v="3"/>
    <x v="0"/>
    <x v="1"/>
    <x v="0"/>
    <x v="0"/>
    <x v="2"/>
    <x v="0"/>
    <x v="0"/>
    <x v="0"/>
    <x v="0"/>
    <x v="0"/>
    <x v="4"/>
    <s v="09"/>
    <x v="0"/>
    <x v="0"/>
    <x v="7"/>
    <x v="0"/>
    <n v="-10038.65"/>
  </r>
  <r>
    <x v="3"/>
    <x v="0"/>
    <x v="1"/>
    <x v="0"/>
    <x v="0"/>
    <x v="2"/>
    <x v="0"/>
    <x v="0"/>
    <x v="0"/>
    <x v="0"/>
    <x v="0"/>
    <x v="4"/>
    <s v="09"/>
    <x v="0"/>
    <x v="0"/>
    <x v="7"/>
    <x v="2"/>
    <n v="49786.37"/>
  </r>
  <r>
    <x v="3"/>
    <x v="0"/>
    <x v="1"/>
    <x v="0"/>
    <x v="0"/>
    <x v="2"/>
    <x v="0"/>
    <x v="0"/>
    <x v="0"/>
    <x v="0"/>
    <x v="0"/>
    <x v="4"/>
    <s v="09"/>
    <x v="0"/>
    <x v="0"/>
    <x v="7"/>
    <x v="8"/>
    <n v="35583.47"/>
  </r>
  <r>
    <x v="3"/>
    <x v="0"/>
    <x v="1"/>
    <x v="0"/>
    <x v="0"/>
    <x v="2"/>
    <x v="0"/>
    <x v="0"/>
    <x v="0"/>
    <x v="0"/>
    <x v="0"/>
    <x v="4"/>
    <s v="09"/>
    <x v="0"/>
    <x v="0"/>
    <x v="7"/>
    <x v="9"/>
    <n v="42539.98"/>
  </r>
  <r>
    <x v="3"/>
    <x v="0"/>
    <x v="1"/>
    <x v="0"/>
    <x v="0"/>
    <x v="2"/>
    <x v="0"/>
    <x v="0"/>
    <x v="0"/>
    <x v="0"/>
    <x v="0"/>
    <x v="4"/>
    <s v="09"/>
    <x v="0"/>
    <x v="0"/>
    <x v="7"/>
    <x v="10"/>
    <n v="-72.25"/>
  </r>
  <r>
    <x v="3"/>
    <x v="0"/>
    <x v="1"/>
    <x v="0"/>
    <x v="0"/>
    <x v="2"/>
    <x v="0"/>
    <x v="0"/>
    <x v="0"/>
    <x v="0"/>
    <x v="0"/>
    <x v="4"/>
    <s v="09"/>
    <x v="0"/>
    <x v="0"/>
    <x v="7"/>
    <x v="11"/>
    <n v="139275.89000000001"/>
  </r>
  <r>
    <x v="3"/>
    <x v="0"/>
    <x v="1"/>
    <x v="0"/>
    <x v="0"/>
    <x v="2"/>
    <x v="0"/>
    <x v="0"/>
    <x v="0"/>
    <x v="0"/>
    <x v="0"/>
    <x v="4"/>
    <s v="09"/>
    <x v="0"/>
    <x v="0"/>
    <x v="7"/>
    <x v="3"/>
    <n v="50988.480000000003"/>
  </r>
  <r>
    <x v="3"/>
    <x v="0"/>
    <x v="1"/>
    <x v="0"/>
    <x v="0"/>
    <x v="2"/>
    <x v="0"/>
    <x v="0"/>
    <x v="0"/>
    <x v="0"/>
    <x v="0"/>
    <x v="4"/>
    <s v="09"/>
    <x v="0"/>
    <x v="0"/>
    <x v="7"/>
    <x v="4"/>
    <n v="100633.04"/>
  </r>
  <r>
    <x v="3"/>
    <x v="0"/>
    <x v="1"/>
    <x v="0"/>
    <x v="0"/>
    <x v="2"/>
    <x v="0"/>
    <x v="0"/>
    <x v="0"/>
    <x v="0"/>
    <x v="0"/>
    <x v="4"/>
    <s v="09"/>
    <x v="0"/>
    <x v="0"/>
    <x v="7"/>
    <x v="7"/>
    <n v="89525.69"/>
  </r>
  <r>
    <x v="3"/>
    <x v="0"/>
    <x v="1"/>
    <x v="0"/>
    <x v="0"/>
    <x v="2"/>
    <x v="0"/>
    <x v="0"/>
    <x v="0"/>
    <x v="0"/>
    <x v="0"/>
    <x v="4"/>
    <s v="09"/>
    <x v="0"/>
    <x v="0"/>
    <x v="7"/>
    <x v="5"/>
    <n v="78415.97"/>
  </r>
  <r>
    <x v="3"/>
    <x v="0"/>
    <x v="1"/>
    <x v="0"/>
    <x v="0"/>
    <x v="2"/>
    <x v="0"/>
    <x v="0"/>
    <x v="0"/>
    <x v="0"/>
    <x v="0"/>
    <x v="4"/>
    <s v="09"/>
    <x v="0"/>
    <x v="0"/>
    <x v="7"/>
    <x v="6"/>
    <n v="129818.47"/>
  </r>
  <r>
    <x v="3"/>
    <x v="0"/>
    <x v="1"/>
    <x v="0"/>
    <x v="0"/>
    <x v="2"/>
    <x v="0"/>
    <x v="0"/>
    <x v="0"/>
    <x v="0"/>
    <x v="0"/>
    <x v="4"/>
    <s v="09"/>
    <x v="0"/>
    <x v="0"/>
    <x v="7"/>
    <x v="1"/>
    <n v="215809.06"/>
  </r>
  <r>
    <x v="3"/>
    <x v="0"/>
    <x v="1"/>
    <x v="0"/>
    <x v="0"/>
    <x v="2"/>
    <x v="0"/>
    <x v="0"/>
    <x v="0"/>
    <x v="0"/>
    <x v="0"/>
    <x v="4"/>
    <s v="20"/>
    <x v="7"/>
    <x v="0"/>
    <x v="6"/>
    <x v="2"/>
    <n v="945"/>
  </r>
  <r>
    <x v="3"/>
    <x v="0"/>
    <x v="1"/>
    <x v="0"/>
    <x v="0"/>
    <x v="2"/>
    <x v="0"/>
    <x v="0"/>
    <x v="0"/>
    <x v="0"/>
    <x v="0"/>
    <x v="4"/>
    <s v="20"/>
    <x v="7"/>
    <x v="0"/>
    <x v="6"/>
    <x v="8"/>
    <n v="730.45"/>
  </r>
  <r>
    <x v="3"/>
    <x v="0"/>
    <x v="1"/>
    <x v="0"/>
    <x v="0"/>
    <x v="2"/>
    <x v="0"/>
    <x v="0"/>
    <x v="0"/>
    <x v="0"/>
    <x v="0"/>
    <x v="4"/>
    <s v="20"/>
    <x v="7"/>
    <x v="0"/>
    <x v="6"/>
    <x v="9"/>
    <n v="-41.25"/>
  </r>
  <r>
    <x v="3"/>
    <x v="0"/>
    <x v="1"/>
    <x v="0"/>
    <x v="0"/>
    <x v="2"/>
    <x v="0"/>
    <x v="0"/>
    <x v="0"/>
    <x v="0"/>
    <x v="0"/>
    <x v="4"/>
    <s v="20"/>
    <x v="7"/>
    <x v="0"/>
    <x v="6"/>
    <x v="10"/>
    <n v="-1264.2"/>
  </r>
  <r>
    <x v="3"/>
    <x v="0"/>
    <x v="1"/>
    <x v="0"/>
    <x v="0"/>
    <x v="2"/>
    <x v="0"/>
    <x v="0"/>
    <x v="0"/>
    <x v="0"/>
    <x v="0"/>
    <x v="4"/>
    <s v="20"/>
    <x v="7"/>
    <x v="0"/>
    <x v="6"/>
    <x v="11"/>
    <n v="-5"/>
  </r>
  <r>
    <x v="3"/>
    <x v="0"/>
    <x v="1"/>
    <x v="0"/>
    <x v="0"/>
    <x v="2"/>
    <x v="0"/>
    <x v="0"/>
    <x v="0"/>
    <x v="0"/>
    <x v="0"/>
    <x v="4"/>
    <s v="20"/>
    <x v="7"/>
    <x v="0"/>
    <x v="6"/>
    <x v="3"/>
    <n v="619.29999999999995"/>
  </r>
  <r>
    <x v="3"/>
    <x v="0"/>
    <x v="1"/>
    <x v="0"/>
    <x v="0"/>
    <x v="2"/>
    <x v="0"/>
    <x v="0"/>
    <x v="0"/>
    <x v="0"/>
    <x v="0"/>
    <x v="4"/>
    <s v="20"/>
    <x v="7"/>
    <x v="0"/>
    <x v="6"/>
    <x v="4"/>
    <n v="4000.14"/>
  </r>
  <r>
    <x v="3"/>
    <x v="0"/>
    <x v="1"/>
    <x v="0"/>
    <x v="0"/>
    <x v="2"/>
    <x v="0"/>
    <x v="0"/>
    <x v="0"/>
    <x v="0"/>
    <x v="0"/>
    <x v="4"/>
    <s v="20"/>
    <x v="7"/>
    <x v="0"/>
    <x v="6"/>
    <x v="7"/>
    <n v="-0.01"/>
  </r>
  <r>
    <x v="3"/>
    <x v="0"/>
    <x v="1"/>
    <x v="0"/>
    <x v="0"/>
    <x v="2"/>
    <x v="0"/>
    <x v="0"/>
    <x v="0"/>
    <x v="0"/>
    <x v="0"/>
    <x v="4"/>
    <s v="20"/>
    <x v="7"/>
    <x v="0"/>
    <x v="6"/>
    <x v="5"/>
    <n v="-3975.13"/>
  </r>
  <r>
    <x v="3"/>
    <x v="0"/>
    <x v="1"/>
    <x v="0"/>
    <x v="0"/>
    <x v="2"/>
    <x v="0"/>
    <x v="0"/>
    <x v="0"/>
    <x v="0"/>
    <x v="0"/>
    <x v="4"/>
    <s v="20"/>
    <x v="7"/>
    <x v="0"/>
    <x v="6"/>
    <x v="1"/>
    <n v="-619.29999999999995"/>
  </r>
  <r>
    <x v="3"/>
    <x v="0"/>
    <x v="1"/>
    <x v="0"/>
    <x v="0"/>
    <x v="2"/>
    <x v="0"/>
    <x v="0"/>
    <x v="0"/>
    <x v="0"/>
    <x v="0"/>
    <x v="4"/>
    <s v="20"/>
    <x v="7"/>
    <x v="0"/>
    <x v="7"/>
    <x v="0"/>
    <n v="3.45"/>
  </r>
  <r>
    <x v="3"/>
    <x v="0"/>
    <x v="1"/>
    <x v="0"/>
    <x v="0"/>
    <x v="2"/>
    <x v="0"/>
    <x v="0"/>
    <x v="0"/>
    <x v="0"/>
    <x v="0"/>
    <x v="4"/>
    <s v="20"/>
    <x v="7"/>
    <x v="0"/>
    <x v="7"/>
    <x v="10"/>
    <n v="301.86"/>
  </r>
  <r>
    <x v="3"/>
    <x v="0"/>
    <x v="1"/>
    <x v="0"/>
    <x v="0"/>
    <x v="2"/>
    <x v="0"/>
    <x v="0"/>
    <x v="0"/>
    <x v="0"/>
    <x v="0"/>
    <x v="4"/>
    <s v="20"/>
    <x v="7"/>
    <x v="0"/>
    <x v="7"/>
    <x v="3"/>
    <n v="8000"/>
  </r>
  <r>
    <x v="3"/>
    <x v="0"/>
    <x v="1"/>
    <x v="0"/>
    <x v="0"/>
    <x v="2"/>
    <x v="0"/>
    <x v="0"/>
    <x v="0"/>
    <x v="0"/>
    <x v="0"/>
    <x v="4"/>
    <s v="20"/>
    <x v="7"/>
    <x v="0"/>
    <x v="7"/>
    <x v="6"/>
    <n v="-195"/>
  </r>
  <r>
    <x v="3"/>
    <x v="0"/>
    <x v="1"/>
    <x v="0"/>
    <x v="0"/>
    <x v="2"/>
    <x v="0"/>
    <x v="0"/>
    <x v="0"/>
    <x v="0"/>
    <x v="0"/>
    <x v="4"/>
    <s v="20"/>
    <x v="7"/>
    <x v="0"/>
    <x v="7"/>
    <x v="1"/>
    <n v="-8110.31"/>
  </r>
  <r>
    <x v="3"/>
    <x v="0"/>
    <x v="1"/>
    <x v="0"/>
    <x v="0"/>
    <x v="2"/>
    <x v="0"/>
    <x v="0"/>
    <x v="0"/>
    <x v="0"/>
    <x v="0"/>
    <x v="4"/>
    <s v="24"/>
    <x v="1"/>
    <x v="0"/>
    <x v="6"/>
    <x v="0"/>
    <n v="1405.93"/>
  </r>
  <r>
    <x v="3"/>
    <x v="0"/>
    <x v="1"/>
    <x v="0"/>
    <x v="0"/>
    <x v="2"/>
    <x v="0"/>
    <x v="0"/>
    <x v="0"/>
    <x v="0"/>
    <x v="0"/>
    <x v="4"/>
    <s v="24"/>
    <x v="1"/>
    <x v="0"/>
    <x v="6"/>
    <x v="2"/>
    <n v="-2791.82"/>
  </r>
  <r>
    <x v="3"/>
    <x v="0"/>
    <x v="1"/>
    <x v="0"/>
    <x v="0"/>
    <x v="2"/>
    <x v="0"/>
    <x v="0"/>
    <x v="0"/>
    <x v="0"/>
    <x v="0"/>
    <x v="4"/>
    <s v="24"/>
    <x v="1"/>
    <x v="0"/>
    <x v="6"/>
    <x v="8"/>
    <n v="15785743.060000001"/>
  </r>
  <r>
    <x v="3"/>
    <x v="0"/>
    <x v="1"/>
    <x v="0"/>
    <x v="0"/>
    <x v="2"/>
    <x v="0"/>
    <x v="0"/>
    <x v="0"/>
    <x v="0"/>
    <x v="0"/>
    <x v="4"/>
    <s v="24"/>
    <x v="1"/>
    <x v="0"/>
    <x v="6"/>
    <x v="9"/>
    <n v="-248726.29"/>
  </r>
  <r>
    <x v="3"/>
    <x v="0"/>
    <x v="1"/>
    <x v="0"/>
    <x v="0"/>
    <x v="2"/>
    <x v="0"/>
    <x v="0"/>
    <x v="0"/>
    <x v="0"/>
    <x v="0"/>
    <x v="4"/>
    <s v="24"/>
    <x v="1"/>
    <x v="0"/>
    <x v="6"/>
    <x v="10"/>
    <n v="14600408.560000001"/>
  </r>
  <r>
    <x v="3"/>
    <x v="0"/>
    <x v="1"/>
    <x v="0"/>
    <x v="0"/>
    <x v="2"/>
    <x v="0"/>
    <x v="0"/>
    <x v="0"/>
    <x v="0"/>
    <x v="0"/>
    <x v="4"/>
    <s v="24"/>
    <x v="1"/>
    <x v="0"/>
    <x v="6"/>
    <x v="11"/>
    <n v="333537.43"/>
  </r>
  <r>
    <x v="3"/>
    <x v="0"/>
    <x v="1"/>
    <x v="0"/>
    <x v="0"/>
    <x v="2"/>
    <x v="0"/>
    <x v="0"/>
    <x v="0"/>
    <x v="0"/>
    <x v="0"/>
    <x v="4"/>
    <s v="24"/>
    <x v="1"/>
    <x v="0"/>
    <x v="6"/>
    <x v="3"/>
    <n v="-43187.81"/>
  </r>
  <r>
    <x v="3"/>
    <x v="0"/>
    <x v="1"/>
    <x v="0"/>
    <x v="0"/>
    <x v="2"/>
    <x v="0"/>
    <x v="0"/>
    <x v="0"/>
    <x v="0"/>
    <x v="0"/>
    <x v="4"/>
    <s v="24"/>
    <x v="1"/>
    <x v="0"/>
    <x v="6"/>
    <x v="4"/>
    <n v="8820960.3100000005"/>
  </r>
  <r>
    <x v="3"/>
    <x v="0"/>
    <x v="1"/>
    <x v="0"/>
    <x v="0"/>
    <x v="2"/>
    <x v="0"/>
    <x v="0"/>
    <x v="0"/>
    <x v="0"/>
    <x v="0"/>
    <x v="4"/>
    <s v="24"/>
    <x v="1"/>
    <x v="0"/>
    <x v="6"/>
    <x v="7"/>
    <n v="5033806.9400000004"/>
  </r>
  <r>
    <x v="3"/>
    <x v="0"/>
    <x v="1"/>
    <x v="0"/>
    <x v="0"/>
    <x v="2"/>
    <x v="0"/>
    <x v="0"/>
    <x v="0"/>
    <x v="0"/>
    <x v="0"/>
    <x v="4"/>
    <s v="24"/>
    <x v="1"/>
    <x v="0"/>
    <x v="6"/>
    <x v="5"/>
    <n v="-219211.89"/>
  </r>
  <r>
    <x v="3"/>
    <x v="0"/>
    <x v="1"/>
    <x v="0"/>
    <x v="0"/>
    <x v="2"/>
    <x v="0"/>
    <x v="0"/>
    <x v="0"/>
    <x v="0"/>
    <x v="0"/>
    <x v="4"/>
    <s v="24"/>
    <x v="1"/>
    <x v="0"/>
    <x v="6"/>
    <x v="6"/>
    <n v="-39693.35"/>
  </r>
  <r>
    <x v="3"/>
    <x v="0"/>
    <x v="1"/>
    <x v="0"/>
    <x v="0"/>
    <x v="2"/>
    <x v="0"/>
    <x v="0"/>
    <x v="0"/>
    <x v="0"/>
    <x v="0"/>
    <x v="4"/>
    <s v="24"/>
    <x v="1"/>
    <x v="0"/>
    <x v="6"/>
    <x v="1"/>
    <n v="-30426.01"/>
  </r>
  <r>
    <x v="3"/>
    <x v="0"/>
    <x v="1"/>
    <x v="0"/>
    <x v="0"/>
    <x v="2"/>
    <x v="0"/>
    <x v="0"/>
    <x v="0"/>
    <x v="0"/>
    <x v="0"/>
    <x v="4"/>
    <s v="24"/>
    <x v="1"/>
    <x v="0"/>
    <x v="7"/>
    <x v="0"/>
    <n v="-2610.56"/>
  </r>
  <r>
    <x v="3"/>
    <x v="0"/>
    <x v="1"/>
    <x v="0"/>
    <x v="0"/>
    <x v="2"/>
    <x v="0"/>
    <x v="0"/>
    <x v="0"/>
    <x v="0"/>
    <x v="0"/>
    <x v="4"/>
    <s v="24"/>
    <x v="1"/>
    <x v="0"/>
    <x v="7"/>
    <x v="2"/>
    <n v="-2104.91"/>
  </r>
  <r>
    <x v="3"/>
    <x v="0"/>
    <x v="1"/>
    <x v="0"/>
    <x v="0"/>
    <x v="2"/>
    <x v="0"/>
    <x v="0"/>
    <x v="0"/>
    <x v="0"/>
    <x v="0"/>
    <x v="4"/>
    <s v="24"/>
    <x v="1"/>
    <x v="0"/>
    <x v="7"/>
    <x v="8"/>
    <n v="16521910.27"/>
  </r>
  <r>
    <x v="3"/>
    <x v="0"/>
    <x v="1"/>
    <x v="0"/>
    <x v="0"/>
    <x v="2"/>
    <x v="0"/>
    <x v="0"/>
    <x v="0"/>
    <x v="0"/>
    <x v="0"/>
    <x v="4"/>
    <s v="24"/>
    <x v="1"/>
    <x v="0"/>
    <x v="7"/>
    <x v="9"/>
    <n v="-268316.23"/>
  </r>
  <r>
    <x v="3"/>
    <x v="0"/>
    <x v="1"/>
    <x v="0"/>
    <x v="0"/>
    <x v="2"/>
    <x v="0"/>
    <x v="0"/>
    <x v="0"/>
    <x v="0"/>
    <x v="0"/>
    <x v="4"/>
    <s v="24"/>
    <x v="1"/>
    <x v="0"/>
    <x v="7"/>
    <x v="10"/>
    <n v="10141238.800000001"/>
  </r>
  <r>
    <x v="3"/>
    <x v="0"/>
    <x v="1"/>
    <x v="0"/>
    <x v="0"/>
    <x v="2"/>
    <x v="0"/>
    <x v="0"/>
    <x v="0"/>
    <x v="0"/>
    <x v="0"/>
    <x v="4"/>
    <s v="24"/>
    <x v="1"/>
    <x v="0"/>
    <x v="7"/>
    <x v="11"/>
    <n v="6621364.5599999996"/>
  </r>
  <r>
    <x v="3"/>
    <x v="0"/>
    <x v="1"/>
    <x v="0"/>
    <x v="0"/>
    <x v="2"/>
    <x v="0"/>
    <x v="0"/>
    <x v="0"/>
    <x v="0"/>
    <x v="0"/>
    <x v="4"/>
    <s v="24"/>
    <x v="1"/>
    <x v="0"/>
    <x v="7"/>
    <x v="3"/>
    <n v="-868358.67"/>
  </r>
  <r>
    <x v="3"/>
    <x v="0"/>
    <x v="1"/>
    <x v="0"/>
    <x v="0"/>
    <x v="2"/>
    <x v="0"/>
    <x v="0"/>
    <x v="0"/>
    <x v="0"/>
    <x v="0"/>
    <x v="4"/>
    <s v="24"/>
    <x v="1"/>
    <x v="0"/>
    <x v="7"/>
    <x v="4"/>
    <n v="-87388.45"/>
  </r>
  <r>
    <x v="3"/>
    <x v="0"/>
    <x v="1"/>
    <x v="0"/>
    <x v="0"/>
    <x v="2"/>
    <x v="0"/>
    <x v="0"/>
    <x v="0"/>
    <x v="0"/>
    <x v="0"/>
    <x v="4"/>
    <s v="24"/>
    <x v="1"/>
    <x v="0"/>
    <x v="7"/>
    <x v="7"/>
    <n v="15060146.279999999"/>
  </r>
  <r>
    <x v="3"/>
    <x v="0"/>
    <x v="1"/>
    <x v="0"/>
    <x v="0"/>
    <x v="2"/>
    <x v="0"/>
    <x v="0"/>
    <x v="0"/>
    <x v="0"/>
    <x v="0"/>
    <x v="4"/>
    <s v="24"/>
    <x v="1"/>
    <x v="0"/>
    <x v="7"/>
    <x v="5"/>
    <n v="5645.45"/>
  </r>
  <r>
    <x v="3"/>
    <x v="0"/>
    <x v="1"/>
    <x v="0"/>
    <x v="0"/>
    <x v="2"/>
    <x v="0"/>
    <x v="0"/>
    <x v="0"/>
    <x v="0"/>
    <x v="0"/>
    <x v="4"/>
    <s v="24"/>
    <x v="1"/>
    <x v="0"/>
    <x v="7"/>
    <x v="6"/>
    <n v="-80133.97"/>
  </r>
  <r>
    <x v="3"/>
    <x v="0"/>
    <x v="1"/>
    <x v="0"/>
    <x v="0"/>
    <x v="2"/>
    <x v="0"/>
    <x v="0"/>
    <x v="0"/>
    <x v="0"/>
    <x v="0"/>
    <x v="4"/>
    <s v="24"/>
    <x v="1"/>
    <x v="0"/>
    <x v="7"/>
    <x v="1"/>
    <n v="-19408.490000000002"/>
  </r>
  <r>
    <x v="3"/>
    <x v="0"/>
    <x v="1"/>
    <x v="0"/>
    <x v="0"/>
    <x v="2"/>
    <x v="0"/>
    <x v="0"/>
    <x v="0"/>
    <x v="0"/>
    <x v="0"/>
    <x v="4"/>
    <s v="30"/>
    <x v="3"/>
    <x v="0"/>
    <x v="6"/>
    <x v="5"/>
    <n v="72941.759999999995"/>
  </r>
  <r>
    <x v="3"/>
    <x v="0"/>
    <x v="1"/>
    <x v="0"/>
    <x v="0"/>
    <x v="2"/>
    <x v="0"/>
    <x v="0"/>
    <x v="0"/>
    <x v="0"/>
    <x v="0"/>
    <x v="4"/>
    <s v="30"/>
    <x v="3"/>
    <x v="0"/>
    <x v="6"/>
    <x v="6"/>
    <n v="6"/>
  </r>
  <r>
    <x v="3"/>
    <x v="0"/>
    <x v="1"/>
    <x v="0"/>
    <x v="0"/>
    <x v="2"/>
    <x v="0"/>
    <x v="0"/>
    <x v="0"/>
    <x v="0"/>
    <x v="0"/>
    <x v="4"/>
    <s v="30"/>
    <x v="3"/>
    <x v="0"/>
    <x v="6"/>
    <x v="1"/>
    <n v="-72947.759999999995"/>
  </r>
  <r>
    <x v="3"/>
    <x v="0"/>
    <x v="1"/>
    <x v="0"/>
    <x v="0"/>
    <x v="2"/>
    <x v="0"/>
    <x v="0"/>
    <x v="0"/>
    <x v="0"/>
    <x v="0"/>
    <x v="4"/>
    <s v="31"/>
    <x v="8"/>
    <x v="0"/>
    <x v="6"/>
    <x v="7"/>
    <n v="4.3499999999999996"/>
  </r>
  <r>
    <x v="3"/>
    <x v="0"/>
    <x v="1"/>
    <x v="0"/>
    <x v="0"/>
    <x v="2"/>
    <x v="0"/>
    <x v="0"/>
    <x v="0"/>
    <x v="0"/>
    <x v="0"/>
    <x v="4"/>
    <s v="31"/>
    <x v="8"/>
    <x v="0"/>
    <x v="6"/>
    <x v="5"/>
    <n v="-4.3499999999999996"/>
  </r>
  <r>
    <x v="3"/>
    <x v="0"/>
    <x v="1"/>
    <x v="0"/>
    <x v="0"/>
    <x v="2"/>
    <x v="0"/>
    <x v="0"/>
    <x v="0"/>
    <x v="0"/>
    <x v="0"/>
    <x v="4"/>
    <s v="40"/>
    <x v="18"/>
    <x v="0"/>
    <x v="7"/>
    <x v="9"/>
    <n v="100"/>
  </r>
  <r>
    <x v="3"/>
    <x v="0"/>
    <x v="1"/>
    <x v="0"/>
    <x v="0"/>
    <x v="2"/>
    <x v="0"/>
    <x v="0"/>
    <x v="0"/>
    <x v="0"/>
    <x v="0"/>
    <x v="4"/>
    <s v="40"/>
    <x v="18"/>
    <x v="0"/>
    <x v="7"/>
    <x v="1"/>
    <n v="-100"/>
  </r>
  <r>
    <x v="3"/>
    <x v="0"/>
    <x v="1"/>
    <x v="0"/>
    <x v="0"/>
    <x v="2"/>
    <x v="0"/>
    <x v="0"/>
    <x v="0"/>
    <x v="0"/>
    <x v="4"/>
    <x v="5"/>
    <s v="21"/>
    <x v="27"/>
    <x v="0"/>
    <x v="6"/>
    <x v="0"/>
    <n v="7500"/>
  </r>
  <r>
    <x v="3"/>
    <x v="0"/>
    <x v="1"/>
    <x v="0"/>
    <x v="0"/>
    <x v="2"/>
    <x v="0"/>
    <x v="0"/>
    <x v="0"/>
    <x v="0"/>
    <x v="4"/>
    <x v="5"/>
    <s v="21"/>
    <x v="27"/>
    <x v="0"/>
    <x v="6"/>
    <x v="2"/>
    <n v="15792.68"/>
  </r>
  <r>
    <x v="3"/>
    <x v="0"/>
    <x v="1"/>
    <x v="0"/>
    <x v="0"/>
    <x v="2"/>
    <x v="0"/>
    <x v="0"/>
    <x v="0"/>
    <x v="0"/>
    <x v="4"/>
    <x v="5"/>
    <s v="21"/>
    <x v="27"/>
    <x v="0"/>
    <x v="6"/>
    <x v="8"/>
    <n v="772.56"/>
  </r>
  <r>
    <x v="3"/>
    <x v="0"/>
    <x v="1"/>
    <x v="0"/>
    <x v="0"/>
    <x v="2"/>
    <x v="0"/>
    <x v="0"/>
    <x v="0"/>
    <x v="0"/>
    <x v="4"/>
    <x v="5"/>
    <s v="21"/>
    <x v="27"/>
    <x v="0"/>
    <x v="6"/>
    <x v="9"/>
    <n v="90195"/>
  </r>
  <r>
    <x v="3"/>
    <x v="0"/>
    <x v="1"/>
    <x v="0"/>
    <x v="0"/>
    <x v="2"/>
    <x v="0"/>
    <x v="0"/>
    <x v="0"/>
    <x v="0"/>
    <x v="4"/>
    <x v="5"/>
    <s v="21"/>
    <x v="27"/>
    <x v="0"/>
    <x v="6"/>
    <x v="10"/>
    <n v="7612"/>
  </r>
  <r>
    <x v="3"/>
    <x v="0"/>
    <x v="1"/>
    <x v="0"/>
    <x v="0"/>
    <x v="2"/>
    <x v="0"/>
    <x v="0"/>
    <x v="0"/>
    <x v="0"/>
    <x v="4"/>
    <x v="5"/>
    <s v="21"/>
    <x v="27"/>
    <x v="0"/>
    <x v="6"/>
    <x v="11"/>
    <n v="5271"/>
  </r>
  <r>
    <x v="3"/>
    <x v="0"/>
    <x v="1"/>
    <x v="0"/>
    <x v="0"/>
    <x v="2"/>
    <x v="0"/>
    <x v="0"/>
    <x v="0"/>
    <x v="0"/>
    <x v="4"/>
    <x v="5"/>
    <s v="21"/>
    <x v="27"/>
    <x v="0"/>
    <x v="6"/>
    <x v="3"/>
    <n v="4000"/>
  </r>
  <r>
    <x v="3"/>
    <x v="0"/>
    <x v="1"/>
    <x v="0"/>
    <x v="0"/>
    <x v="2"/>
    <x v="0"/>
    <x v="0"/>
    <x v="0"/>
    <x v="0"/>
    <x v="4"/>
    <x v="5"/>
    <s v="21"/>
    <x v="27"/>
    <x v="0"/>
    <x v="6"/>
    <x v="4"/>
    <n v="28920.94"/>
  </r>
  <r>
    <x v="3"/>
    <x v="0"/>
    <x v="1"/>
    <x v="0"/>
    <x v="0"/>
    <x v="2"/>
    <x v="0"/>
    <x v="0"/>
    <x v="0"/>
    <x v="0"/>
    <x v="4"/>
    <x v="5"/>
    <s v="21"/>
    <x v="27"/>
    <x v="0"/>
    <x v="6"/>
    <x v="7"/>
    <n v="103624"/>
  </r>
  <r>
    <x v="3"/>
    <x v="0"/>
    <x v="1"/>
    <x v="0"/>
    <x v="0"/>
    <x v="2"/>
    <x v="0"/>
    <x v="0"/>
    <x v="0"/>
    <x v="0"/>
    <x v="4"/>
    <x v="5"/>
    <s v="21"/>
    <x v="27"/>
    <x v="0"/>
    <x v="6"/>
    <x v="5"/>
    <n v="92618.2"/>
  </r>
  <r>
    <x v="3"/>
    <x v="0"/>
    <x v="1"/>
    <x v="0"/>
    <x v="0"/>
    <x v="2"/>
    <x v="0"/>
    <x v="0"/>
    <x v="0"/>
    <x v="0"/>
    <x v="4"/>
    <x v="5"/>
    <s v="21"/>
    <x v="27"/>
    <x v="0"/>
    <x v="6"/>
    <x v="6"/>
    <n v="8057.9"/>
  </r>
  <r>
    <x v="3"/>
    <x v="0"/>
    <x v="1"/>
    <x v="0"/>
    <x v="0"/>
    <x v="2"/>
    <x v="0"/>
    <x v="0"/>
    <x v="0"/>
    <x v="0"/>
    <x v="4"/>
    <x v="5"/>
    <s v="21"/>
    <x v="27"/>
    <x v="0"/>
    <x v="6"/>
    <x v="1"/>
    <n v="542572.06999999995"/>
  </r>
  <r>
    <x v="3"/>
    <x v="0"/>
    <x v="1"/>
    <x v="0"/>
    <x v="0"/>
    <x v="2"/>
    <x v="0"/>
    <x v="0"/>
    <x v="0"/>
    <x v="0"/>
    <x v="4"/>
    <x v="5"/>
    <s v="21"/>
    <x v="27"/>
    <x v="0"/>
    <x v="7"/>
    <x v="0"/>
    <n v="65000"/>
  </r>
  <r>
    <x v="3"/>
    <x v="0"/>
    <x v="1"/>
    <x v="0"/>
    <x v="0"/>
    <x v="2"/>
    <x v="0"/>
    <x v="0"/>
    <x v="0"/>
    <x v="0"/>
    <x v="4"/>
    <x v="5"/>
    <s v="21"/>
    <x v="27"/>
    <x v="0"/>
    <x v="7"/>
    <x v="2"/>
    <n v="146923.47"/>
  </r>
  <r>
    <x v="3"/>
    <x v="0"/>
    <x v="1"/>
    <x v="0"/>
    <x v="0"/>
    <x v="2"/>
    <x v="0"/>
    <x v="0"/>
    <x v="0"/>
    <x v="0"/>
    <x v="4"/>
    <x v="5"/>
    <s v="21"/>
    <x v="27"/>
    <x v="0"/>
    <x v="7"/>
    <x v="8"/>
    <n v="13312.24"/>
  </r>
  <r>
    <x v="3"/>
    <x v="0"/>
    <x v="1"/>
    <x v="0"/>
    <x v="0"/>
    <x v="2"/>
    <x v="0"/>
    <x v="0"/>
    <x v="0"/>
    <x v="0"/>
    <x v="4"/>
    <x v="5"/>
    <s v="21"/>
    <x v="27"/>
    <x v="0"/>
    <x v="7"/>
    <x v="9"/>
    <n v="212457.74"/>
  </r>
  <r>
    <x v="3"/>
    <x v="0"/>
    <x v="1"/>
    <x v="0"/>
    <x v="0"/>
    <x v="2"/>
    <x v="0"/>
    <x v="0"/>
    <x v="0"/>
    <x v="0"/>
    <x v="4"/>
    <x v="5"/>
    <s v="21"/>
    <x v="27"/>
    <x v="0"/>
    <x v="7"/>
    <x v="10"/>
    <n v="-2625"/>
  </r>
  <r>
    <x v="3"/>
    <x v="0"/>
    <x v="1"/>
    <x v="0"/>
    <x v="0"/>
    <x v="2"/>
    <x v="0"/>
    <x v="0"/>
    <x v="0"/>
    <x v="0"/>
    <x v="4"/>
    <x v="5"/>
    <s v="21"/>
    <x v="27"/>
    <x v="0"/>
    <x v="7"/>
    <x v="11"/>
    <n v="12153.75"/>
  </r>
  <r>
    <x v="3"/>
    <x v="0"/>
    <x v="1"/>
    <x v="0"/>
    <x v="0"/>
    <x v="2"/>
    <x v="0"/>
    <x v="0"/>
    <x v="0"/>
    <x v="0"/>
    <x v="4"/>
    <x v="5"/>
    <s v="21"/>
    <x v="27"/>
    <x v="0"/>
    <x v="7"/>
    <x v="3"/>
    <n v="36048.879999999997"/>
  </r>
  <r>
    <x v="3"/>
    <x v="0"/>
    <x v="1"/>
    <x v="0"/>
    <x v="0"/>
    <x v="2"/>
    <x v="0"/>
    <x v="0"/>
    <x v="0"/>
    <x v="0"/>
    <x v="4"/>
    <x v="5"/>
    <s v="21"/>
    <x v="27"/>
    <x v="0"/>
    <x v="7"/>
    <x v="4"/>
    <n v="-41352"/>
  </r>
  <r>
    <x v="3"/>
    <x v="0"/>
    <x v="1"/>
    <x v="0"/>
    <x v="0"/>
    <x v="2"/>
    <x v="0"/>
    <x v="0"/>
    <x v="0"/>
    <x v="0"/>
    <x v="4"/>
    <x v="5"/>
    <s v="21"/>
    <x v="27"/>
    <x v="0"/>
    <x v="7"/>
    <x v="7"/>
    <n v="39175.61"/>
  </r>
  <r>
    <x v="3"/>
    <x v="0"/>
    <x v="1"/>
    <x v="0"/>
    <x v="0"/>
    <x v="2"/>
    <x v="0"/>
    <x v="0"/>
    <x v="0"/>
    <x v="0"/>
    <x v="4"/>
    <x v="5"/>
    <s v="21"/>
    <x v="27"/>
    <x v="0"/>
    <x v="7"/>
    <x v="5"/>
    <n v="32375.49"/>
  </r>
  <r>
    <x v="3"/>
    <x v="0"/>
    <x v="1"/>
    <x v="0"/>
    <x v="0"/>
    <x v="2"/>
    <x v="0"/>
    <x v="0"/>
    <x v="0"/>
    <x v="0"/>
    <x v="4"/>
    <x v="5"/>
    <s v="21"/>
    <x v="27"/>
    <x v="0"/>
    <x v="7"/>
    <x v="6"/>
    <n v="99325.82"/>
  </r>
  <r>
    <x v="3"/>
    <x v="0"/>
    <x v="1"/>
    <x v="0"/>
    <x v="0"/>
    <x v="2"/>
    <x v="0"/>
    <x v="0"/>
    <x v="0"/>
    <x v="0"/>
    <x v="4"/>
    <x v="5"/>
    <s v="21"/>
    <x v="27"/>
    <x v="0"/>
    <x v="7"/>
    <x v="1"/>
    <n v="546931.93000000005"/>
  </r>
  <r>
    <x v="3"/>
    <x v="0"/>
    <x v="1"/>
    <x v="0"/>
    <x v="0"/>
    <x v="2"/>
    <x v="0"/>
    <x v="0"/>
    <x v="0"/>
    <x v="0"/>
    <x v="4"/>
    <x v="5"/>
    <s v="22"/>
    <x v="25"/>
    <x v="0"/>
    <x v="6"/>
    <x v="2"/>
    <n v="-2580.54"/>
  </r>
  <r>
    <x v="3"/>
    <x v="0"/>
    <x v="1"/>
    <x v="0"/>
    <x v="0"/>
    <x v="2"/>
    <x v="0"/>
    <x v="0"/>
    <x v="0"/>
    <x v="0"/>
    <x v="4"/>
    <x v="5"/>
    <s v="22"/>
    <x v="25"/>
    <x v="0"/>
    <x v="6"/>
    <x v="8"/>
    <n v="-305172.56"/>
  </r>
  <r>
    <x v="3"/>
    <x v="0"/>
    <x v="1"/>
    <x v="0"/>
    <x v="0"/>
    <x v="2"/>
    <x v="0"/>
    <x v="0"/>
    <x v="0"/>
    <x v="0"/>
    <x v="4"/>
    <x v="5"/>
    <s v="22"/>
    <x v="25"/>
    <x v="0"/>
    <x v="6"/>
    <x v="9"/>
    <n v="-8982"/>
  </r>
  <r>
    <x v="3"/>
    <x v="0"/>
    <x v="1"/>
    <x v="0"/>
    <x v="0"/>
    <x v="2"/>
    <x v="0"/>
    <x v="0"/>
    <x v="0"/>
    <x v="0"/>
    <x v="4"/>
    <x v="5"/>
    <s v="22"/>
    <x v="25"/>
    <x v="0"/>
    <x v="6"/>
    <x v="10"/>
    <n v="-1500"/>
  </r>
  <r>
    <x v="3"/>
    <x v="0"/>
    <x v="1"/>
    <x v="0"/>
    <x v="0"/>
    <x v="2"/>
    <x v="0"/>
    <x v="0"/>
    <x v="0"/>
    <x v="0"/>
    <x v="4"/>
    <x v="5"/>
    <s v="22"/>
    <x v="25"/>
    <x v="0"/>
    <x v="6"/>
    <x v="11"/>
    <n v="-22274.86"/>
  </r>
  <r>
    <x v="3"/>
    <x v="0"/>
    <x v="1"/>
    <x v="0"/>
    <x v="0"/>
    <x v="2"/>
    <x v="0"/>
    <x v="0"/>
    <x v="0"/>
    <x v="0"/>
    <x v="4"/>
    <x v="5"/>
    <s v="22"/>
    <x v="25"/>
    <x v="0"/>
    <x v="6"/>
    <x v="3"/>
    <n v="-2796"/>
  </r>
  <r>
    <x v="3"/>
    <x v="0"/>
    <x v="1"/>
    <x v="0"/>
    <x v="0"/>
    <x v="2"/>
    <x v="0"/>
    <x v="0"/>
    <x v="0"/>
    <x v="0"/>
    <x v="4"/>
    <x v="5"/>
    <s v="22"/>
    <x v="25"/>
    <x v="0"/>
    <x v="6"/>
    <x v="4"/>
    <n v="-14036.73"/>
  </r>
  <r>
    <x v="3"/>
    <x v="0"/>
    <x v="1"/>
    <x v="0"/>
    <x v="0"/>
    <x v="2"/>
    <x v="0"/>
    <x v="0"/>
    <x v="0"/>
    <x v="0"/>
    <x v="4"/>
    <x v="5"/>
    <s v="22"/>
    <x v="25"/>
    <x v="0"/>
    <x v="6"/>
    <x v="7"/>
    <n v="-178507"/>
  </r>
  <r>
    <x v="3"/>
    <x v="0"/>
    <x v="1"/>
    <x v="0"/>
    <x v="0"/>
    <x v="2"/>
    <x v="0"/>
    <x v="0"/>
    <x v="0"/>
    <x v="0"/>
    <x v="4"/>
    <x v="5"/>
    <s v="22"/>
    <x v="25"/>
    <x v="0"/>
    <x v="6"/>
    <x v="5"/>
    <n v="-810.2"/>
  </r>
  <r>
    <x v="3"/>
    <x v="0"/>
    <x v="1"/>
    <x v="0"/>
    <x v="0"/>
    <x v="2"/>
    <x v="0"/>
    <x v="0"/>
    <x v="0"/>
    <x v="0"/>
    <x v="4"/>
    <x v="5"/>
    <s v="22"/>
    <x v="25"/>
    <x v="0"/>
    <x v="6"/>
    <x v="6"/>
    <n v="-105950.6"/>
  </r>
  <r>
    <x v="3"/>
    <x v="0"/>
    <x v="1"/>
    <x v="0"/>
    <x v="0"/>
    <x v="2"/>
    <x v="0"/>
    <x v="0"/>
    <x v="0"/>
    <x v="0"/>
    <x v="4"/>
    <x v="5"/>
    <s v="22"/>
    <x v="25"/>
    <x v="0"/>
    <x v="6"/>
    <x v="1"/>
    <n v="-373062.51"/>
  </r>
  <r>
    <x v="3"/>
    <x v="0"/>
    <x v="1"/>
    <x v="0"/>
    <x v="0"/>
    <x v="2"/>
    <x v="0"/>
    <x v="0"/>
    <x v="0"/>
    <x v="0"/>
    <x v="4"/>
    <x v="5"/>
    <s v="22"/>
    <x v="25"/>
    <x v="0"/>
    <x v="7"/>
    <x v="0"/>
    <n v="-65000"/>
  </r>
  <r>
    <x v="3"/>
    <x v="0"/>
    <x v="1"/>
    <x v="0"/>
    <x v="0"/>
    <x v="2"/>
    <x v="0"/>
    <x v="0"/>
    <x v="0"/>
    <x v="0"/>
    <x v="4"/>
    <x v="5"/>
    <s v="22"/>
    <x v="25"/>
    <x v="0"/>
    <x v="7"/>
    <x v="2"/>
    <n v="-4249.95"/>
  </r>
  <r>
    <x v="3"/>
    <x v="0"/>
    <x v="1"/>
    <x v="0"/>
    <x v="0"/>
    <x v="2"/>
    <x v="0"/>
    <x v="0"/>
    <x v="0"/>
    <x v="0"/>
    <x v="4"/>
    <x v="5"/>
    <s v="22"/>
    <x v="25"/>
    <x v="0"/>
    <x v="7"/>
    <x v="8"/>
    <n v="-13312.24"/>
  </r>
  <r>
    <x v="3"/>
    <x v="0"/>
    <x v="1"/>
    <x v="0"/>
    <x v="0"/>
    <x v="2"/>
    <x v="0"/>
    <x v="0"/>
    <x v="0"/>
    <x v="0"/>
    <x v="4"/>
    <x v="5"/>
    <s v="22"/>
    <x v="25"/>
    <x v="0"/>
    <x v="7"/>
    <x v="9"/>
    <n v="-294738.74"/>
  </r>
  <r>
    <x v="3"/>
    <x v="0"/>
    <x v="1"/>
    <x v="0"/>
    <x v="0"/>
    <x v="2"/>
    <x v="0"/>
    <x v="0"/>
    <x v="0"/>
    <x v="0"/>
    <x v="4"/>
    <x v="5"/>
    <s v="22"/>
    <x v="25"/>
    <x v="0"/>
    <x v="7"/>
    <x v="10"/>
    <n v="-5685"/>
  </r>
  <r>
    <x v="3"/>
    <x v="0"/>
    <x v="1"/>
    <x v="0"/>
    <x v="0"/>
    <x v="2"/>
    <x v="0"/>
    <x v="0"/>
    <x v="0"/>
    <x v="0"/>
    <x v="4"/>
    <x v="5"/>
    <s v="22"/>
    <x v="25"/>
    <x v="0"/>
    <x v="7"/>
    <x v="11"/>
    <n v="-6000"/>
  </r>
  <r>
    <x v="3"/>
    <x v="0"/>
    <x v="1"/>
    <x v="0"/>
    <x v="0"/>
    <x v="2"/>
    <x v="0"/>
    <x v="0"/>
    <x v="0"/>
    <x v="0"/>
    <x v="4"/>
    <x v="5"/>
    <s v="22"/>
    <x v="25"/>
    <x v="0"/>
    <x v="7"/>
    <x v="3"/>
    <n v="-49933.81"/>
  </r>
  <r>
    <x v="3"/>
    <x v="0"/>
    <x v="1"/>
    <x v="0"/>
    <x v="0"/>
    <x v="2"/>
    <x v="0"/>
    <x v="0"/>
    <x v="0"/>
    <x v="0"/>
    <x v="4"/>
    <x v="5"/>
    <s v="22"/>
    <x v="25"/>
    <x v="0"/>
    <x v="7"/>
    <x v="4"/>
    <n v="-77344.2"/>
  </r>
  <r>
    <x v="3"/>
    <x v="0"/>
    <x v="1"/>
    <x v="0"/>
    <x v="0"/>
    <x v="2"/>
    <x v="0"/>
    <x v="0"/>
    <x v="0"/>
    <x v="0"/>
    <x v="4"/>
    <x v="5"/>
    <s v="22"/>
    <x v="25"/>
    <x v="0"/>
    <x v="7"/>
    <x v="7"/>
    <n v="-10925"/>
  </r>
  <r>
    <x v="3"/>
    <x v="0"/>
    <x v="1"/>
    <x v="0"/>
    <x v="0"/>
    <x v="2"/>
    <x v="0"/>
    <x v="0"/>
    <x v="0"/>
    <x v="0"/>
    <x v="4"/>
    <x v="5"/>
    <s v="22"/>
    <x v="25"/>
    <x v="0"/>
    <x v="7"/>
    <x v="5"/>
    <n v="-182174.27"/>
  </r>
  <r>
    <x v="3"/>
    <x v="0"/>
    <x v="1"/>
    <x v="0"/>
    <x v="0"/>
    <x v="2"/>
    <x v="0"/>
    <x v="0"/>
    <x v="0"/>
    <x v="0"/>
    <x v="4"/>
    <x v="5"/>
    <s v="22"/>
    <x v="25"/>
    <x v="0"/>
    <x v="7"/>
    <x v="6"/>
    <n v="-31900.82"/>
  </r>
  <r>
    <x v="3"/>
    <x v="0"/>
    <x v="1"/>
    <x v="0"/>
    <x v="0"/>
    <x v="2"/>
    <x v="0"/>
    <x v="0"/>
    <x v="0"/>
    <x v="0"/>
    <x v="4"/>
    <x v="5"/>
    <s v="22"/>
    <x v="25"/>
    <x v="0"/>
    <x v="7"/>
    <x v="1"/>
    <n v="-659180.65"/>
  </r>
  <r>
    <x v="3"/>
    <x v="0"/>
    <x v="1"/>
    <x v="0"/>
    <x v="0"/>
    <x v="3"/>
    <x v="0"/>
    <x v="0"/>
    <x v="0"/>
    <x v="1"/>
    <x v="1"/>
    <x v="8"/>
    <s v="41"/>
    <x v="4"/>
    <x v="0"/>
    <x v="6"/>
    <x v="2"/>
    <n v="2500"/>
  </r>
  <r>
    <x v="3"/>
    <x v="0"/>
    <x v="1"/>
    <x v="0"/>
    <x v="0"/>
    <x v="3"/>
    <x v="0"/>
    <x v="0"/>
    <x v="0"/>
    <x v="1"/>
    <x v="1"/>
    <x v="8"/>
    <s v="41"/>
    <x v="4"/>
    <x v="0"/>
    <x v="6"/>
    <x v="11"/>
    <n v="28288.59"/>
  </r>
  <r>
    <x v="3"/>
    <x v="0"/>
    <x v="1"/>
    <x v="0"/>
    <x v="0"/>
    <x v="3"/>
    <x v="0"/>
    <x v="0"/>
    <x v="0"/>
    <x v="1"/>
    <x v="1"/>
    <x v="8"/>
    <s v="41"/>
    <x v="4"/>
    <x v="0"/>
    <x v="6"/>
    <x v="4"/>
    <n v="251684.24"/>
  </r>
  <r>
    <x v="3"/>
    <x v="0"/>
    <x v="1"/>
    <x v="0"/>
    <x v="0"/>
    <x v="3"/>
    <x v="0"/>
    <x v="0"/>
    <x v="0"/>
    <x v="1"/>
    <x v="1"/>
    <x v="8"/>
    <s v="41"/>
    <x v="4"/>
    <x v="0"/>
    <x v="6"/>
    <x v="6"/>
    <n v="39365.94"/>
  </r>
  <r>
    <x v="3"/>
    <x v="0"/>
    <x v="1"/>
    <x v="0"/>
    <x v="0"/>
    <x v="3"/>
    <x v="0"/>
    <x v="0"/>
    <x v="0"/>
    <x v="1"/>
    <x v="1"/>
    <x v="8"/>
    <s v="41"/>
    <x v="4"/>
    <x v="0"/>
    <x v="6"/>
    <x v="1"/>
    <n v="-321838.77"/>
  </r>
  <r>
    <x v="3"/>
    <x v="0"/>
    <x v="1"/>
    <x v="0"/>
    <x v="0"/>
    <x v="3"/>
    <x v="0"/>
    <x v="0"/>
    <x v="0"/>
    <x v="1"/>
    <x v="1"/>
    <x v="8"/>
    <s v="41"/>
    <x v="4"/>
    <x v="0"/>
    <x v="7"/>
    <x v="2"/>
    <n v="4201.4799999999996"/>
  </r>
  <r>
    <x v="3"/>
    <x v="0"/>
    <x v="1"/>
    <x v="0"/>
    <x v="0"/>
    <x v="3"/>
    <x v="0"/>
    <x v="0"/>
    <x v="0"/>
    <x v="1"/>
    <x v="1"/>
    <x v="8"/>
    <s v="41"/>
    <x v="4"/>
    <x v="0"/>
    <x v="7"/>
    <x v="3"/>
    <n v="-180"/>
  </r>
  <r>
    <x v="3"/>
    <x v="0"/>
    <x v="1"/>
    <x v="0"/>
    <x v="0"/>
    <x v="3"/>
    <x v="0"/>
    <x v="0"/>
    <x v="0"/>
    <x v="1"/>
    <x v="1"/>
    <x v="8"/>
    <s v="41"/>
    <x v="4"/>
    <x v="0"/>
    <x v="7"/>
    <x v="4"/>
    <n v="132807.34"/>
  </r>
  <r>
    <x v="3"/>
    <x v="0"/>
    <x v="1"/>
    <x v="0"/>
    <x v="0"/>
    <x v="3"/>
    <x v="0"/>
    <x v="0"/>
    <x v="0"/>
    <x v="1"/>
    <x v="1"/>
    <x v="8"/>
    <s v="41"/>
    <x v="4"/>
    <x v="0"/>
    <x v="7"/>
    <x v="7"/>
    <n v="-315.99"/>
  </r>
  <r>
    <x v="3"/>
    <x v="0"/>
    <x v="1"/>
    <x v="0"/>
    <x v="0"/>
    <x v="3"/>
    <x v="0"/>
    <x v="0"/>
    <x v="0"/>
    <x v="1"/>
    <x v="1"/>
    <x v="8"/>
    <s v="41"/>
    <x v="4"/>
    <x v="0"/>
    <x v="7"/>
    <x v="5"/>
    <n v="-4201.4799999999996"/>
  </r>
  <r>
    <x v="3"/>
    <x v="0"/>
    <x v="1"/>
    <x v="0"/>
    <x v="0"/>
    <x v="3"/>
    <x v="0"/>
    <x v="0"/>
    <x v="0"/>
    <x v="1"/>
    <x v="1"/>
    <x v="8"/>
    <s v="41"/>
    <x v="4"/>
    <x v="0"/>
    <x v="7"/>
    <x v="1"/>
    <n v="-132311.35"/>
  </r>
  <r>
    <x v="3"/>
    <x v="0"/>
    <x v="1"/>
    <x v="0"/>
    <x v="0"/>
    <x v="3"/>
    <x v="0"/>
    <x v="0"/>
    <x v="0"/>
    <x v="0"/>
    <x v="0"/>
    <x v="4"/>
    <s v="02"/>
    <x v="5"/>
    <x v="0"/>
    <x v="6"/>
    <x v="9"/>
    <n v="-1130"/>
  </r>
  <r>
    <x v="3"/>
    <x v="0"/>
    <x v="1"/>
    <x v="0"/>
    <x v="0"/>
    <x v="3"/>
    <x v="0"/>
    <x v="0"/>
    <x v="0"/>
    <x v="0"/>
    <x v="0"/>
    <x v="4"/>
    <s v="02"/>
    <x v="5"/>
    <x v="0"/>
    <x v="6"/>
    <x v="10"/>
    <n v="1130"/>
  </r>
  <r>
    <x v="3"/>
    <x v="0"/>
    <x v="1"/>
    <x v="0"/>
    <x v="0"/>
    <x v="3"/>
    <x v="0"/>
    <x v="0"/>
    <x v="0"/>
    <x v="0"/>
    <x v="0"/>
    <x v="4"/>
    <s v="05"/>
    <x v="6"/>
    <x v="0"/>
    <x v="7"/>
    <x v="0"/>
    <n v="10"/>
  </r>
  <r>
    <x v="3"/>
    <x v="0"/>
    <x v="1"/>
    <x v="0"/>
    <x v="0"/>
    <x v="3"/>
    <x v="0"/>
    <x v="0"/>
    <x v="0"/>
    <x v="0"/>
    <x v="0"/>
    <x v="4"/>
    <s v="05"/>
    <x v="6"/>
    <x v="0"/>
    <x v="7"/>
    <x v="11"/>
    <n v="-10"/>
  </r>
  <r>
    <x v="3"/>
    <x v="0"/>
    <x v="1"/>
    <x v="0"/>
    <x v="0"/>
    <x v="3"/>
    <x v="0"/>
    <x v="0"/>
    <x v="0"/>
    <x v="0"/>
    <x v="0"/>
    <x v="4"/>
    <s v="05"/>
    <x v="6"/>
    <x v="0"/>
    <x v="7"/>
    <x v="5"/>
    <n v="-175"/>
  </r>
  <r>
    <x v="3"/>
    <x v="0"/>
    <x v="1"/>
    <x v="0"/>
    <x v="0"/>
    <x v="3"/>
    <x v="0"/>
    <x v="0"/>
    <x v="0"/>
    <x v="0"/>
    <x v="0"/>
    <x v="4"/>
    <s v="05"/>
    <x v="6"/>
    <x v="0"/>
    <x v="7"/>
    <x v="6"/>
    <n v="175"/>
  </r>
  <r>
    <x v="3"/>
    <x v="0"/>
    <x v="1"/>
    <x v="0"/>
    <x v="0"/>
    <x v="3"/>
    <x v="0"/>
    <x v="0"/>
    <x v="0"/>
    <x v="0"/>
    <x v="0"/>
    <x v="4"/>
    <s v="09"/>
    <x v="0"/>
    <x v="0"/>
    <x v="6"/>
    <x v="0"/>
    <n v="26774.42"/>
  </r>
  <r>
    <x v="3"/>
    <x v="0"/>
    <x v="1"/>
    <x v="0"/>
    <x v="0"/>
    <x v="3"/>
    <x v="0"/>
    <x v="0"/>
    <x v="0"/>
    <x v="0"/>
    <x v="0"/>
    <x v="4"/>
    <s v="09"/>
    <x v="0"/>
    <x v="0"/>
    <x v="6"/>
    <x v="2"/>
    <n v="88509.8"/>
  </r>
  <r>
    <x v="3"/>
    <x v="0"/>
    <x v="1"/>
    <x v="0"/>
    <x v="0"/>
    <x v="3"/>
    <x v="0"/>
    <x v="0"/>
    <x v="0"/>
    <x v="0"/>
    <x v="0"/>
    <x v="4"/>
    <s v="09"/>
    <x v="0"/>
    <x v="0"/>
    <x v="6"/>
    <x v="8"/>
    <n v="99796.52"/>
  </r>
  <r>
    <x v="3"/>
    <x v="0"/>
    <x v="1"/>
    <x v="0"/>
    <x v="0"/>
    <x v="3"/>
    <x v="0"/>
    <x v="0"/>
    <x v="0"/>
    <x v="0"/>
    <x v="0"/>
    <x v="4"/>
    <s v="09"/>
    <x v="0"/>
    <x v="0"/>
    <x v="6"/>
    <x v="9"/>
    <n v="126305.22"/>
  </r>
  <r>
    <x v="3"/>
    <x v="0"/>
    <x v="1"/>
    <x v="0"/>
    <x v="0"/>
    <x v="3"/>
    <x v="0"/>
    <x v="0"/>
    <x v="0"/>
    <x v="0"/>
    <x v="0"/>
    <x v="4"/>
    <s v="09"/>
    <x v="0"/>
    <x v="0"/>
    <x v="6"/>
    <x v="10"/>
    <n v="91497.17"/>
  </r>
  <r>
    <x v="3"/>
    <x v="0"/>
    <x v="1"/>
    <x v="0"/>
    <x v="0"/>
    <x v="3"/>
    <x v="0"/>
    <x v="0"/>
    <x v="0"/>
    <x v="0"/>
    <x v="0"/>
    <x v="4"/>
    <s v="09"/>
    <x v="0"/>
    <x v="0"/>
    <x v="6"/>
    <x v="11"/>
    <n v="83328.37"/>
  </r>
  <r>
    <x v="3"/>
    <x v="0"/>
    <x v="1"/>
    <x v="0"/>
    <x v="0"/>
    <x v="3"/>
    <x v="0"/>
    <x v="0"/>
    <x v="0"/>
    <x v="0"/>
    <x v="0"/>
    <x v="4"/>
    <s v="09"/>
    <x v="0"/>
    <x v="0"/>
    <x v="6"/>
    <x v="3"/>
    <n v="180262.16"/>
  </r>
  <r>
    <x v="3"/>
    <x v="0"/>
    <x v="1"/>
    <x v="0"/>
    <x v="0"/>
    <x v="3"/>
    <x v="0"/>
    <x v="0"/>
    <x v="0"/>
    <x v="0"/>
    <x v="0"/>
    <x v="4"/>
    <s v="09"/>
    <x v="0"/>
    <x v="0"/>
    <x v="6"/>
    <x v="4"/>
    <n v="134530.81"/>
  </r>
  <r>
    <x v="3"/>
    <x v="0"/>
    <x v="1"/>
    <x v="0"/>
    <x v="0"/>
    <x v="3"/>
    <x v="0"/>
    <x v="0"/>
    <x v="0"/>
    <x v="0"/>
    <x v="0"/>
    <x v="4"/>
    <s v="09"/>
    <x v="0"/>
    <x v="0"/>
    <x v="6"/>
    <x v="7"/>
    <n v="131000.86"/>
  </r>
  <r>
    <x v="3"/>
    <x v="0"/>
    <x v="1"/>
    <x v="0"/>
    <x v="0"/>
    <x v="3"/>
    <x v="0"/>
    <x v="0"/>
    <x v="0"/>
    <x v="0"/>
    <x v="0"/>
    <x v="4"/>
    <s v="09"/>
    <x v="0"/>
    <x v="0"/>
    <x v="6"/>
    <x v="5"/>
    <n v="241292.95"/>
  </r>
  <r>
    <x v="3"/>
    <x v="0"/>
    <x v="1"/>
    <x v="0"/>
    <x v="0"/>
    <x v="3"/>
    <x v="0"/>
    <x v="0"/>
    <x v="0"/>
    <x v="0"/>
    <x v="0"/>
    <x v="4"/>
    <s v="09"/>
    <x v="0"/>
    <x v="0"/>
    <x v="6"/>
    <x v="6"/>
    <n v="244579.22"/>
  </r>
  <r>
    <x v="3"/>
    <x v="0"/>
    <x v="1"/>
    <x v="0"/>
    <x v="0"/>
    <x v="3"/>
    <x v="0"/>
    <x v="0"/>
    <x v="0"/>
    <x v="0"/>
    <x v="0"/>
    <x v="4"/>
    <s v="09"/>
    <x v="0"/>
    <x v="0"/>
    <x v="6"/>
    <x v="1"/>
    <n v="880146.07"/>
  </r>
  <r>
    <x v="3"/>
    <x v="0"/>
    <x v="1"/>
    <x v="0"/>
    <x v="0"/>
    <x v="3"/>
    <x v="0"/>
    <x v="0"/>
    <x v="0"/>
    <x v="0"/>
    <x v="0"/>
    <x v="4"/>
    <s v="09"/>
    <x v="0"/>
    <x v="0"/>
    <x v="7"/>
    <x v="0"/>
    <n v="54953.17"/>
  </r>
  <r>
    <x v="3"/>
    <x v="0"/>
    <x v="1"/>
    <x v="0"/>
    <x v="0"/>
    <x v="3"/>
    <x v="0"/>
    <x v="0"/>
    <x v="0"/>
    <x v="0"/>
    <x v="0"/>
    <x v="4"/>
    <s v="09"/>
    <x v="0"/>
    <x v="0"/>
    <x v="7"/>
    <x v="2"/>
    <n v="100486.53"/>
  </r>
  <r>
    <x v="3"/>
    <x v="0"/>
    <x v="1"/>
    <x v="0"/>
    <x v="0"/>
    <x v="3"/>
    <x v="0"/>
    <x v="0"/>
    <x v="0"/>
    <x v="0"/>
    <x v="0"/>
    <x v="4"/>
    <s v="09"/>
    <x v="0"/>
    <x v="0"/>
    <x v="7"/>
    <x v="8"/>
    <n v="178024.85"/>
  </r>
  <r>
    <x v="3"/>
    <x v="0"/>
    <x v="1"/>
    <x v="0"/>
    <x v="0"/>
    <x v="3"/>
    <x v="0"/>
    <x v="0"/>
    <x v="0"/>
    <x v="0"/>
    <x v="0"/>
    <x v="4"/>
    <s v="09"/>
    <x v="0"/>
    <x v="0"/>
    <x v="7"/>
    <x v="9"/>
    <n v="233711.23"/>
  </r>
  <r>
    <x v="3"/>
    <x v="0"/>
    <x v="1"/>
    <x v="0"/>
    <x v="0"/>
    <x v="3"/>
    <x v="0"/>
    <x v="0"/>
    <x v="0"/>
    <x v="0"/>
    <x v="0"/>
    <x v="4"/>
    <s v="09"/>
    <x v="0"/>
    <x v="0"/>
    <x v="7"/>
    <x v="10"/>
    <n v="186843.55"/>
  </r>
  <r>
    <x v="3"/>
    <x v="0"/>
    <x v="1"/>
    <x v="0"/>
    <x v="0"/>
    <x v="3"/>
    <x v="0"/>
    <x v="0"/>
    <x v="0"/>
    <x v="0"/>
    <x v="0"/>
    <x v="4"/>
    <s v="09"/>
    <x v="0"/>
    <x v="0"/>
    <x v="7"/>
    <x v="11"/>
    <n v="195966.58"/>
  </r>
  <r>
    <x v="3"/>
    <x v="0"/>
    <x v="1"/>
    <x v="0"/>
    <x v="0"/>
    <x v="3"/>
    <x v="0"/>
    <x v="0"/>
    <x v="0"/>
    <x v="0"/>
    <x v="0"/>
    <x v="4"/>
    <s v="09"/>
    <x v="0"/>
    <x v="0"/>
    <x v="7"/>
    <x v="3"/>
    <n v="247648.29"/>
  </r>
  <r>
    <x v="3"/>
    <x v="0"/>
    <x v="1"/>
    <x v="0"/>
    <x v="0"/>
    <x v="3"/>
    <x v="0"/>
    <x v="0"/>
    <x v="0"/>
    <x v="0"/>
    <x v="0"/>
    <x v="4"/>
    <s v="09"/>
    <x v="0"/>
    <x v="0"/>
    <x v="7"/>
    <x v="4"/>
    <n v="218186.46"/>
  </r>
  <r>
    <x v="3"/>
    <x v="0"/>
    <x v="1"/>
    <x v="0"/>
    <x v="0"/>
    <x v="3"/>
    <x v="0"/>
    <x v="0"/>
    <x v="0"/>
    <x v="0"/>
    <x v="0"/>
    <x v="4"/>
    <s v="09"/>
    <x v="0"/>
    <x v="0"/>
    <x v="7"/>
    <x v="7"/>
    <n v="231735.63"/>
  </r>
  <r>
    <x v="3"/>
    <x v="0"/>
    <x v="1"/>
    <x v="0"/>
    <x v="0"/>
    <x v="3"/>
    <x v="0"/>
    <x v="0"/>
    <x v="0"/>
    <x v="0"/>
    <x v="0"/>
    <x v="4"/>
    <s v="09"/>
    <x v="0"/>
    <x v="0"/>
    <x v="7"/>
    <x v="5"/>
    <n v="1680778.95"/>
  </r>
  <r>
    <x v="3"/>
    <x v="0"/>
    <x v="1"/>
    <x v="0"/>
    <x v="0"/>
    <x v="3"/>
    <x v="0"/>
    <x v="0"/>
    <x v="0"/>
    <x v="0"/>
    <x v="0"/>
    <x v="4"/>
    <s v="09"/>
    <x v="0"/>
    <x v="0"/>
    <x v="7"/>
    <x v="6"/>
    <n v="337530.15"/>
  </r>
  <r>
    <x v="3"/>
    <x v="0"/>
    <x v="1"/>
    <x v="0"/>
    <x v="0"/>
    <x v="3"/>
    <x v="0"/>
    <x v="0"/>
    <x v="0"/>
    <x v="0"/>
    <x v="0"/>
    <x v="4"/>
    <s v="09"/>
    <x v="0"/>
    <x v="0"/>
    <x v="7"/>
    <x v="1"/>
    <n v="372191.07"/>
  </r>
  <r>
    <x v="3"/>
    <x v="0"/>
    <x v="1"/>
    <x v="0"/>
    <x v="0"/>
    <x v="3"/>
    <x v="0"/>
    <x v="0"/>
    <x v="0"/>
    <x v="0"/>
    <x v="0"/>
    <x v="4"/>
    <s v="16"/>
    <x v="20"/>
    <x v="0"/>
    <x v="6"/>
    <x v="11"/>
    <n v="-21.39"/>
  </r>
  <r>
    <x v="3"/>
    <x v="0"/>
    <x v="1"/>
    <x v="0"/>
    <x v="0"/>
    <x v="3"/>
    <x v="0"/>
    <x v="0"/>
    <x v="0"/>
    <x v="0"/>
    <x v="0"/>
    <x v="4"/>
    <s v="16"/>
    <x v="20"/>
    <x v="0"/>
    <x v="6"/>
    <x v="3"/>
    <n v="42.78"/>
  </r>
  <r>
    <x v="3"/>
    <x v="0"/>
    <x v="1"/>
    <x v="0"/>
    <x v="0"/>
    <x v="3"/>
    <x v="0"/>
    <x v="0"/>
    <x v="0"/>
    <x v="0"/>
    <x v="0"/>
    <x v="4"/>
    <s v="16"/>
    <x v="20"/>
    <x v="0"/>
    <x v="6"/>
    <x v="4"/>
    <n v="-21.39"/>
  </r>
  <r>
    <x v="3"/>
    <x v="0"/>
    <x v="1"/>
    <x v="0"/>
    <x v="0"/>
    <x v="3"/>
    <x v="0"/>
    <x v="0"/>
    <x v="0"/>
    <x v="0"/>
    <x v="0"/>
    <x v="4"/>
    <s v="16"/>
    <x v="20"/>
    <x v="0"/>
    <x v="6"/>
    <x v="5"/>
    <n v="2505.36"/>
  </r>
  <r>
    <x v="3"/>
    <x v="0"/>
    <x v="1"/>
    <x v="0"/>
    <x v="0"/>
    <x v="3"/>
    <x v="0"/>
    <x v="0"/>
    <x v="0"/>
    <x v="0"/>
    <x v="0"/>
    <x v="4"/>
    <s v="16"/>
    <x v="20"/>
    <x v="0"/>
    <x v="6"/>
    <x v="6"/>
    <n v="-2505.36"/>
  </r>
  <r>
    <x v="3"/>
    <x v="0"/>
    <x v="1"/>
    <x v="0"/>
    <x v="0"/>
    <x v="3"/>
    <x v="0"/>
    <x v="0"/>
    <x v="0"/>
    <x v="0"/>
    <x v="0"/>
    <x v="4"/>
    <s v="20"/>
    <x v="7"/>
    <x v="0"/>
    <x v="6"/>
    <x v="3"/>
    <n v="30"/>
  </r>
  <r>
    <x v="3"/>
    <x v="0"/>
    <x v="1"/>
    <x v="0"/>
    <x v="0"/>
    <x v="3"/>
    <x v="0"/>
    <x v="0"/>
    <x v="0"/>
    <x v="0"/>
    <x v="0"/>
    <x v="4"/>
    <s v="20"/>
    <x v="7"/>
    <x v="0"/>
    <x v="6"/>
    <x v="4"/>
    <n v="-30"/>
  </r>
  <r>
    <x v="3"/>
    <x v="0"/>
    <x v="1"/>
    <x v="0"/>
    <x v="0"/>
    <x v="3"/>
    <x v="0"/>
    <x v="0"/>
    <x v="0"/>
    <x v="0"/>
    <x v="0"/>
    <x v="4"/>
    <s v="20"/>
    <x v="7"/>
    <x v="0"/>
    <x v="6"/>
    <x v="7"/>
    <n v="122"/>
  </r>
  <r>
    <x v="3"/>
    <x v="0"/>
    <x v="1"/>
    <x v="0"/>
    <x v="0"/>
    <x v="3"/>
    <x v="0"/>
    <x v="0"/>
    <x v="0"/>
    <x v="0"/>
    <x v="0"/>
    <x v="4"/>
    <s v="20"/>
    <x v="7"/>
    <x v="0"/>
    <x v="6"/>
    <x v="5"/>
    <n v="83"/>
  </r>
  <r>
    <x v="3"/>
    <x v="0"/>
    <x v="1"/>
    <x v="0"/>
    <x v="0"/>
    <x v="3"/>
    <x v="0"/>
    <x v="0"/>
    <x v="0"/>
    <x v="0"/>
    <x v="0"/>
    <x v="4"/>
    <s v="20"/>
    <x v="7"/>
    <x v="0"/>
    <x v="6"/>
    <x v="1"/>
    <n v="-205"/>
  </r>
  <r>
    <x v="3"/>
    <x v="0"/>
    <x v="1"/>
    <x v="0"/>
    <x v="0"/>
    <x v="3"/>
    <x v="0"/>
    <x v="0"/>
    <x v="0"/>
    <x v="0"/>
    <x v="0"/>
    <x v="4"/>
    <s v="20"/>
    <x v="7"/>
    <x v="0"/>
    <x v="7"/>
    <x v="8"/>
    <n v="2000"/>
  </r>
  <r>
    <x v="3"/>
    <x v="0"/>
    <x v="1"/>
    <x v="0"/>
    <x v="0"/>
    <x v="3"/>
    <x v="0"/>
    <x v="0"/>
    <x v="0"/>
    <x v="0"/>
    <x v="0"/>
    <x v="4"/>
    <s v="20"/>
    <x v="7"/>
    <x v="0"/>
    <x v="7"/>
    <x v="3"/>
    <n v="-2000"/>
  </r>
  <r>
    <x v="3"/>
    <x v="0"/>
    <x v="1"/>
    <x v="0"/>
    <x v="0"/>
    <x v="3"/>
    <x v="0"/>
    <x v="0"/>
    <x v="0"/>
    <x v="0"/>
    <x v="0"/>
    <x v="4"/>
    <s v="20"/>
    <x v="7"/>
    <x v="0"/>
    <x v="7"/>
    <x v="4"/>
    <n v="73.900000000000006"/>
  </r>
  <r>
    <x v="3"/>
    <x v="0"/>
    <x v="1"/>
    <x v="0"/>
    <x v="0"/>
    <x v="3"/>
    <x v="0"/>
    <x v="0"/>
    <x v="0"/>
    <x v="0"/>
    <x v="0"/>
    <x v="4"/>
    <s v="20"/>
    <x v="7"/>
    <x v="0"/>
    <x v="7"/>
    <x v="5"/>
    <n v="-73.900000000000006"/>
  </r>
  <r>
    <x v="3"/>
    <x v="0"/>
    <x v="1"/>
    <x v="0"/>
    <x v="0"/>
    <x v="3"/>
    <x v="0"/>
    <x v="0"/>
    <x v="0"/>
    <x v="0"/>
    <x v="0"/>
    <x v="4"/>
    <s v="20"/>
    <x v="7"/>
    <x v="0"/>
    <x v="7"/>
    <x v="6"/>
    <n v="200"/>
  </r>
  <r>
    <x v="3"/>
    <x v="0"/>
    <x v="1"/>
    <x v="0"/>
    <x v="0"/>
    <x v="3"/>
    <x v="0"/>
    <x v="0"/>
    <x v="0"/>
    <x v="0"/>
    <x v="0"/>
    <x v="4"/>
    <s v="20"/>
    <x v="7"/>
    <x v="0"/>
    <x v="7"/>
    <x v="1"/>
    <n v="-200"/>
  </r>
  <r>
    <x v="3"/>
    <x v="0"/>
    <x v="1"/>
    <x v="0"/>
    <x v="0"/>
    <x v="3"/>
    <x v="0"/>
    <x v="0"/>
    <x v="0"/>
    <x v="0"/>
    <x v="0"/>
    <x v="4"/>
    <s v="24"/>
    <x v="1"/>
    <x v="0"/>
    <x v="6"/>
    <x v="0"/>
    <n v="16800150.579999998"/>
  </r>
  <r>
    <x v="3"/>
    <x v="0"/>
    <x v="1"/>
    <x v="0"/>
    <x v="0"/>
    <x v="3"/>
    <x v="0"/>
    <x v="0"/>
    <x v="0"/>
    <x v="0"/>
    <x v="0"/>
    <x v="4"/>
    <s v="24"/>
    <x v="1"/>
    <x v="0"/>
    <x v="6"/>
    <x v="2"/>
    <n v="34029568.759999998"/>
  </r>
  <r>
    <x v="3"/>
    <x v="0"/>
    <x v="1"/>
    <x v="0"/>
    <x v="0"/>
    <x v="3"/>
    <x v="0"/>
    <x v="0"/>
    <x v="0"/>
    <x v="0"/>
    <x v="0"/>
    <x v="4"/>
    <s v="24"/>
    <x v="1"/>
    <x v="0"/>
    <x v="6"/>
    <x v="8"/>
    <n v="29054572.010000002"/>
  </r>
  <r>
    <x v="3"/>
    <x v="0"/>
    <x v="1"/>
    <x v="0"/>
    <x v="0"/>
    <x v="3"/>
    <x v="0"/>
    <x v="0"/>
    <x v="0"/>
    <x v="0"/>
    <x v="0"/>
    <x v="4"/>
    <s v="24"/>
    <x v="1"/>
    <x v="0"/>
    <x v="6"/>
    <x v="9"/>
    <n v="2916383.02"/>
  </r>
  <r>
    <x v="3"/>
    <x v="0"/>
    <x v="1"/>
    <x v="0"/>
    <x v="0"/>
    <x v="3"/>
    <x v="0"/>
    <x v="0"/>
    <x v="0"/>
    <x v="0"/>
    <x v="0"/>
    <x v="4"/>
    <s v="24"/>
    <x v="1"/>
    <x v="0"/>
    <x v="6"/>
    <x v="10"/>
    <n v="14583583.890000001"/>
  </r>
  <r>
    <x v="3"/>
    <x v="0"/>
    <x v="1"/>
    <x v="0"/>
    <x v="0"/>
    <x v="3"/>
    <x v="0"/>
    <x v="0"/>
    <x v="0"/>
    <x v="0"/>
    <x v="0"/>
    <x v="4"/>
    <s v="24"/>
    <x v="1"/>
    <x v="0"/>
    <x v="6"/>
    <x v="11"/>
    <n v="38045635.039999999"/>
  </r>
  <r>
    <x v="3"/>
    <x v="0"/>
    <x v="1"/>
    <x v="0"/>
    <x v="0"/>
    <x v="3"/>
    <x v="0"/>
    <x v="0"/>
    <x v="0"/>
    <x v="0"/>
    <x v="0"/>
    <x v="4"/>
    <s v="24"/>
    <x v="1"/>
    <x v="0"/>
    <x v="6"/>
    <x v="3"/>
    <n v="10744380.199999999"/>
  </r>
  <r>
    <x v="3"/>
    <x v="0"/>
    <x v="1"/>
    <x v="0"/>
    <x v="0"/>
    <x v="3"/>
    <x v="0"/>
    <x v="0"/>
    <x v="0"/>
    <x v="0"/>
    <x v="0"/>
    <x v="4"/>
    <s v="24"/>
    <x v="1"/>
    <x v="0"/>
    <x v="6"/>
    <x v="4"/>
    <n v="6252466.5599999996"/>
  </r>
  <r>
    <x v="3"/>
    <x v="0"/>
    <x v="1"/>
    <x v="0"/>
    <x v="0"/>
    <x v="3"/>
    <x v="0"/>
    <x v="0"/>
    <x v="0"/>
    <x v="0"/>
    <x v="0"/>
    <x v="4"/>
    <s v="24"/>
    <x v="1"/>
    <x v="0"/>
    <x v="6"/>
    <x v="7"/>
    <n v="43425896.18"/>
  </r>
  <r>
    <x v="3"/>
    <x v="0"/>
    <x v="1"/>
    <x v="0"/>
    <x v="0"/>
    <x v="3"/>
    <x v="0"/>
    <x v="0"/>
    <x v="0"/>
    <x v="0"/>
    <x v="0"/>
    <x v="4"/>
    <s v="24"/>
    <x v="1"/>
    <x v="0"/>
    <x v="6"/>
    <x v="5"/>
    <n v="9314093.0500000007"/>
  </r>
  <r>
    <x v="3"/>
    <x v="0"/>
    <x v="1"/>
    <x v="0"/>
    <x v="0"/>
    <x v="3"/>
    <x v="0"/>
    <x v="0"/>
    <x v="0"/>
    <x v="0"/>
    <x v="0"/>
    <x v="4"/>
    <s v="24"/>
    <x v="1"/>
    <x v="0"/>
    <x v="6"/>
    <x v="6"/>
    <n v="2279992.3199999998"/>
  </r>
  <r>
    <x v="3"/>
    <x v="0"/>
    <x v="1"/>
    <x v="0"/>
    <x v="0"/>
    <x v="3"/>
    <x v="0"/>
    <x v="0"/>
    <x v="0"/>
    <x v="0"/>
    <x v="0"/>
    <x v="4"/>
    <s v="24"/>
    <x v="1"/>
    <x v="0"/>
    <x v="6"/>
    <x v="1"/>
    <n v="1484482.08"/>
  </r>
  <r>
    <x v="3"/>
    <x v="0"/>
    <x v="1"/>
    <x v="0"/>
    <x v="0"/>
    <x v="3"/>
    <x v="0"/>
    <x v="0"/>
    <x v="0"/>
    <x v="0"/>
    <x v="0"/>
    <x v="4"/>
    <s v="24"/>
    <x v="1"/>
    <x v="0"/>
    <x v="7"/>
    <x v="0"/>
    <n v="18884967.920000002"/>
  </r>
  <r>
    <x v="3"/>
    <x v="0"/>
    <x v="1"/>
    <x v="0"/>
    <x v="0"/>
    <x v="3"/>
    <x v="0"/>
    <x v="0"/>
    <x v="0"/>
    <x v="0"/>
    <x v="0"/>
    <x v="4"/>
    <s v="24"/>
    <x v="1"/>
    <x v="0"/>
    <x v="7"/>
    <x v="2"/>
    <n v="33250776.640000001"/>
  </r>
  <r>
    <x v="3"/>
    <x v="0"/>
    <x v="1"/>
    <x v="0"/>
    <x v="0"/>
    <x v="3"/>
    <x v="0"/>
    <x v="0"/>
    <x v="0"/>
    <x v="0"/>
    <x v="0"/>
    <x v="4"/>
    <s v="24"/>
    <x v="1"/>
    <x v="0"/>
    <x v="7"/>
    <x v="8"/>
    <n v="31901379.350000001"/>
  </r>
  <r>
    <x v="3"/>
    <x v="0"/>
    <x v="1"/>
    <x v="0"/>
    <x v="0"/>
    <x v="3"/>
    <x v="0"/>
    <x v="0"/>
    <x v="0"/>
    <x v="0"/>
    <x v="0"/>
    <x v="4"/>
    <s v="24"/>
    <x v="1"/>
    <x v="0"/>
    <x v="7"/>
    <x v="9"/>
    <n v="5256101.3099999996"/>
  </r>
  <r>
    <x v="3"/>
    <x v="0"/>
    <x v="1"/>
    <x v="0"/>
    <x v="0"/>
    <x v="3"/>
    <x v="0"/>
    <x v="0"/>
    <x v="0"/>
    <x v="0"/>
    <x v="0"/>
    <x v="4"/>
    <s v="24"/>
    <x v="1"/>
    <x v="0"/>
    <x v="7"/>
    <x v="10"/>
    <n v="13075636.310000001"/>
  </r>
  <r>
    <x v="3"/>
    <x v="0"/>
    <x v="1"/>
    <x v="0"/>
    <x v="0"/>
    <x v="3"/>
    <x v="0"/>
    <x v="0"/>
    <x v="0"/>
    <x v="0"/>
    <x v="0"/>
    <x v="4"/>
    <s v="24"/>
    <x v="1"/>
    <x v="0"/>
    <x v="7"/>
    <x v="11"/>
    <n v="39602641.380000003"/>
  </r>
  <r>
    <x v="3"/>
    <x v="0"/>
    <x v="1"/>
    <x v="0"/>
    <x v="0"/>
    <x v="3"/>
    <x v="0"/>
    <x v="0"/>
    <x v="0"/>
    <x v="0"/>
    <x v="0"/>
    <x v="4"/>
    <s v="24"/>
    <x v="1"/>
    <x v="0"/>
    <x v="7"/>
    <x v="3"/>
    <n v="12919886.029999999"/>
  </r>
  <r>
    <x v="3"/>
    <x v="0"/>
    <x v="1"/>
    <x v="0"/>
    <x v="0"/>
    <x v="3"/>
    <x v="0"/>
    <x v="0"/>
    <x v="0"/>
    <x v="0"/>
    <x v="0"/>
    <x v="4"/>
    <s v="24"/>
    <x v="1"/>
    <x v="0"/>
    <x v="7"/>
    <x v="4"/>
    <n v="7024526.6100000003"/>
  </r>
  <r>
    <x v="3"/>
    <x v="0"/>
    <x v="1"/>
    <x v="0"/>
    <x v="0"/>
    <x v="3"/>
    <x v="0"/>
    <x v="0"/>
    <x v="0"/>
    <x v="0"/>
    <x v="0"/>
    <x v="4"/>
    <s v="24"/>
    <x v="1"/>
    <x v="0"/>
    <x v="7"/>
    <x v="7"/>
    <n v="45784290.539999999"/>
  </r>
  <r>
    <x v="3"/>
    <x v="0"/>
    <x v="1"/>
    <x v="0"/>
    <x v="0"/>
    <x v="3"/>
    <x v="0"/>
    <x v="0"/>
    <x v="0"/>
    <x v="0"/>
    <x v="0"/>
    <x v="4"/>
    <s v="24"/>
    <x v="1"/>
    <x v="0"/>
    <x v="7"/>
    <x v="5"/>
    <n v="11230046.91"/>
  </r>
  <r>
    <x v="3"/>
    <x v="0"/>
    <x v="1"/>
    <x v="0"/>
    <x v="0"/>
    <x v="3"/>
    <x v="0"/>
    <x v="0"/>
    <x v="0"/>
    <x v="0"/>
    <x v="0"/>
    <x v="4"/>
    <s v="24"/>
    <x v="1"/>
    <x v="0"/>
    <x v="7"/>
    <x v="6"/>
    <n v="2523161.29"/>
  </r>
  <r>
    <x v="3"/>
    <x v="0"/>
    <x v="1"/>
    <x v="0"/>
    <x v="0"/>
    <x v="3"/>
    <x v="0"/>
    <x v="0"/>
    <x v="0"/>
    <x v="0"/>
    <x v="0"/>
    <x v="4"/>
    <s v="24"/>
    <x v="1"/>
    <x v="0"/>
    <x v="7"/>
    <x v="1"/>
    <n v="1480493.2"/>
  </r>
  <r>
    <x v="3"/>
    <x v="0"/>
    <x v="1"/>
    <x v="0"/>
    <x v="0"/>
    <x v="3"/>
    <x v="0"/>
    <x v="0"/>
    <x v="0"/>
    <x v="0"/>
    <x v="0"/>
    <x v="4"/>
    <s v="30"/>
    <x v="3"/>
    <x v="0"/>
    <x v="6"/>
    <x v="3"/>
    <n v="54"/>
  </r>
  <r>
    <x v="3"/>
    <x v="0"/>
    <x v="1"/>
    <x v="0"/>
    <x v="0"/>
    <x v="3"/>
    <x v="0"/>
    <x v="0"/>
    <x v="0"/>
    <x v="0"/>
    <x v="0"/>
    <x v="4"/>
    <s v="30"/>
    <x v="3"/>
    <x v="0"/>
    <x v="6"/>
    <x v="7"/>
    <n v="636"/>
  </r>
  <r>
    <x v="3"/>
    <x v="0"/>
    <x v="1"/>
    <x v="0"/>
    <x v="0"/>
    <x v="3"/>
    <x v="0"/>
    <x v="0"/>
    <x v="0"/>
    <x v="0"/>
    <x v="0"/>
    <x v="4"/>
    <s v="30"/>
    <x v="3"/>
    <x v="0"/>
    <x v="6"/>
    <x v="5"/>
    <n v="-34"/>
  </r>
  <r>
    <x v="3"/>
    <x v="0"/>
    <x v="1"/>
    <x v="0"/>
    <x v="0"/>
    <x v="3"/>
    <x v="0"/>
    <x v="0"/>
    <x v="0"/>
    <x v="0"/>
    <x v="0"/>
    <x v="4"/>
    <s v="30"/>
    <x v="3"/>
    <x v="0"/>
    <x v="6"/>
    <x v="1"/>
    <n v="-656"/>
  </r>
  <r>
    <x v="3"/>
    <x v="0"/>
    <x v="1"/>
    <x v="0"/>
    <x v="0"/>
    <x v="3"/>
    <x v="0"/>
    <x v="0"/>
    <x v="0"/>
    <x v="0"/>
    <x v="0"/>
    <x v="4"/>
    <s v="30"/>
    <x v="3"/>
    <x v="0"/>
    <x v="7"/>
    <x v="7"/>
    <n v="110241.36"/>
  </r>
  <r>
    <x v="3"/>
    <x v="0"/>
    <x v="1"/>
    <x v="0"/>
    <x v="0"/>
    <x v="3"/>
    <x v="0"/>
    <x v="0"/>
    <x v="0"/>
    <x v="0"/>
    <x v="0"/>
    <x v="4"/>
    <s v="30"/>
    <x v="3"/>
    <x v="0"/>
    <x v="7"/>
    <x v="5"/>
    <n v="-110241.36"/>
  </r>
  <r>
    <x v="3"/>
    <x v="0"/>
    <x v="1"/>
    <x v="0"/>
    <x v="0"/>
    <x v="3"/>
    <x v="0"/>
    <x v="0"/>
    <x v="0"/>
    <x v="0"/>
    <x v="0"/>
    <x v="4"/>
    <s v="31"/>
    <x v="8"/>
    <x v="0"/>
    <x v="6"/>
    <x v="10"/>
    <n v="1800"/>
  </r>
  <r>
    <x v="3"/>
    <x v="0"/>
    <x v="1"/>
    <x v="0"/>
    <x v="0"/>
    <x v="3"/>
    <x v="0"/>
    <x v="0"/>
    <x v="0"/>
    <x v="0"/>
    <x v="0"/>
    <x v="4"/>
    <s v="31"/>
    <x v="8"/>
    <x v="0"/>
    <x v="6"/>
    <x v="3"/>
    <n v="-5.25"/>
  </r>
  <r>
    <x v="3"/>
    <x v="0"/>
    <x v="1"/>
    <x v="0"/>
    <x v="0"/>
    <x v="3"/>
    <x v="0"/>
    <x v="0"/>
    <x v="0"/>
    <x v="0"/>
    <x v="0"/>
    <x v="4"/>
    <s v="31"/>
    <x v="8"/>
    <x v="0"/>
    <x v="6"/>
    <x v="4"/>
    <n v="5.25"/>
  </r>
  <r>
    <x v="3"/>
    <x v="0"/>
    <x v="1"/>
    <x v="0"/>
    <x v="0"/>
    <x v="3"/>
    <x v="0"/>
    <x v="0"/>
    <x v="0"/>
    <x v="0"/>
    <x v="0"/>
    <x v="4"/>
    <s v="31"/>
    <x v="8"/>
    <x v="0"/>
    <x v="6"/>
    <x v="7"/>
    <n v="-1800"/>
  </r>
  <r>
    <x v="3"/>
    <x v="0"/>
    <x v="1"/>
    <x v="0"/>
    <x v="0"/>
    <x v="3"/>
    <x v="0"/>
    <x v="0"/>
    <x v="0"/>
    <x v="0"/>
    <x v="0"/>
    <x v="4"/>
    <s v="31"/>
    <x v="8"/>
    <x v="0"/>
    <x v="7"/>
    <x v="0"/>
    <n v="141.6"/>
  </r>
  <r>
    <x v="3"/>
    <x v="0"/>
    <x v="1"/>
    <x v="0"/>
    <x v="0"/>
    <x v="3"/>
    <x v="0"/>
    <x v="0"/>
    <x v="0"/>
    <x v="0"/>
    <x v="0"/>
    <x v="4"/>
    <s v="31"/>
    <x v="8"/>
    <x v="0"/>
    <x v="7"/>
    <x v="2"/>
    <n v="-141.6"/>
  </r>
  <r>
    <x v="3"/>
    <x v="0"/>
    <x v="1"/>
    <x v="0"/>
    <x v="0"/>
    <x v="3"/>
    <x v="0"/>
    <x v="0"/>
    <x v="0"/>
    <x v="0"/>
    <x v="0"/>
    <x v="4"/>
    <s v="31"/>
    <x v="8"/>
    <x v="0"/>
    <x v="7"/>
    <x v="7"/>
    <n v="15"/>
  </r>
  <r>
    <x v="3"/>
    <x v="0"/>
    <x v="1"/>
    <x v="0"/>
    <x v="0"/>
    <x v="3"/>
    <x v="0"/>
    <x v="0"/>
    <x v="0"/>
    <x v="0"/>
    <x v="0"/>
    <x v="4"/>
    <s v="31"/>
    <x v="8"/>
    <x v="0"/>
    <x v="7"/>
    <x v="5"/>
    <n v="-15"/>
  </r>
  <r>
    <x v="3"/>
    <x v="0"/>
    <x v="1"/>
    <x v="0"/>
    <x v="0"/>
    <x v="3"/>
    <x v="0"/>
    <x v="0"/>
    <x v="0"/>
    <x v="0"/>
    <x v="0"/>
    <x v="4"/>
    <s v="31"/>
    <x v="8"/>
    <x v="0"/>
    <x v="7"/>
    <x v="6"/>
    <n v="-120"/>
  </r>
  <r>
    <x v="3"/>
    <x v="0"/>
    <x v="1"/>
    <x v="0"/>
    <x v="0"/>
    <x v="3"/>
    <x v="0"/>
    <x v="0"/>
    <x v="0"/>
    <x v="0"/>
    <x v="0"/>
    <x v="4"/>
    <s v="31"/>
    <x v="8"/>
    <x v="0"/>
    <x v="7"/>
    <x v="1"/>
    <n v="120"/>
  </r>
  <r>
    <x v="3"/>
    <x v="0"/>
    <x v="1"/>
    <x v="0"/>
    <x v="0"/>
    <x v="3"/>
    <x v="0"/>
    <x v="0"/>
    <x v="0"/>
    <x v="0"/>
    <x v="0"/>
    <x v="4"/>
    <s v="86"/>
    <x v="35"/>
    <x v="0"/>
    <x v="6"/>
    <x v="4"/>
    <n v="16257.48"/>
  </r>
  <r>
    <x v="3"/>
    <x v="0"/>
    <x v="1"/>
    <x v="0"/>
    <x v="0"/>
    <x v="3"/>
    <x v="0"/>
    <x v="0"/>
    <x v="0"/>
    <x v="0"/>
    <x v="0"/>
    <x v="4"/>
    <s v="86"/>
    <x v="35"/>
    <x v="0"/>
    <x v="7"/>
    <x v="11"/>
    <n v="500"/>
  </r>
  <r>
    <x v="3"/>
    <x v="0"/>
    <x v="1"/>
    <x v="0"/>
    <x v="0"/>
    <x v="3"/>
    <x v="0"/>
    <x v="0"/>
    <x v="0"/>
    <x v="0"/>
    <x v="0"/>
    <x v="4"/>
    <s v="86"/>
    <x v="35"/>
    <x v="0"/>
    <x v="7"/>
    <x v="1"/>
    <n v="176.82"/>
  </r>
  <r>
    <x v="3"/>
    <x v="0"/>
    <x v="1"/>
    <x v="0"/>
    <x v="0"/>
    <x v="3"/>
    <x v="0"/>
    <x v="0"/>
    <x v="0"/>
    <x v="0"/>
    <x v="0"/>
    <x v="4"/>
    <s v="90"/>
    <x v="16"/>
    <x v="0"/>
    <x v="6"/>
    <x v="8"/>
    <n v="40.4"/>
  </r>
  <r>
    <x v="3"/>
    <x v="0"/>
    <x v="1"/>
    <x v="0"/>
    <x v="0"/>
    <x v="3"/>
    <x v="0"/>
    <x v="0"/>
    <x v="0"/>
    <x v="0"/>
    <x v="0"/>
    <x v="4"/>
    <s v="90"/>
    <x v="16"/>
    <x v="0"/>
    <x v="6"/>
    <x v="10"/>
    <n v="20"/>
  </r>
  <r>
    <x v="3"/>
    <x v="0"/>
    <x v="1"/>
    <x v="0"/>
    <x v="0"/>
    <x v="3"/>
    <x v="0"/>
    <x v="0"/>
    <x v="0"/>
    <x v="0"/>
    <x v="0"/>
    <x v="4"/>
    <s v="90"/>
    <x v="16"/>
    <x v="0"/>
    <x v="6"/>
    <x v="11"/>
    <n v="-5858.97"/>
  </r>
  <r>
    <x v="3"/>
    <x v="0"/>
    <x v="1"/>
    <x v="0"/>
    <x v="0"/>
    <x v="3"/>
    <x v="0"/>
    <x v="0"/>
    <x v="0"/>
    <x v="0"/>
    <x v="0"/>
    <x v="4"/>
    <s v="90"/>
    <x v="16"/>
    <x v="0"/>
    <x v="6"/>
    <x v="3"/>
    <n v="5779.19"/>
  </r>
  <r>
    <x v="3"/>
    <x v="0"/>
    <x v="1"/>
    <x v="0"/>
    <x v="0"/>
    <x v="3"/>
    <x v="0"/>
    <x v="0"/>
    <x v="0"/>
    <x v="0"/>
    <x v="0"/>
    <x v="4"/>
    <s v="90"/>
    <x v="16"/>
    <x v="0"/>
    <x v="6"/>
    <x v="7"/>
    <n v="-0.87"/>
  </r>
  <r>
    <x v="3"/>
    <x v="0"/>
    <x v="1"/>
    <x v="0"/>
    <x v="0"/>
    <x v="3"/>
    <x v="0"/>
    <x v="0"/>
    <x v="0"/>
    <x v="0"/>
    <x v="0"/>
    <x v="4"/>
    <s v="90"/>
    <x v="16"/>
    <x v="0"/>
    <x v="6"/>
    <x v="5"/>
    <n v="-9.6999999999999993"/>
  </r>
  <r>
    <x v="3"/>
    <x v="0"/>
    <x v="1"/>
    <x v="0"/>
    <x v="0"/>
    <x v="3"/>
    <x v="0"/>
    <x v="0"/>
    <x v="0"/>
    <x v="0"/>
    <x v="0"/>
    <x v="4"/>
    <s v="90"/>
    <x v="16"/>
    <x v="0"/>
    <x v="6"/>
    <x v="6"/>
    <n v="22.12"/>
  </r>
  <r>
    <x v="3"/>
    <x v="0"/>
    <x v="1"/>
    <x v="0"/>
    <x v="0"/>
    <x v="3"/>
    <x v="0"/>
    <x v="0"/>
    <x v="0"/>
    <x v="0"/>
    <x v="0"/>
    <x v="4"/>
    <s v="90"/>
    <x v="16"/>
    <x v="0"/>
    <x v="6"/>
    <x v="1"/>
    <n v="-4.43"/>
  </r>
  <r>
    <x v="3"/>
    <x v="0"/>
    <x v="1"/>
    <x v="0"/>
    <x v="0"/>
    <x v="3"/>
    <x v="0"/>
    <x v="0"/>
    <x v="0"/>
    <x v="0"/>
    <x v="0"/>
    <x v="4"/>
    <s v="90"/>
    <x v="16"/>
    <x v="0"/>
    <x v="7"/>
    <x v="0"/>
    <n v="10"/>
  </r>
  <r>
    <x v="3"/>
    <x v="0"/>
    <x v="1"/>
    <x v="0"/>
    <x v="0"/>
    <x v="3"/>
    <x v="0"/>
    <x v="0"/>
    <x v="0"/>
    <x v="0"/>
    <x v="0"/>
    <x v="4"/>
    <s v="90"/>
    <x v="16"/>
    <x v="0"/>
    <x v="7"/>
    <x v="2"/>
    <n v="-3"/>
  </r>
  <r>
    <x v="3"/>
    <x v="0"/>
    <x v="1"/>
    <x v="0"/>
    <x v="0"/>
    <x v="3"/>
    <x v="0"/>
    <x v="0"/>
    <x v="0"/>
    <x v="0"/>
    <x v="0"/>
    <x v="4"/>
    <s v="90"/>
    <x v="16"/>
    <x v="0"/>
    <x v="7"/>
    <x v="11"/>
    <n v="-6"/>
  </r>
  <r>
    <x v="3"/>
    <x v="0"/>
    <x v="1"/>
    <x v="0"/>
    <x v="0"/>
    <x v="3"/>
    <x v="0"/>
    <x v="0"/>
    <x v="0"/>
    <x v="0"/>
    <x v="0"/>
    <x v="4"/>
    <s v="90"/>
    <x v="16"/>
    <x v="0"/>
    <x v="7"/>
    <x v="3"/>
    <n v="3"/>
  </r>
  <r>
    <x v="3"/>
    <x v="0"/>
    <x v="1"/>
    <x v="0"/>
    <x v="0"/>
    <x v="3"/>
    <x v="0"/>
    <x v="0"/>
    <x v="0"/>
    <x v="0"/>
    <x v="0"/>
    <x v="4"/>
    <s v="90"/>
    <x v="16"/>
    <x v="0"/>
    <x v="7"/>
    <x v="5"/>
    <n v="5.18"/>
  </r>
  <r>
    <x v="3"/>
    <x v="0"/>
    <x v="1"/>
    <x v="0"/>
    <x v="0"/>
    <x v="3"/>
    <x v="0"/>
    <x v="0"/>
    <x v="0"/>
    <x v="0"/>
    <x v="0"/>
    <x v="4"/>
    <s v="90"/>
    <x v="16"/>
    <x v="0"/>
    <x v="7"/>
    <x v="6"/>
    <n v="-5.18"/>
  </r>
  <r>
    <x v="3"/>
    <x v="0"/>
    <x v="1"/>
    <x v="0"/>
    <x v="0"/>
    <x v="3"/>
    <x v="0"/>
    <x v="0"/>
    <x v="0"/>
    <x v="0"/>
    <x v="0"/>
    <x v="4"/>
    <s v="90"/>
    <x v="16"/>
    <x v="0"/>
    <x v="7"/>
    <x v="1"/>
    <n v="-4"/>
  </r>
  <r>
    <x v="3"/>
    <x v="0"/>
    <x v="1"/>
    <x v="0"/>
    <x v="0"/>
    <x v="3"/>
    <x v="0"/>
    <x v="0"/>
    <x v="0"/>
    <x v="0"/>
    <x v="0"/>
    <x v="4"/>
    <s v="99"/>
    <x v="9"/>
    <x v="0"/>
    <x v="6"/>
    <x v="0"/>
    <n v="1313.25"/>
  </r>
  <r>
    <x v="3"/>
    <x v="0"/>
    <x v="1"/>
    <x v="0"/>
    <x v="0"/>
    <x v="3"/>
    <x v="0"/>
    <x v="0"/>
    <x v="0"/>
    <x v="0"/>
    <x v="0"/>
    <x v="4"/>
    <s v="99"/>
    <x v="9"/>
    <x v="0"/>
    <x v="6"/>
    <x v="2"/>
    <n v="1227.77"/>
  </r>
  <r>
    <x v="3"/>
    <x v="0"/>
    <x v="1"/>
    <x v="0"/>
    <x v="0"/>
    <x v="3"/>
    <x v="0"/>
    <x v="0"/>
    <x v="0"/>
    <x v="0"/>
    <x v="0"/>
    <x v="4"/>
    <s v="99"/>
    <x v="9"/>
    <x v="0"/>
    <x v="6"/>
    <x v="8"/>
    <n v="-699.44"/>
  </r>
  <r>
    <x v="3"/>
    <x v="0"/>
    <x v="1"/>
    <x v="0"/>
    <x v="0"/>
    <x v="3"/>
    <x v="0"/>
    <x v="0"/>
    <x v="0"/>
    <x v="0"/>
    <x v="0"/>
    <x v="4"/>
    <s v="99"/>
    <x v="9"/>
    <x v="0"/>
    <x v="6"/>
    <x v="9"/>
    <n v="0.1"/>
  </r>
  <r>
    <x v="3"/>
    <x v="0"/>
    <x v="1"/>
    <x v="0"/>
    <x v="0"/>
    <x v="3"/>
    <x v="0"/>
    <x v="0"/>
    <x v="0"/>
    <x v="0"/>
    <x v="0"/>
    <x v="4"/>
    <s v="99"/>
    <x v="9"/>
    <x v="0"/>
    <x v="6"/>
    <x v="10"/>
    <n v="-27.69"/>
  </r>
  <r>
    <x v="3"/>
    <x v="0"/>
    <x v="1"/>
    <x v="0"/>
    <x v="0"/>
    <x v="3"/>
    <x v="0"/>
    <x v="0"/>
    <x v="0"/>
    <x v="0"/>
    <x v="0"/>
    <x v="4"/>
    <s v="99"/>
    <x v="9"/>
    <x v="0"/>
    <x v="6"/>
    <x v="11"/>
    <n v="-1212.71"/>
  </r>
  <r>
    <x v="3"/>
    <x v="0"/>
    <x v="1"/>
    <x v="0"/>
    <x v="0"/>
    <x v="3"/>
    <x v="0"/>
    <x v="0"/>
    <x v="0"/>
    <x v="0"/>
    <x v="0"/>
    <x v="4"/>
    <s v="99"/>
    <x v="9"/>
    <x v="0"/>
    <x v="6"/>
    <x v="3"/>
    <n v="802.4"/>
  </r>
  <r>
    <x v="3"/>
    <x v="0"/>
    <x v="1"/>
    <x v="0"/>
    <x v="0"/>
    <x v="3"/>
    <x v="0"/>
    <x v="0"/>
    <x v="0"/>
    <x v="0"/>
    <x v="0"/>
    <x v="4"/>
    <s v="99"/>
    <x v="9"/>
    <x v="0"/>
    <x v="6"/>
    <x v="4"/>
    <n v="143893.28"/>
  </r>
  <r>
    <x v="3"/>
    <x v="0"/>
    <x v="1"/>
    <x v="0"/>
    <x v="0"/>
    <x v="3"/>
    <x v="0"/>
    <x v="0"/>
    <x v="0"/>
    <x v="0"/>
    <x v="0"/>
    <x v="4"/>
    <s v="99"/>
    <x v="9"/>
    <x v="0"/>
    <x v="6"/>
    <x v="7"/>
    <n v="-143699.85999999999"/>
  </r>
  <r>
    <x v="3"/>
    <x v="0"/>
    <x v="1"/>
    <x v="0"/>
    <x v="0"/>
    <x v="3"/>
    <x v="0"/>
    <x v="0"/>
    <x v="0"/>
    <x v="0"/>
    <x v="0"/>
    <x v="4"/>
    <s v="99"/>
    <x v="9"/>
    <x v="0"/>
    <x v="6"/>
    <x v="5"/>
    <n v="871.32"/>
  </r>
  <r>
    <x v="3"/>
    <x v="0"/>
    <x v="1"/>
    <x v="0"/>
    <x v="0"/>
    <x v="3"/>
    <x v="0"/>
    <x v="0"/>
    <x v="0"/>
    <x v="0"/>
    <x v="0"/>
    <x v="4"/>
    <s v="99"/>
    <x v="9"/>
    <x v="0"/>
    <x v="6"/>
    <x v="6"/>
    <n v="-863.09"/>
  </r>
  <r>
    <x v="3"/>
    <x v="0"/>
    <x v="1"/>
    <x v="0"/>
    <x v="0"/>
    <x v="3"/>
    <x v="0"/>
    <x v="0"/>
    <x v="0"/>
    <x v="0"/>
    <x v="0"/>
    <x v="4"/>
    <s v="99"/>
    <x v="9"/>
    <x v="0"/>
    <x v="6"/>
    <x v="1"/>
    <n v="-1605.33"/>
  </r>
  <r>
    <x v="3"/>
    <x v="0"/>
    <x v="1"/>
    <x v="0"/>
    <x v="0"/>
    <x v="3"/>
    <x v="0"/>
    <x v="0"/>
    <x v="0"/>
    <x v="0"/>
    <x v="0"/>
    <x v="4"/>
    <s v="99"/>
    <x v="9"/>
    <x v="0"/>
    <x v="7"/>
    <x v="0"/>
    <n v="8522.83"/>
  </r>
  <r>
    <x v="3"/>
    <x v="0"/>
    <x v="1"/>
    <x v="0"/>
    <x v="0"/>
    <x v="3"/>
    <x v="0"/>
    <x v="0"/>
    <x v="0"/>
    <x v="0"/>
    <x v="0"/>
    <x v="4"/>
    <s v="99"/>
    <x v="9"/>
    <x v="0"/>
    <x v="7"/>
    <x v="2"/>
    <n v="149.47"/>
  </r>
  <r>
    <x v="3"/>
    <x v="0"/>
    <x v="1"/>
    <x v="0"/>
    <x v="0"/>
    <x v="3"/>
    <x v="0"/>
    <x v="0"/>
    <x v="0"/>
    <x v="0"/>
    <x v="0"/>
    <x v="4"/>
    <s v="99"/>
    <x v="9"/>
    <x v="0"/>
    <x v="7"/>
    <x v="8"/>
    <n v="-1"/>
  </r>
  <r>
    <x v="3"/>
    <x v="0"/>
    <x v="1"/>
    <x v="0"/>
    <x v="0"/>
    <x v="3"/>
    <x v="0"/>
    <x v="0"/>
    <x v="0"/>
    <x v="0"/>
    <x v="0"/>
    <x v="4"/>
    <s v="99"/>
    <x v="9"/>
    <x v="0"/>
    <x v="7"/>
    <x v="9"/>
    <n v="-9535.86"/>
  </r>
  <r>
    <x v="3"/>
    <x v="0"/>
    <x v="1"/>
    <x v="0"/>
    <x v="0"/>
    <x v="3"/>
    <x v="0"/>
    <x v="0"/>
    <x v="0"/>
    <x v="0"/>
    <x v="0"/>
    <x v="4"/>
    <s v="99"/>
    <x v="9"/>
    <x v="0"/>
    <x v="7"/>
    <x v="10"/>
    <n v="1856.84"/>
  </r>
  <r>
    <x v="3"/>
    <x v="0"/>
    <x v="1"/>
    <x v="0"/>
    <x v="0"/>
    <x v="3"/>
    <x v="0"/>
    <x v="0"/>
    <x v="0"/>
    <x v="0"/>
    <x v="0"/>
    <x v="4"/>
    <s v="99"/>
    <x v="9"/>
    <x v="0"/>
    <x v="7"/>
    <x v="11"/>
    <n v="19329.87"/>
  </r>
  <r>
    <x v="3"/>
    <x v="0"/>
    <x v="1"/>
    <x v="0"/>
    <x v="0"/>
    <x v="3"/>
    <x v="0"/>
    <x v="0"/>
    <x v="0"/>
    <x v="0"/>
    <x v="0"/>
    <x v="4"/>
    <s v="99"/>
    <x v="9"/>
    <x v="0"/>
    <x v="7"/>
    <x v="3"/>
    <n v="-1499.96"/>
  </r>
  <r>
    <x v="3"/>
    <x v="0"/>
    <x v="1"/>
    <x v="0"/>
    <x v="0"/>
    <x v="3"/>
    <x v="0"/>
    <x v="0"/>
    <x v="0"/>
    <x v="0"/>
    <x v="0"/>
    <x v="4"/>
    <s v="99"/>
    <x v="9"/>
    <x v="0"/>
    <x v="7"/>
    <x v="4"/>
    <n v="5705"/>
  </r>
  <r>
    <x v="3"/>
    <x v="0"/>
    <x v="1"/>
    <x v="0"/>
    <x v="0"/>
    <x v="3"/>
    <x v="0"/>
    <x v="0"/>
    <x v="0"/>
    <x v="0"/>
    <x v="0"/>
    <x v="4"/>
    <s v="99"/>
    <x v="9"/>
    <x v="0"/>
    <x v="7"/>
    <x v="7"/>
    <n v="-857.22"/>
  </r>
  <r>
    <x v="3"/>
    <x v="0"/>
    <x v="1"/>
    <x v="0"/>
    <x v="0"/>
    <x v="3"/>
    <x v="0"/>
    <x v="0"/>
    <x v="0"/>
    <x v="0"/>
    <x v="0"/>
    <x v="4"/>
    <s v="99"/>
    <x v="9"/>
    <x v="0"/>
    <x v="7"/>
    <x v="5"/>
    <n v="-21315.040000000001"/>
  </r>
  <r>
    <x v="3"/>
    <x v="0"/>
    <x v="1"/>
    <x v="0"/>
    <x v="0"/>
    <x v="3"/>
    <x v="0"/>
    <x v="0"/>
    <x v="0"/>
    <x v="0"/>
    <x v="0"/>
    <x v="4"/>
    <s v="99"/>
    <x v="9"/>
    <x v="0"/>
    <x v="7"/>
    <x v="6"/>
    <n v="3417.28"/>
  </r>
  <r>
    <x v="3"/>
    <x v="0"/>
    <x v="1"/>
    <x v="0"/>
    <x v="0"/>
    <x v="3"/>
    <x v="0"/>
    <x v="0"/>
    <x v="0"/>
    <x v="0"/>
    <x v="0"/>
    <x v="4"/>
    <s v="99"/>
    <x v="9"/>
    <x v="0"/>
    <x v="7"/>
    <x v="1"/>
    <n v="-5772.21"/>
  </r>
  <r>
    <x v="3"/>
    <x v="0"/>
    <x v="1"/>
    <x v="0"/>
    <x v="0"/>
    <x v="3"/>
    <x v="0"/>
    <x v="0"/>
    <x v="0"/>
    <x v="0"/>
    <x v="4"/>
    <x v="5"/>
    <s v="21"/>
    <x v="27"/>
    <x v="0"/>
    <x v="6"/>
    <x v="4"/>
    <n v="-5111.7"/>
  </r>
  <r>
    <x v="3"/>
    <x v="0"/>
    <x v="1"/>
    <x v="0"/>
    <x v="0"/>
    <x v="3"/>
    <x v="0"/>
    <x v="0"/>
    <x v="0"/>
    <x v="0"/>
    <x v="4"/>
    <x v="5"/>
    <s v="21"/>
    <x v="27"/>
    <x v="0"/>
    <x v="6"/>
    <x v="7"/>
    <n v="5111.7"/>
  </r>
  <r>
    <x v="3"/>
    <x v="0"/>
    <x v="1"/>
    <x v="0"/>
    <x v="0"/>
    <x v="3"/>
    <x v="0"/>
    <x v="0"/>
    <x v="0"/>
    <x v="0"/>
    <x v="4"/>
    <x v="5"/>
    <s v="21"/>
    <x v="27"/>
    <x v="0"/>
    <x v="6"/>
    <x v="6"/>
    <n v="24108.02"/>
  </r>
  <r>
    <x v="3"/>
    <x v="0"/>
    <x v="1"/>
    <x v="0"/>
    <x v="0"/>
    <x v="3"/>
    <x v="0"/>
    <x v="0"/>
    <x v="0"/>
    <x v="0"/>
    <x v="4"/>
    <x v="5"/>
    <s v="21"/>
    <x v="27"/>
    <x v="0"/>
    <x v="6"/>
    <x v="1"/>
    <n v="-24108.02"/>
  </r>
  <r>
    <x v="3"/>
    <x v="0"/>
    <x v="1"/>
    <x v="0"/>
    <x v="0"/>
    <x v="3"/>
    <x v="0"/>
    <x v="0"/>
    <x v="0"/>
    <x v="0"/>
    <x v="4"/>
    <x v="5"/>
    <s v="21"/>
    <x v="27"/>
    <x v="0"/>
    <x v="7"/>
    <x v="10"/>
    <n v="-0.48"/>
  </r>
  <r>
    <x v="3"/>
    <x v="0"/>
    <x v="1"/>
    <x v="0"/>
    <x v="0"/>
    <x v="3"/>
    <x v="0"/>
    <x v="0"/>
    <x v="0"/>
    <x v="0"/>
    <x v="4"/>
    <x v="5"/>
    <s v="21"/>
    <x v="27"/>
    <x v="0"/>
    <x v="7"/>
    <x v="11"/>
    <n v="0.48"/>
  </r>
  <r>
    <x v="3"/>
    <x v="0"/>
    <x v="1"/>
    <x v="0"/>
    <x v="0"/>
    <x v="3"/>
    <x v="0"/>
    <x v="0"/>
    <x v="0"/>
    <x v="0"/>
    <x v="4"/>
    <x v="5"/>
    <s v="22"/>
    <x v="25"/>
    <x v="0"/>
    <x v="6"/>
    <x v="2"/>
    <n v="-30469.05"/>
  </r>
  <r>
    <x v="3"/>
    <x v="0"/>
    <x v="1"/>
    <x v="0"/>
    <x v="0"/>
    <x v="3"/>
    <x v="0"/>
    <x v="0"/>
    <x v="0"/>
    <x v="0"/>
    <x v="4"/>
    <x v="5"/>
    <s v="22"/>
    <x v="25"/>
    <x v="0"/>
    <x v="6"/>
    <x v="4"/>
    <n v="5111.7"/>
  </r>
  <r>
    <x v="3"/>
    <x v="0"/>
    <x v="1"/>
    <x v="0"/>
    <x v="0"/>
    <x v="3"/>
    <x v="0"/>
    <x v="0"/>
    <x v="0"/>
    <x v="0"/>
    <x v="4"/>
    <x v="5"/>
    <s v="22"/>
    <x v="25"/>
    <x v="0"/>
    <x v="6"/>
    <x v="7"/>
    <n v="-5111.7"/>
  </r>
  <r>
    <x v="3"/>
    <x v="0"/>
    <x v="1"/>
    <x v="0"/>
    <x v="0"/>
    <x v="3"/>
    <x v="0"/>
    <x v="0"/>
    <x v="0"/>
    <x v="0"/>
    <x v="4"/>
    <x v="5"/>
    <s v="22"/>
    <x v="25"/>
    <x v="0"/>
    <x v="6"/>
    <x v="6"/>
    <n v="-70506.460000000006"/>
  </r>
  <r>
    <x v="3"/>
    <x v="0"/>
    <x v="1"/>
    <x v="0"/>
    <x v="0"/>
    <x v="3"/>
    <x v="0"/>
    <x v="0"/>
    <x v="0"/>
    <x v="0"/>
    <x v="4"/>
    <x v="5"/>
    <s v="22"/>
    <x v="25"/>
    <x v="0"/>
    <x v="6"/>
    <x v="1"/>
    <n v="-5070"/>
  </r>
  <r>
    <x v="3"/>
    <x v="0"/>
    <x v="1"/>
    <x v="0"/>
    <x v="0"/>
    <x v="3"/>
    <x v="0"/>
    <x v="0"/>
    <x v="0"/>
    <x v="0"/>
    <x v="4"/>
    <x v="5"/>
    <s v="22"/>
    <x v="25"/>
    <x v="0"/>
    <x v="7"/>
    <x v="10"/>
    <n v="-14999.76"/>
  </r>
  <r>
    <x v="3"/>
    <x v="0"/>
    <x v="1"/>
    <x v="0"/>
    <x v="0"/>
    <x v="3"/>
    <x v="0"/>
    <x v="0"/>
    <x v="0"/>
    <x v="0"/>
    <x v="4"/>
    <x v="5"/>
    <s v="22"/>
    <x v="25"/>
    <x v="0"/>
    <x v="7"/>
    <x v="11"/>
    <n v="-0.48"/>
  </r>
  <r>
    <x v="3"/>
    <x v="0"/>
    <x v="1"/>
    <x v="0"/>
    <x v="0"/>
    <x v="3"/>
    <x v="0"/>
    <x v="0"/>
    <x v="0"/>
    <x v="0"/>
    <x v="4"/>
    <x v="5"/>
    <s v="22"/>
    <x v="25"/>
    <x v="0"/>
    <x v="7"/>
    <x v="4"/>
    <n v="-26549.4"/>
  </r>
  <r>
    <x v="3"/>
    <x v="0"/>
    <x v="1"/>
    <x v="0"/>
    <x v="0"/>
    <x v="3"/>
    <x v="0"/>
    <x v="0"/>
    <x v="0"/>
    <x v="0"/>
    <x v="4"/>
    <x v="5"/>
    <s v="22"/>
    <x v="25"/>
    <x v="0"/>
    <x v="7"/>
    <x v="7"/>
    <n v="-242581.91"/>
  </r>
  <r>
    <x v="3"/>
    <x v="0"/>
    <x v="1"/>
    <x v="0"/>
    <x v="0"/>
    <x v="3"/>
    <x v="0"/>
    <x v="0"/>
    <x v="0"/>
    <x v="0"/>
    <x v="4"/>
    <x v="5"/>
    <s v="90"/>
    <x v="36"/>
    <x v="0"/>
    <x v="7"/>
    <x v="1"/>
    <n v="-31573"/>
  </r>
  <r>
    <x v="3"/>
    <x v="0"/>
    <x v="1"/>
    <x v="0"/>
    <x v="0"/>
    <x v="3"/>
    <x v="0"/>
    <x v="0"/>
    <x v="0"/>
    <x v="0"/>
    <x v="5"/>
    <x v="6"/>
    <s v="20"/>
    <x v="29"/>
    <x v="0"/>
    <x v="6"/>
    <x v="0"/>
    <n v="-2667.5"/>
  </r>
  <r>
    <x v="3"/>
    <x v="0"/>
    <x v="1"/>
    <x v="0"/>
    <x v="0"/>
    <x v="3"/>
    <x v="0"/>
    <x v="0"/>
    <x v="0"/>
    <x v="0"/>
    <x v="5"/>
    <x v="6"/>
    <s v="20"/>
    <x v="29"/>
    <x v="0"/>
    <x v="6"/>
    <x v="8"/>
    <n v="2667.5"/>
  </r>
  <r>
    <x v="3"/>
    <x v="0"/>
    <x v="1"/>
    <x v="0"/>
    <x v="0"/>
    <x v="3"/>
    <x v="0"/>
    <x v="0"/>
    <x v="0"/>
    <x v="0"/>
    <x v="5"/>
    <x v="6"/>
    <s v="20"/>
    <x v="29"/>
    <x v="0"/>
    <x v="6"/>
    <x v="9"/>
    <n v="98.48"/>
  </r>
  <r>
    <x v="3"/>
    <x v="0"/>
    <x v="1"/>
    <x v="0"/>
    <x v="0"/>
    <x v="3"/>
    <x v="0"/>
    <x v="0"/>
    <x v="0"/>
    <x v="0"/>
    <x v="5"/>
    <x v="6"/>
    <s v="20"/>
    <x v="29"/>
    <x v="0"/>
    <x v="6"/>
    <x v="10"/>
    <n v="-98.48"/>
  </r>
  <r>
    <x v="3"/>
    <x v="0"/>
    <x v="1"/>
    <x v="0"/>
    <x v="0"/>
    <x v="3"/>
    <x v="0"/>
    <x v="0"/>
    <x v="0"/>
    <x v="0"/>
    <x v="5"/>
    <x v="6"/>
    <s v="20"/>
    <x v="29"/>
    <x v="0"/>
    <x v="7"/>
    <x v="0"/>
    <n v="-124.2"/>
  </r>
  <r>
    <x v="3"/>
    <x v="0"/>
    <x v="1"/>
    <x v="0"/>
    <x v="0"/>
    <x v="3"/>
    <x v="0"/>
    <x v="0"/>
    <x v="0"/>
    <x v="0"/>
    <x v="5"/>
    <x v="6"/>
    <s v="20"/>
    <x v="29"/>
    <x v="0"/>
    <x v="7"/>
    <x v="3"/>
    <n v="600"/>
  </r>
  <r>
    <x v="3"/>
    <x v="0"/>
    <x v="1"/>
    <x v="0"/>
    <x v="0"/>
    <x v="3"/>
    <x v="0"/>
    <x v="0"/>
    <x v="0"/>
    <x v="0"/>
    <x v="5"/>
    <x v="6"/>
    <s v="20"/>
    <x v="29"/>
    <x v="0"/>
    <x v="7"/>
    <x v="4"/>
    <n v="200"/>
  </r>
  <r>
    <x v="3"/>
    <x v="0"/>
    <x v="1"/>
    <x v="0"/>
    <x v="0"/>
    <x v="3"/>
    <x v="0"/>
    <x v="0"/>
    <x v="0"/>
    <x v="0"/>
    <x v="5"/>
    <x v="6"/>
    <s v="20"/>
    <x v="29"/>
    <x v="0"/>
    <x v="7"/>
    <x v="7"/>
    <n v="-800"/>
  </r>
  <r>
    <x v="3"/>
    <x v="0"/>
    <x v="1"/>
    <x v="0"/>
    <x v="0"/>
    <x v="3"/>
    <x v="0"/>
    <x v="0"/>
    <x v="0"/>
    <x v="0"/>
    <x v="5"/>
    <x v="6"/>
    <s v="20"/>
    <x v="29"/>
    <x v="0"/>
    <x v="7"/>
    <x v="5"/>
    <n v="124.2"/>
  </r>
  <r>
    <x v="3"/>
    <x v="0"/>
    <x v="1"/>
    <x v="0"/>
    <x v="0"/>
    <x v="3"/>
    <x v="0"/>
    <x v="0"/>
    <x v="0"/>
    <x v="0"/>
    <x v="5"/>
    <x v="6"/>
    <s v="40"/>
    <x v="26"/>
    <x v="0"/>
    <x v="6"/>
    <x v="0"/>
    <n v="2559.61"/>
  </r>
  <r>
    <x v="3"/>
    <x v="0"/>
    <x v="1"/>
    <x v="0"/>
    <x v="0"/>
    <x v="3"/>
    <x v="0"/>
    <x v="0"/>
    <x v="0"/>
    <x v="0"/>
    <x v="5"/>
    <x v="6"/>
    <s v="40"/>
    <x v="26"/>
    <x v="0"/>
    <x v="6"/>
    <x v="2"/>
    <n v="-2997.63"/>
  </r>
  <r>
    <x v="3"/>
    <x v="0"/>
    <x v="1"/>
    <x v="0"/>
    <x v="0"/>
    <x v="3"/>
    <x v="0"/>
    <x v="0"/>
    <x v="0"/>
    <x v="0"/>
    <x v="5"/>
    <x v="6"/>
    <s v="40"/>
    <x v="26"/>
    <x v="0"/>
    <x v="6"/>
    <x v="8"/>
    <n v="-3761.02"/>
  </r>
  <r>
    <x v="3"/>
    <x v="0"/>
    <x v="1"/>
    <x v="0"/>
    <x v="0"/>
    <x v="3"/>
    <x v="0"/>
    <x v="0"/>
    <x v="0"/>
    <x v="0"/>
    <x v="5"/>
    <x v="6"/>
    <s v="40"/>
    <x v="26"/>
    <x v="0"/>
    <x v="6"/>
    <x v="9"/>
    <n v="3151.8"/>
  </r>
  <r>
    <x v="3"/>
    <x v="0"/>
    <x v="1"/>
    <x v="0"/>
    <x v="0"/>
    <x v="3"/>
    <x v="0"/>
    <x v="0"/>
    <x v="0"/>
    <x v="0"/>
    <x v="5"/>
    <x v="6"/>
    <s v="40"/>
    <x v="26"/>
    <x v="0"/>
    <x v="6"/>
    <x v="10"/>
    <n v="3701.1"/>
  </r>
  <r>
    <x v="3"/>
    <x v="0"/>
    <x v="1"/>
    <x v="0"/>
    <x v="0"/>
    <x v="3"/>
    <x v="0"/>
    <x v="0"/>
    <x v="0"/>
    <x v="0"/>
    <x v="5"/>
    <x v="6"/>
    <s v="40"/>
    <x v="26"/>
    <x v="0"/>
    <x v="6"/>
    <x v="11"/>
    <n v="-3025.25"/>
  </r>
  <r>
    <x v="3"/>
    <x v="0"/>
    <x v="1"/>
    <x v="0"/>
    <x v="0"/>
    <x v="3"/>
    <x v="0"/>
    <x v="0"/>
    <x v="0"/>
    <x v="0"/>
    <x v="5"/>
    <x v="6"/>
    <s v="40"/>
    <x v="26"/>
    <x v="0"/>
    <x v="6"/>
    <x v="3"/>
    <n v="1584"/>
  </r>
  <r>
    <x v="3"/>
    <x v="0"/>
    <x v="1"/>
    <x v="0"/>
    <x v="0"/>
    <x v="3"/>
    <x v="0"/>
    <x v="0"/>
    <x v="0"/>
    <x v="0"/>
    <x v="5"/>
    <x v="6"/>
    <s v="40"/>
    <x v="26"/>
    <x v="0"/>
    <x v="6"/>
    <x v="4"/>
    <n v="1657"/>
  </r>
  <r>
    <x v="3"/>
    <x v="0"/>
    <x v="1"/>
    <x v="0"/>
    <x v="0"/>
    <x v="3"/>
    <x v="0"/>
    <x v="0"/>
    <x v="0"/>
    <x v="0"/>
    <x v="5"/>
    <x v="6"/>
    <s v="40"/>
    <x v="26"/>
    <x v="0"/>
    <x v="6"/>
    <x v="7"/>
    <n v="30"/>
  </r>
  <r>
    <x v="3"/>
    <x v="0"/>
    <x v="1"/>
    <x v="0"/>
    <x v="0"/>
    <x v="3"/>
    <x v="0"/>
    <x v="0"/>
    <x v="0"/>
    <x v="0"/>
    <x v="5"/>
    <x v="6"/>
    <s v="40"/>
    <x v="26"/>
    <x v="0"/>
    <x v="6"/>
    <x v="5"/>
    <n v="-4143"/>
  </r>
  <r>
    <x v="3"/>
    <x v="0"/>
    <x v="1"/>
    <x v="0"/>
    <x v="0"/>
    <x v="3"/>
    <x v="0"/>
    <x v="0"/>
    <x v="0"/>
    <x v="0"/>
    <x v="5"/>
    <x v="6"/>
    <s v="40"/>
    <x v="26"/>
    <x v="0"/>
    <x v="6"/>
    <x v="6"/>
    <n v="3530.2"/>
  </r>
  <r>
    <x v="3"/>
    <x v="0"/>
    <x v="1"/>
    <x v="0"/>
    <x v="0"/>
    <x v="3"/>
    <x v="0"/>
    <x v="0"/>
    <x v="0"/>
    <x v="0"/>
    <x v="5"/>
    <x v="6"/>
    <s v="40"/>
    <x v="26"/>
    <x v="0"/>
    <x v="6"/>
    <x v="1"/>
    <n v="-2286.81"/>
  </r>
  <r>
    <x v="3"/>
    <x v="0"/>
    <x v="1"/>
    <x v="0"/>
    <x v="0"/>
    <x v="3"/>
    <x v="0"/>
    <x v="0"/>
    <x v="0"/>
    <x v="0"/>
    <x v="5"/>
    <x v="6"/>
    <s v="40"/>
    <x v="26"/>
    <x v="0"/>
    <x v="7"/>
    <x v="0"/>
    <n v="-200"/>
  </r>
  <r>
    <x v="3"/>
    <x v="0"/>
    <x v="1"/>
    <x v="0"/>
    <x v="0"/>
    <x v="3"/>
    <x v="0"/>
    <x v="0"/>
    <x v="0"/>
    <x v="0"/>
    <x v="5"/>
    <x v="6"/>
    <s v="40"/>
    <x v="26"/>
    <x v="0"/>
    <x v="7"/>
    <x v="2"/>
    <n v="157"/>
  </r>
  <r>
    <x v="3"/>
    <x v="0"/>
    <x v="1"/>
    <x v="0"/>
    <x v="0"/>
    <x v="3"/>
    <x v="0"/>
    <x v="0"/>
    <x v="0"/>
    <x v="0"/>
    <x v="5"/>
    <x v="6"/>
    <s v="40"/>
    <x v="26"/>
    <x v="0"/>
    <x v="7"/>
    <x v="8"/>
    <n v="-1854.75"/>
  </r>
  <r>
    <x v="3"/>
    <x v="0"/>
    <x v="1"/>
    <x v="0"/>
    <x v="0"/>
    <x v="3"/>
    <x v="0"/>
    <x v="0"/>
    <x v="0"/>
    <x v="0"/>
    <x v="5"/>
    <x v="6"/>
    <s v="40"/>
    <x v="26"/>
    <x v="0"/>
    <x v="7"/>
    <x v="9"/>
    <n v="-1220.25"/>
  </r>
  <r>
    <x v="3"/>
    <x v="0"/>
    <x v="1"/>
    <x v="0"/>
    <x v="0"/>
    <x v="3"/>
    <x v="0"/>
    <x v="0"/>
    <x v="0"/>
    <x v="0"/>
    <x v="5"/>
    <x v="6"/>
    <s v="40"/>
    <x v="26"/>
    <x v="0"/>
    <x v="7"/>
    <x v="10"/>
    <n v="3092"/>
  </r>
  <r>
    <x v="3"/>
    <x v="0"/>
    <x v="1"/>
    <x v="0"/>
    <x v="0"/>
    <x v="3"/>
    <x v="0"/>
    <x v="0"/>
    <x v="0"/>
    <x v="0"/>
    <x v="5"/>
    <x v="6"/>
    <s v="40"/>
    <x v="26"/>
    <x v="0"/>
    <x v="7"/>
    <x v="11"/>
    <n v="-4321.3999999999996"/>
  </r>
  <r>
    <x v="3"/>
    <x v="0"/>
    <x v="1"/>
    <x v="0"/>
    <x v="0"/>
    <x v="3"/>
    <x v="0"/>
    <x v="0"/>
    <x v="0"/>
    <x v="0"/>
    <x v="5"/>
    <x v="6"/>
    <s v="40"/>
    <x v="26"/>
    <x v="0"/>
    <x v="7"/>
    <x v="3"/>
    <n v="-201.4"/>
  </r>
  <r>
    <x v="3"/>
    <x v="0"/>
    <x v="1"/>
    <x v="0"/>
    <x v="0"/>
    <x v="3"/>
    <x v="0"/>
    <x v="0"/>
    <x v="0"/>
    <x v="0"/>
    <x v="5"/>
    <x v="6"/>
    <s v="40"/>
    <x v="26"/>
    <x v="0"/>
    <x v="7"/>
    <x v="4"/>
    <n v="4210.8"/>
  </r>
  <r>
    <x v="3"/>
    <x v="0"/>
    <x v="1"/>
    <x v="0"/>
    <x v="0"/>
    <x v="3"/>
    <x v="0"/>
    <x v="0"/>
    <x v="0"/>
    <x v="0"/>
    <x v="5"/>
    <x v="6"/>
    <s v="40"/>
    <x v="26"/>
    <x v="0"/>
    <x v="7"/>
    <x v="7"/>
    <n v="-630.5"/>
  </r>
  <r>
    <x v="3"/>
    <x v="0"/>
    <x v="1"/>
    <x v="0"/>
    <x v="0"/>
    <x v="3"/>
    <x v="0"/>
    <x v="0"/>
    <x v="0"/>
    <x v="0"/>
    <x v="5"/>
    <x v="6"/>
    <s v="40"/>
    <x v="26"/>
    <x v="0"/>
    <x v="7"/>
    <x v="5"/>
    <n v="1127.6500000000001"/>
  </r>
  <r>
    <x v="3"/>
    <x v="0"/>
    <x v="1"/>
    <x v="0"/>
    <x v="0"/>
    <x v="3"/>
    <x v="0"/>
    <x v="0"/>
    <x v="0"/>
    <x v="0"/>
    <x v="5"/>
    <x v="6"/>
    <s v="40"/>
    <x v="26"/>
    <x v="0"/>
    <x v="7"/>
    <x v="6"/>
    <n v="120.6"/>
  </r>
  <r>
    <x v="3"/>
    <x v="0"/>
    <x v="1"/>
    <x v="0"/>
    <x v="0"/>
    <x v="3"/>
    <x v="0"/>
    <x v="0"/>
    <x v="0"/>
    <x v="0"/>
    <x v="5"/>
    <x v="6"/>
    <s v="40"/>
    <x v="26"/>
    <x v="0"/>
    <x v="7"/>
    <x v="1"/>
    <n v="-279.75"/>
  </r>
  <r>
    <x v="4"/>
    <x v="0"/>
    <x v="0"/>
    <x v="0"/>
    <x v="1"/>
    <x v="0"/>
    <x v="0"/>
    <x v="0"/>
    <x v="0"/>
    <x v="0"/>
    <x v="0"/>
    <x v="4"/>
    <s v="02"/>
    <x v="5"/>
    <x v="0"/>
    <x v="8"/>
    <x v="1"/>
    <n v="-110.78"/>
  </r>
  <r>
    <x v="4"/>
    <x v="0"/>
    <x v="0"/>
    <x v="0"/>
    <x v="1"/>
    <x v="0"/>
    <x v="0"/>
    <x v="0"/>
    <x v="0"/>
    <x v="0"/>
    <x v="0"/>
    <x v="4"/>
    <s v="09"/>
    <x v="0"/>
    <x v="0"/>
    <x v="9"/>
    <x v="0"/>
    <n v="-189872.08"/>
  </r>
  <r>
    <x v="4"/>
    <x v="0"/>
    <x v="0"/>
    <x v="0"/>
    <x v="1"/>
    <x v="0"/>
    <x v="0"/>
    <x v="0"/>
    <x v="0"/>
    <x v="0"/>
    <x v="0"/>
    <x v="4"/>
    <s v="09"/>
    <x v="0"/>
    <x v="0"/>
    <x v="9"/>
    <x v="7"/>
    <n v="143059.51999999999"/>
  </r>
  <r>
    <x v="4"/>
    <x v="0"/>
    <x v="0"/>
    <x v="0"/>
    <x v="1"/>
    <x v="0"/>
    <x v="0"/>
    <x v="0"/>
    <x v="0"/>
    <x v="0"/>
    <x v="0"/>
    <x v="4"/>
    <s v="09"/>
    <x v="0"/>
    <x v="0"/>
    <x v="9"/>
    <x v="1"/>
    <n v="166585.76"/>
  </r>
  <r>
    <x v="4"/>
    <x v="0"/>
    <x v="0"/>
    <x v="0"/>
    <x v="1"/>
    <x v="0"/>
    <x v="0"/>
    <x v="0"/>
    <x v="0"/>
    <x v="0"/>
    <x v="0"/>
    <x v="4"/>
    <s v="09"/>
    <x v="0"/>
    <x v="0"/>
    <x v="8"/>
    <x v="0"/>
    <n v="-166585.76"/>
  </r>
  <r>
    <x v="4"/>
    <x v="0"/>
    <x v="0"/>
    <x v="0"/>
    <x v="1"/>
    <x v="0"/>
    <x v="0"/>
    <x v="0"/>
    <x v="0"/>
    <x v="0"/>
    <x v="0"/>
    <x v="4"/>
    <s v="09"/>
    <x v="0"/>
    <x v="0"/>
    <x v="8"/>
    <x v="1"/>
    <n v="28743.95"/>
  </r>
  <r>
    <x v="4"/>
    <x v="0"/>
    <x v="0"/>
    <x v="0"/>
    <x v="1"/>
    <x v="0"/>
    <x v="0"/>
    <x v="0"/>
    <x v="0"/>
    <x v="0"/>
    <x v="0"/>
    <x v="4"/>
    <s v="20"/>
    <x v="7"/>
    <x v="0"/>
    <x v="8"/>
    <x v="1"/>
    <n v="-5462"/>
  </r>
  <r>
    <x v="4"/>
    <x v="0"/>
    <x v="0"/>
    <x v="0"/>
    <x v="1"/>
    <x v="0"/>
    <x v="0"/>
    <x v="0"/>
    <x v="0"/>
    <x v="0"/>
    <x v="0"/>
    <x v="4"/>
    <s v="24"/>
    <x v="1"/>
    <x v="0"/>
    <x v="9"/>
    <x v="0"/>
    <n v="-855718.47"/>
  </r>
  <r>
    <x v="4"/>
    <x v="0"/>
    <x v="0"/>
    <x v="0"/>
    <x v="1"/>
    <x v="0"/>
    <x v="0"/>
    <x v="0"/>
    <x v="0"/>
    <x v="0"/>
    <x v="0"/>
    <x v="4"/>
    <s v="24"/>
    <x v="1"/>
    <x v="0"/>
    <x v="9"/>
    <x v="1"/>
    <n v="884722.24"/>
  </r>
  <r>
    <x v="4"/>
    <x v="0"/>
    <x v="0"/>
    <x v="0"/>
    <x v="1"/>
    <x v="0"/>
    <x v="0"/>
    <x v="0"/>
    <x v="0"/>
    <x v="0"/>
    <x v="0"/>
    <x v="4"/>
    <s v="24"/>
    <x v="1"/>
    <x v="0"/>
    <x v="8"/>
    <x v="0"/>
    <n v="-884722.24"/>
  </r>
  <r>
    <x v="4"/>
    <x v="0"/>
    <x v="0"/>
    <x v="0"/>
    <x v="1"/>
    <x v="0"/>
    <x v="0"/>
    <x v="0"/>
    <x v="0"/>
    <x v="0"/>
    <x v="0"/>
    <x v="4"/>
    <s v="24"/>
    <x v="1"/>
    <x v="0"/>
    <x v="8"/>
    <x v="1"/>
    <n v="1036895.37"/>
  </r>
  <r>
    <x v="4"/>
    <x v="0"/>
    <x v="0"/>
    <x v="0"/>
    <x v="1"/>
    <x v="0"/>
    <x v="0"/>
    <x v="0"/>
    <x v="0"/>
    <x v="0"/>
    <x v="0"/>
    <x v="4"/>
    <s v="28"/>
    <x v="23"/>
    <x v="0"/>
    <x v="9"/>
    <x v="1"/>
    <n v="145.71"/>
  </r>
  <r>
    <x v="4"/>
    <x v="0"/>
    <x v="0"/>
    <x v="0"/>
    <x v="1"/>
    <x v="0"/>
    <x v="0"/>
    <x v="0"/>
    <x v="0"/>
    <x v="0"/>
    <x v="0"/>
    <x v="4"/>
    <s v="28"/>
    <x v="23"/>
    <x v="0"/>
    <x v="8"/>
    <x v="0"/>
    <n v="-145.71"/>
  </r>
  <r>
    <x v="4"/>
    <x v="0"/>
    <x v="0"/>
    <x v="0"/>
    <x v="1"/>
    <x v="0"/>
    <x v="0"/>
    <x v="0"/>
    <x v="0"/>
    <x v="0"/>
    <x v="0"/>
    <x v="4"/>
    <s v="30"/>
    <x v="3"/>
    <x v="0"/>
    <x v="9"/>
    <x v="7"/>
    <n v="-602.5"/>
  </r>
  <r>
    <x v="4"/>
    <x v="0"/>
    <x v="0"/>
    <x v="0"/>
    <x v="1"/>
    <x v="0"/>
    <x v="0"/>
    <x v="0"/>
    <x v="0"/>
    <x v="0"/>
    <x v="0"/>
    <x v="4"/>
    <s v="73"/>
    <x v="37"/>
    <x v="0"/>
    <x v="9"/>
    <x v="1"/>
    <n v="-9780.6"/>
  </r>
  <r>
    <x v="4"/>
    <x v="0"/>
    <x v="0"/>
    <x v="0"/>
    <x v="1"/>
    <x v="0"/>
    <x v="0"/>
    <x v="0"/>
    <x v="0"/>
    <x v="0"/>
    <x v="0"/>
    <x v="4"/>
    <s v="73"/>
    <x v="37"/>
    <x v="0"/>
    <x v="8"/>
    <x v="0"/>
    <n v="9780.6"/>
  </r>
  <r>
    <x v="4"/>
    <x v="0"/>
    <x v="0"/>
    <x v="0"/>
    <x v="1"/>
    <x v="0"/>
    <x v="0"/>
    <x v="0"/>
    <x v="0"/>
    <x v="0"/>
    <x v="0"/>
    <x v="4"/>
    <s v="73"/>
    <x v="37"/>
    <x v="0"/>
    <x v="8"/>
    <x v="1"/>
    <n v="-6287.15"/>
  </r>
  <r>
    <x v="4"/>
    <x v="0"/>
    <x v="0"/>
    <x v="0"/>
    <x v="1"/>
    <x v="0"/>
    <x v="0"/>
    <x v="0"/>
    <x v="0"/>
    <x v="0"/>
    <x v="4"/>
    <x v="5"/>
    <s v="21"/>
    <x v="27"/>
    <x v="0"/>
    <x v="9"/>
    <x v="0"/>
    <n v="-154941.60999999999"/>
  </r>
  <r>
    <x v="4"/>
    <x v="0"/>
    <x v="0"/>
    <x v="0"/>
    <x v="1"/>
    <x v="0"/>
    <x v="0"/>
    <x v="0"/>
    <x v="0"/>
    <x v="0"/>
    <x v="4"/>
    <x v="5"/>
    <s v="22"/>
    <x v="25"/>
    <x v="0"/>
    <x v="9"/>
    <x v="0"/>
    <n v="154941.60999999999"/>
  </r>
  <r>
    <x v="4"/>
    <x v="0"/>
    <x v="0"/>
    <x v="0"/>
    <x v="1"/>
    <x v="0"/>
    <x v="0"/>
    <x v="0"/>
    <x v="0"/>
    <x v="0"/>
    <x v="4"/>
    <x v="5"/>
    <s v="22"/>
    <x v="25"/>
    <x v="0"/>
    <x v="8"/>
    <x v="1"/>
    <n v="-49085.47"/>
  </r>
  <r>
    <x v="4"/>
    <x v="0"/>
    <x v="0"/>
    <x v="0"/>
    <x v="1"/>
    <x v="6"/>
    <x v="1"/>
    <x v="0"/>
    <x v="0"/>
    <x v="1"/>
    <x v="1"/>
    <x v="8"/>
    <s v="41"/>
    <x v="4"/>
    <x v="0"/>
    <x v="9"/>
    <x v="1"/>
    <n v="-3.79"/>
  </r>
  <r>
    <x v="4"/>
    <x v="0"/>
    <x v="0"/>
    <x v="0"/>
    <x v="1"/>
    <x v="6"/>
    <x v="3"/>
    <x v="0"/>
    <x v="0"/>
    <x v="0"/>
    <x v="0"/>
    <x v="4"/>
    <s v="31"/>
    <x v="8"/>
    <x v="0"/>
    <x v="8"/>
    <x v="2"/>
    <n v="-30"/>
  </r>
  <r>
    <x v="4"/>
    <x v="0"/>
    <x v="0"/>
    <x v="0"/>
    <x v="1"/>
    <x v="6"/>
    <x v="3"/>
    <x v="0"/>
    <x v="0"/>
    <x v="0"/>
    <x v="0"/>
    <x v="4"/>
    <s v="99"/>
    <x v="9"/>
    <x v="0"/>
    <x v="9"/>
    <x v="1"/>
    <n v="-40"/>
  </r>
  <r>
    <x v="4"/>
    <x v="0"/>
    <x v="0"/>
    <x v="0"/>
    <x v="1"/>
    <x v="2"/>
    <x v="0"/>
    <x v="0"/>
    <x v="0"/>
    <x v="0"/>
    <x v="0"/>
    <x v="4"/>
    <s v="05"/>
    <x v="38"/>
    <x v="0"/>
    <x v="8"/>
    <x v="3"/>
    <n v="-60"/>
  </r>
  <r>
    <x v="4"/>
    <x v="0"/>
    <x v="0"/>
    <x v="0"/>
    <x v="1"/>
    <x v="3"/>
    <x v="0"/>
    <x v="0"/>
    <x v="0"/>
    <x v="1"/>
    <x v="1"/>
    <x v="8"/>
    <s v="41"/>
    <x v="4"/>
    <x v="0"/>
    <x v="9"/>
    <x v="9"/>
    <n v="22311.17"/>
  </r>
  <r>
    <x v="4"/>
    <x v="0"/>
    <x v="0"/>
    <x v="0"/>
    <x v="1"/>
    <x v="3"/>
    <x v="0"/>
    <x v="0"/>
    <x v="0"/>
    <x v="1"/>
    <x v="1"/>
    <x v="8"/>
    <s v="41"/>
    <x v="4"/>
    <x v="0"/>
    <x v="9"/>
    <x v="10"/>
    <n v="-22311.17"/>
  </r>
  <r>
    <x v="4"/>
    <x v="0"/>
    <x v="0"/>
    <x v="0"/>
    <x v="1"/>
    <x v="3"/>
    <x v="0"/>
    <x v="0"/>
    <x v="0"/>
    <x v="1"/>
    <x v="1"/>
    <x v="8"/>
    <s v="41"/>
    <x v="4"/>
    <x v="0"/>
    <x v="9"/>
    <x v="11"/>
    <n v="480.45"/>
  </r>
  <r>
    <x v="4"/>
    <x v="0"/>
    <x v="0"/>
    <x v="0"/>
    <x v="1"/>
    <x v="3"/>
    <x v="0"/>
    <x v="0"/>
    <x v="0"/>
    <x v="1"/>
    <x v="1"/>
    <x v="8"/>
    <s v="41"/>
    <x v="4"/>
    <x v="0"/>
    <x v="9"/>
    <x v="4"/>
    <n v="-53224.02"/>
  </r>
  <r>
    <x v="4"/>
    <x v="0"/>
    <x v="0"/>
    <x v="0"/>
    <x v="1"/>
    <x v="3"/>
    <x v="0"/>
    <x v="0"/>
    <x v="0"/>
    <x v="1"/>
    <x v="1"/>
    <x v="8"/>
    <s v="41"/>
    <x v="4"/>
    <x v="0"/>
    <x v="9"/>
    <x v="7"/>
    <n v="53224.02"/>
  </r>
  <r>
    <x v="4"/>
    <x v="0"/>
    <x v="0"/>
    <x v="0"/>
    <x v="1"/>
    <x v="3"/>
    <x v="0"/>
    <x v="0"/>
    <x v="0"/>
    <x v="1"/>
    <x v="1"/>
    <x v="8"/>
    <s v="41"/>
    <x v="4"/>
    <x v="0"/>
    <x v="9"/>
    <x v="1"/>
    <n v="-480.45"/>
  </r>
  <r>
    <x v="4"/>
    <x v="0"/>
    <x v="0"/>
    <x v="0"/>
    <x v="1"/>
    <x v="3"/>
    <x v="0"/>
    <x v="0"/>
    <x v="0"/>
    <x v="1"/>
    <x v="1"/>
    <x v="8"/>
    <s v="41"/>
    <x v="4"/>
    <x v="0"/>
    <x v="8"/>
    <x v="8"/>
    <n v="511.24"/>
  </r>
  <r>
    <x v="4"/>
    <x v="0"/>
    <x v="0"/>
    <x v="0"/>
    <x v="1"/>
    <x v="3"/>
    <x v="0"/>
    <x v="0"/>
    <x v="0"/>
    <x v="1"/>
    <x v="1"/>
    <x v="8"/>
    <s v="41"/>
    <x v="4"/>
    <x v="0"/>
    <x v="8"/>
    <x v="9"/>
    <n v="-511.24"/>
  </r>
  <r>
    <x v="4"/>
    <x v="0"/>
    <x v="0"/>
    <x v="0"/>
    <x v="1"/>
    <x v="3"/>
    <x v="0"/>
    <x v="0"/>
    <x v="0"/>
    <x v="0"/>
    <x v="0"/>
    <x v="4"/>
    <s v="02"/>
    <x v="5"/>
    <x v="0"/>
    <x v="8"/>
    <x v="6"/>
    <n v="500"/>
  </r>
  <r>
    <x v="4"/>
    <x v="0"/>
    <x v="0"/>
    <x v="0"/>
    <x v="1"/>
    <x v="3"/>
    <x v="0"/>
    <x v="0"/>
    <x v="0"/>
    <x v="0"/>
    <x v="0"/>
    <x v="4"/>
    <s v="02"/>
    <x v="5"/>
    <x v="0"/>
    <x v="8"/>
    <x v="1"/>
    <n v="-500"/>
  </r>
  <r>
    <x v="4"/>
    <x v="0"/>
    <x v="0"/>
    <x v="0"/>
    <x v="1"/>
    <x v="3"/>
    <x v="0"/>
    <x v="0"/>
    <x v="0"/>
    <x v="0"/>
    <x v="0"/>
    <x v="4"/>
    <s v="05"/>
    <x v="38"/>
    <x v="0"/>
    <x v="8"/>
    <x v="7"/>
    <n v="-25"/>
  </r>
  <r>
    <x v="4"/>
    <x v="0"/>
    <x v="0"/>
    <x v="0"/>
    <x v="1"/>
    <x v="3"/>
    <x v="0"/>
    <x v="0"/>
    <x v="0"/>
    <x v="0"/>
    <x v="0"/>
    <x v="4"/>
    <s v="05"/>
    <x v="38"/>
    <x v="0"/>
    <x v="8"/>
    <x v="5"/>
    <n v="25"/>
  </r>
  <r>
    <x v="4"/>
    <x v="0"/>
    <x v="0"/>
    <x v="0"/>
    <x v="1"/>
    <x v="3"/>
    <x v="0"/>
    <x v="0"/>
    <x v="0"/>
    <x v="0"/>
    <x v="0"/>
    <x v="4"/>
    <s v="09"/>
    <x v="0"/>
    <x v="0"/>
    <x v="9"/>
    <x v="0"/>
    <n v="-14977.56"/>
  </r>
  <r>
    <x v="4"/>
    <x v="0"/>
    <x v="0"/>
    <x v="0"/>
    <x v="1"/>
    <x v="3"/>
    <x v="0"/>
    <x v="0"/>
    <x v="0"/>
    <x v="0"/>
    <x v="0"/>
    <x v="4"/>
    <s v="09"/>
    <x v="0"/>
    <x v="0"/>
    <x v="9"/>
    <x v="2"/>
    <n v="1634.19"/>
  </r>
  <r>
    <x v="4"/>
    <x v="0"/>
    <x v="0"/>
    <x v="0"/>
    <x v="1"/>
    <x v="3"/>
    <x v="0"/>
    <x v="0"/>
    <x v="0"/>
    <x v="0"/>
    <x v="0"/>
    <x v="4"/>
    <s v="09"/>
    <x v="0"/>
    <x v="0"/>
    <x v="9"/>
    <x v="8"/>
    <n v="-3753.58"/>
  </r>
  <r>
    <x v="4"/>
    <x v="0"/>
    <x v="0"/>
    <x v="0"/>
    <x v="1"/>
    <x v="3"/>
    <x v="0"/>
    <x v="0"/>
    <x v="0"/>
    <x v="0"/>
    <x v="0"/>
    <x v="4"/>
    <s v="09"/>
    <x v="0"/>
    <x v="0"/>
    <x v="9"/>
    <x v="9"/>
    <n v="5064.6000000000004"/>
  </r>
  <r>
    <x v="4"/>
    <x v="0"/>
    <x v="0"/>
    <x v="0"/>
    <x v="1"/>
    <x v="3"/>
    <x v="0"/>
    <x v="0"/>
    <x v="0"/>
    <x v="0"/>
    <x v="0"/>
    <x v="4"/>
    <s v="09"/>
    <x v="0"/>
    <x v="0"/>
    <x v="9"/>
    <x v="10"/>
    <n v="-408.14"/>
  </r>
  <r>
    <x v="4"/>
    <x v="0"/>
    <x v="0"/>
    <x v="0"/>
    <x v="1"/>
    <x v="3"/>
    <x v="0"/>
    <x v="0"/>
    <x v="0"/>
    <x v="0"/>
    <x v="0"/>
    <x v="4"/>
    <s v="09"/>
    <x v="0"/>
    <x v="0"/>
    <x v="9"/>
    <x v="11"/>
    <n v="-4257.03"/>
  </r>
  <r>
    <x v="4"/>
    <x v="0"/>
    <x v="0"/>
    <x v="0"/>
    <x v="1"/>
    <x v="3"/>
    <x v="0"/>
    <x v="0"/>
    <x v="0"/>
    <x v="0"/>
    <x v="0"/>
    <x v="4"/>
    <s v="09"/>
    <x v="0"/>
    <x v="0"/>
    <x v="9"/>
    <x v="3"/>
    <n v="-3508.07"/>
  </r>
  <r>
    <x v="4"/>
    <x v="0"/>
    <x v="0"/>
    <x v="0"/>
    <x v="1"/>
    <x v="3"/>
    <x v="0"/>
    <x v="0"/>
    <x v="0"/>
    <x v="0"/>
    <x v="0"/>
    <x v="4"/>
    <s v="09"/>
    <x v="0"/>
    <x v="0"/>
    <x v="9"/>
    <x v="4"/>
    <n v="4430.7299999999996"/>
  </r>
  <r>
    <x v="4"/>
    <x v="0"/>
    <x v="0"/>
    <x v="0"/>
    <x v="1"/>
    <x v="3"/>
    <x v="0"/>
    <x v="0"/>
    <x v="0"/>
    <x v="0"/>
    <x v="0"/>
    <x v="4"/>
    <s v="09"/>
    <x v="0"/>
    <x v="0"/>
    <x v="9"/>
    <x v="7"/>
    <n v="-14818.53"/>
  </r>
  <r>
    <x v="4"/>
    <x v="0"/>
    <x v="0"/>
    <x v="0"/>
    <x v="1"/>
    <x v="3"/>
    <x v="0"/>
    <x v="0"/>
    <x v="0"/>
    <x v="0"/>
    <x v="0"/>
    <x v="4"/>
    <s v="09"/>
    <x v="0"/>
    <x v="0"/>
    <x v="9"/>
    <x v="5"/>
    <n v="7755.06"/>
  </r>
  <r>
    <x v="4"/>
    <x v="0"/>
    <x v="0"/>
    <x v="0"/>
    <x v="1"/>
    <x v="3"/>
    <x v="0"/>
    <x v="0"/>
    <x v="0"/>
    <x v="0"/>
    <x v="0"/>
    <x v="4"/>
    <s v="09"/>
    <x v="0"/>
    <x v="0"/>
    <x v="9"/>
    <x v="6"/>
    <n v="5372.11"/>
  </r>
  <r>
    <x v="4"/>
    <x v="0"/>
    <x v="0"/>
    <x v="0"/>
    <x v="1"/>
    <x v="3"/>
    <x v="0"/>
    <x v="0"/>
    <x v="0"/>
    <x v="0"/>
    <x v="0"/>
    <x v="4"/>
    <s v="09"/>
    <x v="0"/>
    <x v="0"/>
    <x v="9"/>
    <x v="1"/>
    <n v="104997.19"/>
  </r>
  <r>
    <x v="4"/>
    <x v="0"/>
    <x v="0"/>
    <x v="0"/>
    <x v="1"/>
    <x v="3"/>
    <x v="0"/>
    <x v="0"/>
    <x v="0"/>
    <x v="0"/>
    <x v="0"/>
    <x v="4"/>
    <s v="09"/>
    <x v="0"/>
    <x v="0"/>
    <x v="8"/>
    <x v="0"/>
    <n v="-96186.06"/>
  </r>
  <r>
    <x v="4"/>
    <x v="0"/>
    <x v="0"/>
    <x v="0"/>
    <x v="1"/>
    <x v="3"/>
    <x v="0"/>
    <x v="0"/>
    <x v="0"/>
    <x v="0"/>
    <x v="0"/>
    <x v="4"/>
    <s v="09"/>
    <x v="0"/>
    <x v="0"/>
    <x v="8"/>
    <x v="2"/>
    <n v="436.56"/>
  </r>
  <r>
    <x v="4"/>
    <x v="0"/>
    <x v="0"/>
    <x v="0"/>
    <x v="1"/>
    <x v="3"/>
    <x v="0"/>
    <x v="0"/>
    <x v="0"/>
    <x v="0"/>
    <x v="0"/>
    <x v="4"/>
    <s v="09"/>
    <x v="0"/>
    <x v="0"/>
    <x v="8"/>
    <x v="8"/>
    <n v="3214.31"/>
  </r>
  <r>
    <x v="4"/>
    <x v="0"/>
    <x v="0"/>
    <x v="0"/>
    <x v="1"/>
    <x v="3"/>
    <x v="0"/>
    <x v="0"/>
    <x v="0"/>
    <x v="0"/>
    <x v="0"/>
    <x v="4"/>
    <s v="09"/>
    <x v="0"/>
    <x v="0"/>
    <x v="8"/>
    <x v="9"/>
    <n v="141.36000000000001"/>
  </r>
  <r>
    <x v="4"/>
    <x v="0"/>
    <x v="0"/>
    <x v="0"/>
    <x v="1"/>
    <x v="3"/>
    <x v="0"/>
    <x v="0"/>
    <x v="0"/>
    <x v="0"/>
    <x v="0"/>
    <x v="4"/>
    <s v="09"/>
    <x v="0"/>
    <x v="0"/>
    <x v="8"/>
    <x v="10"/>
    <n v="9746.1200000000008"/>
  </r>
  <r>
    <x v="4"/>
    <x v="0"/>
    <x v="0"/>
    <x v="0"/>
    <x v="1"/>
    <x v="3"/>
    <x v="0"/>
    <x v="0"/>
    <x v="0"/>
    <x v="0"/>
    <x v="0"/>
    <x v="4"/>
    <s v="09"/>
    <x v="0"/>
    <x v="0"/>
    <x v="8"/>
    <x v="11"/>
    <n v="-3671.47"/>
  </r>
  <r>
    <x v="4"/>
    <x v="0"/>
    <x v="0"/>
    <x v="0"/>
    <x v="1"/>
    <x v="3"/>
    <x v="0"/>
    <x v="0"/>
    <x v="0"/>
    <x v="0"/>
    <x v="0"/>
    <x v="4"/>
    <s v="09"/>
    <x v="0"/>
    <x v="0"/>
    <x v="8"/>
    <x v="3"/>
    <n v="-6362.51"/>
  </r>
  <r>
    <x v="4"/>
    <x v="0"/>
    <x v="0"/>
    <x v="0"/>
    <x v="1"/>
    <x v="3"/>
    <x v="0"/>
    <x v="0"/>
    <x v="0"/>
    <x v="0"/>
    <x v="0"/>
    <x v="4"/>
    <s v="09"/>
    <x v="0"/>
    <x v="0"/>
    <x v="8"/>
    <x v="4"/>
    <n v="-1858.9"/>
  </r>
  <r>
    <x v="4"/>
    <x v="0"/>
    <x v="0"/>
    <x v="0"/>
    <x v="1"/>
    <x v="3"/>
    <x v="0"/>
    <x v="0"/>
    <x v="0"/>
    <x v="0"/>
    <x v="0"/>
    <x v="4"/>
    <s v="09"/>
    <x v="0"/>
    <x v="0"/>
    <x v="8"/>
    <x v="7"/>
    <n v="5925.73"/>
  </r>
  <r>
    <x v="4"/>
    <x v="0"/>
    <x v="0"/>
    <x v="0"/>
    <x v="1"/>
    <x v="3"/>
    <x v="0"/>
    <x v="0"/>
    <x v="0"/>
    <x v="0"/>
    <x v="0"/>
    <x v="4"/>
    <s v="09"/>
    <x v="0"/>
    <x v="0"/>
    <x v="8"/>
    <x v="5"/>
    <n v="-1196.5899999999999"/>
  </r>
  <r>
    <x v="4"/>
    <x v="0"/>
    <x v="0"/>
    <x v="0"/>
    <x v="1"/>
    <x v="3"/>
    <x v="0"/>
    <x v="0"/>
    <x v="0"/>
    <x v="0"/>
    <x v="0"/>
    <x v="4"/>
    <s v="09"/>
    <x v="0"/>
    <x v="0"/>
    <x v="8"/>
    <x v="6"/>
    <n v="9917.06"/>
  </r>
  <r>
    <x v="4"/>
    <x v="0"/>
    <x v="0"/>
    <x v="0"/>
    <x v="1"/>
    <x v="3"/>
    <x v="0"/>
    <x v="0"/>
    <x v="0"/>
    <x v="0"/>
    <x v="0"/>
    <x v="4"/>
    <s v="09"/>
    <x v="0"/>
    <x v="0"/>
    <x v="8"/>
    <x v="1"/>
    <n v="17519.099999999999"/>
  </r>
  <r>
    <x v="4"/>
    <x v="0"/>
    <x v="0"/>
    <x v="0"/>
    <x v="1"/>
    <x v="3"/>
    <x v="0"/>
    <x v="0"/>
    <x v="0"/>
    <x v="0"/>
    <x v="0"/>
    <x v="4"/>
    <s v="20"/>
    <x v="7"/>
    <x v="0"/>
    <x v="9"/>
    <x v="3"/>
    <n v="53224.02"/>
  </r>
  <r>
    <x v="4"/>
    <x v="0"/>
    <x v="0"/>
    <x v="0"/>
    <x v="1"/>
    <x v="3"/>
    <x v="0"/>
    <x v="0"/>
    <x v="0"/>
    <x v="0"/>
    <x v="0"/>
    <x v="4"/>
    <s v="20"/>
    <x v="7"/>
    <x v="0"/>
    <x v="9"/>
    <x v="7"/>
    <n v="-53224.02"/>
  </r>
  <r>
    <x v="4"/>
    <x v="0"/>
    <x v="0"/>
    <x v="0"/>
    <x v="1"/>
    <x v="3"/>
    <x v="0"/>
    <x v="0"/>
    <x v="0"/>
    <x v="0"/>
    <x v="0"/>
    <x v="4"/>
    <s v="20"/>
    <x v="7"/>
    <x v="0"/>
    <x v="8"/>
    <x v="0"/>
    <n v="-12597.88"/>
  </r>
  <r>
    <x v="4"/>
    <x v="0"/>
    <x v="0"/>
    <x v="0"/>
    <x v="1"/>
    <x v="3"/>
    <x v="0"/>
    <x v="0"/>
    <x v="0"/>
    <x v="0"/>
    <x v="0"/>
    <x v="4"/>
    <s v="20"/>
    <x v="7"/>
    <x v="0"/>
    <x v="8"/>
    <x v="9"/>
    <n v="64458.080000000002"/>
  </r>
  <r>
    <x v="4"/>
    <x v="0"/>
    <x v="0"/>
    <x v="0"/>
    <x v="1"/>
    <x v="3"/>
    <x v="0"/>
    <x v="0"/>
    <x v="0"/>
    <x v="0"/>
    <x v="0"/>
    <x v="4"/>
    <s v="20"/>
    <x v="7"/>
    <x v="0"/>
    <x v="8"/>
    <x v="10"/>
    <n v="-64458.080000000002"/>
  </r>
  <r>
    <x v="4"/>
    <x v="0"/>
    <x v="0"/>
    <x v="0"/>
    <x v="1"/>
    <x v="3"/>
    <x v="0"/>
    <x v="0"/>
    <x v="0"/>
    <x v="0"/>
    <x v="0"/>
    <x v="4"/>
    <s v="20"/>
    <x v="7"/>
    <x v="0"/>
    <x v="8"/>
    <x v="3"/>
    <n v="143294.82999999999"/>
  </r>
  <r>
    <x v="4"/>
    <x v="0"/>
    <x v="0"/>
    <x v="0"/>
    <x v="1"/>
    <x v="3"/>
    <x v="0"/>
    <x v="0"/>
    <x v="0"/>
    <x v="0"/>
    <x v="0"/>
    <x v="4"/>
    <s v="20"/>
    <x v="7"/>
    <x v="0"/>
    <x v="8"/>
    <x v="4"/>
    <n v="-143294.82999999999"/>
  </r>
  <r>
    <x v="4"/>
    <x v="0"/>
    <x v="0"/>
    <x v="0"/>
    <x v="1"/>
    <x v="3"/>
    <x v="0"/>
    <x v="0"/>
    <x v="0"/>
    <x v="0"/>
    <x v="0"/>
    <x v="4"/>
    <s v="20"/>
    <x v="7"/>
    <x v="0"/>
    <x v="8"/>
    <x v="5"/>
    <n v="128175.77"/>
  </r>
  <r>
    <x v="4"/>
    <x v="0"/>
    <x v="0"/>
    <x v="0"/>
    <x v="1"/>
    <x v="3"/>
    <x v="0"/>
    <x v="0"/>
    <x v="0"/>
    <x v="0"/>
    <x v="0"/>
    <x v="4"/>
    <s v="20"/>
    <x v="7"/>
    <x v="0"/>
    <x v="8"/>
    <x v="6"/>
    <n v="-128175.77"/>
  </r>
  <r>
    <x v="4"/>
    <x v="0"/>
    <x v="0"/>
    <x v="0"/>
    <x v="1"/>
    <x v="3"/>
    <x v="0"/>
    <x v="0"/>
    <x v="0"/>
    <x v="0"/>
    <x v="0"/>
    <x v="4"/>
    <s v="20"/>
    <x v="7"/>
    <x v="0"/>
    <x v="8"/>
    <x v="1"/>
    <n v="12597.88"/>
  </r>
  <r>
    <x v="4"/>
    <x v="0"/>
    <x v="0"/>
    <x v="0"/>
    <x v="1"/>
    <x v="3"/>
    <x v="0"/>
    <x v="0"/>
    <x v="0"/>
    <x v="0"/>
    <x v="0"/>
    <x v="4"/>
    <s v="24"/>
    <x v="1"/>
    <x v="0"/>
    <x v="9"/>
    <x v="0"/>
    <n v="1541288.31"/>
  </r>
  <r>
    <x v="4"/>
    <x v="0"/>
    <x v="0"/>
    <x v="0"/>
    <x v="1"/>
    <x v="3"/>
    <x v="0"/>
    <x v="0"/>
    <x v="0"/>
    <x v="0"/>
    <x v="0"/>
    <x v="4"/>
    <s v="24"/>
    <x v="1"/>
    <x v="0"/>
    <x v="9"/>
    <x v="2"/>
    <n v="1429058.26"/>
  </r>
  <r>
    <x v="4"/>
    <x v="0"/>
    <x v="0"/>
    <x v="0"/>
    <x v="1"/>
    <x v="3"/>
    <x v="0"/>
    <x v="0"/>
    <x v="0"/>
    <x v="0"/>
    <x v="0"/>
    <x v="4"/>
    <s v="24"/>
    <x v="1"/>
    <x v="0"/>
    <x v="9"/>
    <x v="8"/>
    <n v="1086021.8799999999"/>
  </r>
  <r>
    <x v="4"/>
    <x v="0"/>
    <x v="0"/>
    <x v="0"/>
    <x v="1"/>
    <x v="3"/>
    <x v="0"/>
    <x v="0"/>
    <x v="0"/>
    <x v="0"/>
    <x v="0"/>
    <x v="4"/>
    <s v="24"/>
    <x v="1"/>
    <x v="0"/>
    <x v="9"/>
    <x v="9"/>
    <n v="-3463253.97"/>
  </r>
  <r>
    <x v="4"/>
    <x v="0"/>
    <x v="0"/>
    <x v="0"/>
    <x v="1"/>
    <x v="3"/>
    <x v="0"/>
    <x v="0"/>
    <x v="0"/>
    <x v="0"/>
    <x v="0"/>
    <x v="4"/>
    <s v="24"/>
    <x v="1"/>
    <x v="0"/>
    <x v="9"/>
    <x v="10"/>
    <n v="1182473.74"/>
  </r>
  <r>
    <x v="4"/>
    <x v="0"/>
    <x v="0"/>
    <x v="0"/>
    <x v="1"/>
    <x v="3"/>
    <x v="0"/>
    <x v="0"/>
    <x v="0"/>
    <x v="0"/>
    <x v="0"/>
    <x v="4"/>
    <s v="24"/>
    <x v="1"/>
    <x v="0"/>
    <x v="9"/>
    <x v="11"/>
    <n v="-429326.37"/>
  </r>
  <r>
    <x v="4"/>
    <x v="0"/>
    <x v="0"/>
    <x v="0"/>
    <x v="1"/>
    <x v="3"/>
    <x v="0"/>
    <x v="0"/>
    <x v="0"/>
    <x v="0"/>
    <x v="0"/>
    <x v="4"/>
    <s v="24"/>
    <x v="1"/>
    <x v="0"/>
    <x v="9"/>
    <x v="3"/>
    <n v="-486501.97"/>
  </r>
  <r>
    <x v="4"/>
    <x v="0"/>
    <x v="0"/>
    <x v="0"/>
    <x v="1"/>
    <x v="3"/>
    <x v="0"/>
    <x v="0"/>
    <x v="0"/>
    <x v="0"/>
    <x v="0"/>
    <x v="4"/>
    <s v="24"/>
    <x v="1"/>
    <x v="0"/>
    <x v="9"/>
    <x v="4"/>
    <n v="598106.25"/>
  </r>
  <r>
    <x v="4"/>
    <x v="0"/>
    <x v="0"/>
    <x v="0"/>
    <x v="1"/>
    <x v="3"/>
    <x v="0"/>
    <x v="0"/>
    <x v="0"/>
    <x v="0"/>
    <x v="0"/>
    <x v="4"/>
    <s v="24"/>
    <x v="1"/>
    <x v="0"/>
    <x v="9"/>
    <x v="7"/>
    <n v="781286.86"/>
  </r>
  <r>
    <x v="4"/>
    <x v="0"/>
    <x v="0"/>
    <x v="0"/>
    <x v="1"/>
    <x v="3"/>
    <x v="0"/>
    <x v="0"/>
    <x v="0"/>
    <x v="0"/>
    <x v="0"/>
    <x v="4"/>
    <s v="24"/>
    <x v="1"/>
    <x v="0"/>
    <x v="9"/>
    <x v="5"/>
    <n v="-1338990.17"/>
  </r>
  <r>
    <x v="4"/>
    <x v="0"/>
    <x v="0"/>
    <x v="0"/>
    <x v="1"/>
    <x v="3"/>
    <x v="0"/>
    <x v="0"/>
    <x v="0"/>
    <x v="0"/>
    <x v="0"/>
    <x v="4"/>
    <s v="24"/>
    <x v="1"/>
    <x v="0"/>
    <x v="9"/>
    <x v="6"/>
    <n v="-190842.05"/>
  </r>
  <r>
    <x v="4"/>
    <x v="0"/>
    <x v="0"/>
    <x v="0"/>
    <x v="1"/>
    <x v="3"/>
    <x v="0"/>
    <x v="0"/>
    <x v="0"/>
    <x v="0"/>
    <x v="0"/>
    <x v="4"/>
    <s v="24"/>
    <x v="1"/>
    <x v="0"/>
    <x v="9"/>
    <x v="1"/>
    <n v="-124067.78"/>
  </r>
  <r>
    <x v="4"/>
    <x v="0"/>
    <x v="0"/>
    <x v="0"/>
    <x v="1"/>
    <x v="3"/>
    <x v="0"/>
    <x v="0"/>
    <x v="0"/>
    <x v="0"/>
    <x v="0"/>
    <x v="4"/>
    <s v="24"/>
    <x v="1"/>
    <x v="0"/>
    <x v="8"/>
    <x v="0"/>
    <n v="1408916.97"/>
  </r>
  <r>
    <x v="4"/>
    <x v="0"/>
    <x v="0"/>
    <x v="0"/>
    <x v="1"/>
    <x v="3"/>
    <x v="0"/>
    <x v="0"/>
    <x v="0"/>
    <x v="0"/>
    <x v="0"/>
    <x v="4"/>
    <s v="24"/>
    <x v="1"/>
    <x v="0"/>
    <x v="8"/>
    <x v="2"/>
    <n v="174467.91"/>
  </r>
  <r>
    <x v="4"/>
    <x v="0"/>
    <x v="0"/>
    <x v="0"/>
    <x v="1"/>
    <x v="3"/>
    <x v="0"/>
    <x v="0"/>
    <x v="0"/>
    <x v="0"/>
    <x v="0"/>
    <x v="4"/>
    <s v="24"/>
    <x v="1"/>
    <x v="0"/>
    <x v="8"/>
    <x v="8"/>
    <n v="-582626.17000000004"/>
  </r>
  <r>
    <x v="4"/>
    <x v="0"/>
    <x v="0"/>
    <x v="0"/>
    <x v="1"/>
    <x v="3"/>
    <x v="0"/>
    <x v="0"/>
    <x v="0"/>
    <x v="0"/>
    <x v="0"/>
    <x v="4"/>
    <s v="24"/>
    <x v="1"/>
    <x v="0"/>
    <x v="8"/>
    <x v="9"/>
    <n v="-786766.08"/>
  </r>
  <r>
    <x v="4"/>
    <x v="0"/>
    <x v="0"/>
    <x v="0"/>
    <x v="1"/>
    <x v="3"/>
    <x v="0"/>
    <x v="0"/>
    <x v="0"/>
    <x v="0"/>
    <x v="0"/>
    <x v="4"/>
    <s v="24"/>
    <x v="1"/>
    <x v="0"/>
    <x v="8"/>
    <x v="10"/>
    <n v="988581.35"/>
  </r>
  <r>
    <x v="4"/>
    <x v="0"/>
    <x v="0"/>
    <x v="0"/>
    <x v="1"/>
    <x v="3"/>
    <x v="0"/>
    <x v="0"/>
    <x v="0"/>
    <x v="0"/>
    <x v="0"/>
    <x v="4"/>
    <s v="24"/>
    <x v="1"/>
    <x v="0"/>
    <x v="8"/>
    <x v="11"/>
    <n v="111161.57"/>
  </r>
  <r>
    <x v="4"/>
    <x v="0"/>
    <x v="0"/>
    <x v="0"/>
    <x v="1"/>
    <x v="3"/>
    <x v="0"/>
    <x v="0"/>
    <x v="0"/>
    <x v="0"/>
    <x v="0"/>
    <x v="4"/>
    <s v="24"/>
    <x v="1"/>
    <x v="0"/>
    <x v="8"/>
    <x v="3"/>
    <n v="-873329.82"/>
  </r>
  <r>
    <x v="4"/>
    <x v="0"/>
    <x v="0"/>
    <x v="0"/>
    <x v="1"/>
    <x v="3"/>
    <x v="0"/>
    <x v="0"/>
    <x v="0"/>
    <x v="0"/>
    <x v="0"/>
    <x v="4"/>
    <s v="24"/>
    <x v="1"/>
    <x v="0"/>
    <x v="8"/>
    <x v="4"/>
    <n v="163747.74"/>
  </r>
  <r>
    <x v="4"/>
    <x v="0"/>
    <x v="0"/>
    <x v="0"/>
    <x v="1"/>
    <x v="3"/>
    <x v="0"/>
    <x v="0"/>
    <x v="0"/>
    <x v="0"/>
    <x v="0"/>
    <x v="4"/>
    <s v="24"/>
    <x v="1"/>
    <x v="0"/>
    <x v="8"/>
    <x v="7"/>
    <n v="1252757.74"/>
  </r>
  <r>
    <x v="4"/>
    <x v="0"/>
    <x v="0"/>
    <x v="0"/>
    <x v="1"/>
    <x v="3"/>
    <x v="0"/>
    <x v="0"/>
    <x v="0"/>
    <x v="0"/>
    <x v="0"/>
    <x v="4"/>
    <s v="24"/>
    <x v="1"/>
    <x v="0"/>
    <x v="8"/>
    <x v="5"/>
    <n v="-1566754.54"/>
  </r>
  <r>
    <x v="4"/>
    <x v="0"/>
    <x v="0"/>
    <x v="0"/>
    <x v="1"/>
    <x v="3"/>
    <x v="0"/>
    <x v="0"/>
    <x v="0"/>
    <x v="0"/>
    <x v="0"/>
    <x v="4"/>
    <s v="24"/>
    <x v="1"/>
    <x v="0"/>
    <x v="8"/>
    <x v="6"/>
    <n v="-233872.88"/>
  </r>
  <r>
    <x v="4"/>
    <x v="0"/>
    <x v="0"/>
    <x v="0"/>
    <x v="1"/>
    <x v="3"/>
    <x v="0"/>
    <x v="0"/>
    <x v="0"/>
    <x v="0"/>
    <x v="0"/>
    <x v="4"/>
    <s v="24"/>
    <x v="1"/>
    <x v="0"/>
    <x v="8"/>
    <x v="1"/>
    <n v="540504.37"/>
  </r>
  <r>
    <x v="4"/>
    <x v="0"/>
    <x v="0"/>
    <x v="0"/>
    <x v="1"/>
    <x v="3"/>
    <x v="0"/>
    <x v="0"/>
    <x v="0"/>
    <x v="0"/>
    <x v="0"/>
    <x v="4"/>
    <s v="30"/>
    <x v="3"/>
    <x v="0"/>
    <x v="9"/>
    <x v="7"/>
    <n v="-245.26"/>
  </r>
  <r>
    <x v="4"/>
    <x v="0"/>
    <x v="0"/>
    <x v="0"/>
    <x v="1"/>
    <x v="3"/>
    <x v="0"/>
    <x v="0"/>
    <x v="0"/>
    <x v="0"/>
    <x v="0"/>
    <x v="4"/>
    <s v="30"/>
    <x v="3"/>
    <x v="0"/>
    <x v="9"/>
    <x v="5"/>
    <n v="245.26"/>
  </r>
  <r>
    <x v="4"/>
    <x v="0"/>
    <x v="0"/>
    <x v="0"/>
    <x v="1"/>
    <x v="3"/>
    <x v="0"/>
    <x v="0"/>
    <x v="0"/>
    <x v="0"/>
    <x v="0"/>
    <x v="4"/>
    <s v="85"/>
    <x v="21"/>
    <x v="0"/>
    <x v="9"/>
    <x v="0"/>
    <n v="-220.86"/>
  </r>
  <r>
    <x v="4"/>
    <x v="0"/>
    <x v="0"/>
    <x v="0"/>
    <x v="1"/>
    <x v="3"/>
    <x v="0"/>
    <x v="0"/>
    <x v="0"/>
    <x v="0"/>
    <x v="0"/>
    <x v="4"/>
    <s v="85"/>
    <x v="21"/>
    <x v="0"/>
    <x v="9"/>
    <x v="2"/>
    <n v="-1466"/>
  </r>
  <r>
    <x v="4"/>
    <x v="0"/>
    <x v="0"/>
    <x v="0"/>
    <x v="1"/>
    <x v="3"/>
    <x v="0"/>
    <x v="0"/>
    <x v="0"/>
    <x v="0"/>
    <x v="0"/>
    <x v="4"/>
    <s v="85"/>
    <x v="21"/>
    <x v="0"/>
    <x v="9"/>
    <x v="8"/>
    <n v="-10989.7"/>
  </r>
  <r>
    <x v="4"/>
    <x v="0"/>
    <x v="0"/>
    <x v="0"/>
    <x v="1"/>
    <x v="3"/>
    <x v="0"/>
    <x v="0"/>
    <x v="0"/>
    <x v="0"/>
    <x v="0"/>
    <x v="4"/>
    <s v="85"/>
    <x v="21"/>
    <x v="0"/>
    <x v="9"/>
    <x v="9"/>
    <n v="12577.67"/>
  </r>
  <r>
    <x v="4"/>
    <x v="0"/>
    <x v="0"/>
    <x v="0"/>
    <x v="1"/>
    <x v="3"/>
    <x v="0"/>
    <x v="0"/>
    <x v="0"/>
    <x v="0"/>
    <x v="0"/>
    <x v="4"/>
    <s v="85"/>
    <x v="21"/>
    <x v="0"/>
    <x v="9"/>
    <x v="10"/>
    <n v="4546.01"/>
  </r>
  <r>
    <x v="4"/>
    <x v="0"/>
    <x v="0"/>
    <x v="0"/>
    <x v="1"/>
    <x v="3"/>
    <x v="0"/>
    <x v="0"/>
    <x v="0"/>
    <x v="0"/>
    <x v="0"/>
    <x v="4"/>
    <s v="85"/>
    <x v="21"/>
    <x v="0"/>
    <x v="9"/>
    <x v="11"/>
    <n v="-1200"/>
  </r>
  <r>
    <x v="4"/>
    <x v="0"/>
    <x v="0"/>
    <x v="0"/>
    <x v="1"/>
    <x v="3"/>
    <x v="0"/>
    <x v="0"/>
    <x v="0"/>
    <x v="0"/>
    <x v="0"/>
    <x v="4"/>
    <s v="85"/>
    <x v="21"/>
    <x v="0"/>
    <x v="9"/>
    <x v="3"/>
    <n v="-7291.86"/>
  </r>
  <r>
    <x v="4"/>
    <x v="0"/>
    <x v="0"/>
    <x v="0"/>
    <x v="1"/>
    <x v="3"/>
    <x v="0"/>
    <x v="0"/>
    <x v="0"/>
    <x v="0"/>
    <x v="0"/>
    <x v="4"/>
    <s v="85"/>
    <x v="21"/>
    <x v="0"/>
    <x v="9"/>
    <x v="4"/>
    <n v="-48882.78"/>
  </r>
  <r>
    <x v="4"/>
    <x v="0"/>
    <x v="0"/>
    <x v="0"/>
    <x v="1"/>
    <x v="3"/>
    <x v="0"/>
    <x v="0"/>
    <x v="0"/>
    <x v="0"/>
    <x v="0"/>
    <x v="4"/>
    <s v="85"/>
    <x v="21"/>
    <x v="0"/>
    <x v="9"/>
    <x v="5"/>
    <n v="-82288.17"/>
  </r>
  <r>
    <x v="4"/>
    <x v="0"/>
    <x v="0"/>
    <x v="0"/>
    <x v="1"/>
    <x v="3"/>
    <x v="0"/>
    <x v="0"/>
    <x v="0"/>
    <x v="0"/>
    <x v="0"/>
    <x v="4"/>
    <s v="85"/>
    <x v="21"/>
    <x v="0"/>
    <x v="9"/>
    <x v="6"/>
    <n v="1136.3499999999999"/>
  </r>
  <r>
    <x v="4"/>
    <x v="0"/>
    <x v="0"/>
    <x v="0"/>
    <x v="1"/>
    <x v="3"/>
    <x v="0"/>
    <x v="0"/>
    <x v="0"/>
    <x v="0"/>
    <x v="0"/>
    <x v="4"/>
    <s v="85"/>
    <x v="21"/>
    <x v="0"/>
    <x v="9"/>
    <x v="1"/>
    <n v="128685.34"/>
  </r>
  <r>
    <x v="4"/>
    <x v="0"/>
    <x v="0"/>
    <x v="0"/>
    <x v="1"/>
    <x v="3"/>
    <x v="0"/>
    <x v="0"/>
    <x v="0"/>
    <x v="0"/>
    <x v="0"/>
    <x v="4"/>
    <s v="85"/>
    <x v="21"/>
    <x v="0"/>
    <x v="8"/>
    <x v="0"/>
    <n v="66.92"/>
  </r>
  <r>
    <x v="4"/>
    <x v="0"/>
    <x v="0"/>
    <x v="0"/>
    <x v="1"/>
    <x v="3"/>
    <x v="0"/>
    <x v="0"/>
    <x v="0"/>
    <x v="0"/>
    <x v="0"/>
    <x v="4"/>
    <s v="85"/>
    <x v="21"/>
    <x v="0"/>
    <x v="8"/>
    <x v="2"/>
    <n v="317.82"/>
  </r>
  <r>
    <x v="4"/>
    <x v="0"/>
    <x v="0"/>
    <x v="0"/>
    <x v="1"/>
    <x v="3"/>
    <x v="0"/>
    <x v="0"/>
    <x v="0"/>
    <x v="0"/>
    <x v="0"/>
    <x v="4"/>
    <s v="85"/>
    <x v="21"/>
    <x v="0"/>
    <x v="8"/>
    <x v="8"/>
    <n v="-366.94"/>
  </r>
  <r>
    <x v="4"/>
    <x v="0"/>
    <x v="0"/>
    <x v="0"/>
    <x v="1"/>
    <x v="3"/>
    <x v="0"/>
    <x v="0"/>
    <x v="0"/>
    <x v="0"/>
    <x v="0"/>
    <x v="4"/>
    <s v="85"/>
    <x v="21"/>
    <x v="0"/>
    <x v="8"/>
    <x v="9"/>
    <n v="3120.33"/>
  </r>
  <r>
    <x v="4"/>
    <x v="0"/>
    <x v="0"/>
    <x v="0"/>
    <x v="1"/>
    <x v="3"/>
    <x v="0"/>
    <x v="0"/>
    <x v="0"/>
    <x v="0"/>
    <x v="0"/>
    <x v="4"/>
    <s v="85"/>
    <x v="21"/>
    <x v="0"/>
    <x v="8"/>
    <x v="10"/>
    <n v="-2249.16"/>
  </r>
  <r>
    <x v="4"/>
    <x v="0"/>
    <x v="0"/>
    <x v="0"/>
    <x v="1"/>
    <x v="3"/>
    <x v="0"/>
    <x v="0"/>
    <x v="0"/>
    <x v="0"/>
    <x v="0"/>
    <x v="4"/>
    <s v="85"/>
    <x v="21"/>
    <x v="0"/>
    <x v="8"/>
    <x v="11"/>
    <n v="-5493.04"/>
  </r>
  <r>
    <x v="4"/>
    <x v="0"/>
    <x v="0"/>
    <x v="0"/>
    <x v="1"/>
    <x v="3"/>
    <x v="0"/>
    <x v="0"/>
    <x v="0"/>
    <x v="0"/>
    <x v="0"/>
    <x v="4"/>
    <s v="85"/>
    <x v="21"/>
    <x v="0"/>
    <x v="8"/>
    <x v="3"/>
    <n v="366.94"/>
  </r>
  <r>
    <x v="4"/>
    <x v="0"/>
    <x v="0"/>
    <x v="0"/>
    <x v="1"/>
    <x v="3"/>
    <x v="0"/>
    <x v="0"/>
    <x v="0"/>
    <x v="0"/>
    <x v="0"/>
    <x v="4"/>
    <s v="85"/>
    <x v="21"/>
    <x v="0"/>
    <x v="8"/>
    <x v="4"/>
    <n v="2000"/>
  </r>
  <r>
    <x v="4"/>
    <x v="0"/>
    <x v="0"/>
    <x v="0"/>
    <x v="1"/>
    <x v="3"/>
    <x v="0"/>
    <x v="0"/>
    <x v="0"/>
    <x v="0"/>
    <x v="0"/>
    <x v="4"/>
    <s v="85"/>
    <x v="21"/>
    <x v="0"/>
    <x v="8"/>
    <x v="7"/>
    <n v="7628.79"/>
  </r>
  <r>
    <x v="4"/>
    <x v="0"/>
    <x v="0"/>
    <x v="0"/>
    <x v="1"/>
    <x v="3"/>
    <x v="0"/>
    <x v="0"/>
    <x v="0"/>
    <x v="0"/>
    <x v="0"/>
    <x v="4"/>
    <s v="85"/>
    <x v="21"/>
    <x v="0"/>
    <x v="8"/>
    <x v="1"/>
    <n v="-1195.3"/>
  </r>
  <r>
    <x v="4"/>
    <x v="0"/>
    <x v="0"/>
    <x v="0"/>
    <x v="1"/>
    <x v="3"/>
    <x v="0"/>
    <x v="0"/>
    <x v="0"/>
    <x v="0"/>
    <x v="0"/>
    <x v="4"/>
    <s v="86"/>
    <x v="39"/>
    <x v="0"/>
    <x v="8"/>
    <x v="10"/>
    <n v="32.94"/>
  </r>
  <r>
    <x v="4"/>
    <x v="0"/>
    <x v="0"/>
    <x v="0"/>
    <x v="1"/>
    <x v="3"/>
    <x v="0"/>
    <x v="0"/>
    <x v="0"/>
    <x v="0"/>
    <x v="0"/>
    <x v="4"/>
    <s v="86"/>
    <x v="39"/>
    <x v="0"/>
    <x v="8"/>
    <x v="5"/>
    <n v="4113.18"/>
  </r>
  <r>
    <x v="4"/>
    <x v="0"/>
    <x v="0"/>
    <x v="0"/>
    <x v="1"/>
    <x v="3"/>
    <x v="0"/>
    <x v="0"/>
    <x v="0"/>
    <x v="0"/>
    <x v="0"/>
    <x v="4"/>
    <s v="86"/>
    <x v="39"/>
    <x v="0"/>
    <x v="8"/>
    <x v="1"/>
    <n v="-4146.12"/>
  </r>
  <r>
    <x v="4"/>
    <x v="0"/>
    <x v="0"/>
    <x v="0"/>
    <x v="1"/>
    <x v="3"/>
    <x v="0"/>
    <x v="0"/>
    <x v="0"/>
    <x v="0"/>
    <x v="0"/>
    <x v="4"/>
    <s v="99"/>
    <x v="9"/>
    <x v="0"/>
    <x v="9"/>
    <x v="0"/>
    <n v="-839.17"/>
  </r>
  <r>
    <x v="4"/>
    <x v="0"/>
    <x v="0"/>
    <x v="0"/>
    <x v="1"/>
    <x v="3"/>
    <x v="0"/>
    <x v="0"/>
    <x v="0"/>
    <x v="0"/>
    <x v="0"/>
    <x v="4"/>
    <s v="99"/>
    <x v="9"/>
    <x v="0"/>
    <x v="9"/>
    <x v="2"/>
    <n v="1680"/>
  </r>
  <r>
    <x v="4"/>
    <x v="0"/>
    <x v="0"/>
    <x v="0"/>
    <x v="1"/>
    <x v="3"/>
    <x v="0"/>
    <x v="0"/>
    <x v="0"/>
    <x v="0"/>
    <x v="0"/>
    <x v="4"/>
    <s v="99"/>
    <x v="9"/>
    <x v="0"/>
    <x v="9"/>
    <x v="9"/>
    <n v="49574.58"/>
  </r>
  <r>
    <x v="4"/>
    <x v="0"/>
    <x v="0"/>
    <x v="0"/>
    <x v="1"/>
    <x v="3"/>
    <x v="0"/>
    <x v="0"/>
    <x v="0"/>
    <x v="0"/>
    <x v="0"/>
    <x v="4"/>
    <s v="99"/>
    <x v="9"/>
    <x v="0"/>
    <x v="9"/>
    <x v="10"/>
    <n v="-64082.42"/>
  </r>
  <r>
    <x v="4"/>
    <x v="0"/>
    <x v="0"/>
    <x v="0"/>
    <x v="1"/>
    <x v="3"/>
    <x v="0"/>
    <x v="0"/>
    <x v="0"/>
    <x v="0"/>
    <x v="0"/>
    <x v="4"/>
    <s v="99"/>
    <x v="9"/>
    <x v="0"/>
    <x v="9"/>
    <x v="11"/>
    <n v="-48441.86"/>
  </r>
  <r>
    <x v="4"/>
    <x v="0"/>
    <x v="0"/>
    <x v="0"/>
    <x v="1"/>
    <x v="3"/>
    <x v="0"/>
    <x v="0"/>
    <x v="0"/>
    <x v="0"/>
    <x v="0"/>
    <x v="4"/>
    <s v="99"/>
    <x v="9"/>
    <x v="0"/>
    <x v="9"/>
    <x v="3"/>
    <n v="-28.8"/>
  </r>
  <r>
    <x v="4"/>
    <x v="0"/>
    <x v="0"/>
    <x v="0"/>
    <x v="1"/>
    <x v="3"/>
    <x v="0"/>
    <x v="0"/>
    <x v="0"/>
    <x v="0"/>
    <x v="0"/>
    <x v="4"/>
    <s v="99"/>
    <x v="9"/>
    <x v="0"/>
    <x v="9"/>
    <x v="4"/>
    <n v="-3656.07"/>
  </r>
  <r>
    <x v="4"/>
    <x v="0"/>
    <x v="0"/>
    <x v="0"/>
    <x v="1"/>
    <x v="3"/>
    <x v="0"/>
    <x v="0"/>
    <x v="0"/>
    <x v="0"/>
    <x v="0"/>
    <x v="4"/>
    <s v="99"/>
    <x v="9"/>
    <x v="0"/>
    <x v="9"/>
    <x v="7"/>
    <n v="8665.7800000000007"/>
  </r>
  <r>
    <x v="4"/>
    <x v="0"/>
    <x v="0"/>
    <x v="0"/>
    <x v="1"/>
    <x v="3"/>
    <x v="0"/>
    <x v="0"/>
    <x v="0"/>
    <x v="0"/>
    <x v="0"/>
    <x v="4"/>
    <s v="99"/>
    <x v="9"/>
    <x v="0"/>
    <x v="9"/>
    <x v="5"/>
    <n v="1444.17"/>
  </r>
  <r>
    <x v="4"/>
    <x v="0"/>
    <x v="0"/>
    <x v="0"/>
    <x v="1"/>
    <x v="3"/>
    <x v="0"/>
    <x v="0"/>
    <x v="0"/>
    <x v="0"/>
    <x v="0"/>
    <x v="4"/>
    <s v="99"/>
    <x v="9"/>
    <x v="0"/>
    <x v="9"/>
    <x v="6"/>
    <n v="75.760000000000005"/>
  </r>
  <r>
    <x v="4"/>
    <x v="0"/>
    <x v="0"/>
    <x v="0"/>
    <x v="1"/>
    <x v="3"/>
    <x v="0"/>
    <x v="0"/>
    <x v="0"/>
    <x v="0"/>
    <x v="0"/>
    <x v="4"/>
    <s v="99"/>
    <x v="9"/>
    <x v="0"/>
    <x v="9"/>
    <x v="1"/>
    <n v="55608.03"/>
  </r>
  <r>
    <x v="4"/>
    <x v="0"/>
    <x v="0"/>
    <x v="0"/>
    <x v="1"/>
    <x v="3"/>
    <x v="0"/>
    <x v="0"/>
    <x v="0"/>
    <x v="0"/>
    <x v="0"/>
    <x v="4"/>
    <s v="99"/>
    <x v="9"/>
    <x v="0"/>
    <x v="8"/>
    <x v="0"/>
    <n v="3630035.72"/>
  </r>
  <r>
    <x v="4"/>
    <x v="0"/>
    <x v="0"/>
    <x v="0"/>
    <x v="1"/>
    <x v="3"/>
    <x v="0"/>
    <x v="0"/>
    <x v="0"/>
    <x v="0"/>
    <x v="0"/>
    <x v="4"/>
    <s v="99"/>
    <x v="9"/>
    <x v="0"/>
    <x v="8"/>
    <x v="2"/>
    <n v="-7405000"/>
  </r>
  <r>
    <x v="4"/>
    <x v="0"/>
    <x v="0"/>
    <x v="0"/>
    <x v="1"/>
    <x v="3"/>
    <x v="0"/>
    <x v="0"/>
    <x v="0"/>
    <x v="0"/>
    <x v="0"/>
    <x v="4"/>
    <s v="99"/>
    <x v="9"/>
    <x v="0"/>
    <x v="8"/>
    <x v="8"/>
    <n v="3699329.29"/>
  </r>
  <r>
    <x v="4"/>
    <x v="0"/>
    <x v="0"/>
    <x v="0"/>
    <x v="1"/>
    <x v="3"/>
    <x v="0"/>
    <x v="0"/>
    <x v="0"/>
    <x v="0"/>
    <x v="0"/>
    <x v="4"/>
    <s v="99"/>
    <x v="9"/>
    <x v="0"/>
    <x v="8"/>
    <x v="9"/>
    <n v="-17.88"/>
  </r>
  <r>
    <x v="4"/>
    <x v="0"/>
    <x v="0"/>
    <x v="0"/>
    <x v="1"/>
    <x v="3"/>
    <x v="0"/>
    <x v="0"/>
    <x v="0"/>
    <x v="0"/>
    <x v="0"/>
    <x v="4"/>
    <s v="99"/>
    <x v="9"/>
    <x v="0"/>
    <x v="8"/>
    <x v="10"/>
    <n v="11335.78"/>
  </r>
  <r>
    <x v="4"/>
    <x v="0"/>
    <x v="0"/>
    <x v="0"/>
    <x v="1"/>
    <x v="3"/>
    <x v="0"/>
    <x v="0"/>
    <x v="0"/>
    <x v="0"/>
    <x v="0"/>
    <x v="4"/>
    <s v="99"/>
    <x v="9"/>
    <x v="0"/>
    <x v="8"/>
    <x v="11"/>
    <n v="-5538.32"/>
  </r>
  <r>
    <x v="4"/>
    <x v="0"/>
    <x v="0"/>
    <x v="0"/>
    <x v="1"/>
    <x v="3"/>
    <x v="0"/>
    <x v="0"/>
    <x v="0"/>
    <x v="0"/>
    <x v="0"/>
    <x v="4"/>
    <s v="99"/>
    <x v="9"/>
    <x v="0"/>
    <x v="8"/>
    <x v="3"/>
    <n v="65210.06"/>
  </r>
  <r>
    <x v="4"/>
    <x v="0"/>
    <x v="0"/>
    <x v="0"/>
    <x v="1"/>
    <x v="3"/>
    <x v="0"/>
    <x v="0"/>
    <x v="0"/>
    <x v="0"/>
    <x v="0"/>
    <x v="4"/>
    <s v="99"/>
    <x v="9"/>
    <x v="0"/>
    <x v="8"/>
    <x v="4"/>
    <n v="-1197.01"/>
  </r>
  <r>
    <x v="4"/>
    <x v="0"/>
    <x v="0"/>
    <x v="0"/>
    <x v="1"/>
    <x v="3"/>
    <x v="0"/>
    <x v="0"/>
    <x v="0"/>
    <x v="0"/>
    <x v="0"/>
    <x v="4"/>
    <s v="99"/>
    <x v="9"/>
    <x v="0"/>
    <x v="8"/>
    <x v="7"/>
    <n v="462.29"/>
  </r>
  <r>
    <x v="4"/>
    <x v="0"/>
    <x v="0"/>
    <x v="0"/>
    <x v="1"/>
    <x v="3"/>
    <x v="0"/>
    <x v="0"/>
    <x v="0"/>
    <x v="0"/>
    <x v="0"/>
    <x v="4"/>
    <s v="99"/>
    <x v="9"/>
    <x v="0"/>
    <x v="8"/>
    <x v="5"/>
    <n v="-5"/>
  </r>
  <r>
    <x v="4"/>
    <x v="0"/>
    <x v="0"/>
    <x v="0"/>
    <x v="1"/>
    <x v="3"/>
    <x v="0"/>
    <x v="0"/>
    <x v="0"/>
    <x v="0"/>
    <x v="0"/>
    <x v="4"/>
    <s v="99"/>
    <x v="9"/>
    <x v="0"/>
    <x v="8"/>
    <x v="6"/>
    <n v="117.52"/>
  </r>
  <r>
    <x v="4"/>
    <x v="0"/>
    <x v="0"/>
    <x v="0"/>
    <x v="1"/>
    <x v="3"/>
    <x v="0"/>
    <x v="0"/>
    <x v="0"/>
    <x v="0"/>
    <x v="0"/>
    <x v="4"/>
    <s v="99"/>
    <x v="9"/>
    <x v="0"/>
    <x v="8"/>
    <x v="1"/>
    <n v="5267.55"/>
  </r>
  <r>
    <x v="4"/>
    <x v="0"/>
    <x v="0"/>
    <x v="0"/>
    <x v="1"/>
    <x v="3"/>
    <x v="0"/>
    <x v="0"/>
    <x v="0"/>
    <x v="0"/>
    <x v="5"/>
    <x v="6"/>
    <s v="40"/>
    <x v="26"/>
    <x v="0"/>
    <x v="9"/>
    <x v="0"/>
    <n v="2168.75"/>
  </r>
  <r>
    <x v="4"/>
    <x v="0"/>
    <x v="0"/>
    <x v="0"/>
    <x v="1"/>
    <x v="3"/>
    <x v="0"/>
    <x v="0"/>
    <x v="0"/>
    <x v="0"/>
    <x v="5"/>
    <x v="6"/>
    <s v="40"/>
    <x v="26"/>
    <x v="0"/>
    <x v="9"/>
    <x v="2"/>
    <n v="-2698"/>
  </r>
  <r>
    <x v="4"/>
    <x v="0"/>
    <x v="0"/>
    <x v="0"/>
    <x v="1"/>
    <x v="3"/>
    <x v="0"/>
    <x v="0"/>
    <x v="0"/>
    <x v="0"/>
    <x v="5"/>
    <x v="6"/>
    <s v="40"/>
    <x v="26"/>
    <x v="0"/>
    <x v="9"/>
    <x v="8"/>
    <n v="333.3"/>
  </r>
  <r>
    <x v="4"/>
    <x v="0"/>
    <x v="0"/>
    <x v="0"/>
    <x v="1"/>
    <x v="3"/>
    <x v="0"/>
    <x v="0"/>
    <x v="0"/>
    <x v="0"/>
    <x v="5"/>
    <x v="6"/>
    <s v="40"/>
    <x v="26"/>
    <x v="0"/>
    <x v="9"/>
    <x v="9"/>
    <n v="986.76"/>
  </r>
  <r>
    <x v="4"/>
    <x v="0"/>
    <x v="0"/>
    <x v="0"/>
    <x v="1"/>
    <x v="3"/>
    <x v="0"/>
    <x v="0"/>
    <x v="0"/>
    <x v="0"/>
    <x v="5"/>
    <x v="6"/>
    <s v="40"/>
    <x v="26"/>
    <x v="0"/>
    <x v="9"/>
    <x v="10"/>
    <n v="-221.46"/>
  </r>
  <r>
    <x v="4"/>
    <x v="0"/>
    <x v="0"/>
    <x v="0"/>
    <x v="1"/>
    <x v="3"/>
    <x v="0"/>
    <x v="0"/>
    <x v="0"/>
    <x v="0"/>
    <x v="5"/>
    <x v="6"/>
    <s v="40"/>
    <x v="26"/>
    <x v="0"/>
    <x v="9"/>
    <x v="11"/>
    <n v="2686.15"/>
  </r>
  <r>
    <x v="4"/>
    <x v="0"/>
    <x v="0"/>
    <x v="0"/>
    <x v="1"/>
    <x v="3"/>
    <x v="0"/>
    <x v="0"/>
    <x v="0"/>
    <x v="0"/>
    <x v="5"/>
    <x v="6"/>
    <s v="40"/>
    <x v="26"/>
    <x v="0"/>
    <x v="9"/>
    <x v="3"/>
    <n v="1732.3"/>
  </r>
  <r>
    <x v="4"/>
    <x v="0"/>
    <x v="0"/>
    <x v="0"/>
    <x v="1"/>
    <x v="3"/>
    <x v="0"/>
    <x v="0"/>
    <x v="0"/>
    <x v="0"/>
    <x v="5"/>
    <x v="6"/>
    <s v="40"/>
    <x v="26"/>
    <x v="0"/>
    <x v="9"/>
    <x v="4"/>
    <n v="-4165.2"/>
  </r>
  <r>
    <x v="4"/>
    <x v="0"/>
    <x v="0"/>
    <x v="0"/>
    <x v="1"/>
    <x v="3"/>
    <x v="0"/>
    <x v="0"/>
    <x v="0"/>
    <x v="0"/>
    <x v="5"/>
    <x v="6"/>
    <s v="40"/>
    <x v="26"/>
    <x v="0"/>
    <x v="9"/>
    <x v="7"/>
    <n v="98"/>
  </r>
  <r>
    <x v="4"/>
    <x v="0"/>
    <x v="0"/>
    <x v="0"/>
    <x v="1"/>
    <x v="3"/>
    <x v="0"/>
    <x v="0"/>
    <x v="0"/>
    <x v="0"/>
    <x v="5"/>
    <x v="6"/>
    <s v="40"/>
    <x v="26"/>
    <x v="0"/>
    <x v="9"/>
    <x v="5"/>
    <n v="-117"/>
  </r>
  <r>
    <x v="4"/>
    <x v="0"/>
    <x v="0"/>
    <x v="0"/>
    <x v="1"/>
    <x v="3"/>
    <x v="0"/>
    <x v="0"/>
    <x v="0"/>
    <x v="0"/>
    <x v="5"/>
    <x v="6"/>
    <s v="40"/>
    <x v="26"/>
    <x v="0"/>
    <x v="9"/>
    <x v="1"/>
    <n v="-803.6"/>
  </r>
  <r>
    <x v="4"/>
    <x v="0"/>
    <x v="0"/>
    <x v="0"/>
    <x v="1"/>
    <x v="3"/>
    <x v="0"/>
    <x v="0"/>
    <x v="0"/>
    <x v="0"/>
    <x v="5"/>
    <x v="6"/>
    <s v="40"/>
    <x v="26"/>
    <x v="0"/>
    <x v="8"/>
    <x v="0"/>
    <n v="-838.5"/>
  </r>
  <r>
    <x v="4"/>
    <x v="0"/>
    <x v="0"/>
    <x v="0"/>
    <x v="1"/>
    <x v="3"/>
    <x v="0"/>
    <x v="0"/>
    <x v="0"/>
    <x v="0"/>
    <x v="5"/>
    <x v="6"/>
    <s v="40"/>
    <x v="26"/>
    <x v="0"/>
    <x v="8"/>
    <x v="2"/>
    <n v="-30"/>
  </r>
  <r>
    <x v="4"/>
    <x v="0"/>
    <x v="0"/>
    <x v="0"/>
    <x v="1"/>
    <x v="3"/>
    <x v="0"/>
    <x v="0"/>
    <x v="0"/>
    <x v="0"/>
    <x v="5"/>
    <x v="6"/>
    <s v="40"/>
    <x v="26"/>
    <x v="0"/>
    <x v="8"/>
    <x v="8"/>
    <n v="150"/>
  </r>
  <r>
    <x v="4"/>
    <x v="0"/>
    <x v="0"/>
    <x v="0"/>
    <x v="1"/>
    <x v="3"/>
    <x v="0"/>
    <x v="0"/>
    <x v="0"/>
    <x v="0"/>
    <x v="5"/>
    <x v="6"/>
    <s v="40"/>
    <x v="26"/>
    <x v="0"/>
    <x v="8"/>
    <x v="9"/>
    <n v="1474.83"/>
  </r>
  <r>
    <x v="4"/>
    <x v="0"/>
    <x v="0"/>
    <x v="0"/>
    <x v="1"/>
    <x v="3"/>
    <x v="0"/>
    <x v="0"/>
    <x v="0"/>
    <x v="0"/>
    <x v="5"/>
    <x v="6"/>
    <s v="40"/>
    <x v="26"/>
    <x v="0"/>
    <x v="8"/>
    <x v="10"/>
    <n v="-1766.88"/>
  </r>
  <r>
    <x v="4"/>
    <x v="0"/>
    <x v="0"/>
    <x v="0"/>
    <x v="1"/>
    <x v="3"/>
    <x v="0"/>
    <x v="0"/>
    <x v="0"/>
    <x v="0"/>
    <x v="5"/>
    <x v="6"/>
    <s v="40"/>
    <x v="26"/>
    <x v="0"/>
    <x v="8"/>
    <x v="11"/>
    <n v="3023.67"/>
  </r>
  <r>
    <x v="4"/>
    <x v="0"/>
    <x v="0"/>
    <x v="0"/>
    <x v="1"/>
    <x v="3"/>
    <x v="0"/>
    <x v="0"/>
    <x v="0"/>
    <x v="0"/>
    <x v="5"/>
    <x v="6"/>
    <s v="40"/>
    <x v="26"/>
    <x v="0"/>
    <x v="8"/>
    <x v="3"/>
    <n v="-1999.25"/>
  </r>
  <r>
    <x v="4"/>
    <x v="0"/>
    <x v="0"/>
    <x v="0"/>
    <x v="1"/>
    <x v="3"/>
    <x v="0"/>
    <x v="0"/>
    <x v="0"/>
    <x v="0"/>
    <x v="5"/>
    <x v="6"/>
    <s v="40"/>
    <x v="26"/>
    <x v="0"/>
    <x v="8"/>
    <x v="4"/>
    <n v="401.43"/>
  </r>
  <r>
    <x v="4"/>
    <x v="0"/>
    <x v="0"/>
    <x v="0"/>
    <x v="1"/>
    <x v="3"/>
    <x v="0"/>
    <x v="0"/>
    <x v="0"/>
    <x v="0"/>
    <x v="5"/>
    <x v="6"/>
    <s v="40"/>
    <x v="26"/>
    <x v="0"/>
    <x v="8"/>
    <x v="7"/>
    <n v="-415.3"/>
  </r>
  <r>
    <x v="4"/>
    <x v="0"/>
    <x v="1"/>
    <x v="0"/>
    <x v="1"/>
    <x v="4"/>
    <x v="0"/>
    <x v="0"/>
    <x v="0"/>
    <x v="0"/>
    <x v="0"/>
    <x v="4"/>
    <s v="02"/>
    <x v="5"/>
    <x v="0"/>
    <x v="9"/>
    <x v="0"/>
    <n v="1476.67"/>
  </r>
  <r>
    <x v="4"/>
    <x v="0"/>
    <x v="1"/>
    <x v="0"/>
    <x v="1"/>
    <x v="4"/>
    <x v="0"/>
    <x v="0"/>
    <x v="0"/>
    <x v="0"/>
    <x v="0"/>
    <x v="4"/>
    <s v="02"/>
    <x v="5"/>
    <x v="0"/>
    <x v="9"/>
    <x v="2"/>
    <n v="5087.92"/>
  </r>
  <r>
    <x v="4"/>
    <x v="0"/>
    <x v="1"/>
    <x v="0"/>
    <x v="1"/>
    <x v="4"/>
    <x v="0"/>
    <x v="0"/>
    <x v="0"/>
    <x v="0"/>
    <x v="0"/>
    <x v="4"/>
    <s v="02"/>
    <x v="5"/>
    <x v="0"/>
    <x v="9"/>
    <x v="8"/>
    <n v="4409.51"/>
  </r>
  <r>
    <x v="4"/>
    <x v="0"/>
    <x v="1"/>
    <x v="0"/>
    <x v="1"/>
    <x v="4"/>
    <x v="0"/>
    <x v="0"/>
    <x v="0"/>
    <x v="0"/>
    <x v="0"/>
    <x v="4"/>
    <s v="02"/>
    <x v="5"/>
    <x v="0"/>
    <x v="9"/>
    <x v="9"/>
    <n v="4313.24"/>
  </r>
  <r>
    <x v="4"/>
    <x v="0"/>
    <x v="1"/>
    <x v="0"/>
    <x v="1"/>
    <x v="4"/>
    <x v="0"/>
    <x v="0"/>
    <x v="0"/>
    <x v="0"/>
    <x v="0"/>
    <x v="4"/>
    <s v="02"/>
    <x v="5"/>
    <x v="0"/>
    <x v="9"/>
    <x v="10"/>
    <n v="-13906.94"/>
  </r>
  <r>
    <x v="4"/>
    <x v="0"/>
    <x v="1"/>
    <x v="0"/>
    <x v="1"/>
    <x v="4"/>
    <x v="0"/>
    <x v="0"/>
    <x v="0"/>
    <x v="0"/>
    <x v="0"/>
    <x v="4"/>
    <s v="02"/>
    <x v="5"/>
    <x v="0"/>
    <x v="9"/>
    <x v="3"/>
    <n v="259.48"/>
  </r>
  <r>
    <x v="4"/>
    <x v="0"/>
    <x v="1"/>
    <x v="0"/>
    <x v="1"/>
    <x v="4"/>
    <x v="0"/>
    <x v="0"/>
    <x v="0"/>
    <x v="0"/>
    <x v="0"/>
    <x v="4"/>
    <s v="02"/>
    <x v="5"/>
    <x v="0"/>
    <x v="9"/>
    <x v="4"/>
    <n v="-1476.67"/>
  </r>
  <r>
    <x v="4"/>
    <x v="0"/>
    <x v="1"/>
    <x v="0"/>
    <x v="1"/>
    <x v="4"/>
    <x v="0"/>
    <x v="0"/>
    <x v="0"/>
    <x v="0"/>
    <x v="0"/>
    <x v="4"/>
    <s v="02"/>
    <x v="5"/>
    <x v="0"/>
    <x v="9"/>
    <x v="7"/>
    <n v="-259.48"/>
  </r>
  <r>
    <x v="4"/>
    <x v="0"/>
    <x v="1"/>
    <x v="0"/>
    <x v="1"/>
    <x v="4"/>
    <x v="0"/>
    <x v="0"/>
    <x v="0"/>
    <x v="0"/>
    <x v="0"/>
    <x v="4"/>
    <s v="02"/>
    <x v="5"/>
    <x v="0"/>
    <x v="9"/>
    <x v="1"/>
    <n v="77.16"/>
  </r>
  <r>
    <x v="4"/>
    <x v="0"/>
    <x v="1"/>
    <x v="0"/>
    <x v="1"/>
    <x v="4"/>
    <x v="0"/>
    <x v="0"/>
    <x v="0"/>
    <x v="0"/>
    <x v="0"/>
    <x v="4"/>
    <s v="02"/>
    <x v="5"/>
    <x v="0"/>
    <x v="8"/>
    <x v="0"/>
    <n v="136.18"/>
  </r>
  <r>
    <x v="4"/>
    <x v="0"/>
    <x v="1"/>
    <x v="0"/>
    <x v="1"/>
    <x v="4"/>
    <x v="0"/>
    <x v="0"/>
    <x v="0"/>
    <x v="0"/>
    <x v="0"/>
    <x v="4"/>
    <s v="02"/>
    <x v="5"/>
    <x v="0"/>
    <x v="8"/>
    <x v="2"/>
    <n v="143.81"/>
  </r>
  <r>
    <x v="4"/>
    <x v="0"/>
    <x v="1"/>
    <x v="0"/>
    <x v="1"/>
    <x v="4"/>
    <x v="0"/>
    <x v="0"/>
    <x v="0"/>
    <x v="0"/>
    <x v="0"/>
    <x v="4"/>
    <s v="02"/>
    <x v="5"/>
    <x v="0"/>
    <x v="8"/>
    <x v="10"/>
    <n v="-186.66"/>
  </r>
  <r>
    <x v="4"/>
    <x v="0"/>
    <x v="1"/>
    <x v="0"/>
    <x v="1"/>
    <x v="4"/>
    <x v="0"/>
    <x v="0"/>
    <x v="0"/>
    <x v="0"/>
    <x v="0"/>
    <x v="4"/>
    <s v="02"/>
    <x v="5"/>
    <x v="0"/>
    <x v="8"/>
    <x v="7"/>
    <n v="600.76"/>
  </r>
  <r>
    <x v="4"/>
    <x v="0"/>
    <x v="1"/>
    <x v="0"/>
    <x v="1"/>
    <x v="4"/>
    <x v="0"/>
    <x v="0"/>
    <x v="0"/>
    <x v="0"/>
    <x v="0"/>
    <x v="4"/>
    <s v="02"/>
    <x v="5"/>
    <x v="0"/>
    <x v="8"/>
    <x v="5"/>
    <n v="-600.76"/>
  </r>
  <r>
    <x v="4"/>
    <x v="0"/>
    <x v="1"/>
    <x v="0"/>
    <x v="1"/>
    <x v="4"/>
    <x v="0"/>
    <x v="0"/>
    <x v="0"/>
    <x v="0"/>
    <x v="0"/>
    <x v="4"/>
    <s v="02"/>
    <x v="5"/>
    <x v="0"/>
    <x v="8"/>
    <x v="1"/>
    <n v="-155.47999999999999"/>
  </r>
  <r>
    <x v="4"/>
    <x v="0"/>
    <x v="1"/>
    <x v="0"/>
    <x v="1"/>
    <x v="4"/>
    <x v="0"/>
    <x v="0"/>
    <x v="0"/>
    <x v="0"/>
    <x v="0"/>
    <x v="4"/>
    <s v="09"/>
    <x v="0"/>
    <x v="0"/>
    <x v="9"/>
    <x v="0"/>
    <n v="981460"/>
  </r>
  <r>
    <x v="4"/>
    <x v="0"/>
    <x v="1"/>
    <x v="0"/>
    <x v="1"/>
    <x v="4"/>
    <x v="0"/>
    <x v="0"/>
    <x v="0"/>
    <x v="0"/>
    <x v="0"/>
    <x v="4"/>
    <s v="09"/>
    <x v="0"/>
    <x v="0"/>
    <x v="8"/>
    <x v="3"/>
    <n v="2364.2800000000002"/>
  </r>
  <r>
    <x v="4"/>
    <x v="0"/>
    <x v="1"/>
    <x v="0"/>
    <x v="1"/>
    <x v="4"/>
    <x v="0"/>
    <x v="0"/>
    <x v="0"/>
    <x v="0"/>
    <x v="0"/>
    <x v="4"/>
    <s v="09"/>
    <x v="0"/>
    <x v="0"/>
    <x v="8"/>
    <x v="4"/>
    <n v="-2364.2800000000002"/>
  </r>
  <r>
    <x v="4"/>
    <x v="0"/>
    <x v="1"/>
    <x v="0"/>
    <x v="1"/>
    <x v="4"/>
    <x v="0"/>
    <x v="0"/>
    <x v="0"/>
    <x v="0"/>
    <x v="0"/>
    <x v="4"/>
    <s v="20"/>
    <x v="7"/>
    <x v="0"/>
    <x v="9"/>
    <x v="0"/>
    <n v="430.09"/>
  </r>
  <r>
    <x v="4"/>
    <x v="0"/>
    <x v="1"/>
    <x v="0"/>
    <x v="1"/>
    <x v="4"/>
    <x v="0"/>
    <x v="0"/>
    <x v="0"/>
    <x v="0"/>
    <x v="0"/>
    <x v="4"/>
    <s v="20"/>
    <x v="7"/>
    <x v="0"/>
    <x v="9"/>
    <x v="2"/>
    <n v="430.31"/>
  </r>
  <r>
    <x v="4"/>
    <x v="0"/>
    <x v="1"/>
    <x v="0"/>
    <x v="1"/>
    <x v="4"/>
    <x v="0"/>
    <x v="0"/>
    <x v="0"/>
    <x v="0"/>
    <x v="0"/>
    <x v="4"/>
    <s v="20"/>
    <x v="7"/>
    <x v="0"/>
    <x v="9"/>
    <x v="8"/>
    <n v="1568.76"/>
  </r>
  <r>
    <x v="4"/>
    <x v="0"/>
    <x v="1"/>
    <x v="0"/>
    <x v="1"/>
    <x v="4"/>
    <x v="0"/>
    <x v="0"/>
    <x v="0"/>
    <x v="0"/>
    <x v="0"/>
    <x v="4"/>
    <s v="20"/>
    <x v="7"/>
    <x v="0"/>
    <x v="9"/>
    <x v="9"/>
    <n v="13350.34"/>
  </r>
  <r>
    <x v="4"/>
    <x v="0"/>
    <x v="1"/>
    <x v="0"/>
    <x v="1"/>
    <x v="4"/>
    <x v="0"/>
    <x v="0"/>
    <x v="0"/>
    <x v="0"/>
    <x v="0"/>
    <x v="4"/>
    <s v="20"/>
    <x v="7"/>
    <x v="0"/>
    <x v="9"/>
    <x v="10"/>
    <n v="237.13"/>
  </r>
  <r>
    <x v="4"/>
    <x v="0"/>
    <x v="1"/>
    <x v="0"/>
    <x v="1"/>
    <x v="4"/>
    <x v="0"/>
    <x v="0"/>
    <x v="0"/>
    <x v="0"/>
    <x v="0"/>
    <x v="4"/>
    <s v="20"/>
    <x v="7"/>
    <x v="0"/>
    <x v="9"/>
    <x v="11"/>
    <n v="3117.64"/>
  </r>
  <r>
    <x v="4"/>
    <x v="0"/>
    <x v="1"/>
    <x v="0"/>
    <x v="1"/>
    <x v="4"/>
    <x v="0"/>
    <x v="0"/>
    <x v="0"/>
    <x v="0"/>
    <x v="0"/>
    <x v="4"/>
    <s v="20"/>
    <x v="7"/>
    <x v="0"/>
    <x v="9"/>
    <x v="3"/>
    <n v="10003.870000000001"/>
  </r>
  <r>
    <x v="4"/>
    <x v="0"/>
    <x v="1"/>
    <x v="0"/>
    <x v="1"/>
    <x v="4"/>
    <x v="0"/>
    <x v="0"/>
    <x v="0"/>
    <x v="0"/>
    <x v="0"/>
    <x v="4"/>
    <s v="20"/>
    <x v="7"/>
    <x v="0"/>
    <x v="9"/>
    <x v="4"/>
    <n v="-25750.34"/>
  </r>
  <r>
    <x v="4"/>
    <x v="0"/>
    <x v="1"/>
    <x v="0"/>
    <x v="1"/>
    <x v="4"/>
    <x v="0"/>
    <x v="0"/>
    <x v="0"/>
    <x v="0"/>
    <x v="0"/>
    <x v="4"/>
    <s v="20"/>
    <x v="7"/>
    <x v="0"/>
    <x v="9"/>
    <x v="7"/>
    <n v="-1000.65"/>
  </r>
  <r>
    <x v="4"/>
    <x v="0"/>
    <x v="1"/>
    <x v="0"/>
    <x v="1"/>
    <x v="4"/>
    <x v="0"/>
    <x v="0"/>
    <x v="0"/>
    <x v="0"/>
    <x v="0"/>
    <x v="4"/>
    <s v="20"/>
    <x v="7"/>
    <x v="0"/>
    <x v="9"/>
    <x v="5"/>
    <n v="4339.1899999999996"/>
  </r>
  <r>
    <x v="4"/>
    <x v="0"/>
    <x v="1"/>
    <x v="0"/>
    <x v="1"/>
    <x v="4"/>
    <x v="0"/>
    <x v="0"/>
    <x v="0"/>
    <x v="0"/>
    <x v="0"/>
    <x v="4"/>
    <s v="20"/>
    <x v="7"/>
    <x v="0"/>
    <x v="9"/>
    <x v="6"/>
    <n v="104.69"/>
  </r>
  <r>
    <x v="4"/>
    <x v="0"/>
    <x v="1"/>
    <x v="0"/>
    <x v="1"/>
    <x v="4"/>
    <x v="0"/>
    <x v="0"/>
    <x v="0"/>
    <x v="0"/>
    <x v="0"/>
    <x v="4"/>
    <s v="20"/>
    <x v="7"/>
    <x v="0"/>
    <x v="9"/>
    <x v="1"/>
    <n v="-4543.72"/>
  </r>
  <r>
    <x v="4"/>
    <x v="0"/>
    <x v="1"/>
    <x v="0"/>
    <x v="1"/>
    <x v="4"/>
    <x v="0"/>
    <x v="0"/>
    <x v="0"/>
    <x v="0"/>
    <x v="0"/>
    <x v="4"/>
    <s v="20"/>
    <x v="7"/>
    <x v="0"/>
    <x v="8"/>
    <x v="0"/>
    <n v="411.51"/>
  </r>
  <r>
    <x v="4"/>
    <x v="0"/>
    <x v="1"/>
    <x v="0"/>
    <x v="1"/>
    <x v="4"/>
    <x v="0"/>
    <x v="0"/>
    <x v="0"/>
    <x v="0"/>
    <x v="0"/>
    <x v="4"/>
    <s v="20"/>
    <x v="7"/>
    <x v="0"/>
    <x v="8"/>
    <x v="2"/>
    <n v="4323.87"/>
  </r>
  <r>
    <x v="4"/>
    <x v="0"/>
    <x v="1"/>
    <x v="0"/>
    <x v="1"/>
    <x v="4"/>
    <x v="0"/>
    <x v="0"/>
    <x v="0"/>
    <x v="0"/>
    <x v="0"/>
    <x v="4"/>
    <s v="20"/>
    <x v="7"/>
    <x v="0"/>
    <x v="8"/>
    <x v="8"/>
    <n v="22256.19"/>
  </r>
  <r>
    <x v="4"/>
    <x v="0"/>
    <x v="1"/>
    <x v="0"/>
    <x v="1"/>
    <x v="4"/>
    <x v="0"/>
    <x v="0"/>
    <x v="0"/>
    <x v="0"/>
    <x v="0"/>
    <x v="4"/>
    <s v="20"/>
    <x v="7"/>
    <x v="0"/>
    <x v="8"/>
    <x v="9"/>
    <n v="-882.87"/>
  </r>
  <r>
    <x v="4"/>
    <x v="0"/>
    <x v="1"/>
    <x v="0"/>
    <x v="1"/>
    <x v="4"/>
    <x v="0"/>
    <x v="0"/>
    <x v="0"/>
    <x v="0"/>
    <x v="0"/>
    <x v="4"/>
    <s v="20"/>
    <x v="7"/>
    <x v="0"/>
    <x v="8"/>
    <x v="10"/>
    <n v="786.2"/>
  </r>
  <r>
    <x v="4"/>
    <x v="0"/>
    <x v="1"/>
    <x v="0"/>
    <x v="1"/>
    <x v="4"/>
    <x v="0"/>
    <x v="0"/>
    <x v="0"/>
    <x v="0"/>
    <x v="0"/>
    <x v="4"/>
    <s v="20"/>
    <x v="7"/>
    <x v="0"/>
    <x v="8"/>
    <x v="11"/>
    <n v="165.03"/>
  </r>
  <r>
    <x v="4"/>
    <x v="0"/>
    <x v="1"/>
    <x v="0"/>
    <x v="1"/>
    <x v="4"/>
    <x v="0"/>
    <x v="0"/>
    <x v="0"/>
    <x v="0"/>
    <x v="0"/>
    <x v="4"/>
    <s v="20"/>
    <x v="7"/>
    <x v="0"/>
    <x v="8"/>
    <x v="3"/>
    <n v="529.79"/>
  </r>
  <r>
    <x v="4"/>
    <x v="0"/>
    <x v="1"/>
    <x v="0"/>
    <x v="1"/>
    <x v="4"/>
    <x v="0"/>
    <x v="0"/>
    <x v="0"/>
    <x v="0"/>
    <x v="0"/>
    <x v="4"/>
    <s v="20"/>
    <x v="7"/>
    <x v="0"/>
    <x v="8"/>
    <x v="4"/>
    <n v="2597.41"/>
  </r>
  <r>
    <x v="4"/>
    <x v="0"/>
    <x v="1"/>
    <x v="0"/>
    <x v="1"/>
    <x v="4"/>
    <x v="0"/>
    <x v="0"/>
    <x v="0"/>
    <x v="0"/>
    <x v="0"/>
    <x v="4"/>
    <s v="20"/>
    <x v="7"/>
    <x v="0"/>
    <x v="8"/>
    <x v="7"/>
    <n v="2581.4699999999998"/>
  </r>
  <r>
    <x v="4"/>
    <x v="0"/>
    <x v="1"/>
    <x v="0"/>
    <x v="1"/>
    <x v="4"/>
    <x v="0"/>
    <x v="0"/>
    <x v="0"/>
    <x v="0"/>
    <x v="0"/>
    <x v="4"/>
    <s v="20"/>
    <x v="7"/>
    <x v="0"/>
    <x v="8"/>
    <x v="5"/>
    <n v="-3591.9"/>
  </r>
  <r>
    <x v="4"/>
    <x v="0"/>
    <x v="1"/>
    <x v="0"/>
    <x v="1"/>
    <x v="4"/>
    <x v="0"/>
    <x v="0"/>
    <x v="0"/>
    <x v="0"/>
    <x v="0"/>
    <x v="4"/>
    <s v="20"/>
    <x v="7"/>
    <x v="0"/>
    <x v="8"/>
    <x v="6"/>
    <n v="1828"/>
  </r>
  <r>
    <x v="4"/>
    <x v="0"/>
    <x v="1"/>
    <x v="0"/>
    <x v="1"/>
    <x v="4"/>
    <x v="0"/>
    <x v="0"/>
    <x v="0"/>
    <x v="0"/>
    <x v="0"/>
    <x v="4"/>
    <s v="20"/>
    <x v="7"/>
    <x v="0"/>
    <x v="8"/>
    <x v="1"/>
    <n v="-13944.03"/>
  </r>
  <r>
    <x v="4"/>
    <x v="0"/>
    <x v="1"/>
    <x v="0"/>
    <x v="1"/>
    <x v="4"/>
    <x v="0"/>
    <x v="0"/>
    <x v="0"/>
    <x v="0"/>
    <x v="0"/>
    <x v="4"/>
    <s v="24"/>
    <x v="1"/>
    <x v="0"/>
    <x v="9"/>
    <x v="9"/>
    <n v="4247"/>
  </r>
  <r>
    <x v="4"/>
    <x v="0"/>
    <x v="1"/>
    <x v="0"/>
    <x v="1"/>
    <x v="4"/>
    <x v="0"/>
    <x v="0"/>
    <x v="0"/>
    <x v="0"/>
    <x v="0"/>
    <x v="4"/>
    <s v="24"/>
    <x v="1"/>
    <x v="0"/>
    <x v="9"/>
    <x v="10"/>
    <n v="88148018.370000005"/>
  </r>
  <r>
    <x v="4"/>
    <x v="0"/>
    <x v="1"/>
    <x v="0"/>
    <x v="1"/>
    <x v="4"/>
    <x v="0"/>
    <x v="0"/>
    <x v="0"/>
    <x v="0"/>
    <x v="0"/>
    <x v="4"/>
    <s v="24"/>
    <x v="1"/>
    <x v="0"/>
    <x v="9"/>
    <x v="3"/>
    <n v="14072745.92"/>
  </r>
  <r>
    <x v="4"/>
    <x v="0"/>
    <x v="1"/>
    <x v="0"/>
    <x v="1"/>
    <x v="4"/>
    <x v="0"/>
    <x v="0"/>
    <x v="0"/>
    <x v="0"/>
    <x v="0"/>
    <x v="4"/>
    <s v="24"/>
    <x v="1"/>
    <x v="0"/>
    <x v="9"/>
    <x v="4"/>
    <n v="87207299.709999993"/>
  </r>
  <r>
    <x v="4"/>
    <x v="0"/>
    <x v="1"/>
    <x v="0"/>
    <x v="1"/>
    <x v="4"/>
    <x v="0"/>
    <x v="0"/>
    <x v="0"/>
    <x v="0"/>
    <x v="0"/>
    <x v="4"/>
    <s v="24"/>
    <x v="1"/>
    <x v="0"/>
    <x v="9"/>
    <x v="7"/>
    <n v="-7036372.96"/>
  </r>
  <r>
    <x v="4"/>
    <x v="0"/>
    <x v="1"/>
    <x v="0"/>
    <x v="1"/>
    <x v="4"/>
    <x v="0"/>
    <x v="0"/>
    <x v="0"/>
    <x v="0"/>
    <x v="0"/>
    <x v="4"/>
    <s v="24"/>
    <x v="1"/>
    <x v="0"/>
    <x v="9"/>
    <x v="5"/>
    <n v="5254528.6399999997"/>
  </r>
  <r>
    <x v="4"/>
    <x v="0"/>
    <x v="1"/>
    <x v="0"/>
    <x v="1"/>
    <x v="4"/>
    <x v="0"/>
    <x v="0"/>
    <x v="0"/>
    <x v="0"/>
    <x v="0"/>
    <x v="4"/>
    <s v="24"/>
    <x v="1"/>
    <x v="0"/>
    <x v="9"/>
    <x v="6"/>
    <n v="82321423.280000001"/>
  </r>
  <r>
    <x v="4"/>
    <x v="0"/>
    <x v="1"/>
    <x v="0"/>
    <x v="1"/>
    <x v="4"/>
    <x v="0"/>
    <x v="0"/>
    <x v="0"/>
    <x v="0"/>
    <x v="0"/>
    <x v="4"/>
    <s v="24"/>
    <x v="1"/>
    <x v="0"/>
    <x v="9"/>
    <x v="1"/>
    <n v="6580313.0800000001"/>
  </r>
  <r>
    <x v="4"/>
    <x v="0"/>
    <x v="1"/>
    <x v="0"/>
    <x v="1"/>
    <x v="4"/>
    <x v="0"/>
    <x v="0"/>
    <x v="0"/>
    <x v="0"/>
    <x v="0"/>
    <x v="4"/>
    <s v="24"/>
    <x v="1"/>
    <x v="0"/>
    <x v="8"/>
    <x v="8"/>
    <n v="-14680"/>
  </r>
  <r>
    <x v="4"/>
    <x v="0"/>
    <x v="1"/>
    <x v="0"/>
    <x v="1"/>
    <x v="4"/>
    <x v="0"/>
    <x v="0"/>
    <x v="0"/>
    <x v="0"/>
    <x v="0"/>
    <x v="4"/>
    <s v="24"/>
    <x v="1"/>
    <x v="0"/>
    <x v="8"/>
    <x v="9"/>
    <n v="-1040"/>
  </r>
  <r>
    <x v="4"/>
    <x v="0"/>
    <x v="1"/>
    <x v="0"/>
    <x v="1"/>
    <x v="4"/>
    <x v="0"/>
    <x v="0"/>
    <x v="0"/>
    <x v="0"/>
    <x v="0"/>
    <x v="4"/>
    <s v="24"/>
    <x v="1"/>
    <x v="0"/>
    <x v="8"/>
    <x v="10"/>
    <n v="103611286.06"/>
  </r>
  <r>
    <x v="4"/>
    <x v="0"/>
    <x v="1"/>
    <x v="0"/>
    <x v="1"/>
    <x v="4"/>
    <x v="0"/>
    <x v="0"/>
    <x v="0"/>
    <x v="0"/>
    <x v="0"/>
    <x v="4"/>
    <s v="24"/>
    <x v="1"/>
    <x v="0"/>
    <x v="8"/>
    <x v="11"/>
    <n v="2175219.1"/>
  </r>
  <r>
    <x v="4"/>
    <x v="0"/>
    <x v="1"/>
    <x v="0"/>
    <x v="1"/>
    <x v="4"/>
    <x v="0"/>
    <x v="0"/>
    <x v="0"/>
    <x v="0"/>
    <x v="0"/>
    <x v="4"/>
    <s v="24"/>
    <x v="1"/>
    <x v="0"/>
    <x v="8"/>
    <x v="4"/>
    <n v="97495335.269999996"/>
  </r>
  <r>
    <x v="4"/>
    <x v="0"/>
    <x v="1"/>
    <x v="0"/>
    <x v="1"/>
    <x v="4"/>
    <x v="0"/>
    <x v="0"/>
    <x v="0"/>
    <x v="0"/>
    <x v="0"/>
    <x v="4"/>
    <s v="24"/>
    <x v="1"/>
    <x v="0"/>
    <x v="8"/>
    <x v="5"/>
    <n v="5773887.9500000002"/>
  </r>
  <r>
    <x v="4"/>
    <x v="0"/>
    <x v="1"/>
    <x v="0"/>
    <x v="1"/>
    <x v="4"/>
    <x v="0"/>
    <x v="0"/>
    <x v="0"/>
    <x v="0"/>
    <x v="0"/>
    <x v="4"/>
    <s v="24"/>
    <x v="1"/>
    <x v="0"/>
    <x v="8"/>
    <x v="6"/>
    <n v="93242007.310000002"/>
  </r>
  <r>
    <x v="4"/>
    <x v="0"/>
    <x v="1"/>
    <x v="0"/>
    <x v="1"/>
    <x v="4"/>
    <x v="0"/>
    <x v="0"/>
    <x v="0"/>
    <x v="0"/>
    <x v="0"/>
    <x v="4"/>
    <s v="24"/>
    <x v="1"/>
    <x v="0"/>
    <x v="8"/>
    <x v="1"/>
    <n v="4833603.41"/>
  </r>
  <r>
    <x v="4"/>
    <x v="0"/>
    <x v="1"/>
    <x v="0"/>
    <x v="1"/>
    <x v="4"/>
    <x v="0"/>
    <x v="0"/>
    <x v="0"/>
    <x v="0"/>
    <x v="0"/>
    <x v="4"/>
    <s v="30"/>
    <x v="3"/>
    <x v="0"/>
    <x v="9"/>
    <x v="0"/>
    <n v="2592.8000000000002"/>
  </r>
  <r>
    <x v="4"/>
    <x v="0"/>
    <x v="1"/>
    <x v="0"/>
    <x v="1"/>
    <x v="4"/>
    <x v="0"/>
    <x v="0"/>
    <x v="0"/>
    <x v="0"/>
    <x v="0"/>
    <x v="4"/>
    <s v="30"/>
    <x v="3"/>
    <x v="0"/>
    <x v="9"/>
    <x v="2"/>
    <n v="10270.459999999999"/>
  </r>
  <r>
    <x v="4"/>
    <x v="0"/>
    <x v="1"/>
    <x v="0"/>
    <x v="1"/>
    <x v="4"/>
    <x v="0"/>
    <x v="0"/>
    <x v="0"/>
    <x v="0"/>
    <x v="0"/>
    <x v="4"/>
    <s v="30"/>
    <x v="3"/>
    <x v="0"/>
    <x v="9"/>
    <x v="8"/>
    <n v="4563.54"/>
  </r>
  <r>
    <x v="4"/>
    <x v="0"/>
    <x v="1"/>
    <x v="0"/>
    <x v="1"/>
    <x v="4"/>
    <x v="0"/>
    <x v="0"/>
    <x v="0"/>
    <x v="0"/>
    <x v="0"/>
    <x v="4"/>
    <s v="30"/>
    <x v="3"/>
    <x v="0"/>
    <x v="9"/>
    <x v="9"/>
    <n v="4668.51"/>
  </r>
  <r>
    <x v="4"/>
    <x v="0"/>
    <x v="1"/>
    <x v="0"/>
    <x v="1"/>
    <x v="4"/>
    <x v="0"/>
    <x v="0"/>
    <x v="0"/>
    <x v="0"/>
    <x v="0"/>
    <x v="4"/>
    <s v="30"/>
    <x v="3"/>
    <x v="0"/>
    <x v="9"/>
    <x v="10"/>
    <n v="8667.08"/>
  </r>
  <r>
    <x v="4"/>
    <x v="0"/>
    <x v="1"/>
    <x v="0"/>
    <x v="1"/>
    <x v="4"/>
    <x v="0"/>
    <x v="0"/>
    <x v="0"/>
    <x v="0"/>
    <x v="0"/>
    <x v="4"/>
    <s v="30"/>
    <x v="3"/>
    <x v="0"/>
    <x v="9"/>
    <x v="11"/>
    <n v="-7175.18"/>
  </r>
  <r>
    <x v="4"/>
    <x v="0"/>
    <x v="1"/>
    <x v="0"/>
    <x v="1"/>
    <x v="4"/>
    <x v="0"/>
    <x v="0"/>
    <x v="0"/>
    <x v="0"/>
    <x v="0"/>
    <x v="4"/>
    <s v="30"/>
    <x v="3"/>
    <x v="0"/>
    <x v="9"/>
    <x v="3"/>
    <n v="4510.04"/>
  </r>
  <r>
    <x v="4"/>
    <x v="0"/>
    <x v="1"/>
    <x v="0"/>
    <x v="1"/>
    <x v="4"/>
    <x v="0"/>
    <x v="0"/>
    <x v="0"/>
    <x v="0"/>
    <x v="0"/>
    <x v="4"/>
    <s v="30"/>
    <x v="3"/>
    <x v="0"/>
    <x v="9"/>
    <x v="4"/>
    <n v="-6010.65"/>
  </r>
  <r>
    <x v="4"/>
    <x v="0"/>
    <x v="1"/>
    <x v="0"/>
    <x v="1"/>
    <x v="4"/>
    <x v="0"/>
    <x v="0"/>
    <x v="0"/>
    <x v="0"/>
    <x v="0"/>
    <x v="4"/>
    <s v="30"/>
    <x v="3"/>
    <x v="0"/>
    <x v="9"/>
    <x v="7"/>
    <n v="1686.44"/>
  </r>
  <r>
    <x v="4"/>
    <x v="0"/>
    <x v="1"/>
    <x v="0"/>
    <x v="1"/>
    <x v="4"/>
    <x v="0"/>
    <x v="0"/>
    <x v="0"/>
    <x v="0"/>
    <x v="0"/>
    <x v="4"/>
    <s v="30"/>
    <x v="3"/>
    <x v="0"/>
    <x v="9"/>
    <x v="5"/>
    <n v="-8048.12"/>
  </r>
  <r>
    <x v="4"/>
    <x v="0"/>
    <x v="1"/>
    <x v="0"/>
    <x v="1"/>
    <x v="4"/>
    <x v="0"/>
    <x v="0"/>
    <x v="0"/>
    <x v="0"/>
    <x v="0"/>
    <x v="4"/>
    <s v="30"/>
    <x v="3"/>
    <x v="0"/>
    <x v="9"/>
    <x v="6"/>
    <n v="520.23"/>
  </r>
  <r>
    <x v="4"/>
    <x v="0"/>
    <x v="1"/>
    <x v="0"/>
    <x v="1"/>
    <x v="4"/>
    <x v="0"/>
    <x v="0"/>
    <x v="0"/>
    <x v="0"/>
    <x v="0"/>
    <x v="4"/>
    <s v="30"/>
    <x v="3"/>
    <x v="0"/>
    <x v="9"/>
    <x v="1"/>
    <n v="-4941.05"/>
  </r>
  <r>
    <x v="4"/>
    <x v="0"/>
    <x v="1"/>
    <x v="0"/>
    <x v="1"/>
    <x v="4"/>
    <x v="0"/>
    <x v="0"/>
    <x v="0"/>
    <x v="0"/>
    <x v="0"/>
    <x v="4"/>
    <s v="30"/>
    <x v="3"/>
    <x v="0"/>
    <x v="8"/>
    <x v="0"/>
    <n v="29313.7"/>
  </r>
  <r>
    <x v="4"/>
    <x v="0"/>
    <x v="1"/>
    <x v="0"/>
    <x v="1"/>
    <x v="4"/>
    <x v="0"/>
    <x v="0"/>
    <x v="0"/>
    <x v="0"/>
    <x v="0"/>
    <x v="4"/>
    <s v="30"/>
    <x v="3"/>
    <x v="0"/>
    <x v="8"/>
    <x v="2"/>
    <n v="8365.3700000000008"/>
  </r>
  <r>
    <x v="4"/>
    <x v="0"/>
    <x v="1"/>
    <x v="0"/>
    <x v="1"/>
    <x v="4"/>
    <x v="0"/>
    <x v="0"/>
    <x v="0"/>
    <x v="0"/>
    <x v="0"/>
    <x v="4"/>
    <s v="30"/>
    <x v="3"/>
    <x v="0"/>
    <x v="8"/>
    <x v="8"/>
    <n v="780.83"/>
  </r>
  <r>
    <x v="4"/>
    <x v="0"/>
    <x v="1"/>
    <x v="0"/>
    <x v="1"/>
    <x v="4"/>
    <x v="0"/>
    <x v="0"/>
    <x v="0"/>
    <x v="0"/>
    <x v="0"/>
    <x v="4"/>
    <s v="30"/>
    <x v="3"/>
    <x v="0"/>
    <x v="8"/>
    <x v="9"/>
    <n v="88.5"/>
  </r>
  <r>
    <x v="4"/>
    <x v="0"/>
    <x v="1"/>
    <x v="0"/>
    <x v="1"/>
    <x v="4"/>
    <x v="0"/>
    <x v="0"/>
    <x v="0"/>
    <x v="0"/>
    <x v="0"/>
    <x v="4"/>
    <s v="30"/>
    <x v="3"/>
    <x v="0"/>
    <x v="8"/>
    <x v="10"/>
    <n v="46432.9"/>
  </r>
  <r>
    <x v="4"/>
    <x v="0"/>
    <x v="1"/>
    <x v="0"/>
    <x v="1"/>
    <x v="4"/>
    <x v="0"/>
    <x v="0"/>
    <x v="0"/>
    <x v="0"/>
    <x v="0"/>
    <x v="4"/>
    <s v="30"/>
    <x v="3"/>
    <x v="0"/>
    <x v="8"/>
    <x v="11"/>
    <n v="1544.49"/>
  </r>
  <r>
    <x v="4"/>
    <x v="0"/>
    <x v="1"/>
    <x v="0"/>
    <x v="1"/>
    <x v="4"/>
    <x v="0"/>
    <x v="0"/>
    <x v="0"/>
    <x v="0"/>
    <x v="0"/>
    <x v="4"/>
    <s v="30"/>
    <x v="3"/>
    <x v="0"/>
    <x v="8"/>
    <x v="3"/>
    <n v="-79.319999999999993"/>
  </r>
  <r>
    <x v="4"/>
    <x v="0"/>
    <x v="1"/>
    <x v="0"/>
    <x v="1"/>
    <x v="4"/>
    <x v="0"/>
    <x v="0"/>
    <x v="0"/>
    <x v="0"/>
    <x v="0"/>
    <x v="4"/>
    <s v="30"/>
    <x v="3"/>
    <x v="0"/>
    <x v="8"/>
    <x v="4"/>
    <n v="6030.24"/>
  </r>
  <r>
    <x v="4"/>
    <x v="0"/>
    <x v="1"/>
    <x v="0"/>
    <x v="1"/>
    <x v="4"/>
    <x v="0"/>
    <x v="0"/>
    <x v="0"/>
    <x v="0"/>
    <x v="0"/>
    <x v="4"/>
    <s v="30"/>
    <x v="3"/>
    <x v="0"/>
    <x v="8"/>
    <x v="7"/>
    <n v="-5670.7"/>
  </r>
  <r>
    <x v="4"/>
    <x v="0"/>
    <x v="1"/>
    <x v="0"/>
    <x v="1"/>
    <x v="4"/>
    <x v="0"/>
    <x v="0"/>
    <x v="0"/>
    <x v="0"/>
    <x v="0"/>
    <x v="4"/>
    <s v="30"/>
    <x v="3"/>
    <x v="0"/>
    <x v="8"/>
    <x v="5"/>
    <n v="-61582.34"/>
  </r>
  <r>
    <x v="4"/>
    <x v="0"/>
    <x v="1"/>
    <x v="0"/>
    <x v="1"/>
    <x v="4"/>
    <x v="0"/>
    <x v="0"/>
    <x v="0"/>
    <x v="0"/>
    <x v="0"/>
    <x v="4"/>
    <s v="30"/>
    <x v="3"/>
    <x v="0"/>
    <x v="8"/>
    <x v="6"/>
    <n v="217.69"/>
  </r>
  <r>
    <x v="4"/>
    <x v="0"/>
    <x v="1"/>
    <x v="0"/>
    <x v="1"/>
    <x v="4"/>
    <x v="0"/>
    <x v="0"/>
    <x v="0"/>
    <x v="0"/>
    <x v="0"/>
    <x v="4"/>
    <s v="30"/>
    <x v="3"/>
    <x v="0"/>
    <x v="8"/>
    <x v="1"/>
    <n v="-36745.46"/>
  </r>
  <r>
    <x v="4"/>
    <x v="0"/>
    <x v="1"/>
    <x v="0"/>
    <x v="1"/>
    <x v="4"/>
    <x v="0"/>
    <x v="0"/>
    <x v="0"/>
    <x v="0"/>
    <x v="0"/>
    <x v="4"/>
    <s v="99"/>
    <x v="9"/>
    <x v="0"/>
    <x v="9"/>
    <x v="8"/>
    <n v="9470515.2599999998"/>
  </r>
  <r>
    <x v="4"/>
    <x v="0"/>
    <x v="1"/>
    <x v="0"/>
    <x v="1"/>
    <x v="4"/>
    <x v="0"/>
    <x v="0"/>
    <x v="0"/>
    <x v="0"/>
    <x v="0"/>
    <x v="4"/>
    <s v="99"/>
    <x v="9"/>
    <x v="0"/>
    <x v="9"/>
    <x v="9"/>
    <n v="16064.32"/>
  </r>
  <r>
    <x v="4"/>
    <x v="0"/>
    <x v="1"/>
    <x v="0"/>
    <x v="1"/>
    <x v="4"/>
    <x v="0"/>
    <x v="0"/>
    <x v="0"/>
    <x v="0"/>
    <x v="0"/>
    <x v="4"/>
    <s v="99"/>
    <x v="9"/>
    <x v="0"/>
    <x v="9"/>
    <x v="1"/>
    <n v="-4574343.17"/>
  </r>
  <r>
    <x v="4"/>
    <x v="0"/>
    <x v="1"/>
    <x v="0"/>
    <x v="1"/>
    <x v="4"/>
    <x v="0"/>
    <x v="0"/>
    <x v="0"/>
    <x v="0"/>
    <x v="0"/>
    <x v="4"/>
    <s v="99"/>
    <x v="9"/>
    <x v="0"/>
    <x v="8"/>
    <x v="6"/>
    <n v="-843.8"/>
  </r>
  <r>
    <x v="4"/>
    <x v="0"/>
    <x v="1"/>
    <x v="0"/>
    <x v="1"/>
    <x v="4"/>
    <x v="0"/>
    <x v="0"/>
    <x v="0"/>
    <x v="0"/>
    <x v="0"/>
    <x v="4"/>
    <s v="99"/>
    <x v="9"/>
    <x v="0"/>
    <x v="8"/>
    <x v="1"/>
    <n v="33013760.539999999"/>
  </r>
  <r>
    <x v="4"/>
    <x v="0"/>
    <x v="1"/>
    <x v="0"/>
    <x v="1"/>
    <x v="4"/>
    <x v="0"/>
    <x v="0"/>
    <x v="0"/>
    <x v="0"/>
    <x v="4"/>
    <x v="5"/>
    <s v="21"/>
    <x v="27"/>
    <x v="0"/>
    <x v="9"/>
    <x v="0"/>
    <n v="-508762.5"/>
  </r>
  <r>
    <x v="4"/>
    <x v="0"/>
    <x v="1"/>
    <x v="0"/>
    <x v="1"/>
    <x v="4"/>
    <x v="0"/>
    <x v="0"/>
    <x v="0"/>
    <x v="0"/>
    <x v="4"/>
    <x v="5"/>
    <s v="21"/>
    <x v="27"/>
    <x v="0"/>
    <x v="9"/>
    <x v="2"/>
    <n v="-62187.5"/>
  </r>
  <r>
    <x v="4"/>
    <x v="0"/>
    <x v="1"/>
    <x v="0"/>
    <x v="1"/>
    <x v="4"/>
    <x v="0"/>
    <x v="0"/>
    <x v="0"/>
    <x v="0"/>
    <x v="4"/>
    <x v="5"/>
    <s v="21"/>
    <x v="27"/>
    <x v="0"/>
    <x v="9"/>
    <x v="10"/>
    <n v="-151837.5"/>
  </r>
  <r>
    <x v="4"/>
    <x v="0"/>
    <x v="1"/>
    <x v="0"/>
    <x v="1"/>
    <x v="4"/>
    <x v="0"/>
    <x v="0"/>
    <x v="0"/>
    <x v="0"/>
    <x v="4"/>
    <x v="5"/>
    <s v="21"/>
    <x v="27"/>
    <x v="0"/>
    <x v="9"/>
    <x v="11"/>
    <n v="-9007.02"/>
  </r>
  <r>
    <x v="4"/>
    <x v="0"/>
    <x v="1"/>
    <x v="0"/>
    <x v="1"/>
    <x v="4"/>
    <x v="0"/>
    <x v="0"/>
    <x v="0"/>
    <x v="0"/>
    <x v="4"/>
    <x v="5"/>
    <s v="21"/>
    <x v="27"/>
    <x v="0"/>
    <x v="9"/>
    <x v="3"/>
    <n v="-1712110.56"/>
  </r>
  <r>
    <x v="4"/>
    <x v="0"/>
    <x v="1"/>
    <x v="0"/>
    <x v="1"/>
    <x v="4"/>
    <x v="0"/>
    <x v="0"/>
    <x v="0"/>
    <x v="0"/>
    <x v="4"/>
    <x v="5"/>
    <s v="21"/>
    <x v="27"/>
    <x v="0"/>
    <x v="9"/>
    <x v="4"/>
    <n v="-517187.5"/>
  </r>
  <r>
    <x v="4"/>
    <x v="0"/>
    <x v="1"/>
    <x v="0"/>
    <x v="1"/>
    <x v="4"/>
    <x v="0"/>
    <x v="0"/>
    <x v="0"/>
    <x v="0"/>
    <x v="4"/>
    <x v="5"/>
    <s v="21"/>
    <x v="27"/>
    <x v="0"/>
    <x v="9"/>
    <x v="5"/>
    <n v="15192"/>
  </r>
  <r>
    <x v="4"/>
    <x v="0"/>
    <x v="1"/>
    <x v="0"/>
    <x v="1"/>
    <x v="4"/>
    <x v="0"/>
    <x v="0"/>
    <x v="0"/>
    <x v="0"/>
    <x v="4"/>
    <x v="5"/>
    <s v="21"/>
    <x v="27"/>
    <x v="0"/>
    <x v="9"/>
    <x v="6"/>
    <n v="-543050.12"/>
  </r>
  <r>
    <x v="4"/>
    <x v="0"/>
    <x v="1"/>
    <x v="0"/>
    <x v="1"/>
    <x v="4"/>
    <x v="0"/>
    <x v="0"/>
    <x v="0"/>
    <x v="0"/>
    <x v="4"/>
    <x v="5"/>
    <s v="21"/>
    <x v="27"/>
    <x v="0"/>
    <x v="9"/>
    <x v="1"/>
    <n v="3734768.03"/>
  </r>
  <r>
    <x v="4"/>
    <x v="0"/>
    <x v="1"/>
    <x v="0"/>
    <x v="1"/>
    <x v="4"/>
    <x v="0"/>
    <x v="0"/>
    <x v="0"/>
    <x v="0"/>
    <x v="4"/>
    <x v="5"/>
    <s v="21"/>
    <x v="27"/>
    <x v="0"/>
    <x v="8"/>
    <x v="0"/>
    <n v="-548441.73"/>
  </r>
  <r>
    <x v="4"/>
    <x v="0"/>
    <x v="1"/>
    <x v="0"/>
    <x v="1"/>
    <x v="4"/>
    <x v="0"/>
    <x v="0"/>
    <x v="0"/>
    <x v="0"/>
    <x v="4"/>
    <x v="5"/>
    <s v="21"/>
    <x v="27"/>
    <x v="0"/>
    <x v="8"/>
    <x v="2"/>
    <n v="-380301.46"/>
  </r>
  <r>
    <x v="4"/>
    <x v="0"/>
    <x v="1"/>
    <x v="0"/>
    <x v="1"/>
    <x v="4"/>
    <x v="0"/>
    <x v="0"/>
    <x v="0"/>
    <x v="0"/>
    <x v="4"/>
    <x v="5"/>
    <s v="21"/>
    <x v="27"/>
    <x v="0"/>
    <x v="8"/>
    <x v="8"/>
    <n v="693117.54"/>
  </r>
  <r>
    <x v="4"/>
    <x v="0"/>
    <x v="1"/>
    <x v="0"/>
    <x v="1"/>
    <x v="4"/>
    <x v="0"/>
    <x v="0"/>
    <x v="0"/>
    <x v="0"/>
    <x v="4"/>
    <x v="5"/>
    <s v="21"/>
    <x v="27"/>
    <x v="0"/>
    <x v="8"/>
    <x v="9"/>
    <n v="-380301.46"/>
  </r>
  <r>
    <x v="4"/>
    <x v="0"/>
    <x v="1"/>
    <x v="0"/>
    <x v="1"/>
    <x v="4"/>
    <x v="0"/>
    <x v="0"/>
    <x v="0"/>
    <x v="0"/>
    <x v="4"/>
    <x v="5"/>
    <s v="21"/>
    <x v="27"/>
    <x v="0"/>
    <x v="8"/>
    <x v="10"/>
    <n v="-380301.46"/>
  </r>
  <r>
    <x v="4"/>
    <x v="0"/>
    <x v="1"/>
    <x v="0"/>
    <x v="1"/>
    <x v="4"/>
    <x v="0"/>
    <x v="0"/>
    <x v="0"/>
    <x v="0"/>
    <x v="4"/>
    <x v="5"/>
    <s v="21"/>
    <x v="27"/>
    <x v="0"/>
    <x v="8"/>
    <x v="11"/>
    <n v="-380301.46"/>
  </r>
  <r>
    <x v="4"/>
    <x v="0"/>
    <x v="1"/>
    <x v="0"/>
    <x v="1"/>
    <x v="4"/>
    <x v="0"/>
    <x v="0"/>
    <x v="0"/>
    <x v="0"/>
    <x v="4"/>
    <x v="5"/>
    <s v="21"/>
    <x v="27"/>
    <x v="0"/>
    <x v="8"/>
    <x v="3"/>
    <n v="-412452.38"/>
  </r>
  <r>
    <x v="4"/>
    <x v="0"/>
    <x v="1"/>
    <x v="0"/>
    <x v="1"/>
    <x v="4"/>
    <x v="0"/>
    <x v="0"/>
    <x v="0"/>
    <x v="0"/>
    <x v="4"/>
    <x v="5"/>
    <s v="21"/>
    <x v="27"/>
    <x v="0"/>
    <x v="8"/>
    <x v="4"/>
    <n v="-789952.38"/>
  </r>
  <r>
    <x v="4"/>
    <x v="0"/>
    <x v="1"/>
    <x v="0"/>
    <x v="1"/>
    <x v="4"/>
    <x v="0"/>
    <x v="0"/>
    <x v="0"/>
    <x v="0"/>
    <x v="4"/>
    <x v="5"/>
    <s v="21"/>
    <x v="27"/>
    <x v="0"/>
    <x v="8"/>
    <x v="7"/>
    <n v="-412452.38"/>
  </r>
  <r>
    <x v="4"/>
    <x v="0"/>
    <x v="1"/>
    <x v="0"/>
    <x v="1"/>
    <x v="4"/>
    <x v="0"/>
    <x v="0"/>
    <x v="0"/>
    <x v="0"/>
    <x v="4"/>
    <x v="5"/>
    <s v="21"/>
    <x v="27"/>
    <x v="0"/>
    <x v="8"/>
    <x v="5"/>
    <n v="-283848.7"/>
  </r>
  <r>
    <x v="4"/>
    <x v="0"/>
    <x v="1"/>
    <x v="0"/>
    <x v="1"/>
    <x v="4"/>
    <x v="0"/>
    <x v="0"/>
    <x v="0"/>
    <x v="0"/>
    <x v="4"/>
    <x v="5"/>
    <s v="21"/>
    <x v="27"/>
    <x v="0"/>
    <x v="8"/>
    <x v="6"/>
    <n v="-530301.46"/>
  </r>
  <r>
    <x v="4"/>
    <x v="0"/>
    <x v="1"/>
    <x v="0"/>
    <x v="1"/>
    <x v="4"/>
    <x v="0"/>
    <x v="0"/>
    <x v="0"/>
    <x v="0"/>
    <x v="4"/>
    <x v="5"/>
    <s v="21"/>
    <x v="27"/>
    <x v="0"/>
    <x v="8"/>
    <x v="1"/>
    <n v="-1763538.57"/>
  </r>
  <r>
    <x v="4"/>
    <x v="0"/>
    <x v="1"/>
    <x v="0"/>
    <x v="1"/>
    <x v="4"/>
    <x v="0"/>
    <x v="0"/>
    <x v="0"/>
    <x v="0"/>
    <x v="4"/>
    <x v="5"/>
    <s v="22"/>
    <x v="25"/>
    <x v="0"/>
    <x v="9"/>
    <x v="2"/>
    <n v="-13744"/>
  </r>
  <r>
    <x v="4"/>
    <x v="0"/>
    <x v="1"/>
    <x v="0"/>
    <x v="1"/>
    <x v="4"/>
    <x v="0"/>
    <x v="0"/>
    <x v="0"/>
    <x v="0"/>
    <x v="4"/>
    <x v="5"/>
    <s v="22"/>
    <x v="25"/>
    <x v="0"/>
    <x v="9"/>
    <x v="9"/>
    <n v="-179542"/>
  </r>
  <r>
    <x v="4"/>
    <x v="0"/>
    <x v="1"/>
    <x v="0"/>
    <x v="1"/>
    <x v="4"/>
    <x v="0"/>
    <x v="0"/>
    <x v="0"/>
    <x v="0"/>
    <x v="4"/>
    <x v="5"/>
    <s v="22"/>
    <x v="25"/>
    <x v="0"/>
    <x v="9"/>
    <x v="11"/>
    <n v="-656"/>
  </r>
  <r>
    <x v="4"/>
    <x v="0"/>
    <x v="1"/>
    <x v="0"/>
    <x v="1"/>
    <x v="4"/>
    <x v="0"/>
    <x v="0"/>
    <x v="0"/>
    <x v="0"/>
    <x v="4"/>
    <x v="5"/>
    <s v="22"/>
    <x v="25"/>
    <x v="0"/>
    <x v="9"/>
    <x v="4"/>
    <n v="-600"/>
  </r>
  <r>
    <x v="4"/>
    <x v="0"/>
    <x v="1"/>
    <x v="0"/>
    <x v="1"/>
    <x v="4"/>
    <x v="0"/>
    <x v="0"/>
    <x v="0"/>
    <x v="0"/>
    <x v="4"/>
    <x v="5"/>
    <s v="22"/>
    <x v="25"/>
    <x v="0"/>
    <x v="9"/>
    <x v="5"/>
    <n v="-792"/>
  </r>
  <r>
    <x v="4"/>
    <x v="0"/>
    <x v="1"/>
    <x v="0"/>
    <x v="1"/>
    <x v="4"/>
    <x v="0"/>
    <x v="0"/>
    <x v="0"/>
    <x v="0"/>
    <x v="4"/>
    <x v="5"/>
    <s v="22"/>
    <x v="25"/>
    <x v="0"/>
    <x v="8"/>
    <x v="0"/>
    <n v="-425.37"/>
  </r>
  <r>
    <x v="4"/>
    <x v="0"/>
    <x v="1"/>
    <x v="0"/>
    <x v="1"/>
    <x v="4"/>
    <x v="0"/>
    <x v="0"/>
    <x v="0"/>
    <x v="0"/>
    <x v="4"/>
    <x v="5"/>
    <s v="22"/>
    <x v="25"/>
    <x v="0"/>
    <x v="8"/>
    <x v="9"/>
    <n v="425.37"/>
  </r>
  <r>
    <x v="4"/>
    <x v="0"/>
    <x v="1"/>
    <x v="0"/>
    <x v="1"/>
    <x v="4"/>
    <x v="0"/>
    <x v="0"/>
    <x v="0"/>
    <x v="0"/>
    <x v="4"/>
    <x v="5"/>
    <s v="22"/>
    <x v="25"/>
    <x v="0"/>
    <x v="8"/>
    <x v="11"/>
    <n v="-5186"/>
  </r>
  <r>
    <x v="4"/>
    <x v="0"/>
    <x v="1"/>
    <x v="0"/>
    <x v="1"/>
    <x v="4"/>
    <x v="0"/>
    <x v="0"/>
    <x v="0"/>
    <x v="0"/>
    <x v="4"/>
    <x v="5"/>
    <s v="22"/>
    <x v="25"/>
    <x v="0"/>
    <x v="8"/>
    <x v="1"/>
    <n v="371457.05"/>
  </r>
  <r>
    <x v="4"/>
    <x v="0"/>
    <x v="1"/>
    <x v="0"/>
    <x v="1"/>
    <x v="0"/>
    <x v="0"/>
    <x v="0"/>
    <x v="0"/>
    <x v="1"/>
    <x v="1"/>
    <x v="8"/>
    <s v="41"/>
    <x v="4"/>
    <x v="0"/>
    <x v="9"/>
    <x v="3"/>
    <n v="150.69999999999999"/>
  </r>
  <r>
    <x v="4"/>
    <x v="0"/>
    <x v="1"/>
    <x v="0"/>
    <x v="1"/>
    <x v="0"/>
    <x v="0"/>
    <x v="0"/>
    <x v="0"/>
    <x v="1"/>
    <x v="1"/>
    <x v="8"/>
    <s v="41"/>
    <x v="4"/>
    <x v="0"/>
    <x v="9"/>
    <x v="7"/>
    <n v="93.21"/>
  </r>
  <r>
    <x v="4"/>
    <x v="0"/>
    <x v="1"/>
    <x v="0"/>
    <x v="1"/>
    <x v="0"/>
    <x v="0"/>
    <x v="0"/>
    <x v="0"/>
    <x v="1"/>
    <x v="1"/>
    <x v="8"/>
    <s v="41"/>
    <x v="4"/>
    <x v="0"/>
    <x v="9"/>
    <x v="5"/>
    <n v="132.05000000000001"/>
  </r>
  <r>
    <x v="4"/>
    <x v="0"/>
    <x v="1"/>
    <x v="0"/>
    <x v="1"/>
    <x v="0"/>
    <x v="0"/>
    <x v="0"/>
    <x v="0"/>
    <x v="1"/>
    <x v="1"/>
    <x v="8"/>
    <s v="41"/>
    <x v="4"/>
    <x v="0"/>
    <x v="9"/>
    <x v="1"/>
    <n v="-375.96"/>
  </r>
  <r>
    <x v="4"/>
    <x v="0"/>
    <x v="1"/>
    <x v="0"/>
    <x v="1"/>
    <x v="0"/>
    <x v="0"/>
    <x v="0"/>
    <x v="0"/>
    <x v="1"/>
    <x v="1"/>
    <x v="8"/>
    <s v="41"/>
    <x v="4"/>
    <x v="0"/>
    <x v="8"/>
    <x v="10"/>
    <n v="37326.9"/>
  </r>
  <r>
    <x v="4"/>
    <x v="0"/>
    <x v="1"/>
    <x v="0"/>
    <x v="1"/>
    <x v="0"/>
    <x v="0"/>
    <x v="0"/>
    <x v="0"/>
    <x v="1"/>
    <x v="1"/>
    <x v="8"/>
    <s v="41"/>
    <x v="4"/>
    <x v="0"/>
    <x v="8"/>
    <x v="4"/>
    <n v="-37500"/>
  </r>
  <r>
    <x v="4"/>
    <x v="0"/>
    <x v="1"/>
    <x v="0"/>
    <x v="1"/>
    <x v="0"/>
    <x v="0"/>
    <x v="0"/>
    <x v="0"/>
    <x v="1"/>
    <x v="1"/>
    <x v="8"/>
    <s v="41"/>
    <x v="4"/>
    <x v="0"/>
    <x v="8"/>
    <x v="7"/>
    <n v="173.1"/>
  </r>
  <r>
    <x v="4"/>
    <x v="0"/>
    <x v="1"/>
    <x v="0"/>
    <x v="1"/>
    <x v="0"/>
    <x v="0"/>
    <x v="0"/>
    <x v="0"/>
    <x v="0"/>
    <x v="0"/>
    <x v="4"/>
    <s v="02"/>
    <x v="5"/>
    <x v="0"/>
    <x v="8"/>
    <x v="1"/>
    <n v="110.78"/>
  </r>
  <r>
    <x v="4"/>
    <x v="0"/>
    <x v="1"/>
    <x v="0"/>
    <x v="1"/>
    <x v="0"/>
    <x v="0"/>
    <x v="0"/>
    <x v="0"/>
    <x v="0"/>
    <x v="0"/>
    <x v="4"/>
    <s v="09"/>
    <x v="0"/>
    <x v="0"/>
    <x v="9"/>
    <x v="0"/>
    <n v="189872.08"/>
  </r>
  <r>
    <x v="4"/>
    <x v="0"/>
    <x v="1"/>
    <x v="0"/>
    <x v="1"/>
    <x v="0"/>
    <x v="0"/>
    <x v="0"/>
    <x v="0"/>
    <x v="0"/>
    <x v="0"/>
    <x v="4"/>
    <s v="09"/>
    <x v="0"/>
    <x v="0"/>
    <x v="9"/>
    <x v="10"/>
    <n v="189534.85"/>
  </r>
  <r>
    <x v="4"/>
    <x v="0"/>
    <x v="1"/>
    <x v="0"/>
    <x v="1"/>
    <x v="0"/>
    <x v="0"/>
    <x v="0"/>
    <x v="0"/>
    <x v="0"/>
    <x v="0"/>
    <x v="4"/>
    <s v="09"/>
    <x v="0"/>
    <x v="0"/>
    <x v="9"/>
    <x v="4"/>
    <n v="373121.26"/>
  </r>
  <r>
    <x v="4"/>
    <x v="0"/>
    <x v="1"/>
    <x v="0"/>
    <x v="1"/>
    <x v="0"/>
    <x v="0"/>
    <x v="0"/>
    <x v="0"/>
    <x v="0"/>
    <x v="0"/>
    <x v="4"/>
    <s v="09"/>
    <x v="0"/>
    <x v="0"/>
    <x v="9"/>
    <x v="5"/>
    <n v="452168.93"/>
  </r>
  <r>
    <x v="4"/>
    <x v="0"/>
    <x v="1"/>
    <x v="0"/>
    <x v="1"/>
    <x v="0"/>
    <x v="0"/>
    <x v="0"/>
    <x v="0"/>
    <x v="0"/>
    <x v="0"/>
    <x v="4"/>
    <s v="09"/>
    <x v="0"/>
    <x v="0"/>
    <x v="8"/>
    <x v="0"/>
    <n v="166585.76"/>
  </r>
  <r>
    <x v="4"/>
    <x v="0"/>
    <x v="1"/>
    <x v="0"/>
    <x v="1"/>
    <x v="0"/>
    <x v="0"/>
    <x v="0"/>
    <x v="0"/>
    <x v="0"/>
    <x v="0"/>
    <x v="4"/>
    <s v="09"/>
    <x v="0"/>
    <x v="0"/>
    <x v="8"/>
    <x v="10"/>
    <n v="176846.98"/>
  </r>
  <r>
    <x v="4"/>
    <x v="0"/>
    <x v="1"/>
    <x v="0"/>
    <x v="1"/>
    <x v="0"/>
    <x v="0"/>
    <x v="0"/>
    <x v="0"/>
    <x v="0"/>
    <x v="0"/>
    <x v="4"/>
    <s v="09"/>
    <x v="0"/>
    <x v="0"/>
    <x v="8"/>
    <x v="3"/>
    <n v="327361.43"/>
  </r>
  <r>
    <x v="4"/>
    <x v="0"/>
    <x v="1"/>
    <x v="0"/>
    <x v="1"/>
    <x v="0"/>
    <x v="0"/>
    <x v="0"/>
    <x v="0"/>
    <x v="0"/>
    <x v="0"/>
    <x v="4"/>
    <s v="09"/>
    <x v="0"/>
    <x v="0"/>
    <x v="8"/>
    <x v="6"/>
    <n v="368258.38"/>
  </r>
  <r>
    <x v="4"/>
    <x v="0"/>
    <x v="1"/>
    <x v="0"/>
    <x v="1"/>
    <x v="0"/>
    <x v="0"/>
    <x v="0"/>
    <x v="0"/>
    <x v="0"/>
    <x v="0"/>
    <x v="4"/>
    <s v="09"/>
    <x v="0"/>
    <x v="0"/>
    <x v="8"/>
    <x v="1"/>
    <n v="139492.53"/>
  </r>
  <r>
    <x v="4"/>
    <x v="0"/>
    <x v="1"/>
    <x v="0"/>
    <x v="1"/>
    <x v="0"/>
    <x v="0"/>
    <x v="0"/>
    <x v="0"/>
    <x v="0"/>
    <x v="0"/>
    <x v="4"/>
    <s v="20"/>
    <x v="7"/>
    <x v="0"/>
    <x v="9"/>
    <x v="0"/>
    <n v="-41.65"/>
  </r>
  <r>
    <x v="4"/>
    <x v="0"/>
    <x v="1"/>
    <x v="0"/>
    <x v="1"/>
    <x v="0"/>
    <x v="0"/>
    <x v="0"/>
    <x v="0"/>
    <x v="0"/>
    <x v="0"/>
    <x v="4"/>
    <s v="20"/>
    <x v="7"/>
    <x v="0"/>
    <x v="9"/>
    <x v="2"/>
    <n v="-754.95"/>
  </r>
  <r>
    <x v="4"/>
    <x v="0"/>
    <x v="1"/>
    <x v="0"/>
    <x v="1"/>
    <x v="0"/>
    <x v="0"/>
    <x v="0"/>
    <x v="0"/>
    <x v="0"/>
    <x v="0"/>
    <x v="4"/>
    <s v="20"/>
    <x v="7"/>
    <x v="0"/>
    <x v="9"/>
    <x v="8"/>
    <n v="-75"/>
  </r>
  <r>
    <x v="4"/>
    <x v="0"/>
    <x v="1"/>
    <x v="0"/>
    <x v="1"/>
    <x v="0"/>
    <x v="0"/>
    <x v="0"/>
    <x v="0"/>
    <x v="0"/>
    <x v="0"/>
    <x v="4"/>
    <s v="20"/>
    <x v="7"/>
    <x v="0"/>
    <x v="9"/>
    <x v="9"/>
    <n v="871.6"/>
  </r>
  <r>
    <x v="4"/>
    <x v="0"/>
    <x v="1"/>
    <x v="0"/>
    <x v="1"/>
    <x v="0"/>
    <x v="0"/>
    <x v="0"/>
    <x v="0"/>
    <x v="0"/>
    <x v="0"/>
    <x v="4"/>
    <s v="20"/>
    <x v="7"/>
    <x v="0"/>
    <x v="9"/>
    <x v="10"/>
    <n v="77"/>
  </r>
  <r>
    <x v="4"/>
    <x v="0"/>
    <x v="1"/>
    <x v="0"/>
    <x v="1"/>
    <x v="0"/>
    <x v="0"/>
    <x v="0"/>
    <x v="0"/>
    <x v="0"/>
    <x v="0"/>
    <x v="4"/>
    <s v="20"/>
    <x v="7"/>
    <x v="0"/>
    <x v="9"/>
    <x v="11"/>
    <n v="-62"/>
  </r>
  <r>
    <x v="4"/>
    <x v="0"/>
    <x v="1"/>
    <x v="0"/>
    <x v="1"/>
    <x v="0"/>
    <x v="0"/>
    <x v="0"/>
    <x v="0"/>
    <x v="0"/>
    <x v="0"/>
    <x v="4"/>
    <s v="20"/>
    <x v="7"/>
    <x v="0"/>
    <x v="9"/>
    <x v="4"/>
    <n v="-15"/>
  </r>
  <r>
    <x v="4"/>
    <x v="0"/>
    <x v="1"/>
    <x v="0"/>
    <x v="1"/>
    <x v="0"/>
    <x v="0"/>
    <x v="0"/>
    <x v="0"/>
    <x v="0"/>
    <x v="0"/>
    <x v="4"/>
    <s v="20"/>
    <x v="7"/>
    <x v="0"/>
    <x v="8"/>
    <x v="8"/>
    <n v="104"/>
  </r>
  <r>
    <x v="4"/>
    <x v="0"/>
    <x v="1"/>
    <x v="0"/>
    <x v="1"/>
    <x v="0"/>
    <x v="0"/>
    <x v="0"/>
    <x v="0"/>
    <x v="0"/>
    <x v="0"/>
    <x v="4"/>
    <s v="20"/>
    <x v="7"/>
    <x v="0"/>
    <x v="8"/>
    <x v="9"/>
    <n v="-100"/>
  </r>
  <r>
    <x v="4"/>
    <x v="0"/>
    <x v="1"/>
    <x v="0"/>
    <x v="1"/>
    <x v="0"/>
    <x v="0"/>
    <x v="0"/>
    <x v="0"/>
    <x v="0"/>
    <x v="0"/>
    <x v="4"/>
    <s v="20"/>
    <x v="7"/>
    <x v="0"/>
    <x v="8"/>
    <x v="7"/>
    <n v="-4"/>
  </r>
  <r>
    <x v="4"/>
    <x v="0"/>
    <x v="1"/>
    <x v="0"/>
    <x v="1"/>
    <x v="0"/>
    <x v="0"/>
    <x v="0"/>
    <x v="0"/>
    <x v="0"/>
    <x v="0"/>
    <x v="4"/>
    <s v="20"/>
    <x v="7"/>
    <x v="0"/>
    <x v="8"/>
    <x v="6"/>
    <n v="-75"/>
  </r>
  <r>
    <x v="4"/>
    <x v="0"/>
    <x v="1"/>
    <x v="0"/>
    <x v="1"/>
    <x v="0"/>
    <x v="0"/>
    <x v="0"/>
    <x v="0"/>
    <x v="0"/>
    <x v="0"/>
    <x v="4"/>
    <s v="20"/>
    <x v="7"/>
    <x v="0"/>
    <x v="8"/>
    <x v="1"/>
    <n v="5462"/>
  </r>
  <r>
    <x v="4"/>
    <x v="0"/>
    <x v="1"/>
    <x v="0"/>
    <x v="1"/>
    <x v="0"/>
    <x v="0"/>
    <x v="0"/>
    <x v="0"/>
    <x v="0"/>
    <x v="0"/>
    <x v="4"/>
    <s v="24"/>
    <x v="1"/>
    <x v="0"/>
    <x v="9"/>
    <x v="0"/>
    <n v="15558.81"/>
  </r>
  <r>
    <x v="4"/>
    <x v="0"/>
    <x v="1"/>
    <x v="0"/>
    <x v="1"/>
    <x v="0"/>
    <x v="0"/>
    <x v="0"/>
    <x v="0"/>
    <x v="0"/>
    <x v="0"/>
    <x v="4"/>
    <s v="24"/>
    <x v="1"/>
    <x v="0"/>
    <x v="9"/>
    <x v="2"/>
    <n v="53914632.740000002"/>
  </r>
  <r>
    <x v="4"/>
    <x v="0"/>
    <x v="1"/>
    <x v="0"/>
    <x v="1"/>
    <x v="0"/>
    <x v="0"/>
    <x v="0"/>
    <x v="0"/>
    <x v="0"/>
    <x v="0"/>
    <x v="4"/>
    <s v="24"/>
    <x v="1"/>
    <x v="0"/>
    <x v="9"/>
    <x v="8"/>
    <n v="8295350.4900000002"/>
  </r>
  <r>
    <x v="4"/>
    <x v="0"/>
    <x v="1"/>
    <x v="0"/>
    <x v="1"/>
    <x v="0"/>
    <x v="0"/>
    <x v="0"/>
    <x v="0"/>
    <x v="0"/>
    <x v="0"/>
    <x v="4"/>
    <s v="24"/>
    <x v="1"/>
    <x v="0"/>
    <x v="9"/>
    <x v="9"/>
    <n v="147630.42000000001"/>
  </r>
  <r>
    <x v="4"/>
    <x v="0"/>
    <x v="1"/>
    <x v="0"/>
    <x v="1"/>
    <x v="0"/>
    <x v="0"/>
    <x v="0"/>
    <x v="0"/>
    <x v="0"/>
    <x v="0"/>
    <x v="4"/>
    <s v="24"/>
    <x v="1"/>
    <x v="0"/>
    <x v="9"/>
    <x v="10"/>
    <n v="362939.69"/>
  </r>
  <r>
    <x v="4"/>
    <x v="0"/>
    <x v="1"/>
    <x v="0"/>
    <x v="1"/>
    <x v="0"/>
    <x v="0"/>
    <x v="0"/>
    <x v="0"/>
    <x v="0"/>
    <x v="0"/>
    <x v="4"/>
    <s v="24"/>
    <x v="1"/>
    <x v="0"/>
    <x v="9"/>
    <x v="11"/>
    <n v="215091.91"/>
  </r>
  <r>
    <x v="4"/>
    <x v="0"/>
    <x v="1"/>
    <x v="0"/>
    <x v="1"/>
    <x v="0"/>
    <x v="0"/>
    <x v="0"/>
    <x v="0"/>
    <x v="0"/>
    <x v="0"/>
    <x v="4"/>
    <s v="24"/>
    <x v="1"/>
    <x v="0"/>
    <x v="9"/>
    <x v="3"/>
    <n v="58400580.609999999"/>
  </r>
  <r>
    <x v="4"/>
    <x v="0"/>
    <x v="1"/>
    <x v="0"/>
    <x v="1"/>
    <x v="0"/>
    <x v="0"/>
    <x v="0"/>
    <x v="0"/>
    <x v="0"/>
    <x v="0"/>
    <x v="4"/>
    <s v="24"/>
    <x v="1"/>
    <x v="0"/>
    <x v="9"/>
    <x v="4"/>
    <n v="814122.36"/>
  </r>
  <r>
    <x v="4"/>
    <x v="0"/>
    <x v="1"/>
    <x v="0"/>
    <x v="1"/>
    <x v="0"/>
    <x v="0"/>
    <x v="0"/>
    <x v="0"/>
    <x v="0"/>
    <x v="0"/>
    <x v="4"/>
    <s v="24"/>
    <x v="1"/>
    <x v="0"/>
    <x v="9"/>
    <x v="7"/>
    <n v="389893.6"/>
  </r>
  <r>
    <x v="4"/>
    <x v="0"/>
    <x v="1"/>
    <x v="0"/>
    <x v="1"/>
    <x v="0"/>
    <x v="0"/>
    <x v="0"/>
    <x v="0"/>
    <x v="0"/>
    <x v="0"/>
    <x v="4"/>
    <s v="24"/>
    <x v="1"/>
    <x v="0"/>
    <x v="9"/>
    <x v="5"/>
    <n v="291489.12"/>
  </r>
  <r>
    <x v="4"/>
    <x v="0"/>
    <x v="1"/>
    <x v="0"/>
    <x v="1"/>
    <x v="0"/>
    <x v="0"/>
    <x v="0"/>
    <x v="0"/>
    <x v="0"/>
    <x v="0"/>
    <x v="4"/>
    <s v="24"/>
    <x v="1"/>
    <x v="0"/>
    <x v="9"/>
    <x v="6"/>
    <n v="-1273501.21"/>
  </r>
  <r>
    <x v="4"/>
    <x v="0"/>
    <x v="1"/>
    <x v="0"/>
    <x v="1"/>
    <x v="0"/>
    <x v="0"/>
    <x v="0"/>
    <x v="0"/>
    <x v="0"/>
    <x v="0"/>
    <x v="4"/>
    <s v="24"/>
    <x v="1"/>
    <x v="0"/>
    <x v="9"/>
    <x v="1"/>
    <n v="-391186.16"/>
  </r>
  <r>
    <x v="4"/>
    <x v="0"/>
    <x v="1"/>
    <x v="0"/>
    <x v="1"/>
    <x v="0"/>
    <x v="0"/>
    <x v="0"/>
    <x v="0"/>
    <x v="0"/>
    <x v="0"/>
    <x v="4"/>
    <s v="24"/>
    <x v="1"/>
    <x v="0"/>
    <x v="8"/>
    <x v="0"/>
    <n v="21441.49"/>
  </r>
  <r>
    <x v="4"/>
    <x v="0"/>
    <x v="1"/>
    <x v="0"/>
    <x v="1"/>
    <x v="0"/>
    <x v="0"/>
    <x v="0"/>
    <x v="0"/>
    <x v="0"/>
    <x v="0"/>
    <x v="4"/>
    <s v="24"/>
    <x v="1"/>
    <x v="0"/>
    <x v="8"/>
    <x v="2"/>
    <n v="49480097.659999996"/>
  </r>
  <r>
    <x v="4"/>
    <x v="0"/>
    <x v="1"/>
    <x v="0"/>
    <x v="1"/>
    <x v="0"/>
    <x v="0"/>
    <x v="0"/>
    <x v="0"/>
    <x v="0"/>
    <x v="0"/>
    <x v="4"/>
    <s v="24"/>
    <x v="1"/>
    <x v="0"/>
    <x v="8"/>
    <x v="8"/>
    <n v="20549952.539999999"/>
  </r>
  <r>
    <x v="4"/>
    <x v="0"/>
    <x v="1"/>
    <x v="0"/>
    <x v="1"/>
    <x v="0"/>
    <x v="0"/>
    <x v="0"/>
    <x v="0"/>
    <x v="0"/>
    <x v="0"/>
    <x v="4"/>
    <s v="24"/>
    <x v="1"/>
    <x v="0"/>
    <x v="8"/>
    <x v="9"/>
    <n v="562235.75"/>
  </r>
  <r>
    <x v="4"/>
    <x v="0"/>
    <x v="1"/>
    <x v="0"/>
    <x v="1"/>
    <x v="0"/>
    <x v="0"/>
    <x v="0"/>
    <x v="0"/>
    <x v="0"/>
    <x v="0"/>
    <x v="4"/>
    <s v="24"/>
    <x v="1"/>
    <x v="0"/>
    <x v="8"/>
    <x v="10"/>
    <n v="377279.51"/>
  </r>
  <r>
    <x v="4"/>
    <x v="0"/>
    <x v="1"/>
    <x v="0"/>
    <x v="1"/>
    <x v="0"/>
    <x v="0"/>
    <x v="0"/>
    <x v="0"/>
    <x v="0"/>
    <x v="0"/>
    <x v="4"/>
    <s v="24"/>
    <x v="1"/>
    <x v="0"/>
    <x v="8"/>
    <x v="11"/>
    <n v="237930.9"/>
  </r>
  <r>
    <x v="4"/>
    <x v="0"/>
    <x v="1"/>
    <x v="0"/>
    <x v="1"/>
    <x v="0"/>
    <x v="0"/>
    <x v="0"/>
    <x v="0"/>
    <x v="0"/>
    <x v="0"/>
    <x v="4"/>
    <s v="24"/>
    <x v="1"/>
    <x v="0"/>
    <x v="8"/>
    <x v="3"/>
    <n v="65017993.509999998"/>
  </r>
  <r>
    <x v="4"/>
    <x v="0"/>
    <x v="1"/>
    <x v="0"/>
    <x v="1"/>
    <x v="0"/>
    <x v="0"/>
    <x v="0"/>
    <x v="0"/>
    <x v="0"/>
    <x v="0"/>
    <x v="4"/>
    <s v="24"/>
    <x v="1"/>
    <x v="0"/>
    <x v="8"/>
    <x v="4"/>
    <n v="1451371.68"/>
  </r>
  <r>
    <x v="4"/>
    <x v="0"/>
    <x v="1"/>
    <x v="0"/>
    <x v="1"/>
    <x v="0"/>
    <x v="0"/>
    <x v="0"/>
    <x v="0"/>
    <x v="0"/>
    <x v="0"/>
    <x v="4"/>
    <s v="24"/>
    <x v="1"/>
    <x v="0"/>
    <x v="8"/>
    <x v="7"/>
    <n v="375988.3"/>
  </r>
  <r>
    <x v="4"/>
    <x v="0"/>
    <x v="1"/>
    <x v="0"/>
    <x v="1"/>
    <x v="0"/>
    <x v="0"/>
    <x v="0"/>
    <x v="0"/>
    <x v="0"/>
    <x v="0"/>
    <x v="4"/>
    <s v="24"/>
    <x v="1"/>
    <x v="0"/>
    <x v="8"/>
    <x v="5"/>
    <n v="275192.01"/>
  </r>
  <r>
    <x v="4"/>
    <x v="0"/>
    <x v="1"/>
    <x v="0"/>
    <x v="1"/>
    <x v="0"/>
    <x v="0"/>
    <x v="0"/>
    <x v="0"/>
    <x v="0"/>
    <x v="0"/>
    <x v="4"/>
    <s v="24"/>
    <x v="1"/>
    <x v="0"/>
    <x v="8"/>
    <x v="6"/>
    <n v="144856.47"/>
  </r>
  <r>
    <x v="4"/>
    <x v="0"/>
    <x v="1"/>
    <x v="0"/>
    <x v="1"/>
    <x v="0"/>
    <x v="0"/>
    <x v="0"/>
    <x v="0"/>
    <x v="0"/>
    <x v="0"/>
    <x v="4"/>
    <s v="24"/>
    <x v="1"/>
    <x v="0"/>
    <x v="8"/>
    <x v="1"/>
    <n v="-1891144.68"/>
  </r>
  <r>
    <x v="4"/>
    <x v="0"/>
    <x v="1"/>
    <x v="0"/>
    <x v="1"/>
    <x v="0"/>
    <x v="0"/>
    <x v="0"/>
    <x v="0"/>
    <x v="0"/>
    <x v="0"/>
    <x v="4"/>
    <s v="28"/>
    <x v="23"/>
    <x v="0"/>
    <x v="9"/>
    <x v="11"/>
    <n v="295.83"/>
  </r>
  <r>
    <x v="4"/>
    <x v="0"/>
    <x v="1"/>
    <x v="0"/>
    <x v="1"/>
    <x v="0"/>
    <x v="0"/>
    <x v="0"/>
    <x v="0"/>
    <x v="0"/>
    <x v="0"/>
    <x v="4"/>
    <s v="28"/>
    <x v="23"/>
    <x v="0"/>
    <x v="9"/>
    <x v="3"/>
    <n v="-295.83"/>
  </r>
  <r>
    <x v="4"/>
    <x v="0"/>
    <x v="1"/>
    <x v="0"/>
    <x v="1"/>
    <x v="0"/>
    <x v="0"/>
    <x v="0"/>
    <x v="0"/>
    <x v="0"/>
    <x v="0"/>
    <x v="4"/>
    <s v="28"/>
    <x v="23"/>
    <x v="0"/>
    <x v="8"/>
    <x v="0"/>
    <n v="145.71"/>
  </r>
  <r>
    <x v="4"/>
    <x v="0"/>
    <x v="1"/>
    <x v="0"/>
    <x v="1"/>
    <x v="0"/>
    <x v="0"/>
    <x v="0"/>
    <x v="0"/>
    <x v="0"/>
    <x v="0"/>
    <x v="4"/>
    <s v="28"/>
    <x v="23"/>
    <x v="0"/>
    <x v="8"/>
    <x v="9"/>
    <n v="887.24"/>
  </r>
  <r>
    <x v="4"/>
    <x v="0"/>
    <x v="1"/>
    <x v="0"/>
    <x v="1"/>
    <x v="0"/>
    <x v="0"/>
    <x v="0"/>
    <x v="0"/>
    <x v="0"/>
    <x v="0"/>
    <x v="4"/>
    <s v="28"/>
    <x v="23"/>
    <x v="0"/>
    <x v="8"/>
    <x v="11"/>
    <n v="146.93"/>
  </r>
  <r>
    <x v="4"/>
    <x v="0"/>
    <x v="1"/>
    <x v="0"/>
    <x v="1"/>
    <x v="0"/>
    <x v="0"/>
    <x v="0"/>
    <x v="0"/>
    <x v="0"/>
    <x v="0"/>
    <x v="4"/>
    <s v="28"/>
    <x v="23"/>
    <x v="0"/>
    <x v="8"/>
    <x v="7"/>
    <n v="-1034.17"/>
  </r>
  <r>
    <x v="4"/>
    <x v="0"/>
    <x v="1"/>
    <x v="0"/>
    <x v="1"/>
    <x v="0"/>
    <x v="0"/>
    <x v="0"/>
    <x v="0"/>
    <x v="0"/>
    <x v="0"/>
    <x v="4"/>
    <s v="73"/>
    <x v="37"/>
    <x v="0"/>
    <x v="9"/>
    <x v="10"/>
    <n v="-10353.36"/>
  </r>
  <r>
    <x v="4"/>
    <x v="0"/>
    <x v="1"/>
    <x v="0"/>
    <x v="1"/>
    <x v="0"/>
    <x v="0"/>
    <x v="0"/>
    <x v="0"/>
    <x v="0"/>
    <x v="0"/>
    <x v="4"/>
    <s v="73"/>
    <x v="37"/>
    <x v="0"/>
    <x v="9"/>
    <x v="4"/>
    <n v="-30361.4"/>
  </r>
  <r>
    <x v="4"/>
    <x v="0"/>
    <x v="1"/>
    <x v="0"/>
    <x v="1"/>
    <x v="0"/>
    <x v="0"/>
    <x v="0"/>
    <x v="0"/>
    <x v="0"/>
    <x v="0"/>
    <x v="4"/>
    <s v="73"/>
    <x v="37"/>
    <x v="0"/>
    <x v="9"/>
    <x v="5"/>
    <n v="-20796.82"/>
  </r>
  <r>
    <x v="4"/>
    <x v="0"/>
    <x v="1"/>
    <x v="0"/>
    <x v="1"/>
    <x v="0"/>
    <x v="0"/>
    <x v="0"/>
    <x v="0"/>
    <x v="0"/>
    <x v="0"/>
    <x v="4"/>
    <s v="73"/>
    <x v="37"/>
    <x v="0"/>
    <x v="8"/>
    <x v="0"/>
    <n v="-9780.6"/>
  </r>
  <r>
    <x v="4"/>
    <x v="0"/>
    <x v="1"/>
    <x v="0"/>
    <x v="1"/>
    <x v="0"/>
    <x v="0"/>
    <x v="0"/>
    <x v="0"/>
    <x v="0"/>
    <x v="0"/>
    <x v="4"/>
    <s v="73"/>
    <x v="37"/>
    <x v="0"/>
    <x v="8"/>
    <x v="10"/>
    <n v="-13259.69"/>
  </r>
  <r>
    <x v="4"/>
    <x v="0"/>
    <x v="1"/>
    <x v="0"/>
    <x v="1"/>
    <x v="0"/>
    <x v="0"/>
    <x v="0"/>
    <x v="0"/>
    <x v="0"/>
    <x v="0"/>
    <x v="4"/>
    <s v="73"/>
    <x v="37"/>
    <x v="0"/>
    <x v="8"/>
    <x v="3"/>
    <n v="-25670.83"/>
  </r>
  <r>
    <x v="4"/>
    <x v="0"/>
    <x v="1"/>
    <x v="0"/>
    <x v="1"/>
    <x v="0"/>
    <x v="0"/>
    <x v="0"/>
    <x v="0"/>
    <x v="0"/>
    <x v="0"/>
    <x v="4"/>
    <s v="73"/>
    <x v="37"/>
    <x v="0"/>
    <x v="8"/>
    <x v="7"/>
    <n v="-37222.230000000003"/>
  </r>
  <r>
    <x v="4"/>
    <x v="0"/>
    <x v="1"/>
    <x v="0"/>
    <x v="1"/>
    <x v="0"/>
    <x v="0"/>
    <x v="0"/>
    <x v="0"/>
    <x v="0"/>
    <x v="0"/>
    <x v="4"/>
    <s v="73"/>
    <x v="37"/>
    <x v="0"/>
    <x v="8"/>
    <x v="6"/>
    <n v="-56542.84"/>
  </r>
  <r>
    <x v="4"/>
    <x v="0"/>
    <x v="1"/>
    <x v="0"/>
    <x v="1"/>
    <x v="0"/>
    <x v="0"/>
    <x v="0"/>
    <x v="0"/>
    <x v="0"/>
    <x v="0"/>
    <x v="4"/>
    <s v="90"/>
    <x v="16"/>
    <x v="0"/>
    <x v="9"/>
    <x v="5"/>
    <n v="-10"/>
  </r>
  <r>
    <x v="4"/>
    <x v="0"/>
    <x v="1"/>
    <x v="0"/>
    <x v="1"/>
    <x v="0"/>
    <x v="0"/>
    <x v="0"/>
    <x v="0"/>
    <x v="0"/>
    <x v="0"/>
    <x v="4"/>
    <s v="90"/>
    <x v="16"/>
    <x v="0"/>
    <x v="9"/>
    <x v="1"/>
    <n v="10"/>
  </r>
  <r>
    <x v="4"/>
    <x v="0"/>
    <x v="1"/>
    <x v="0"/>
    <x v="1"/>
    <x v="0"/>
    <x v="0"/>
    <x v="0"/>
    <x v="0"/>
    <x v="0"/>
    <x v="0"/>
    <x v="4"/>
    <s v="99"/>
    <x v="9"/>
    <x v="0"/>
    <x v="9"/>
    <x v="4"/>
    <n v="48.51"/>
  </r>
  <r>
    <x v="4"/>
    <x v="0"/>
    <x v="1"/>
    <x v="0"/>
    <x v="1"/>
    <x v="0"/>
    <x v="0"/>
    <x v="0"/>
    <x v="0"/>
    <x v="0"/>
    <x v="0"/>
    <x v="4"/>
    <s v="99"/>
    <x v="9"/>
    <x v="0"/>
    <x v="9"/>
    <x v="7"/>
    <n v="-48.51"/>
  </r>
  <r>
    <x v="4"/>
    <x v="0"/>
    <x v="1"/>
    <x v="0"/>
    <x v="1"/>
    <x v="0"/>
    <x v="0"/>
    <x v="0"/>
    <x v="0"/>
    <x v="0"/>
    <x v="0"/>
    <x v="4"/>
    <s v="99"/>
    <x v="9"/>
    <x v="0"/>
    <x v="8"/>
    <x v="4"/>
    <n v="280"/>
  </r>
  <r>
    <x v="4"/>
    <x v="0"/>
    <x v="1"/>
    <x v="0"/>
    <x v="1"/>
    <x v="0"/>
    <x v="0"/>
    <x v="0"/>
    <x v="0"/>
    <x v="0"/>
    <x v="0"/>
    <x v="4"/>
    <s v="99"/>
    <x v="9"/>
    <x v="0"/>
    <x v="8"/>
    <x v="7"/>
    <n v="-280"/>
  </r>
  <r>
    <x v="4"/>
    <x v="0"/>
    <x v="1"/>
    <x v="0"/>
    <x v="1"/>
    <x v="0"/>
    <x v="0"/>
    <x v="0"/>
    <x v="0"/>
    <x v="0"/>
    <x v="4"/>
    <x v="5"/>
    <s v="21"/>
    <x v="27"/>
    <x v="0"/>
    <x v="9"/>
    <x v="0"/>
    <n v="154941.60999999999"/>
  </r>
  <r>
    <x v="4"/>
    <x v="0"/>
    <x v="1"/>
    <x v="0"/>
    <x v="1"/>
    <x v="0"/>
    <x v="0"/>
    <x v="0"/>
    <x v="0"/>
    <x v="0"/>
    <x v="4"/>
    <x v="5"/>
    <s v="21"/>
    <x v="27"/>
    <x v="0"/>
    <x v="9"/>
    <x v="8"/>
    <n v="1945.46"/>
  </r>
  <r>
    <x v="4"/>
    <x v="0"/>
    <x v="1"/>
    <x v="0"/>
    <x v="1"/>
    <x v="0"/>
    <x v="0"/>
    <x v="0"/>
    <x v="0"/>
    <x v="0"/>
    <x v="4"/>
    <x v="5"/>
    <s v="21"/>
    <x v="27"/>
    <x v="0"/>
    <x v="9"/>
    <x v="4"/>
    <n v="9025943.3000000007"/>
  </r>
  <r>
    <x v="4"/>
    <x v="0"/>
    <x v="1"/>
    <x v="0"/>
    <x v="1"/>
    <x v="0"/>
    <x v="0"/>
    <x v="0"/>
    <x v="0"/>
    <x v="0"/>
    <x v="4"/>
    <x v="5"/>
    <s v="21"/>
    <x v="27"/>
    <x v="0"/>
    <x v="9"/>
    <x v="1"/>
    <n v="5466383.2999999998"/>
  </r>
  <r>
    <x v="4"/>
    <x v="0"/>
    <x v="1"/>
    <x v="0"/>
    <x v="1"/>
    <x v="0"/>
    <x v="0"/>
    <x v="0"/>
    <x v="0"/>
    <x v="0"/>
    <x v="4"/>
    <x v="5"/>
    <s v="21"/>
    <x v="27"/>
    <x v="0"/>
    <x v="8"/>
    <x v="9"/>
    <n v="2440000"/>
  </r>
  <r>
    <x v="4"/>
    <x v="0"/>
    <x v="1"/>
    <x v="0"/>
    <x v="1"/>
    <x v="0"/>
    <x v="0"/>
    <x v="0"/>
    <x v="0"/>
    <x v="0"/>
    <x v="4"/>
    <x v="5"/>
    <s v="21"/>
    <x v="27"/>
    <x v="0"/>
    <x v="8"/>
    <x v="4"/>
    <n v="8460000"/>
  </r>
  <r>
    <x v="4"/>
    <x v="0"/>
    <x v="1"/>
    <x v="0"/>
    <x v="1"/>
    <x v="0"/>
    <x v="0"/>
    <x v="0"/>
    <x v="0"/>
    <x v="0"/>
    <x v="4"/>
    <x v="5"/>
    <s v="21"/>
    <x v="27"/>
    <x v="0"/>
    <x v="8"/>
    <x v="6"/>
    <n v="6048808"/>
  </r>
  <r>
    <x v="4"/>
    <x v="0"/>
    <x v="1"/>
    <x v="0"/>
    <x v="1"/>
    <x v="0"/>
    <x v="0"/>
    <x v="0"/>
    <x v="0"/>
    <x v="0"/>
    <x v="4"/>
    <x v="5"/>
    <s v="22"/>
    <x v="25"/>
    <x v="0"/>
    <x v="9"/>
    <x v="0"/>
    <n v="-643863.07999999996"/>
  </r>
  <r>
    <x v="4"/>
    <x v="0"/>
    <x v="1"/>
    <x v="0"/>
    <x v="1"/>
    <x v="0"/>
    <x v="0"/>
    <x v="0"/>
    <x v="0"/>
    <x v="0"/>
    <x v="4"/>
    <x v="5"/>
    <s v="22"/>
    <x v="25"/>
    <x v="0"/>
    <x v="9"/>
    <x v="2"/>
    <n v="-20815.759999999998"/>
  </r>
  <r>
    <x v="4"/>
    <x v="0"/>
    <x v="1"/>
    <x v="0"/>
    <x v="1"/>
    <x v="0"/>
    <x v="0"/>
    <x v="0"/>
    <x v="0"/>
    <x v="0"/>
    <x v="4"/>
    <x v="5"/>
    <s v="22"/>
    <x v="25"/>
    <x v="0"/>
    <x v="9"/>
    <x v="8"/>
    <n v="-245.13"/>
  </r>
  <r>
    <x v="4"/>
    <x v="0"/>
    <x v="1"/>
    <x v="0"/>
    <x v="1"/>
    <x v="0"/>
    <x v="0"/>
    <x v="0"/>
    <x v="0"/>
    <x v="0"/>
    <x v="4"/>
    <x v="5"/>
    <s v="22"/>
    <x v="25"/>
    <x v="0"/>
    <x v="9"/>
    <x v="9"/>
    <n v="-2146.4299999999998"/>
  </r>
  <r>
    <x v="4"/>
    <x v="0"/>
    <x v="1"/>
    <x v="0"/>
    <x v="1"/>
    <x v="0"/>
    <x v="0"/>
    <x v="0"/>
    <x v="0"/>
    <x v="0"/>
    <x v="4"/>
    <x v="5"/>
    <s v="22"/>
    <x v="25"/>
    <x v="0"/>
    <x v="9"/>
    <x v="10"/>
    <n v="-11760.41"/>
  </r>
  <r>
    <x v="4"/>
    <x v="0"/>
    <x v="1"/>
    <x v="0"/>
    <x v="1"/>
    <x v="0"/>
    <x v="0"/>
    <x v="0"/>
    <x v="0"/>
    <x v="0"/>
    <x v="4"/>
    <x v="5"/>
    <s v="22"/>
    <x v="25"/>
    <x v="0"/>
    <x v="9"/>
    <x v="11"/>
    <n v="-48998.49"/>
  </r>
  <r>
    <x v="4"/>
    <x v="0"/>
    <x v="1"/>
    <x v="0"/>
    <x v="1"/>
    <x v="0"/>
    <x v="0"/>
    <x v="0"/>
    <x v="0"/>
    <x v="0"/>
    <x v="4"/>
    <x v="5"/>
    <s v="22"/>
    <x v="25"/>
    <x v="0"/>
    <x v="9"/>
    <x v="3"/>
    <n v="-1094477.24"/>
  </r>
  <r>
    <x v="4"/>
    <x v="0"/>
    <x v="1"/>
    <x v="0"/>
    <x v="1"/>
    <x v="0"/>
    <x v="0"/>
    <x v="0"/>
    <x v="0"/>
    <x v="0"/>
    <x v="4"/>
    <x v="5"/>
    <s v="22"/>
    <x v="25"/>
    <x v="0"/>
    <x v="9"/>
    <x v="4"/>
    <n v="-9196747.4299999997"/>
  </r>
  <r>
    <x v="4"/>
    <x v="0"/>
    <x v="1"/>
    <x v="0"/>
    <x v="1"/>
    <x v="0"/>
    <x v="0"/>
    <x v="0"/>
    <x v="0"/>
    <x v="0"/>
    <x v="4"/>
    <x v="5"/>
    <s v="22"/>
    <x v="25"/>
    <x v="0"/>
    <x v="9"/>
    <x v="7"/>
    <n v="-95.66"/>
  </r>
  <r>
    <x v="4"/>
    <x v="0"/>
    <x v="1"/>
    <x v="0"/>
    <x v="1"/>
    <x v="0"/>
    <x v="0"/>
    <x v="0"/>
    <x v="0"/>
    <x v="0"/>
    <x v="4"/>
    <x v="5"/>
    <s v="22"/>
    <x v="25"/>
    <x v="0"/>
    <x v="9"/>
    <x v="5"/>
    <n v="-114.13"/>
  </r>
  <r>
    <x v="4"/>
    <x v="0"/>
    <x v="1"/>
    <x v="0"/>
    <x v="1"/>
    <x v="0"/>
    <x v="0"/>
    <x v="0"/>
    <x v="0"/>
    <x v="0"/>
    <x v="4"/>
    <x v="5"/>
    <s v="22"/>
    <x v="25"/>
    <x v="0"/>
    <x v="9"/>
    <x v="6"/>
    <n v="-26656.76"/>
  </r>
  <r>
    <x v="4"/>
    <x v="0"/>
    <x v="1"/>
    <x v="0"/>
    <x v="1"/>
    <x v="0"/>
    <x v="0"/>
    <x v="0"/>
    <x v="0"/>
    <x v="0"/>
    <x v="4"/>
    <x v="5"/>
    <s v="22"/>
    <x v="25"/>
    <x v="0"/>
    <x v="9"/>
    <x v="1"/>
    <n v="-6484788.29"/>
  </r>
  <r>
    <x v="4"/>
    <x v="0"/>
    <x v="1"/>
    <x v="0"/>
    <x v="1"/>
    <x v="0"/>
    <x v="0"/>
    <x v="0"/>
    <x v="0"/>
    <x v="0"/>
    <x v="4"/>
    <x v="5"/>
    <s v="22"/>
    <x v="25"/>
    <x v="0"/>
    <x v="8"/>
    <x v="0"/>
    <n v="-492546.63"/>
  </r>
  <r>
    <x v="4"/>
    <x v="0"/>
    <x v="1"/>
    <x v="0"/>
    <x v="1"/>
    <x v="0"/>
    <x v="0"/>
    <x v="0"/>
    <x v="0"/>
    <x v="0"/>
    <x v="4"/>
    <x v="5"/>
    <s v="22"/>
    <x v="25"/>
    <x v="0"/>
    <x v="8"/>
    <x v="2"/>
    <n v="-16037.24"/>
  </r>
  <r>
    <x v="4"/>
    <x v="0"/>
    <x v="1"/>
    <x v="0"/>
    <x v="1"/>
    <x v="0"/>
    <x v="0"/>
    <x v="0"/>
    <x v="0"/>
    <x v="0"/>
    <x v="4"/>
    <x v="5"/>
    <s v="22"/>
    <x v="25"/>
    <x v="0"/>
    <x v="8"/>
    <x v="8"/>
    <n v="-174.77"/>
  </r>
  <r>
    <x v="4"/>
    <x v="0"/>
    <x v="1"/>
    <x v="0"/>
    <x v="1"/>
    <x v="0"/>
    <x v="0"/>
    <x v="0"/>
    <x v="0"/>
    <x v="0"/>
    <x v="4"/>
    <x v="5"/>
    <s v="22"/>
    <x v="25"/>
    <x v="0"/>
    <x v="8"/>
    <x v="9"/>
    <n v="-2440110.46"/>
  </r>
  <r>
    <x v="4"/>
    <x v="0"/>
    <x v="1"/>
    <x v="0"/>
    <x v="1"/>
    <x v="0"/>
    <x v="0"/>
    <x v="0"/>
    <x v="0"/>
    <x v="0"/>
    <x v="4"/>
    <x v="5"/>
    <s v="22"/>
    <x v="25"/>
    <x v="0"/>
    <x v="8"/>
    <x v="10"/>
    <n v="-10899.04"/>
  </r>
  <r>
    <x v="4"/>
    <x v="0"/>
    <x v="1"/>
    <x v="0"/>
    <x v="1"/>
    <x v="0"/>
    <x v="0"/>
    <x v="0"/>
    <x v="0"/>
    <x v="0"/>
    <x v="4"/>
    <x v="5"/>
    <s v="22"/>
    <x v="25"/>
    <x v="0"/>
    <x v="8"/>
    <x v="11"/>
    <n v="-31204.28"/>
  </r>
  <r>
    <x v="4"/>
    <x v="0"/>
    <x v="1"/>
    <x v="0"/>
    <x v="1"/>
    <x v="0"/>
    <x v="0"/>
    <x v="0"/>
    <x v="0"/>
    <x v="0"/>
    <x v="4"/>
    <x v="5"/>
    <s v="22"/>
    <x v="25"/>
    <x v="0"/>
    <x v="8"/>
    <x v="3"/>
    <n v="-1100010.83"/>
  </r>
  <r>
    <x v="4"/>
    <x v="0"/>
    <x v="1"/>
    <x v="0"/>
    <x v="1"/>
    <x v="0"/>
    <x v="0"/>
    <x v="0"/>
    <x v="0"/>
    <x v="0"/>
    <x v="4"/>
    <x v="5"/>
    <s v="22"/>
    <x v="25"/>
    <x v="0"/>
    <x v="8"/>
    <x v="4"/>
    <n v="-8635947.5700000003"/>
  </r>
  <r>
    <x v="4"/>
    <x v="0"/>
    <x v="1"/>
    <x v="0"/>
    <x v="1"/>
    <x v="0"/>
    <x v="0"/>
    <x v="0"/>
    <x v="0"/>
    <x v="0"/>
    <x v="4"/>
    <x v="5"/>
    <s v="22"/>
    <x v="25"/>
    <x v="0"/>
    <x v="8"/>
    <x v="7"/>
    <n v="-18.32"/>
  </r>
  <r>
    <x v="4"/>
    <x v="0"/>
    <x v="1"/>
    <x v="0"/>
    <x v="1"/>
    <x v="0"/>
    <x v="0"/>
    <x v="0"/>
    <x v="0"/>
    <x v="0"/>
    <x v="4"/>
    <x v="5"/>
    <s v="22"/>
    <x v="25"/>
    <x v="0"/>
    <x v="8"/>
    <x v="5"/>
    <n v="-16.309999999999999"/>
  </r>
  <r>
    <x v="4"/>
    <x v="0"/>
    <x v="1"/>
    <x v="0"/>
    <x v="1"/>
    <x v="0"/>
    <x v="0"/>
    <x v="0"/>
    <x v="0"/>
    <x v="0"/>
    <x v="4"/>
    <x v="5"/>
    <s v="22"/>
    <x v="25"/>
    <x v="0"/>
    <x v="8"/>
    <x v="6"/>
    <n v="-6089550.5899999999"/>
  </r>
  <r>
    <x v="4"/>
    <x v="0"/>
    <x v="1"/>
    <x v="0"/>
    <x v="1"/>
    <x v="0"/>
    <x v="0"/>
    <x v="0"/>
    <x v="0"/>
    <x v="0"/>
    <x v="4"/>
    <x v="5"/>
    <s v="22"/>
    <x v="25"/>
    <x v="0"/>
    <x v="8"/>
    <x v="1"/>
    <n v="-121191.33"/>
  </r>
  <r>
    <x v="4"/>
    <x v="0"/>
    <x v="1"/>
    <x v="0"/>
    <x v="1"/>
    <x v="1"/>
    <x v="0"/>
    <x v="0"/>
    <x v="0"/>
    <x v="1"/>
    <x v="1"/>
    <x v="8"/>
    <s v="41"/>
    <x v="4"/>
    <x v="0"/>
    <x v="9"/>
    <x v="11"/>
    <n v="78.510000000000005"/>
  </r>
  <r>
    <x v="4"/>
    <x v="0"/>
    <x v="1"/>
    <x v="0"/>
    <x v="1"/>
    <x v="1"/>
    <x v="0"/>
    <x v="0"/>
    <x v="0"/>
    <x v="0"/>
    <x v="0"/>
    <x v="4"/>
    <s v="13"/>
    <x v="30"/>
    <x v="0"/>
    <x v="8"/>
    <x v="1"/>
    <n v="-23000"/>
  </r>
  <r>
    <x v="4"/>
    <x v="0"/>
    <x v="1"/>
    <x v="0"/>
    <x v="1"/>
    <x v="1"/>
    <x v="0"/>
    <x v="0"/>
    <x v="0"/>
    <x v="0"/>
    <x v="0"/>
    <x v="4"/>
    <s v="24"/>
    <x v="1"/>
    <x v="0"/>
    <x v="9"/>
    <x v="11"/>
    <n v="25003953.469999999"/>
  </r>
  <r>
    <x v="4"/>
    <x v="0"/>
    <x v="1"/>
    <x v="0"/>
    <x v="1"/>
    <x v="1"/>
    <x v="0"/>
    <x v="0"/>
    <x v="0"/>
    <x v="0"/>
    <x v="4"/>
    <x v="5"/>
    <s v="90"/>
    <x v="36"/>
    <x v="0"/>
    <x v="8"/>
    <x v="1"/>
    <n v="-21000"/>
  </r>
  <r>
    <x v="4"/>
    <x v="0"/>
    <x v="1"/>
    <x v="0"/>
    <x v="1"/>
    <x v="1"/>
    <x v="1"/>
    <x v="0"/>
    <x v="0"/>
    <x v="1"/>
    <x v="1"/>
    <x v="8"/>
    <s v="41"/>
    <x v="4"/>
    <x v="0"/>
    <x v="9"/>
    <x v="7"/>
    <n v="-78.510000000000005"/>
  </r>
  <r>
    <x v="4"/>
    <x v="0"/>
    <x v="1"/>
    <x v="0"/>
    <x v="1"/>
    <x v="1"/>
    <x v="1"/>
    <x v="0"/>
    <x v="0"/>
    <x v="0"/>
    <x v="0"/>
    <x v="4"/>
    <s v="09"/>
    <x v="0"/>
    <x v="0"/>
    <x v="9"/>
    <x v="6"/>
    <n v="357244.96"/>
  </r>
  <r>
    <x v="4"/>
    <x v="0"/>
    <x v="1"/>
    <x v="0"/>
    <x v="1"/>
    <x v="1"/>
    <x v="1"/>
    <x v="0"/>
    <x v="0"/>
    <x v="0"/>
    <x v="0"/>
    <x v="4"/>
    <s v="09"/>
    <x v="0"/>
    <x v="0"/>
    <x v="9"/>
    <x v="1"/>
    <n v="713782.73"/>
  </r>
  <r>
    <x v="4"/>
    <x v="0"/>
    <x v="1"/>
    <x v="0"/>
    <x v="1"/>
    <x v="1"/>
    <x v="1"/>
    <x v="0"/>
    <x v="0"/>
    <x v="0"/>
    <x v="0"/>
    <x v="4"/>
    <s v="09"/>
    <x v="0"/>
    <x v="0"/>
    <x v="8"/>
    <x v="9"/>
    <n v="144860.82"/>
  </r>
  <r>
    <x v="4"/>
    <x v="0"/>
    <x v="1"/>
    <x v="0"/>
    <x v="1"/>
    <x v="1"/>
    <x v="1"/>
    <x v="0"/>
    <x v="0"/>
    <x v="0"/>
    <x v="0"/>
    <x v="4"/>
    <s v="09"/>
    <x v="0"/>
    <x v="0"/>
    <x v="8"/>
    <x v="3"/>
    <n v="172723.32"/>
  </r>
  <r>
    <x v="4"/>
    <x v="0"/>
    <x v="1"/>
    <x v="0"/>
    <x v="1"/>
    <x v="1"/>
    <x v="1"/>
    <x v="0"/>
    <x v="0"/>
    <x v="0"/>
    <x v="0"/>
    <x v="4"/>
    <s v="09"/>
    <x v="0"/>
    <x v="0"/>
    <x v="8"/>
    <x v="5"/>
    <n v="196784.32"/>
  </r>
  <r>
    <x v="4"/>
    <x v="0"/>
    <x v="1"/>
    <x v="0"/>
    <x v="1"/>
    <x v="1"/>
    <x v="1"/>
    <x v="0"/>
    <x v="0"/>
    <x v="0"/>
    <x v="0"/>
    <x v="4"/>
    <s v="09"/>
    <x v="0"/>
    <x v="0"/>
    <x v="8"/>
    <x v="1"/>
    <n v="238347.87"/>
  </r>
  <r>
    <x v="4"/>
    <x v="0"/>
    <x v="1"/>
    <x v="0"/>
    <x v="1"/>
    <x v="1"/>
    <x v="1"/>
    <x v="0"/>
    <x v="0"/>
    <x v="0"/>
    <x v="0"/>
    <x v="4"/>
    <s v="13"/>
    <x v="30"/>
    <x v="0"/>
    <x v="8"/>
    <x v="1"/>
    <n v="23000"/>
  </r>
  <r>
    <x v="4"/>
    <x v="0"/>
    <x v="1"/>
    <x v="0"/>
    <x v="1"/>
    <x v="1"/>
    <x v="1"/>
    <x v="0"/>
    <x v="0"/>
    <x v="0"/>
    <x v="0"/>
    <x v="4"/>
    <s v="24"/>
    <x v="1"/>
    <x v="0"/>
    <x v="9"/>
    <x v="4"/>
    <n v="-232469.59"/>
  </r>
  <r>
    <x v="4"/>
    <x v="0"/>
    <x v="1"/>
    <x v="0"/>
    <x v="1"/>
    <x v="1"/>
    <x v="1"/>
    <x v="0"/>
    <x v="0"/>
    <x v="0"/>
    <x v="0"/>
    <x v="4"/>
    <s v="24"/>
    <x v="1"/>
    <x v="0"/>
    <x v="9"/>
    <x v="7"/>
    <n v="11289499"/>
  </r>
  <r>
    <x v="4"/>
    <x v="0"/>
    <x v="1"/>
    <x v="0"/>
    <x v="1"/>
    <x v="1"/>
    <x v="1"/>
    <x v="0"/>
    <x v="0"/>
    <x v="0"/>
    <x v="0"/>
    <x v="4"/>
    <s v="24"/>
    <x v="1"/>
    <x v="0"/>
    <x v="9"/>
    <x v="5"/>
    <n v="377837.73"/>
  </r>
  <r>
    <x v="4"/>
    <x v="0"/>
    <x v="1"/>
    <x v="0"/>
    <x v="1"/>
    <x v="1"/>
    <x v="1"/>
    <x v="0"/>
    <x v="0"/>
    <x v="0"/>
    <x v="0"/>
    <x v="4"/>
    <s v="24"/>
    <x v="1"/>
    <x v="0"/>
    <x v="9"/>
    <x v="6"/>
    <n v="415631.2"/>
  </r>
  <r>
    <x v="4"/>
    <x v="0"/>
    <x v="1"/>
    <x v="0"/>
    <x v="1"/>
    <x v="1"/>
    <x v="1"/>
    <x v="0"/>
    <x v="0"/>
    <x v="0"/>
    <x v="0"/>
    <x v="4"/>
    <s v="24"/>
    <x v="1"/>
    <x v="0"/>
    <x v="9"/>
    <x v="1"/>
    <n v="-397320.85"/>
  </r>
  <r>
    <x v="4"/>
    <x v="0"/>
    <x v="1"/>
    <x v="0"/>
    <x v="1"/>
    <x v="1"/>
    <x v="1"/>
    <x v="0"/>
    <x v="0"/>
    <x v="0"/>
    <x v="0"/>
    <x v="4"/>
    <s v="24"/>
    <x v="1"/>
    <x v="0"/>
    <x v="8"/>
    <x v="0"/>
    <n v="-39789.29"/>
  </r>
  <r>
    <x v="4"/>
    <x v="0"/>
    <x v="1"/>
    <x v="0"/>
    <x v="1"/>
    <x v="1"/>
    <x v="1"/>
    <x v="0"/>
    <x v="0"/>
    <x v="0"/>
    <x v="0"/>
    <x v="4"/>
    <s v="24"/>
    <x v="1"/>
    <x v="0"/>
    <x v="8"/>
    <x v="2"/>
    <n v="528828.9"/>
  </r>
  <r>
    <x v="4"/>
    <x v="0"/>
    <x v="1"/>
    <x v="0"/>
    <x v="1"/>
    <x v="1"/>
    <x v="1"/>
    <x v="0"/>
    <x v="0"/>
    <x v="0"/>
    <x v="0"/>
    <x v="4"/>
    <s v="24"/>
    <x v="1"/>
    <x v="0"/>
    <x v="8"/>
    <x v="8"/>
    <n v="13323628.84"/>
  </r>
  <r>
    <x v="4"/>
    <x v="0"/>
    <x v="1"/>
    <x v="0"/>
    <x v="1"/>
    <x v="1"/>
    <x v="1"/>
    <x v="0"/>
    <x v="0"/>
    <x v="0"/>
    <x v="0"/>
    <x v="4"/>
    <s v="24"/>
    <x v="1"/>
    <x v="0"/>
    <x v="8"/>
    <x v="9"/>
    <n v="44732.82"/>
  </r>
  <r>
    <x v="4"/>
    <x v="0"/>
    <x v="1"/>
    <x v="0"/>
    <x v="1"/>
    <x v="1"/>
    <x v="1"/>
    <x v="0"/>
    <x v="0"/>
    <x v="0"/>
    <x v="0"/>
    <x v="4"/>
    <s v="24"/>
    <x v="1"/>
    <x v="0"/>
    <x v="8"/>
    <x v="10"/>
    <n v="1885.86"/>
  </r>
  <r>
    <x v="4"/>
    <x v="0"/>
    <x v="1"/>
    <x v="0"/>
    <x v="1"/>
    <x v="1"/>
    <x v="1"/>
    <x v="0"/>
    <x v="0"/>
    <x v="0"/>
    <x v="0"/>
    <x v="4"/>
    <s v="24"/>
    <x v="1"/>
    <x v="0"/>
    <x v="8"/>
    <x v="11"/>
    <n v="12529806.33"/>
  </r>
  <r>
    <x v="4"/>
    <x v="0"/>
    <x v="1"/>
    <x v="0"/>
    <x v="1"/>
    <x v="1"/>
    <x v="1"/>
    <x v="0"/>
    <x v="0"/>
    <x v="0"/>
    <x v="0"/>
    <x v="4"/>
    <s v="24"/>
    <x v="1"/>
    <x v="0"/>
    <x v="8"/>
    <x v="3"/>
    <n v="-3043.47"/>
  </r>
  <r>
    <x v="4"/>
    <x v="0"/>
    <x v="1"/>
    <x v="0"/>
    <x v="1"/>
    <x v="1"/>
    <x v="1"/>
    <x v="0"/>
    <x v="0"/>
    <x v="0"/>
    <x v="0"/>
    <x v="4"/>
    <s v="24"/>
    <x v="1"/>
    <x v="0"/>
    <x v="8"/>
    <x v="4"/>
    <n v="9494942.4800000004"/>
  </r>
  <r>
    <x v="4"/>
    <x v="0"/>
    <x v="1"/>
    <x v="0"/>
    <x v="1"/>
    <x v="1"/>
    <x v="1"/>
    <x v="0"/>
    <x v="0"/>
    <x v="0"/>
    <x v="0"/>
    <x v="4"/>
    <s v="24"/>
    <x v="1"/>
    <x v="0"/>
    <x v="8"/>
    <x v="7"/>
    <n v="2516013.67"/>
  </r>
  <r>
    <x v="4"/>
    <x v="0"/>
    <x v="1"/>
    <x v="0"/>
    <x v="1"/>
    <x v="1"/>
    <x v="1"/>
    <x v="0"/>
    <x v="0"/>
    <x v="0"/>
    <x v="0"/>
    <x v="4"/>
    <s v="24"/>
    <x v="1"/>
    <x v="0"/>
    <x v="8"/>
    <x v="5"/>
    <n v="90483.26"/>
  </r>
  <r>
    <x v="4"/>
    <x v="0"/>
    <x v="1"/>
    <x v="0"/>
    <x v="1"/>
    <x v="1"/>
    <x v="1"/>
    <x v="0"/>
    <x v="0"/>
    <x v="0"/>
    <x v="0"/>
    <x v="4"/>
    <s v="24"/>
    <x v="1"/>
    <x v="0"/>
    <x v="8"/>
    <x v="6"/>
    <n v="-41819.519999999997"/>
  </r>
  <r>
    <x v="4"/>
    <x v="0"/>
    <x v="1"/>
    <x v="0"/>
    <x v="1"/>
    <x v="1"/>
    <x v="1"/>
    <x v="0"/>
    <x v="0"/>
    <x v="0"/>
    <x v="0"/>
    <x v="4"/>
    <s v="24"/>
    <x v="1"/>
    <x v="0"/>
    <x v="8"/>
    <x v="1"/>
    <n v="84662.65"/>
  </r>
  <r>
    <x v="4"/>
    <x v="0"/>
    <x v="1"/>
    <x v="0"/>
    <x v="1"/>
    <x v="1"/>
    <x v="1"/>
    <x v="0"/>
    <x v="0"/>
    <x v="0"/>
    <x v="0"/>
    <x v="4"/>
    <s v="30"/>
    <x v="3"/>
    <x v="0"/>
    <x v="9"/>
    <x v="7"/>
    <n v="-650"/>
  </r>
  <r>
    <x v="4"/>
    <x v="0"/>
    <x v="1"/>
    <x v="0"/>
    <x v="1"/>
    <x v="1"/>
    <x v="1"/>
    <x v="0"/>
    <x v="0"/>
    <x v="0"/>
    <x v="0"/>
    <x v="4"/>
    <s v="30"/>
    <x v="3"/>
    <x v="0"/>
    <x v="9"/>
    <x v="5"/>
    <n v="650"/>
  </r>
  <r>
    <x v="4"/>
    <x v="0"/>
    <x v="1"/>
    <x v="0"/>
    <x v="1"/>
    <x v="1"/>
    <x v="1"/>
    <x v="0"/>
    <x v="0"/>
    <x v="0"/>
    <x v="0"/>
    <x v="4"/>
    <s v="31"/>
    <x v="8"/>
    <x v="0"/>
    <x v="9"/>
    <x v="1"/>
    <n v="99"/>
  </r>
  <r>
    <x v="4"/>
    <x v="0"/>
    <x v="1"/>
    <x v="0"/>
    <x v="1"/>
    <x v="1"/>
    <x v="1"/>
    <x v="0"/>
    <x v="0"/>
    <x v="0"/>
    <x v="0"/>
    <x v="4"/>
    <s v="99"/>
    <x v="9"/>
    <x v="0"/>
    <x v="8"/>
    <x v="5"/>
    <n v="100"/>
  </r>
  <r>
    <x v="4"/>
    <x v="0"/>
    <x v="1"/>
    <x v="0"/>
    <x v="1"/>
    <x v="1"/>
    <x v="1"/>
    <x v="0"/>
    <x v="0"/>
    <x v="0"/>
    <x v="0"/>
    <x v="4"/>
    <s v="99"/>
    <x v="9"/>
    <x v="0"/>
    <x v="8"/>
    <x v="1"/>
    <n v="-100"/>
  </r>
  <r>
    <x v="4"/>
    <x v="0"/>
    <x v="1"/>
    <x v="0"/>
    <x v="1"/>
    <x v="1"/>
    <x v="2"/>
    <x v="0"/>
    <x v="0"/>
    <x v="0"/>
    <x v="0"/>
    <x v="4"/>
    <s v="05"/>
    <x v="38"/>
    <x v="0"/>
    <x v="9"/>
    <x v="4"/>
    <n v="-59"/>
  </r>
  <r>
    <x v="4"/>
    <x v="0"/>
    <x v="1"/>
    <x v="0"/>
    <x v="1"/>
    <x v="1"/>
    <x v="2"/>
    <x v="0"/>
    <x v="0"/>
    <x v="0"/>
    <x v="0"/>
    <x v="4"/>
    <s v="05"/>
    <x v="38"/>
    <x v="0"/>
    <x v="9"/>
    <x v="7"/>
    <n v="-118.5"/>
  </r>
  <r>
    <x v="4"/>
    <x v="0"/>
    <x v="1"/>
    <x v="0"/>
    <x v="1"/>
    <x v="1"/>
    <x v="2"/>
    <x v="0"/>
    <x v="0"/>
    <x v="0"/>
    <x v="0"/>
    <x v="4"/>
    <s v="05"/>
    <x v="38"/>
    <x v="0"/>
    <x v="9"/>
    <x v="6"/>
    <n v="177.5"/>
  </r>
  <r>
    <x v="4"/>
    <x v="0"/>
    <x v="1"/>
    <x v="0"/>
    <x v="1"/>
    <x v="1"/>
    <x v="2"/>
    <x v="0"/>
    <x v="0"/>
    <x v="0"/>
    <x v="0"/>
    <x v="4"/>
    <s v="30"/>
    <x v="3"/>
    <x v="0"/>
    <x v="9"/>
    <x v="7"/>
    <n v="-585"/>
  </r>
  <r>
    <x v="4"/>
    <x v="0"/>
    <x v="1"/>
    <x v="0"/>
    <x v="1"/>
    <x v="1"/>
    <x v="2"/>
    <x v="0"/>
    <x v="0"/>
    <x v="0"/>
    <x v="0"/>
    <x v="4"/>
    <s v="30"/>
    <x v="3"/>
    <x v="0"/>
    <x v="9"/>
    <x v="5"/>
    <n v="585"/>
  </r>
  <r>
    <x v="4"/>
    <x v="0"/>
    <x v="1"/>
    <x v="0"/>
    <x v="1"/>
    <x v="1"/>
    <x v="6"/>
    <x v="0"/>
    <x v="0"/>
    <x v="0"/>
    <x v="0"/>
    <x v="4"/>
    <s v="20"/>
    <x v="7"/>
    <x v="0"/>
    <x v="8"/>
    <x v="0"/>
    <n v="59"/>
  </r>
  <r>
    <x v="4"/>
    <x v="0"/>
    <x v="1"/>
    <x v="0"/>
    <x v="1"/>
    <x v="1"/>
    <x v="6"/>
    <x v="0"/>
    <x v="0"/>
    <x v="0"/>
    <x v="0"/>
    <x v="4"/>
    <s v="20"/>
    <x v="7"/>
    <x v="0"/>
    <x v="8"/>
    <x v="7"/>
    <n v="-59"/>
  </r>
  <r>
    <x v="4"/>
    <x v="0"/>
    <x v="1"/>
    <x v="0"/>
    <x v="1"/>
    <x v="5"/>
    <x v="0"/>
    <x v="0"/>
    <x v="0"/>
    <x v="2"/>
    <x v="3"/>
    <x v="7"/>
    <s v="93"/>
    <x v="40"/>
    <x v="0"/>
    <x v="9"/>
    <x v="1"/>
    <n v="-20470.8"/>
  </r>
  <r>
    <x v="4"/>
    <x v="0"/>
    <x v="1"/>
    <x v="0"/>
    <x v="1"/>
    <x v="5"/>
    <x v="0"/>
    <x v="0"/>
    <x v="0"/>
    <x v="2"/>
    <x v="3"/>
    <x v="7"/>
    <s v="94"/>
    <x v="41"/>
    <x v="0"/>
    <x v="9"/>
    <x v="1"/>
    <n v="20470.8"/>
  </r>
  <r>
    <x v="4"/>
    <x v="0"/>
    <x v="1"/>
    <x v="0"/>
    <x v="1"/>
    <x v="5"/>
    <x v="0"/>
    <x v="0"/>
    <x v="0"/>
    <x v="0"/>
    <x v="0"/>
    <x v="4"/>
    <s v="09"/>
    <x v="0"/>
    <x v="0"/>
    <x v="9"/>
    <x v="1"/>
    <n v="502622.96"/>
  </r>
  <r>
    <x v="4"/>
    <x v="0"/>
    <x v="1"/>
    <x v="0"/>
    <x v="1"/>
    <x v="5"/>
    <x v="0"/>
    <x v="0"/>
    <x v="0"/>
    <x v="0"/>
    <x v="0"/>
    <x v="4"/>
    <s v="09"/>
    <x v="0"/>
    <x v="0"/>
    <x v="8"/>
    <x v="1"/>
    <n v="210524.26"/>
  </r>
  <r>
    <x v="4"/>
    <x v="0"/>
    <x v="1"/>
    <x v="0"/>
    <x v="1"/>
    <x v="5"/>
    <x v="0"/>
    <x v="0"/>
    <x v="0"/>
    <x v="0"/>
    <x v="0"/>
    <x v="4"/>
    <s v="24"/>
    <x v="1"/>
    <x v="0"/>
    <x v="9"/>
    <x v="2"/>
    <n v="-8172.24"/>
  </r>
  <r>
    <x v="4"/>
    <x v="0"/>
    <x v="1"/>
    <x v="0"/>
    <x v="1"/>
    <x v="5"/>
    <x v="0"/>
    <x v="0"/>
    <x v="0"/>
    <x v="0"/>
    <x v="0"/>
    <x v="4"/>
    <s v="24"/>
    <x v="1"/>
    <x v="0"/>
    <x v="9"/>
    <x v="8"/>
    <n v="2805.05"/>
  </r>
  <r>
    <x v="4"/>
    <x v="0"/>
    <x v="1"/>
    <x v="0"/>
    <x v="1"/>
    <x v="5"/>
    <x v="0"/>
    <x v="0"/>
    <x v="0"/>
    <x v="0"/>
    <x v="0"/>
    <x v="4"/>
    <s v="24"/>
    <x v="1"/>
    <x v="0"/>
    <x v="9"/>
    <x v="9"/>
    <n v="13925724.859999999"/>
  </r>
  <r>
    <x v="4"/>
    <x v="0"/>
    <x v="1"/>
    <x v="0"/>
    <x v="1"/>
    <x v="5"/>
    <x v="0"/>
    <x v="0"/>
    <x v="0"/>
    <x v="0"/>
    <x v="0"/>
    <x v="4"/>
    <s v="24"/>
    <x v="1"/>
    <x v="0"/>
    <x v="9"/>
    <x v="10"/>
    <n v="-116528.82"/>
  </r>
  <r>
    <x v="4"/>
    <x v="0"/>
    <x v="1"/>
    <x v="0"/>
    <x v="1"/>
    <x v="5"/>
    <x v="0"/>
    <x v="0"/>
    <x v="0"/>
    <x v="0"/>
    <x v="0"/>
    <x v="4"/>
    <s v="24"/>
    <x v="1"/>
    <x v="0"/>
    <x v="9"/>
    <x v="11"/>
    <n v="-34274.629999999997"/>
  </r>
  <r>
    <x v="4"/>
    <x v="0"/>
    <x v="1"/>
    <x v="0"/>
    <x v="1"/>
    <x v="5"/>
    <x v="0"/>
    <x v="0"/>
    <x v="0"/>
    <x v="0"/>
    <x v="0"/>
    <x v="4"/>
    <s v="24"/>
    <x v="1"/>
    <x v="0"/>
    <x v="9"/>
    <x v="3"/>
    <n v="13228594.85"/>
  </r>
  <r>
    <x v="4"/>
    <x v="0"/>
    <x v="1"/>
    <x v="0"/>
    <x v="1"/>
    <x v="5"/>
    <x v="0"/>
    <x v="0"/>
    <x v="0"/>
    <x v="0"/>
    <x v="0"/>
    <x v="4"/>
    <s v="24"/>
    <x v="1"/>
    <x v="0"/>
    <x v="9"/>
    <x v="4"/>
    <n v="3246066.93"/>
  </r>
  <r>
    <x v="4"/>
    <x v="0"/>
    <x v="1"/>
    <x v="0"/>
    <x v="1"/>
    <x v="5"/>
    <x v="0"/>
    <x v="0"/>
    <x v="0"/>
    <x v="0"/>
    <x v="0"/>
    <x v="4"/>
    <s v="24"/>
    <x v="1"/>
    <x v="0"/>
    <x v="9"/>
    <x v="7"/>
    <n v="5844601.1799999997"/>
  </r>
  <r>
    <x v="4"/>
    <x v="0"/>
    <x v="1"/>
    <x v="0"/>
    <x v="1"/>
    <x v="5"/>
    <x v="0"/>
    <x v="0"/>
    <x v="0"/>
    <x v="0"/>
    <x v="0"/>
    <x v="4"/>
    <s v="24"/>
    <x v="1"/>
    <x v="0"/>
    <x v="9"/>
    <x v="5"/>
    <n v="-1440664.23"/>
  </r>
  <r>
    <x v="4"/>
    <x v="0"/>
    <x v="1"/>
    <x v="0"/>
    <x v="1"/>
    <x v="5"/>
    <x v="0"/>
    <x v="0"/>
    <x v="0"/>
    <x v="0"/>
    <x v="0"/>
    <x v="4"/>
    <s v="24"/>
    <x v="1"/>
    <x v="0"/>
    <x v="9"/>
    <x v="6"/>
    <n v="-3721.21"/>
  </r>
  <r>
    <x v="4"/>
    <x v="0"/>
    <x v="1"/>
    <x v="0"/>
    <x v="1"/>
    <x v="5"/>
    <x v="0"/>
    <x v="0"/>
    <x v="0"/>
    <x v="0"/>
    <x v="0"/>
    <x v="4"/>
    <s v="24"/>
    <x v="1"/>
    <x v="0"/>
    <x v="9"/>
    <x v="1"/>
    <n v="-159298.48000000001"/>
  </r>
  <r>
    <x v="4"/>
    <x v="0"/>
    <x v="1"/>
    <x v="0"/>
    <x v="1"/>
    <x v="5"/>
    <x v="0"/>
    <x v="0"/>
    <x v="0"/>
    <x v="0"/>
    <x v="0"/>
    <x v="4"/>
    <s v="24"/>
    <x v="1"/>
    <x v="0"/>
    <x v="8"/>
    <x v="0"/>
    <n v="-4867.29"/>
  </r>
  <r>
    <x v="4"/>
    <x v="0"/>
    <x v="1"/>
    <x v="0"/>
    <x v="1"/>
    <x v="5"/>
    <x v="0"/>
    <x v="0"/>
    <x v="0"/>
    <x v="0"/>
    <x v="0"/>
    <x v="4"/>
    <s v="24"/>
    <x v="1"/>
    <x v="0"/>
    <x v="8"/>
    <x v="2"/>
    <n v="-2587.25"/>
  </r>
  <r>
    <x v="4"/>
    <x v="0"/>
    <x v="1"/>
    <x v="0"/>
    <x v="1"/>
    <x v="5"/>
    <x v="0"/>
    <x v="0"/>
    <x v="0"/>
    <x v="0"/>
    <x v="0"/>
    <x v="4"/>
    <s v="24"/>
    <x v="1"/>
    <x v="0"/>
    <x v="8"/>
    <x v="8"/>
    <n v="14840269.08"/>
  </r>
  <r>
    <x v="4"/>
    <x v="0"/>
    <x v="1"/>
    <x v="0"/>
    <x v="1"/>
    <x v="5"/>
    <x v="0"/>
    <x v="0"/>
    <x v="0"/>
    <x v="0"/>
    <x v="0"/>
    <x v="4"/>
    <s v="24"/>
    <x v="1"/>
    <x v="0"/>
    <x v="8"/>
    <x v="9"/>
    <n v="78247.070000000007"/>
  </r>
  <r>
    <x v="4"/>
    <x v="0"/>
    <x v="1"/>
    <x v="0"/>
    <x v="1"/>
    <x v="5"/>
    <x v="0"/>
    <x v="0"/>
    <x v="0"/>
    <x v="0"/>
    <x v="0"/>
    <x v="4"/>
    <s v="24"/>
    <x v="1"/>
    <x v="0"/>
    <x v="8"/>
    <x v="10"/>
    <n v="-7026.5"/>
  </r>
  <r>
    <x v="4"/>
    <x v="0"/>
    <x v="1"/>
    <x v="0"/>
    <x v="1"/>
    <x v="5"/>
    <x v="0"/>
    <x v="0"/>
    <x v="0"/>
    <x v="0"/>
    <x v="0"/>
    <x v="4"/>
    <s v="24"/>
    <x v="1"/>
    <x v="0"/>
    <x v="8"/>
    <x v="11"/>
    <n v="-177030.05"/>
  </r>
  <r>
    <x v="4"/>
    <x v="0"/>
    <x v="1"/>
    <x v="0"/>
    <x v="1"/>
    <x v="5"/>
    <x v="0"/>
    <x v="0"/>
    <x v="0"/>
    <x v="0"/>
    <x v="0"/>
    <x v="4"/>
    <s v="24"/>
    <x v="1"/>
    <x v="0"/>
    <x v="8"/>
    <x v="3"/>
    <n v="14261793.07"/>
  </r>
  <r>
    <x v="4"/>
    <x v="0"/>
    <x v="1"/>
    <x v="0"/>
    <x v="1"/>
    <x v="5"/>
    <x v="0"/>
    <x v="0"/>
    <x v="0"/>
    <x v="0"/>
    <x v="0"/>
    <x v="4"/>
    <s v="24"/>
    <x v="1"/>
    <x v="0"/>
    <x v="8"/>
    <x v="4"/>
    <n v="-3795392.21"/>
  </r>
  <r>
    <x v="4"/>
    <x v="0"/>
    <x v="1"/>
    <x v="0"/>
    <x v="1"/>
    <x v="5"/>
    <x v="0"/>
    <x v="0"/>
    <x v="0"/>
    <x v="0"/>
    <x v="0"/>
    <x v="4"/>
    <s v="24"/>
    <x v="1"/>
    <x v="0"/>
    <x v="8"/>
    <x v="7"/>
    <n v="13102186.640000001"/>
  </r>
  <r>
    <x v="4"/>
    <x v="0"/>
    <x v="1"/>
    <x v="0"/>
    <x v="1"/>
    <x v="5"/>
    <x v="0"/>
    <x v="0"/>
    <x v="0"/>
    <x v="0"/>
    <x v="0"/>
    <x v="4"/>
    <s v="24"/>
    <x v="1"/>
    <x v="0"/>
    <x v="8"/>
    <x v="6"/>
    <n v="578464.11"/>
  </r>
  <r>
    <x v="4"/>
    <x v="0"/>
    <x v="1"/>
    <x v="0"/>
    <x v="1"/>
    <x v="5"/>
    <x v="0"/>
    <x v="0"/>
    <x v="0"/>
    <x v="0"/>
    <x v="0"/>
    <x v="4"/>
    <s v="24"/>
    <x v="1"/>
    <x v="0"/>
    <x v="8"/>
    <x v="1"/>
    <n v="-2767602.53"/>
  </r>
  <r>
    <x v="4"/>
    <x v="0"/>
    <x v="1"/>
    <x v="0"/>
    <x v="1"/>
    <x v="5"/>
    <x v="0"/>
    <x v="0"/>
    <x v="0"/>
    <x v="0"/>
    <x v="4"/>
    <x v="5"/>
    <s v="22"/>
    <x v="25"/>
    <x v="0"/>
    <x v="9"/>
    <x v="9"/>
    <n v="-65058.25"/>
  </r>
  <r>
    <x v="4"/>
    <x v="0"/>
    <x v="1"/>
    <x v="0"/>
    <x v="1"/>
    <x v="5"/>
    <x v="0"/>
    <x v="0"/>
    <x v="0"/>
    <x v="0"/>
    <x v="4"/>
    <x v="5"/>
    <s v="22"/>
    <x v="25"/>
    <x v="0"/>
    <x v="9"/>
    <x v="10"/>
    <n v="-31651.13"/>
  </r>
  <r>
    <x v="4"/>
    <x v="0"/>
    <x v="1"/>
    <x v="0"/>
    <x v="1"/>
    <x v="5"/>
    <x v="0"/>
    <x v="0"/>
    <x v="0"/>
    <x v="0"/>
    <x v="4"/>
    <x v="5"/>
    <s v="22"/>
    <x v="25"/>
    <x v="0"/>
    <x v="9"/>
    <x v="3"/>
    <n v="-451418.76"/>
  </r>
  <r>
    <x v="4"/>
    <x v="0"/>
    <x v="1"/>
    <x v="0"/>
    <x v="1"/>
    <x v="5"/>
    <x v="0"/>
    <x v="0"/>
    <x v="0"/>
    <x v="0"/>
    <x v="4"/>
    <x v="5"/>
    <s v="22"/>
    <x v="25"/>
    <x v="0"/>
    <x v="9"/>
    <x v="4"/>
    <n v="95709.38"/>
  </r>
  <r>
    <x v="4"/>
    <x v="0"/>
    <x v="1"/>
    <x v="0"/>
    <x v="1"/>
    <x v="5"/>
    <x v="0"/>
    <x v="0"/>
    <x v="0"/>
    <x v="0"/>
    <x v="4"/>
    <x v="5"/>
    <s v="22"/>
    <x v="25"/>
    <x v="0"/>
    <x v="8"/>
    <x v="9"/>
    <n v="-90509.38"/>
  </r>
  <r>
    <x v="4"/>
    <x v="0"/>
    <x v="1"/>
    <x v="0"/>
    <x v="1"/>
    <x v="5"/>
    <x v="0"/>
    <x v="0"/>
    <x v="0"/>
    <x v="0"/>
    <x v="4"/>
    <x v="5"/>
    <s v="22"/>
    <x v="25"/>
    <x v="0"/>
    <x v="8"/>
    <x v="10"/>
    <n v="-90509.38"/>
  </r>
  <r>
    <x v="4"/>
    <x v="0"/>
    <x v="1"/>
    <x v="0"/>
    <x v="1"/>
    <x v="5"/>
    <x v="0"/>
    <x v="0"/>
    <x v="0"/>
    <x v="0"/>
    <x v="4"/>
    <x v="5"/>
    <s v="22"/>
    <x v="25"/>
    <x v="0"/>
    <x v="8"/>
    <x v="3"/>
    <n v="-270000"/>
  </r>
  <r>
    <x v="4"/>
    <x v="0"/>
    <x v="1"/>
    <x v="0"/>
    <x v="1"/>
    <x v="5"/>
    <x v="1"/>
    <x v="0"/>
    <x v="0"/>
    <x v="2"/>
    <x v="3"/>
    <x v="7"/>
    <s v="93"/>
    <x v="40"/>
    <x v="0"/>
    <x v="9"/>
    <x v="6"/>
    <n v="-20470.8"/>
  </r>
  <r>
    <x v="4"/>
    <x v="0"/>
    <x v="1"/>
    <x v="0"/>
    <x v="1"/>
    <x v="5"/>
    <x v="1"/>
    <x v="0"/>
    <x v="0"/>
    <x v="2"/>
    <x v="3"/>
    <x v="7"/>
    <s v="94"/>
    <x v="41"/>
    <x v="0"/>
    <x v="9"/>
    <x v="6"/>
    <n v="20470.8"/>
  </r>
  <r>
    <x v="4"/>
    <x v="0"/>
    <x v="1"/>
    <x v="0"/>
    <x v="1"/>
    <x v="6"/>
    <x v="0"/>
    <x v="0"/>
    <x v="0"/>
    <x v="1"/>
    <x v="1"/>
    <x v="8"/>
    <s v="41"/>
    <x v="4"/>
    <x v="0"/>
    <x v="9"/>
    <x v="8"/>
    <n v="2445"/>
  </r>
  <r>
    <x v="4"/>
    <x v="0"/>
    <x v="1"/>
    <x v="0"/>
    <x v="1"/>
    <x v="6"/>
    <x v="0"/>
    <x v="0"/>
    <x v="0"/>
    <x v="1"/>
    <x v="1"/>
    <x v="8"/>
    <s v="41"/>
    <x v="4"/>
    <x v="0"/>
    <x v="9"/>
    <x v="11"/>
    <n v="2445"/>
  </r>
  <r>
    <x v="4"/>
    <x v="0"/>
    <x v="1"/>
    <x v="0"/>
    <x v="1"/>
    <x v="6"/>
    <x v="0"/>
    <x v="0"/>
    <x v="0"/>
    <x v="1"/>
    <x v="1"/>
    <x v="8"/>
    <s v="41"/>
    <x v="4"/>
    <x v="0"/>
    <x v="9"/>
    <x v="7"/>
    <n v="2445"/>
  </r>
  <r>
    <x v="4"/>
    <x v="0"/>
    <x v="1"/>
    <x v="0"/>
    <x v="1"/>
    <x v="6"/>
    <x v="0"/>
    <x v="0"/>
    <x v="0"/>
    <x v="1"/>
    <x v="1"/>
    <x v="8"/>
    <s v="41"/>
    <x v="4"/>
    <x v="0"/>
    <x v="9"/>
    <x v="1"/>
    <n v="-2902.88"/>
  </r>
  <r>
    <x v="4"/>
    <x v="0"/>
    <x v="1"/>
    <x v="0"/>
    <x v="1"/>
    <x v="6"/>
    <x v="0"/>
    <x v="0"/>
    <x v="0"/>
    <x v="0"/>
    <x v="0"/>
    <x v="4"/>
    <s v="20"/>
    <x v="7"/>
    <x v="0"/>
    <x v="9"/>
    <x v="5"/>
    <n v="4060"/>
  </r>
  <r>
    <x v="4"/>
    <x v="0"/>
    <x v="1"/>
    <x v="0"/>
    <x v="1"/>
    <x v="6"/>
    <x v="0"/>
    <x v="0"/>
    <x v="0"/>
    <x v="0"/>
    <x v="0"/>
    <x v="4"/>
    <s v="20"/>
    <x v="7"/>
    <x v="0"/>
    <x v="9"/>
    <x v="1"/>
    <n v="23.1"/>
  </r>
  <r>
    <x v="4"/>
    <x v="0"/>
    <x v="1"/>
    <x v="0"/>
    <x v="1"/>
    <x v="6"/>
    <x v="0"/>
    <x v="0"/>
    <x v="0"/>
    <x v="0"/>
    <x v="0"/>
    <x v="4"/>
    <s v="20"/>
    <x v="7"/>
    <x v="0"/>
    <x v="8"/>
    <x v="10"/>
    <n v="-2030"/>
  </r>
  <r>
    <x v="4"/>
    <x v="0"/>
    <x v="1"/>
    <x v="0"/>
    <x v="1"/>
    <x v="6"/>
    <x v="0"/>
    <x v="0"/>
    <x v="0"/>
    <x v="0"/>
    <x v="0"/>
    <x v="4"/>
    <s v="20"/>
    <x v="7"/>
    <x v="0"/>
    <x v="8"/>
    <x v="6"/>
    <n v="30"/>
  </r>
  <r>
    <x v="4"/>
    <x v="0"/>
    <x v="1"/>
    <x v="0"/>
    <x v="1"/>
    <x v="6"/>
    <x v="0"/>
    <x v="0"/>
    <x v="0"/>
    <x v="0"/>
    <x v="0"/>
    <x v="4"/>
    <s v="20"/>
    <x v="7"/>
    <x v="0"/>
    <x v="8"/>
    <x v="1"/>
    <n v="467"/>
  </r>
  <r>
    <x v="4"/>
    <x v="0"/>
    <x v="1"/>
    <x v="0"/>
    <x v="1"/>
    <x v="6"/>
    <x v="0"/>
    <x v="0"/>
    <x v="0"/>
    <x v="0"/>
    <x v="0"/>
    <x v="4"/>
    <s v="24"/>
    <x v="1"/>
    <x v="0"/>
    <x v="9"/>
    <x v="1"/>
    <n v="69407.86"/>
  </r>
  <r>
    <x v="4"/>
    <x v="0"/>
    <x v="1"/>
    <x v="0"/>
    <x v="1"/>
    <x v="6"/>
    <x v="0"/>
    <x v="0"/>
    <x v="0"/>
    <x v="0"/>
    <x v="0"/>
    <x v="4"/>
    <s v="24"/>
    <x v="1"/>
    <x v="0"/>
    <x v="8"/>
    <x v="8"/>
    <n v="-59620.54"/>
  </r>
  <r>
    <x v="4"/>
    <x v="0"/>
    <x v="1"/>
    <x v="0"/>
    <x v="1"/>
    <x v="6"/>
    <x v="0"/>
    <x v="0"/>
    <x v="0"/>
    <x v="0"/>
    <x v="0"/>
    <x v="4"/>
    <s v="24"/>
    <x v="1"/>
    <x v="0"/>
    <x v="8"/>
    <x v="3"/>
    <n v="303744.28000000003"/>
  </r>
  <r>
    <x v="4"/>
    <x v="0"/>
    <x v="1"/>
    <x v="0"/>
    <x v="1"/>
    <x v="6"/>
    <x v="0"/>
    <x v="0"/>
    <x v="0"/>
    <x v="0"/>
    <x v="0"/>
    <x v="4"/>
    <s v="24"/>
    <x v="1"/>
    <x v="0"/>
    <x v="8"/>
    <x v="1"/>
    <n v="-1300.96"/>
  </r>
  <r>
    <x v="4"/>
    <x v="0"/>
    <x v="1"/>
    <x v="0"/>
    <x v="1"/>
    <x v="6"/>
    <x v="0"/>
    <x v="0"/>
    <x v="0"/>
    <x v="0"/>
    <x v="4"/>
    <x v="5"/>
    <s v="21"/>
    <x v="27"/>
    <x v="0"/>
    <x v="9"/>
    <x v="2"/>
    <n v="1471.97"/>
  </r>
  <r>
    <x v="4"/>
    <x v="0"/>
    <x v="1"/>
    <x v="0"/>
    <x v="1"/>
    <x v="6"/>
    <x v="0"/>
    <x v="0"/>
    <x v="0"/>
    <x v="0"/>
    <x v="4"/>
    <x v="5"/>
    <s v="21"/>
    <x v="27"/>
    <x v="0"/>
    <x v="8"/>
    <x v="7"/>
    <n v="43000"/>
  </r>
  <r>
    <x v="4"/>
    <x v="0"/>
    <x v="1"/>
    <x v="0"/>
    <x v="1"/>
    <x v="6"/>
    <x v="0"/>
    <x v="0"/>
    <x v="0"/>
    <x v="0"/>
    <x v="4"/>
    <x v="5"/>
    <s v="22"/>
    <x v="25"/>
    <x v="0"/>
    <x v="8"/>
    <x v="7"/>
    <n v="-26000"/>
  </r>
  <r>
    <x v="4"/>
    <x v="0"/>
    <x v="1"/>
    <x v="0"/>
    <x v="1"/>
    <x v="6"/>
    <x v="0"/>
    <x v="0"/>
    <x v="0"/>
    <x v="0"/>
    <x v="5"/>
    <x v="6"/>
    <s v="40"/>
    <x v="26"/>
    <x v="0"/>
    <x v="9"/>
    <x v="1"/>
    <n v="-2022.18"/>
  </r>
  <r>
    <x v="4"/>
    <x v="0"/>
    <x v="1"/>
    <x v="0"/>
    <x v="1"/>
    <x v="6"/>
    <x v="0"/>
    <x v="0"/>
    <x v="0"/>
    <x v="0"/>
    <x v="5"/>
    <x v="6"/>
    <s v="40"/>
    <x v="26"/>
    <x v="0"/>
    <x v="8"/>
    <x v="1"/>
    <n v="1300.96"/>
  </r>
  <r>
    <x v="4"/>
    <x v="0"/>
    <x v="1"/>
    <x v="0"/>
    <x v="1"/>
    <x v="6"/>
    <x v="1"/>
    <x v="0"/>
    <x v="0"/>
    <x v="0"/>
    <x v="0"/>
    <x v="4"/>
    <s v="05"/>
    <x v="38"/>
    <x v="0"/>
    <x v="9"/>
    <x v="6"/>
    <n v="40"/>
  </r>
  <r>
    <x v="4"/>
    <x v="0"/>
    <x v="1"/>
    <x v="0"/>
    <x v="1"/>
    <x v="6"/>
    <x v="1"/>
    <x v="0"/>
    <x v="0"/>
    <x v="0"/>
    <x v="0"/>
    <x v="4"/>
    <s v="16"/>
    <x v="20"/>
    <x v="0"/>
    <x v="9"/>
    <x v="11"/>
    <n v="3911.25"/>
  </r>
  <r>
    <x v="4"/>
    <x v="0"/>
    <x v="1"/>
    <x v="0"/>
    <x v="1"/>
    <x v="6"/>
    <x v="1"/>
    <x v="0"/>
    <x v="0"/>
    <x v="0"/>
    <x v="0"/>
    <x v="4"/>
    <s v="16"/>
    <x v="20"/>
    <x v="0"/>
    <x v="9"/>
    <x v="7"/>
    <n v="4790"/>
  </r>
  <r>
    <x v="4"/>
    <x v="0"/>
    <x v="1"/>
    <x v="0"/>
    <x v="1"/>
    <x v="6"/>
    <x v="1"/>
    <x v="0"/>
    <x v="0"/>
    <x v="0"/>
    <x v="0"/>
    <x v="4"/>
    <s v="16"/>
    <x v="20"/>
    <x v="0"/>
    <x v="8"/>
    <x v="8"/>
    <n v="4813.12"/>
  </r>
  <r>
    <x v="4"/>
    <x v="0"/>
    <x v="1"/>
    <x v="0"/>
    <x v="1"/>
    <x v="6"/>
    <x v="1"/>
    <x v="0"/>
    <x v="0"/>
    <x v="0"/>
    <x v="0"/>
    <x v="4"/>
    <s v="20"/>
    <x v="7"/>
    <x v="0"/>
    <x v="8"/>
    <x v="7"/>
    <n v="26"/>
  </r>
  <r>
    <x v="4"/>
    <x v="0"/>
    <x v="1"/>
    <x v="0"/>
    <x v="1"/>
    <x v="6"/>
    <x v="1"/>
    <x v="0"/>
    <x v="0"/>
    <x v="0"/>
    <x v="0"/>
    <x v="4"/>
    <s v="20"/>
    <x v="7"/>
    <x v="0"/>
    <x v="8"/>
    <x v="5"/>
    <n v="26"/>
  </r>
  <r>
    <x v="4"/>
    <x v="0"/>
    <x v="1"/>
    <x v="0"/>
    <x v="1"/>
    <x v="6"/>
    <x v="1"/>
    <x v="0"/>
    <x v="0"/>
    <x v="0"/>
    <x v="0"/>
    <x v="4"/>
    <s v="20"/>
    <x v="7"/>
    <x v="0"/>
    <x v="8"/>
    <x v="6"/>
    <n v="-52"/>
  </r>
  <r>
    <x v="4"/>
    <x v="0"/>
    <x v="1"/>
    <x v="0"/>
    <x v="1"/>
    <x v="6"/>
    <x v="1"/>
    <x v="0"/>
    <x v="0"/>
    <x v="0"/>
    <x v="0"/>
    <x v="4"/>
    <s v="24"/>
    <x v="1"/>
    <x v="0"/>
    <x v="9"/>
    <x v="1"/>
    <n v="756"/>
  </r>
  <r>
    <x v="4"/>
    <x v="0"/>
    <x v="1"/>
    <x v="0"/>
    <x v="1"/>
    <x v="6"/>
    <x v="1"/>
    <x v="0"/>
    <x v="0"/>
    <x v="0"/>
    <x v="0"/>
    <x v="4"/>
    <s v="31"/>
    <x v="8"/>
    <x v="0"/>
    <x v="9"/>
    <x v="11"/>
    <n v="1080"/>
  </r>
  <r>
    <x v="4"/>
    <x v="0"/>
    <x v="1"/>
    <x v="0"/>
    <x v="1"/>
    <x v="6"/>
    <x v="1"/>
    <x v="0"/>
    <x v="0"/>
    <x v="0"/>
    <x v="0"/>
    <x v="4"/>
    <s v="31"/>
    <x v="8"/>
    <x v="0"/>
    <x v="8"/>
    <x v="10"/>
    <n v="-40"/>
  </r>
  <r>
    <x v="4"/>
    <x v="0"/>
    <x v="1"/>
    <x v="0"/>
    <x v="1"/>
    <x v="6"/>
    <x v="1"/>
    <x v="0"/>
    <x v="0"/>
    <x v="0"/>
    <x v="0"/>
    <x v="4"/>
    <s v="99"/>
    <x v="9"/>
    <x v="0"/>
    <x v="8"/>
    <x v="10"/>
    <n v="300"/>
  </r>
  <r>
    <x v="4"/>
    <x v="0"/>
    <x v="1"/>
    <x v="0"/>
    <x v="1"/>
    <x v="6"/>
    <x v="5"/>
    <x v="0"/>
    <x v="0"/>
    <x v="0"/>
    <x v="0"/>
    <x v="4"/>
    <s v="20"/>
    <x v="7"/>
    <x v="0"/>
    <x v="9"/>
    <x v="9"/>
    <n v="128.5"/>
  </r>
  <r>
    <x v="4"/>
    <x v="0"/>
    <x v="1"/>
    <x v="0"/>
    <x v="1"/>
    <x v="6"/>
    <x v="5"/>
    <x v="0"/>
    <x v="0"/>
    <x v="0"/>
    <x v="0"/>
    <x v="4"/>
    <s v="20"/>
    <x v="7"/>
    <x v="0"/>
    <x v="9"/>
    <x v="11"/>
    <n v="-128.5"/>
  </r>
  <r>
    <x v="4"/>
    <x v="0"/>
    <x v="1"/>
    <x v="0"/>
    <x v="1"/>
    <x v="6"/>
    <x v="2"/>
    <x v="0"/>
    <x v="0"/>
    <x v="0"/>
    <x v="0"/>
    <x v="4"/>
    <s v="20"/>
    <x v="7"/>
    <x v="0"/>
    <x v="9"/>
    <x v="8"/>
    <n v="530.34"/>
  </r>
  <r>
    <x v="4"/>
    <x v="0"/>
    <x v="1"/>
    <x v="0"/>
    <x v="1"/>
    <x v="6"/>
    <x v="2"/>
    <x v="0"/>
    <x v="0"/>
    <x v="0"/>
    <x v="0"/>
    <x v="4"/>
    <s v="20"/>
    <x v="7"/>
    <x v="0"/>
    <x v="9"/>
    <x v="9"/>
    <n v="12047"/>
  </r>
  <r>
    <x v="4"/>
    <x v="0"/>
    <x v="1"/>
    <x v="0"/>
    <x v="1"/>
    <x v="6"/>
    <x v="2"/>
    <x v="0"/>
    <x v="0"/>
    <x v="0"/>
    <x v="0"/>
    <x v="4"/>
    <s v="20"/>
    <x v="7"/>
    <x v="0"/>
    <x v="9"/>
    <x v="10"/>
    <n v="793.94"/>
  </r>
  <r>
    <x v="4"/>
    <x v="0"/>
    <x v="1"/>
    <x v="0"/>
    <x v="1"/>
    <x v="6"/>
    <x v="2"/>
    <x v="0"/>
    <x v="0"/>
    <x v="0"/>
    <x v="0"/>
    <x v="4"/>
    <s v="20"/>
    <x v="7"/>
    <x v="0"/>
    <x v="9"/>
    <x v="11"/>
    <n v="1388.46"/>
  </r>
  <r>
    <x v="4"/>
    <x v="0"/>
    <x v="1"/>
    <x v="0"/>
    <x v="1"/>
    <x v="6"/>
    <x v="2"/>
    <x v="0"/>
    <x v="0"/>
    <x v="0"/>
    <x v="0"/>
    <x v="4"/>
    <s v="20"/>
    <x v="7"/>
    <x v="0"/>
    <x v="9"/>
    <x v="3"/>
    <n v="95452"/>
  </r>
  <r>
    <x v="4"/>
    <x v="0"/>
    <x v="1"/>
    <x v="0"/>
    <x v="1"/>
    <x v="6"/>
    <x v="2"/>
    <x v="0"/>
    <x v="0"/>
    <x v="0"/>
    <x v="0"/>
    <x v="4"/>
    <s v="20"/>
    <x v="7"/>
    <x v="0"/>
    <x v="9"/>
    <x v="7"/>
    <n v="1559.22"/>
  </r>
  <r>
    <x v="4"/>
    <x v="0"/>
    <x v="1"/>
    <x v="0"/>
    <x v="1"/>
    <x v="6"/>
    <x v="2"/>
    <x v="0"/>
    <x v="0"/>
    <x v="0"/>
    <x v="0"/>
    <x v="4"/>
    <s v="20"/>
    <x v="7"/>
    <x v="0"/>
    <x v="9"/>
    <x v="5"/>
    <n v="2189.94"/>
  </r>
  <r>
    <x v="4"/>
    <x v="0"/>
    <x v="1"/>
    <x v="0"/>
    <x v="1"/>
    <x v="6"/>
    <x v="2"/>
    <x v="0"/>
    <x v="0"/>
    <x v="0"/>
    <x v="0"/>
    <x v="4"/>
    <s v="20"/>
    <x v="7"/>
    <x v="0"/>
    <x v="9"/>
    <x v="1"/>
    <n v="8926.17"/>
  </r>
  <r>
    <x v="4"/>
    <x v="0"/>
    <x v="1"/>
    <x v="0"/>
    <x v="1"/>
    <x v="6"/>
    <x v="2"/>
    <x v="0"/>
    <x v="0"/>
    <x v="0"/>
    <x v="0"/>
    <x v="4"/>
    <s v="20"/>
    <x v="7"/>
    <x v="0"/>
    <x v="8"/>
    <x v="2"/>
    <n v="95370"/>
  </r>
  <r>
    <x v="4"/>
    <x v="0"/>
    <x v="1"/>
    <x v="0"/>
    <x v="1"/>
    <x v="6"/>
    <x v="2"/>
    <x v="0"/>
    <x v="0"/>
    <x v="0"/>
    <x v="0"/>
    <x v="4"/>
    <s v="20"/>
    <x v="7"/>
    <x v="0"/>
    <x v="8"/>
    <x v="8"/>
    <n v="2869.17"/>
  </r>
  <r>
    <x v="4"/>
    <x v="0"/>
    <x v="1"/>
    <x v="0"/>
    <x v="1"/>
    <x v="6"/>
    <x v="2"/>
    <x v="0"/>
    <x v="0"/>
    <x v="0"/>
    <x v="0"/>
    <x v="4"/>
    <s v="20"/>
    <x v="7"/>
    <x v="0"/>
    <x v="8"/>
    <x v="9"/>
    <n v="34375"/>
  </r>
  <r>
    <x v="4"/>
    <x v="0"/>
    <x v="1"/>
    <x v="0"/>
    <x v="1"/>
    <x v="6"/>
    <x v="2"/>
    <x v="0"/>
    <x v="0"/>
    <x v="0"/>
    <x v="0"/>
    <x v="4"/>
    <s v="20"/>
    <x v="7"/>
    <x v="0"/>
    <x v="8"/>
    <x v="10"/>
    <n v="12373.94"/>
  </r>
  <r>
    <x v="4"/>
    <x v="0"/>
    <x v="1"/>
    <x v="0"/>
    <x v="1"/>
    <x v="6"/>
    <x v="2"/>
    <x v="0"/>
    <x v="0"/>
    <x v="0"/>
    <x v="0"/>
    <x v="4"/>
    <s v="20"/>
    <x v="7"/>
    <x v="0"/>
    <x v="8"/>
    <x v="11"/>
    <n v="2460"/>
  </r>
  <r>
    <x v="4"/>
    <x v="0"/>
    <x v="1"/>
    <x v="0"/>
    <x v="1"/>
    <x v="6"/>
    <x v="2"/>
    <x v="0"/>
    <x v="0"/>
    <x v="0"/>
    <x v="0"/>
    <x v="4"/>
    <s v="20"/>
    <x v="7"/>
    <x v="0"/>
    <x v="8"/>
    <x v="3"/>
    <n v="-800"/>
  </r>
  <r>
    <x v="4"/>
    <x v="0"/>
    <x v="1"/>
    <x v="0"/>
    <x v="1"/>
    <x v="6"/>
    <x v="2"/>
    <x v="0"/>
    <x v="0"/>
    <x v="0"/>
    <x v="0"/>
    <x v="4"/>
    <s v="20"/>
    <x v="7"/>
    <x v="0"/>
    <x v="8"/>
    <x v="7"/>
    <n v="-16012.42"/>
  </r>
  <r>
    <x v="4"/>
    <x v="0"/>
    <x v="1"/>
    <x v="0"/>
    <x v="1"/>
    <x v="6"/>
    <x v="2"/>
    <x v="0"/>
    <x v="0"/>
    <x v="0"/>
    <x v="0"/>
    <x v="4"/>
    <s v="20"/>
    <x v="7"/>
    <x v="0"/>
    <x v="8"/>
    <x v="5"/>
    <n v="374.3"/>
  </r>
  <r>
    <x v="4"/>
    <x v="0"/>
    <x v="1"/>
    <x v="0"/>
    <x v="1"/>
    <x v="6"/>
    <x v="2"/>
    <x v="0"/>
    <x v="0"/>
    <x v="0"/>
    <x v="0"/>
    <x v="4"/>
    <s v="20"/>
    <x v="7"/>
    <x v="0"/>
    <x v="8"/>
    <x v="6"/>
    <n v="1926.1"/>
  </r>
  <r>
    <x v="4"/>
    <x v="0"/>
    <x v="1"/>
    <x v="0"/>
    <x v="1"/>
    <x v="6"/>
    <x v="2"/>
    <x v="0"/>
    <x v="0"/>
    <x v="0"/>
    <x v="0"/>
    <x v="4"/>
    <s v="20"/>
    <x v="7"/>
    <x v="0"/>
    <x v="8"/>
    <x v="1"/>
    <n v="-24447.43"/>
  </r>
  <r>
    <x v="4"/>
    <x v="0"/>
    <x v="1"/>
    <x v="0"/>
    <x v="1"/>
    <x v="6"/>
    <x v="2"/>
    <x v="0"/>
    <x v="0"/>
    <x v="0"/>
    <x v="0"/>
    <x v="4"/>
    <s v="31"/>
    <x v="8"/>
    <x v="0"/>
    <x v="8"/>
    <x v="2"/>
    <n v="-140"/>
  </r>
  <r>
    <x v="4"/>
    <x v="0"/>
    <x v="1"/>
    <x v="0"/>
    <x v="1"/>
    <x v="6"/>
    <x v="3"/>
    <x v="0"/>
    <x v="0"/>
    <x v="0"/>
    <x v="0"/>
    <x v="4"/>
    <s v="02"/>
    <x v="5"/>
    <x v="0"/>
    <x v="8"/>
    <x v="5"/>
    <n v="-21"/>
  </r>
  <r>
    <x v="4"/>
    <x v="0"/>
    <x v="1"/>
    <x v="0"/>
    <x v="1"/>
    <x v="6"/>
    <x v="3"/>
    <x v="0"/>
    <x v="0"/>
    <x v="0"/>
    <x v="0"/>
    <x v="4"/>
    <s v="31"/>
    <x v="8"/>
    <x v="0"/>
    <x v="9"/>
    <x v="9"/>
    <n v="636.29999999999995"/>
  </r>
  <r>
    <x v="4"/>
    <x v="0"/>
    <x v="1"/>
    <x v="0"/>
    <x v="1"/>
    <x v="6"/>
    <x v="3"/>
    <x v="0"/>
    <x v="0"/>
    <x v="0"/>
    <x v="0"/>
    <x v="4"/>
    <s v="31"/>
    <x v="8"/>
    <x v="0"/>
    <x v="9"/>
    <x v="4"/>
    <n v="4120"/>
  </r>
  <r>
    <x v="4"/>
    <x v="0"/>
    <x v="1"/>
    <x v="0"/>
    <x v="1"/>
    <x v="6"/>
    <x v="3"/>
    <x v="0"/>
    <x v="0"/>
    <x v="0"/>
    <x v="0"/>
    <x v="4"/>
    <s v="31"/>
    <x v="8"/>
    <x v="0"/>
    <x v="9"/>
    <x v="1"/>
    <n v="3635"/>
  </r>
  <r>
    <x v="4"/>
    <x v="0"/>
    <x v="1"/>
    <x v="0"/>
    <x v="1"/>
    <x v="6"/>
    <x v="3"/>
    <x v="0"/>
    <x v="0"/>
    <x v="0"/>
    <x v="0"/>
    <x v="4"/>
    <s v="99"/>
    <x v="9"/>
    <x v="0"/>
    <x v="9"/>
    <x v="7"/>
    <n v="220"/>
  </r>
  <r>
    <x v="4"/>
    <x v="0"/>
    <x v="1"/>
    <x v="0"/>
    <x v="1"/>
    <x v="6"/>
    <x v="4"/>
    <x v="0"/>
    <x v="0"/>
    <x v="0"/>
    <x v="0"/>
    <x v="4"/>
    <s v="09"/>
    <x v="0"/>
    <x v="0"/>
    <x v="9"/>
    <x v="8"/>
    <n v="70394.179999999993"/>
  </r>
  <r>
    <x v="4"/>
    <x v="0"/>
    <x v="1"/>
    <x v="0"/>
    <x v="1"/>
    <x v="6"/>
    <x v="4"/>
    <x v="0"/>
    <x v="0"/>
    <x v="0"/>
    <x v="0"/>
    <x v="4"/>
    <s v="09"/>
    <x v="0"/>
    <x v="0"/>
    <x v="9"/>
    <x v="7"/>
    <n v="218221.46"/>
  </r>
  <r>
    <x v="4"/>
    <x v="0"/>
    <x v="1"/>
    <x v="0"/>
    <x v="1"/>
    <x v="6"/>
    <x v="4"/>
    <x v="0"/>
    <x v="0"/>
    <x v="0"/>
    <x v="0"/>
    <x v="4"/>
    <s v="09"/>
    <x v="0"/>
    <x v="0"/>
    <x v="9"/>
    <x v="1"/>
    <n v="145144.5"/>
  </r>
  <r>
    <x v="4"/>
    <x v="0"/>
    <x v="1"/>
    <x v="0"/>
    <x v="1"/>
    <x v="6"/>
    <x v="4"/>
    <x v="0"/>
    <x v="0"/>
    <x v="0"/>
    <x v="0"/>
    <x v="4"/>
    <s v="09"/>
    <x v="0"/>
    <x v="0"/>
    <x v="8"/>
    <x v="8"/>
    <n v="89727.43"/>
  </r>
  <r>
    <x v="4"/>
    <x v="0"/>
    <x v="1"/>
    <x v="0"/>
    <x v="1"/>
    <x v="6"/>
    <x v="4"/>
    <x v="0"/>
    <x v="0"/>
    <x v="0"/>
    <x v="0"/>
    <x v="4"/>
    <s v="09"/>
    <x v="0"/>
    <x v="0"/>
    <x v="8"/>
    <x v="11"/>
    <n v="103276.12"/>
  </r>
  <r>
    <x v="4"/>
    <x v="0"/>
    <x v="1"/>
    <x v="0"/>
    <x v="1"/>
    <x v="6"/>
    <x v="4"/>
    <x v="0"/>
    <x v="0"/>
    <x v="0"/>
    <x v="0"/>
    <x v="4"/>
    <s v="09"/>
    <x v="0"/>
    <x v="0"/>
    <x v="8"/>
    <x v="7"/>
    <n v="99936.6"/>
  </r>
  <r>
    <x v="4"/>
    <x v="0"/>
    <x v="1"/>
    <x v="0"/>
    <x v="1"/>
    <x v="6"/>
    <x v="4"/>
    <x v="0"/>
    <x v="0"/>
    <x v="0"/>
    <x v="0"/>
    <x v="4"/>
    <s v="09"/>
    <x v="0"/>
    <x v="0"/>
    <x v="8"/>
    <x v="1"/>
    <n v="99629.25"/>
  </r>
  <r>
    <x v="4"/>
    <x v="0"/>
    <x v="1"/>
    <x v="0"/>
    <x v="1"/>
    <x v="6"/>
    <x v="4"/>
    <x v="0"/>
    <x v="0"/>
    <x v="0"/>
    <x v="0"/>
    <x v="4"/>
    <s v="16"/>
    <x v="20"/>
    <x v="0"/>
    <x v="9"/>
    <x v="9"/>
    <n v="601.25"/>
  </r>
  <r>
    <x v="4"/>
    <x v="0"/>
    <x v="1"/>
    <x v="0"/>
    <x v="1"/>
    <x v="6"/>
    <x v="4"/>
    <x v="0"/>
    <x v="0"/>
    <x v="0"/>
    <x v="0"/>
    <x v="4"/>
    <s v="20"/>
    <x v="7"/>
    <x v="0"/>
    <x v="9"/>
    <x v="10"/>
    <n v="20000"/>
  </r>
  <r>
    <x v="4"/>
    <x v="0"/>
    <x v="1"/>
    <x v="0"/>
    <x v="1"/>
    <x v="6"/>
    <x v="4"/>
    <x v="0"/>
    <x v="0"/>
    <x v="0"/>
    <x v="0"/>
    <x v="4"/>
    <s v="20"/>
    <x v="7"/>
    <x v="0"/>
    <x v="9"/>
    <x v="7"/>
    <n v="-20000"/>
  </r>
  <r>
    <x v="4"/>
    <x v="0"/>
    <x v="1"/>
    <x v="0"/>
    <x v="1"/>
    <x v="6"/>
    <x v="4"/>
    <x v="0"/>
    <x v="0"/>
    <x v="0"/>
    <x v="0"/>
    <x v="4"/>
    <s v="20"/>
    <x v="7"/>
    <x v="0"/>
    <x v="8"/>
    <x v="7"/>
    <n v="20000"/>
  </r>
  <r>
    <x v="4"/>
    <x v="0"/>
    <x v="1"/>
    <x v="0"/>
    <x v="1"/>
    <x v="6"/>
    <x v="4"/>
    <x v="0"/>
    <x v="0"/>
    <x v="0"/>
    <x v="0"/>
    <x v="4"/>
    <s v="20"/>
    <x v="7"/>
    <x v="0"/>
    <x v="8"/>
    <x v="1"/>
    <n v="27000"/>
  </r>
  <r>
    <x v="4"/>
    <x v="0"/>
    <x v="1"/>
    <x v="0"/>
    <x v="1"/>
    <x v="6"/>
    <x v="4"/>
    <x v="0"/>
    <x v="0"/>
    <x v="0"/>
    <x v="0"/>
    <x v="4"/>
    <s v="24"/>
    <x v="1"/>
    <x v="0"/>
    <x v="9"/>
    <x v="0"/>
    <n v="-162.30000000000001"/>
  </r>
  <r>
    <x v="4"/>
    <x v="0"/>
    <x v="1"/>
    <x v="0"/>
    <x v="1"/>
    <x v="6"/>
    <x v="4"/>
    <x v="0"/>
    <x v="0"/>
    <x v="0"/>
    <x v="0"/>
    <x v="4"/>
    <s v="24"/>
    <x v="1"/>
    <x v="0"/>
    <x v="9"/>
    <x v="2"/>
    <n v="8362539.3799999999"/>
  </r>
  <r>
    <x v="4"/>
    <x v="0"/>
    <x v="1"/>
    <x v="0"/>
    <x v="1"/>
    <x v="6"/>
    <x v="4"/>
    <x v="0"/>
    <x v="0"/>
    <x v="0"/>
    <x v="0"/>
    <x v="4"/>
    <s v="24"/>
    <x v="1"/>
    <x v="0"/>
    <x v="9"/>
    <x v="8"/>
    <n v="-358088.16"/>
  </r>
  <r>
    <x v="4"/>
    <x v="0"/>
    <x v="1"/>
    <x v="0"/>
    <x v="1"/>
    <x v="6"/>
    <x v="4"/>
    <x v="0"/>
    <x v="0"/>
    <x v="0"/>
    <x v="0"/>
    <x v="4"/>
    <s v="24"/>
    <x v="1"/>
    <x v="0"/>
    <x v="9"/>
    <x v="9"/>
    <n v="25187.75"/>
  </r>
  <r>
    <x v="4"/>
    <x v="0"/>
    <x v="1"/>
    <x v="0"/>
    <x v="1"/>
    <x v="6"/>
    <x v="4"/>
    <x v="0"/>
    <x v="0"/>
    <x v="0"/>
    <x v="0"/>
    <x v="4"/>
    <s v="24"/>
    <x v="1"/>
    <x v="0"/>
    <x v="9"/>
    <x v="10"/>
    <n v="-3569.91"/>
  </r>
  <r>
    <x v="4"/>
    <x v="0"/>
    <x v="1"/>
    <x v="0"/>
    <x v="1"/>
    <x v="6"/>
    <x v="4"/>
    <x v="0"/>
    <x v="0"/>
    <x v="0"/>
    <x v="0"/>
    <x v="4"/>
    <s v="24"/>
    <x v="1"/>
    <x v="0"/>
    <x v="9"/>
    <x v="11"/>
    <n v="6987217.79"/>
  </r>
  <r>
    <x v="4"/>
    <x v="0"/>
    <x v="1"/>
    <x v="0"/>
    <x v="1"/>
    <x v="6"/>
    <x v="4"/>
    <x v="0"/>
    <x v="0"/>
    <x v="0"/>
    <x v="0"/>
    <x v="4"/>
    <s v="24"/>
    <x v="1"/>
    <x v="0"/>
    <x v="9"/>
    <x v="3"/>
    <n v="511556.77"/>
  </r>
  <r>
    <x v="4"/>
    <x v="0"/>
    <x v="1"/>
    <x v="0"/>
    <x v="1"/>
    <x v="6"/>
    <x v="4"/>
    <x v="0"/>
    <x v="0"/>
    <x v="0"/>
    <x v="0"/>
    <x v="4"/>
    <s v="24"/>
    <x v="1"/>
    <x v="0"/>
    <x v="9"/>
    <x v="4"/>
    <n v="-15331.1"/>
  </r>
  <r>
    <x v="4"/>
    <x v="0"/>
    <x v="1"/>
    <x v="0"/>
    <x v="1"/>
    <x v="6"/>
    <x v="4"/>
    <x v="0"/>
    <x v="0"/>
    <x v="0"/>
    <x v="0"/>
    <x v="4"/>
    <s v="24"/>
    <x v="1"/>
    <x v="0"/>
    <x v="9"/>
    <x v="7"/>
    <n v="6339189.9500000002"/>
  </r>
  <r>
    <x v="4"/>
    <x v="0"/>
    <x v="1"/>
    <x v="0"/>
    <x v="1"/>
    <x v="6"/>
    <x v="4"/>
    <x v="0"/>
    <x v="0"/>
    <x v="0"/>
    <x v="0"/>
    <x v="4"/>
    <s v="24"/>
    <x v="1"/>
    <x v="0"/>
    <x v="9"/>
    <x v="5"/>
    <n v="897932.18"/>
  </r>
  <r>
    <x v="4"/>
    <x v="0"/>
    <x v="1"/>
    <x v="0"/>
    <x v="1"/>
    <x v="6"/>
    <x v="4"/>
    <x v="0"/>
    <x v="0"/>
    <x v="0"/>
    <x v="0"/>
    <x v="4"/>
    <s v="24"/>
    <x v="1"/>
    <x v="0"/>
    <x v="9"/>
    <x v="6"/>
    <n v="15332.02"/>
  </r>
  <r>
    <x v="4"/>
    <x v="0"/>
    <x v="1"/>
    <x v="0"/>
    <x v="1"/>
    <x v="6"/>
    <x v="4"/>
    <x v="0"/>
    <x v="0"/>
    <x v="0"/>
    <x v="0"/>
    <x v="4"/>
    <s v="24"/>
    <x v="1"/>
    <x v="0"/>
    <x v="9"/>
    <x v="1"/>
    <n v="-67858.350000000006"/>
  </r>
  <r>
    <x v="4"/>
    <x v="0"/>
    <x v="1"/>
    <x v="0"/>
    <x v="1"/>
    <x v="6"/>
    <x v="4"/>
    <x v="0"/>
    <x v="0"/>
    <x v="0"/>
    <x v="0"/>
    <x v="4"/>
    <s v="24"/>
    <x v="1"/>
    <x v="0"/>
    <x v="8"/>
    <x v="0"/>
    <n v="68102.83"/>
  </r>
  <r>
    <x v="4"/>
    <x v="0"/>
    <x v="1"/>
    <x v="0"/>
    <x v="1"/>
    <x v="6"/>
    <x v="4"/>
    <x v="0"/>
    <x v="0"/>
    <x v="0"/>
    <x v="0"/>
    <x v="4"/>
    <s v="24"/>
    <x v="1"/>
    <x v="0"/>
    <x v="8"/>
    <x v="2"/>
    <n v="9515767.3800000008"/>
  </r>
  <r>
    <x v="4"/>
    <x v="0"/>
    <x v="1"/>
    <x v="0"/>
    <x v="1"/>
    <x v="6"/>
    <x v="4"/>
    <x v="0"/>
    <x v="0"/>
    <x v="0"/>
    <x v="0"/>
    <x v="4"/>
    <s v="24"/>
    <x v="1"/>
    <x v="0"/>
    <x v="8"/>
    <x v="8"/>
    <n v="-727634.9"/>
  </r>
  <r>
    <x v="4"/>
    <x v="0"/>
    <x v="1"/>
    <x v="0"/>
    <x v="1"/>
    <x v="6"/>
    <x v="4"/>
    <x v="0"/>
    <x v="0"/>
    <x v="0"/>
    <x v="0"/>
    <x v="4"/>
    <s v="24"/>
    <x v="1"/>
    <x v="0"/>
    <x v="8"/>
    <x v="9"/>
    <n v="182413.38"/>
  </r>
  <r>
    <x v="4"/>
    <x v="0"/>
    <x v="1"/>
    <x v="0"/>
    <x v="1"/>
    <x v="6"/>
    <x v="4"/>
    <x v="0"/>
    <x v="0"/>
    <x v="0"/>
    <x v="0"/>
    <x v="4"/>
    <s v="24"/>
    <x v="1"/>
    <x v="0"/>
    <x v="8"/>
    <x v="10"/>
    <n v="2645.3"/>
  </r>
  <r>
    <x v="4"/>
    <x v="0"/>
    <x v="1"/>
    <x v="0"/>
    <x v="1"/>
    <x v="6"/>
    <x v="4"/>
    <x v="0"/>
    <x v="0"/>
    <x v="0"/>
    <x v="0"/>
    <x v="4"/>
    <s v="24"/>
    <x v="1"/>
    <x v="0"/>
    <x v="8"/>
    <x v="11"/>
    <n v="7966756.4400000004"/>
  </r>
  <r>
    <x v="4"/>
    <x v="0"/>
    <x v="1"/>
    <x v="0"/>
    <x v="1"/>
    <x v="6"/>
    <x v="4"/>
    <x v="0"/>
    <x v="0"/>
    <x v="0"/>
    <x v="0"/>
    <x v="4"/>
    <s v="24"/>
    <x v="1"/>
    <x v="0"/>
    <x v="8"/>
    <x v="3"/>
    <n v="604730.12"/>
  </r>
  <r>
    <x v="4"/>
    <x v="0"/>
    <x v="1"/>
    <x v="0"/>
    <x v="1"/>
    <x v="6"/>
    <x v="4"/>
    <x v="0"/>
    <x v="0"/>
    <x v="0"/>
    <x v="0"/>
    <x v="4"/>
    <s v="24"/>
    <x v="1"/>
    <x v="0"/>
    <x v="8"/>
    <x v="4"/>
    <n v="-3627.96"/>
  </r>
  <r>
    <x v="4"/>
    <x v="0"/>
    <x v="1"/>
    <x v="0"/>
    <x v="1"/>
    <x v="6"/>
    <x v="4"/>
    <x v="0"/>
    <x v="0"/>
    <x v="0"/>
    <x v="0"/>
    <x v="4"/>
    <s v="24"/>
    <x v="1"/>
    <x v="0"/>
    <x v="8"/>
    <x v="7"/>
    <n v="7212739.4800000004"/>
  </r>
  <r>
    <x v="4"/>
    <x v="0"/>
    <x v="1"/>
    <x v="0"/>
    <x v="1"/>
    <x v="6"/>
    <x v="4"/>
    <x v="0"/>
    <x v="0"/>
    <x v="0"/>
    <x v="0"/>
    <x v="4"/>
    <s v="24"/>
    <x v="1"/>
    <x v="0"/>
    <x v="8"/>
    <x v="5"/>
    <n v="990052.54"/>
  </r>
  <r>
    <x v="4"/>
    <x v="0"/>
    <x v="1"/>
    <x v="0"/>
    <x v="1"/>
    <x v="6"/>
    <x v="4"/>
    <x v="0"/>
    <x v="0"/>
    <x v="0"/>
    <x v="0"/>
    <x v="4"/>
    <s v="24"/>
    <x v="1"/>
    <x v="0"/>
    <x v="8"/>
    <x v="6"/>
    <n v="2662.57"/>
  </r>
  <r>
    <x v="4"/>
    <x v="0"/>
    <x v="1"/>
    <x v="0"/>
    <x v="1"/>
    <x v="6"/>
    <x v="4"/>
    <x v="0"/>
    <x v="0"/>
    <x v="0"/>
    <x v="0"/>
    <x v="4"/>
    <s v="24"/>
    <x v="1"/>
    <x v="0"/>
    <x v="8"/>
    <x v="1"/>
    <n v="-20041.47"/>
  </r>
  <r>
    <x v="4"/>
    <x v="0"/>
    <x v="1"/>
    <x v="0"/>
    <x v="1"/>
    <x v="6"/>
    <x v="4"/>
    <x v="0"/>
    <x v="0"/>
    <x v="0"/>
    <x v="0"/>
    <x v="4"/>
    <s v="31"/>
    <x v="8"/>
    <x v="0"/>
    <x v="9"/>
    <x v="4"/>
    <n v="-300"/>
  </r>
  <r>
    <x v="4"/>
    <x v="0"/>
    <x v="1"/>
    <x v="0"/>
    <x v="1"/>
    <x v="6"/>
    <x v="4"/>
    <x v="0"/>
    <x v="0"/>
    <x v="0"/>
    <x v="0"/>
    <x v="4"/>
    <s v="90"/>
    <x v="16"/>
    <x v="0"/>
    <x v="9"/>
    <x v="1"/>
    <n v="-2022.18"/>
  </r>
  <r>
    <x v="4"/>
    <x v="0"/>
    <x v="1"/>
    <x v="0"/>
    <x v="1"/>
    <x v="6"/>
    <x v="4"/>
    <x v="0"/>
    <x v="0"/>
    <x v="0"/>
    <x v="0"/>
    <x v="4"/>
    <s v="99"/>
    <x v="9"/>
    <x v="0"/>
    <x v="8"/>
    <x v="5"/>
    <n v="4.09"/>
  </r>
  <r>
    <x v="4"/>
    <x v="0"/>
    <x v="1"/>
    <x v="0"/>
    <x v="1"/>
    <x v="6"/>
    <x v="4"/>
    <x v="0"/>
    <x v="0"/>
    <x v="0"/>
    <x v="5"/>
    <x v="6"/>
    <s v="40"/>
    <x v="26"/>
    <x v="0"/>
    <x v="9"/>
    <x v="1"/>
    <n v="2022.18"/>
  </r>
  <r>
    <x v="4"/>
    <x v="0"/>
    <x v="1"/>
    <x v="0"/>
    <x v="1"/>
    <x v="6"/>
    <x v="4"/>
    <x v="0"/>
    <x v="0"/>
    <x v="0"/>
    <x v="5"/>
    <x v="6"/>
    <s v="40"/>
    <x v="26"/>
    <x v="0"/>
    <x v="8"/>
    <x v="8"/>
    <n v="-26989.41"/>
  </r>
  <r>
    <x v="4"/>
    <x v="0"/>
    <x v="1"/>
    <x v="0"/>
    <x v="1"/>
    <x v="6"/>
    <x v="4"/>
    <x v="0"/>
    <x v="0"/>
    <x v="0"/>
    <x v="5"/>
    <x v="6"/>
    <s v="40"/>
    <x v="26"/>
    <x v="0"/>
    <x v="8"/>
    <x v="9"/>
    <n v="26975.41"/>
  </r>
  <r>
    <x v="4"/>
    <x v="0"/>
    <x v="1"/>
    <x v="0"/>
    <x v="1"/>
    <x v="6"/>
    <x v="4"/>
    <x v="0"/>
    <x v="0"/>
    <x v="0"/>
    <x v="5"/>
    <x v="6"/>
    <s v="40"/>
    <x v="26"/>
    <x v="0"/>
    <x v="8"/>
    <x v="10"/>
    <n v="29"/>
  </r>
  <r>
    <x v="4"/>
    <x v="0"/>
    <x v="1"/>
    <x v="0"/>
    <x v="1"/>
    <x v="6"/>
    <x v="4"/>
    <x v="0"/>
    <x v="0"/>
    <x v="0"/>
    <x v="5"/>
    <x v="6"/>
    <s v="40"/>
    <x v="26"/>
    <x v="0"/>
    <x v="8"/>
    <x v="3"/>
    <n v="-365.5"/>
  </r>
  <r>
    <x v="4"/>
    <x v="0"/>
    <x v="1"/>
    <x v="0"/>
    <x v="1"/>
    <x v="6"/>
    <x v="4"/>
    <x v="0"/>
    <x v="0"/>
    <x v="0"/>
    <x v="5"/>
    <x v="6"/>
    <s v="40"/>
    <x v="26"/>
    <x v="0"/>
    <x v="8"/>
    <x v="4"/>
    <n v="530.74"/>
  </r>
  <r>
    <x v="4"/>
    <x v="0"/>
    <x v="1"/>
    <x v="0"/>
    <x v="1"/>
    <x v="6"/>
    <x v="4"/>
    <x v="0"/>
    <x v="0"/>
    <x v="0"/>
    <x v="5"/>
    <x v="6"/>
    <s v="40"/>
    <x v="26"/>
    <x v="0"/>
    <x v="8"/>
    <x v="5"/>
    <n v="-1581.2"/>
  </r>
  <r>
    <x v="4"/>
    <x v="0"/>
    <x v="1"/>
    <x v="0"/>
    <x v="1"/>
    <x v="6"/>
    <x v="4"/>
    <x v="0"/>
    <x v="0"/>
    <x v="0"/>
    <x v="5"/>
    <x v="6"/>
    <s v="40"/>
    <x v="26"/>
    <x v="0"/>
    <x v="8"/>
    <x v="1"/>
    <n v="100"/>
  </r>
  <r>
    <x v="4"/>
    <x v="0"/>
    <x v="1"/>
    <x v="0"/>
    <x v="1"/>
    <x v="6"/>
    <x v="6"/>
    <x v="0"/>
    <x v="0"/>
    <x v="0"/>
    <x v="0"/>
    <x v="4"/>
    <s v="20"/>
    <x v="7"/>
    <x v="0"/>
    <x v="9"/>
    <x v="0"/>
    <n v="51.5"/>
  </r>
  <r>
    <x v="4"/>
    <x v="0"/>
    <x v="1"/>
    <x v="0"/>
    <x v="1"/>
    <x v="6"/>
    <x v="6"/>
    <x v="0"/>
    <x v="0"/>
    <x v="0"/>
    <x v="0"/>
    <x v="4"/>
    <s v="20"/>
    <x v="7"/>
    <x v="0"/>
    <x v="9"/>
    <x v="10"/>
    <n v="70.75"/>
  </r>
  <r>
    <x v="4"/>
    <x v="0"/>
    <x v="1"/>
    <x v="0"/>
    <x v="1"/>
    <x v="6"/>
    <x v="6"/>
    <x v="0"/>
    <x v="0"/>
    <x v="0"/>
    <x v="0"/>
    <x v="4"/>
    <s v="20"/>
    <x v="7"/>
    <x v="0"/>
    <x v="9"/>
    <x v="7"/>
    <n v="160.5"/>
  </r>
  <r>
    <x v="4"/>
    <x v="0"/>
    <x v="1"/>
    <x v="0"/>
    <x v="1"/>
    <x v="6"/>
    <x v="6"/>
    <x v="0"/>
    <x v="0"/>
    <x v="0"/>
    <x v="0"/>
    <x v="4"/>
    <s v="20"/>
    <x v="7"/>
    <x v="0"/>
    <x v="9"/>
    <x v="6"/>
    <n v="79.75"/>
  </r>
  <r>
    <x v="4"/>
    <x v="0"/>
    <x v="1"/>
    <x v="0"/>
    <x v="1"/>
    <x v="6"/>
    <x v="6"/>
    <x v="0"/>
    <x v="0"/>
    <x v="0"/>
    <x v="0"/>
    <x v="4"/>
    <s v="20"/>
    <x v="7"/>
    <x v="0"/>
    <x v="8"/>
    <x v="11"/>
    <n v="122.25"/>
  </r>
  <r>
    <x v="4"/>
    <x v="0"/>
    <x v="1"/>
    <x v="0"/>
    <x v="1"/>
    <x v="6"/>
    <x v="6"/>
    <x v="0"/>
    <x v="0"/>
    <x v="0"/>
    <x v="0"/>
    <x v="4"/>
    <s v="99"/>
    <x v="9"/>
    <x v="0"/>
    <x v="8"/>
    <x v="9"/>
    <n v="9936.67"/>
  </r>
  <r>
    <x v="4"/>
    <x v="0"/>
    <x v="1"/>
    <x v="0"/>
    <x v="1"/>
    <x v="6"/>
    <x v="6"/>
    <x v="0"/>
    <x v="0"/>
    <x v="0"/>
    <x v="0"/>
    <x v="4"/>
    <s v="99"/>
    <x v="9"/>
    <x v="0"/>
    <x v="8"/>
    <x v="4"/>
    <n v="2759.26"/>
  </r>
  <r>
    <x v="4"/>
    <x v="0"/>
    <x v="1"/>
    <x v="0"/>
    <x v="1"/>
    <x v="6"/>
    <x v="7"/>
    <x v="0"/>
    <x v="0"/>
    <x v="0"/>
    <x v="0"/>
    <x v="4"/>
    <s v="09"/>
    <x v="0"/>
    <x v="0"/>
    <x v="9"/>
    <x v="11"/>
    <n v="90980.36"/>
  </r>
  <r>
    <x v="4"/>
    <x v="0"/>
    <x v="1"/>
    <x v="0"/>
    <x v="1"/>
    <x v="6"/>
    <x v="7"/>
    <x v="0"/>
    <x v="0"/>
    <x v="0"/>
    <x v="0"/>
    <x v="4"/>
    <s v="09"/>
    <x v="0"/>
    <x v="0"/>
    <x v="9"/>
    <x v="7"/>
    <n v="-90980.36"/>
  </r>
  <r>
    <x v="4"/>
    <x v="0"/>
    <x v="1"/>
    <x v="0"/>
    <x v="1"/>
    <x v="2"/>
    <x v="0"/>
    <x v="0"/>
    <x v="0"/>
    <x v="1"/>
    <x v="1"/>
    <x v="8"/>
    <s v="41"/>
    <x v="4"/>
    <x v="0"/>
    <x v="9"/>
    <x v="4"/>
    <n v="50"/>
  </r>
  <r>
    <x v="4"/>
    <x v="0"/>
    <x v="1"/>
    <x v="0"/>
    <x v="1"/>
    <x v="2"/>
    <x v="0"/>
    <x v="0"/>
    <x v="0"/>
    <x v="1"/>
    <x v="1"/>
    <x v="8"/>
    <s v="41"/>
    <x v="4"/>
    <x v="0"/>
    <x v="9"/>
    <x v="7"/>
    <n v="-50"/>
  </r>
  <r>
    <x v="4"/>
    <x v="0"/>
    <x v="1"/>
    <x v="0"/>
    <x v="1"/>
    <x v="2"/>
    <x v="0"/>
    <x v="0"/>
    <x v="0"/>
    <x v="1"/>
    <x v="1"/>
    <x v="8"/>
    <s v="41"/>
    <x v="4"/>
    <x v="0"/>
    <x v="9"/>
    <x v="1"/>
    <n v="96813.74"/>
  </r>
  <r>
    <x v="4"/>
    <x v="0"/>
    <x v="1"/>
    <x v="0"/>
    <x v="1"/>
    <x v="2"/>
    <x v="0"/>
    <x v="0"/>
    <x v="0"/>
    <x v="1"/>
    <x v="1"/>
    <x v="8"/>
    <s v="41"/>
    <x v="4"/>
    <x v="0"/>
    <x v="8"/>
    <x v="10"/>
    <n v="650"/>
  </r>
  <r>
    <x v="4"/>
    <x v="0"/>
    <x v="1"/>
    <x v="0"/>
    <x v="1"/>
    <x v="2"/>
    <x v="0"/>
    <x v="0"/>
    <x v="0"/>
    <x v="1"/>
    <x v="1"/>
    <x v="8"/>
    <s v="41"/>
    <x v="4"/>
    <x v="0"/>
    <x v="8"/>
    <x v="11"/>
    <n v="5371.16"/>
  </r>
  <r>
    <x v="4"/>
    <x v="0"/>
    <x v="1"/>
    <x v="0"/>
    <x v="1"/>
    <x v="2"/>
    <x v="0"/>
    <x v="0"/>
    <x v="0"/>
    <x v="1"/>
    <x v="1"/>
    <x v="8"/>
    <s v="41"/>
    <x v="4"/>
    <x v="0"/>
    <x v="8"/>
    <x v="3"/>
    <n v="1200"/>
  </r>
  <r>
    <x v="4"/>
    <x v="0"/>
    <x v="1"/>
    <x v="0"/>
    <x v="1"/>
    <x v="2"/>
    <x v="0"/>
    <x v="0"/>
    <x v="0"/>
    <x v="1"/>
    <x v="1"/>
    <x v="8"/>
    <s v="41"/>
    <x v="4"/>
    <x v="0"/>
    <x v="8"/>
    <x v="4"/>
    <n v="-5671.16"/>
  </r>
  <r>
    <x v="4"/>
    <x v="0"/>
    <x v="1"/>
    <x v="0"/>
    <x v="1"/>
    <x v="2"/>
    <x v="0"/>
    <x v="0"/>
    <x v="0"/>
    <x v="1"/>
    <x v="1"/>
    <x v="8"/>
    <s v="41"/>
    <x v="4"/>
    <x v="0"/>
    <x v="8"/>
    <x v="7"/>
    <n v="-935"/>
  </r>
  <r>
    <x v="4"/>
    <x v="0"/>
    <x v="1"/>
    <x v="0"/>
    <x v="1"/>
    <x v="2"/>
    <x v="0"/>
    <x v="0"/>
    <x v="0"/>
    <x v="1"/>
    <x v="1"/>
    <x v="8"/>
    <s v="41"/>
    <x v="4"/>
    <x v="0"/>
    <x v="8"/>
    <x v="5"/>
    <n v="50"/>
  </r>
  <r>
    <x v="4"/>
    <x v="0"/>
    <x v="1"/>
    <x v="0"/>
    <x v="1"/>
    <x v="2"/>
    <x v="0"/>
    <x v="0"/>
    <x v="0"/>
    <x v="1"/>
    <x v="1"/>
    <x v="8"/>
    <s v="41"/>
    <x v="4"/>
    <x v="0"/>
    <x v="8"/>
    <x v="6"/>
    <n v="-115"/>
  </r>
  <r>
    <x v="4"/>
    <x v="0"/>
    <x v="1"/>
    <x v="0"/>
    <x v="1"/>
    <x v="2"/>
    <x v="0"/>
    <x v="0"/>
    <x v="0"/>
    <x v="1"/>
    <x v="1"/>
    <x v="8"/>
    <s v="41"/>
    <x v="4"/>
    <x v="0"/>
    <x v="8"/>
    <x v="1"/>
    <n v="79199.08"/>
  </r>
  <r>
    <x v="4"/>
    <x v="0"/>
    <x v="1"/>
    <x v="0"/>
    <x v="1"/>
    <x v="2"/>
    <x v="0"/>
    <x v="0"/>
    <x v="0"/>
    <x v="0"/>
    <x v="0"/>
    <x v="4"/>
    <s v="05"/>
    <x v="38"/>
    <x v="0"/>
    <x v="8"/>
    <x v="4"/>
    <n v="60"/>
  </r>
  <r>
    <x v="4"/>
    <x v="0"/>
    <x v="1"/>
    <x v="0"/>
    <x v="1"/>
    <x v="2"/>
    <x v="0"/>
    <x v="0"/>
    <x v="0"/>
    <x v="0"/>
    <x v="0"/>
    <x v="4"/>
    <s v="09"/>
    <x v="0"/>
    <x v="0"/>
    <x v="9"/>
    <x v="0"/>
    <n v="-10043.66"/>
  </r>
  <r>
    <x v="4"/>
    <x v="0"/>
    <x v="1"/>
    <x v="0"/>
    <x v="1"/>
    <x v="2"/>
    <x v="0"/>
    <x v="0"/>
    <x v="0"/>
    <x v="0"/>
    <x v="0"/>
    <x v="4"/>
    <s v="09"/>
    <x v="0"/>
    <x v="0"/>
    <x v="9"/>
    <x v="2"/>
    <n v="62924.41"/>
  </r>
  <r>
    <x v="4"/>
    <x v="0"/>
    <x v="1"/>
    <x v="0"/>
    <x v="1"/>
    <x v="2"/>
    <x v="0"/>
    <x v="0"/>
    <x v="0"/>
    <x v="0"/>
    <x v="0"/>
    <x v="4"/>
    <s v="09"/>
    <x v="0"/>
    <x v="0"/>
    <x v="9"/>
    <x v="8"/>
    <n v="46200.86"/>
  </r>
  <r>
    <x v="4"/>
    <x v="0"/>
    <x v="1"/>
    <x v="0"/>
    <x v="1"/>
    <x v="2"/>
    <x v="0"/>
    <x v="0"/>
    <x v="0"/>
    <x v="0"/>
    <x v="0"/>
    <x v="4"/>
    <s v="09"/>
    <x v="0"/>
    <x v="0"/>
    <x v="9"/>
    <x v="9"/>
    <n v="58140.27"/>
  </r>
  <r>
    <x v="4"/>
    <x v="0"/>
    <x v="1"/>
    <x v="0"/>
    <x v="1"/>
    <x v="2"/>
    <x v="0"/>
    <x v="0"/>
    <x v="0"/>
    <x v="0"/>
    <x v="0"/>
    <x v="4"/>
    <s v="09"/>
    <x v="0"/>
    <x v="0"/>
    <x v="9"/>
    <x v="10"/>
    <n v="86361.1"/>
  </r>
  <r>
    <x v="4"/>
    <x v="0"/>
    <x v="1"/>
    <x v="0"/>
    <x v="1"/>
    <x v="2"/>
    <x v="0"/>
    <x v="0"/>
    <x v="0"/>
    <x v="0"/>
    <x v="0"/>
    <x v="4"/>
    <s v="09"/>
    <x v="0"/>
    <x v="0"/>
    <x v="9"/>
    <x v="11"/>
    <n v="66134.25"/>
  </r>
  <r>
    <x v="4"/>
    <x v="0"/>
    <x v="1"/>
    <x v="0"/>
    <x v="1"/>
    <x v="2"/>
    <x v="0"/>
    <x v="0"/>
    <x v="0"/>
    <x v="0"/>
    <x v="0"/>
    <x v="4"/>
    <s v="09"/>
    <x v="0"/>
    <x v="0"/>
    <x v="9"/>
    <x v="3"/>
    <n v="53802.35"/>
  </r>
  <r>
    <x v="4"/>
    <x v="0"/>
    <x v="1"/>
    <x v="0"/>
    <x v="1"/>
    <x v="2"/>
    <x v="0"/>
    <x v="0"/>
    <x v="0"/>
    <x v="0"/>
    <x v="0"/>
    <x v="4"/>
    <s v="09"/>
    <x v="0"/>
    <x v="0"/>
    <x v="9"/>
    <x v="4"/>
    <n v="91265.8"/>
  </r>
  <r>
    <x v="4"/>
    <x v="0"/>
    <x v="1"/>
    <x v="0"/>
    <x v="1"/>
    <x v="2"/>
    <x v="0"/>
    <x v="0"/>
    <x v="0"/>
    <x v="0"/>
    <x v="0"/>
    <x v="4"/>
    <s v="09"/>
    <x v="0"/>
    <x v="0"/>
    <x v="9"/>
    <x v="7"/>
    <n v="75042.320000000007"/>
  </r>
  <r>
    <x v="4"/>
    <x v="0"/>
    <x v="1"/>
    <x v="0"/>
    <x v="1"/>
    <x v="2"/>
    <x v="0"/>
    <x v="0"/>
    <x v="0"/>
    <x v="0"/>
    <x v="0"/>
    <x v="4"/>
    <s v="09"/>
    <x v="0"/>
    <x v="0"/>
    <x v="9"/>
    <x v="5"/>
    <n v="75127.05"/>
  </r>
  <r>
    <x v="4"/>
    <x v="0"/>
    <x v="1"/>
    <x v="0"/>
    <x v="1"/>
    <x v="2"/>
    <x v="0"/>
    <x v="0"/>
    <x v="0"/>
    <x v="0"/>
    <x v="0"/>
    <x v="4"/>
    <s v="09"/>
    <x v="0"/>
    <x v="0"/>
    <x v="9"/>
    <x v="6"/>
    <n v="91189.92"/>
  </r>
  <r>
    <x v="4"/>
    <x v="0"/>
    <x v="1"/>
    <x v="0"/>
    <x v="1"/>
    <x v="2"/>
    <x v="0"/>
    <x v="0"/>
    <x v="0"/>
    <x v="0"/>
    <x v="0"/>
    <x v="4"/>
    <s v="09"/>
    <x v="0"/>
    <x v="0"/>
    <x v="9"/>
    <x v="1"/>
    <n v="155988.62"/>
  </r>
  <r>
    <x v="4"/>
    <x v="0"/>
    <x v="1"/>
    <x v="0"/>
    <x v="1"/>
    <x v="2"/>
    <x v="0"/>
    <x v="0"/>
    <x v="0"/>
    <x v="0"/>
    <x v="0"/>
    <x v="4"/>
    <s v="09"/>
    <x v="0"/>
    <x v="0"/>
    <x v="8"/>
    <x v="2"/>
    <n v="49876.27"/>
  </r>
  <r>
    <x v="4"/>
    <x v="0"/>
    <x v="1"/>
    <x v="0"/>
    <x v="1"/>
    <x v="2"/>
    <x v="0"/>
    <x v="0"/>
    <x v="0"/>
    <x v="0"/>
    <x v="0"/>
    <x v="4"/>
    <s v="09"/>
    <x v="0"/>
    <x v="0"/>
    <x v="8"/>
    <x v="8"/>
    <n v="41434.550000000003"/>
  </r>
  <r>
    <x v="4"/>
    <x v="0"/>
    <x v="1"/>
    <x v="0"/>
    <x v="1"/>
    <x v="2"/>
    <x v="0"/>
    <x v="0"/>
    <x v="0"/>
    <x v="0"/>
    <x v="0"/>
    <x v="4"/>
    <s v="09"/>
    <x v="0"/>
    <x v="0"/>
    <x v="8"/>
    <x v="9"/>
    <n v="49882.29"/>
  </r>
  <r>
    <x v="4"/>
    <x v="0"/>
    <x v="1"/>
    <x v="0"/>
    <x v="1"/>
    <x v="2"/>
    <x v="0"/>
    <x v="0"/>
    <x v="0"/>
    <x v="0"/>
    <x v="0"/>
    <x v="4"/>
    <s v="09"/>
    <x v="0"/>
    <x v="0"/>
    <x v="8"/>
    <x v="10"/>
    <n v="64336.15"/>
  </r>
  <r>
    <x v="4"/>
    <x v="0"/>
    <x v="1"/>
    <x v="0"/>
    <x v="1"/>
    <x v="2"/>
    <x v="0"/>
    <x v="0"/>
    <x v="0"/>
    <x v="0"/>
    <x v="0"/>
    <x v="4"/>
    <s v="09"/>
    <x v="0"/>
    <x v="0"/>
    <x v="8"/>
    <x v="11"/>
    <n v="32771.65"/>
  </r>
  <r>
    <x v="4"/>
    <x v="0"/>
    <x v="1"/>
    <x v="0"/>
    <x v="1"/>
    <x v="2"/>
    <x v="0"/>
    <x v="0"/>
    <x v="0"/>
    <x v="0"/>
    <x v="0"/>
    <x v="4"/>
    <s v="09"/>
    <x v="0"/>
    <x v="0"/>
    <x v="8"/>
    <x v="3"/>
    <n v="50346.27"/>
  </r>
  <r>
    <x v="4"/>
    <x v="0"/>
    <x v="1"/>
    <x v="0"/>
    <x v="1"/>
    <x v="2"/>
    <x v="0"/>
    <x v="0"/>
    <x v="0"/>
    <x v="0"/>
    <x v="0"/>
    <x v="4"/>
    <s v="09"/>
    <x v="0"/>
    <x v="0"/>
    <x v="8"/>
    <x v="4"/>
    <n v="61947.21"/>
  </r>
  <r>
    <x v="4"/>
    <x v="0"/>
    <x v="1"/>
    <x v="0"/>
    <x v="1"/>
    <x v="2"/>
    <x v="0"/>
    <x v="0"/>
    <x v="0"/>
    <x v="0"/>
    <x v="0"/>
    <x v="4"/>
    <s v="09"/>
    <x v="0"/>
    <x v="0"/>
    <x v="8"/>
    <x v="7"/>
    <n v="50234.27"/>
  </r>
  <r>
    <x v="4"/>
    <x v="0"/>
    <x v="1"/>
    <x v="0"/>
    <x v="1"/>
    <x v="2"/>
    <x v="0"/>
    <x v="0"/>
    <x v="0"/>
    <x v="0"/>
    <x v="0"/>
    <x v="4"/>
    <s v="09"/>
    <x v="0"/>
    <x v="0"/>
    <x v="8"/>
    <x v="5"/>
    <n v="58451.01"/>
  </r>
  <r>
    <x v="4"/>
    <x v="0"/>
    <x v="1"/>
    <x v="0"/>
    <x v="1"/>
    <x v="2"/>
    <x v="0"/>
    <x v="0"/>
    <x v="0"/>
    <x v="0"/>
    <x v="0"/>
    <x v="4"/>
    <s v="09"/>
    <x v="0"/>
    <x v="0"/>
    <x v="8"/>
    <x v="6"/>
    <n v="60684.27"/>
  </r>
  <r>
    <x v="4"/>
    <x v="0"/>
    <x v="1"/>
    <x v="0"/>
    <x v="1"/>
    <x v="2"/>
    <x v="0"/>
    <x v="0"/>
    <x v="0"/>
    <x v="0"/>
    <x v="0"/>
    <x v="4"/>
    <s v="09"/>
    <x v="0"/>
    <x v="0"/>
    <x v="8"/>
    <x v="1"/>
    <n v="109961.11"/>
  </r>
  <r>
    <x v="4"/>
    <x v="0"/>
    <x v="1"/>
    <x v="0"/>
    <x v="1"/>
    <x v="2"/>
    <x v="0"/>
    <x v="0"/>
    <x v="0"/>
    <x v="0"/>
    <x v="0"/>
    <x v="4"/>
    <s v="16"/>
    <x v="20"/>
    <x v="0"/>
    <x v="9"/>
    <x v="7"/>
    <n v="170.5"/>
  </r>
  <r>
    <x v="4"/>
    <x v="0"/>
    <x v="1"/>
    <x v="0"/>
    <x v="1"/>
    <x v="2"/>
    <x v="0"/>
    <x v="0"/>
    <x v="0"/>
    <x v="0"/>
    <x v="0"/>
    <x v="4"/>
    <s v="16"/>
    <x v="20"/>
    <x v="0"/>
    <x v="9"/>
    <x v="1"/>
    <n v="-170.5"/>
  </r>
  <r>
    <x v="4"/>
    <x v="0"/>
    <x v="1"/>
    <x v="0"/>
    <x v="1"/>
    <x v="2"/>
    <x v="0"/>
    <x v="0"/>
    <x v="0"/>
    <x v="0"/>
    <x v="0"/>
    <x v="4"/>
    <s v="20"/>
    <x v="7"/>
    <x v="0"/>
    <x v="9"/>
    <x v="0"/>
    <n v="598"/>
  </r>
  <r>
    <x v="4"/>
    <x v="0"/>
    <x v="1"/>
    <x v="0"/>
    <x v="1"/>
    <x v="2"/>
    <x v="0"/>
    <x v="0"/>
    <x v="0"/>
    <x v="0"/>
    <x v="0"/>
    <x v="4"/>
    <s v="20"/>
    <x v="7"/>
    <x v="0"/>
    <x v="9"/>
    <x v="8"/>
    <n v="32288"/>
  </r>
  <r>
    <x v="4"/>
    <x v="0"/>
    <x v="1"/>
    <x v="0"/>
    <x v="1"/>
    <x v="2"/>
    <x v="0"/>
    <x v="0"/>
    <x v="0"/>
    <x v="0"/>
    <x v="0"/>
    <x v="4"/>
    <s v="20"/>
    <x v="7"/>
    <x v="0"/>
    <x v="9"/>
    <x v="9"/>
    <n v="31820"/>
  </r>
  <r>
    <x v="4"/>
    <x v="0"/>
    <x v="1"/>
    <x v="0"/>
    <x v="1"/>
    <x v="2"/>
    <x v="0"/>
    <x v="0"/>
    <x v="0"/>
    <x v="0"/>
    <x v="0"/>
    <x v="4"/>
    <s v="20"/>
    <x v="7"/>
    <x v="0"/>
    <x v="9"/>
    <x v="10"/>
    <n v="-950"/>
  </r>
  <r>
    <x v="4"/>
    <x v="0"/>
    <x v="1"/>
    <x v="0"/>
    <x v="1"/>
    <x v="2"/>
    <x v="0"/>
    <x v="0"/>
    <x v="0"/>
    <x v="0"/>
    <x v="0"/>
    <x v="4"/>
    <s v="20"/>
    <x v="7"/>
    <x v="0"/>
    <x v="9"/>
    <x v="11"/>
    <n v="-63456"/>
  </r>
  <r>
    <x v="4"/>
    <x v="0"/>
    <x v="1"/>
    <x v="0"/>
    <x v="1"/>
    <x v="2"/>
    <x v="0"/>
    <x v="0"/>
    <x v="0"/>
    <x v="0"/>
    <x v="0"/>
    <x v="4"/>
    <s v="20"/>
    <x v="7"/>
    <x v="0"/>
    <x v="9"/>
    <x v="3"/>
    <n v="-16"/>
  </r>
  <r>
    <x v="4"/>
    <x v="0"/>
    <x v="1"/>
    <x v="0"/>
    <x v="1"/>
    <x v="2"/>
    <x v="0"/>
    <x v="0"/>
    <x v="0"/>
    <x v="0"/>
    <x v="0"/>
    <x v="4"/>
    <s v="20"/>
    <x v="7"/>
    <x v="0"/>
    <x v="9"/>
    <x v="4"/>
    <n v="26"/>
  </r>
  <r>
    <x v="4"/>
    <x v="0"/>
    <x v="1"/>
    <x v="0"/>
    <x v="1"/>
    <x v="2"/>
    <x v="0"/>
    <x v="0"/>
    <x v="0"/>
    <x v="0"/>
    <x v="0"/>
    <x v="4"/>
    <s v="20"/>
    <x v="7"/>
    <x v="0"/>
    <x v="9"/>
    <x v="7"/>
    <n v="-310"/>
  </r>
  <r>
    <x v="4"/>
    <x v="0"/>
    <x v="1"/>
    <x v="0"/>
    <x v="1"/>
    <x v="2"/>
    <x v="0"/>
    <x v="0"/>
    <x v="0"/>
    <x v="0"/>
    <x v="0"/>
    <x v="4"/>
    <s v="20"/>
    <x v="7"/>
    <x v="0"/>
    <x v="9"/>
    <x v="6"/>
    <n v="655"/>
  </r>
  <r>
    <x v="4"/>
    <x v="0"/>
    <x v="1"/>
    <x v="0"/>
    <x v="1"/>
    <x v="2"/>
    <x v="0"/>
    <x v="0"/>
    <x v="0"/>
    <x v="0"/>
    <x v="0"/>
    <x v="4"/>
    <s v="20"/>
    <x v="7"/>
    <x v="0"/>
    <x v="9"/>
    <x v="1"/>
    <n v="-14335.74"/>
  </r>
  <r>
    <x v="4"/>
    <x v="0"/>
    <x v="1"/>
    <x v="0"/>
    <x v="1"/>
    <x v="2"/>
    <x v="0"/>
    <x v="0"/>
    <x v="0"/>
    <x v="0"/>
    <x v="0"/>
    <x v="4"/>
    <s v="20"/>
    <x v="7"/>
    <x v="0"/>
    <x v="8"/>
    <x v="2"/>
    <n v="143.77000000000001"/>
  </r>
  <r>
    <x v="4"/>
    <x v="0"/>
    <x v="1"/>
    <x v="0"/>
    <x v="1"/>
    <x v="2"/>
    <x v="0"/>
    <x v="0"/>
    <x v="0"/>
    <x v="0"/>
    <x v="0"/>
    <x v="4"/>
    <s v="20"/>
    <x v="7"/>
    <x v="0"/>
    <x v="8"/>
    <x v="8"/>
    <n v="-143.77000000000001"/>
  </r>
  <r>
    <x v="4"/>
    <x v="0"/>
    <x v="1"/>
    <x v="0"/>
    <x v="1"/>
    <x v="2"/>
    <x v="0"/>
    <x v="0"/>
    <x v="0"/>
    <x v="0"/>
    <x v="0"/>
    <x v="4"/>
    <s v="20"/>
    <x v="7"/>
    <x v="0"/>
    <x v="8"/>
    <x v="9"/>
    <n v="335"/>
  </r>
  <r>
    <x v="4"/>
    <x v="0"/>
    <x v="1"/>
    <x v="0"/>
    <x v="1"/>
    <x v="2"/>
    <x v="0"/>
    <x v="0"/>
    <x v="0"/>
    <x v="0"/>
    <x v="0"/>
    <x v="4"/>
    <s v="20"/>
    <x v="7"/>
    <x v="0"/>
    <x v="8"/>
    <x v="10"/>
    <n v="2975"/>
  </r>
  <r>
    <x v="4"/>
    <x v="0"/>
    <x v="1"/>
    <x v="0"/>
    <x v="1"/>
    <x v="2"/>
    <x v="0"/>
    <x v="0"/>
    <x v="0"/>
    <x v="0"/>
    <x v="0"/>
    <x v="4"/>
    <s v="20"/>
    <x v="7"/>
    <x v="0"/>
    <x v="8"/>
    <x v="11"/>
    <n v="425"/>
  </r>
  <r>
    <x v="4"/>
    <x v="0"/>
    <x v="1"/>
    <x v="0"/>
    <x v="1"/>
    <x v="2"/>
    <x v="0"/>
    <x v="0"/>
    <x v="0"/>
    <x v="0"/>
    <x v="0"/>
    <x v="4"/>
    <s v="20"/>
    <x v="7"/>
    <x v="0"/>
    <x v="8"/>
    <x v="3"/>
    <n v="-2700"/>
  </r>
  <r>
    <x v="4"/>
    <x v="0"/>
    <x v="1"/>
    <x v="0"/>
    <x v="1"/>
    <x v="2"/>
    <x v="0"/>
    <x v="0"/>
    <x v="0"/>
    <x v="0"/>
    <x v="0"/>
    <x v="4"/>
    <s v="20"/>
    <x v="7"/>
    <x v="0"/>
    <x v="8"/>
    <x v="4"/>
    <n v="-110"/>
  </r>
  <r>
    <x v="4"/>
    <x v="0"/>
    <x v="1"/>
    <x v="0"/>
    <x v="1"/>
    <x v="2"/>
    <x v="0"/>
    <x v="0"/>
    <x v="0"/>
    <x v="0"/>
    <x v="0"/>
    <x v="4"/>
    <s v="20"/>
    <x v="7"/>
    <x v="0"/>
    <x v="8"/>
    <x v="7"/>
    <n v="2144"/>
  </r>
  <r>
    <x v="4"/>
    <x v="0"/>
    <x v="1"/>
    <x v="0"/>
    <x v="1"/>
    <x v="2"/>
    <x v="0"/>
    <x v="0"/>
    <x v="0"/>
    <x v="0"/>
    <x v="0"/>
    <x v="4"/>
    <s v="20"/>
    <x v="7"/>
    <x v="0"/>
    <x v="8"/>
    <x v="5"/>
    <n v="3075"/>
  </r>
  <r>
    <x v="4"/>
    <x v="0"/>
    <x v="1"/>
    <x v="0"/>
    <x v="1"/>
    <x v="2"/>
    <x v="0"/>
    <x v="0"/>
    <x v="0"/>
    <x v="0"/>
    <x v="0"/>
    <x v="4"/>
    <s v="20"/>
    <x v="7"/>
    <x v="0"/>
    <x v="8"/>
    <x v="6"/>
    <n v="-5214"/>
  </r>
  <r>
    <x v="4"/>
    <x v="0"/>
    <x v="1"/>
    <x v="0"/>
    <x v="1"/>
    <x v="2"/>
    <x v="0"/>
    <x v="0"/>
    <x v="0"/>
    <x v="0"/>
    <x v="0"/>
    <x v="4"/>
    <s v="20"/>
    <x v="7"/>
    <x v="0"/>
    <x v="8"/>
    <x v="1"/>
    <n v="-14542.26"/>
  </r>
  <r>
    <x v="4"/>
    <x v="0"/>
    <x v="1"/>
    <x v="0"/>
    <x v="1"/>
    <x v="2"/>
    <x v="0"/>
    <x v="0"/>
    <x v="0"/>
    <x v="0"/>
    <x v="0"/>
    <x v="4"/>
    <s v="24"/>
    <x v="1"/>
    <x v="0"/>
    <x v="9"/>
    <x v="0"/>
    <n v="-20236.560000000001"/>
  </r>
  <r>
    <x v="4"/>
    <x v="0"/>
    <x v="1"/>
    <x v="0"/>
    <x v="1"/>
    <x v="2"/>
    <x v="0"/>
    <x v="0"/>
    <x v="0"/>
    <x v="0"/>
    <x v="0"/>
    <x v="4"/>
    <s v="24"/>
    <x v="1"/>
    <x v="0"/>
    <x v="9"/>
    <x v="2"/>
    <n v="-2783.47"/>
  </r>
  <r>
    <x v="4"/>
    <x v="0"/>
    <x v="1"/>
    <x v="0"/>
    <x v="1"/>
    <x v="2"/>
    <x v="0"/>
    <x v="0"/>
    <x v="0"/>
    <x v="0"/>
    <x v="0"/>
    <x v="4"/>
    <s v="24"/>
    <x v="1"/>
    <x v="0"/>
    <x v="9"/>
    <x v="8"/>
    <n v="18143741.59"/>
  </r>
  <r>
    <x v="4"/>
    <x v="0"/>
    <x v="1"/>
    <x v="0"/>
    <x v="1"/>
    <x v="2"/>
    <x v="0"/>
    <x v="0"/>
    <x v="0"/>
    <x v="0"/>
    <x v="0"/>
    <x v="4"/>
    <s v="24"/>
    <x v="1"/>
    <x v="0"/>
    <x v="9"/>
    <x v="9"/>
    <n v="-315851.55"/>
  </r>
  <r>
    <x v="4"/>
    <x v="0"/>
    <x v="1"/>
    <x v="0"/>
    <x v="1"/>
    <x v="2"/>
    <x v="0"/>
    <x v="0"/>
    <x v="0"/>
    <x v="0"/>
    <x v="0"/>
    <x v="4"/>
    <s v="24"/>
    <x v="1"/>
    <x v="0"/>
    <x v="9"/>
    <x v="10"/>
    <n v="13435102.1"/>
  </r>
  <r>
    <x v="4"/>
    <x v="0"/>
    <x v="1"/>
    <x v="0"/>
    <x v="1"/>
    <x v="2"/>
    <x v="0"/>
    <x v="0"/>
    <x v="0"/>
    <x v="0"/>
    <x v="0"/>
    <x v="4"/>
    <s v="24"/>
    <x v="1"/>
    <x v="0"/>
    <x v="9"/>
    <x v="11"/>
    <n v="4919626.0999999996"/>
  </r>
  <r>
    <x v="4"/>
    <x v="0"/>
    <x v="1"/>
    <x v="0"/>
    <x v="1"/>
    <x v="2"/>
    <x v="0"/>
    <x v="0"/>
    <x v="0"/>
    <x v="0"/>
    <x v="0"/>
    <x v="4"/>
    <s v="24"/>
    <x v="1"/>
    <x v="0"/>
    <x v="9"/>
    <x v="3"/>
    <n v="-1033549.14"/>
  </r>
  <r>
    <x v="4"/>
    <x v="0"/>
    <x v="1"/>
    <x v="0"/>
    <x v="1"/>
    <x v="2"/>
    <x v="0"/>
    <x v="0"/>
    <x v="0"/>
    <x v="0"/>
    <x v="0"/>
    <x v="4"/>
    <s v="24"/>
    <x v="1"/>
    <x v="0"/>
    <x v="9"/>
    <x v="4"/>
    <n v="6361479.21"/>
  </r>
  <r>
    <x v="4"/>
    <x v="0"/>
    <x v="1"/>
    <x v="0"/>
    <x v="1"/>
    <x v="2"/>
    <x v="0"/>
    <x v="0"/>
    <x v="0"/>
    <x v="0"/>
    <x v="0"/>
    <x v="4"/>
    <s v="24"/>
    <x v="1"/>
    <x v="0"/>
    <x v="9"/>
    <x v="7"/>
    <n v="9840503.0999999996"/>
  </r>
  <r>
    <x v="4"/>
    <x v="0"/>
    <x v="1"/>
    <x v="0"/>
    <x v="1"/>
    <x v="2"/>
    <x v="0"/>
    <x v="0"/>
    <x v="0"/>
    <x v="0"/>
    <x v="0"/>
    <x v="4"/>
    <s v="24"/>
    <x v="1"/>
    <x v="0"/>
    <x v="9"/>
    <x v="5"/>
    <n v="8040.37"/>
  </r>
  <r>
    <x v="4"/>
    <x v="0"/>
    <x v="1"/>
    <x v="0"/>
    <x v="1"/>
    <x v="2"/>
    <x v="0"/>
    <x v="0"/>
    <x v="0"/>
    <x v="0"/>
    <x v="0"/>
    <x v="4"/>
    <s v="24"/>
    <x v="1"/>
    <x v="0"/>
    <x v="9"/>
    <x v="6"/>
    <n v="15696.62"/>
  </r>
  <r>
    <x v="4"/>
    <x v="0"/>
    <x v="1"/>
    <x v="0"/>
    <x v="1"/>
    <x v="2"/>
    <x v="0"/>
    <x v="0"/>
    <x v="0"/>
    <x v="0"/>
    <x v="0"/>
    <x v="4"/>
    <s v="24"/>
    <x v="1"/>
    <x v="0"/>
    <x v="9"/>
    <x v="1"/>
    <n v="-93515.27"/>
  </r>
  <r>
    <x v="4"/>
    <x v="0"/>
    <x v="1"/>
    <x v="0"/>
    <x v="1"/>
    <x v="2"/>
    <x v="0"/>
    <x v="0"/>
    <x v="0"/>
    <x v="0"/>
    <x v="0"/>
    <x v="4"/>
    <s v="24"/>
    <x v="1"/>
    <x v="0"/>
    <x v="8"/>
    <x v="0"/>
    <n v="-7252.54"/>
  </r>
  <r>
    <x v="4"/>
    <x v="0"/>
    <x v="1"/>
    <x v="0"/>
    <x v="1"/>
    <x v="2"/>
    <x v="0"/>
    <x v="0"/>
    <x v="0"/>
    <x v="0"/>
    <x v="0"/>
    <x v="4"/>
    <s v="24"/>
    <x v="1"/>
    <x v="0"/>
    <x v="8"/>
    <x v="2"/>
    <n v="5887.49"/>
  </r>
  <r>
    <x v="4"/>
    <x v="0"/>
    <x v="1"/>
    <x v="0"/>
    <x v="1"/>
    <x v="2"/>
    <x v="0"/>
    <x v="0"/>
    <x v="0"/>
    <x v="0"/>
    <x v="0"/>
    <x v="4"/>
    <s v="24"/>
    <x v="1"/>
    <x v="0"/>
    <x v="8"/>
    <x v="8"/>
    <n v="19565790.140000001"/>
  </r>
  <r>
    <x v="4"/>
    <x v="0"/>
    <x v="1"/>
    <x v="0"/>
    <x v="1"/>
    <x v="2"/>
    <x v="0"/>
    <x v="0"/>
    <x v="0"/>
    <x v="0"/>
    <x v="0"/>
    <x v="4"/>
    <s v="24"/>
    <x v="1"/>
    <x v="0"/>
    <x v="8"/>
    <x v="9"/>
    <n v="-220087.12"/>
  </r>
  <r>
    <x v="4"/>
    <x v="0"/>
    <x v="1"/>
    <x v="0"/>
    <x v="1"/>
    <x v="2"/>
    <x v="0"/>
    <x v="0"/>
    <x v="0"/>
    <x v="0"/>
    <x v="0"/>
    <x v="4"/>
    <s v="24"/>
    <x v="1"/>
    <x v="0"/>
    <x v="8"/>
    <x v="10"/>
    <n v="13340786.98"/>
  </r>
  <r>
    <x v="4"/>
    <x v="0"/>
    <x v="1"/>
    <x v="0"/>
    <x v="1"/>
    <x v="2"/>
    <x v="0"/>
    <x v="0"/>
    <x v="0"/>
    <x v="0"/>
    <x v="0"/>
    <x v="4"/>
    <s v="24"/>
    <x v="1"/>
    <x v="0"/>
    <x v="8"/>
    <x v="11"/>
    <n v="6406562.2000000002"/>
  </r>
  <r>
    <x v="4"/>
    <x v="0"/>
    <x v="1"/>
    <x v="0"/>
    <x v="1"/>
    <x v="2"/>
    <x v="0"/>
    <x v="0"/>
    <x v="0"/>
    <x v="0"/>
    <x v="0"/>
    <x v="4"/>
    <s v="24"/>
    <x v="1"/>
    <x v="0"/>
    <x v="8"/>
    <x v="3"/>
    <n v="-1305804.67"/>
  </r>
  <r>
    <x v="4"/>
    <x v="0"/>
    <x v="1"/>
    <x v="0"/>
    <x v="1"/>
    <x v="2"/>
    <x v="0"/>
    <x v="0"/>
    <x v="0"/>
    <x v="0"/>
    <x v="0"/>
    <x v="4"/>
    <s v="24"/>
    <x v="1"/>
    <x v="0"/>
    <x v="8"/>
    <x v="4"/>
    <n v="-32506.720000000001"/>
  </r>
  <r>
    <x v="4"/>
    <x v="0"/>
    <x v="1"/>
    <x v="0"/>
    <x v="1"/>
    <x v="2"/>
    <x v="0"/>
    <x v="0"/>
    <x v="0"/>
    <x v="0"/>
    <x v="0"/>
    <x v="4"/>
    <s v="24"/>
    <x v="1"/>
    <x v="0"/>
    <x v="8"/>
    <x v="7"/>
    <n v="17730829.940000001"/>
  </r>
  <r>
    <x v="4"/>
    <x v="0"/>
    <x v="1"/>
    <x v="0"/>
    <x v="1"/>
    <x v="2"/>
    <x v="0"/>
    <x v="0"/>
    <x v="0"/>
    <x v="0"/>
    <x v="0"/>
    <x v="4"/>
    <s v="24"/>
    <x v="1"/>
    <x v="0"/>
    <x v="8"/>
    <x v="5"/>
    <n v="-134675.98000000001"/>
  </r>
  <r>
    <x v="4"/>
    <x v="0"/>
    <x v="1"/>
    <x v="0"/>
    <x v="1"/>
    <x v="2"/>
    <x v="0"/>
    <x v="0"/>
    <x v="0"/>
    <x v="0"/>
    <x v="0"/>
    <x v="4"/>
    <s v="24"/>
    <x v="1"/>
    <x v="0"/>
    <x v="8"/>
    <x v="6"/>
    <n v="73455.56"/>
  </r>
  <r>
    <x v="4"/>
    <x v="0"/>
    <x v="1"/>
    <x v="0"/>
    <x v="1"/>
    <x v="2"/>
    <x v="0"/>
    <x v="0"/>
    <x v="0"/>
    <x v="0"/>
    <x v="0"/>
    <x v="4"/>
    <s v="24"/>
    <x v="1"/>
    <x v="0"/>
    <x v="8"/>
    <x v="1"/>
    <n v="101306.01"/>
  </r>
  <r>
    <x v="4"/>
    <x v="0"/>
    <x v="1"/>
    <x v="0"/>
    <x v="1"/>
    <x v="2"/>
    <x v="0"/>
    <x v="0"/>
    <x v="0"/>
    <x v="0"/>
    <x v="0"/>
    <x v="4"/>
    <s v="30"/>
    <x v="3"/>
    <x v="0"/>
    <x v="9"/>
    <x v="1"/>
    <n v="-950"/>
  </r>
  <r>
    <x v="4"/>
    <x v="0"/>
    <x v="1"/>
    <x v="0"/>
    <x v="1"/>
    <x v="2"/>
    <x v="0"/>
    <x v="0"/>
    <x v="0"/>
    <x v="0"/>
    <x v="0"/>
    <x v="4"/>
    <s v="30"/>
    <x v="3"/>
    <x v="0"/>
    <x v="8"/>
    <x v="4"/>
    <n v="284"/>
  </r>
  <r>
    <x v="4"/>
    <x v="0"/>
    <x v="1"/>
    <x v="0"/>
    <x v="1"/>
    <x v="2"/>
    <x v="0"/>
    <x v="0"/>
    <x v="0"/>
    <x v="0"/>
    <x v="0"/>
    <x v="4"/>
    <s v="30"/>
    <x v="3"/>
    <x v="0"/>
    <x v="8"/>
    <x v="6"/>
    <n v="-284"/>
  </r>
  <r>
    <x v="4"/>
    <x v="0"/>
    <x v="1"/>
    <x v="0"/>
    <x v="1"/>
    <x v="2"/>
    <x v="0"/>
    <x v="0"/>
    <x v="0"/>
    <x v="0"/>
    <x v="0"/>
    <x v="4"/>
    <s v="86"/>
    <x v="39"/>
    <x v="0"/>
    <x v="9"/>
    <x v="3"/>
    <n v="22887.58"/>
  </r>
  <r>
    <x v="4"/>
    <x v="0"/>
    <x v="1"/>
    <x v="0"/>
    <x v="1"/>
    <x v="2"/>
    <x v="0"/>
    <x v="0"/>
    <x v="0"/>
    <x v="0"/>
    <x v="0"/>
    <x v="4"/>
    <s v="86"/>
    <x v="39"/>
    <x v="0"/>
    <x v="9"/>
    <x v="4"/>
    <n v="-22887.58"/>
  </r>
  <r>
    <x v="4"/>
    <x v="0"/>
    <x v="1"/>
    <x v="0"/>
    <x v="1"/>
    <x v="2"/>
    <x v="0"/>
    <x v="0"/>
    <x v="0"/>
    <x v="0"/>
    <x v="0"/>
    <x v="4"/>
    <s v="90"/>
    <x v="16"/>
    <x v="0"/>
    <x v="9"/>
    <x v="5"/>
    <n v="-1"/>
  </r>
  <r>
    <x v="4"/>
    <x v="0"/>
    <x v="1"/>
    <x v="0"/>
    <x v="1"/>
    <x v="2"/>
    <x v="0"/>
    <x v="0"/>
    <x v="0"/>
    <x v="0"/>
    <x v="0"/>
    <x v="4"/>
    <s v="90"/>
    <x v="16"/>
    <x v="0"/>
    <x v="9"/>
    <x v="1"/>
    <n v="1"/>
  </r>
  <r>
    <x v="4"/>
    <x v="0"/>
    <x v="1"/>
    <x v="0"/>
    <x v="1"/>
    <x v="2"/>
    <x v="0"/>
    <x v="0"/>
    <x v="0"/>
    <x v="0"/>
    <x v="0"/>
    <x v="4"/>
    <s v="90"/>
    <x v="16"/>
    <x v="0"/>
    <x v="8"/>
    <x v="10"/>
    <n v="-97.06"/>
  </r>
  <r>
    <x v="4"/>
    <x v="0"/>
    <x v="1"/>
    <x v="0"/>
    <x v="1"/>
    <x v="2"/>
    <x v="0"/>
    <x v="0"/>
    <x v="0"/>
    <x v="0"/>
    <x v="0"/>
    <x v="4"/>
    <s v="90"/>
    <x v="16"/>
    <x v="0"/>
    <x v="8"/>
    <x v="4"/>
    <n v="97.06"/>
  </r>
  <r>
    <x v="4"/>
    <x v="0"/>
    <x v="1"/>
    <x v="0"/>
    <x v="1"/>
    <x v="2"/>
    <x v="0"/>
    <x v="0"/>
    <x v="0"/>
    <x v="0"/>
    <x v="4"/>
    <x v="5"/>
    <s v="21"/>
    <x v="27"/>
    <x v="0"/>
    <x v="9"/>
    <x v="0"/>
    <n v="1000"/>
  </r>
  <r>
    <x v="4"/>
    <x v="0"/>
    <x v="1"/>
    <x v="0"/>
    <x v="1"/>
    <x v="2"/>
    <x v="0"/>
    <x v="0"/>
    <x v="0"/>
    <x v="0"/>
    <x v="4"/>
    <x v="5"/>
    <s v="21"/>
    <x v="27"/>
    <x v="0"/>
    <x v="9"/>
    <x v="2"/>
    <n v="678.14"/>
  </r>
  <r>
    <x v="4"/>
    <x v="0"/>
    <x v="1"/>
    <x v="0"/>
    <x v="1"/>
    <x v="2"/>
    <x v="0"/>
    <x v="0"/>
    <x v="0"/>
    <x v="0"/>
    <x v="4"/>
    <x v="5"/>
    <s v="21"/>
    <x v="27"/>
    <x v="0"/>
    <x v="9"/>
    <x v="8"/>
    <n v="8045"/>
  </r>
  <r>
    <x v="4"/>
    <x v="0"/>
    <x v="1"/>
    <x v="0"/>
    <x v="1"/>
    <x v="2"/>
    <x v="0"/>
    <x v="0"/>
    <x v="0"/>
    <x v="0"/>
    <x v="4"/>
    <x v="5"/>
    <s v="21"/>
    <x v="27"/>
    <x v="0"/>
    <x v="9"/>
    <x v="9"/>
    <n v="10600"/>
  </r>
  <r>
    <x v="4"/>
    <x v="0"/>
    <x v="1"/>
    <x v="0"/>
    <x v="1"/>
    <x v="2"/>
    <x v="0"/>
    <x v="0"/>
    <x v="0"/>
    <x v="0"/>
    <x v="4"/>
    <x v="5"/>
    <s v="21"/>
    <x v="27"/>
    <x v="0"/>
    <x v="9"/>
    <x v="10"/>
    <n v="27675"/>
  </r>
  <r>
    <x v="4"/>
    <x v="0"/>
    <x v="1"/>
    <x v="0"/>
    <x v="1"/>
    <x v="2"/>
    <x v="0"/>
    <x v="0"/>
    <x v="0"/>
    <x v="0"/>
    <x v="4"/>
    <x v="5"/>
    <s v="21"/>
    <x v="27"/>
    <x v="0"/>
    <x v="9"/>
    <x v="11"/>
    <n v="462063.97"/>
  </r>
  <r>
    <x v="4"/>
    <x v="0"/>
    <x v="1"/>
    <x v="0"/>
    <x v="1"/>
    <x v="2"/>
    <x v="0"/>
    <x v="0"/>
    <x v="0"/>
    <x v="0"/>
    <x v="4"/>
    <x v="5"/>
    <s v="21"/>
    <x v="27"/>
    <x v="0"/>
    <x v="9"/>
    <x v="3"/>
    <n v="5000"/>
  </r>
  <r>
    <x v="4"/>
    <x v="0"/>
    <x v="1"/>
    <x v="0"/>
    <x v="1"/>
    <x v="2"/>
    <x v="0"/>
    <x v="0"/>
    <x v="0"/>
    <x v="0"/>
    <x v="4"/>
    <x v="5"/>
    <s v="21"/>
    <x v="27"/>
    <x v="0"/>
    <x v="9"/>
    <x v="4"/>
    <n v="3250"/>
  </r>
  <r>
    <x v="4"/>
    <x v="0"/>
    <x v="1"/>
    <x v="0"/>
    <x v="1"/>
    <x v="2"/>
    <x v="0"/>
    <x v="0"/>
    <x v="0"/>
    <x v="0"/>
    <x v="4"/>
    <x v="5"/>
    <s v="21"/>
    <x v="27"/>
    <x v="0"/>
    <x v="9"/>
    <x v="5"/>
    <n v="-1159.49"/>
  </r>
  <r>
    <x v="4"/>
    <x v="0"/>
    <x v="1"/>
    <x v="0"/>
    <x v="1"/>
    <x v="2"/>
    <x v="0"/>
    <x v="0"/>
    <x v="0"/>
    <x v="0"/>
    <x v="4"/>
    <x v="5"/>
    <s v="21"/>
    <x v="27"/>
    <x v="0"/>
    <x v="9"/>
    <x v="1"/>
    <n v="330462.28000000003"/>
  </r>
  <r>
    <x v="4"/>
    <x v="0"/>
    <x v="1"/>
    <x v="0"/>
    <x v="1"/>
    <x v="2"/>
    <x v="0"/>
    <x v="0"/>
    <x v="0"/>
    <x v="0"/>
    <x v="4"/>
    <x v="5"/>
    <s v="21"/>
    <x v="27"/>
    <x v="0"/>
    <x v="8"/>
    <x v="2"/>
    <n v="-3000"/>
  </r>
  <r>
    <x v="4"/>
    <x v="0"/>
    <x v="1"/>
    <x v="0"/>
    <x v="1"/>
    <x v="2"/>
    <x v="0"/>
    <x v="0"/>
    <x v="0"/>
    <x v="0"/>
    <x v="4"/>
    <x v="5"/>
    <s v="21"/>
    <x v="27"/>
    <x v="0"/>
    <x v="8"/>
    <x v="10"/>
    <n v="100"/>
  </r>
  <r>
    <x v="4"/>
    <x v="0"/>
    <x v="1"/>
    <x v="0"/>
    <x v="1"/>
    <x v="2"/>
    <x v="0"/>
    <x v="0"/>
    <x v="0"/>
    <x v="0"/>
    <x v="4"/>
    <x v="5"/>
    <s v="21"/>
    <x v="27"/>
    <x v="0"/>
    <x v="8"/>
    <x v="11"/>
    <n v="512"/>
  </r>
  <r>
    <x v="4"/>
    <x v="0"/>
    <x v="1"/>
    <x v="0"/>
    <x v="1"/>
    <x v="2"/>
    <x v="0"/>
    <x v="0"/>
    <x v="0"/>
    <x v="0"/>
    <x v="4"/>
    <x v="5"/>
    <s v="21"/>
    <x v="27"/>
    <x v="0"/>
    <x v="8"/>
    <x v="3"/>
    <n v="241542.43"/>
  </r>
  <r>
    <x v="4"/>
    <x v="0"/>
    <x v="1"/>
    <x v="0"/>
    <x v="1"/>
    <x v="2"/>
    <x v="0"/>
    <x v="0"/>
    <x v="0"/>
    <x v="0"/>
    <x v="4"/>
    <x v="5"/>
    <s v="21"/>
    <x v="27"/>
    <x v="0"/>
    <x v="8"/>
    <x v="4"/>
    <n v="50257.95"/>
  </r>
  <r>
    <x v="4"/>
    <x v="0"/>
    <x v="1"/>
    <x v="0"/>
    <x v="1"/>
    <x v="2"/>
    <x v="0"/>
    <x v="0"/>
    <x v="0"/>
    <x v="0"/>
    <x v="4"/>
    <x v="5"/>
    <s v="21"/>
    <x v="27"/>
    <x v="0"/>
    <x v="8"/>
    <x v="7"/>
    <n v="-6918.14"/>
  </r>
  <r>
    <x v="4"/>
    <x v="0"/>
    <x v="1"/>
    <x v="0"/>
    <x v="1"/>
    <x v="2"/>
    <x v="0"/>
    <x v="0"/>
    <x v="0"/>
    <x v="0"/>
    <x v="4"/>
    <x v="5"/>
    <s v="21"/>
    <x v="27"/>
    <x v="0"/>
    <x v="8"/>
    <x v="5"/>
    <n v="10000"/>
  </r>
  <r>
    <x v="4"/>
    <x v="0"/>
    <x v="1"/>
    <x v="0"/>
    <x v="1"/>
    <x v="2"/>
    <x v="0"/>
    <x v="0"/>
    <x v="0"/>
    <x v="0"/>
    <x v="4"/>
    <x v="5"/>
    <s v="21"/>
    <x v="27"/>
    <x v="0"/>
    <x v="8"/>
    <x v="6"/>
    <n v="-36486.01"/>
  </r>
  <r>
    <x v="4"/>
    <x v="0"/>
    <x v="1"/>
    <x v="0"/>
    <x v="1"/>
    <x v="2"/>
    <x v="0"/>
    <x v="0"/>
    <x v="0"/>
    <x v="0"/>
    <x v="4"/>
    <x v="5"/>
    <s v="21"/>
    <x v="27"/>
    <x v="0"/>
    <x v="8"/>
    <x v="1"/>
    <n v="770184.27"/>
  </r>
  <r>
    <x v="4"/>
    <x v="0"/>
    <x v="1"/>
    <x v="0"/>
    <x v="1"/>
    <x v="2"/>
    <x v="0"/>
    <x v="0"/>
    <x v="0"/>
    <x v="0"/>
    <x v="4"/>
    <x v="5"/>
    <s v="22"/>
    <x v="25"/>
    <x v="0"/>
    <x v="9"/>
    <x v="0"/>
    <n v="-12213.12"/>
  </r>
  <r>
    <x v="4"/>
    <x v="0"/>
    <x v="1"/>
    <x v="0"/>
    <x v="1"/>
    <x v="2"/>
    <x v="0"/>
    <x v="0"/>
    <x v="0"/>
    <x v="0"/>
    <x v="4"/>
    <x v="5"/>
    <s v="22"/>
    <x v="25"/>
    <x v="0"/>
    <x v="9"/>
    <x v="2"/>
    <n v="-2059.21"/>
  </r>
  <r>
    <x v="4"/>
    <x v="0"/>
    <x v="1"/>
    <x v="0"/>
    <x v="1"/>
    <x v="2"/>
    <x v="0"/>
    <x v="0"/>
    <x v="0"/>
    <x v="0"/>
    <x v="4"/>
    <x v="5"/>
    <s v="22"/>
    <x v="25"/>
    <x v="0"/>
    <x v="9"/>
    <x v="8"/>
    <n v="-2295"/>
  </r>
  <r>
    <x v="4"/>
    <x v="0"/>
    <x v="1"/>
    <x v="0"/>
    <x v="1"/>
    <x v="2"/>
    <x v="0"/>
    <x v="0"/>
    <x v="0"/>
    <x v="0"/>
    <x v="4"/>
    <x v="5"/>
    <s v="22"/>
    <x v="25"/>
    <x v="0"/>
    <x v="9"/>
    <x v="9"/>
    <n v="-58646"/>
  </r>
  <r>
    <x v="4"/>
    <x v="0"/>
    <x v="1"/>
    <x v="0"/>
    <x v="1"/>
    <x v="2"/>
    <x v="0"/>
    <x v="0"/>
    <x v="0"/>
    <x v="0"/>
    <x v="4"/>
    <x v="5"/>
    <s v="22"/>
    <x v="25"/>
    <x v="0"/>
    <x v="9"/>
    <x v="10"/>
    <n v="-1260286.68"/>
  </r>
  <r>
    <x v="4"/>
    <x v="0"/>
    <x v="1"/>
    <x v="0"/>
    <x v="1"/>
    <x v="2"/>
    <x v="0"/>
    <x v="0"/>
    <x v="0"/>
    <x v="0"/>
    <x v="4"/>
    <x v="5"/>
    <s v="22"/>
    <x v="25"/>
    <x v="0"/>
    <x v="9"/>
    <x v="11"/>
    <n v="-440102"/>
  </r>
  <r>
    <x v="4"/>
    <x v="0"/>
    <x v="1"/>
    <x v="0"/>
    <x v="1"/>
    <x v="2"/>
    <x v="0"/>
    <x v="0"/>
    <x v="0"/>
    <x v="0"/>
    <x v="4"/>
    <x v="5"/>
    <s v="22"/>
    <x v="25"/>
    <x v="0"/>
    <x v="9"/>
    <x v="3"/>
    <n v="-218244.9"/>
  </r>
  <r>
    <x v="4"/>
    <x v="0"/>
    <x v="1"/>
    <x v="0"/>
    <x v="1"/>
    <x v="2"/>
    <x v="0"/>
    <x v="0"/>
    <x v="0"/>
    <x v="0"/>
    <x v="4"/>
    <x v="5"/>
    <s v="22"/>
    <x v="25"/>
    <x v="0"/>
    <x v="9"/>
    <x v="4"/>
    <n v="-4000"/>
  </r>
  <r>
    <x v="4"/>
    <x v="0"/>
    <x v="1"/>
    <x v="0"/>
    <x v="1"/>
    <x v="2"/>
    <x v="0"/>
    <x v="0"/>
    <x v="0"/>
    <x v="0"/>
    <x v="4"/>
    <x v="5"/>
    <s v="22"/>
    <x v="25"/>
    <x v="0"/>
    <x v="9"/>
    <x v="7"/>
    <n v="-28645"/>
  </r>
  <r>
    <x v="4"/>
    <x v="0"/>
    <x v="1"/>
    <x v="0"/>
    <x v="1"/>
    <x v="2"/>
    <x v="0"/>
    <x v="0"/>
    <x v="0"/>
    <x v="0"/>
    <x v="4"/>
    <x v="5"/>
    <s v="22"/>
    <x v="25"/>
    <x v="0"/>
    <x v="9"/>
    <x v="5"/>
    <n v="-92836.14"/>
  </r>
  <r>
    <x v="4"/>
    <x v="0"/>
    <x v="1"/>
    <x v="0"/>
    <x v="1"/>
    <x v="2"/>
    <x v="0"/>
    <x v="0"/>
    <x v="0"/>
    <x v="0"/>
    <x v="4"/>
    <x v="5"/>
    <s v="22"/>
    <x v="25"/>
    <x v="0"/>
    <x v="9"/>
    <x v="6"/>
    <n v="-23765.74"/>
  </r>
  <r>
    <x v="4"/>
    <x v="0"/>
    <x v="1"/>
    <x v="0"/>
    <x v="1"/>
    <x v="2"/>
    <x v="0"/>
    <x v="0"/>
    <x v="0"/>
    <x v="0"/>
    <x v="4"/>
    <x v="5"/>
    <s v="22"/>
    <x v="25"/>
    <x v="0"/>
    <x v="9"/>
    <x v="1"/>
    <n v="-229802.97"/>
  </r>
  <r>
    <x v="4"/>
    <x v="0"/>
    <x v="1"/>
    <x v="0"/>
    <x v="1"/>
    <x v="2"/>
    <x v="0"/>
    <x v="0"/>
    <x v="0"/>
    <x v="0"/>
    <x v="4"/>
    <x v="5"/>
    <s v="22"/>
    <x v="25"/>
    <x v="0"/>
    <x v="8"/>
    <x v="2"/>
    <n v="-150"/>
  </r>
  <r>
    <x v="4"/>
    <x v="0"/>
    <x v="1"/>
    <x v="0"/>
    <x v="1"/>
    <x v="2"/>
    <x v="0"/>
    <x v="0"/>
    <x v="0"/>
    <x v="0"/>
    <x v="4"/>
    <x v="5"/>
    <s v="22"/>
    <x v="25"/>
    <x v="0"/>
    <x v="8"/>
    <x v="8"/>
    <n v="-40570.120000000003"/>
  </r>
  <r>
    <x v="4"/>
    <x v="0"/>
    <x v="1"/>
    <x v="0"/>
    <x v="1"/>
    <x v="2"/>
    <x v="0"/>
    <x v="0"/>
    <x v="0"/>
    <x v="0"/>
    <x v="4"/>
    <x v="5"/>
    <s v="22"/>
    <x v="25"/>
    <x v="0"/>
    <x v="8"/>
    <x v="9"/>
    <n v="-128621"/>
  </r>
  <r>
    <x v="4"/>
    <x v="0"/>
    <x v="1"/>
    <x v="0"/>
    <x v="1"/>
    <x v="2"/>
    <x v="0"/>
    <x v="0"/>
    <x v="0"/>
    <x v="0"/>
    <x v="4"/>
    <x v="5"/>
    <s v="22"/>
    <x v="25"/>
    <x v="0"/>
    <x v="8"/>
    <x v="11"/>
    <n v="-6000"/>
  </r>
  <r>
    <x v="4"/>
    <x v="0"/>
    <x v="1"/>
    <x v="0"/>
    <x v="1"/>
    <x v="2"/>
    <x v="0"/>
    <x v="0"/>
    <x v="0"/>
    <x v="0"/>
    <x v="4"/>
    <x v="5"/>
    <s v="22"/>
    <x v="25"/>
    <x v="0"/>
    <x v="8"/>
    <x v="3"/>
    <n v="-166856.32000000001"/>
  </r>
  <r>
    <x v="4"/>
    <x v="0"/>
    <x v="1"/>
    <x v="0"/>
    <x v="1"/>
    <x v="2"/>
    <x v="0"/>
    <x v="0"/>
    <x v="0"/>
    <x v="0"/>
    <x v="4"/>
    <x v="5"/>
    <s v="22"/>
    <x v="25"/>
    <x v="0"/>
    <x v="8"/>
    <x v="4"/>
    <n v="-50257.95"/>
  </r>
  <r>
    <x v="4"/>
    <x v="0"/>
    <x v="1"/>
    <x v="0"/>
    <x v="1"/>
    <x v="2"/>
    <x v="0"/>
    <x v="0"/>
    <x v="0"/>
    <x v="0"/>
    <x v="4"/>
    <x v="5"/>
    <s v="22"/>
    <x v="25"/>
    <x v="0"/>
    <x v="8"/>
    <x v="7"/>
    <n v="27095"/>
  </r>
  <r>
    <x v="4"/>
    <x v="0"/>
    <x v="1"/>
    <x v="0"/>
    <x v="1"/>
    <x v="2"/>
    <x v="0"/>
    <x v="0"/>
    <x v="0"/>
    <x v="0"/>
    <x v="4"/>
    <x v="5"/>
    <s v="22"/>
    <x v="25"/>
    <x v="0"/>
    <x v="8"/>
    <x v="5"/>
    <n v="-10000"/>
  </r>
  <r>
    <x v="4"/>
    <x v="0"/>
    <x v="1"/>
    <x v="0"/>
    <x v="1"/>
    <x v="2"/>
    <x v="0"/>
    <x v="0"/>
    <x v="0"/>
    <x v="0"/>
    <x v="4"/>
    <x v="5"/>
    <s v="22"/>
    <x v="25"/>
    <x v="0"/>
    <x v="8"/>
    <x v="6"/>
    <n v="-143.84"/>
  </r>
  <r>
    <x v="4"/>
    <x v="0"/>
    <x v="1"/>
    <x v="0"/>
    <x v="1"/>
    <x v="2"/>
    <x v="0"/>
    <x v="0"/>
    <x v="0"/>
    <x v="0"/>
    <x v="4"/>
    <x v="5"/>
    <s v="22"/>
    <x v="25"/>
    <x v="0"/>
    <x v="8"/>
    <x v="1"/>
    <n v="-765809.27"/>
  </r>
  <r>
    <x v="4"/>
    <x v="0"/>
    <x v="1"/>
    <x v="0"/>
    <x v="1"/>
    <x v="2"/>
    <x v="1"/>
    <x v="0"/>
    <x v="0"/>
    <x v="1"/>
    <x v="1"/>
    <x v="8"/>
    <s v="41"/>
    <x v="4"/>
    <x v="0"/>
    <x v="9"/>
    <x v="1"/>
    <n v="-13680.74"/>
  </r>
  <r>
    <x v="4"/>
    <x v="0"/>
    <x v="1"/>
    <x v="0"/>
    <x v="1"/>
    <x v="2"/>
    <x v="1"/>
    <x v="0"/>
    <x v="0"/>
    <x v="0"/>
    <x v="0"/>
    <x v="4"/>
    <s v="20"/>
    <x v="7"/>
    <x v="0"/>
    <x v="9"/>
    <x v="1"/>
    <n v="13680.74"/>
  </r>
  <r>
    <x v="4"/>
    <x v="0"/>
    <x v="1"/>
    <x v="0"/>
    <x v="1"/>
    <x v="2"/>
    <x v="1"/>
    <x v="0"/>
    <x v="0"/>
    <x v="0"/>
    <x v="0"/>
    <x v="4"/>
    <s v="30"/>
    <x v="3"/>
    <x v="0"/>
    <x v="9"/>
    <x v="1"/>
    <n v="950"/>
  </r>
  <r>
    <x v="4"/>
    <x v="0"/>
    <x v="1"/>
    <x v="0"/>
    <x v="1"/>
    <x v="3"/>
    <x v="0"/>
    <x v="0"/>
    <x v="0"/>
    <x v="2"/>
    <x v="3"/>
    <x v="7"/>
    <s v="84"/>
    <x v="34"/>
    <x v="0"/>
    <x v="9"/>
    <x v="7"/>
    <n v="5720"/>
  </r>
  <r>
    <x v="4"/>
    <x v="0"/>
    <x v="1"/>
    <x v="0"/>
    <x v="1"/>
    <x v="3"/>
    <x v="0"/>
    <x v="0"/>
    <x v="0"/>
    <x v="2"/>
    <x v="3"/>
    <x v="7"/>
    <s v="84"/>
    <x v="34"/>
    <x v="0"/>
    <x v="9"/>
    <x v="5"/>
    <n v="-5720"/>
  </r>
  <r>
    <x v="4"/>
    <x v="0"/>
    <x v="1"/>
    <x v="0"/>
    <x v="1"/>
    <x v="3"/>
    <x v="0"/>
    <x v="0"/>
    <x v="0"/>
    <x v="1"/>
    <x v="1"/>
    <x v="8"/>
    <s v="41"/>
    <x v="4"/>
    <x v="0"/>
    <x v="9"/>
    <x v="8"/>
    <n v="1197.93"/>
  </r>
  <r>
    <x v="4"/>
    <x v="0"/>
    <x v="1"/>
    <x v="0"/>
    <x v="1"/>
    <x v="3"/>
    <x v="0"/>
    <x v="0"/>
    <x v="0"/>
    <x v="1"/>
    <x v="1"/>
    <x v="8"/>
    <s v="41"/>
    <x v="4"/>
    <x v="0"/>
    <x v="9"/>
    <x v="9"/>
    <n v="-1197.93"/>
  </r>
  <r>
    <x v="4"/>
    <x v="0"/>
    <x v="1"/>
    <x v="0"/>
    <x v="1"/>
    <x v="3"/>
    <x v="0"/>
    <x v="0"/>
    <x v="0"/>
    <x v="1"/>
    <x v="1"/>
    <x v="8"/>
    <s v="41"/>
    <x v="4"/>
    <x v="0"/>
    <x v="9"/>
    <x v="10"/>
    <n v="22311.17"/>
  </r>
  <r>
    <x v="4"/>
    <x v="0"/>
    <x v="1"/>
    <x v="0"/>
    <x v="1"/>
    <x v="3"/>
    <x v="0"/>
    <x v="0"/>
    <x v="0"/>
    <x v="1"/>
    <x v="1"/>
    <x v="8"/>
    <s v="41"/>
    <x v="4"/>
    <x v="0"/>
    <x v="9"/>
    <x v="4"/>
    <n v="-22311.17"/>
  </r>
  <r>
    <x v="4"/>
    <x v="0"/>
    <x v="1"/>
    <x v="0"/>
    <x v="1"/>
    <x v="3"/>
    <x v="0"/>
    <x v="0"/>
    <x v="0"/>
    <x v="1"/>
    <x v="1"/>
    <x v="8"/>
    <s v="41"/>
    <x v="4"/>
    <x v="0"/>
    <x v="9"/>
    <x v="7"/>
    <n v="3142.54"/>
  </r>
  <r>
    <x v="4"/>
    <x v="0"/>
    <x v="1"/>
    <x v="0"/>
    <x v="1"/>
    <x v="3"/>
    <x v="0"/>
    <x v="0"/>
    <x v="0"/>
    <x v="1"/>
    <x v="1"/>
    <x v="8"/>
    <s v="41"/>
    <x v="4"/>
    <x v="0"/>
    <x v="9"/>
    <x v="1"/>
    <n v="-3142.54"/>
  </r>
  <r>
    <x v="4"/>
    <x v="0"/>
    <x v="1"/>
    <x v="0"/>
    <x v="1"/>
    <x v="3"/>
    <x v="0"/>
    <x v="0"/>
    <x v="0"/>
    <x v="1"/>
    <x v="1"/>
    <x v="8"/>
    <s v="41"/>
    <x v="4"/>
    <x v="0"/>
    <x v="8"/>
    <x v="2"/>
    <n v="327.12"/>
  </r>
  <r>
    <x v="4"/>
    <x v="0"/>
    <x v="1"/>
    <x v="0"/>
    <x v="1"/>
    <x v="3"/>
    <x v="0"/>
    <x v="0"/>
    <x v="0"/>
    <x v="1"/>
    <x v="1"/>
    <x v="8"/>
    <s v="41"/>
    <x v="4"/>
    <x v="0"/>
    <x v="8"/>
    <x v="9"/>
    <n v="521.34"/>
  </r>
  <r>
    <x v="4"/>
    <x v="0"/>
    <x v="1"/>
    <x v="0"/>
    <x v="1"/>
    <x v="3"/>
    <x v="0"/>
    <x v="0"/>
    <x v="0"/>
    <x v="1"/>
    <x v="1"/>
    <x v="8"/>
    <s v="41"/>
    <x v="4"/>
    <x v="0"/>
    <x v="8"/>
    <x v="3"/>
    <n v="-848.46"/>
  </r>
  <r>
    <x v="4"/>
    <x v="0"/>
    <x v="1"/>
    <x v="0"/>
    <x v="1"/>
    <x v="3"/>
    <x v="0"/>
    <x v="0"/>
    <x v="0"/>
    <x v="0"/>
    <x v="0"/>
    <x v="4"/>
    <s v="05"/>
    <x v="38"/>
    <x v="0"/>
    <x v="8"/>
    <x v="9"/>
    <n v="400"/>
  </r>
  <r>
    <x v="4"/>
    <x v="0"/>
    <x v="1"/>
    <x v="0"/>
    <x v="1"/>
    <x v="3"/>
    <x v="0"/>
    <x v="0"/>
    <x v="0"/>
    <x v="0"/>
    <x v="0"/>
    <x v="4"/>
    <s v="05"/>
    <x v="38"/>
    <x v="0"/>
    <x v="8"/>
    <x v="10"/>
    <n v="200"/>
  </r>
  <r>
    <x v="4"/>
    <x v="0"/>
    <x v="1"/>
    <x v="0"/>
    <x v="1"/>
    <x v="3"/>
    <x v="0"/>
    <x v="0"/>
    <x v="0"/>
    <x v="0"/>
    <x v="0"/>
    <x v="4"/>
    <s v="05"/>
    <x v="38"/>
    <x v="0"/>
    <x v="8"/>
    <x v="11"/>
    <n v="-200"/>
  </r>
  <r>
    <x v="4"/>
    <x v="0"/>
    <x v="1"/>
    <x v="0"/>
    <x v="1"/>
    <x v="3"/>
    <x v="0"/>
    <x v="0"/>
    <x v="0"/>
    <x v="0"/>
    <x v="0"/>
    <x v="4"/>
    <s v="05"/>
    <x v="38"/>
    <x v="0"/>
    <x v="8"/>
    <x v="7"/>
    <n v="-75"/>
  </r>
  <r>
    <x v="4"/>
    <x v="0"/>
    <x v="1"/>
    <x v="0"/>
    <x v="1"/>
    <x v="3"/>
    <x v="0"/>
    <x v="0"/>
    <x v="0"/>
    <x v="0"/>
    <x v="0"/>
    <x v="4"/>
    <s v="05"/>
    <x v="38"/>
    <x v="0"/>
    <x v="8"/>
    <x v="5"/>
    <n v="75"/>
  </r>
  <r>
    <x v="4"/>
    <x v="0"/>
    <x v="1"/>
    <x v="0"/>
    <x v="1"/>
    <x v="3"/>
    <x v="0"/>
    <x v="0"/>
    <x v="0"/>
    <x v="0"/>
    <x v="0"/>
    <x v="4"/>
    <s v="05"/>
    <x v="38"/>
    <x v="0"/>
    <x v="8"/>
    <x v="1"/>
    <n v="-400"/>
  </r>
  <r>
    <x v="4"/>
    <x v="0"/>
    <x v="1"/>
    <x v="0"/>
    <x v="1"/>
    <x v="3"/>
    <x v="0"/>
    <x v="0"/>
    <x v="0"/>
    <x v="0"/>
    <x v="0"/>
    <x v="4"/>
    <s v="09"/>
    <x v="0"/>
    <x v="0"/>
    <x v="9"/>
    <x v="0"/>
    <n v="112773.29"/>
  </r>
  <r>
    <x v="4"/>
    <x v="0"/>
    <x v="1"/>
    <x v="0"/>
    <x v="1"/>
    <x v="3"/>
    <x v="0"/>
    <x v="0"/>
    <x v="0"/>
    <x v="0"/>
    <x v="0"/>
    <x v="4"/>
    <s v="09"/>
    <x v="0"/>
    <x v="0"/>
    <x v="9"/>
    <x v="2"/>
    <n v="165773.74"/>
  </r>
  <r>
    <x v="4"/>
    <x v="0"/>
    <x v="1"/>
    <x v="0"/>
    <x v="1"/>
    <x v="3"/>
    <x v="0"/>
    <x v="0"/>
    <x v="0"/>
    <x v="0"/>
    <x v="0"/>
    <x v="4"/>
    <s v="09"/>
    <x v="0"/>
    <x v="0"/>
    <x v="9"/>
    <x v="8"/>
    <n v="351472.43"/>
  </r>
  <r>
    <x v="4"/>
    <x v="0"/>
    <x v="1"/>
    <x v="0"/>
    <x v="1"/>
    <x v="3"/>
    <x v="0"/>
    <x v="0"/>
    <x v="0"/>
    <x v="0"/>
    <x v="0"/>
    <x v="4"/>
    <s v="09"/>
    <x v="0"/>
    <x v="0"/>
    <x v="9"/>
    <x v="9"/>
    <n v="388764.04"/>
  </r>
  <r>
    <x v="4"/>
    <x v="0"/>
    <x v="1"/>
    <x v="0"/>
    <x v="1"/>
    <x v="3"/>
    <x v="0"/>
    <x v="0"/>
    <x v="0"/>
    <x v="0"/>
    <x v="0"/>
    <x v="4"/>
    <s v="09"/>
    <x v="0"/>
    <x v="0"/>
    <x v="9"/>
    <x v="10"/>
    <n v="289702.42"/>
  </r>
  <r>
    <x v="4"/>
    <x v="0"/>
    <x v="1"/>
    <x v="0"/>
    <x v="1"/>
    <x v="3"/>
    <x v="0"/>
    <x v="0"/>
    <x v="0"/>
    <x v="0"/>
    <x v="0"/>
    <x v="4"/>
    <s v="09"/>
    <x v="0"/>
    <x v="0"/>
    <x v="9"/>
    <x v="11"/>
    <n v="330392.81"/>
  </r>
  <r>
    <x v="4"/>
    <x v="0"/>
    <x v="1"/>
    <x v="0"/>
    <x v="1"/>
    <x v="3"/>
    <x v="0"/>
    <x v="0"/>
    <x v="0"/>
    <x v="0"/>
    <x v="0"/>
    <x v="4"/>
    <s v="09"/>
    <x v="0"/>
    <x v="0"/>
    <x v="9"/>
    <x v="3"/>
    <n v="509393.45"/>
  </r>
  <r>
    <x v="4"/>
    <x v="0"/>
    <x v="1"/>
    <x v="0"/>
    <x v="1"/>
    <x v="3"/>
    <x v="0"/>
    <x v="0"/>
    <x v="0"/>
    <x v="0"/>
    <x v="0"/>
    <x v="4"/>
    <s v="09"/>
    <x v="0"/>
    <x v="0"/>
    <x v="9"/>
    <x v="4"/>
    <n v="334065.09999999998"/>
  </r>
  <r>
    <x v="4"/>
    <x v="0"/>
    <x v="1"/>
    <x v="0"/>
    <x v="1"/>
    <x v="3"/>
    <x v="0"/>
    <x v="0"/>
    <x v="0"/>
    <x v="0"/>
    <x v="0"/>
    <x v="4"/>
    <s v="09"/>
    <x v="0"/>
    <x v="0"/>
    <x v="9"/>
    <x v="7"/>
    <n v="339238.99"/>
  </r>
  <r>
    <x v="4"/>
    <x v="0"/>
    <x v="1"/>
    <x v="0"/>
    <x v="1"/>
    <x v="3"/>
    <x v="0"/>
    <x v="0"/>
    <x v="0"/>
    <x v="0"/>
    <x v="0"/>
    <x v="4"/>
    <s v="09"/>
    <x v="0"/>
    <x v="0"/>
    <x v="9"/>
    <x v="5"/>
    <n v="383826.29"/>
  </r>
  <r>
    <x v="4"/>
    <x v="0"/>
    <x v="1"/>
    <x v="0"/>
    <x v="1"/>
    <x v="3"/>
    <x v="0"/>
    <x v="0"/>
    <x v="0"/>
    <x v="0"/>
    <x v="0"/>
    <x v="4"/>
    <s v="09"/>
    <x v="0"/>
    <x v="0"/>
    <x v="9"/>
    <x v="6"/>
    <n v="125086.65"/>
  </r>
  <r>
    <x v="4"/>
    <x v="0"/>
    <x v="1"/>
    <x v="0"/>
    <x v="1"/>
    <x v="3"/>
    <x v="0"/>
    <x v="0"/>
    <x v="0"/>
    <x v="0"/>
    <x v="0"/>
    <x v="4"/>
    <s v="09"/>
    <x v="0"/>
    <x v="0"/>
    <x v="9"/>
    <x v="1"/>
    <n v="1033205.54"/>
  </r>
  <r>
    <x v="4"/>
    <x v="0"/>
    <x v="1"/>
    <x v="0"/>
    <x v="1"/>
    <x v="3"/>
    <x v="0"/>
    <x v="0"/>
    <x v="0"/>
    <x v="0"/>
    <x v="0"/>
    <x v="4"/>
    <s v="09"/>
    <x v="0"/>
    <x v="0"/>
    <x v="8"/>
    <x v="0"/>
    <n v="254982.87"/>
  </r>
  <r>
    <x v="4"/>
    <x v="0"/>
    <x v="1"/>
    <x v="0"/>
    <x v="1"/>
    <x v="3"/>
    <x v="0"/>
    <x v="0"/>
    <x v="0"/>
    <x v="0"/>
    <x v="0"/>
    <x v="4"/>
    <s v="09"/>
    <x v="0"/>
    <x v="0"/>
    <x v="8"/>
    <x v="2"/>
    <n v="159289.32999999999"/>
  </r>
  <r>
    <x v="4"/>
    <x v="0"/>
    <x v="1"/>
    <x v="0"/>
    <x v="1"/>
    <x v="3"/>
    <x v="0"/>
    <x v="0"/>
    <x v="0"/>
    <x v="0"/>
    <x v="0"/>
    <x v="4"/>
    <s v="09"/>
    <x v="0"/>
    <x v="0"/>
    <x v="8"/>
    <x v="8"/>
    <n v="120302.92"/>
  </r>
  <r>
    <x v="4"/>
    <x v="0"/>
    <x v="1"/>
    <x v="0"/>
    <x v="1"/>
    <x v="3"/>
    <x v="0"/>
    <x v="0"/>
    <x v="0"/>
    <x v="0"/>
    <x v="0"/>
    <x v="4"/>
    <s v="09"/>
    <x v="0"/>
    <x v="0"/>
    <x v="8"/>
    <x v="9"/>
    <n v="318843.28999999998"/>
  </r>
  <r>
    <x v="4"/>
    <x v="0"/>
    <x v="1"/>
    <x v="0"/>
    <x v="1"/>
    <x v="3"/>
    <x v="0"/>
    <x v="0"/>
    <x v="0"/>
    <x v="0"/>
    <x v="0"/>
    <x v="4"/>
    <s v="09"/>
    <x v="0"/>
    <x v="0"/>
    <x v="8"/>
    <x v="10"/>
    <n v="61083.199999999997"/>
  </r>
  <r>
    <x v="4"/>
    <x v="0"/>
    <x v="1"/>
    <x v="0"/>
    <x v="1"/>
    <x v="3"/>
    <x v="0"/>
    <x v="0"/>
    <x v="0"/>
    <x v="0"/>
    <x v="0"/>
    <x v="4"/>
    <s v="09"/>
    <x v="0"/>
    <x v="0"/>
    <x v="8"/>
    <x v="11"/>
    <n v="176301.37"/>
  </r>
  <r>
    <x v="4"/>
    <x v="0"/>
    <x v="1"/>
    <x v="0"/>
    <x v="1"/>
    <x v="3"/>
    <x v="0"/>
    <x v="0"/>
    <x v="0"/>
    <x v="0"/>
    <x v="0"/>
    <x v="4"/>
    <s v="09"/>
    <x v="0"/>
    <x v="0"/>
    <x v="8"/>
    <x v="3"/>
    <n v="263907.61"/>
  </r>
  <r>
    <x v="4"/>
    <x v="0"/>
    <x v="1"/>
    <x v="0"/>
    <x v="1"/>
    <x v="3"/>
    <x v="0"/>
    <x v="0"/>
    <x v="0"/>
    <x v="0"/>
    <x v="0"/>
    <x v="4"/>
    <s v="09"/>
    <x v="0"/>
    <x v="0"/>
    <x v="8"/>
    <x v="4"/>
    <n v="83891.839999999997"/>
  </r>
  <r>
    <x v="4"/>
    <x v="0"/>
    <x v="1"/>
    <x v="0"/>
    <x v="1"/>
    <x v="3"/>
    <x v="0"/>
    <x v="0"/>
    <x v="0"/>
    <x v="0"/>
    <x v="0"/>
    <x v="4"/>
    <s v="09"/>
    <x v="0"/>
    <x v="0"/>
    <x v="8"/>
    <x v="7"/>
    <n v="208629.02"/>
  </r>
  <r>
    <x v="4"/>
    <x v="0"/>
    <x v="1"/>
    <x v="0"/>
    <x v="1"/>
    <x v="3"/>
    <x v="0"/>
    <x v="0"/>
    <x v="0"/>
    <x v="0"/>
    <x v="0"/>
    <x v="4"/>
    <s v="09"/>
    <x v="0"/>
    <x v="0"/>
    <x v="8"/>
    <x v="5"/>
    <n v="271426.7"/>
  </r>
  <r>
    <x v="4"/>
    <x v="0"/>
    <x v="1"/>
    <x v="0"/>
    <x v="1"/>
    <x v="3"/>
    <x v="0"/>
    <x v="0"/>
    <x v="0"/>
    <x v="0"/>
    <x v="0"/>
    <x v="4"/>
    <s v="09"/>
    <x v="0"/>
    <x v="0"/>
    <x v="8"/>
    <x v="6"/>
    <n v="9941.83"/>
  </r>
  <r>
    <x v="4"/>
    <x v="0"/>
    <x v="1"/>
    <x v="0"/>
    <x v="1"/>
    <x v="3"/>
    <x v="0"/>
    <x v="0"/>
    <x v="0"/>
    <x v="0"/>
    <x v="0"/>
    <x v="4"/>
    <s v="09"/>
    <x v="0"/>
    <x v="0"/>
    <x v="8"/>
    <x v="1"/>
    <n v="539811.89"/>
  </r>
  <r>
    <x v="4"/>
    <x v="0"/>
    <x v="1"/>
    <x v="0"/>
    <x v="1"/>
    <x v="3"/>
    <x v="0"/>
    <x v="0"/>
    <x v="0"/>
    <x v="0"/>
    <x v="0"/>
    <x v="4"/>
    <s v="20"/>
    <x v="7"/>
    <x v="0"/>
    <x v="9"/>
    <x v="9"/>
    <n v="418.7"/>
  </r>
  <r>
    <x v="4"/>
    <x v="0"/>
    <x v="1"/>
    <x v="0"/>
    <x v="1"/>
    <x v="3"/>
    <x v="0"/>
    <x v="0"/>
    <x v="0"/>
    <x v="0"/>
    <x v="0"/>
    <x v="4"/>
    <s v="20"/>
    <x v="7"/>
    <x v="0"/>
    <x v="9"/>
    <x v="4"/>
    <n v="75116.490000000005"/>
  </r>
  <r>
    <x v="4"/>
    <x v="0"/>
    <x v="1"/>
    <x v="0"/>
    <x v="1"/>
    <x v="3"/>
    <x v="0"/>
    <x v="0"/>
    <x v="0"/>
    <x v="0"/>
    <x v="0"/>
    <x v="4"/>
    <s v="20"/>
    <x v="7"/>
    <x v="0"/>
    <x v="9"/>
    <x v="6"/>
    <n v="337463.43"/>
  </r>
  <r>
    <x v="4"/>
    <x v="0"/>
    <x v="1"/>
    <x v="0"/>
    <x v="1"/>
    <x v="3"/>
    <x v="0"/>
    <x v="0"/>
    <x v="0"/>
    <x v="0"/>
    <x v="0"/>
    <x v="4"/>
    <s v="20"/>
    <x v="7"/>
    <x v="0"/>
    <x v="9"/>
    <x v="1"/>
    <n v="-412998.62"/>
  </r>
  <r>
    <x v="4"/>
    <x v="0"/>
    <x v="1"/>
    <x v="0"/>
    <x v="1"/>
    <x v="3"/>
    <x v="0"/>
    <x v="0"/>
    <x v="0"/>
    <x v="0"/>
    <x v="0"/>
    <x v="4"/>
    <s v="20"/>
    <x v="7"/>
    <x v="0"/>
    <x v="8"/>
    <x v="0"/>
    <n v="12597.88"/>
  </r>
  <r>
    <x v="4"/>
    <x v="0"/>
    <x v="1"/>
    <x v="0"/>
    <x v="1"/>
    <x v="3"/>
    <x v="0"/>
    <x v="0"/>
    <x v="0"/>
    <x v="0"/>
    <x v="0"/>
    <x v="4"/>
    <s v="20"/>
    <x v="7"/>
    <x v="0"/>
    <x v="8"/>
    <x v="10"/>
    <n v="64458.080000000002"/>
  </r>
  <r>
    <x v="4"/>
    <x v="0"/>
    <x v="1"/>
    <x v="0"/>
    <x v="1"/>
    <x v="3"/>
    <x v="0"/>
    <x v="0"/>
    <x v="0"/>
    <x v="0"/>
    <x v="0"/>
    <x v="4"/>
    <s v="20"/>
    <x v="7"/>
    <x v="0"/>
    <x v="8"/>
    <x v="4"/>
    <n v="143294.73000000001"/>
  </r>
  <r>
    <x v="4"/>
    <x v="0"/>
    <x v="1"/>
    <x v="0"/>
    <x v="1"/>
    <x v="3"/>
    <x v="0"/>
    <x v="0"/>
    <x v="0"/>
    <x v="0"/>
    <x v="0"/>
    <x v="4"/>
    <s v="20"/>
    <x v="7"/>
    <x v="0"/>
    <x v="8"/>
    <x v="6"/>
    <n v="128175.77"/>
  </r>
  <r>
    <x v="4"/>
    <x v="0"/>
    <x v="1"/>
    <x v="0"/>
    <x v="1"/>
    <x v="3"/>
    <x v="0"/>
    <x v="0"/>
    <x v="0"/>
    <x v="0"/>
    <x v="0"/>
    <x v="4"/>
    <s v="20"/>
    <x v="7"/>
    <x v="0"/>
    <x v="8"/>
    <x v="1"/>
    <n v="-348526.46"/>
  </r>
  <r>
    <x v="4"/>
    <x v="0"/>
    <x v="1"/>
    <x v="0"/>
    <x v="1"/>
    <x v="3"/>
    <x v="0"/>
    <x v="0"/>
    <x v="0"/>
    <x v="0"/>
    <x v="0"/>
    <x v="4"/>
    <s v="24"/>
    <x v="1"/>
    <x v="0"/>
    <x v="9"/>
    <x v="0"/>
    <n v="20424730.649999999"/>
  </r>
  <r>
    <x v="4"/>
    <x v="0"/>
    <x v="1"/>
    <x v="0"/>
    <x v="1"/>
    <x v="3"/>
    <x v="0"/>
    <x v="0"/>
    <x v="0"/>
    <x v="0"/>
    <x v="0"/>
    <x v="4"/>
    <s v="24"/>
    <x v="1"/>
    <x v="0"/>
    <x v="9"/>
    <x v="2"/>
    <n v="30863676.600000001"/>
  </r>
  <r>
    <x v="4"/>
    <x v="0"/>
    <x v="1"/>
    <x v="0"/>
    <x v="1"/>
    <x v="3"/>
    <x v="0"/>
    <x v="0"/>
    <x v="0"/>
    <x v="0"/>
    <x v="0"/>
    <x v="4"/>
    <s v="24"/>
    <x v="1"/>
    <x v="0"/>
    <x v="9"/>
    <x v="8"/>
    <n v="34858936.600000001"/>
  </r>
  <r>
    <x v="4"/>
    <x v="0"/>
    <x v="1"/>
    <x v="0"/>
    <x v="1"/>
    <x v="3"/>
    <x v="0"/>
    <x v="0"/>
    <x v="0"/>
    <x v="0"/>
    <x v="0"/>
    <x v="4"/>
    <s v="24"/>
    <x v="1"/>
    <x v="0"/>
    <x v="9"/>
    <x v="9"/>
    <n v="9796616.2300000004"/>
  </r>
  <r>
    <x v="4"/>
    <x v="0"/>
    <x v="1"/>
    <x v="0"/>
    <x v="1"/>
    <x v="3"/>
    <x v="0"/>
    <x v="0"/>
    <x v="0"/>
    <x v="0"/>
    <x v="0"/>
    <x v="4"/>
    <s v="24"/>
    <x v="1"/>
    <x v="0"/>
    <x v="9"/>
    <x v="10"/>
    <n v="15435259.24"/>
  </r>
  <r>
    <x v="4"/>
    <x v="0"/>
    <x v="1"/>
    <x v="0"/>
    <x v="1"/>
    <x v="3"/>
    <x v="0"/>
    <x v="0"/>
    <x v="0"/>
    <x v="0"/>
    <x v="0"/>
    <x v="4"/>
    <s v="24"/>
    <x v="1"/>
    <x v="0"/>
    <x v="9"/>
    <x v="11"/>
    <n v="39781327.770000003"/>
  </r>
  <r>
    <x v="4"/>
    <x v="0"/>
    <x v="1"/>
    <x v="0"/>
    <x v="1"/>
    <x v="3"/>
    <x v="0"/>
    <x v="0"/>
    <x v="0"/>
    <x v="0"/>
    <x v="0"/>
    <x v="4"/>
    <s v="24"/>
    <x v="1"/>
    <x v="0"/>
    <x v="9"/>
    <x v="3"/>
    <n v="15311748.73"/>
  </r>
  <r>
    <x v="4"/>
    <x v="0"/>
    <x v="1"/>
    <x v="0"/>
    <x v="1"/>
    <x v="3"/>
    <x v="0"/>
    <x v="0"/>
    <x v="0"/>
    <x v="0"/>
    <x v="0"/>
    <x v="4"/>
    <s v="24"/>
    <x v="1"/>
    <x v="0"/>
    <x v="9"/>
    <x v="4"/>
    <n v="11958627.710000001"/>
  </r>
  <r>
    <x v="4"/>
    <x v="0"/>
    <x v="1"/>
    <x v="0"/>
    <x v="1"/>
    <x v="3"/>
    <x v="0"/>
    <x v="0"/>
    <x v="0"/>
    <x v="0"/>
    <x v="0"/>
    <x v="4"/>
    <s v="24"/>
    <x v="1"/>
    <x v="0"/>
    <x v="9"/>
    <x v="7"/>
    <n v="44719301.960000001"/>
  </r>
  <r>
    <x v="4"/>
    <x v="0"/>
    <x v="1"/>
    <x v="0"/>
    <x v="1"/>
    <x v="3"/>
    <x v="0"/>
    <x v="0"/>
    <x v="0"/>
    <x v="0"/>
    <x v="0"/>
    <x v="4"/>
    <s v="24"/>
    <x v="1"/>
    <x v="0"/>
    <x v="9"/>
    <x v="5"/>
    <n v="11999310.09"/>
  </r>
  <r>
    <x v="4"/>
    <x v="0"/>
    <x v="1"/>
    <x v="0"/>
    <x v="1"/>
    <x v="3"/>
    <x v="0"/>
    <x v="0"/>
    <x v="0"/>
    <x v="0"/>
    <x v="0"/>
    <x v="4"/>
    <s v="24"/>
    <x v="1"/>
    <x v="0"/>
    <x v="9"/>
    <x v="6"/>
    <n v="3123691.75"/>
  </r>
  <r>
    <x v="4"/>
    <x v="0"/>
    <x v="1"/>
    <x v="0"/>
    <x v="1"/>
    <x v="3"/>
    <x v="0"/>
    <x v="0"/>
    <x v="0"/>
    <x v="0"/>
    <x v="0"/>
    <x v="4"/>
    <s v="24"/>
    <x v="1"/>
    <x v="0"/>
    <x v="9"/>
    <x v="1"/>
    <n v="170400.74"/>
  </r>
  <r>
    <x v="4"/>
    <x v="0"/>
    <x v="1"/>
    <x v="0"/>
    <x v="1"/>
    <x v="3"/>
    <x v="0"/>
    <x v="0"/>
    <x v="0"/>
    <x v="0"/>
    <x v="0"/>
    <x v="4"/>
    <s v="24"/>
    <x v="1"/>
    <x v="0"/>
    <x v="8"/>
    <x v="0"/>
    <n v="22423788.390000001"/>
  </r>
  <r>
    <x v="4"/>
    <x v="0"/>
    <x v="1"/>
    <x v="0"/>
    <x v="1"/>
    <x v="3"/>
    <x v="0"/>
    <x v="0"/>
    <x v="0"/>
    <x v="0"/>
    <x v="0"/>
    <x v="4"/>
    <s v="24"/>
    <x v="1"/>
    <x v="0"/>
    <x v="8"/>
    <x v="2"/>
    <n v="32887529.530000001"/>
  </r>
  <r>
    <x v="4"/>
    <x v="0"/>
    <x v="1"/>
    <x v="0"/>
    <x v="1"/>
    <x v="3"/>
    <x v="0"/>
    <x v="0"/>
    <x v="0"/>
    <x v="0"/>
    <x v="0"/>
    <x v="4"/>
    <s v="24"/>
    <x v="1"/>
    <x v="0"/>
    <x v="8"/>
    <x v="8"/>
    <n v="41822331.810000002"/>
  </r>
  <r>
    <x v="4"/>
    <x v="0"/>
    <x v="1"/>
    <x v="0"/>
    <x v="1"/>
    <x v="3"/>
    <x v="0"/>
    <x v="0"/>
    <x v="0"/>
    <x v="0"/>
    <x v="0"/>
    <x v="4"/>
    <s v="24"/>
    <x v="1"/>
    <x v="0"/>
    <x v="8"/>
    <x v="9"/>
    <n v="6215972.21"/>
  </r>
  <r>
    <x v="4"/>
    <x v="0"/>
    <x v="1"/>
    <x v="0"/>
    <x v="1"/>
    <x v="3"/>
    <x v="0"/>
    <x v="0"/>
    <x v="0"/>
    <x v="0"/>
    <x v="0"/>
    <x v="4"/>
    <s v="24"/>
    <x v="1"/>
    <x v="0"/>
    <x v="8"/>
    <x v="10"/>
    <n v="11289967.83"/>
  </r>
  <r>
    <x v="4"/>
    <x v="0"/>
    <x v="1"/>
    <x v="0"/>
    <x v="1"/>
    <x v="3"/>
    <x v="0"/>
    <x v="0"/>
    <x v="0"/>
    <x v="0"/>
    <x v="0"/>
    <x v="4"/>
    <s v="24"/>
    <x v="1"/>
    <x v="0"/>
    <x v="8"/>
    <x v="11"/>
    <n v="46608389.280000001"/>
  </r>
  <r>
    <x v="4"/>
    <x v="0"/>
    <x v="1"/>
    <x v="0"/>
    <x v="1"/>
    <x v="3"/>
    <x v="0"/>
    <x v="0"/>
    <x v="0"/>
    <x v="0"/>
    <x v="0"/>
    <x v="4"/>
    <s v="24"/>
    <x v="1"/>
    <x v="0"/>
    <x v="8"/>
    <x v="3"/>
    <n v="18304002.98"/>
  </r>
  <r>
    <x v="4"/>
    <x v="0"/>
    <x v="1"/>
    <x v="0"/>
    <x v="1"/>
    <x v="3"/>
    <x v="0"/>
    <x v="0"/>
    <x v="0"/>
    <x v="0"/>
    <x v="0"/>
    <x v="4"/>
    <s v="24"/>
    <x v="1"/>
    <x v="0"/>
    <x v="8"/>
    <x v="4"/>
    <n v="10595907.91"/>
  </r>
  <r>
    <x v="4"/>
    <x v="0"/>
    <x v="1"/>
    <x v="0"/>
    <x v="1"/>
    <x v="3"/>
    <x v="0"/>
    <x v="0"/>
    <x v="0"/>
    <x v="0"/>
    <x v="0"/>
    <x v="4"/>
    <s v="24"/>
    <x v="1"/>
    <x v="0"/>
    <x v="8"/>
    <x v="7"/>
    <n v="49924271.469999999"/>
  </r>
  <r>
    <x v="4"/>
    <x v="0"/>
    <x v="1"/>
    <x v="0"/>
    <x v="1"/>
    <x v="3"/>
    <x v="0"/>
    <x v="0"/>
    <x v="0"/>
    <x v="0"/>
    <x v="0"/>
    <x v="4"/>
    <s v="24"/>
    <x v="1"/>
    <x v="0"/>
    <x v="8"/>
    <x v="5"/>
    <n v="12714748.91"/>
  </r>
  <r>
    <x v="4"/>
    <x v="0"/>
    <x v="1"/>
    <x v="0"/>
    <x v="1"/>
    <x v="3"/>
    <x v="0"/>
    <x v="0"/>
    <x v="0"/>
    <x v="0"/>
    <x v="0"/>
    <x v="4"/>
    <s v="24"/>
    <x v="1"/>
    <x v="0"/>
    <x v="8"/>
    <x v="6"/>
    <n v="3824773.92"/>
  </r>
  <r>
    <x v="4"/>
    <x v="0"/>
    <x v="1"/>
    <x v="0"/>
    <x v="1"/>
    <x v="3"/>
    <x v="0"/>
    <x v="0"/>
    <x v="0"/>
    <x v="0"/>
    <x v="0"/>
    <x v="4"/>
    <s v="24"/>
    <x v="1"/>
    <x v="0"/>
    <x v="8"/>
    <x v="1"/>
    <n v="-11547304.970000001"/>
  </r>
  <r>
    <x v="4"/>
    <x v="0"/>
    <x v="1"/>
    <x v="0"/>
    <x v="1"/>
    <x v="3"/>
    <x v="0"/>
    <x v="0"/>
    <x v="0"/>
    <x v="0"/>
    <x v="0"/>
    <x v="4"/>
    <s v="30"/>
    <x v="3"/>
    <x v="0"/>
    <x v="9"/>
    <x v="7"/>
    <n v="245.26"/>
  </r>
  <r>
    <x v="4"/>
    <x v="0"/>
    <x v="1"/>
    <x v="0"/>
    <x v="1"/>
    <x v="3"/>
    <x v="0"/>
    <x v="0"/>
    <x v="0"/>
    <x v="0"/>
    <x v="0"/>
    <x v="4"/>
    <s v="30"/>
    <x v="3"/>
    <x v="0"/>
    <x v="9"/>
    <x v="5"/>
    <n v="-4937.26"/>
  </r>
  <r>
    <x v="4"/>
    <x v="0"/>
    <x v="1"/>
    <x v="0"/>
    <x v="1"/>
    <x v="3"/>
    <x v="0"/>
    <x v="0"/>
    <x v="0"/>
    <x v="0"/>
    <x v="0"/>
    <x v="4"/>
    <s v="30"/>
    <x v="3"/>
    <x v="0"/>
    <x v="9"/>
    <x v="6"/>
    <n v="4697"/>
  </r>
  <r>
    <x v="4"/>
    <x v="0"/>
    <x v="1"/>
    <x v="0"/>
    <x v="1"/>
    <x v="3"/>
    <x v="0"/>
    <x v="0"/>
    <x v="0"/>
    <x v="0"/>
    <x v="0"/>
    <x v="4"/>
    <s v="30"/>
    <x v="3"/>
    <x v="0"/>
    <x v="9"/>
    <x v="1"/>
    <n v="-5"/>
  </r>
  <r>
    <x v="4"/>
    <x v="0"/>
    <x v="1"/>
    <x v="0"/>
    <x v="1"/>
    <x v="3"/>
    <x v="0"/>
    <x v="0"/>
    <x v="0"/>
    <x v="0"/>
    <x v="0"/>
    <x v="4"/>
    <s v="30"/>
    <x v="3"/>
    <x v="0"/>
    <x v="8"/>
    <x v="5"/>
    <n v="-58"/>
  </r>
  <r>
    <x v="4"/>
    <x v="0"/>
    <x v="1"/>
    <x v="0"/>
    <x v="1"/>
    <x v="3"/>
    <x v="0"/>
    <x v="0"/>
    <x v="0"/>
    <x v="0"/>
    <x v="0"/>
    <x v="4"/>
    <s v="30"/>
    <x v="3"/>
    <x v="0"/>
    <x v="8"/>
    <x v="6"/>
    <n v="58"/>
  </r>
  <r>
    <x v="4"/>
    <x v="0"/>
    <x v="1"/>
    <x v="0"/>
    <x v="1"/>
    <x v="3"/>
    <x v="0"/>
    <x v="0"/>
    <x v="0"/>
    <x v="0"/>
    <x v="0"/>
    <x v="4"/>
    <s v="31"/>
    <x v="8"/>
    <x v="0"/>
    <x v="8"/>
    <x v="3"/>
    <n v="-6.58"/>
  </r>
  <r>
    <x v="4"/>
    <x v="0"/>
    <x v="1"/>
    <x v="0"/>
    <x v="1"/>
    <x v="3"/>
    <x v="0"/>
    <x v="0"/>
    <x v="0"/>
    <x v="0"/>
    <x v="0"/>
    <x v="4"/>
    <s v="31"/>
    <x v="8"/>
    <x v="0"/>
    <x v="8"/>
    <x v="4"/>
    <n v="0.94"/>
  </r>
  <r>
    <x v="4"/>
    <x v="0"/>
    <x v="1"/>
    <x v="0"/>
    <x v="1"/>
    <x v="3"/>
    <x v="0"/>
    <x v="0"/>
    <x v="0"/>
    <x v="0"/>
    <x v="0"/>
    <x v="4"/>
    <s v="31"/>
    <x v="8"/>
    <x v="0"/>
    <x v="8"/>
    <x v="7"/>
    <n v="11.28"/>
  </r>
  <r>
    <x v="4"/>
    <x v="0"/>
    <x v="1"/>
    <x v="0"/>
    <x v="1"/>
    <x v="3"/>
    <x v="0"/>
    <x v="0"/>
    <x v="0"/>
    <x v="0"/>
    <x v="0"/>
    <x v="4"/>
    <s v="31"/>
    <x v="8"/>
    <x v="0"/>
    <x v="8"/>
    <x v="5"/>
    <n v="-5.64"/>
  </r>
  <r>
    <x v="4"/>
    <x v="0"/>
    <x v="1"/>
    <x v="0"/>
    <x v="1"/>
    <x v="3"/>
    <x v="0"/>
    <x v="0"/>
    <x v="0"/>
    <x v="0"/>
    <x v="0"/>
    <x v="4"/>
    <s v="90"/>
    <x v="16"/>
    <x v="0"/>
    <x v="9"/>
    <x v="2"/>
    <n v="-350"/>
  </r>
  <r>
    <x v="4"/>
    <x v="0"/>
    <x v="1"/>
    <x v="0"/>
    <x v="1"/>
    <x v="3"/>
    <x v="0"/>
    <x v="0"/>
    <x v="0"/>
    <x v="0"/>
    <x v="0"/>
    <x v="4"/>
    <s v="90"/>
    <x v="16"/>
    <x v="0"/>
    <x v="9"/>
    <x v="9"/>
    <n v="350"/>
  </r>
  <r>
    <x v="4"/>
    <x v="0"/>
    <x v="1"/>
    <x v="0"/>
    <x v="1"/>
    <x v="3"/>
    <x v="0"/>
    <x v="0"/>
    <x v="0"/>
    <x v="0"/>
    <x v="0"/>
    <x v="4"/>
    <s v="90"/>
    <x v="16"/>
    <x v="0"/>
    <x v="9"/>
    <x v="3"/>
    <n v="0.28999999999999998"/>
  </r>
  <r>
    <x v="4"/>
    <x v="0"/>
    <x v="1"/>
    <x v="0"/>
    <x v="1"/>
    <x v="3"/>
    <x v="0"/>
    <x v="0"/>
    <x v="0"/>
    <x v="0"/>
    <x v="0"/>
    <x v="4"/>
    <s v="90"/>
    <x v="16"/>
    <x v="0"/>
    <x v="9"/>
    <x v="4"/>
    <n v="-0.28999999999999998"/>
  </r>
  <r>
    <x v="4"/>
    <x v="0"/>
    <x v="1"/>
    <x v="0"/>
    <x v="1"/>
    <x v="3"/>
    <x v="0"/>
    <x v="0"/>
    <x v="0"/>
    <x v="0"/>
    <x v="0"/>
    <x v="4"/>
    <s v="90"/>
    <x v="16"/>
    <x v="0"/>
    <x v="8"/>
    <x v="3"/>
    <n v="-48.95"/>
  </r>
  <r>
    <x v="4"/>
    <x v="0"/>
    <x v="1"/>
    <x v="0"/>
    <x v="1"/>
    <x v="3"/>
    <x v="0"/>
    <x v="0"/>
    <x v="0"/>
    <x v="0"/>
    <x v="0"/>
    <x v="4"/>
    <s v="90"/>
    <x v="16"/>
    <x v="0"/>
    <x v="8"/>
    <x v="4"/>
    <n v="-20"/>
  </r>
  <r>
    <x v="4"/>
    <x v="0"/>
    <x v="1"/>
    <x v="0"/>
    <x v="1"/>
    <x v="3"/>
    <x v="0"/>
    <x v="0"/>
    <x v="0"/>
    <x v="0"/>
    <x v="0"/>
    <x v="4"/>
    <s v="90"/>
    <x v="16"/>
    <x v="0"/>
    <x v="8"/>
    <x v="7"/>
    <n v="68.95"/>
  </r>
  <r>
    <x v="4"/>
    <x v="0"/>
    <x v="1"/>
    <x v="0"/>
    <x v="1"/>
    <x v="3"/>
    <x v="0"/>
    <x v="0"/>
    <x v="0"/>
    <x v="0"/>
    <x v="0"/>
    <x v="4"/>
    <s v="99"/>
    <x v="9"/>
    <x v="0"/>
    <x v="9"/>
    <x v="0"/>
    <n v="584.16999999999996"/>
  </r>
  <r>
    <x v="4"/>
    <x v="0"/>
    <x v="1"/>
    <x v="0"/>
    <x v="1"/>
    <x v="3"/>
    <x v="0"/>
    <x v="0"/>
    <x v="0"/>
    <x v="0"/>
    <x v="0"/>
    <x v="4"/>
    <s v="99"/>
    <x v="9"/>
    <x v="0"/>
    <x v="9"/>
    <x v="2"/>
    <n v="500.02"/>
  </r>
  <r>
    <x v="4"/>
    <x v="0"/>
    <x v="1"/>
    <x v="0"/>
    <x v="1"/>
    <x v="3"/>
    <x v="0"/>
    <x v="0"/>
    <x v="0"/>
    <x v="0"/>
    <x v="0"/>
    <x v="4"/>
    <s v="99"/>
    <x v="9"/>
    <x v="0"/>
    <x v="9"/>
    <x v="8"/>
    <n v="-500"/>
  </r>
  <r>
    <x v="4"/>
    <x v="0"/>
    <x v="1"/>
    <x v="0"/>
    <x v="1"/>
    <x v="3"/>
    <x v="0"/>
    <x v="0"/>
    <x v="0"/>
    <x v="0"/>
    <x v="0"/>
    <x v="4"/>
    <s v="99"/>
    <x v="9"/>
    <x v="0"/>
    <x v="9"/>
    <x v="9"/>
    <n v="255"/>
  </r>
  <r>
    <x v="4"/>
    <x v="0"/>
    <x v="1"/>
    <x v="0"/>
    <x v="1"/>
    <x v="3"/>
    <x v="0"/>
    <x v="0"/>
    <x v="0"/>
    <x v="0"/>
    <x v="0"/>
    <x v="4"/>
    <s v="99"/>
    <x v="9"/>
    <x v="0"/>
    <x v="9"/>
    <x v="10"/>
    <n v="5453.92"/>
  </r>
  <r>
    <x v="4"/>
    <x v="0"/>
    <x v="1"/>
    <x v="0"/>
    <x v="1"/>
    <x v="3"/>
    <x v="0"/>
    <x v="0"/>
    <x v="0"/>
    <x v="0"/>
    <x v="0"/>
    <x v="4"/>
    <s v="99"/>
    <x v="9"/>
    <x v="0"/>
    <x v="9"/>
    <x v="11"/>
    <n v="40394.839999999997"/>
  </r>
  <r>
    <x v="4"/>
    <x v="0"/>
    <x v="1"/>
    <x v="0"/>
    <x v="1"/>
    <x v="3"/>
    <x v="0"/>
    <x v="0"/>
    <x v="0"/>
    <x v="0"/>
    <x v="0"/>
    <x v="4"/>
    <s v="99"/>
    <x v="9"/>
    <x v="0"/>
    <x v="9"/>
    <x v="3"/>
    <n v="165"/>
  </r>
  <r>
    <x v="4"/>
    <x v="0"/>
    <x v="1"/>
    <x v="0"/>
    <x v="1"/>
    <x v="3"/>
    <x v="0"/>
    <x v="0"/>
    <x v="0"/>
    <x v="0"/>
    <x v="0"/>
    <x v="4"/>
    <s v="99"/>
    <x v="9"/>
    <x v="0"/>
    <x v="9"/>
    <x v="4"/>
    <n v="-110.06"/>
  </r>
  <r>
    <x v="4"/>
    <x v="0"/>
    <x v="1"/>
    <x v="0"/>
    <x v="1"/>
    <x v="3"/>
    <x v="0"/>
    <x v="0"/>
    <x v="0"/>
    <x v="0"/>
    <x v="0"/>
    <x v="4"/>
    <s v="99"/>
    <x v="9"/>
    <x v="0"/>
    <x v="9"/>
    <x v="7"/>
    <n v="3740.51"/>
  </r>
  <r>
    <x v="4"/>
    <x v="0"/>
    <x v="1"/>
    <x v="0"/>
    <x v="1"/>
    <x v="3"/>
    <x v="0"/>
    <x v="0"/>
    <x v="0"/>
    <x v="0"/>
    <x v="0"/>
    <x v="4"/>
    <s v="99"/>
    <x v="9"/>
    <x v="0"/>
    <x v="9"/>
    <x v="5"/>
    <n v="264"/>
  </r>
  <r>
    <x v="4"/>
    <x v="0"/>
    <x v="1"/>
    <x v="0"/>
    <x v="1"/>
    <x v="3"/>
    <x v="0"/>
    <x v="0"/>
    <x v="0"/>
    <x v="0"/>
    <x v="0"/>
    <x v="4"/>
    <s v="99"/>
    <x v="9"/>
    <x v="0"/>
    <x v="9"/>
    <x v="6"/>
    <n v="2061.34"/>
  </r>
  <r>
    <x v="4"/>
    <x v="0"/>
    <x v="1"/>
    <x v="0"/>
    <x v="1"/>
    <x v="3"/>
    <x v="0"/>
    <x v="0"/>
    <x v="0"/>
    <x v="0"/>
    <x v="0"/>
    <x v="4"/>
    <s v="99"/>
    <x v="9"/>
    <x v="0"/>
    <x v="9"/>
    <x v="1"/>
    <n v="-52808.74"/>
  </r>
  <r>
    <x v="4"/>
    <x v="0"/>
    <x v="1"/>
    <x v="0"/>
    <x v="1"/>
    <x v="3"/>
    <x v="0"/>
    <x v="0"/>
    <x v="0"/>
    <x v="0"/>
    <x v="0"/>
    <x v="4"/>
    <s v="99"/>
    <x v="9"/>
    <x v="0"/>
    <x v="8"/>
    <x v="0"/>
    <n v="-3672983.77"/>
  </r>
  <r>
    <x v="4"/>
    <x v="0"/>
    <x v="1"/>
    <x v="0"/>
    <x v="1"/>
    <x v="3"/>
    <x v="0"/>
    <x v="0"/>
    <x v="0"/>
    <x v="0"/>
    <x v="0"/>
    <x v="4"/>
    <s v="99"/>
    <x v="9"/>
    <x v="0"/>
    <x v="8"/>
    <x v="2"/>
    <n v="7379304.5"/>
  </r>
  <r>
    <x v="4"/>
    <x v="0"/>
    <x v="1"/>
    <x v="0"/>
    <x v="1"/>
    <x v="3"/>
    <x v="0"/>
    <x v="0"/>
    <x v="0"/>
    <x v="0"/>
    <x v="0"/>
    <x v="4"/>
    <s v="99"/>
    <x v="9"/>
    <x v="0"/>
    <x v="8"/>
    <x v="8"/>
    <n v="-3699351.13"/>
  </r>
  <r>
    <x v="4"/>
    <x v="0"/>
    <x v="1"/>
    <x v="0"/>
    <x v="1"/>
    <x v="3"/>
    <x v="0"/>
    <x v="0"/>
    <x v="0"/>
    <x v="0"/>
    <x v="0"/>
    <x v="4"/>
    <s v="99"/>
    <x v="9"/>
    <x v="0"/>
    <x v="8"/>
    <x v="9"/>
    <n v="69.75"/>
  </r>
  <r>
    <x v="4"/>
    <x v="0"/>
    <x v="1"/>
    <x v="0"/>
    <x v="1"/>
    <x v="3"/>
    <x v="0"/>
    <x v="0"/>
    <x v="0"/>
    <x v="0"/>
    <x v="0"/>
    <x v="4"/>
    <s v="99"/>
    <x v="9"/>
    <x v="0"/>
    <x v="8"/>
    <x v="10"/>
    <n v="-9310.76"/>
  </r>
  <r>
    <x v="4"/>
    <x v="0"/>
    <x v="1"/>
    <x v="0"/>
    <x v="1"/>
    <x v="3"/>
    <x v="0"/>
    <x v="0"/>
    <x v="0"/>
    <x v="0"/>
    <x v="0"/>
    <x v="4"/>
    <s v="99"/>
    <x v="9"/>
    <x v="0"/>
    <x v="8"/>
    <x v="11"/>
    <n v="-2010"/>
  </r>
  <r>
    <x v="4"/>
    <x v="0"/>
    <x v="1"/>
    <x v="0"/>
    <x v="1"/>
    <x v="3"/>
    <x v="0"/>
    <x v="0"/>
    <x v="0"/>
    <x v="0"/>
    <x v="0"/>
    <x v="4"/>
    <s v="99"/>
    <x v="9"/>
    <x v="0"/>
    <x v="8"/>
    <x v="3"/>
    <n v="12879.16"/>
  </r>
  <r>
    <x v="4"/>
    <x v="0"/>
    <x v="1"/>
    <x v="0"/>
    <x v="1"/>
    <x v="3"/>
    <x v="0"/>
    <x v="0"/>
    <x v="0"/>
    <x v="0"/>
    <x v="0"/>
    <x v="4"/>
    <s v="99"/>
    <x v="9"/>
    <x v="0"/>
    <x v="8"/>
    <x v="4"/>
    <n v="4421.84"/>
  </r>
  <r>
    <x v="4"/>
    <x v="0"/>
    <x v="1"/>
    <x v="0"/>
    <x v="1"/>
    <x v="3"/>
    <x v="0"/>
    <x v="0"/>
    <x v="0"/>
    <x v="0"/>
    <x v="0"/>
    <x v="4"/>
    <s v="99"/>
    <x v="9"/>
    <x v="0"/>
    <x v="8"/>
    <x v="7"/>
    <n v="-6231"/>
  </r>
  <r>
    <x v="4"/>
    <x v="0"/>
    <x v="1"/>
    <x v="0"/>
    <x v="1"/>
    <x v="3"/>
    <x v="0"/>
    <x v="0"/>
    <x v="0"/>
    <x v="0"/>
    <x v="0"/>
    <x v="4"/>
    <s v="99"/>
    <x v="9"/>
    <x v="0"/>
    <x v="8"/>
    <x v="5"/>
    <n v="692"/>
  </r>
  <r>
    <x v="4"/>
    <x v="0"/>
    <x v="1"/>
    <x v="0"/>
    <x v="1"/>
    <x v="3"/>
    <x v="0"/>
    <x v="0"/>
    <x v="0"/>
    <x v="0"/>
    <x v="0"/>
    <x v="4"/>
    <s v="99"/>
    <x v="9"/>
    <x v="0"/>
    <x v="8"/>
    <x v="6"/>
    <n v="-7173.37"/>
  </r>
  <r>
    <x v="4"/>
    <x v="0"/>
    <x v="1"/>
    <x v="0"/>
    <x v="1"/>
    <x v="3"/>
    <x v="0"/>
    <x v="0"/>
    <x v="0"/>
    <x v="0"/>
    <x v="0"/>
    <x v="4"/>
    <s v="99"/>
    <x v="9"/>
    <x v="0"/>
    <x v="8"/>
    <x v="1"/>
    <n v="-307.22000000000003"/>
  </r>
  <r>
    <x v="4"/>
    <x v="0"/>
    <x v="1"/>
    <x v="0"/>
    <x v="1"/>
    <x v="3"/>
    <x v="0"/>
    <x v="0"/>
    <x v="0"/>
    <x v="0"/>
    <x v="4"/>
    <x v="5"/>
    <s v="21"/>
    <x v="27"/>
    <x v="0"/>
    <x v="9"/>
    <x v="0"/>
    <n v="1227.72"/>
  </r>
  <r>
    <x v="4"/>
    <x v="0"/>
    <x v="1"/>
    <x v="0"/>
    <x v="1"/>
    <x v="3"/>
    <x v="0"/>
    <x v="0"/>
    <x v="0"/>
    <x v="0"/>
    <x v="4"/>
    <x v="5"/>
    <s v="21"/>
    <x v="27"/>
    <x v="0"/>
    <x v="9"/>
    <x v="8"/>
    <n v="-1227.72"/>
  </r>
  <r>
    <x v="4"/>
    <x v="0"/>
    <x v="1"/>
    <x v="0"/>
    <x v="1"/>
    <x v="3"/>
    <x v="0"/>
    <x v="0"/>
    <x v="0"/>
    <x v="0"/>
    <x v="4"/>
    <x v="5"/>
    <s v="21"/>
    <x v="27"/>
    <x v="0"/>
    <x v="9"/>
    <x v="6"/>
    <n v="10"/>
  </r>
  <r>
    <x v="4"/>
    <x v="0"/>
    <x v="1"/>
    <x v="0"/>
    <x v="1"/>
    <x v="3"/>
    <x v="0"/>
    <x v="0"/>
    <x v="0"/>
    <x v="0"/>
    <x v="4"/>
    <x v="5"/>
    <s v="21"/>
    <x v="27"/>
    <x v="0"/>
    <x v="9"/>
    <x v="1"/>
    <n v="-10"/>
  </r>
  <r>
    <x v="4"/>
    <x v="0"/>
    <x v="1"/>
    <x v="0"/>
    <x v="1"/>
    <x v="3"/>
    <x v="0"/>
    <x v="0"/>
    <x v="0"/>
    <x v="0"/>
    <x v="4"/>
    <x v="5"/>
    <s v="21"/>
    <x v="27"/>
    <x v="0"/>
    <x v="8"/>
    <x v="2"/>
    <n v="195000"/>
  </r>
  <r>
    <x v="4"/>
    <x v="0"/>
    <x v="1"/>
    <x v="0"/>
    <x v="1"/>
    <x v="3"/>
    <x v="0"/>
    <x v="0"/>
    <x v="0"/>
    <x v="0"/>
    <x v="4"/>
    <x v="5"/>
    <s v="21"/>
    <x v="27"/>
    <x v="0"/>
    <x v="8"/>
    <x v="8"/>
    <n v="-194787.09"/>
  </r>
  <r>
    <x v="4"/>
    <x v="0"/>
    <x v="1"/>
    <x v="0"/>
    <x v="1"/>
    <x v="3"/>
    <x v="0"/>
    <x v="0"/>
    <x v="0"/>
    <x v="0"/>
    <x v="4"/>
    <x v="5"/>
    <s v="21"/>
    <x v="27"/>
    <x v="0"/>
    <x v="8"/>
    <x v="9"/>
    <n v="-212.91"/>
  </r>
  <r>
    <x v="4"/>
    <x v="0"/>
    <x v="1"/>
    <x v="0"/>
    <x v="1"/>
    <x v="3"/>
    <x v="0"/>
    <x v="0"/>
    <x v="0"/>
    <x v="0"/>
    <x v="4"/>
    <x v="5"/>
    <s v="22"/>
    <x v="25"/>
    <x v="0"/>
    <x v="9"/>
    <x v="6"/>
    <n v="-6226.08"/>
  </r>
  <r>
    <x v="4"/>
    <x v="0"/>
    <x v="1"/>
    <x v="0"/>
    <x v="1"/>
    <x v="3"/>
    <x v="0"/>
    <x v="0"/>
    <x v="0"/>
    <x v="0"/>
    <x v="4"/>
    <x v="5"/>
    <s v="22"/>
    <x v="25"/>
    <x v="0"/>
    <x v="9"/>
    <x v="1"/>
    <n v="6226.08"/>
  </r>
  <r>
    <x v="4"/>
    <x v="0"/>
    <x v="1"/>
    <x v="0"/>
    <x v="1"/>
    <x v="3"/>
    <x v="0"/>
    <x v="0"/>
    <x v="0"/>
    <x v="0"/>
    <x v="4"/>
    <x v="5"/>
    <s v="22"/>
    <x v="25"/>
    <x v="0"/>
    <x v="8"/>
    <x v="10"/>
    <n v="-242503"/>
  </r>
  <r>
    <x v="4"/>
    <x v="0"/>
    <x v="1"/>
    <x v="0"/>
    <x v="1"/>
    <x v="3"/>
    <x v="0"/>
    <x v="0"/>
    <x v="0"/>
    <x v="0"/>
    <x v="4"/>
    <x v="5"/>
    <s v="22"/>
    <x v="25"/>
    <x v="0"/>
    <x v="8"/>
    <x v="11"/>
    <n v="242503"/>
  </r>
  <r>
    <x v="4"/>
    <x v="0"/>
    <x v="1"/>
    <x v="0"/>
    <x v="1"/>
    <x v="3"/>
    <x v="0"/>
    <x v="0"/>
    <x v="0"/>
    <x v="0"/>
    <x v="5"/>
    <x v="6"/>
    <s v="20"/>
    <x v="29"/>
    <x v="0"/>
    <x v="9"/>
    <x v="0"/>
    <n v="-189"/>
  </r>
  <r>
    <x v="4"/>
    <x v="0"/>
    <x v="1"/>
    <x v="0"/>
    <x v="1"/>
    <x v="3"/>
    <x v="0"/>
    <x v="0"/>
    <x v="0"/>
    <x v="0"/>
    <x v="5"/>
    <x v="6"/>
    <s v="20"/>
    <x v="29"/>
    <x v="0"/>
    <x v="9"/>
    <x v="8"/>
    <n v="547.74"/>
  </r>
  <r>
    <x v="4"/>
    <x v="0"/>
    <x v="1"/>
    <x v="0"/>
    <x v="1"/>
    <x v="3"/>
    <x v="0"/>
    <x v="0"/>
    <x v="0"/>
    <x v="0"/>
    <x v="5"/>
    <x v="6"/>
    <s v="20"/>
    <x v="29"/>
    <x v="0"/>
    <x v="9"/>
    <x v="9"/>
    <n v="-547.74"/>
  </r>
  <r>
    <x v="4"/>
    <x v="0"/>
    <x v="1"/>
    <x v="0"/>
    <x v="1"/>
    <x v="3"/>
    <x v="0"/>
    <x v="0"/>
    <x v="0"/>
    <x v="0"/>
    <x v="5"/>
    <x v="6"/>
    <s v="20"/>
    <x v="29"/>
    <x v="0"/>
    <x v="9"/>
    <x v="3"/>
    <n v="1758.12"/>
  </r>
  <r>
    <x v="4"/>
    <x v="0"/>
    <x v="1"/>
    <x v="0"/>
    <x v="1"/>
    <x v="3"/>
    <x v="0"/>
    <x v="0"/>
    <x v="0"/>
    <x v="0"/>
    <x v="5"/>
    <x v="6"/>
    <s v="20"/>
    <x v="29"/>
    <x v="0"/>
    <x v="9"/>
    <x v="7"/>
    <n v="-1758.12"/>
  </r>
  <r>
    <x v="4"/>
    <x v="0"/>
    <x v="1"/>
    <x v="0"/>
    <x v="1"/>
    <x v="3"/>
    <x v="0"/>
    <x v="0"/>
    <x v="0"/>
    <x v="0"/>
    <x v="5"/>
    <x v="6"/>
    <s v="20"/>
    <x v="29"/>
    <x v="0"/>
    <x v="9"/>
    <x v="1"/>
    <n v="189"/>
  </r>
  <r>
    <x v="4"/>
    <x v="0"/>
    <x v="1"/>
    <x v="0"/>
    <x v="1"/>
    <x v="3"/>
    <x v="0"/>
    <x v="0"/>
    <x v="0"/>
    <x v="0"/>
    <x v="5"/>
    <x v="6"/>
    <s v="20"/>
    <x v="29"/>
    <x v="0"/>
    <x v="8"/>
    <x v="0"/>
    <n v="-135"/>
  </r>
  <r>
    <x v="4"/>
    <x v="0"/>
    <x v="1"/>
    <x v="0"/>
    <x v="1"/>
    <x v="3"/>
    <x v="0"/>
    <x v="0"/>
    <x v="0"/>
    <x v="0"/>
    <x v="5"/>
    <x v="6"/>
    <s v="20"/>
    <x v="29"/>
    <x v="0"/>
    <x v="8"/>
    <x v="8"/>
    <n v="135"/>
  </r>
  <r>
    <x v="4"/>
    <x v="0"/>
    <x v="1"/>
    <x v="0"/>
    <x v="1"/>
    <x v="3"/>
    <x v="0"/>
    <x v="0"/>
    <x v="0"/>
    <x v="0"/>
    <x v="5"/>
    <x v="6"/>
    <s v="40"/>
    <x v="26"/>
    <x v="0"/>
    <x v="9"/>
    <x v="0"/>
    <n v="-915.5"/>
  </r>
  <r>
    <x v="4"/>
    <x v="0"/>
    <x v="1"/>
    <x v="0"/>
    <x v="1"/>
    <x v="3"/>
    <x v="0"/>
    <x v="0"/>
    <x v="0"/>
    <x v="0"/>
    <x v="5"/>
    <x v="6"/>
    <s v="40"/>
    <x v="26"/>
    <x v="0"/>
    <x v="9"/>
    <x v="2"/>
    <n v="2698"/>
  </r>
  <r>
    <x v="4"/>
    <x v="0"/>
    <x v="1"/>
    <x v="0"/>
    <x v="1"/>
    <x v="3"/>
    <x v="0"/>
    <x v="0"/>
    <x v="0"/>
    <x v="0"/>
    <x v="5"/>
    <x v="6"/>
    <s v="40"/>
    <x v="26"/>
    <x v="0"/>
    <x v="9"/>
    <x v="8"/>
    <n v="-333.3"/>
  </r>
  <r>
    <x v="4"/>
    <x v="0"/>
    <x v="1"/>
    <x v="0"/>
    <x v="1"/>
    <x v="3"/>
    <x v="0"/>
    <x v="0"/>
    <x v="0"/>
    <x v="0"/>
    <x v="5"/>
    <x v="6"/>
    <s v="40"/>
    <x v="26"/>
    <x v="0"/>
    <x v="9"/>
    <x v="9"/>
    <n v="-986.76"/>
  </r>
  <r>
    <x v="4"/>
    <x v="0"/>
    <x v="1"/>
    <x v="0"/>
    <x v="1"/>
    <x v="3"/>
    <x v="0"/>
    <x v="0"/>
    <x v="0"/>
    <x v="0"/>
    <x v="5"/>
    <x v="6"/>
    <s v="40"/>
    <x v="26"/>
    <x v="0"/>
    <x v="9"/>
    <x v="10"/>
    <n v="221.46"/>
  </r>
  <r>
    <x v="4"/>
    <x v="0"/>
    <x v="1"/>
    <x v="0"/>
    <x v="1"/>
    <x v="3"/>
    <x v="0"/>
    <x v="0"/>
    <x v="0"/>
    <x v="0"/>
    <x v="5"/>
    <x v="6"/>
    <s v="40"/>
    <x v="26"/>
    <x v="0"/>
    <x v="9"/>
    <x v="11"/>
    <n v="-2686.15"/>
  </r>
  <r>
    <x v="4"/>
    <x v="0"/>
    <x v="1"/>
    <x v="0"/>
    <x v="1"/>
    <x v="3"/>
    <x v="0"/>
    <x v="0"/>
    <x v="0"/>
    <x v="0"/>
    <x v="5"/>
    <x v="6"/>
    <s v="40"/>
    <x v="26"/>
    <x v="0"/>
    <x v="9"/>
    <x v="3"/>
    <n v="-1732.3"/>
  </r>
  <r>
    <x v="4"/>
    <x v="0"/>
    <x v="1"/>
    <x v="0"/>
    <x v="1"/>
    <x v="3"/>
    <x v="0"/>
    <x v="0"/>
    <x v="0"/>
    <x v="0"/>
    <x v="5"/>
    <x v="6"/>
    <s v="40"/>
    <x v="26"/>
    <x v="0"/>
    <x v="9"/>
    <x v="4"/>
    <n v="4165.2"/>
  </r>
  <r>
    <x v="4"/>
    <x v="0"/>
    <x v="1"/>
    <x v="0"/>
    <x v="1"/>
    <x v="3"/>
    <x v="0"/>
    <x v="0"/>
    <x v="0"/>
    <x v="0"/>
    <x v="5"/>
    <x v="6"/>
    <s v="40"/>
    <x v="26"/>
    <x v="0"/>
    <x v="9"/>
    <x v="7"/>
    <n v="-98"/>
  </r>
  <r>
    <x v="4"/>
    <x v="0"/>
    <x v="1"/>
    <x v="0"/>
    <x v="1"/>
    <x v="3"/>
    <x v="0"/>
    <x v="0"/>
    <x v="0"/>
    <x v="0"/>
    <x v="5"/>
    <x v="6"/>
    <s v="40"/>
    <x v="26"/>
    <x v="0"/>
    <x v="9"/>
    <x v="5"/>
    <n v="117"/>
  </r>
  <r>
    <x v="4"/>
    <x v="0"/>
    <x v="1"/>
    <x v="0"/>
    <x v="1"/>
    <x v="3"/>
    <x v="0"/>
    <x v="0"/>
    <x v="0"/>
    <x v="0"/>
    <x v="5"/>
    <x v="6"/>
    <s v="40"/>
    <x v="26"/>
    <x v="0"/>
    <x v="9"/>
    <x v="1"/>
    <n v="-449.65"/>
  </r>
  <r>
    <x v="4"/>
    <x v="0"/>
    <x v="1"/>
    <x v="0"/>
    <x v="1"/>
    <x v="3"/>
    <x v="0"/>
    <x v="0"/>
    <x v="0"/>
    <x v="0"/>
    <x v="5"/>
    <x v="6"/>
    <s v="40"/>
    <x v="26"/>
    <x v="0"/>
    <x v="8"/>
    <x v="0"/>
    <n v="838.5"/>
  </r>
  <r>
    <x v="4"/>
    <x v="0"/>
    <x v="1"/>
    <x v="0"/>
    <x v="1"/>
    <x v="3"/>
    <x v="0"/>
    <x v="0"/>
    <x v="0"/>
    <x v="0"/>
    <x v="5"/>
    <x v="6"/>
    <s v="40"/>
    <x v="26"/>
    <x v="0"/>
    <x v="8"/>
    <x v="2"/>
    <n v="30"/>
  </r>
  <r>
    <x v="4"/>
    <x v="0"/>
    <x v="1"/>
    <x v="0"/>
    <x v="1"/>
    <x v="3"/>
    <x v="0"/>
    <x v="0"/>
    <x v="0"/>
    <x v="0"/>
    <x v="5"/>
    <x v="6"/>
    <s v="40"/>
    <x v="26"/>
    <x v="0"/>
    <x v="8"/>
    <x v="9"/>
    <n v="-1474.83"/>
  </r>
  <r>
    <x v="4"/>
    <x v="0"/>
    <x v="1"/>
    <x v="0"/>
    <x v="1"/>
    <x v="3"/>
    <x v="0"/>
    <x v="0"/>
    <x v="0"/>
    <x v="0"/>
    <x v="5"/>
    <x v="6"/>
    <s v="40"/>
    <x v="26"/>
    <x v="0"/>
    <x v="8"/>
    <x v="10"/>
    <n v="513.63"/>
  </r>
  <r>
    <x v="4"/>
    <x v="0"/>
    <x v="1"/>
    <x v="0"/>
    <x v="1"/>
    <x v="3"/>
    <x v="0"/>
    <x v="0"/>
    <x v="0"/>
    <x v="0"/>
    <x v="5"/>
    <x v="6"/>
    <s v="40"/>
    <x v="26"/>
    <x v="0"/>
    <x v="8"/>
    <x v="11"/>
    <n v="-3023.67"/>
  </r>
  <r>
    <x v="4"/>
    <x v="0"/>
    <x v="1"/>
    <x v="0"/>
    <x v="1"/>
    <x v="3"/>
    <x v="0"/>
    <x v="0"/>
    <x v="0"/>
    <x v="0"/>
    <x v="5"/>
    <x v="6"/>
    <s v="40"/>
    <x v="26"/>
    <x v="0"/>
    <x v="8"/>
    <x v="3"/>
    <n v="1999.25"/>
  </r>
  <r>
    <x v="4"/>
    <x v="0"/>
    <x v="1"/>
    <x v="0"/>
    <x v="1"/>
    <x v="3"/>
    <x v="0"/>
    <x v="0"/>
    <x v="0"/>
    <x v="0"/>
    <x v="5"/>
    <x v="6"/>
    <s v="40"/>
    <x v="26"/>
    <x v="0"/>
    <x v="8"/>
    <x v="4"/>
    <n v="-401.43"/>
  </r>
  <r>
    <x v="4"/>
    <x v="0"/>
    <x v="1"/>
    <x v="0"/>
    <x v="1"/>
    <x v="3"/>
    <x v="0"/>
    <x v="0"/>
    <x v="0"/>
    <x v="0"/>
    <x v="5"/>
    <x v="6"/>
    <s v="40"/>
    <x v="26"/>
    <x v="0"/>
    <x v="8"/>
    <x v="7"/>
    <n v="1518.55"/>
  </r>
  <r>
    <x v="5"/>
    <x v="0"/>
    <x v="0"/>
    <x v="0"/>
    <x v="1"/>
    <x v="0"/>
    <x v="0"/>
    <x v="0"/>
    <x v="0"/>
    <x v="0"/>
    <x v="0"/>
    <x v="4"/>
    <s v="02"/>
    <x v="5"/>
    <x v="0"/>
    <x v="10"/>
    <x v="0"/>
    <n v="110.78"/>
  </r>
  <r>
    <x v="5"/>
    <x v="0"/>
    <x v="0"/>
    <x v="0"/>
    <x v="1"/>
    <x v="0"/>
    <x v="0"/>
    <x v="0"/>
    <x v="0"/>
    <x v="0"/>
    <x v="0"/>
    <x v="4"/>
    <s v="09"/>
    <x v="0"/>
    <x v="0"/>
    <x v="10"/>
    <x v="0"/>
    <n v="-28743.95"/>
  </r>
  <r>
    <x v="5"/>
    <x v="0"/>
    <x v="0"/>
    <x v="0"/>
    <x v="1"/>
    <x v="0"/>
    <x v="0"/>
    <x v="0"/>
    <x v="0"/>
    <x v="0"/>
    <x v="0"/>
    <x v="4"/>
    <s v="09"/>
    <x v="0"/>
    <x v="0"/>
    <x v="10"/>
    <x v="1"/>
    <n v="36230.910000000003"/>
  </r>
  <r>
    <x v="5"/>
    <x v="0"/>
    <x v="0"/>
    <x v="0"/>
    <x v="1"/>
    <x v="0"/>
    <x v="0"/>
    <x v="0"/>
    <x v="0"/>
    <x v="0"/>
    <x v="0"/>
    <x v="4"/>
    <s v="09"/>
    <x v="0"/>
    <x v="0"/>
    <x v="11"/>
    <x v="0"/>
    <n v="-36230.910000000003"/>
  </r>
  <r>
    <x v="5"/>
    <x v="0"/>
    <x v="0"/>
    <x v="0"/>
    <x v="1"/>
    <x v="0"/>
    <x v="0"/>
    <x v="0"/>
    <x v="0"/>
    <x v="0"/>
    <x v="0"/>
    <x v="4"/>
    <s v="09"/>
    <x v="0"/>
    <x v="0"/>
    <x v="11"/>
    <x v="2"/>
    <n v="-32599.78"/>
  </r>
  <r>
    <x v="5"/>
    <x v="0"/>
    <x v="0"/>
    <x v="0"/>
    <x v="1"/>
    <x v="0"/>
    <x v="0"/>
    <x v="0"/>
    <x v="0"/>
    <x v="0"/>
    <x v="0"/>
    <x v="4"/>
    <s v="09"/>
    <x v="0"/>
    <x v="0"/>
    <x v="11"/>
    <x v="3"/>
    <n v="32599.78"/>
  </r>
  <r>
    <x v="5"/>
    <x v="0"/>
    <x v="0"/>
    <x v="0"/>
    <x v="1"/>
    <x v="0"/>
    <x v="0"/>
    <x v="0"/>
    <x v="0"/>
    <x v="0"/>
    <x v="0"/>
    <x v="4"/>
    <s v="09"/>
    <x v="0"/>
    <x v="0"/>
    <x v="11"/>
    <x v="1"/>
    <n v="4975.01"/>
  </r>
  <r>
    <x v="5"/>
    <x v="0"/>
    <x v="0"/>
    <x v="0"/>
    <x v="1"/>
    <x v="0"/>
    <x v="0"/>
    <x v="0"/>
    <x v="0"/>
    <x v="0"/>
    <x v="0"/>
    <x v="4"/>
    <s v="20"/>
    <x v="7"/>
    <x v="0"/>
    <x v="10"/>
    <x v="0"/>
    <n v="5462"/>
  </r>
  <r>
    <x v="5"/>
    <x v="0"/>
    <x v="0"/>
    <x v="0"/>
    <x v="1"/>
    <x v="0"/>
    <x v="0"/>
    <x v="0"/>
    <x v="0"/>
    <x v="0"/>
    <x v="0"/>
    <x v="4"/>
    <s v="20"/>
    <x v="7"/>
    <x v="0"/>
    <x v="10"/>
    <x v="1"/>
    <n v="-146.07"/>
  </r>
  <r>
    <x v="5"/>
    <x v="0"/>
    <x v="0"/>
    <x v="0"/>
    <x v="1"/>
    <x v="0"/>
    <x v="0"/>
    <x v="0"/>
    <x v="0"/>
    <x v="0"/>
    <x v="0"/>
    <x v="4"/>
    <s v="20"/>
    <x v="7"/>
    <x v="0"/>
    <x v="11"/>
    <x v="0"/>
    <n v="146.07"/>
  </r>
  <r>
    <x v="5"/>
    <x v="0"/>
    <x v="0"/>
    <x v="0"/>
    <x v="1"/>
    <x v="0"/>
    <x v="0"/>
    <x v="0"/>
    <x v="0"/>
    <x v="0"/>
    <x v="0"/>
    <x v="4"/>
    <s v="20"/>
    <x v="7"/>
    <x v="0"/>
    <x v="11"/>
    <x v="1"/>
    <n v="-765.87"/>
  </r>
  <r>
    <x v="5"/>
    <x v="0"/>
    <x v="0"/>
    <x v="0"/>
    <x v="1"/>
    <x v="0"/>
    <x v="0"/>
    <x v="0"/>
    <x v="0"/>
    <x v="0"/>
    <x v="0"/>
    <x v="4"/>
    <s v="24"/>
    <x v="1"/>
    <x v="0"/>
    <x v="10"/>
    <x v="0"/>
    <n v="-1036895.37"/>
  </r>
  <r>
    <x v="5"/>
    <x v="0"/>
    <x v="0"/>
    <x v="0"/>
    <x v="1"/>
    <x v="0"/>
    <x v="0"/>
    <x v="0"/>
    <x v="0"/>
    <x v="0"/>
    <x v="0"/>
    <x v="4"/>
    <s v="24"/>
    <x v="1"/>
    <x v="0"/>
    <x v="10"/>
    <x v="1"/>
    <n v="11123.86"/>
  </r>
  <r>
    <x v="5"/>
    <x v="0"/>
    <x v="0"/>
    <x v="0"/>
    <x v="1"/>
    <x v="0"/>
    <x v="0"/>
    <x v="0"/>
    <x v="0"/>
    <x v="0"/>
    <x v="0"/>
    <x v="4"/>
    <s v="24"/>
    <x v="1"/>
    <x v="0"/>
    <x v="11"/>
    <x v="0"/>
    <n v="-1024800.86"/>
  </r>
  <r>
    <x v="5"/>
    <x v="0"/>
    <x v="0"/>
    <x v="0"/>
    <x v="1"/>
    <x v="0"/>
    <x v="0"/>
    <x v="0"/>
    <x v="0"/>
    <x v="0"/>
    <x v="0"/>
    <x v="4"/>
    <s v="24"/>
    <x v="1"/>
    <x v="0"/>
    <x v="11"/>
    <x v="1"/>
    <n v="1050327.1499999999"/>
  </r>
  <r>
    <x v="5"/>
    <x v="0"/>
    <x v="0"/>
    <x v="0"/>
    <x v="1"/>
    <x v="0"/>
    <x v="0"/>
    <x v="0"/>
    <x v="0"/>
    <x v="0"/>
    <x v="0"/>
    <x v="4"/>
    <s v="73"/>
    <x v="37"/>
    <x v="0"/>
    <x v="10"/>
    <x v="0"/>
    <n v="6287.15"/>
  </r>
  <r>
    <x v="5"/>
    <x v="0"/>
    <x v="0"/>
    <x v="0"/>
    <x v="1"/>
    <x v="0"/>
    <x v="0"/>
    <x v="0"/>
    <x v="0"/>
    <x v="0"/>
    <x v="0"/>
    <x v="4"/>
    <s v="73"/>
    <x v="37"/>
    <x v="0"/>
    <x v="10"/>
    <x v="1"/>
    <n v="-4961.33"/>
  </r>
  <r>
    <x v="5"/>
    <x v="0"/>
    <x v="0"/>
    <x v="0"/>
    <x v="1"/>
    <x v="0"/>
    <x v="0"/>
    <x v="0"/>
    <x v="0"/>
    <x v="0"/>
    <x v="0"/>
    <x v="4"/>
    <s v="73"/>
    <x v="37"/>
    <x v="0"/>
    <x v="11"/>
    <x v="0"/>
    <n v="4961.33"/>
  </r>
  <r>
    <x v="5"/>
    <x v="0"/>
    <x v="0"/>
    <x v="0"/>
    <x v="1"/>
    <x v="0"/>
    <x v="0"/>
    <x v="0"/>
    <x v="0"/>
    <x v="0"/>
    <x v="0"/>
    <x v="4"/>
    <s v="73"/>
    <x v="37"/>
    <x v="0"/>
    <x v="11"/>
    <x v="1"/>
    <n v="-4496.8500000000004"/>
  </r>
  <r>
    <x v="5"/>
    <x v="0"/>
    <x v="0"/>
    <x v="0"/>
    <x v="1"/>
    <x v="0"/>
    <x v="0"/>
    <x v="0"/>
    <x v="0"/>
    <x v="0"/>
    <x v="0"/>
    <x v="4"/>
    <s v="99"/>
    <x v="9"/>
    <x v="0"/>
    <x v="11"/>
    <x v="1"/>
    <n v="-18117.45"/>
  </r>
  <r>
    <x v="5"/>
    <x v="0"/>
    <x v="0"/>
    <x v="0"/>
    <x v="1"/>
    <x v="0"/>
    <x v="0"/>
    <x v="0"/>
    <x v="0"/>
    <x v="0"/>
    <x v="4"/>
    <x v="5"/>
    <s v="22"/>
    <x v="25"/>
    <x v="0"/>
    <x v="10"/>
    <x v="0"/>
    <n v="49085.47"/>
  </r>
  <r>
    <x v="5"/>
    <x v="0"/>
    <x v="0"/>
    <x v="0"/>
    <x v="1"/>
    <x v="0"/>
    <x v="0"/>
    <x v="0"/>
    <x v="0"/>
    <x v="0"/>
    <x v="4"/>
    <x v="5"/>
    <s v="22"/>
    <x v="25"/>
    <x v="0"/>
    <x v="11"/>
    <x v="1"/>
    <n v="-30"/>
  </r>
  <r>
    <x v="5"/>
    <x v="0"/>
    <x v="0"/>
    <x v="0"/>
    <x v="1"/>
    <x v="6"/>
    <x v="0"/>
    <x v="0"/>
    <x v="0"/>
    <x v="1"/>
    <x v="1"/>
    <x v="8"/>
    <s v="41"/>
    <x v="4"/>
    <x v="0"/>
    <x v="10"/>
    <x v="1"/>
    <n v="-4014.9"/>
  </r>
  <r>
    <x v="5"/>
    <x v="0"/>
    <x v="0"/>
    <x v="0"/>
    <x v="1"/>
    <x v="6"/>
    <x v="0"/>
    <x v="0"/>
    <x v="0"/>
    <x v="0"/>
    <x v="0"/>
    <x v="4"/>
    <s v="20"/>
    <x v="7"/>
    <x v="0"/>
    <x v="10"/>
    <x v="1"/>
    <n v="-750"/>
  </r>
  <r>
    <x v="5"/>
    <x v="0"/>
    <x v="0"/>
    <x v="0"/>
    <x v="1"/>
    <x v="6"/>
    <x v="0"/>
    <x v="0"/>
    <x v="0"/>
    <x v="0"/>
    <x v="0"/>
    <x v="4"/>
    <s v="24"/>
    <x v="1"/>
    <x v="0"/>
    <x v="10"/>
    <x v="1"/>
    <n v="4014.9"/>
  </r>
  <r>
    <x v="5"/>
    <x v="0"/>
    <x v="0"/>
    <x v="0"/>
    <x v="1"/>
    <x v="2"/>
    <x v="0"/>
    <x v="0"/>
    <x v="0"/>
    <x v="0"/>
    <x v="0"/>
    <x v="4"/>
    <s v="99"/>
    <x v="9"/>
    <x v="0"/>
    <x v="11"/>
    <x v="1"/>
    <n v="49000"/>
  </r>
  <r>
    <x v="5"/>
    <x v="0"/>
    <x v="0"/>
    <x v="0"/>
    <x v="1"/>
    <x v="3"/>
    <x v="0"/>
    <x v="0"/>
    <x v="0"/>
    <x v="1"/>
    <x v="1"/>
    <x v="8"/>
    <s v="41"/>
    <x v="4"/>
    <x v="0"/>
    <x v="10"/>
    <x v="6"/>
    <n v="902.85"/>
  </r>
  <r>
    <x v="5"/>
    <x v="0"/>
    <x v="0"/>
    <x v="0"/>
    <x v="1"/>
    <x v="3"/>
    <x v="0"/>
    <x v="0"/>
    <x v="0"/>
    <x v="1"/>
    <x v="1"/>
    <x v="8"/>
    <s v="41"/>
    <x v="4"/>
    <x v="0"/>
    <x v="10"/>
    <x v="1"/>
    <n v="-902.85"/>
  </r>
  <r>
    <x v="5"/>
    <x v="0"/>
    <x v="0"/>
    <x v="0"/>
    <x v="1"/>
    <x v="3"/>
    <x v="0"/>
    <x v="0"/>
    <x v="0"/>
    <x v="1"/>
    <x v="1"/>
    <x v="8"/>
    <s v="41"/>
    <x v="4"/>
    <x v="0"/>
    <x v="11"/>
    <x v="0"/>
    <n v="693.49"/>
  </r>
  <r>
    <x v="5"/>
    <x v="0"/>
    <x v="0"/>
    <x v="0"/>
    <x v="1"/>
    <x v="3"/>
    <x v="0"/>
    <x v="0"/>
    <x v="0"/>
    <x v="1"/>
    <x v="1"/>
    <x v="8"/>
    <s v="41"/>
    <x v="4"/>
    <x v="0"/>
    <x v="11"/>
    <x v="8"/>
    <n v="7283.92"/>
  </r>
  <r>
    <x v="5"/>
    <x v="0"/>
    <x v="0"/>
    <x v="0"/>
    <x v="1"/>
    <x v="3"/>
    <x v="0"/>
    <x v="0"/>
    <x v="0"/>
    <x v="1"/>
    <x v="1"/>
    <x v="8"/>
    <s v="41"/>
    <x v="4"/>
    <x v="0"/>
    <x v="11"/>
    <x v="9"/>
    <n v="3976.32"/>
  </r>
  <r>
    <x v="5"/>
    <x v="0"/>
    <x v="0"/>
    <x v="0"/>
    <x v="1"/>
    <x v="3"/>
    <x v="0"/>
    <x v="0"/>
    <x v="0"/>
    <x v="1"/>
    <x v="1"/>
    <x v="8"/>
    <s v="41"/>
    <x v="4"/>
    <x v="0"/>
    <x v="11"/>
    <x v="10"/>
    <n v="-11260.24"/>
  </r>
  <r>
    <x v="5"/>
    <x v="0"/>
    <x v="0"/>
    <x v="0"/>
    <x v="1"/>
    <x v="3"/>
    <x v="0"/>
    <x v="0"/>
    <x v="0"/>
    <x v="1"/>
    <x v="1"/>
    <x v="8"/>
    <s v="41"/>
    <x v="4"/>
    <x v="0"/>
    <x v="11"/>
    <x v="1"/>
    <n v="-693.49"/>
  </r>
  <r>
    <x v="5"/>
    <x v="0"/>
    <x v="0"/>
    <x v="0"/>
    <x v="1"/>
    <x v="3"/>
    <x v="0"/>
    <x v="0"/>
    <x v="0"/>
    <x v="0"/>
    <x v="0"/>
    <x v="4"/>
    <s v="01"/>
    <x v="42"/>
    <x v="0"/>
    <x v="10"/>
    <x v="0"/>
    <n v="3484.17"/>
  </r>
  <r>
    <x v="5"/>
    <x v="0"/>
    <x v="0"/>
    <x v="0"/>
    <x v="1"/>
    <x v="3"/>
    <x v="0"/>
    <x v="0"/>
    <x v="0"/>
    <x v="0"/>
    <x v="0"/>
    <x v="4"/>
    <s v="01"/>
    <x v="42"/>
    <x v="0"/>
    <x v="10"/>
    <x v="2"/>
    <n v="-7694.14"/>
  </r>
  <r>
    <x v="5"/>
    <x v="0"/>
    <x v="0"/>
    <x v="0"/>
    <x v="1"/>
    <x v="3"/>
    <x v="0"/>
    <x v="0"/>
    <x v="0"/>
    <x v="0"/>
    <x v="0"/>
    <x v="4"/>
    <s v="01"/>
    <x v="42"/>
    <x v="0"/>
    <x v="10"/>
    <x v="8"/>
    <n v="-2296.11"/>
  </r>
  <r>
    <x v="5"/>
    <x v="0"/>
    <x v="0"/>
    <x v="0"/>
    <x v="1"/>
    <x v="3"/>
    <x v="0"/>
    <x v="0"/>
    <x v="0"/>
    <x v="0"/>
    <x v="0"/>
    <x v="4"/>
    <s v="01"/>
    <x v="42"/>
    <x v="0"/>
    <x v="10"/>
    <x v="9"/>
    <n v="-2416.17"/>
  </r>
  <r>
    <x v="5"/>
    <x v="0"/>
    <x v="0"/>
    <x v="0"/>
    <x v="1"/>
    <x v="3"/>
    <x v="0"/>
    <x v="0"/>
    <x v="0"/>
    <x v="0"/>
    <x v="0"/>
    <x v="4"/>
    <s v="01"/>
    <x v="42"/>
    <x v="0"/>
    <x v="10"/>
    <x v="10"/>
    <n v="8346.5300000000007"/>
  </r>
  <r>
    <x v="5"/>
    <x v="0"/>
    <x v="0"/>
    <x v="0"/>
    <x v="1"/>
    <x v="3"/>
    <x v="0"/>
    <x v="0"/>
    <x v="0"/>
    <x v="0"/>
    <x v="0"/>
    <x v="4"/>
    <s v="01"/>
    <x v="42"/>
    <x v="0"/>
    <x v="10"/>
    <x v="11"/>
    <n v="-4829.7"/>
  </r>
  <r>
    <x v="5"/>
    <x v="0"/>
    <x v="0"/>
    <x v="0"/>
    <x v="1"/>
    <x v="3"/>
    <x v="0"/>
    <x v="0"/>
    <x v="0"/>
    <x v="0"/>
    <x v="0"/>
    <x v="4"/>
    <s v="01"/>
    <x v="42"/>
    <x v="0"/>
    <x v="10"/>
    <x v="3"/>
    <n v="-18687.439999999999"/>
  </r>
  <r>
    <x v="5"/>
    <x v="0"/>
    <x v="0"/>
    <x v="0"/>
    <x v="1"/>
    <x v="3"/>
    <x v="0"/>
    <x v="0"/>
    <x v="0"/>
    <x v="0"/>
    <x v="0"/>
    <x v="4"/>
    <s v="01"/>
    <x v="42"/>
    <x v="0"/>
    <x v="10"/>
    <x v="4"/>
    <n v="-6327.59"/>
  </r>
  <r>
    <x v="5"/>
    <x v="0"/>
    <x v="0"/>
    <x v="0"/>
    <x v="1"/>
    <x v="3"/>
    <x v="0"/>
    <x v="0"/>
    <x v="0"/>
    <x v="0"/>
    <x v="0"/>
    <x v="4"/>
    <s v="01"/>
    <x v="42"/>
    <x v="0"/>
    <x v="10"/>
    <x v="7"/>
    <n v="8465.25"/>
  </r>
  <r>
    <x v="5"/>
    <x v="0"/>
    <x v="0"/>
    <x v="0"/>
    <x v="1"/>
    <x v="3"/>
    <x v="0"/>
    <x v="0"/>
    <x v="0"/>
    <x v="0"/>
    <x v="0"/>
    <x v="4"/>
    <s v="01"/>
    <x v="42"/>
    <x v="0"/>
    <x v="10"/>
    <x v="5"/>
    <n v="1432.1"/>
  </r>
  <r>
    <x v="5"/>
    <x v="0"/>
    <x v="0"/>
    <x v="0"/>
    <x v="1"/>
    <x v="3"/>
    <x v="0"/>
    <x v="0"/>
    <x v="0"/>
    <x v="0"/>
    <x v="0"/>
    <x v="4"/>
    <s v="01"/>
    <x v="42"/>
    <x v="0"/>
    <x v="10"/>
    <x v="6"/>
    <n v="7465.57"/>
  </r>
  <r>
    <x v="5"/>
    <x v="0"/>
    <x v="0"/>
    <x v="0"/>
    <x v="1"/>
    <x v="3"/>
    <x v="0"/>
    <x v="0"/>
    <x v="0"/>
    <x v="0"/>
    <x v="0"/>
    <x v="4"/>
    <s v="01"/>
    <x v="42"/>
    <x v="0"/>
    <x v="10"/>
    <x v="1"/>
    <n v="91966.24"/>
  </r>
  <r>
    <x v="5"/>
    <x v="0"/>
    <x v="0"/>
    <x v="0"/>
    <x v="1"/>
    <x v="3"/>
    <x v="0"/>
    <x v="0"/>
    <x v="0"/>
    <x v="0"/>
    <x v="0"/>
    <x v="4"/>
    <s v="01"/>
    <x v="42"/>
    <x v="0"/>
    <x v="11"/>
    <x v="0"/>
    <n v="-16029.81"/>
  </r>
  <r>
    <x v="5"/>
    <x v="0"/>
    <x v="0"/>
    <x v="0"/>
    <x v="1"/>
    <x v="3"/>
    <x v="0"/>
    <x v="0"/>
    <x v="0"/>
    <x v="0"/>
    <x v="0"/>
    <x v="4"/>
    <s v="01"/>
    <x v="42"/>
    <x v="0"/>
    <x v="11"/>
    <x v="2"/>
    <n v="-350.97"/>
  </r>
  <r>
    <x v="5"/>
    <x v="0"/>
    <x v="0"/>
    <x v="0"/>
    <x v="1"/>
    <x v="3"/>
    <x v="0"/>
    <x v="0"/>
    <x v="0"/>
    <x v="0"/>
    <x v="0"/>
    <x v="4"/>
    <s v="01"/>
    <x v="42"/>
    <x v="0"/>
    <x v="11"/>
    <x v="8"/>
    <n v="671.05"/>
  </r>
  <r>
    <x v="5"/>
    <x v="0"/>
    <x v="0"/>
    <x v="0"/>
    <x v="1"/>
    <x v="3"/>
    <x v="0"/>
    <x v="0"/>
    <x v="0"/>
    <x v="0"/>
    <x v="0"/>
    <x v="4"/>
    <s v="01"/>
    <x v="42"/>
    <x v="0"/>
    <x v="11"/>
    <x v="9"/>
    <n v="-454.18"/>
  </r>
  <r>
    <x v="5"/>
    <x v="0"/>
    <x v="0"/>
    <x v="0"/>
    <x v="1"/>
    <x v="3"/>
    <x v="0"/>
    <x v="0"/>
    <x v="0"/>
    <x v="0"/>
    <x v="0"/>
    <x v="4"/>
    <s v="01"/>
    <x v="42"/>
    <x v="0"/>
    <x v="11"/>
    <x v="10"/>
    <n v="-80427.75"/>
  </r>
  <r>
    <x v="5"/>
    <x v="0"/>
    <x v="0"/>
    <x v="0"/>
    <x v="1"/>
    <x v="3"/>
    <x v="0"/>
    <x v="0"/>
    <x v="0"/>
    <x v="0"/>
    <x v="0"/>
    <x v="4"/>
    <s v="01"/>
    <x v="42"/>
    <x v="0"/>
    <x v="11"/>
    <x v="11"/>
    <n v="-4899.9799999999996"/>
  </r>
  <r>
    <x v="5"/>
    <x v="0"/>
    <x v="0"/>
    <x v="0"/>
    <x v="1"/>
    <x v="3"/>
    <x v="0"/>
    <x v="0"/>
    <x v="0"/>
    <x v="0"/>
    <x v="0"/>
    <x v="4"/>
    <s v="01"/>
    <x v="42"/>
    <x v="0"/>
    <x v="11"/>
    <x v="3"/>
    <n v="397.29"/>
  </r>
  <r>
    <x v="5"/>
    <x v="0"/>
    <x v="0"/>
    <x v="0"/>
    <x v="1"/>
    <x v="3"/>
    <x v="0"/>
    <x v="0"/>
    <x v="0"/>
    <x v="0"/>
    <x v="0"/>
    <x v="4"/>
    <s v="01"/>
    <x v="42"/>
    <x v="0"/>
    <x v="11"/>
    <x v="4"/>
    <n v="-2050.1799999999998"/>
  </r>
  <r>
    <x v="5"/>
    <x v="0"/>
    <x v="0"/>
    <x v="0"/>
    <x v="1"/>
    <x v="3"/>
    <x v="0"/>
    <x v="0"/>
    <x v="0"/>
    <x v="0"/>
    <x v="0"/>
    <x v="4"/>
    <s v="01"/>
    <x v="42"/>
    <x v="0"/>
    <x v="11"/>
    <x v="7"/>
    <n v="3041.57"/>
  </r>
  <r>
    <x v="5"/>
    <x v="0"/>
    <x v="0"/>
    <x v="0"/>
    <x v="1"/>
    <x v="3"/>
    <x v="0"/>
    <x v="0"/>
    <x v="0"/>
    <x v="0"/>
    <x v="0"/>
    <x v="4"/>
    <s v="01"/>
    <x v="42"/>
    <x v="0"/>
    <x v="11"/>
    <x v="5"/>
    <n v="-1709.08"/>
  </r>
  <r>
    <x v="5"/>
    <x v="0"/>
    <x v="0"/>
    <x v="0"/>
    <x v="1"/>
    <x v="3"/>
    <x v="0"/>
    <x v="0"/>
    <x v="0"/>
    <x v="0"/>
    <x v="0"/>
    <x v="4"/>
    <s v="01"/>
    <x v="42"/>
    <x v="0"/>
    <x v="11"/>
    <x v="6"/>
    <n v="2110.35"/>
  </r>
  <r>
    <x v="5"/>
    <x v="0"/>
    <x v="0"/>
    <x v="0"/>
    <x v="1"/>
    <x v="3"/>
    <x v="0"/>
    <x v="0"/>
    <x v="0"/>
    <x v="0"/>
    <x v="0"/>
    <x v="4"/>
    <s v="01"/>
    <x v="42"/>
    <x v="0"/>
    <x v="11"/>
    <x v="1"/>
    <n v="802.72"/>
  </r>
  <r>
    <x v="5"/>
    <x v="0"/>
    <x v="0"/>
    <x v="0"/>
    <x v="1"/>
    <x v="3"/>
    <x v="0"/>
    <x v="0"/>
    <x v="0"/>
    <x v="0"/>
    <x v="0"/>
    <x v="4"/>
    <s v="02"/>
    <x v="5"/>
    <x v="0"/>
    <x v="11"/>
    <x v="0"/>
    <n v="-600"/>
  </r>
  <r>
    <x v="5"/>
    <x v="0"/>
    <x v="0"/>
    <x v="0"/>
    <x v="1"/>
    <x v="3"/>
    <x v="0"/>
    <x v="0"/>
    <x v="0"/>
    <x v="0"/>
    <x v="0"/>
    <x v="4"/>
    <s v="02"/>
    <x v="5"/>
    <x v="0"/>
    <x v="11"/>
    <x v="8"/>
    <n v="600"/>
  </r>
  <r>
    <x v="5"/>
    <x v="0"/>
    <x v="0"/>
    <x v="0"/>
    <x v="1"/>
    <x v="3"/>
    <x v="0"/>
    <x v="0"/>
    <x v="0"/>
    <x v="0"/>
    <x v="0"/>
    <x v="4"/>
    <s v="02"/>
    <x v="5"/>
    <x v="0"/>
    <x v="11"/>
    <x v="9"/>
    <n v="-1440"/>
  </r>
  <r>
    <x v="5"/>
    <x v="0"/>
    <x v="0"/>
    <x v="0"/>
    <x v="1"/>
    <x v="3"/>
    <x v="0"/>
    <x v="0"/>
    <x v="0"/>
    <x v="0"/>
    <x v="0"/>
    <x v="4"/>
    <s v="09"/>
    <x v="0"/>
    <x v="0"/>
    <x v="10"/>
    <x v="0"/>
    <n v="-15989.67"/>
  </r>
  <r>
    <x v="5"/>
    <x v="0"/>
    <x v="0"/>
    <x v="0"/>
    <x v="1"/>
    <x v="3"/>
    <x v="0"/>
    <x v="0"/>
    <x v="0"/>
    <x v="0"/>
    <x v="0"/>
    <x v="4"/>
    <s v="09"/>
    <x v="0"/>
    <x v="0"/>
    <x v="10"/>
    <x v="2"/>
    <n v="2415.46"/>
  </r>
  <r>
    <x v="5"/>
    <x v="0"/>
    <x v="0"/>
    <x v="0"/>
    <x v="1"/>
    <x v="3"/>
    <x v="0"/>
    <x v="0"/>
    <x v="0"/>
    <x v="0"/>
    <x v="0"/>
    <x v="4"/>
    <s v="09"/>
    <x v="0"/>
    <x v="0"/>
    <x v="10"/>
    <x v="9"/>
    <n v="2981.46"/>
  </r>
  <r>
    <x v="5"/>
    <x v="0"/>
    <x v="0"/>
    <x v="0"/>
    <x v="1"/>
    <x v="3"/>
    <x v="0"/>
    <x v="0"/>
    <x v="0"/>
    <x v="0"/>
    <x v="0"/>
    <x v="4"/>
    <s v="09"/>
    <x v="0"/>
    <x v="0"/>
    <x v="10"/>
    <x v="10"/>
    <n v="-2732.43"/>
  </r>
  <r>
    <x v="5"/>
    <x v="0"/>
    <x v="0"/>
    <x v="0"/>
    <x v="1"/>
    <x v="3"/>
    <x v="0"/>
    <x v="0"/>
    <x v="0"/>
    <x v="0"/>
    <x v="0"/>
    <x v="4"/>
    <s v="09"/>
    <x v="0"/>
    <x v="0"/>
    <x v="10"/>
    <x v="3"/>
    <n v="13312.88"/>
  </r>
  <r>
    <x v="5"/>
    <x v="0"/>
    <x v="0"/>
    <x v="0"/>
    <x v="1"/>
    <x v="3"/>
    <x v="0"/>
    <x v="0"/>
    <x v="0"/>
    <x v="0"/>
    <x v="0"/>
    <x v="4"/>
    <s v="09"/>
    <x v="0"/>
    <x v="0"/>
    <x v="11"/>
    <x v="10"/>
    <n v="-22.5"/>
  </r>
  <r>
    <x v="5"/>
    <x v="0"/>
    <x v="0"/>
    <x v="0"/>
    <x v="1"/>
    <x v="3"/>
    <x v="0"/>
    <x v="0"/>
    <x v="0"/>
    <x v="0"/>
    <x v="0"/>
    <x v="4"/>
    <s v="09"/>
    <x v="0"/>
    <x v="0"/>
    <x v="11"/>
    <x v="11"/>
    <n v="22.84"/>
  </r>
  <r>
    <x v="5"/>
    <x v="0"/>
    <x v="0"/>
    <x v="0"/>
    <x v="1"/>
    <x v="3"/>
    <x v="0"/>
    <x v="0"/>
    <x v="0"/>
    <x v="0"/>
    <x v="0"/>
    <x v="4"/>
    <s v="09"/>
    <x v="0"/>
    <x v="0"/>
    <x v="11"/>
    <x v="3"/>
    <n v="-22.84"/>
  </r>
  <r>
    <x v="5"/>
    <x v="0"/>
    <x v="0"/>
    <x v="0"/>
    <x v="1"/>
    <x v="3"/>
    <x v="0"/>
    <x v="0"/>
    <x v="0"/>
    <x v="0"/>
    <x v="0"/>
    <x v="4"/>
    <s v="20"/>
    <x v="7"/>
    <x v="0"/>
    <x v="10"/>
    <x v="0"/>
    <n v="50564"/>
  </r>
  <r>
    <x v="5"/>
    <x v="0"/>
    <x v="0"/>
    <x v="0"/>
    <x v="1"/>
    <x v="3"/>
    <x v="0"/>
    <x v="0"/>
    <x v="0"/>
    <x v="0"/>
    <x v="0"/>
    <x v="4"/>
    <s v="20"/>
    <x v="7"/>
    <x v="0"/>
    <x v="10"/>
    <x v="8"/>
    <n v="395.68"/>
  </r>
  <r>
    <x v="5"/>
    <x v="0"/>
    <x v="0"/>
    <x v="0"/>
    <x v="1"/>
    <x v="3"/>
    <x v="0"/>
    <x v="0"/>
    <x v="0"/>
    <x v="0"/>
    <x v="0"/>
    <x v="4"/>
    <s v="20"/>
    <x v="7"/>
    <x v="0"/>
    <x v="10"/>
    <x v="3"/>
    <n v="25407.15"/>
  </r>
  <r>
    <x v="5"/>
    <x v="0"/>
    <x v="0"/>
    <x v="0"/>
    <x v="1"/>
    <x v="3"/>
    <x v="0"/>
    <x v="0"/>
    <x v="0"/>
    <x v="0"/>
    <x v="0"/>
    <x v="4"/>
    <s v="20"/>
    <x v="7"/>
    <x v="0"/>
    <x v="10"/>
    <x v="4"/>
    <n v="-25412.15"/>
  </r>
  <r>
    <x v="5"/>
    <x v="0"/>
    <x v="0"/>
    <x v="0"/>
    <x v="1"/>
    <x v="3"/>
    <x v="0"/>
    <x v="0"/>
    <x v="0"/>
    <x v="0"/>
    <x v="0"/>
    <x v="4"/>
    <s v="20"/>
    <x v="7"/>
    <x v="0"/>
    <x v="10"/>
    <x v="7"/>
    <n v="5"/>
  </r>
  <r>
    <x v="5"/>
    <x v="0"/>
    <x v="0"/>
    <x v="0"/>
    <x v="1"/>
    <x v="3"/>
    <x v="0"/>
    <x v="0"/>
    <x v="0"/>
    <x v="0"/>
    <x v="0"/>
    <x v="4"/>
    <s v="20"/>
    <x v="7"/>
    <x v="0"/>
    <x v="10"/>
    <x v="6"/>
    <n v="-705.68"/>
  </r>
  <r>
    <x v="5"/>
    <x v="0"/>
    <x v="0"/>
    <x v="0"/>
    <x v="1"/>
    <x v="3"/>
    <x v="0"/>
    <x v="0"/>
    <x v="0"/>
    <x v="0"/>
    <x v="0"/>
    <x v="4"/>
    <s v="20"/>
    <x v="7"/>
    <x v="0"/>
    <x v="10"/>
    <x v="1"/>
    <n v="-50254"/>
  </r>
  <r>
    <x v="5"/>
    <x v="0"/>
    <x v="0"/>
    <x v="0"/>
    <x v="1"/>
    <x v="3"/>
    <x v="0"/>
    <x v="0"/>
    <x v="0"/>
    <x v="0"/>
    <x v="0"/>
    <x v="4"/>
    <s v="20"/>
    <x v="7"/>
    <x v="0"/>
    <x v="11"/>
    <x v="0"/>
    <n v="50274"/>
  </r>
  <r>
    <x v="5"/>
    <x v="0"/>
    <x v="0"/>
    <x v="0"/>
    <x v="1"/>
    <x v="3"/>
    <x v="0"/>
    <x v="0"/>
    <x v="0"/>
    <x v="0"/>
    <x v="0"/>
    <x v="4"/>
    <s v="20"/>
    <x v="7"/>
    <x v="0"/>
    <x v="11"/>
    <x v="2"/>
    <n v="-1500"/>
  </r>
  <r>
    <x v="5"/>
    <x v="0"/>
    <x v="0"/>
    <x v="0"/>
    <x v="1"/>
    <x v="3"/>
    <x v="0"/>
    <x v="0"/>
    <x v="0"/>
    <x v="0"/>
    <x v="0"/>
    <x v="4"/>
    <s v="20"/>
    <x v="7"/>
    <x v="0"/>
    <x v="11"/>
    <x v="11"/>
    <n v="1500"/>
  </r>
  <r>
    <x v="5"/>
    <x v="0"/>
    <x v="0"/>
    <x v="0"/>
    <x v="1"/>
    <x v="3"/>
    <x v="0"/>
    <x v="0"/>
    <x v="0"/>
    <x v="0"/>
    <x v="0"/>
    <x v="4"/>
    <s v="20"/>
    <x v="7"/>
    <x v="0"/>
    <x v="11"/>
    <x v="3"/>
    <n v="58943.35"/>
  </r>
  <r>
    <x v="5"/>
    <x v="0"/>
    <x v="0"/>
    <x v="0"/>
    <x v="1"/>
    <x v="3"/>
    <x v="0"/>
    <x v="0"/>
    <x v="0"/>
    <x v="0"/>
    <x v="0"/>
    <x v="4"/>
    <s v="20"/>
    <x v="7"/>
    <x v="0"/>
    <x v="11"/>
    <x v="4"/>
    <n v="-58943.35"/>
  </r>
  <r>
    <x v="5"/>
    <x v="0"/>
    <x v="0"/>
    <x v="0"/>
    <x v="1"/>
    <x v="3"/>
    <x v="0"/>
    <x v="0"/>
    <x v="0"/>
    <x v="0"/>
    <x v="0"/>
    <x v="4"/>
    <s v="20"/>
    <x v="7"/>
    <x v="0"/>
    <x v="11"/>
    <x v="1"/>
    <n v="-50274"/>
  </r>
  <r>
    <x v="5"/>
    <x v="0"/>
    <x v="0"/>
    <x v="0"/>
    <x v="1"/>
    <x v="3"/>
    <x v="0"/>
    <x v="0"/>
    <x v="0"/>
    <x v="0"/>
    <x v="0"/>
    <x v="4"/>
    <s v="24"/>
    <x v="1"/>
    <x v="0"/>
    <x v="10"/>
    <x v="0"/>
    <n v="610813.74"/>
  </r>
  <r>
    <x v="5"/>
    <x v="0"/>
    <x v="0"/>
    <x v="0"/>
    <x v="1"/>
    <x v="3"/>
    <x v="0"/>
    <x v="0"/>
    <x v="0"/>
    <x v="0"/>
    <x v="0"/>
    <x v="4"/>
    <s v="24"/>
    <x v="1"/>
    <x v="0"/>
    <x v="10"/>
    <x v="2"/>
    <n v="580715.28"/>
  </r>
  <r>
    <x v="5"/>
    <x v="0"/>
    <x v="0"/>
    <x v="0"/>
    <x v="1"/>
    <x v="3"/>
    <x v="0"/>
    <x v="0"/>
    <x v="0"/>
    <x v="0"/>
    <x v="0"/>
    <x v="4"/>
    <s v="24"/>
    <x v="1"/>
    <x v="0"/>
    <x v="10"/>
    <x v="8"/>
    <n v="-342053.99"/>
  </r>
  <r>
    <x v="5"/>
    <x v="0"/>
    <x v="0"/>
    <x v="0"/>
    <x v="1"/>
    <x v="3"/>
    <x v="0"/>
    <x v="0"/>
    <x v="0"/>
    <x v="0"/>
    <x v="0"/>
    <x v="4"/>
    <s v="24"/>
    <x v="1"/>
    <x v="0"/>
    <x v="10"/>
    <x v="9"/>
    <n v="-726105.85"/>
  </r>
  <r>
    <x v="5"/>
    <x v="0"/>
    <x v="0"/>
    <x v="0"/>
    <x v="1"/>
    <x v="3"/>
    <x v="0"/>
    <x v="0"/>
    <x v="0"/>
    <x v="0"/>
    <x v="0"/>
    <x v="4"/>
    <s v="24"/>
    <x v="1"/>
    <x v="0"/>
    <x v="10"/>
    <x v="10"/>
    <n v="1359863.51"/>
  </r>
  <r>
    <x v="5"/>
    <x v="0"/>
    <x v="0"/>
    <x v="0"/>
    <x v="1"/>
    <x v="3"/>
    <x v="0"/>
    <x v="0"/>
    <x v="0"/>
    <x v="0"/>
    <x v="0"/>
    <x v="4"/>
    <s v="24"/>
    <x v="1"/>
    <x v="0"/>
    <x v="10"/>
    <x v="11"/>
    <n v="-677907.47"/>
  </r>
  <r>
    <x v="5"/>
    <x v="0"/>
    <x v="0"/>
    <x v="0"/>
    <x v="1"/>
    <x v="3"/>
    <x v="0"/>
    <x v="0"/>
    <x v="0"/>
    <x v="0"/>
    <x v="0"/>
    <x v="4"/>
    <s v="24"/>
    <x v="1"/>
    <x v="0"/>
    <x v="10"/>
    <x v="3"/>
    <n v="-786609.39"/>
  </r>
  <r>
    <x v="5"/>
    <x v="0"/>
    <x v="0"/>
    <x v="0"/>
    <x v="1"/>
    <x v="3"/>
    <x v="0"/>
    <x v="0"/>
    <x v="0"/>
    <x v="0"/>
    <x v="0"/>
    <x v="4"/>
    <s v="24"/>
    <x v="1"/>
    <x v="0"/>
    <x v="10"/>
    <x v="4"/>
    <n v="1151152.47"/>
  </r>
  <r>
    <x v="5"/>
    <x v="0"/>
    <x v="0"/>
    <x v="0"/>
    <x v="1"/>
    <x v="3"/>
    <x v="0"/>
    <x v="0"/>
    <x v="0"/>
    <x v="0"/>
    <x v="0"/>
    <x v="4"/>
    <s v="24"/>
    <x v="1"/>
    <x v="0"/>
    <x v="10"/>
    <x v="7"/>
    <n v="806418.49"/>
  </r>
  <r>
    <x v="5"/>
    <x v="0"/>
    <x v="0"/>
    <x v="0"/>
    <x v="1"/>
    <x v="3"/>
    <x v="0"/>
    <x v="0"/>
    <x v="0"/>
    <x v="0"/>
    <x v="0"/>
    <x v="4"/>
    <s v="24"/>
    <x v="1"/>
    <x v="0"/>
    <x v="10"/>
    <x v="5"/>
    <n v="-1587533.05"/>
  </r>
  <r>
    <x v="5"/>
    <x v="0"/>
    <x v="0"/>
    <x v="0"/>
    <x v="1"/>
    <x v="3"/>
    <x v="0"/>
    <x v="0"/>
    <x v="0"/>
    <x v="0"/>
    <x v="0"/>
    <x v="4"/>
    <s v="24"/>
    <x v="1"/>
    <x v="0"/>
    <x v="10"/>
    <x v="6"/>
    <n v="-1701163.2"/>
  </r>
  <r>
    <x v="5"/>
    <x v="0"/>
    <x v="0"/>
    <x v="0"/>
    <x v="1"/>
    <x v="3"/>
    <x v="0"/>
    <x v="0"/>
    <x v="0"/>
    <x v="0"/>
    <x v="0"/>
    <x v="4"/>
    <s v="24"/>
    <x v="1"/>
    <x v="0"/>
    <x v="10"/>
    <x v="1"/>
    <n v="1753737.41"/>
  </r>
  <r>
    <x v="5"/>
    <x v="0"/>
    <x v="0"/>
    <x v="0"/>
    <x v="1"/>
    <x v="3"/>
    <x v="0"/>
    <x v="0"/>
    <x v="0"/>
    <x v="0"/>
    <x v="0"/>
    <x v="4"/>
    <s v="24"/>
    <x v="1"/>
    <x v="0"/>
    <x v="11"/>
    <x v="0"/>
    <n v="703451.19"/>
  </r>
  <r>
    <x v="5"/>
    <x v="0"/>
    <x v="0"/>
    <x v="0"/>
    <x v="1"/>
    <x v="3"/>
    <x v="0"/>
    <x v="0"/>
    <x v="0"/>
    <x v="0"/>
    <x v="0"/>
    <x v="4"/>
    <s v="24"/>
    <x v="1"/>
    <x v="0"/>
    <x v="11"/>
    <x v="2"/>
    <n v="389417.04"/>
  </r>
  <r>
    <x v="5"/>
    <x v="0"/>
    <x v="0"/>
    <x v="0"/>
    <x v="1"/>
    <x v="3"/>
    <x v="0"/>
    <x v="0"/>
    <x v="0"/>
    <x v="0"/>
    <x v="0"/>
    <x v="4"/>
    <s v="24"/>
    <x v="1"/>
    <x v="0"/>
    <x v="11"/>
    <x v="8"/>
    <n v="-834901.11"/>
  </r>
  <r>
    <x v="5"/>
    <x v="0"/>
    <x v="0"/>
    <x v="0"/>
    <x v="1"/>
    <x v="3"/>
    <x v="0"/>
    <x v="0"/>
    <x v="0"/>
    <x v="0"/>
    <x v="0"/>
    <x v="4"/>
    <s v="24"/>
    <x v="1"/>
    <x v="0"/>
    <x v="11"/>
    <x v="9"/>
    <n v="-380260.64"/>
  </r>
  <r>
    <x v="5"/>
    <x v="0"/>
    <x v="0"/>
    <x v="0"/>
    <x v="1"/>
    <x v="3"/>
    <x v="0"/>
    <x v="0"/>
    <x v="0"/>
    <x v="0"/>
    <x v="0"/>
    <x v="4"/>
    <s v="24"/>
    <x v="1"/>
    <x v="0"/>
    <x v="11"/>
    <x v="10"/>
    <n v="1482122.3"/>
  </r>
  <r>
    <x v="5"/>
    <x v="0"/>
    <x v="0"/>
    <x v="0"/>
    <x v="1"/>
    <x v="3"/>
    <x v="0"/>
    <x v="0"/>
    <x v="0"/>
    <x v="0"/>
    <x v="0"/>
    <x v="4"/>
    <s v="24"/>
    <x v="1"/>
    <x v="0"/>
    <x v="11"/>
    <x v="11"/>
    <n v="-881532.92"/>
  </r>
  <r>
    <x v="5"/>
    <x v="0"/>
    <x v="0"/>
    <x v="0"/>
    <x v="1"/>
    <x v="3"/>
    <x v="0"/>
    <x v="0"/>
    <x v="0"/>
    <x v="0"/>
    <x v="0"/>
    <x v="4"/>
    <s v="24"/>
    <x v="1"/>
    <x v="0"/>
    <x v="11"/>
    <x v="3"/>
    <n v="-385865.54"/>
  </r>
  <r>
    <x v="5"/>
    <x v="0"/>
    <x v="0"/>
    <x v="0"/>
    <x v="1"/>
    <x v="3"/>
    <x v="0"/>
    <x v="0"/>
    <x v="0"/>
    <x v="0"/>
    <x v="0"/>
    <x v="4"/>
    <s v="24"/>
    <x v="1"/>
    <x v="0"/>
    <x v="11"/>
    <x v="4"/>
    <n v="773126.35"/>
  </r>
  <r>
    <x v="5"/>
    <x v="0"/>
    <x v="0"/>
    <x v="0"/>
    <x v="1"/>
    <x v="3"/>
    <x v="0"/>
    <x v="0"/>
    <x v="0"/>
    <x v="0"/>
    <x v="0"/>
    <x v="4"/>
    <s v="24"/>
    <x v="1"/>
    <x v="0"/>
    <x v="11"/>
    <x v="7"/>
    <n v="562599.12"/>
  </r>
  <r>
    <x v="5"/>
    <x v="0"/>
    <x v="0"/>
    <x v="0"/>
    <x v="1"/>
    <x v="3"/>
    <x v="0"/>
    <x v="0"/>
    <x v="0"/>
    <x v="0"/>
    <x v="0"/>
    <x v="4"/>
    <s v="24"/>
    <x v="1"/>
    <x v="0"/>
    <x v="11"/>
    <x v="5"/>
    <n v="-1922030.63"/>
  </r>
  <r>
    <x v="5"/>
    <x v="0"/>
    <x v="0"/>
    <x v="0"/>
    <x v="1"/>
    <x v="3"/>
    <x v="0"/>
    <x v="0"/>
    <x v="0"/>
    <x v="0"/>
    <x v="0"/>
    <x v="4"/>
    <s v="24"/>
    <x v="1"/>
    <x v="0"/>
    <x v="11"/>
    <x v="6"/>
    <n v="-571683.93999999994"/>
  </r>
  <r>
    <x v="5"/>
    <x v="0"/>
    <x v="0"/>
    <x v="0"/>
    <x v="1"/>
    <x v="3"/>
    <x v="0"/>
    <x v="0"/>
    <x v="0"/>
    <x v="0"/>
    <x v="0"/>
    <x v="4"/>
    <s v="24"/>
    <x v="1"/>
    <x v="0"/>
    <x v="11"/>
    <x v="1"/>
    <n v="161391.84"/>
  </r>
  <r>
    <x v="5"/>
    <x v="0"/>
    <x v="0"/>
    <x v="0"/>
    <x v="1"/>
    <x v="3"/>
    <x v="0"/>
    <x v="0"/>
    <x v="0"/>
    <x v="0"/>
    <x v="0"/>
    <x v="4"/>
    <s v="30"/>
    <x v="3"/>
    <x v="0"/>
    <x v="10"/>
    <x v="9"/>
    <n v="20"/>
  </r>
  <r>
    <x v="5"/>
    <x v="0"/>
    <x v="0"/>
    <x v="0"/>
    <x v="1"/>
    <x v="3"/>
    <x v="0"/>
    <x v="0"/>
    <x v="0"/>
    <x v="0"/>
    <x v="0"/>
    <x v="4"/>
    <s v="30"/>
    <x v="3"/>
    <x v="0"/>
    <x v="10"/>
    <x v="5"/>
    <n v="230"/>
  </r>
  <r>
    <x v="5"/>
    <x v="0"/>
    <x v="0"/>
    <x v="0"/>
    <x v="1"/>
    <x v="3"/>
    <x v="0"/>
    <x v="0"/>
    <x v="0"/>
    <x v="0"/>
    <x v="0"/>
    <x v="4"/>
    <s v="30"/>
    <x v="3"/>
    <x v="0"/>
    <x v="10"/>
    <x v="6"/>
    <n v="-250"/>
  </r>
  <r>
    <x v="5"/>
    <x v="0"/>
    <x v="0"/>
    <x v="0"/>
    <x v="1"/>
    <x v="3"/>
    <x v="0"/>
    <x v="0"/>
    <x v="0"/>
    <x v="0"/>
    <x v="0"/>
    <x v="4"/>
    <s v="30"/>
    <x v="3"/>
    <x v="0"/>
    <x v="11"/>
    <x v="3"/>
    <n v="130"/>
  </r>
  <r>
    <x v="5"/>
    <x v="0"/>
    <x v="0"/>
    <x v="0"/>
    <x v="1"/>
    <x v="3"/>
    <x v="0"/>
    <x v="0"/>
    <x v="0"/>
    <x v="0"/>
    <x v="0"/>
    <x v="4"/>
    <s v="30"/>
    <x v="3"/>
    <x v="0"/>
    <x v="11"/>
    <x v="4"/>
    <n v="-130"/>
  </r>
  <r>
    <x v="5"/>
    <x v="0"/>
    <x v="0"/>
    <x v="0"/>
    <x v="1"/>
    <x v="3"/>
    <x v="0"/>
    <x v="0"/>
    <x v="0"/>
    <x v="0"/>
    <x v="0"/>
    <x v="4"/>
    <s v="85"/>
    <x v="21"/>
    <x v="0"/>
    <x v="10"/>
    <x v="0"/>
    <n v="1422.05"/>
  </r>
  <r>
    <x v="5"/>
    <x v="0"/>
    <x v="0"/>
    <x v="0"/>
    <x v="1"/>
    <x v="3"/>
    <x v="0"/>
    <x v="0"/>
    <x v="0"/>
    <x v="0"/>
    <x v="0"/>
    <x v="4"/>
    <s v="85"/>
    <x v="21"/>
    <x v="0"/>
    <x v="10"/>
    <x v="8"/>
    <n v="-88.92"/>
  </r>
  <r>
    <x v="5"/>
    <x v="0"/>
    <x v="0"/>
    <x v="0"/>
    <x v="1"/>
    <x v="3"/>
    <x v="0"/>
    <x v="0"/>
    <x v="0"/>
    <x v="0"/>
    <x v="0"/>
    <x v="4"/>
    <s v="85"/>
    <x v="21"/>
    <x v="0"/>
    <x v="10"/>
    <x v="5"/>
    <n v="409.41"/>
  </r>
  <r>
    <x v="5"/>
    <x v="0"/>
    <x v="0"/>
    <x v="0"/>
    <x v="1"/>
    <x v="3"/>
    <x v="0"/>
    <x v="0"/>
    <x v="0"/>
    <x v="0"/>
    <x v="0"/>
    <x v="4"/>
    <s v="85"/>
    <x v="21"/>
    <x v="0"/>
    <x v="10"/>
    <x v="1"/>
    <n v="-7.95"/>
  </r>
  <r>
    <x v="5"/>
    <x v="0"/>
    <x v="0"/>
    <x v="0"/>
    <x v="1"/>
    <x v="3"/>
    <x v="0"/>
    <x v="0"/>
    <x v="0"/>
    <x v="0"/>
    <x v="0"/>
    <x v="4"/>
    <s v="85"/>
    <x v="21"/>
    <x v="0"/>
    <x v="11"/>
    <x v="4"/>
    <n v="20.97"/>
  </r>
  <r>
    <x v="5"/>
    <x v="0"/>
    <x v="0"/>
    <x v="0"/>
    <x v="1"/>
    <x v="3"/>
    <x v="0"/>
    <x v="0"/>
    <x v="0"/>
    <x v="0"/>
    <x v="0"/>
    <x v="4"/>
    <s v="85"/>
    <x v="21"/>
    <x v="0"/>
    <x v="11"/>
    <x v="1"/>
    <n v="-20.97"/>
  </r>
  <r>
    <x v="5"/>
    <x v="0"/>
    <x v="0"/>
    <x v="0"/>
    <x v="1"/>
    <x v="3"/>
    <x v="0"/>
    <x v="0"/>
    <x v="0"/>
    <x v="0"/>
    <x v="0"/>
    <x v="4"/>
    <s v="99"/>
    <x v="9"/>
    <x v="0"/>
    <x v="10"/>
    <x v="0"/>
    <n v="-9792.76"/>
  </r>
  <r>
    <x v="5"/>
    <x v="0"/>
    <x v="0"/>
    <x v="0"/>
    <x v="1"/>
    <x v="3"/>
    <x v="0"/>
    <x v="0"/>
    <x v="0"/>
    <x v="0"/>
    <x v="0"/>
    <x v="4"/>
    <s v="99"/>
    <x v="9"/>
    <x v="0"/>
    <x v="10"/>
    <x v="2"/>
    <n v="7516.73"/>
  </r>
  <r>
    <x v="5"/>
    <x v="0"/>
    <x v="0"/>
    <x v="0"/>
    <x v="1"/>
    <x v="3"/>
    <x v="0"/>
    <x v="0"/>
    <x v="0"/>
    <x v="0"/>
    <x v="0"/>
    <x v="4"/>
    <s v="99"/>
    <x v="9"/>
    <x v="0"/>
    <x v="10"/>
    <x v="8"/>
    <n v="-2440.44"/>
  </r>
  <r>
    <x v="5"/>
    <x v="0"/>
    <x v="0"/>
    <x v="0"/>
    <x v="1"/>
    <x v="3"/>
    <x v="0"/>
    <x v="0"/>
    <x v="0"/>
    <x v="0"/>
    <x v="0"/>
    <x v="4"/>
    <s v="99"/>
    <x v="9"/>
    <x v="0"/>
    <x v="10"/>
    <x v="9"/>
    <n v="-13572.65"/>
  </r>
  <r>
    <x v="5"/>
    <x v="0"/>
    <x v="0"/>
    <x v="0"/>
    <x v="1"/>
    <x v="3"/>
    <x v="0"/>
    <x v="0"/>
    <x v="0"/>
    <x v="0"/>
    <x v="0"/>
    <x v="4"/>
    <s v="99"/>
    <x v="9"/>
    <x v="0"/>
    <x v="10"/>
    <x v="10"/>
    <n v="9"/>
  </r>
  <r>
    <x v="5"/>
    <x v="0"/>
    <x v="0"/>
    <x v="0"/>
    <x v="1"/>
    <x v="3"/>
    <x v="0"/>
    <x v="0"/>
    <x v="0"/>
    <x v="0"/>
    <x v="0"/>
    <x v="4"/>
    <s v="99"/>
    <x v="9"/>
    <x v="0"/>
    <x v="10"/>
    <x v="11"/>
    <n v="319.58999999999997"/>
  </r>
  <r>
    <x v="5"/>
    <x v="0"/>
    <x v="0"/>
    <x v="0"/>
    <x v="1"/>
    <x v="3"/>
    <x v="0"/>
    <x v="0"/>
    <x v="0"/>
    <x v="0"/>
    <x v="0"/>
    <x v="4"/>
    <s v="99"/>
    <x v="9"/>
    <x v="0"/>
    <x v="10"/>
    <x v="4"/>
    <n v="32901.870000000003"/>
  </r>
  <r>
    <x v="5"/>
    <x v="0"/>
    <x v="0"/>
    <x v="0"/>
    <x v="1"/>
    <x v="3"/>
    <x v="0"/>
    <x v="0"/>
    <x v="0"/>
    <x v="0"/>
    <x v="0"/>
    <x v="4"/>
    <s v="99"/>
    <x v="9"/>
    <x v="0"/>
    <x v="10"/>
    <x v="7"/>
    <n v="-535.47"/>
  </r>
  <r>
    <x v="5"/>
    <x v="0"/>
    <x v="0"/>
    <x v="0"/>
    <x v="1"/>
    <x v="3"/>
    <x v="0"/>
    <x v="0"/>
    <x v="0"/>
    <x v="0"/>
    <x v="0"/>
    <x v="4"/>
    <s v="99"/>
    <x v="9"/>
    <x v="0"/>
    <x v="10"/>
    <x v="5"/>
    <n v="4632.49"/>
  </r>
  <r>
    <x v="5"/>
    <x v="0"/>
    <x v="0"/>
    <x v="0"/>
    <x v="1"/>
    <x v="3"/>
    <x v="0"/>
    <x v="0"/>
    <x v="0"/>
    <x v="0"/>
    <x v="0"/>
    <x v="4"/>
    <s v="99"/>
    <x v="9"/>
    <x v="0"/>
    <x v="10"/>
    <x v="6"/>
    <n v="-29360.89"/>
  </r>
  <r>
    <x v="5"/>
    <x v="0"/>
    <x v="0"/>
    <x v="0"/>
    <x v="1"/>
    <x v="3"/>
    <x v="0"/>
    <x v="0"/>
    <x v="0"/>
    <x v="0"/>
    <x v="0"/>
    <x v="4"/>
    <s v="99"/>
    <x v="9"/>
    <x v="0"/>
    <x v="10"/>
    <x v="1"/>
    <n v="10322.530000000001"/>
  </r>
  <r>
    <x v="5"/>
    <x v="0"/>
    <x v="0"/>
    <x v="0"/>
    <x v="1"/>
    <x v="3"/>
    <x v="0"/>
    <x v="0"/>
    <x v="0"/>
    <x v="0"/>
    <x v="0"/>
    <x v="4"/>
    <s v="99"/>
    <x v="9"/>
    <x v="0"/>
    <x v="11"/>
    <x v="0"/>
    <n v="-653.29"/>
  </r>
  <r>
    <x v="5"/>
    <x v="0"/>
    <x v="0"/>
    <x v="0"/>
    <x v="1"/>
    <x v="3"/>
    <x v="0"/>
    <x v="0"/>
    <x v="0"/>
    <x v="0"/>
    <x v="0"/>
    <x v="4"/>
    <s v="99"/>
    <x v="9"/>
    <x v="0"/>
    <x v="11"/>
    <x v="2"/>
    <n v="-3714.69"/>
  </r>
  <r>
    <x v="5"/>
    <x v="0"/>
    <x v="0"/>
    <x v="0"/>
    <x v="1"/>
    <x v="3"/>
    <x v="0"/>
    <x v="0"/>
    <x v="0"/>
    <x v="0"/>
    <x v="0"/>
    <x v="4"/>
    <s v="99"/>
    <x v="9"/>
    <x v="0"/>
    <x v="11"/>
    <x v="9"/>
    <n v="8722.7199999999993"/>
  </r>
  <r>
    <x v="5"/>
    <x v="0"/>
    <x v="0"/>
    <x v="0"/>
    <x v="1"/>
    <x v="3"/>
    <x v="0"/>
    <x v="0"/>
    <x v="0"/>
    <x v="0"/>
    <x v="0"/>
    <x v="4"/>
    <s v="99"/>
    <x v="9"/>
    <x v="0"/>
    <x v="11"/>
    <x v="10"/>
    <n v="-8659.25"/>
  </r>
  <r>
    <x v="5"/>
    <x v="0"/>
    <x v="0"/>
    <x v="0"/>
    <x v="1"/>
    <x v="3"/>
    <x v="0"/>
    <x v="0"/>
    <x v="0"/>
    <x v="0"/>
    <x v="0"/>
    <x v="4"/>
    <s v="99"/>
    <x v="9"/>
    <x v="0"/>
    <x v="11"/>
    <x v="11"/>
    <n v="463.16"/>
  </r>
  <r>
    <x v="5"/>
    <x v="0"/>
    <x v="0"/>
    <x v="0"/>
    <x v="1"/>
    <x v="3"/>
    <x v="0"/>
    <x v="0"/>
    <x v="0"/>
    <x v="0"/>
    <x v="0"/>
    <x v="4"/>
    <s v="99"/>
    <x v="9"/>
    <x v="0"/>
    <x v="11"/>
    <x v="3"/>
    <n v="-658.07"/>
  </r>
  <r>
    <x v="5"/>
    <x v="0"/>
    <x v="0"/>
    <x v="0"/>
    <x v="1"/>
    <x v="3"/>
    <x v="0"/>
    <x v="0"/>
    <x v="0"/>
    <x v="0"/>
    <x v="0"/>
    <x v="4"/>
    <s v="99"/>
    <x v="9"/>
    <x v="0"/>
    <x v="11"/>
    <x v="4"/>
    <n v="-2.34"/>
  </r>
  <r>
    <x v="5"/>
    <x v="0"/>
    <x v="0"/>
    <x v="0"/>
    <x v="1"/>
    <x v="3"/>
    <x v="0"/>
    <x v="0"/>
    <x v="0"/>
    <x v="0"/>
    <x v="0"/>
    <x v="4"/>
    <s v="99"/>
    <x v="9"/>
    <x v="0"/>
    <x v="11"/>
    <x v="5"/>
    <n v="289"/>
  </r>
  <r>
    <x v="5"/>
    <x v="0"/>
    <x v="0"/>
    <x v="0"/>
    <x v="1"/>
    <x v="3"/>
    <x v="0"/>
    <x v="0"/>
    <x v="0"/>
    <x v="0"/>
    <x v="0"/>
    <x v="4"/>
    <s v="99"/>
    <x v="9"/>
    <x v="0"/>
    <x v="11"/>
    <x v="6"/>
    <n v="3504.42"/>
  </r>
  <r>
    <x v="5"/>
    <x v="0"/>
    <x v="0"/>
    <x v="0"/>
    <x v="1"/>
    <x v="3"/>
    <x v="0"/>
    <x v="0"/>
    <x v="0"/>
    <x v="0"/>
    <x v="0"/>
    <x v="4"/>
    <s v="99"/>
    <x v="9"/>
    <x v="0"/>
    <x v="11"/>
    <x v="1"/>
    <n v="45.15"/>
  </r>
  <r>
    <x v="5"/>
    <x v="0"/>
    <x v="0"/>
    <x v="0"/>
    <x v="1"/>
    <x v="3"/>
    <x v="0"/>
    <x v="0"/>
    <x v="0"/>
    <x v="0"/>
    <x v="5"/>
    <x v="6"/>
    <s v="40"/>
    <x v="26"/>
    <x v="0"/>
    <x v="10"/>
    <x v="4"/>
    <n v="421.5"/>
  </r>
  <r>
    <x v="5"/>
    <x v="0"/>
    <x v="0"/>
    <x v="0"/>
    <x v="1"/>
    <x v="3"/>
    <x v="0"/>
    <x v="0"/>
    <x v="0"/>
    <x v="0"/>
    <x v="5"/>
    <x v="6"/>
    <s v="40"/>
    <x v="26"/>
    <x v="0"/>
    <x v="10"/>
    <x v="5"/>
    <n v="-421.5"/>
  </r>
  <r>
    <x v="5"/>
    <x v="0"/>
    <x v="1"/>
    <x v="0"/>
    <x v="1"/>
    <x v="4"/>
    <x v="0"/>
    <x v="0"/>
    <x v="0"/>
    <x v="1"/>
    <x v="1"/>
    <x v="8"/>
    <s v="41"/>
    <x v="4"/>
    <x v="0"/>
    <x v="10"/>
    <x v="5"/>
    <n v="756"/>
  </r>
  <r>
    <x v="5"/>
    <x v="0"/>
    <x v="1"/>
    <x v="0"/>
    <x v="1"/>
    <x v="4"/>
    <x v="0"/>
    <x v="0"/>
    <x v="0"/>
    <x v="1"/>
    <x v="1"/>
    <x v="8"/>
    <s v="41"/>
    <x v="4"/>
    <x v="0"/>
    <x v="10"/>
    <x v="1"/>
    <n v="756"/>
  </r>
  <r>
    <x v="5"/>
    <x v="0"/>
    <x v="1"/>
    <x v="0"/>
    <x v="1"/>
    <x v="4"/>
    <x v="0"/>
    <x v="0"/>
    <x v="0"/>
    <x v="1"/>
    <x v="1"/>
    <x v="8"/>
    <s v="41"/>
    <x v="4"/>
    <x v="0"/>
    <x v="11"/>
    <x v="9"/>
    <n v="-1512"/>
  </r>
  <r>
    <x v="5"/>
    <x v="0"/>
    <x v="1"/>
    <x v="0"/>
    <x v="1"/>
    <x v="4"/>
    <x v="0"/>
    <x v="0"/>
    <x v="0"/>
    <x v="0"/>
    <x v="0"/>
    <x v="4"/>
    <s v="02"/>
    <x v="5"/>
    <x v="0"/>
    <x v="10"/>
    <x v="8"/>
    <n v="8708.0499999999993"/>
  </r>
  <r>
    <x v="5"/>
    <x v="0"/>
    <x v="1"/>
    <x v="0"/>
    <x v="1"/>
    <x v="4"/>
    <x v="0"/>
    <x v="0"/>
    <x v="0"/>
    <x v="0"/>
    <x v="0"/>
    <x v="4"/>
    <s v="02"/>
    <x v="5"/>
    <x v="0"/>
    <x v="10"/>
    <x v="9"/>
    <n v="4057.33"/>
  </r>
  <r>
    <x v="5"/>
    <x v="0"/>
    <x v="1"/>
    <x v="0"/>
    <x v="1"/>
    <x v="4"/>
    <x v="0"/>
    <x v="0"/>
    <x v="0"/>
    <x v="0"/>
    <x v="0"/>
    <x v="4"/>
    <s v="02"/>
    <x v="5"/>
    <x v="0"/>
    <x v="10"/>
    <x v="10"/>
    <n v="7264.1"/>
  </r>
  <r>
    <x v="5"/>
    <x v="0"/>
    <x v="1"/>
    <x v="0"/>
    <x v="1"/>
    <x v="4"/>
    <x v="0"/>
    <x v="0"/>
    <x v="0"/>
    <x v="0"/>
    <x v="0"/>
    <x v="4"/>
    <s v="02"/>
    <x v="5"/>
    <x v="0"/>
    <x v="10"/>
    <x v="11"/>
    <n v="5784.82"/>
  </r>
  <r>
    <x v="5"/>
    <x v="0"/>
    <x v="1"/>
    <x v="0"/>
    <x v="1"/>
    <x v="4"/>
    <x v="0"/>
    <x v="0"/>
    <x v="0"/>
    <x v="0"/>
    <x v="0"/>
    <x v="4"/>
    <s v="02"/>
    <x v="5"/>
    <x v="0"/>
    <x v="10"/>
    <x v="3"/>
    <n v="1597.03"/>
  </r>
  <r>
    <x v="5"/>
    <x v="0"/>
    <x v="1"/>
    <x v="0"/>
    <x v="1"/>
    <x v="4"/>
    <x v="0"/>
    <x v="0"/>
    <x v="0"/>
    <x v="0"/>
    <x v="0"/>
    <x v="4"/>
    <s v="02"/>
    <x v="5"/>
    <x v="0"/>
    <x v="10"/>
    <x v="4"/>
    <n v="4305.54"/>
  </r>
  <r>
    <x v="5"/>
    <x v="0"/>
    <x v="1"/>
    <x v="0"/>
    <x v="1"/>
    <x v="4"/>
    <x v="0"/>
    <x v="0"/>
    <x v="0"/>
    <x v="0"/>
    <x v="0"/>
    <x v="4"/>
    <s v="02"/>
    <x v="5"/>
    <x v="0"/>
    <x v="10"/>
    <x v="7"/>
    <n v="12225.13"/>
  </r>
  <r>
    <x v="5"/>
    <x v="0"/>
    <x v="1"/>
    <x v="0"/>
    <x v="1"/>
    <x v="4"/>
    <x v="0"/>
    <x v="0"/>
    <x v="0"/>
    <x v="0"/>
    <x v="0"/>
    <x v="4"/>
    <s v="02"/>
    <x v="5"/>
    <x v="0"/>
    <x v="10"/>
    <x v="5"/>
    <n v="-2826.26"/>
  </r>
  <r>
    <x v="5"/>
    <x v="0"/>
    <x v="1"/>
    <x v="0"/>
    <x v="1"/>
    <x v="4"/>
    <x v="0"/>
    <x v="0"/>
    <x v="0"/>
    <x v="0"/>
    <x v="0"/>
    <x v="4"/>
    <s v="02"/>
    <x v="5"/>
    <x v="0"/>
    <x v="10"/>
    <x v="6"/>
    <n v="8611.08"/>
  </r>
  <r>
    <x v="5"/>
    <x v="0"/>
    <x v="1"/>
    <x v="0"/>
    <x v="1"/>
    <x v="4"/>
    <x v="0"/>
    <x v="0"/>
    <x v="0"/>
    <x v="0"/>
    <x v="0"/>
    <x v="4"/>
    <s v="02"/>
    <x v="5"/>
    <x v="0"/>
    <x v="10"/>
    <x v="1"/>
    <n v="-8805.02"/>
  </r>
  <r>
    <x v="5"/>
    <x v="0"/>
    <x v="1"/>
    <x v="0"/>
    <x v="1"/>
    <x v="4"/>
    <x v="0"/>
    <x v="0"/>
    <x v="0"/>
    <x v="0"/>
    <x v="0"/>
    <x v="4"/>
    <s v="02"/>
    <x v="5"/>
    <x v="0"/>
    <x v="11"/>
    <x v="0"/>
    <n v="5899.95"/>
  </r>
  <r>
    <x v="5"/>
    <x v="0"/>
    <x v="1"/>
    <x v="0"/>
    <x v="1"/>
    <x v="4"/>
    <x v="0"/>
    <x v="0"/>
    <x v="0"/>
    <x v="0"/>
    <x v="0"/>
    <x v="4"/>
    <s v="02"/>
    <x v="5"/>
    <x v="0"/>
    <x v="11"/>
    <x v="2"/>
    <n v="6134.99"/>
  </r>
  <r>
    <x v="5"/>
    <x v="0"/>
    <x v="1"/>
    <x v="0"/>
    <x v="1"/>
    <x v="4"/>
    <x v="0"/>
    <x v="0"/>
    <x v="0"/>
    <x v="0"/>
    <x v="0"/>
    <x v="4"/>
    <s v="02"/>
    <x v="5"/>
    <x v="0"/>
    <x v="11"/>
    <x v="8"/>
    <n v="919.61"/>
  </r>
  <r>
    <x v="5"/>
    <x v="0"/>
    <x v="1"/>
    <x v="0"/>
    <x v="1"/>
    <x v="4"/>
    <x v="0"/>
    <x v="0"/>
    <x v="0"/>
    <x v="0"/>
    <x v="0"/>
    <x v="4"/>
    <s v="02"/>
    <x v="5"/>
    <x v="0"/>
    <x v="11"/>
    <x v="9"/>
    <n v="14843.04"/>
  </r>
  <r>
    <x v="5"/>
    <x v="0"/>
    <x v="1"/>
    <x v="0"/>
    <x v="1"/>
    <x v="4"/>
    <x v="0"/>
    <x v="0"/>
    <x v="0"/>
    <x v="0"/>
    <x v="0"/>
    <x v="4"/>
    <s v="02"/>
    <x v="5"/>
    <x v="0"/>
    <x v="11"/>
    <x v="10"/>
    <n v="6134.99"/>
  </r>
  <r>
    <x v="5"/>
    <x v="0"/>
    <x v="1"/>
    <x v="0"/>
    <x v="1"/>
    <x v="4"/>
    <x v="0"/>
    <x v="0"/>
    <x v="0"/>
    <x v="0"/>
    <x v="0"/>
    <x v="4"/>
    <s v="02"/>
    <x v="5"/>
    <x v="0"/>
    <x v="11"/>
    <x v="11"/>
    <n v="-24366.79"/>
  </r>
  <r>
    <x v="5"/>
    <x v="0"/>
    <x v="1"/>
    <x v="0"/>
    <x v="1"/>
    <x v="4"/>
    <x v="0"/>
    <x v="0"/>
    <x v="0"/>
    <x v="0"/>
    <x v="0"/>
    <x v="4"/>
    <s v="02"/>
    <x v="5"/>
    <x v="0"/>
    <x v="11"/>
    <x v="3"/>
    <n v="6311.99"/>
  </r>
  <r>
    <x v="5"/>
    <x v="0"/>
    <x v="1"/>
    <x v="0"/>
    <x v="1"/>
    <x v="4"/>
    <x v="0"/>
    <x v="0"/>
    <x v="0"/>
    <x v="0"/>
    <x v="0"/>
    <x v="4"/>
    <s v="02"/>
    <x v="5"/>
    <x v="0"/>
    <x v="11"/>
    <x v="4"/>
    <n v="-51168.95"/>
  </r>
  <r>
    <x v="5"/>
    <x v="0"/>
    <x v="1"/>
    <x v="0"/>
    <x v="1"/>
    <x v="4"/>
    <x v="0"/>
    <x v="0"/>
    <x v="0"/>
    <x v="0"/>
    <x v="0"/>
    <x v="4"/>
    <s v="02"/>
    <x v="5"/>
    <x v="0"/>
    <x v="11"/>
    <x v="7"/>
    <n v="1700.56"/>
  </r>
  <r>
    <x v="5"/>
    <x v="0"/>
    <x v="1"/>
    <x v="0"/>
    <x v="1"/>
    <x v="4"/>
    <x v="0"/>
    <x v="0"/>
    <x v="0"/>
    <x v="0"/>
    <x v="0"/>
    <x v="4"/>
    <s v="02"/>
    <x v="5"/>
    <x v="0"/>
    <x v="11"/>
    <x v="6"/>
    <n v="-5322.12"/>
  </r>
  <r>
    <x v="5"/>
    <x v="0"/>
    <x v="1"/>
    <x v="0"/>
    <x v="1"/>
    <x v="4"/>
    <x v="0"/>
    <x v="0"/>
    <x v="0"/>
    <x v="0"/>
    <x v="0"/>
    <x v="4"/>
    <s v="02"/>
    <x v="5"/>
    <x v="0"/>
    <x v="11"/>
    <x v="1"/>
    <n v="-2009.07"/>
  </r>
  <r>
    <x v="5"/>
    <x v="0"/>
    <x v="1"/>
    <x v="0"/>
    <x v="1"/>
    <x v="4"/>
    <x v="0"/>
    <x v="0"/>
    <x v="0"/>
    <x v="0"/>
    <x v="0"/>
    <x v="4"/>
    <s v="05"/>
    <x v="38"/>
    <x v="0"/>
    <x v="10"/>
    <x v="6"/>
    <n v="-20"/>
  </r>
  <r>
    <x v="5"/>
    <x v="0"/>
    <x v="1"/>
    <x v="0"/>
    <x v="1"/>
    <x v="4"/>
    <x v="0"/>
    <x v="0"/>
    <x v="0"/>
    <x v="0"/>
    <x v="0"/>
    <x v="4"/>
    <s v="20"/>
    <x v="7"/>
    <x v="0"/>
    <x v="10"/>
    <x v="0"/>
    <n v="19684.25"/>
  </r>
  <r>
    <x v="5"/>
    <x v="0"/>
    <x v="1"/>
    <x v="0"/>
    <x v="1"/>
    <x v="4"/>
    <x v="0"/>
    <x v="0"/>
    <x v="0"/>
    <x v="0"/>
    <x v="0"/>
    <x v="4"/>
    <s v="20"/>
    <x v="7"/>
    <x v="0"/>
    <x v="10"/>
    <x v="2"/>
    <n v="-513.67999999999995"/>
  </r>
  <r>
    <x v="5"/>
    <x v="0"/>
    <x v="1"/>
    <x v="0"/>
    <x v="1"/>
    <x v="4"/>
    <x v="0"/>
    <x v="0"/>
    <x v="0"/>
    <x v="0"/>
    <x v="0"/>
    <x v="4"/>
    <s v="20"/>
    <x v="7"/>
    <x v="0"/>
    <x v="10"/>
    <x v="8"/>
    <n v="753.19"/>
  </r>
  <r>
    <x v="5"/>
    <x v="0"/>
    <x v="1"/>
    <x v="0"/>
    <x v="1"/>
    <x v="4"/>
    <x v="0"/>
    <x v="0"/>
    <x v="0"/>
    <x v="0"/>
    <x v="0"/>
    <x v="4"/>
    <s v="20"/>
    <x v="7"/>
    <x v="0"/>
    <x v="10"/>
    <x v="9"/>
    <n v="562.48"/>
  </r>
  <r>
    <x v="5"/>
    <x v="0"/>
    <x v="1"/>
    <x v="0"/>
    <x v="1"/>
    <x v="4"/>
    <x v="0"/>
    <x v="0"/>
    <x v="0"/>
    <x v="0"/>
    <x v="0"/>
    <x v="4"/>
    <s v="20"/>
    <x v="7"/>
    <x v="0"/>
    <x v="10"/>
    <x v="10"/>
    <n v="-417.43"/>
  </r>
  <r>
    <x v="5"/>
    <x v="0"/>
    <x v="1"/>
    <x v="0"/>
    <x v="1"/>
    <x v="4"/>
    <x v="0"/>
    <x v="0"/>
    <x v="0"/>
    <x v="0"/>
    <x v="0"/>
    <x v="4"/>
    <s v="20"/>
    <x v="7"/>
    <x v="0"/>
    <x v="10"/>
    <x v="11"/>
    <n v="212"/>
  </r>
  <r>
    <x v="5"/>
    <x v="0"/>
    <x v="1"/>
    <x v="0"/>
    <x v="1"/>
    <x v="4"/>
    <x v="0"/>
    <x v="0"/>
    <x v="0"/>
    <x v="0"/>
    <x v="0"/>
    <x v="4"/>
    <s v="20"/>
    <x v="7"/>
    <x v="0"/>
    <x v="10"/>
    <x v="3"/>
    <n v="-368.88"/>
  </r>
  <r>
    <x v="5"/>
    <x v="0"/>
    <x v="1"/>
    <x v="0"/>
    <x v="1"/>
    <x v="4"/>
    <x v="0"/>
    <x v="0"/>
    <x v="0"/>
    <x v="0"/>
    <x v="0"/>
    <x v="4"/>
    <s v="20"/>
    <x v="7"/>
    <x v="0"/>
    <x v="10"/>
    <x v="4"/>
    <n v="24832.28"/>
  </r>
  <r>
    <x v="5"/>
    <x v="0"/>
    <x v="1"/>
    <x v="0"/>
    <x v="1"/>
    <x v="4"/>
    <x v="0"/>
    <x v="0"/>
    <x v="0"/>
    <x v="0"/>
    <x v="0"/>
    <x v="4"/>
    <s v="20"/>
    <x v="7"/>
    <x v="0"/>
    <x v="10"/>
    <x v="7"/>
    <n v="-24112.2"/>
  </r>
  <r>
    <x v="5"/>
    <x v="0"/>
    <x v="1"/>
    <x v="0"/>
    <x v="1"/>
    <x v="4"/>
    <x v="0"/>
    <x v="0"/>
    <x v="0"/>
    <x v="0"/>
    <x v="0"/>
    <x v="4"/>
    <s v="20"/>
    <x v="7"/>
    <x v="0"/>
    <x v="10"/>
    <x v="5"/>
    <n v="-14255.26"/>
  </r>
  <r>
    <x v="5"/>
    <x v="0"/>
    <x v="1"/>
    <x v="0"/>
    <x v="1"/>
    <x v="4"/>
    <x v="0"/>
    <x v="0"/>
    <x v="0"/>
    <x v="0"/>
    <x v="0"/>
    <x v="4"/>
    <s v="20"/>
    <x v="7"/>
    <x v="0"/>
    <x v="10"/>
    <x v="1"/>
    <n v="-126605.43"/>
  </r>
  <r>
    <x v="5"/>
    <x v="0"/>
    <x v="1"/>
    <x v="0"/>
    <x v="1"/>
    <x v="4"/>
    <x v="0"/>
    <x v="0"/>
    <x v="0"/>
    <x v="0"/>
    <x v="0"/>
    <x v="4"/>
    <s v="20"/>
    <x v="7"/>
    <x v="0"/>
    <x v="11"/>
    <x v="0"/>
    <n v="-6306.05"/>
  </r>
  <r>
    <x v="5"/>
    <x v="0"/>
    <x v="1"/>
    <x v="0"/>
    <x v="1"/>
    <x v="4"/>
    <x v="0"/>
    <x v="0"/>
    <x v="0"/>
    <x v="0"/>
    <x v="0"/>
    <x v="4"/>
    <s v="20"/>
    <x v="7"/>
    <x v="0"/>
    <x v="11"/>
    <x v="2"/>
    <n v="1015.47"/>
  </r>
  <r>
    <x v="5"/>
    <x v="0"/>
    <x v="1"/>
    <x v="0"/>
    <x v="1"/>
    <x v="4"/>
    <x v="0"/>
    <x v="0"/>
    <x v="0"/>
    <x v="0"/>
    <x v="0"/>
    <x v="4"/>
    <s v="20"/>
    <x v="7"/>
    <x v="0"/>
    <x v="11"/>
    <x v="8"/>
    <n v="7876.56"/>
  </r>
  <r>
    <x v="5"/>
    <x v="0"/>
    <x v="1"/>
    <x v="0"/>
    <x v="1"/>
    <x v="4"/>
    <x v="0"/>
    <x v="0"/>
    <x v="0"/>
    <x v="0"/>
    <x v="0"/>
    <x v="4"/>
    <s v="20"/>
    <x v="7"/>
    <x v="0"/>
    <x v="11"/>
    <x v="9"/>
    <n v="-8717.24"/>
  </r>
  <r>
    <x v="5"/>
    <x v="0"/>
    <x v="1"/>
    <x v="0"/>
    <x v="1"/>
    <x v="4"/>
    <x v="0"/>
    <x v="0"/>
    <x v="0"/>
    <x v="0"/>
    <x v="0"/>
    <x v="4"/>
    <s v="20"/>
    <x v="7"/>
    <x v="0"/>
    <x v="11"/>
    <x v="10"/>
    <n v="39709.32"/>
  </r>
  <r>
    <x v="5"/>
    <x v="0"/>
    <x v="1"/>
    <x v="0"/>
    <x v="1"/>
    <x v="4"/>
    <x v="0"/>
    <x v="0"/>
    <x v="0"/>
    <x v="0"/>
    <x v="0"/>
    <x v="4"/>
    <s v="20"/>
    <x v="7"/>
    <x v="0"/>
    <x v="11"/>
    <x v="11"/>
    <n v="-136.97"/>
  </r>
  <r>
    <x v="5"/>
    <x v="0"/>
    <x v="1"/>
    <x v="0"/>
    <x v="1"/>
    <x v="4"/>
    <x v="0"/>
    <x v="0"/>
    <x v="0"/>
    <x v="0"/>
    <x v="0"/>
    <x v="4"/>
    <s v="20"/>
    <x v="7"/>
    <x v="0"/>
    <x v="11"/>
    <x v="3"/>
    <n v="21.78"/>
  </r>
  <r>
    <x v="5"/>
    <x v="0"/>
    <x v="1"/>
    <x v="0"/>
    <x v="1"/>
    <x v="4"/>
    <x v="0"/>
    <x v="0"/>
    <x v="0"/>
    <x v="0"/>
    <x v="0"/>
    <x v="4"/>
    <s v="20"/>
    <x v="7"/>
    <x v="0"/>
    <x v="11"/>
    <x v="4"/>
    <n v="44270.11"/>
  </r>
  <r>
    <x v="5"/>
    <x v="0"/>
    <x v="1"/>
    <x v="0"/>
    <x v="1"/>
    <x v="4"/>
    <x v="0"/>
    <x v="0"/>
    <x v="0"/>
    <x v="0"/>
    <x v="0"/>
    <x v="4"/>
    <s v="20"/>
    <x v="7"/>
    <x v="0"/>
    <x v="11"/>
    <x v="7"/>
    <n v="-3349.24"/>
  </r>
  <r>
    <x v="5"/>
    <x v="0"/>
    <x v="1"/>
    <x v="0"/>
    <x v="1"/>
    <x v="4"/>
    <x v="0"/>
    <x v="0"/>
    <x v="0"/>
    <x v="0"/>
    <x v="0"/>
    <x v="4"/>
    <s v="20"/>
    <x v="7"/>
    <x v="0"/>
    <x v="11"/>
    <x v="5"/>
    <n v="72"/>
  </r>
  <r>
    <x v="5"/>
    <x v="0"/>
    <x v="1"/>
    <x v="0"/>
    <x v="1"/>
    <x v="4"/>
    <x v="0"/>
    <x v="0"/>
    <x v="0"/>
    <x v="0"/>
    <x v="0"/>
    <x v="4"/>
    <s v="20"/>
    <x v="7"/>
    <x v="0"/>
    <x v="11"/>
    <x v="6"/>
    <n v="4835"/>
  </r>
  <r>
    <x v="5"/>
    <x v="0"/>
    <x v="1"/>
    <x v="0"/>
    <x v="1"/>
    <x v="4"/>
    <x v="0"/>
    <x v="0"/>
    <x v="0"/>
    <x v="0"/>
    <x v="0"/>
    <x v="4"/>
    <s v="20"/>
    <x v="7"/>
    <x v="0"/>
    <x v="11"/>
    <x v="1"/>
    <n v="-55623.93"/>
  </r>
  <r>
    <x v="5"/>
    <x v="0"/>
    <x v="1"/>
    <x v="0"/>
    <x v="1"/>
    <x v="4"/>
    <x v="0"/>
    <x v="0"/>
    <x v="0"/>
    <x v="0"/>
    <x v="0"/>
    <x v="4"/>
    <s v="24"/>
    <x v="1"/>
    <x v="0"/>
    <x v="10"/>
    <x v="10"/>
    <n v="85550447.680000007"/>
  </r>
  <r>
    <x v="5"/>
    <x v="0"/>
    <x v="1"/>
    <x v="0"/>
    <x v="1"/>
    <x v="4"/>
    <x v="0"/>
    <x v="0"/>
    <x v="0"/>
    <x v="0"/>
    <x v="0"/>
    <x v="4"/>
    <s v="24"/>
    <x v="1"/>
    <x v="0"/>
    <x v="10"/>
    <x v="11"/>
    <n v="37258168.149999999"/>
  </r>
  <r>
    <x v="5"/>
    <x v="0"/>
    <x v="1"/>
    <x v="0"/>
    <x v="1"/>
    <x v="4"/>
    <x v="0"/>
    <x v="0"/>
    <x v="0"/>
    <x v="0"/>
    <x v="0"/>
    <x v="4"/>
    <s v="24"/>
    <x v="1"/>
    <x v="0"/>
    <x v="10"/>
    <x v="3"/>
    <n v="-2186270.16"/>
  </r>
  <r>
    <x v="5"/>
    <x v="0"/>
    <x v="1"/>
    <x v="0"/>
    <x v="1"/>
    <x v="4"/>
    <x v="0"/>
    <x v="0"/>
    <x v="0"/>
    <x v="0"/>
    <x v="0"/>
    <x v="4"/>
    <s v="24"/>
    <x v="1"/>
    <x v="0"/>
    <x v="10"/>
    <x v="4"/>
    <n v="-10217104.810000001"/>
  </r>
  <r>
    <x v="5"/>
    <x v="0"/>
    <x v="1"/>
    <x v="0"/>
    <x v="1"/>
    <x v="4"/>
    <x v="0"/>
    <x v="0"/>
    <x v="0"/>
    <x v="0"/>
    <x v="0"/>
    <x v="4"/>
    <s v="24"/>
    <x v="1"/>
    <x v="0"/>
    <x v="10"/>
    <x v="7"/>
    <n v="119523610.88"/>
  </r>
  <r>
    <x v="5"/>
    <x v="0"/>
    <x v="1"/>
    <x v="0"/>
    <x v="1"/>
    <x v="4"/>
    <x v="0"/>
    <x v="0"/>
    <x v="0"/>
    <x v="0"/>
    <x v="0"/>
    <x v="4"/>
    <s v="24"/>
    <x v="1"/>
    <x v="0"/>
    <x v="10"/>
    <x v="5"/>
    <n v="-2158915.86"/>
  </r>
  <r>
    <x v="5"/>
    <x v="0"/>
    <x v="1"/>
    <x v="0"/>
    <x v="1"/>
    <x v="4"/>
    <x v="0"/>
    <x v="0"/>
    <x v="0"/>
    <x v="0"/>
    <x v="0"/>
    <x v="4"/>
    <s v="24"/>
    <x v="1"/>
    <x v="0"/>
    <x v="10"/>
    <x v="6"/>
    <n v="-8100962.9199999999"/>
  </r>
  <r>
    <x v="5"/>
    <x v="0"/>
    <x v="1"/>
    <x v="0"/>
    <x v="1"/>
    <x v="4"/>
    <x v="0"/>
    <x v="0"/>
    <x v="0"/>
    <x v="0"/>
    <x v="0"/>
    <x v="4"/>
    <s v="24"/>
    <x v="1"/>
    <x v="0"/>
    <x v="10"/>
    <x v="1"/>
    <n v="17112922.859999999"/>
  </r>
  <r>
    <x v="5"/>
    <x v="0"/>
    <x v="1"/>
    <x v="0"/>
    <x v="1"/>
    <x v="4"/>
    <x v="0"/>
    <x v="0"/>
    <x v="0"/>
    <x v="0"/>
    <x v="0"/>
    <x v="4"/>
    <s v="24"/>
    <x v="1"/>
    <x v="0"/>
    <x v="11"/>
    <x v="0"/>
    <n v="-3219.08"/>
  </r>
  <r>
    <x v="5"/>
    <x v="0"/>
    <x v="1"/>
    <x v="0"/>
    <x v="1"/>
    <x v="4"/>
    <x v="0"/>
    <x v="0"/>
    <x v="0"/>
    <x v="0"/>
    <x v="0"/>
    <x v="4"/>
    <s v="24"/>
    <x v="1"/>
    <x v="0"/>
    <x v="11"/>
    <x v="2"/>
    <n v="2396.5700000000002"/>
  </r>
  <r>
    <x v="5"/>
    <x v="0"/>
    <x v="1"/>
    <x v="0"/>
    <x v="1"/>
    <x v="4"/>
    <x v="0"/>
    <x v="0"/>
    <x v="0"/>
    <x v="0"/>
    <x v="0"/>
    <x v="4"/>
    <s v="24"/>
    <x v="1"/>
    <x v="0"/>
    <x v="11"/>
    <x v="8"/>
    <n v="157107360.08000001"/>
  </r>
  <r>
    <x v="5"/>
    <x v="0"/>
    <x v="1"/>
    <x v="0"/>
    <x v="1"/>
    <x v="4"/>
    <x v="0"/>
    <x v="0"/>
    <x v="0"/>
    <x v="0"/>
    <x v="0"/>
    <x v="4"/>
    <s v="24"/>
    <x v="1"/>
    <x v="0"/>
    <x v="11"/>
    <x v="9"/>
    <n v="-4479728.83"/>
  </r>
  <r>
    <x v="5"/>
    <x v="0"/>
    <x v="1"/>
    <x v="0"/>
    <x v="1"/>
    <x v="4"/>
    <x v="0"/>
    <x v="0"/>
    <x v="0"/>
    <x v="0"/>
    <x v="0"/>
    <x v="4"/>
    <s v="24"/>
    <x v="1"/>
    <x v="0"/>
    <x v="11"/>
    <x v="10"/>
    <n v="-11938654.539999999"/>
  </r>
  <r>
    <x v="5"/>
    <x v="0"/>
    <x v="1"/>
    <x v="0"/>
    <x v="1"/>
    <x v="4"/>
    <x v="0"/>
    <x v="0"/>
    <x v="0"/>
    <x v="0"/>
    <x v="0"/>
    <x v="4"/>
    <s v="24"/>
    <x v="1"/>
    <x v="0"/>
    <x v="11"/>
    <x v="11"/>
    <n v="150256561.24000001"/>
  </r>
  <r>
    <x v="5"/>
    <x v="0"/>
    <x v="1"/>
    <x v="0"/>
    <x v="1"/>
    <x v="4"/>
    <x v="0"/>
    <x v="0"/>
    <x v="0"/>
    <x v="0"/>
    <x v="0"/>
    <x v="4"/>
    <s v="24"/>
    <x v="1"/>
    <x v="0"/>
    <x v="11"/>
    <x v="3"/>
    <n v="-1779418.5"/>
  </r>
  <r>
    <x v="5"/>
    <x v="0"/>
    <x v="1"/>
    <x v="0"/>
    <x v="1"/>
    <x v="4"/>
    <x v="0"/>
    <x v="0"/>
    <x v="0"/>
    <x v="0"/>
    <x v="0"/>
    <x v="4"/>
    <s v="24"/>
    <x v="1"/>
    <x v="0"/>
    <x v="11"/>
    <x v="4"/>
    <n v="-11655234.99"/>
  </r>
  <r>
    <x v="5"/>
    <x v="0"/>
    <x v="1"/>
    <x v="0"/>
    <x v="1"/>
    <x v="4"/>
    <x v="0"/>
    <x v="0"/>
    <x v="0"/>
    <x v="0"/>
    <x v="0"/>
    <x v="4"/>
    <s v="24"/>
    <x v="1"/>
    <x v="0"/>
    <x v="11"/>
    <x v="7"/>
    <n v="-1684062.05"/>
  </r>
  <r>
    <x v="5"/>
    <x v="0"/>
    <x v="1"/>
    <x v="0"/>
    <x v="1"/>
    <x v="4"/>
    <x v="0"/>
    <x v="0"/>
    <x v="0"/>
    <x v="0"/>
    <x v="0"/>
    <x v="4"/>
    <s v="24"/>
    <x v="1"/>
    <x v="0"/>
    <x v="11"/>
    <x v="5"/>
    <n v="124148.78"/>
  </r>
  <r>
    <x v="5"/>
    <x v="0"/>
    <x v="1"/>
    <x v="0"/>
    <x v="1"/>
    <x v="4"/>
    <x v="0"/>
    <x v="0"/>
    <x v="0"/>
    <x v="0"/>
    <x v="0"/>
    <x v="4"/>
    <s v="24"/>
    <x v="1"/>
    <x v="0"/>
    <x v="11"/>
    <x v="6"/>
    <n v="129103143.84"/>
  </r>
  <r>
    <x v="5"/>
    <x v="0"/>
    <x v="1"/>
    <x v="0"/>
    <x v="1"/>
    <x v="4"/>
    <x v="0"/>
    <x v="0"/>
    <x v="0"/>
    <x v="0"/>
    <x v="0"/>
    <x v="4"/>
    <s v="24"/>
    <x v="1"/>
    <x v="0"/>
    <x v="11"/>
    <x v="1"/>
    <n v="34562.69"/>
  </r>
  <r>
    <x v="5"/>
    <x v="0"/>
    <x v="1"/>
    <x v="0"/>
    <x v="1"/>
    <x v="4"/>
    <x v="0"/>
    <x v="0"/>
    <x v="0"/>
    <x v="0"/>
    <x v="0"/>
    <x v="4"/>
    <s v="30"/>
    <x v="3"/>
    <x v="0"/>
    <x v="10"/>
    <x v="2"/>
    <n v="75"/>
  </r>
  <r>
    <x v="5"/>
    <x v="0"/>
    <x v="1"/>
    <x v="0"/>
    <x v="1"/>
    <x v="4"/>
    <x v="0"/>
    <x v="0"/>
    <x v="0"/>
    <x v="0"/>
    <x v="0"/>
    <x v="4"/>
    <s v="30"/>
    <x v="3"/>
    <x v="0"/>
    <x v="10"/>
    <x v="8"/>
    <n v="4290"/>
  </r>
  <r>
    <x v="5"/>
    <x v="0"/>
    <x v="1"/>
    <x v="0"/>
    <x v="1"/>
    <x v="4"/>
    <x v="0"/>
    <x v="0"/>
    <x v="0"/>
    <x v="0"/>
    <x v="0"/>
    <x v="4"/>
    <s v="30"/>
    <x v="3"/>
    <x v="0"/>
    <x v="10"/>
    <x v="9"/>
    <n v="-8"/>
  </r>
  <r>
    <x v="5"/>
    <x v="0"/>
    <x v="1"/>
    <x v="0"/>
    <x v="1"/>
    <x v="4"/>
    <x v="0"/>
    <x v="0"/>
    <x v="0"/>
    <x v="0"/>
    <x v="0"/>
    <x v="4"/>
    <s v="30"/>
    <x v="3"/>
    <x v="0"/>
    <x v="10"/>
    <x v="10"/>
    <n v="-118.33"/>
  </r>
  <r>
    <x v="5"/>
    <x v="0"/>
    <x v="1"/>
    <x v="0"/>
    <x v="1"/>
    <x v="4"/>
    <x v="0"/>
    <x v="0"/>
    <x v="0"/>
    <x v="0"/>
    <x v="0"/>
    <x v="4"/>
    <s v="30"/>
    <x v="3"/>
    <x v="0"/>
    <x v="10"/>
    <x v="11"/>
    <n v="3338.33"/>
  </r>
  <r>
    <x v="5"/>
    <x v="0"/>
    <x v="1"/>
    <x v="0"/>
    <x v="1"/>
    <x v="4"/>
    <x v="0"/>
    <x v="0"/>
    <x v="0"/>
    <x v="0"/>
    <x v="0"/>
    <x v="4"/>
    <s v="30"/>
    <x v="3"/>
    <x v="0"/>
    <x v="10"/>
    <x v="3"/>
    <n v="720"/>
  </r>
  <r>
    <x v="5"/>
    <x v="0"/>
    <x v="1"/>
    <x v="0"/>
    <x v="1"/>
    <x v="4"/>
    <x v="0"/>
    <x v="0"/>
    <x v="0"/>
    <x v="0"/>
    <x v="0"/>
    <x v="4"/>
    <s v="30"/>
    <x v="3"/>
    <x v="0"/>
    <x v="10"/>
    <x v="7"/>
    <n v="570"/>
  </r>
  <r>
    <x v="5"/>
    <x v="0"/>
    <x v="1"/>
    <x v="0"/>
    <x v="1"/>
    <x v="4"/>
    <x v="0"/>
    <x v="0"/>
    <x v="0"/>
    <x v="0"/>
    <x v="0"/>
    <x v="4"/>
    <s v="30"/>
    <x v="3"/>
    <x v="0"/>
    <x v="10"/>
    <x v="5"/>
    <n v="-1720"/>
  </r>
  <r>
    <x v="5"/>
    <x v="0"/>
    <x v="1"/>
    <x v="0"/>
    <x v="1"/>
    <x v="4"/>
    <x v="0"/>
    <x v="0"/>
    <x v="0"/>
    <x v="0"/>
    <x v="0"/>
    <x v="4"/>
    <s v="30"/>
    <x v="3"/>
    <x v="0"/>
    <x v="10"/>
    <x v="6"/>
    <n v="-1200"/>
  </r>
  <r>
    <x v="5"/>
    <x v="0"/>
    <x v="1"/>
    <x v="0"/>
    <x v="1"/>
    <x v="4"/>
    <x v="0"/>
    <x v="0"/>
    <x v="0"/>
    <x v="0"/>
    <x v="0"/>
    <x v="4"/>
    <s v="30"/>
    <x v="3"/>
    <x v="0"/>
    <x v="10"/>
    <x v="1"/>
    <n v="-533"/>
  </r>
  <r>
    <x v="5"/>
    <x v="0"/>
    <x v="1"/>
    <x v="0"/>
    <x v="1"/>
    <x v="4"/>
    <x v="0"/>
    <x v="0"/>
    <x v="0"/>
    <x v="0"/>
    <x v="0"/>
    <x v="4"/>
    <s v="30"/>
    <x v="3"/>
    <x v="0"/>
    <x v="11"/>
    <x v="0"/>
    <n v="-5430"/>
  </r>
  <r>
    <x v="5"/>
    <x v="0"/>
    <x v="1"/>
    <x v="0"/>
    <x v="1"/>
    <x v="4"/>
    <x v="0"/>
    <x v="0"/>
    <x v="0"/>
    <x v="0"/>
    <x v="0"/>
    <x v="4"/>
    <s v="30"/>
    <x v="3"/>
    <x v="0"/>
    <x v="11"/>
    <x v="8"/>
    <n v="376773"/>
  </r>
  <r>
    <x v="5"/>
    <x v="0"/>
    <x v="1"/>
    <x v="0"/>
    <x v="1"/>
    <x v="4"/>
    <x v="0"/>
    <x v="0"/>
    <x v="0"/>
    <x v="0"/>
    <x v="0"/>
    <x v="4"/>
    <s v="30"/>
    <x v="3"/>
    <x v="0"/>
    <x v="11"/>
    <x v="9"/>
    <n v="-333405"/>
  </r>
  <r>
    <x v="5"/>
    <x v="0"/>
    <x v="1"/>
    <x v="0"/>
    <x v="1"/>
    <x v="4"/>
    <x v="0"/>
    <x v="0"/>
    <x v="0"/>
    <x v="0"/>
    <x v="0"/>
    <x v="4"/>
    <s v="30"/>
    <x v="3"/>
    <x v="0"/>
    <x v="11"/>
    <x v="11"/>
    <n v="500"/>
  </r>
  <r>
    <x v="5"/>
    <x v="0"/>
    <x v="1"/>
    <x v="0"/>
    <x v="1"/>
    <x v="4"/>
    <x v="0"/>
    <x v="0"/>
    <x v="0"/>
    <x v="0"/>
    <x v="0"/>
    <x v="4"/>
    <s v="30"/>
    <x v="3"/>
    <x v="0"/>
    <x v="11"/>
    <x v="3"/>
    <n v="50"/>
  </r>
  <r>
    <x v="5"/>
    <x v="0"/>
    <x v="1"/>
    <x v="0"/>
    <x v="1"/>
    <x v="4"/>
    <x v="0"/>
    <x v="0"/>
    <x v="0"/>
    <x v="0"/>
    <x v="0"/>
    <x v="4"/>
    <s v="30"/>
    <x v="3"/>
    <x v="0"/>
    <x v="11"/>
    <x v="4"/>
    <n v="-159.6"/>
  </r>
  <r>
    <x v="5"/>
    <x v="0"/>
    <x v="1"/>
    <x v="0"/>
    <x v="1"/>
    <x v="4"/>
    <x v="0"/>
    <x v="0"/>
    <x v="0"/>
    <x v="0"/>
    <x v="0"/>
    <x v="4"/>
    <s v="30"/>
    <x v="3"/>
    <x v="0"/>
    <x v="11"/>
    <x v="7"/>
    <n v="-42523"/>
  </r>
  <r>
    <x v="5"/>
    <x v="0"/>
    <x v="1"/>
    <x v="0"/>
    <x v="1"/>
    <x v="4"/>
    <x v="0"/>
    <x v="0"/>
    <x v="0"/>
    <x v="0"/>
    <x v="0"/>
    <x v="4"/>
    <s v="30"/>
    <x v="3"/>
    <x v="0"/>
    <x v="11"/>
    <x v="5"/>
    <n v="996.53"/>
  </r>
  <r>
    <x v="5"/>
    <x v="0"/>
    <x v="1"/>
    <x v="0"/>
    <x v="1"/>
    <x v="4"/>
    <x v="0"/>
    <x v="0"/>
    <x v="0"/>
    <x v="0"/>
    <x v="0"/>
    <x v="4"/>
    <s v="30"/>
    <x v="3"/>
    <x v="0"/>
    <x v="11"/>
    <x v="6"/>
    <n v="-1814.25"/>
  </r>
  <r>
    <x v="5"/>
    <x v="0"/>
    <x v="1"/>
    <x v="0"/>
    <x v="1"/>
    <x v="4"/>
    <x v="0"/>
    <x v="0"/>
    <x v="0"/>
    <x v="0"/>
    <x v="0"/>
    <x v="4"/>
    <s v="30"/>
    <x v="3"/>
    <x v="0"/>
    <x v="11"/>
    <x v="1"/>
    <n v="-410"/>
  </r>
  <r>
    <x v="5"/>
    <x v="0"/>
    <x v="1"/>
    <x v="0"/>
    <x v="1"/>
    <x v="4"/>
    <x v="0"/>
    <x v="0"/>
    <x v="0"/>
    <x v="0"/>
    <x v="0"/>
    <x v="4"/>
    <s v="99"/>
    <x v="9"/>
    <x v="0"/>
    <x v="10"/>
    <x v="11"/>
    <n v="-144"/>
  </r>
  <r>
    <x v="5"/>
    <x v="0"/>
    <x v="1"/>
    <x v="0"/>
    <x v="1"/>
    <x v="4"/>
    <x v="0"/>
    <x v="0"/>
    <x v="0"/>
    <x v="0"/>
    <x v="0"/>
    <x v="4"/>
    <s v="99"/>
    <x v="9"/>
    <x v="0"/>
    <x v="10"/>
    <x v="3"/>
    <n v="100621544.45999999"/>
  </r>
  <r>
    <x v="5"/>
    <x v="0"/>
    <x v="1"/>
    <x v="0"/>
    <x v="1"/>
    <x v="4"/>
    <x v="0"/>
    <x v="0"/>
    <x v="0"/>
    <x v="0"/>
    <x v="0"/>
    <x v="4"/>
    <s v="99"/>
    <x v="9"/>
    <x v="0"/>
    <x v="10"/>
    <x v="4"/>
    <n v="-15497281.310000001"/>
  </r>
  <r>
    <x v="5"/>
    <x v="0"/>
    <x v="1"/>
    <x v="0"/>
    <x v="1"/>
    <x v="4"/>
    <x v="0"/>
    <x v="0"/>
    <x v="0"/>
    <x v="0"/>
    <x v="0"/>
    <x v="4"/>
    <s v="99"/>
    <x v="9"/>
    <x v="0"/>
    <x v="10"/>
    <x v="7"/>
    <n v="-78239104.150000006"/>
  </r>
  <r>
    <x v="5"/>
    <x v="0"/>
    <x v="1"/>
    <x v="0"/>
    <x v="1"/>
    <x v="4"/>
    <x v="0"/>
    <x v="0"/>
    <x v="0"/>
    <x v="0"/>
    <x v="0"/>
    <x v="4"/>
    <s v="99"/>
    <x v="9"/>
    <x v="0"/>
    <x v="10"/>
    <x v="5"/>
    <n v="72832426.280000001"/>
  </r>
  <r>
    <x v="5"/>
    <x v="0"/>
    <x v="1"/>
    <x v="0"/>
    <x v="1"/>
    <x v="4"/>
    <x v="0"/>
    <x v="0"/>
    <x v="0"/>
    <x v="0"/>
    <x v="0"/>
    <x v="4"/>
    <s v="99"/>
    <x v="9"/>
    <x v="0"/>
    <x v="10"/>
    <x v="6"/>
    <n v="-52805149.390000001"/>
  </r>
  <r>
    <x v="5"/>
    <x v="0"/>
    <x v="1"/>
    <x v="0"/>
    <x v="1"/>
    <x v="4"/>
    <x v="0"/>
    <x v="0"/>
    <x v="0"/>
    <x v="0"/>
    <x v="0"/>
    <x v="4"/>
    <s v="99"/>
    <x v="9"/>
    <x v="0"/>
    <x v="10"/>
    <x v="1"/>
    <n v="-80067500.370000005"/>
  </r>
  <r>
    <x v="5"/>
    <x v="0"/>
    <x v="1"/>
    <x v="0"/>
    <x v="1"/>
    <x v="4"/>
    <x v="0"/>
    <x v="0"/>
    <x v="0"/>
    <x v="0"/>
    <x v="0"/>
    <x v="4"/>
    <s v="99"/>
    <x v="9"/>
    <x v="0"/>
    <x v="11"/>
    <x v="0"/>
    <n v="28566604.93"/>
  </r>
  <r>
    <x v="5"/>
    <x v="0"/>
    <x v="1"/>
    <x v="0"/>
    <x v="1"/>
    <x v="4"/>
    <x v="0"/>
    <x v="0"/>
    <x v="0"/>
    <x v="0"/>
    <x v="0"/>
    <x v="4"/>
    <s v="99"/>
    <x v="9"/>
    <x v="0"/>
    <x v="11"/>
    <x v="2"/>
    <n v="-1270603.74"/>
  </r>
  <r>
    <x v="5"/>
    <x v="0"/>
    <x v="1"/>
    <x v="0"/>
    <x v="1"/>
    <x v="4"/>
    <x v="0"/>
    <x v="0"/>
    <x v="0"/>
    <x v="0"/>
    <x v="0"/>
    <x v="4"/>
    <s v="99"/>
    <x v="9"/>
    <x v="0"/>
    <x v="11"/>
    <x v="8"/>
    <n v="-87915992.819999993"/>
  </r>
  <r>
    <x v="5"/>
    <x v="0"/>
    <x v="1"/>
    <x v="0"/>
    <x v="1"/>
    <x v="4"/>
    <x v="0"/>
    <x v="0"/>
    <x v="0"/>
    <x v="0"/>
    <x v="0"/>
    <x v="4"/>
    <s v="99"/>
    <x v="9"/>
    <x v="0"/>
    <x v="11"/>
    <x v="9"/>
    <n v="85803379.620000005"/>
  </r>
  <r>
    <x v="5"/>
    <x v="0"/>
    <x v="1"/>
    <x v="0"/>
    <x v="1"/>
    <x v="4"/>
    <x v="0"/>
    <x v="0"/>
    <x v="0"/>
    <x v="0"/>
    <x v="0"/>
    <x v="4"/>
    <s v="99"/>
    <x v="9"/>
    <x v="0"/>
    <x v="11"/>
    <x v="10"/>
    <n v="2794910.02"/>
  </r>
  <r>
    <x v="5"/>
    <x v="0"/>
    <x v="1"/>
    <x v="0"/>
    <x v="1"/>
    <x v="4"/>
    <x v="0"/>
    <x v="0"/>
    <x v="0"/>
    <x v="0"/>
    <x v="0"/>
    <x v="4"/>
    <s v="99"/>
    <x v="9"/>
    <x v="0"/>
    <x v="11"/>
    <x v="11"/>
    <n v="-97591546.670000002"/>
  </r>
  <r>
    <x v="5"/>
    <x v="0"/>
    <x v="1"/>
    <x v="0"/>
    <x v="1"/>
    <x v="4"/>
    <x v="0"/>
    <x v="0"/>
    <x v="0"/>
    <x v="0"/>
    <x v="0"/>
    <x v="4"/>
    <s v="99"/>
    <x v="9"/>
    <x v="0"/>
    <x v="11"/>
    <x v="3"/>
    <n v="97200262.099999994"/>
  </r>
  <r>
    <x v="5"/>
    <x v="0"/>
    <x v="1"/>
    <x v="0"/>
    <x v="1"/>
    <x v="4"/>
    <x v="0"/>
    <x v="0"/>
    <x v="0"/>
    <x v="0"/>
    <x v="0"/>
    <x v="4"/>
    <s v="99"/>
    <x v="9"/>
    <x v="0"/>
    <x v="11"/>
    <x v="4"/>
    <n v="2722217.89"/>
  </r>
  <r>
    <x v="5"/>
    <x v="0"/>
    <x v="1"/>
    <x v="0"/>
    <x v="1"/>
    <x v="4"/>
    <x v="0"/>
    <x v="0"/>
    <x v="0"/>
    <x v="0"/>
    <x v="0"/>
    <x v="4"/>
    <s v="99"/>
    <x v="9"/>
    <x v="0"/>
    <x v="11"/>
    <x v="7"/>
    <n v="-30304178.5"/>
  </r>
  <r>
    <x v="5"/>
    <x v="0"/>
    <x v="1"/>
    <x v="0"/>
    <x v="1"/>
    <x v="4"/>
    <x v="0"/>
    <x v="0"/>
    <x v="0"/>
    <x v="0"/>
    <x v="0"/>
    <x v="4"/>
    <s v="99"/>
    <x v="9"/>
    <x v="0"/>
    <x v="11"/>
    <x v="5"/>
    <n v="-52.83"/>
  </r>
  <r>
    <x v="5"/>
    <x v="0"/>
    <x v="1"/>
    <x v="0"/>
    <x v="1"/>
    <x v="4"/>
    <x v="0"/>
    <x v="0"/>
    <x v="0"/>
    <x v="0"/>
    <x v="0"/>
    <x v="4"/>
    <s v="99"/>
    <x v="9"/>
    <x v="0"/>
    <x v="11"/>
    <x v="6"/>
    <n v="-5000"/>
  </r>
  <r>
    <x v="5"/>
    <x v="0"/>
    <x v="1"/>
    <x v="0"/>
    <x v="1"/>
    <x v="4"/>
    <x v="0"/>
    <x v="0"/>
    <x v="0"/>
    <x v="0"/>
    <x v="0"/>
    <x v="4"/>
    <s v="99"/>
    <x v="9"/>
    <x v="0"/>
    <x v="11"/>
    <x v="1"/>
    <n v="8"/>
  </r>
  <r>
    <x v="5"/>
    <x v="0"/>
    <x v="1"/>
    <x v="0"/>
    <x v="1"/>
    <x v="4"/>
    <x v="0"/>
    <x v="0"/>
    <x v="0"/>
    <x v="0"/>
    <x v="4"/>
    <x v="5"/>
    <s v="21"/>
    <x v="27"/>
    <x v="0"/>
    <x v="10"/>
    <x v="0"/>
    <n v="-380301.46"/>
  </r>
  <r>
    <x v="5"/>
    <x v="0"/>
    <x v="1"/>
    <x v="0"/>
    <x v="1"/>
    <x v="4"/>
    <x v="0"/>
    <x v="0"/>
    <x v="0"/>
    <x v="0"/>
    <x v="4"/>
    <x v="5"/>
    <s v="21"/>
    <x v="27"/>
    <x v="0"/>
    <x v="10"/>
    <x v="2"/>
    <n v="-378556.05"/>
  </r>
  <r>
    <x v="5"/>
    <x v="0"/>
    <x v="1"/>
    <x v="0"/>
    <x v="1"/>
    <x v="4"/>
    <x v="0"/>
    <x v="0"/>
    <x v="0"/>
    <x v="0"/>
    <x v="4"/>
    <x v="5"/>
    <s v="21"/>
    <x v="27"/>
    <x v="0"/>
    <x v="10"/>
    <x v="8"/>
    <n v="-378556.05"/>
  </r>
  <r>
    <x v="5"/>
    <x v="0"/>
    <x v="1"/>
    <x v="0"/>
    <x v="1"/>
    <x v="4"/>
    <x v="0"/>
    <x v="0"/>
    <x v="0"/>
    <x v="0"/>
    <x v="4"/>
    <x v="5"/>
    <s v="21"/>
    <x v="27"/>
    <x v="0"/>
    <x v="10"/>
    <x v="9"/>
    <n v="-60556.05"/>
  </r>
  <r>
    <x v="5"/>
    <x v="0"/>
    <x v="1"/>
    <x v="0"/>
    <x v="1"/>
    <x v="4"/>
    <x v="0"/>
    <x v="0"/>
    <x v="0"/>
    <x v="0"/>
    <x v="4"/>
    <x v="5"/>
    <s v="21"/>
    <x v="27"/>
    <x v="0"/>
    <x v="10"/>
    <x v="10"/>
    <n v="-378556.05"/>
  </r>
  <r>
    <x v="5"/>
    <x v="0"/>
    <x v="1"/>
    <x v="0"/>
    <x v="1"/>
    <x v="4"/>
    <x v="0"/>
    <x v="0"/>
    <x v="0"/>
    <x v="0"/>
    <x v="4"/>
    <x v="5"/>
    <s v="21"/>
    <x v="27"/>
    <x v="0"/>
    <x v="10"/>
    <x v="11"/>
    <n v="-378556.05"/>
  </r>
  <r>
    <x v="5"/>
    <x v="0"/>
    <x v="1"/>
    <x v="0"/>
    <x v="1"/>
    <x v="4"/>
    <x v="0"/>
    <x v="0"/>
    <x v="0"/>
    <x v="0"/>
    <x v="4"/>
    <x v="5"/>
    <s v="21"/>
    <x v="27"/>
    <x v="0"/>
    <x v="10"/>
    <x v="3"/>
    <n v="-378556.05"/>
  </r>
  <r>
    <x v="5"/>
    <x v="0"/>
    <x v="1"/>
    <x v="0"/>
    <x v="1"/>
    <x v="4"/>
    <x v="0"/>
    <x v="0"/>
    <x v="0"/>
    <x v="0"/>
    <x v="4"/>
    <x v="5"/>
    <s v="21"/>
    <x v="27"/>
    <x v="0"/>
    <x v="10"/>
    <x v="4"/>
    <n v="-1678556.05"/>
  </r>
  <r>
    <x v="5"/>
    <x v="0"/>
    <x v="1"/>
    <x v="0"/>
    <x v="1"/>
    <x v="4"/>
    <x v="0"/>
    <x v="0"/>
    <x v="0"/>
    <x v="0"/>
    <x v="4"/>
    <x v="5"/>
    <s v="21"/>
    <x v="27"/>
    <x v="0"/>
    <x v="10"/>
    <x v="7"/>
    <n v="-378556.05"/>
  </r>
  <r>
    <x v="5"/>
    <x v="0"/>
    <x v="1"/>
    <x v="0"/>
    <x v="1"/>
    <x v="4"/>
    <x v="0"/>
    <x v="0"/>
    <x v="0"/>
    <x v="0"/>
    <x v="4"/>
    <x v="5"/>
    <s v="21"/>
    <x v="27"/>
    <x v="0"/>
    <x v="10"/>
    <x v="5"/>
    <n v="-378556.05"/>
  </r>
  <r>
    <x v="5"/>
    <x v="0"/>
    <x v="1"/>
    <x v="0"/>
    <x v="1"/>
    <x v="4"/>
    <x v="0"/>
    <x v="0"/>
    <x v="0"/>
    <x v="0"/>
    <x v="4"/>
    <x v="5"/>
    <s v="21"/>
    <x v="27"/>
    <x v="0"/>
    <x v="10"/>
    <x v="6"/>
    <n v="-378556.05"/>
  </r>
  <r>
    <x v="5"/>
    <x v="0"/>
    <x v="1"/>
    <x v="0"/>
    <x v="1"/>
    <x v="4"/>
    <x v="0"/>
    <x v="0"/>
    <x v="0"/>
    <x v="0"/>
    <x v="4"/>
    <x v="5"/>
    <s v="21"/>
    <x v="27"/>
    <x v="0"/>
    <x v="10"/>
    <x v="1"/>
    <n v="-3251056.04"/>
  </r>
  <r>
    <x v="5"/>
    <x v="0"/>
    <x v="1"/>
    <x v="0"/>
    <x v="1"/>
    <x v="4"/>
    <x v="0"/>
    <x v="0"/>
    <x v="0"/>
    <x v="0"/>
    <x v="4"/>
    <x v="5"/>
    <s v="21"/>
    <x v="27"/>
    <x v="0"/>
    <x v="11"/>
    <x v="0"/>
    <n v="-378556.05"/>
  </r>
  <r>
    <x v="5"/>
    <x v="0"/>
    <x v="1"/>
    <x v="0"/>
    <x v="1"/>
    <x v="4"/>
    <x v="0"/>
    <x v="0"/>
    <x v="0"/>
    <x v="0"/>
    <x v="4"/>
    <x v="5"/>
    <s v="21"/>
    <x v="27"/>
    <x v="0"/>
    <x v="11"/>
    <x v="2"/>
    <n v="-443133.5"/>
  </r>
  <r>
    <x v="5"/>
    <x v="0"/>
    <x v="1"/>
    <x v="0"/>
    <x v="1"/>
    <x v="4"/>
    <x v="0"/>
    <x v="0"/>
    <x v="0"/>
    <x v="0"/>
    <x v="4"/>
    <x v="5"/>
    <s v="21"/>
    <x v="27"/>
    <x v="0"/>
    <x v="11"/>
    <x v="8"/>
    <n v="-443133.5"/>
  </r>
  <r>
    <x v="5"/>
    <x v="0"/>
    <x v="1"/>
    <x v="0"/>
    <x v="1"/>
    <x v="4"/>
    <x v="0"/>
    <x v="0"/>
    <x v="0"/>
    <x v="0"/>
    <x v="4"/>
    <x v="5"/>
    <s v="21"/>
    <x v="27"/>
    <x v="0"/>
    <x v="11"/>
    <x v="9"/>
    <n v="110180"/>
  </r>
  <r>
    <x v="5"/>
    <x v="0"/>
    <x v="1"/>
    <x v="0"/>
    <x v="1"/>
    <x v="4"/>
    <x v="0"/>
    <x v="0"/>
    <x v="0"/>
    <x v="0"/>
    <x v="4"/>
    <x v="5"/>
    <s v="21"/>
    <x v="27"/>
    <x v="0"/>
    <x v="11"/>
    <x v="11"/>
    <n v="-1328950.5"/>
  </r>
  <r>
    <x v="5"/>
    <x v="0"/>
    <x v="1"/>
    <x v="0"/>
    <x v="1"/>
    <x v="4"/>
    <x v="0"/>
    <x v="0"/>
    <x v="0"/>
    <x v="0"/>
    <x v="4"/>
    <x v="5"/>
    <s v="21"/>
    <x v="27"/>
    <x v="0"/>
    <x v="11"/>
    <x v="3"/>
    <n v="-443133.5"/>
  </r>
  <r>
    <x v="5"/>
    <x v="0"/>
    <x v="1"/>
    <x v="0"/>
    <x v="1"/>
    <x v="4"/>
    <x v="0"/>
    <x v="0"/>
    <x v="0"/>
    <x v="0"/>
    <x v="4"/>
    <x v="5"/>
    <s v="21"/>
    <x v="27"/>
    <x v="0"/>
    <x v="11"/>
    <x v="4"/>
    <n v="-443133.5"/>
  </r>
  <r>
    <x v="5"/>
    <x v="0"/>
    <x v="1"/>
    <x v="0"/>
    <x v="1"/>
    <x v="4"/>
    <x v="0"/>
    <x v="0"/>
    <x v="0"/>
    <x v="0"/>
    <x v="4"/>
    <x v="5"/>
    <s v="21"/>
    <x v="27"/>
    <x v="0"/>
    <x v="11"/>
    <x v="7"/>
    <n v="-149335.29"/>
  </r>
  <r>
    <x v="5"/>
    <x v="0"/>
    <x v="1"/>
    <x v="0"/>
    <x v="1"/>
    <x v="4"/>
    <x v="0"/>
    <x v="0"/>
    <x v="0"/>
    <x v="0"/>
    <x v="4"/>
    <x v="5"/>
    <s v="21"/>
    <x v="27"/>
    <x v="0"/>
    <x v="11"/>
    <x v="5"/>
    <n v="-365352.5"/>
  </r>
  <r>
    <x v="5"/>
    <x v="0"/>
    <x v="1"/>
    <x v="0"/>
    <x v="1"/>
    <x v="4"/>
    <x v="0"/>
    <x v="0"/>
    <x v="0"/>
    <x v="0"/>
    <x v="4"/>
    <x v="5"/>
    <s v="21"/>
    <x v="27"/>
    <x v="0"/>
    <x v="11"/>
    <x v="6"/>
    <n v="4207153.34"/>
  </r>
  <r>
    <x v="5"/>
    <x v="0"/>
    <x v="1"/>
    <x v="0"/>
    <x v="1"/>
    <x v="4"/>
    <x v="0"/>
    <x v="0"/>
    <x v="0"/>
    <x v="0"/>
    <x v="4"/>
    <x v="5"/>
    <s v="21"/>
    <x v="27"/>
    <x v="0"/>
    <x v="11"/>
    <x v="1"/>
    <n v="-106180"/>
  </r>
  <r>
    <x v="5"/>
    <x v="0"/>
    <x v="1"/>
    <x v="0"/>
    <x v="1"/>
    <x v="4"/>
    <x v="0"/>
    <x v="0"/>
    <x v="0"/>
    <x v="0"/>
    <x v="4"/>
    <x v="5"/>
    <s v="22"/>
    <x v="25"/>
    <x v="0"/>
    <x v="10"/>
    <x v="0"/>
    <n v="-187073.33"/>
  </r>
  <r>
    <x v="5"/>
    <x v="0"/>
    <x v="1"/>
    <x v="0"/>
    <x v="1"/>
    <x v="4"/>
    <x v="0"/>
    <x v="0"/>
    <x v="0"/>
    <x v="0"/>
    <x v="4"/>
    <x v="5"/>
    <s v="22"/>
    <x v="25"/>
    <x v="0"/>
    <x v="10"/>
    <x v="8"/>
    <n v="-6470"/>
  </r>
  <r>
    <x v="5"/>
    <x v="0"/>
    <x v="1"/>
    <x v="0"/>
    <x v="1"/>
    <x v="4"/>
    <x v="0"/>
    <x v="0"/>
    <x v="0"/>
    <x v="0"/>
    <x v="4"/>
    <x v="5"/>
    <s v="22"/>
    <x v="25"/>
    <x v="0"/>
    <x v="10"/>
    <x v="5"/>
    <n v="-0.02"/>
  </r>
  <r>
    <x v="5"/>
    <x v="0"/>
    <x v="1"/>
    <x v="0"/>
    <x v="1"/>
    <x v="4"/>
    <x v="0"/>
    <x v="0"/>
    <x v="0"/>
    <x v="0"/>
    <x v="4"/>
    <x v="5"/>
    <s v="22"/>
    <x v="25"/>
    <x v="0"/>
    <x v="10"/>
    <x v="1"/>
    <n v="-13281996.9"/>
  </r>
  <r>
    <x v="5"/>
    <x v="0"/>
    <x v="1"/>
    <x v="0"/>
    <x v="1"/>
    <x v="4"/>
    <x v="0"/>
    <x v="0"/>
    <x v="0"/>
    <x v="0"/>
    <x v="4"/>
    <x v="5"/>
    <s v="22"/>
    <x v="25"/>
    <x v="0"/>
    <x v="11"/>
    <x v="0"/>
    <n v="-37342"/>
  </r>
  <r>
    <x v="5"/>
    <x v="0"/>
    <x v="1"/>
    <x v="0"/>
    <x v="1"/>
    <x v="4"/>
    <x v="0"/>
    <x v="0"/>
    <x v="0"/>
    <x v="0"/>
    <x v="4"/>
    <x v="5"/>
    <s v="22"/>
    <x v="25"/>
    <x v="0"/>
    <x v="11"/>
    <x v="2"/>
    <n v="-2263797.62"/>
  </r>
  <r>
    <x v="5"/>
    <x v="0"/>
    <x v="1"/>
    <x v="0"/>
    <x v="1"/>
    <x v="4"/>
    <x v="0"/>
    <x v="0"/>
    <x v="0"/>
    <x v="0"/>
    <x v="4"/>
    <x v="5"/>
    <s v="22"/>
    <x v="25"/>
    <x v="0"/>
    <x v="11"/>
    <x v="8"/>
    <n v="-21753"/>
  </r>
  <r>
    <x v="5"/>
    <x v="0"/>
    <x v="1"/>
    <x v="0"/>
    <x v="1"/>
    <x v="4"/>
    <x v="0"/>
    <x v="0"/>
    <x v="0"/>
    <x v="0"/>
    <x v="4"/>
    <x v="5"/>
    <s v="22"/>
    <x v="25"/>
    <x v="0"/>
    <x v="11"/>
    <x v="9"/>
    <n v="-780683"/>
  </r>
  <r>
    <x v="5"/>
    <x v="0"/>
    <x v="1"/>
    <x v="0"/>
    <x v="1"/>
    <x v="4"/>
    <x v="0"/>
    <x v="0"/>
    <x v="0"/>
    <x v="0"/>
    <x v="4"/>
    <x v="5"/>
    <s v="22"/>
    <x v="25"/>
    <x v="0"/>
    <x v="11"/>
    <x v="10"/>
    <n v="-633947"/>
  </r>
  <r>
    <x v="5"/>
    <x v="0"/>
    <x v="1"/>
    <x v="0"/>
    <x v="1"/>
    <x v="4"/>
    <x v="0"/>
    <x v="0"/>
    <x v="0"/>
    <x v="0"/>
    <x v="4"/>
    <x v="5"/>
    <s v="22"/>
    <x v="25"/>
    <x v="0"/>
    <x v="11"/>
    <x v="11"/>
    <n v="-590"/>
  </r>
  <r>
    <x v="5"/>
    <x v="0"/>
    <x v="1"/>
    <x v="0"/>
    <x v="1"/>
    <x v="4"/>
    <x v="0"/>
    <x v="0"/>
    <x v="0"/>
    <x v="0"/>
    <x v="4"/>
    <x v="5"/>
    <s v="22"/>
    <x v="25"/>
    <x v="0"/>
    <x v="11"/>
    <x v="4"/>
    <n v="-1533266"/>
  </r>
  <r>
    <x v="5"/>
    <x v="0"/>
    <x v="1"/>
    <x v="0"/>
    <x v="1"/>
    <x v="4"/>
    <x v="0"/>
    <x v="0"/>
    <x v="0"/>
    <x v="0"/>
    <x v="4"/>
    <x v="5"/>
    <s v="22"/>
    <x v="25"/>
    <x v="0"/>
    <x v="11"/>
    <x v="7"/>
    <n v="-12453190"/>
  </r>
  <r>
    <x v="5"/>
    <x v="0"/>
    <x v="1"/>
    <x v="0"/>
    <x v="1"/>
    <x v="4"/>
    <x v="0"/>
    <x v="0"/>
    <x v="0"/>
    <x v="0"/>
    <x v="4"/>
    <x v="5"/>
    <s v="22"/>
    <x v="25"/>
    <x v="0"/>
    <x v="11"/>
    <x v="5"/>
    <n v="-5000000"/>
  </r>
  <r>
    <x v="5"/>
    <x v="0"/>
    <x v="1"/>
    <x v="0"/>
    <x v="1"/>
    <x v="4"/>
    <x v="0"/>
    <x v="0"/>
    <x v="0"/>
    <x v="0"/>
    <x v="4"/>
    <x v="5"/>
    <s v="22"/>
    <x v="25"/>
    <x v="0"/>
    <x v="11"/>
    <x v="6"/>
    <n v="-3000900"/>
  </r>
  <r>
    <x v="5"/>
    <x v="0"/>
    <x v="1"/>
    <x v="0"/>
    <x v="1"/>
    <x v="4"/>
    <x v="0"/>
    <x v="0"/>
    <x v="0"/>
    <x v="0"/>
    <x v="4"/>
    <x v="5"/>
    <s v="22"/>
    <x v="25"/>
    <x v="0"/>
    <x v="11"/>
    <x v="1"/>
    <n v="-12039127.189999999"/>
  </r>
  <r>
    <x v="5"/>
    <x v="0"/>
    <x v="1"/>
    <x v="0"/>
    <x v="1"/>
    <x v="4"/>
    <x v="0"/>
    <x v="0"/>
    <x v="0"/>
    <x v="0"/>
    <x v="4"/>
    <x v="5"/>
    <s v="88"/>
    <x v="43"/>
    <x v="0"/>
    <x v="11"/>
    <x v="6"/>
    <n v="-4561721.42"/>
  </r>
  <r>
    <x v="5"/>
    <x v="0"/>
    <x v="1"/>
    <x v="0"/>
    <x v="1"/>
    <x v="4"/>
    <x v="0"/>
    <x v="0"/>
    <x v="0"/>
    <x v="0"/>
    <x v="4"/>
    <x v="5"/>
    <s v="88"/>
    <x v="43"/>
    <x v="0"/>
    <x v="11"/>
    <x v="1"/>
    <n v="5129638.51"/>
  </r>
  <r>
    <x v="5"/>
    <x v="0"/>
    <x v="1"/>
    <x v="0"/>
    <x v="1"/>
    <x v="4"/>
    <x v="0"/>
    <x v="0"/>
    <x v="0"/>
    <x v="0"/>
    <x v="5"/>
    <x v="6"/>
    <s v="01"/>
    <x v="44"/>
    <x v="0"/>
    <x v="11"/>
    <x v="3"/>
    <n v="4000"/>
  </r>
  <r>
    <x v="5"/>
    <x v="0"/>
    <x v="1"/>
    <x v="0"/>
    <x v="1"/>
    <x v="4"/>
    <x v="0"/>
    <x v="0"/>
    <x v="0"/>
    <x v="0"/>
    <x v="5"/>
    <x v="6"/>
    <s v="01"/>
    <x v="44"/>
    <x v="0"/>
    <x v="11"/>
    <x v="4"/>
    <n v="-4000"/>
  </r>
  <r>
    <x v="5"/>
    <x v="0"/>
    <x v="1"/>
    <x v="0"/>
    <x v="1"/>
    <x v="4"/>
    <x v="0"/>
    <x v="0"/>
    <x v="0"/>
    <x v="0"/>
    <x v="5"/>
    <x v="6"/>
    <s v="02"/>
    <x v="45"/>
    <x v="0"/>
    <x v="11"/>
    <x v="0"/>
    <n v="-10"/>
  </r>
  <r>
    <x v="5"/>
    <x v="0"/>
    <x v="1"/>
    <x v="0"/>
    <x v="1"/>
    <x v="4"/>
    <x v="0"/>
    <x v="0"/>
    <x v="0"/>
    <x v="0"/>
    <x v="5"/>
    <x v="6"/>
    <s v="02"/>
    <x v="45"/>
    <x v="0"/>
    <x v="11"/>
    <x v="2"/>
    <n v="10"/>
  </r>
  <r>
    <x v="5"/>
    <x v="0"/>
    <x v="1"/>
    <x v="0"/>
    <x v="1"/>
    <x v="4"/>
    <x v="0"/>
    <x v="0"/>
    <x v="0"/>
    <x v="0"/>
    <x v="5"/>
    <x v="6"/>
    <s v="20"/>
    <x v="29"/>
    <x v="0"/>
    <x v="10"/>
    <x v="3"/>
    <n v="880381.85"/>
  </r>
  <r>
    <x v="5"/>
    <x v="0"/>
    <x v="1"/>
    <x v="0"/>
    <x v="1"/>
    <x v="4"/>
    <x v="0"/>
    <x v="0"/>
    <x v="0"/>
    <x v="0"/>
    <x v="5"/>
    <x v="6"/>
    <s v="20"/>
    <x v="29"/>
    <x v="0"/>
    <x v="10"/>
    <x v="4"/>
    <n v="29831.46"/>
  </r>
  <r>
    <x v="5"/>
    <x v="0"/>
    <x v="1"/>
    <x v="0"/>
    <x v="1"/>
    <x v="4"/>
    <x v="0"/>
    <x v="0"/>
    <x v="0"/>
    <x v="0"/>
    <x v="5"/>
    <x v="6"/>
    <s v="20"/>
    <x v="29"/>
    <x v="0"/>
    <x v="10"/>
    <x v="7"/>
    <n v="4008635.43"/>
  </r>
  <r>
    <x v="5"/>
    <x v="0"/>
    <x v="1"/>
    <x v="0"/>
    <x v="1"/>
    <x v="4"/>
    <x v="0"/>
    <x v="0"/>
    <x v="0"/>
    <x v="0"/>
    <x v="5"/>
    <x v="6"/>
    <s v="20"/>
    <x v="29"/>
    <x v="0"/>
    <x v="10"/>
    <x v="5"/>
    <n v="-501411.48"/>
  </r>
  <r>
    <x v="5"/>
    <x v="0"/>
    <x v="1"/>
    <x v="0"/>
    <x v="1"/>
    <x v="4"/>
    <x v="0"/>
    <x v="0"/>
    <x v="0"/>
    <x v="0"/>
    <x v="5"/>
    <x v="6"/>
    <s v="20"/>
    <x v="29"/>
    <x v="0"/>
    <x v="10"/>
    <x v="6"/>
    <n v="-138646.28"/>
  </r>
  <r>
    <x v="5"/>
    <x v="0"/>
    <x v="1"/>
    <x v="0"/>
    <x v="1"/>
    <x v="4"/>
    <x v="0"/>
    <x v="0"/>
    <x v="0"/>
    <x v="0"/>
    <x v="5"/>
    <x v="6"/>
    <s v="20"/>
    <x v="29"/>
    <x v="0"/>
    <x v="10"/>
    <x v="1"/>
    <n v="-13107047.199999999"/>
  </r>
  <r>
    <x v="5"/>
    <x v="0"/>
    <x v="1"/>
    <x v="0"/>
    <x v="1"/>
    <x v="4"/>
    <x v="0"/>
    <x v="0"/>
    <x v="0"/>
    <x v="0"/>
    <x v="5"/>
    <x v="6"/>
    <s v="20"/>
    <x v="29"/>
    <x v="0"/>
    <x v="11"/>
    <x v="0"/>
    <n v="-724694.88"/>
  </r>
  <r>
    <x v="5"/>
    <x v="0"/>
    <x v="1"/>
    <x v="0"/>
    <x v="1"/>
    <x v="4"/>
    <x v="0"/>
    <x v="0"/>
    <x v="0"/>
    <x v="0"/>
    <x v="5"/>
    <x v="6"/>
    <s v="20"/>
    <x v="29"/>
    <x v="0"/>
    <x v="11"/>
    <x v="2"/>
    <n v="-645682"/>
  </r>
  <r>
    <x v="5"/>
    <x v="0"/>
    <x v="1"/>
    <x v="0"/>
    <x v="1"/>
    <x v="4"/>
    <x v="0"/>
    <x v="0"/>
    <x v="0"/>
    <x v="0"/>
    <x v="5"/>
    <x v="6"/>
    <s v="20"/>
    <x v="29"/>
    <x v="0"/>
    <x v="11"/>
    <x v="8"/>
    <n v="-300985.96000000002"/>
  </r>
  <r>
    <x v="5"/>
    <x v="0"/>
    <x v="1"/>
    <x v="0"/>
    <x v="1"/>
    <x v="4"/>
    <x v="0"/>
    <x v="0"/>
    <x v="0"/>
    <x v="0"/>
    <x v="5"/>
    <x v="6"/>
    <s v="20"/>
    <x v="29"/>
    <x v="0"/>
    <x v="11"/>
    <x v="9"/>
    <n v="454865.25"/>
  </r>
  <r>
    <x v="5"/>
    <x v="0"/>
    <x v="1"/>
    <x v="0"/>
    <x v="1"/>
    <x v="4"/>
    <x v="0"/>
    <x v="0"/>
    <x v="0"/>
    <x v="0"/>
    <x v="5"/>
    <x v="6"/>
    <s v="20"/>
    <x v="29"/>
    <x v="0"/>
    <x v="11"/>
    <x v="10"/>
    <n v="-780.82"/>
  </r>
  <r>
    <x v="5"/>
    <x v="0"/>
    <x v="1"/>
    <x v="0"/>
    <x v="1"/>
    <x v="4"/>
    <x v="0"/>
    <x v="0"/>
    <x v="0"/>
    <x v="0"/>
    <x v="5"/>
    <x v="6"/>
    <s v="20"/>
    <x v="29"/>
    <x v="0"/>
    <x v="11"/>
    <x v="11"/>
    <n v="-2166946.12"/>
  </r>
  <r>
    <x v="5"/>
    <x v="0"/>
    <x v="1"/>
    <x v="0"/>
    <x v="1"/>
    <x v="4"/>
    <x v="0"/>
    <x v="0"/>
    <x v="0"/>
    <x v="0"/>
    <x v="5"/>
    <x v="6"/>
    <s v="20"/>
    <x v="29"/>
    <x v="0"/>
    <x v="11"/>
    <x v="3"/>
    <n v="798881.5"/>
  </r>
  <r>
    <x v="5"/>
    <x v="0"/>
    <x v="1"/>
    <x v="0"/>
    <x v="1"/>
    <x v="4"/>
    <x v="0"/>
    <x v="0"/>
    <x v="0"/>
    <x v="0"/>
    <x v="5"/>
    <x v="6"/>
    <s v="20"/>
    <x v="29"/>
    <x v="0"/>
    <x v="11"/>
    <x v="4"/>
    <n v="189651.24"/>
  </r>
  <r>
    <x v="5"/>
    <x v="0"/>
    <x v="1"/>
    <x v="0"/>
    <x v="1"/>
    <x v="4"/>
    <x v="0"/>
    <x v="0"/>
    <x v="0"/>
    <x v="0"/>
    <x v="5"/>
    <x v="6"/>
    <s v="20"/>
    <x v="29"/>
    <x v="0"/>
    <x v="11"/>
    <x v="7"/>
    <n v="2395691.79"/>
  </r>
  <r>
    <x v="5"/>
    <x v="0"/>
    <x v="1"/>
    <x v="0"/>
    <x v="1"/>
    <x v="4"/>
    <x v="3"/>
    <x v="0"/>
    <x v="0"/>
    <x v="0"/>
    <x v="0"/>
    <x v="4"/>
    <s v="20"/>
    <x v="7"/>
    <x v="0"/>
    <x v="10"/>
    <x v="7"/>
    <n v="4869924.4800000004"/>
  </r>
  <r>
    <x v="5"/>
    <x v="0"/>
    <x v="1"/>
    <x v="0"/>
    <x v="1"/>
    <x v="4"/>
    <x v="3"/>
    <x v="0"/>
    <x v="0"/>
    <x v="0"/>
    <x v="0"/>
    <x v="4"/>
    <s v="24"/>
    <x v="1"/>
    <x v="0"/>
    <x v="10"/>
    <x v="7"/>
    <n v="119598597.62"/>
  </r>
  <r>
    <x v="5"/>
    <x v="0"/>
    <x v="1"/>
    <x v="0"/>
    <x v="1"/>
    <x v="4"/>
    <x v="3"/>
    <x v="0"/>
    <x v="0"/>
    <x v="0"/>
    <x v="0"/>
    <x v="4"/>
    <s v="30"/>
    <x v="3"/>
    <x v="0"/>
    <x v="10"/>
    <x v="7"/>
    <n v="70"/>
  </r>
  <r>
    <x v="5"/>
    <x v="0"/>
    <x v="1"/>
    <x v="0"/>
    <x v="1"/>
    <x v="4"/>
    <x v="3"/>
    <x v="0"/>
    <x v="0"/>
    <x v="0"/>
    <x v="0"/>
    <x v="4"/>
    <s v="99"/>
    <x v="9"/>
    <x v="0"/>
    <x v="10"/>
    <x v="7"/>
    <n v="53155208.479999997"/>
  </r>
  <r>
    <x v="5"/>
    <x v="0"/>
    <x v="1"/>
    <x v="0"/>
    <x v="1"/>
    <x v="4"/>
    <x v="3"/>
    <x v="0"/>
    <x v="0"/>
    <x v="0"/>
    <x v="5"/>
    <x v="6"/>
    <s v="20"/>
    <x v="29"/>
    <x v="0"/>
    <x v="10"/>
    <x v="7"/>
    <n v="8828256.2200000007"/>
  </r>
  <r>
    <x v="5"/>
    <x v="0"/>
    <x v="1"/>
    <x v="0"/>
    <x v="1"/>
    <x v="4"/>
    <x v="6"/>
    <x v="0"/>
    <x v="0"/>
    <x v="0"/>
    <x v="0"/>
    <x v="4"/>
    <s v="73"/>
    <x v="37"/>
    <x v="0"/>
    <x v="10"/>
    <x v="1"/>
    <n v="-10980.5"/>
  </r>
  <r>
    <x v="5"/>
    <x v="0"/>
    <x v="1"/>
    <x v="0"/>
    <x v="1"/>
    <x v="0"/>
    <x v="0"/>
    <x v="0"/>
    <x v="0"/>
    <x v="1"/>
    <x v="1"/>
    <x v="8"/>
    <s v="41"/>
    <x v="4"/>
    <x v="0"/>
    <x v="10"/>
    <x v="2"/>
    <n v="-119592.7"/>
  </r>
  <r>
    <x v="5"/>
    <x v="0"/>
    <x v="1"/>
    <x v="0"/>
    <x v="1"/>
    <x v="0"/>
    <x v="0"/>
    <x v="0"/>
    <x v="0"/>
    <x v="1"/>
    <x v="1"/>
    <x v="8"/>
    <s v="41"/>
    <x v="4"/>
    <x v="0"/>
    <x v="10"/>
    <x v="8"/>
    <n v="119592.7"/>
  </r>
  <r>
    <x v="5"/>
    <x v="0"/>
    <x v="1"/>
    <x v="0"/>
    <x v="1"/>
    <x v="0"/>
    <x v="0"/>
    <x v="0"/>
    <x v="0"/>
    <x v="0"/>
    <x v="0"/>
    <x v="4"/>
    <s v="02"/>
    <x v="5"/>
    <x v="0"/>
    <x v="10"/>
    <x v="0"/>
    <n v="-110.78"/>
  </r>
  <r>
    <x v="5"/>
    <x v="0"/>
    <x v="1"/>
    <x v="0"/>
    <x v="1"/>
    <x v="0"/>
    <x v="0"/>
    <x v="0"/>
    <x v="0"/>
    <x v="0"/>
    <x v="0"/>
    <x v="4"/>
    <s v="09"/>
    <x v="0"/>
    <x v="0"/>
    <x v="10"/>
    <x v="0"/>
    <n v="28743.95"/>
  </r>
  <r>
    <x v="5"/>
    <x v="0"/>
    <x v="1"/>
    <x v="0"/>
    <x v="1"/>
    <x v="0"/>
    <x v="0"/>
    <x v="0"/>
    <x v="0"/>
    <x v="0"/>
    <x v="0"/>
    <x v="4"/>
    <s v="09"/>
    <x v="0"/>
    <x v="0"/>
    <x v="10"/>
    <x v="9"/>
    <n v="111302.45"/>
  </r>
  <r>
    <x v="5"/>
    <x v="0"/>
    <x v="1"/>
    <x v="0"/>
    <x v="1"/>
    <x v="0"/>
    <x v="0"/>
    <x v="0"/>
    <x v="0"/>
    <x v="0"/>
    <x v="0"/>
    <x v="4"/>
    <s v="09"/>
    <x v="0"/>
    <x v="0"/>
    <x v="10"/>
    <x v="3"/>
    <n v="324132.68"/>
  </r>
  <r>
    <x v="5"/>
    <x v="0"/>
    <x v="1"/>
    <x v="0"/>
    <x v="1"/>
    <x v="0"/>
    <x v="0"/>
    <x v="0"/>
    <x v="0"/>
    <x v="0"/>
    <x v="0"/>
    <x v="4"/>
    <s v="09"/>
    <x v="0"/>
    <x v="0"/>
    <x v="10"/>
    <x v="4"/>
    <n v="1227.7"/>
  </r>
  <r>
    <x v="5"/>
    <x v="0"/>
    <x v="1"/>
    <x v="0"/>
    <x v="1"/>
    <x v="0"/>
    <x v="0"/>
    <x v="0"/>
    <x v="0"/>
    <x v="0"/>
    <x v="0"/>
    <x v="4"/>
    <s v="09"/>
    <x v="0"/>
    <x v="0"/>
    <x v="10"/>
    <x v="5"/>
    <n v="261932.11"/>
  </r>
  <r>
    <x v="5"/>
    <x v="0"/>
    <x v="1"/>
    <x v="0"/>
    <x v="1"/>
    <x v="0"/>
    <x v="0"/>
    <x v="0"/>
    <x v="0"/>
    <x v="0"/>
    <x v="0"/>
    <x v="4"/>
    <s v="09"/>
    <x v="0"/>
    <x v="0"/>
    <x v="10"/>
    <x v="6"/>
    <n v="625.41"/>
  </r>
  <r>
    <x v="5"/>
    <x v="0"/>
    <x v="1"/>
    <x v="0"/>
    <x v="1"/>
    <x v="0"/>
    <x v="0"/>
    <x v="0"/>
    <x v="0"/>
    <x v="0"/>
    <x v="0"/>
    <x v="4"/>
    <s v="09"/>
    <x v="0"/>
    <x v="0"/>
    <x v="10"/>
    <x v="1"/>
    <n v="135928.46"/>
  </r>
  <r>
    <x v="5"/>
    <x v="0"/>
    <x v="1"/>
    <x v="0"/>
    <x v="1"/>
    <x v="0"/>
    <x v="0"/>
    <x v="0"/>
    <x v="0"/>
    <x v="0"/>
    <x v="0"/>
    <x v="4"/>
    <s v="09"/>
    <x v="0"/>
    <x v="0"/>
    <x v="11"/>
    <x v="0"/>
    <n v="36230.910000000003"/>
  </r>
  <r>
    <x v="5"/>
    <x v="0"/>
    <x v="1"/>
    <x v="0"/>
    <x v="1"/>
    <x v="0"/>
    <x v="0"/>
    <x v="0"/>
    <x v="0"/>
    <x v="0"/>
    <x v="0"/>
    <x v="4"/>
    <s v="09"/>
    <x v="0"/>
    <x v="0"/>
    <x v="11"/>
    <x v="9"/>
    <n v="121115.77"/>
  </r>
  <r>
    <x v="5"/>
    <x v="0"/>
    <x v="1"/>
    <x v="0"/>
    <x v="1"/>
    <x v="0"/>
    <x v="0"/>
    <x v="0"/>
    <x v="0"/>
    <x v="0"/>
    <x v="0"/>
    <x v="4"/>
    <s v="09"/>
    <x v="0"/>
    <x v="0"/>
    <x v="11"/>
    <x v="10"/>
    <n v="4967.22"/>
  </r>
  <r>
    <x v="5"/>
    <x v="0"/>
    <x v="1"/>
    <x v="0"/>
    <x v="1"/>
    <x v="0"/>
    <x v="0"/>
    <x v="0"/>
    <x v="0"/>
    <x v="0"/>
    <x v="0"/>
    <x v="4"/>
    <s v="09"/>
    <x v="0"/>
    <x v="0"/>
    <x v="11"/>
    <x v="4"/>
    <n v="174426.02"/>
  </r>
  <r>
    <x v="5"/>
    <x v="0"/>
    <x v="1"/>
    <x v="0"/>
    <x v="1"/>
    <x v="0"/>
    <x v="0"/>
    <x v="0"/>
    <x v="0"/>
    <x v="0"/>
    <x v="0"/>
    <x v="4"/>
    <s v="09"/>
    <x v="0"/>
    <x v="0"/>
    <x v="11"/>
    <x v="6"/>
    <n v="185856.99"/>
  </r>
  <r>
    <x v="5"/>
    <x v="0"/>
    <x v="1"/>
    <x v="0"/>
    <x v="1"/>
    <x v="0"/>
    <x v="0"/>
    <x v="0"/>
    <x v="0"/>
    <x v="0"/>
    <x v="0"/>
    <x v="4"/>
    <s v="09"/>
    <x v="0"/>
    <x v="0"/>
    <x v="11"/>
    <x v="1"/>
    <n v="81030.45"/>
  </r>
  <r>
    <x v="5"/>
    <x v="0"/>
    <x v="1"/>
    <x v="0"/>
    <x v="1"/>
    <x v="0"/>
    <x v="0"/>
    <x v="0"/>
    <x v="0"/>
    <x v="0"/>
    <x v="0"/>
    <x v="4"/>
    <s v="20"/>
    <x v="7"/>
    <x v="0"/>
    <x v="10"/>
    <x v="0"/>
    <n v="62801"/>
  </r>
  <r>
    <x v="5"/>
    <x v="0"/>
    <x v="1"/>
    <x v="0"/>
    <x v="1"/>
    <x v="0"/>
    <x v="0"/>
    <x v="0"/>
    <x v="0"/>
    <x v="0"/>
    <x v="0"/>
    <x v="4"/>
    <s v="20"/>
    <x v="7"/>
    <x v="0"/>
    <x v="10"/>
    <x v="2"/>
    <n v="-62304.43"/>
  </r>
  <r>
    <x v="5"/>
    <x v="0"/>
    <x v="1"/>
    <x v="0"/>
    <x v="1"/>
    <x v="0"/>
    <x v="0"/>
    <x v="0"/>
    <x v="0"/>
    <x v="0"/>
    <x v="0"/>
    <x v="4"/>
    <s v="20"/>
    <x v="7"/>
    <x v="0"/>
    <x v="10"/>
    <x v="9"/>
    <n v="233"/>
  </r>
  <r>
    <x v="5"/>
    <x v="0"/>
    <x v="1"/>
    <x v="0"/>
    <x v="1"/>
    <x v="0"/>
    <x v="0"/>
    <x v="0"/>
    <x v="0"/>
    <x v="0"/>
    <x v="0"/>
    <x v="4"/>
    <s v="20"/>
    <x v="7"/>
    <x v="0"/>
    <x v="10"/>
    <x v="11"/>
    <n v="-2955"/>
  </r>
  <r>
    <x v="5"/>
    <x v="0"/>
    <x v="1"/>
    <x v="0"/>
    <x v="1"/>
    <x v="0"/>
    <x v="0"/>
    <x v="0"/>
    <x v="0"/>
    <x v="0"/>
    <x v="0"/>
    <x v="4"/>
    <s v="20"/>
    <x v="7"/>
    <x v="0"/>
    <x v="10"/>
    <x v="4"/>
    <n v="-3236.57"/>
  </r>
  <r>
    <x v="5"/>
    <x v="0"/>
    <x v="1"/>
    <x v="0"/>
    <x v="1"/>
    <x v="0"/>
    <x v="0"/>
    <x v="0"/>
    <x v="0"/>
    <x v="0"/>
    <x v="0"/>
    <x v="4"/>
    <s v="20"/>
    <x v="7"/>
    <x v="0"/>
    <x v="10"/>
    <x v="7"/>
    <n v="203.19"/>
  </r>
  <r>
    <x v="5"/>
    <x v="0"/>
    <x v="1"/>
    <x v="0"/>
    <x v="1"/>
    <x v="0"/>
    <x v="0"/>
    <x v="0"/>
    <x v="0"/>
    <x v="0"/>
    <x v="0"/>
    <x v="4"/>
    <s v="20"/>
    <x v="7"/>
    <x v="0"/>
    <x v="10"/>
    <x v="5"/>
    <n v="-64.2"/>
  </r>
  <r>
    <x v="5"/>
    <x v="0"/>
    <x v="1"/>
    <x v="0"/>
    <x v="1"/>
    <x v="0"/>
    <x v="0"/>
    <x v="0"/>
    <x v="0"/>
    <x v="0"/>
    <x v="0"/>
    <x v="4"/>
    <s v="20"/>
    <x v="7"/>
    <x v="0"/>
    <x v="10"/>
    <x v="6"/>
    <n v="343"/>
  </r>
  <r>
    <x v="5"/>
    <x v="0"/>
    <x v="1"/>
    <x v="0"/>
    <x v="1"/>
    <x v="0"/>
    <x v="0"/>
    <x v="0"/>
    <x v="0"/>
    <x v="0"/>
    <x v="0"/>
    <x v="4"/>
    <s v="20"/>
    <x v="7"/>
    <x v="0"/>
    <x v="10"/>
    <x v="1"/>
    <n v="-335.92"/>
  </r>
  <r>
    <x v="5"/>
    <x v="0"/>
    <x v="1"/>
    <x v="0"/>
    <x v="1"/>
    <x v="0"/>
    <x v="0"/>
    <x v="0"/>
    <x v="0"/>
    <x v="0"/>
    <x v="0"/>
    <x v="4"/>
    <s v="20"/>
    <x v="7"/>
    <x v="0"/>
    <x v="11"/>
    <x v="0"/>
    <n v="-1146.07"/>
  </r>
  <r>
    <x v="5"/>
    <x v="0"/>
    <x v="1"/>
    <x v="0"/>
    <x v="1"/>
    <x v="0"/>
    <x v="0"/>
    <x v="0"/>
    <x v="0"/>
    <x v="0"/>
    <x v="0"/>
    <x v="4"/>
    <s v="20"/>
    <x v="7"/>
    <x v="0"/>
    <x v="11"/>
    <x v="2"/>
    <n v="86"/>
  </r>
  <r>
    <x v="5"/>
    <x v="0"/>
    <x v="1"/>
    <x v="0"/>
    <x v="1"/>
    <x v="0"/>
    <x v="0"/>
    <x v="0"/>
    <x v="0"/>
    <x v="0"/>
    <x v="0"/>
    <x v="4"/>
    <s v="20"/>
    <x v="7"/>
    <x v="0"/>
    <x v="11"/>
    <x v="8"/>
    <n v="575"/>
  </r>
  <r>
    <x v="5"/>
    <x v="0"/>
    <x v="1"/>
    <x v="0"/>
    <x v="1"/>
    <x v="0"/>
    <x v="0"/>
    <x v="0"/>
    <x v="0"/>
    <x v="0"/>
    <x v="0"/>
    <x v="4"/>
    <s v="20"/>
    <x v="7"/>
    <x v="0"/>
    <x v="11"/>
    <x v="10"/>
    <n v="-86"/>
  </r>
  <r>
    <x v="5"/>
    <x v="0"/>
    <x v="1"/>
    <x v="0"/>
    <x v="1"/>
    <x v="0"/>
    <x v="0"/>
    <x v="0"/>
    <x v="0"/>
    <x v="0"/>
    <x v="0"/>
    <x v="4"/>
    <s v="20"/>
    <x v="7"/>
    <x v="0"/>
    <x v="11"/>
    <x v="11"/>
    <n v="425"/>
  </r>
  <r>
    <x v="5"/>
    <x v="0"/>
    <x v="1"/>
    <x v="0"/>
    <x v="1"/>
    <x v="0"/>
    <x v="0"/>
    <x v="0"/>
    <x v="0"/>
    <x v="0"/>
    <x v="0"/>
    <x v="4"/>
    <s v="20"/>
    <x v="7"/>
    <x v="0"/>
    <x v="11"/>
    <x v="5"/>
    <n v="-20"/>
  </r>
  <r>
    <x v="5"/>
    <x v="0"/>
    <x v="1"/>
    <x v="0"/>
    <x v="1"/>
    <x v="0"/>
    <x v="0"/>
    <x v="0"/>
    <x v="0"/>
    <x v="0"/>
    <x v="0"/>
    <x v="4"/>
    <s v="20"/>
    <x v="7"/>
    <x v="0"/>
    <x v="11"/>
    <x v="6"/>
    <n v="20"/>
  </r>
  <r>
    <x v="5"/>
    <x v="0"/>
    <x v="1"/>
    <x v="0"/>
    <x v="1"/>
    <x v="0"/>
    <x v="0"/>
    <x v="0"/>
    <x v="0"/>
    <x v="0"/>
    <x v="0"/>
    <x v="4"/>
    <s v="20"/>
    <x v="7"/>
    <x v="0"/>
    <x v="11"/>
    <x v="1"/>
    <n v="765.87"/>
  </r>
  <r>
    <x v="5"/>
    <x v="0"/>
    <x v="1"/>
    <x v="0"/>
    <x v="1"/>
    <x v="0"/>
    <x v="0"/>
    <x v="0"/>
    <x v="0"/>
    <x v="0"/>
    <x v="0"/>
    <x v="4"/>
    <s v="24"/>
    <x v="1"/>
    <x v="0"/>
    <x v="10"/>
    <x v="0"/>
    <n v="28529.439999999999"/>
  </r>
  <r>
    <x v="5"/>
    <x v="0"/>
    <x v="1"/>
    <x v="0"/>
    <x v="1"/>
    <x v="0"/>
    <x v="0"/>
    <x v="0"/>
    <x v="0"/>
    <x v="0"/>
    <x v="0"/>
    <x v="4"/>
    <s v="24"/>
    <x v="1"/>
    <x v="0"/>
    <x v="10"/>
    <x v="2"/>
    <n v="63953623.890000001"/>
  </r>
  <r>
    <x v="5"/>
    <x v="0"/>
    <x v="1"/>
    <x v="0"/>
    <x v="1"/>
    <x v="0"/>
    <x v="0"/>
    <x v="0"/>
    <x v="0"/>
    <x v="0"/>
    <x v="0"/>
    <x v="4"/>
    <s v="24"/>
    <x v="1"/>
    <x v="0"/>
    <x v="10"/>
    <x v="8"/>
    <n v="17259336.41"/>
  </r>
  <r>
    <x v="5"/>
    <x v="0"/>
    <x v="1"/>
    <x v="0"/>
    <x v="1"/>
    <x v="0"/>
    <x v="0"/>
    <x v="0"/>
    <x v="0"/>
    <x v="0"/>
    <x v="0"/>
    <x v="4"/>
    <s v="24"/>
    <x v="1"/>
    <x v="0"/>
    <x v="10"/>
    <x v="9"/>
    <n v="805743.37"/>
  </r>
  <r>
    <x v="5"/>
    <x v="0"/>
    <x v="1"/>
    <x v="0"/>
    <x v="1"/>
    <x v="0"/>
    <x v="0"/>
    <x v="0"/>
    <x v="0"/>
    <x v="0"/>
    <x v="0"/>
    <x v="4"/>
    <s v="24"/>
    <x v="1"/>
    <x v="0"/>
    <x v="10"/>
    <x v="10"/>
    <n v="597511.53"/>
  </r>
  <r>
    <x v="5"/>
    <x v="0"/>
    <x v="1"/>
    <x v="0"/>
    <x v="1"/>
    <x v="0"/>
    <x v="0"/>
    <x v="0"/>
    <x v="0"/>
    <x v="0"/>
    <x v="0"/>
    <x v="4"/>
    <s v="24"/>
    <x v="1"/>
    <x v="0"/>
    <x v="10"/>
    <x v="11"/>
    <n v="320126.21000000002"/>
  </r>
  <r>
    <x v="5"/>
    <x v="0"/>
    <x v="1"/>
    <x v="0"/>
    <x v="1"/>
    <x v="0"/>
    <x v="0"/>
    <x v="0"/>
    <x v="0"/>
    <x v="0"/>
    <x v="0"/>
    <x v="4"/>
    <s v="24"/>
    <x v="1"/>
    <x v="0"/>
    <x v="10"/>
    <x v="3"/>
    <n v="75038831.370000005"/>
  </r>
  <r>
    <x v="5"/>
    <x v="0"/>
    <x v="1"/>
    <x v="0"/>
    <x v="1"/>
    <x v="0"/>
    <x v="0"/>
    <x v="0"/>
    <x v="0"/>
    <x v="0"/>
    <x v="0"/>
    <x v="4"/>
    <s v="24"/>
    <x v="1"/>
    <x v="0"/>
    <x v="10"/>
    <x v="4"/>
    <n v="2195607.2200000002"/>
  </r>
  <r>
    <x v="5"/>
    <x v="0"/>
    <x v="1"/>
    <x v="0"/>
    <x v="1"/>
    <x v="0"/>
    <x v="0"/>
    <x v="0"/>
    <x v="0"/>
    <x v="0"/>
    <x v="0"/>
    <x v="4"/>
    <s v="24"/>
    <x v="1"/>
    <x v="0"/>
    <x v="10"/>
    <x v="7"/>
    <n v="626947.01"/>
  </r>
  <r>
    <x v="5"/>
    <x v="0"/>
    <x v="1"/>
    <x v="0"/>
    <x v="1"/>
    <x v="0"/>
    <x v="0"/>
    <x v="0"/>
    <x v="0"/>
    <x v="0"/>
    <x v="0"/>
    <x v="4"/>
    <s v="24"/>
    <x v="1"/>
    <x v="0"/>
    <x v="10"/>
    <x v="5"/>
    <n v="27972.25"/>
  </r>
  <r>
    <x v="5"/>
    <x v="0"/>
    <x v="1"/>
    <x v="0"/>
    <x v="1"/>
    <x v="0"/>
    <x v="0"/>
    <x v="0"/>
    <x v="0"/>
    <x v="0"/>
    <x v="0"/>
    <x v="4"/>
    <s v="24"/>
    <x v="1"/>
    <x v="0"/>
    <x v="10"/>
    <x v="6"/>
    <n v="107353.8"/>
  </r>
  <r>
    <x v="5"/>
    <x v="0"/>
    <x v="1"/>
    <x v="0"/>
    <x v="1"/>
    <x v="0"/>
    <x v="0"/>
    <x v="0"/>
    <x v="0"/>
    <x v="0"/>
    <x v="0"/>
    <x v="4"/>
    <s v="24"/>
    <x v="1"/>
    <x v="0"/>
    <x v="10"/>
    <x v="1"/>
    <n v="-2352999.71"/>
  </r>
  <r>
    <x v="5"/>
    <x v="0"/>
    <x v="1"/>
    <x v="0"/>
    <x v="1"/>
    <x v="0"/>
    <x v="0"/>
    <x v="0"/>
    <x v="0"/>
    <x v="0"/>
    <x v="0"/>
    <x v="4"/>
    <s v="24"/>
    <x v="1"/>
    <x v="0"/>
    <x v="11"/>
    <x v="0"/>
    <n v="14763.67"/>
  </r>
  <r>
    <x v="5"/>
    <x v="0"/>
    <x v="1"/>
    <x v="0"/>
    <x v="1"/>
    <x v="0"/>
    <x v="0"/>
    <x v="0"/>
    <x v="0"/>
    <x v="0"/>
    <x v="0"/>
    <x v="4"/>
    <s v="24"/>
    <x v="1"/>
    <x v="0"/>
    <x v="11"/>
    <x v="2"/>
    <n v="68987879.569999993"/>
  </r>
  <r>
    <x v="5"/>
    <x v="0"/>
    <x v="1"/>
    <x v="0"/>
    <x v="1"/>
    <x v="0"/>
    <x v="0"/>
    <x v="0"/>
    <x v="0"/>
    <x v="0"/>
    <x v="0"/>
    <x v="4"/>
    <s v="24"/>
    <x v="1"/>
    <x v="0"/>
    <x v="11"/>
    <x v="8"/>
    <n v="22147256.640000001"/>
  </r>
  <r>
    <x v="5"/>
    <x v="0"/>
    <x v="1"/>
    <x v="0"/>
    <x v="1"/>
    <x v="0"/>
    <x v="0"/>
    <x v="0"/>
    <x v="0"/>
    <x v="0"/>
    <x v="0"/>
    <x v="4"/>
    <s v="24"/>
    <x v="1"/>
    <x v="0"/>
    <x v="11"/>
    <x v="9"/>
    <n v="1236583.8"/>
  </r>
  <r>
    <x v="5"/>
    <x v="0"/>
    <x v="1"/>
    <x v="0"/>
    <x v="1"/>
    <x v="0"/>
    <x v="0"/>
    <x v="0"/>
    <x v="0"/>
    <x v="0"/>
    <x v="0"/>
    <x v="4"/>
    <s v="24"/>
    <x v="1"/>
    <x v="0"/>
    <x v="11"/>
    <x v="10"/>
    <n v="672752.04"/>
  </r>
  <r>
    <x v="5"/>
    <x v="0"/>
    <x v="1"/>
    <x v="0"/>
    <x v="1"/>
    <x v="0"/>
    <x v="0"/>
    <x v="0"/>
    <x v="0"/>
    <x v="0"/>
    <x v="0"/>
    <x v="4"/>
    <s v="24"/>
    <x v="1"/>
    <x v="0"/>
    <x v="11"/>
    <x v="11"/>
    <n v="540996.9"/>
  </r>
  <r>
    <x v="5"/>
    <x v="0"/>
    <x v="1"/>
    <x v="0"/>
    <x v="1"/>
    <x v="0"/>
    <x v="0"/>
    <x v="0"/>
    <x v="0"/>
    <x v="0"/>
    <x v="0"/>
    <x v="4"/>
    <s v="24"/>
    <x v="1"/>
    <x v="0"/>
    <x v="11"/>
    <x v="3"/>
    <n v="86192895.120000005"/>
  </r>
  <r>
    <x v="5"/>
    <x v="0"/>
    <x v="1"/>
    <x v="0"/>
    <x v="1"/>
    <x v="0"/>
    <x v="0"/>
    <x v="0"/>
    <x v="0"/>
    <x v="0"/>
    <x v="0"/>
    <x v="4"/>
    <s v="24"/>
    <x v="1"/>
    <x v="0"/>
    <x v="11"/>
    <x v="4"/>
    <n v="1543368.03"/>
  </r>
  <r>
    <x v="5"/>
    <x v="0"/>
    <x v="1"/>
    <x v="0"/>
    <x v="1"/>
    <x v="0"/>
    <x v="0"/>
    <x v="0"/>
    <x v="0"/>
    <x v="0"/>
    <x v="0"/>
    <x v="4"/>
    <s v="24"/>
    <x v="1"/>
    <x v="0"/>
    <x v="11"/>
    <x v="7"/>
    <n v="-1579074.87"/>
  </r>
  <r>
    <x v="5"/>
    <x v="0"/>
    <x v="1"/>
    <x v="0"/>
    <x v="1"/>
    <x v="0"/>
    <x v="0"/>
    <x v="0"/>
    <x v="0"/>
    <x v="0"/>
    <x v="0"/>
    <x v="4"/>
    <s v="24"/>
    <x v="1"/>
    <x v="0"/>
    <x v="11"/>
    <x v="5"/>
    <n v="414945.42"/>
  </r>
  <r>
    <x v="5"/>
    <x v="0"/>
    <x v="1"/>
    <x v="0"/>
    <x v="1"/>
    <x v="0"/>
    <x v="0"/>
    <x v="0"/>
    <x v="0"/>
    <x v="0"/>
    <x v="0"/>
    <x v="4"/>
    <s v="24"/>
    <x v="1"/>
    <x v="0"/>
    <x v="11"/>
    <x v="6"/>
    <n v="72078.850000000006"/>
  </r>
  <r>
    <x v="5"/>
    <x v="0"/>
    <x v="1"/>
    <x v="0"/>
    <x v="1"/>
    <x v="0"/>
    <x v="0"/>
    <x v="0"/>
    <x v="0"/>
    <x v="0"/>
    <x v="0"/>
    <x v="4"/>
    <s v="24"/>
    <x v="1"/>
    <x v="0"/>
    <x v="11"/>
    <x v="1"/>
    <n v="-411246.34"/>
  </r>
  <r>
    <x v="5"/>
    <x v="0"/>
    <x v="1"/>
    <x v="0"/>
    <x v="1"/>
    <x v="0"/>
    <x v="0"/>
    <x v="0"/>
    <x v="0"/>
    <x v="0"/>
    <x v="0"/>
    <x v="4"/>
    <s v="73"/>
    <x v="37"/>
    <x v="0"/>
    <x v="10"/>
    <x v="0"/>
    <n v="-6287.15"/>
  </r>
  <r>
    <x v="5"/>
    <x v="0"/>
    <x v="1"/>
    <x v="0"/>
    <x v="1"/>
    <x v="0"/>
    <x v="0"/>
    <x v="0"/>
    <x v="0"/>
    <x v="0"/>
    <x v="0"/>
    <x v="4"/>
    <s v="73"/>
    <x v="37"/>
    <x v="0"/>
    <x v="10"/>
    <x v="9"/>
    <n v="-26422.13"/>
  </r>
  <r>
    <x v="5"/>
    <x v="0"/>
    <x v="1"/>
    <x v="0"/>
    <x v="1"/>
    <x v="0"/>
    <x v="0"/>
    <x v="0"/>
    <x v="0"/>
    <x v="0"/>
    <x v="0"/>
    <x v="4"/>
    <s v="73"/>
    <x v="37"/>
    <x v="0"/>
    <x v="10"/>
    <x v="3"/>
    <n v="-53586.41"/>
  </r>
  <r>
    <x v="5"/>
    <x v="0"/>
    <x v="1"/>
    <x v="0"/>
    <x v="1"/>
    <x v="0"/>
    <x v="0"/>
    <x v="0"/>
    <x v="0"/>
    <x v="0"/>
    <x v="0"/>
    <x v="4"/>
    <s v="73"/>
    <x v="37"/>
    <x v="0"/>
    <x v="10"/>
    <x v="5"/>
    <n v="-57053.34"/>
  </r>
  <r>
    <x v="5"/>
    <x v="0"/>
    <x v="1"/>
    <x v="0"/>
    <x v="1"/>
    <x v="0"/>
    <x v="0"/>
    <x v="0"/>
    <x v="0"/>
    <x v="0"/>
    <x v="0"/>
    <x v="4"/>
    <s v="73"/>
    <x v="37"/>
    <x v="0"/>
    <x v="10"/>
    <x v="1"/>
    <n v="-26170.48"/>
  </r>
  <r>
    <x v="5"/>
    <x v="0"/>
    <x v="1"/>
    <x v="0"/>
    <x v="1"/>
    <x v="0"/>
    <x v="0"/>
    <x v="0"/>
    <x v="0"/>
    <x v="0"/>
    <x v="0"/>
    <x v="4"/>
    <s v="73"/>
    <x v="37"/>
    <x v="0"/>
    <x v="11"/>
    <x v="0"/>
    <n v="-4961.33"/>
  </r>
  <r>
    <x v="5"/>
    <x v="0"/>
    <x v="1"/>
    <x v="0"/>
    <x v="1"/>
    <x v="0"/>
    <x v="0"/>
    <x v="0"/>
    <x v="0"/>
    <x v="0"/>
    <x v="0"/>
    <x v="4"/>
    <s v="73"/>
    <x v="37"/>
    <x v="0"/>
    <x v="11"/>
    <x v="9"/>
    <n v="-30732.59"/>
  </r>
  <r>
    <x v="5"/>
    <x v="0"/>
    <x v="1"/>
    <x v="0"/>
    <x v="1"/>
    <x v="0"/>
    <x v="0"/>
    <x v="0"/>
    <x v="0"/>
    <x v="0"/>
    <x v="0"/>
    <x v="4"/>
    <s v="73"/>
    <x v="37"/>
    <x v="0"/>
    <x v="11"/>
    <x v="4"/>
    <n v="-52370.720000000001"/>
  </r>
  <r>
    <x v="5"/>
    <x v="0"/>
    <x v="1"/>
    <x v="0"/>
    <x v="1"/>
    <x v="0"/>
    <x v="0"/>
    <x v="0"/>
    <x v="0"/>
    <x v="0"/>
    <x v="0"/>
    <x v="4"/>
    <s v="73"/>
    <x v="37"/>
    <x v="0"/>
    <x v="11"/>
    <x v="6"/>
    <n v="-44743.64"/>
  </r>
  <r>
    <x v="5"/>
    <x v="0"/>
    <x v="1"/>
    <x v="0"/>
    <x v="1"/>
    <x v="0"/>
    <x v="0"/>
    <x v="0"/>
    <x v="0"/>
    <x v="0"/>
    <x v="0"/>
    <x v="4"/>
    <s v="73"/>
    <x v="37"/>
    <x v="0"/>
    <x v="11"/>
    <x v="1"/>
    <n v="-28553.85"/>
  </r>
  <r>
    <x v="5"/>
    <x v="0"/>
    <x v="1"/>
    <x v="0"/>
    <x v="1"/>
    <x v="0"/>
    <x v="0"/>
    <x v="0"/>
    <x v="0"/>
    <x v="0"/>
    <x v="0"/>
    <x v="4"/>
    <s v="99"/>
    <x v="9"/>
    <x v="0"/>
    <x v="10"/>
    <x v="6"/>
    <n v="275"/>
  </r>
  <r>
    <x v="5"/>
    <x v="0"/>
    <x v="1"/>
    <x v="0"/>
    <x v="1"/>
    <x v="0"/>
    <x v="0"/>
    <x v="0"/>
    <x v="0"/>
    <x v="0"/>
    <x v="0"/>
    <x v="4"/>
    <s v="99"/>
    <x v="9"/>
    <x v="0"/>
    <x v="10"/>
    <x v="1"/>
    <n v="-275"/>
  </r>
  <r>
    <x v="5"/>
    <x v="0"/>
    <x v="1"/>
    <x v="0"/>
    <x v="1"/>
    <x v="0"/>
    <x v="0"/>
    <x v="0"/>
    <x v="0"/>
    <x v="0"/>
    <x v="0"/>
    <x v="4"/>
    <s v="99"/>
    <x v="9"/>
    <x v="0"/>
    <x v="11"/>
    <x v="10"/>
    <n v="707.5"/>
  </r>
  <r>
    <x v="5"/>
    <x v="0"/>
    <x v="1"/>
    <x v="0"/>
    <x v="1"/>
    <x v="0"/>
    <x v="0"/>
    <x v="0"/>
    <x v="0"/>
    <x v="0"/>
    <x v="0"/>
    <x v="4"/>
    <s v="99"/>
    <x v="9"/>
    <x v="0"/>
    <x v="11"/>
    <x v="11"/>
    <n v="-707.5"/>
  </r>
  <r>
    <x v="5"/>
    <x v="0"/>
    <x v="1"/>
    <x v="0"/>
    <x v="1"/>
    <x v="0"/>
    <x v="0"/>
    <x v="0"/>
    <x v="0"/>
    <x v="0"/>
    <x v="0"/>
    <x v="4"/>
    <s v="99"/>
    <x v="9"/>
    <x v="0"/>
    <x v="11"/>
    <x v="1"/>
    <n v="18117.45"/>
  </r>
  <r>
    <x v="5"/>
    <x v="0"/>
    <x v="1"/>
    <x v="0"/>
    <x v="1"/>
    <x v="0"/>
    <x v="0"/>
    <x v="0"/>
    <x v="0"/>
    <x v="0"/>
    <x v="4"/>
    <x v="5"/>
    <s v="21"/>
    <x v="27"/>
    <x v="0"/>
    <x v="10"/>
    <x v="9"/>
    <n v="6255000"/>
  </r>
  <r>
    <x v="5"/>
    <x v="0"/>
    <x v="1"/>
    <x v="0"/>
    <x v="1"/>
    <x v="0"/>
    <x v="0"/>
    <x v="0"/>
    <x v="0"/>
    <x v="0"/>
    <x v="4"/>
    <x v="5"/>
    <s v="21"/>
    <x v="27"/>
    <x v="0"/>
    <x v="10"/>
    <x v="4"/>
    <n v="9840000"/>
  </r>
  <r>
    <x v="5"/>
    <x v="0"/>
    <x v="1"/>
    <x v="0"/>
    <x v="1"/>
    <x v="0"/>
    <x v="0"/>
    <x v="0"/>
    <x v="0"/>
    <x v="0"/>
    <x v="4"/>
    <x v="5"/>
    <s v="21"/>
    <x v="27"/>
    <x v="0"/>
    <x v="10"/>
    <x v="6"/>
    <n v="7179000"/>
  </r>
  <r>
    <x v="5"/>
    <x v="0"/>
    <x v="1"/>
    <x v="0"/>
    <x v="1"/>
    <x v="0"/>
    <x v="0"/>
    <x v="0"/>
    <x v="0"/>
    <x v="0"/>
    <x v="4"/>
    <x v="5"/>
    <s v="21"/>
    <x v="27"/>
    <x v="0"/>
    <x v="10"/>
    <x v="1"/>
    <n v="1833595.39"/>
  </r>
  <r>
    <x v="5"/>
    <x v="0"/>
    <x v="1"/>
    <x v="0"/>
    <x v="1"/>
    <x v="0"/>
    <x v="0"/>
    <x v="0"/>
    <x v="0"/>
    <x v="0"/>
    <x v="4"/>
    <x v="5"/>
    <s v="21"/>
    <x v="27"/>
    <x v="0"/>
    <x v="11"/>
    <x v="7"/>
    <n v="18725000"/>
  </r>
  <r>
    <x v="5"/>
    <x v="0"/>
    <x v="1"/>
    <x v="0"/>
    <x v="1"/>
    <x v="0"/>
    <x v="0"/>
    <x v="0"/>
    <x v="0"/>
    <x v="0"/>
    <x v="4"/>
    <x v="5"/>
    <s v="22"/>
    <x v="25"/>
    <x v="0"/>
    <x v="10"/>
    <x v="0"/>
    <n v="-524368.59"/>
  </r>
  <r>
    <x v="5"/>
    <x v="0"/>
    <x v="1"/>
    <x v="0"/>
    <x v="1"/>
    <x v="0"/>
    <x v="0"/>
    <x v="0"/>
    <x v="0"/>
    <x v="0"/>
    <x v="4"/>
    <x v="5"/>
    <s v="22"/>
    <x v="25"/>
    <x v="0"/>
    <x v="10"/>
    <x v="2"/>
    <n v="-10947.23"/>
  </r>
  <r>
    <x v="5"/>
    <x v="0"/>
    <x v="1"/>
    <x v="0"/>
    <x v="1"/>
    <x v="0"/>
    <x v="0"/>
    <x v="0"/>
    <x v="0"/>
    <x v="0"/>
    <x v="4"/>
    <x v="5"/>
    <s v="22"/>
    <x v="25"/>
    <x v="0"/>
    <x v="10"/>
    <x v="8"/>
    <n v="-9.8699999999999992"/>
  </r>
  <r>
    <x v="5"/>
    <x v="0"/>
    <x v="1"/>
    <x v="0"/>
    <x v="1"/>
    <x v="0"/>
    <x v="0"/>
    <x v="0"/>
    <x v="0"/>
    <x v="0"/>
    <x v="4"/>
    <x v="5"/>
    <s v="22"/>
    <x v="25"/>
    <x v="0"/>
    <x v="10"/>
    <x v="9"/>
    <n v="-6255012.8899999997"/>
  </r>
  <r>
    <x v="5"/>
    <x v="0"/>
    <x v="1"/>
    <x v="0"/>
    <x v="1"/>
    <x v="0"/>
    <x v="0"/>
    <x v="0"/>
    <x v="0"/>
    <x v="0"/>
    <x v="4"/>
    <x v="5"/>
    <s v="22"/>
    <x v="25"/>
    <x v="0"/>
    <x v="10"/>
    <x v="10"/>
    <n v="-9910.14"/>
  </r>
  <r>
    <x v="5"/>
    <x v="0"/>
    <x v="1"/>
    <x v="0"/>
    <x v="1"/>
    <x v="0"/>
    <x v="0"/>
    <x v="0"/>
    <x v="0"/>
    <x v="0"/>
    <x v="4"/>
    <x v="5"/>
    <s v="22"/>
    <x v="25"/>
    <x v="0"/>
    <x v="10"/>
    <x v="11"/>
    <n v="-28376.14"/>
  </r>
  <r>
    <x v="5"/>
    <x v="0"/>
    <x v="1"/>
    <x v="0"/>
    <x v="1"/>
    <x v="0"/>
    <x v="0"/>
    <x v="0"/>
    <x v="0"/>
    <x v="0"/>
    <x v="4"/>
    <x v="5"/>
    <s v="22"/>
    <x v="25"/>
    <x v="0"/>
    <x v="10"/>
    <x v="3"/>
    <n v="-1110678.68"/>
  </r>
  <r>
    <x v="5"/>
    <x v="0"/>
    <x v="1"/>
    <x v="0"/>
    <x v="1"/>
    <x v="0"/>
    <x v="0"/>
    <x v="0"/>
    <x v="0"/>
    <x v="0"/>
    <x v="4"/>
    <x v="5"/>
    <s v="22"/>
    <x v="25"/>
    <x v="0"/>
    <x v="10"/>
    <x v="4"/>
    <n v="-10050944.880000001"/>
  </r>
  <r>
    <x v="5"/>
    <x v="0"/>
    <x v="1"/>
    <x v="0"/>
    <x v="1"/>
    <x v="0"/>
    <x v="0"/>
    <x v="0"/>
    <x v="0"/>
    <x v="0"/>
    <x v="4"/>
    <x v="5"/>
    <s v="22"/>
    <x v="25"/>
    <x v="0"/>
    <x v="10"/>
    <x v="7"/>
    <n v="-9.06"/>
  </r>
  <r>
    <x v="5"/>
    <x v="0"/>
    <x v="1"/>
    <x v="0"/>
    <x v="1"/>
    <x v="0"/>
    <x v="0"/>
    <x v="0"/>
    <x v="0"/>
    <x v="0"/>
    <x v="4"/>
    <x v="5"/>
    <s v="22"/>
    <x v="25"/>
    <x v="0"/>
    <x v="10"/>
    <x v="5"/>
    <n v="-14.57"/>
  </r>
  <r>
    <x v="5"/>
    <x v="0"/>
    <x v="1"/>
    <x v="0"/>
    <x v="1"/>
    <x v="0"/>
    <x v="0"/>
    <x v="0"/>
    <x v="0"/>
    <x v="0"/>
    <x v="4"/>
    <x v="5"/>
    <s v="22"/>
    <x v="25"/>
    <x v="0"/>
    <x v="10"/>
    <x v="6"/>
    <n v="-7188913.8300000001"/>
  </r>
  <r>
    <x v="5"/>
    <x v="0"/>
    <x v="1"/>
    <x v="0"/>
    <x v="1"/>
    <x v="0"/>
    <x v="0"/>
    <x v="0"/>
    <x v="0"/>
    <x v="0"/>
    <x v="4"/>
    <x v="5"/>
    <s v="22"/>
    <x v="25"/>
    <x v="0"/>
    <x v="10"/>
    <x v="1"/>
    <n v="-3461973.68"/>
  </r>
  <r>
    <x v="5"/>
    <x v="0"/>
    <x v="1"/>
    <x v="0"/>
    <x v="1"/>
    <x v="0"/>
    <x v="0"/>
    <x v="0"/>
    <x v="0"/>
    <x v="0"/>
    <x v="4"/>
    <x v="5"/>
    <s v="22"/>
    <x v="25"/>
    <x v="0"/>
    <x v="11"/>
    <x v="0"/>
    <n v="-470703.54"/>
  </r>
  <r>
    <x v="5"/>
    <x v="0"/>
    <x v="1"/>
    <x v="0"/>
    <x v="1"/>
    <x v="0"/>
    <x v="0"/>
    <x v="0"/>
    <x v="0"/>
    <x v="0"/>
    <x v="4"/>
    <x v="5"/>
    <s v="22"/>
    <x v="25"/>
    <x v="0"/>
    <x v="11"/>
    <x v="2"/>
    <n v="-5637.15"/>
  </r>
  <r>
    <x v="5"/>
    <x v="0"/>
    <x v="1"/>
    <x v="0"/>
    <x v="1"/>
    <x v="0"/>
    <x v="0"/>
    <x v="0"/>
    <x v="0"/>
    <x v="0"/>
    <x v="4"/>
    <x v="5"/>
    <s v="22"/>
    <x v="25"/>
    <x v="0"/>
    <x v="11"/>
    <x v="8"/>
    <n v="-12.82"/>
  </r>
  <r>
    <x v="5"/>
    <x v="0"/>
    <x v="1"/>
    <x v="0"/>
    <x v="1"/>
    <x v="0"/>
    <x v="0"/>
    <x v="0"/>
    <x v="0"/>
    <x v="0"/>
    <x v="4"/>
    <x v="5"/>
    <s v="22"/>
    <x v="25"/>
    <x v="0"/>
    <x v="11"/>
    <x v="9"/>
    <n v="-17.12"/>
  </r>
  <r>
    <x v="5"/>
    <x v="0"/>
    <x v="1"/>
    <x v="0"/>
    <x v="1"/>
    <x v="0"/>
    <x v="0"/>
    <x v="0"/>
    <x v="0"/>
    <x v="0"/>
    <x v="4"/>
    <x v="5"/>
    <s v="22"/>
    <x v="25"/>
    <x v="0"/>
    <x v="11"/>
    <x v="10"/>
    <n v="-9089.1"/>
  </r>
  <r>
    <x v="5"/>
    <x v="0"/>
    <x v="1"/>
    <x v="0"/>
    <x v="1"/>
    <x v="0"/>
    <x v="0"/>
    <x v="0"/>
    <x v="0"/>
    <x v="0"/>
    <x v="4"/>
    <x v="5"/>
    <s v="22"/>
    <x v="25"/>
    <x v="0"/>
    <x v="11"/>
    <x v="11"/>
    <n v="-25253.96"/>
  </r>
  <r>
    <x v="5"/>
    <x v="0"/>
    <x v="1"/>
    <x v="0"/>
    <x v="1"/>
    <x v="0"/>
    <x v="0"/>
    <x v="0"/>
    <x v="0"/>
    <x v="0"/>
    <x v="4"/>
    <x v="5"/>
    <s v="22"/>
    <x v="25"/>
    <x v="0"/>
    <x v="11"/>
    <x v="3"/>
    <n v="-1122906.56"/>
  </r>
  <r>
    <x v="5"/>
    <x v="0"/>
    <x v="1"/>
    <x v="0"/>
    <x v="1"/>
    <x v="0"/>
    <x v="0"/>
    <x v="0"/>
    <x v="0"/>
    <x v="0"/>
    <x v="4"/>
    <x v="5"/>
    <s v="22"/>
    <x v="25"/>
    <x v="0"/>
    <x v="11"/>
    <x v="4"/>
    <n v="-185637.55"/>
  </r>
  <r>
    <x v="5"/>
    <x v="0"/>
    <x v="1"/>
    <x v="0"/>
    <x v="1"/>
    <x v="0"/>
    <x v="0"/>
    <x v="0"/>
    <x v="0"/>
    <x v="0"/>
    <x v="4"/>
    <x v="5"/>
    <s v="22"/>
    <x v="25"/>
    <x v="0"/>
    <x v="11"/>
    <x v="7"/>
    <n v="-18725013.559999999"/>
  </r>
  <r>
    <x v="5"/>
    <x v="0"/>
    <x v="1"/>
    <x v="0"/>
    <x v="1"/>
    <x v="0"/>
    <x v="0"/>
    <x v="0"/>
    <x v="0"/>
    <x v="0"/>
    <x v="4"/>
    <x v="5"/>
    <s v="22"/>
    <x v="25"/>
    <x v="0"/>
    <x v="11"/>
    <x v="5"/>
    <n v="-14.77"/>
  </r>
  <r>
    <x v="5"/>
    <x v="0"/>
    <x v="1"/>
    <x v="0"/>
    <x v="1"/>
    <x v="0"/>
    <x v="0"/>
    <x v="0"/>
    <x v="0"/>
    <x v="0"/>
    <x v="4"/>
    <x v="5"/>
    <s v="22"/>
    <x v="25"/>
    <x v="0"/>
    <x v="11"/>
    <x v="6"/>
    <n v="-44087.28"/>
  </r>
  <r>
    <x v="5"/>
    <x v="0"/>
    <x v="1"/>
    <x v="0"/>
    <x v="1"/>
    <x v="0"/>
    <x v="0"/>
    <x v="0"/>
    <x v="0"/>
    <x v="0"/>
    <x v="4"/>
    <x v="5"/>
    <s v="22"/>
    <x v="25"/>
    <x v="0"/>
    <x v="11"/>
    <x v="1"/>
    <n v="-939250.07"/>
  </r>
  <r>
    <x v="5"/>
    <x v="0"/>
    <x v="1"/>
    <x v="0"/>
    <x v="1"/>
    <x v="0"/>
    <x v="0"/>
    <x v="0"/>
    <x v="0"/>
    <x v="0"/>
    <x v="5"/>
    <x v="6"/>
    <s v="20"/>
    <x v="29"/>
    <x v="0"/>
    <x v="11"/>
    <x v="6"/>
    <n v="-2481.16"/>
  </r>
  <r>
    <x v="5"/>
    <x v="0"/>
    <x v="1"/>
    <x v="0"/>
    <x v="1"/>
    <x v="0"/>
    <x v="0"/>
    <x v="0"/>
    <x v="0"/>
    <x v="0"/>
    <x v="5"/>
    <x v="6"/>
    <s v="20"/>
    <x v="29"/>
    <x v="0"/>
    <x v="11"/>
    <x v="1"/>
    <n v="2481.16"/>
  </r>
  <r>
    <x v="5"/>
    <x v="0"/>
    <x v="1"/>
    <x v="0"/>
    <x v="1"/>
    <x v="1"/>
    <x v="0"/>
    <x v="0"/>
    <x v="0"/>
    <x v="0"/>
    <x v="0"/>
    <x v="4"/>
    <s v="13"/>
    <x v="30"/>
    <x v="0"/>
    <x v="10"/>
    <x v="1"/>
    <n v="-67200"/>
  </r>
  <r>
    <x v="5"/>
    <x v="0"/>
    <x v="1"/>
    <x v="0"/>
    <x v="1"/>
    <x v="1"/>
    <x v="0"/>
    <x v="0"/>
    <x v="0"/>
    <x v="0"/>
    <x v="0"/>
    <x v="4"/>
    <s v="13"/>
    <x v="30"/>
    <x v="0"/>
    <x v="11"/>
    <x v="1"/>
    <n v="-258280"/>
  </r>
  <r>
    <x v="5"/>
    <x v="0"/>
    <x v="1"/>
    <x v="0"/>
    <x v="1"/>
    <x v="1"/>
    <x v="1"/>
    <x v="0"/>
    <x v="0"/>
    <x v="0"/>
    <x v="0"/>
    <x v="4"/>
    <s v="09"/>
    <x v="0"/>
    <x v="0"/>
    <x v="10"/>
    <x v="9"/>
    <n v="139485.29"/>
  </r>
  <r>
    <x v="5"/>
    <x v="0"/>
    <x v="1"/>
    <x v="0"/>
    <x v="1"/>
    <x v="1"/>
    <x v="1"/>
    <x v="0"/>
    <x v="0"/>
    <x v="0"/>
    <x v="0"/>
    <x v="4"/>
    <s v="09"/>
    <x v="0"/>
    <x v="0"/>
    <x v="10"/>
    <x v="3"/>
    <n v="165079.21"/>
  </r>
  <r>
    <x v="5"/>
    <x v="0"/>
    <x v="1"/>
    <x v="0"/>
    <x v="1"/>
    <x v="1"/>
    <x v="1"/>
    <x v="0"/>
    <x v="0"/>
    <x v="0"/>
    <x v="0"/>
    <x v="4"/>
    <s v="09"/>
    <x v="0"/>
    <x v="0"/>
    <x v="10"/>
    <x v="1"/>
    <n v="-32317.71"/>
  </r>
  <r>
    <x v="5"/>
    <x v="0"/>
    <x v="1"/>
    <x v="0"/>
    <x v="1"/>
    <x v="1"/>
    <x v="1"/>
    <x v="0"/>
    <x v="0"/>
    <x v="0"/>
    <x v="0"/>
    <x v="4"/>
    <s v="09"/>
    <x v="0"/>
    <x v="0"/>
    <x v="11"/>
    <x v="9"/>
    <n v="65488.32"/>
  </r>
  <r>
    <x v="5"/>
    <x v="0"/>
    <x v="1"/>
    <x v="0"/>
    <x v="1"/>
    <x v="1"/>
    <x v="1"/>
    <x v="0"/>
    <x v="0"/>
    <x v="0"/>
    <x v="0"/>
    <x v="4"/>
    <s v="09"/>
    <x v="0"/>
    <x v="0"/>
    <x v="11"/>
    <x v="3"/>
    <n v="55723.59"/>
  </r>
  <r>
    <x v="5"/>
    <x v="0"/>
    <x v="1"/>
    <x v="0"/>
    <x v="1"/>
    <x v="1"/>
    <x v="1"/>
    <x v="0"/>
    <x v="0"/>
    <x v="0"/>
    <x v="0"/>
    <x v="4"/>
    <s v="09"/>
    <x v="0"/>
    <x v="0"/>
    <x v="11"/>
    <x v="1"/>
    <n v="120438.48"/>
  </r>
  <r>
    <x v="5"/>
    <x v="0"/>
    <x v="1"/>
    <x v="0"/>
    <x v="1"/>
    <x v="1"/>
    <x v="1"/>
    <x v="0"/>
    <x v="0"/>
    <x v="0"/>
    <x v="0"/>
    <x v="4"/>
    <s v="13"/>
    <x v="30"/>
    <x v="0"/>
    <x v="10"/>
    <x v="1"/>
    <n v="67200"/>
  </r>
  <r>
    <x v="5"/>
    <x v="0"/>
    <x v="1"/>
    <x v="0"/>
    <x v="1"/>
    <x v="1"/>
    <x v="1"/>
    <x v="0"/>
    <x v="0"/>
    <x v="0"/>
    <x v="0"/>
    <x v="4"/>
    <s v="13"/>
    <x v="30"/>
    <x v="0"/>
    <x v="11"/>
    <x v="1"/>
    <n v="92300"/>
  </r>
  <r>
    <x v="5"/>
    <x v="0"/>
    <x v="1"/>
    <x v="0"/>
    <x v="1"/>
    <x v="1"/>
    <x v="1"/>
    <x v="0"/>
    <x v="0"/>
    <x v="0"/>
    <x v="0"/>
    <x v="4"/>
    <s v="24"/>
    <x v="1"/>
    <x v="0"/>
    <x v="10"/>
    <x v="0"/>
    <n v="-1577.49"/>
  </r>
  <r>
    <x v="5"/>
    <x v="0"/>
    <x v="1"/>
    <x v="0"/>
    <x v="1"/>
    <x v="1"/>
    <x v="1"/>
    <x v="0"/>
    <x v="0"/>
    <x v="0"/>
    <x v="0"/>
    <x v="4"/>
    <s v="24"/>
    <x v="1"/>
    <x v="0"/>
    <x v="10"/>
    <x v="2"/>
    <n v="15715538.609999999"/>
  </r>
  <r>
    <x v="5"/>
    <x v="0"/>
    <x v="1"/>
    <x v="0"/>
    <x v="1"/>
    <x v="1"/>
    <x v="1"/>
    <x v="0"/>
    <x v="0"/>
    <x v="0"/>
    <x v="0"/>
    <x v="4"/>
    <s v="24"/>
    <x v="1"/>
    <x v="0"/>
    <x v="10"/>
    <x v="8"/>
    <n v="-229974.17"/>
  </r>
  <r>
    <x v="5"/>
    <x v="0"/>
    <x v="1"/>
    <x v="0"/>
    <x v="1"/>
    <x v="1"/>
    <x v="1"/>
    <x v="0"/>
    <x v="0"/>
    <x v="0"/>
    <x v="0"/>
    <x v="4"/>
    <s v="24"/>
    <x v="1"/>
    <x v="0"/>
    <x v="10"/>
    <x v="9"/>
    <n v="-23644.15"/>
  </r>
  <r>
    <x v="5"/>
    <x v="0"/>
    <x v="1"/>
    <x v="0"/>
    <x v="1"/>
    <x v="1"/>
    <x v="1"/>
    <x v="0"/>
    <x v="0"/>
    <x v="0"/>
    <x v="0"/>
    <x v="4"/>
    <s v="24"/>
    <x v="1"/>
    <x v="0"/>
    <x v="10"/>
    <x v="10"/>
    <n v="-143590.26"/>
  </r>
  <r>
    <x v="5"/>
    <x v="0"/>
    <x v="1"/>
    <x v="0"/>
    <x v="1"/>
    <x v="1"/>
    <x v="1"/>
    <x v="0"/>
    <x v="0"/>
    <x v="0"/>
    <x v="0"/>
    <x v="4"/>
    <s v="24"/>
    <x v="1"/>
    <x v="0"/>
    <x v="10"/>
    <x v="11"/>
    <n v="14119208.220000001"/>
  </r>
  <r>
    <x v="5"/>
    <x v="0"/>
    <x v="1"/>
    <x v="0"/>
    <x v="1"/>
    <x v="1"/>
    <x v="1"/>
    <x v="0"/>
    <x v="0"/>
    <x v="0"/>
    <x v="0"/>
    <x v="4"/>
    <s v="24"/>
    <x v="1"/>
    <x v="0"/>
    <x v="10"/>
    <x v="3"/>
    <n v="498369.66"/>
  </r>
  <r>
    <x v="5"/>
    <x v="0"/>
    <x v="1"/>
    <x v="0"/>
    <x v="1"/>
    <x v="1"/>
    <x v="1"/>
    <x v="0"/>
    <x v="0"/>
    <x v="0"/>
    <x v="0"/>
    <x v="4"/>
    <s v="24"/>
    <x v="1"/>
    <x v="0"/>
    <x v="10"/>
    <x v="4"/>
    <n v="10940334.890000001"/>
  </r>
  <r>
    <x v="5"/>
    <x v="0"/>
    <x v="1"/>
    <x v="0"/>
    <x v="1"/>
    <x v="1"/>
    <x v="1"/>
    <x v="0"/>
    <x v="0"/>
    <x v="0"/>
    <x v="0"/>
    <x v="4"/>
    <s v="24"/>
    <x v="1"/>
    <x v="0"/>
    <x v="10"/>
    <x v="7"/>
    <n v="2806794.04"/>
  </r>
  <r>
    <x v="5"/>
    <x v="0"/>
    <x v="1"/>
    <x v="0"/>
    <x v="1"/>
    <x v="1"/>
    <x v="1"/>
    <x v="0"/>
    <x v="0"/>
    <x v="0"/>
    <x v="0"/>
    <x v="4"/>
    <s v="24"/>
    <x v="1"/>
    <x v="0"/>
    <x v="10"/>
    <x v="5"/>
    <n v="117252.04"/>
  </r>
  <r>
    <x v="5"/>
    <x v="0"/>
    <x v="1"/>
    <x v="0"/>
    <x v="1"/>
    <x v="1"/>
    <x v="1"/>
    <x v="0"/>
    <x v="0"/>
    <x v="0"/>
    <x v="0"/>
    <x v="4"/>
    <s v="24"/>
    <x v="1"/>
    <x v="0"/>
    <x v="10"/>
    <x v="6"/>
    <n v="-30063.82"/>
  </r>
  <r>
    <x v="5"/>
    <x v="0"/>
    <x v="1"/>
    <x v="0"/>
    <x v="1"/>
    <x v="1"/>
    <x v="1"/>
    <x v="0"/>
    <x v="0"/>
    <x v="0"/>
    <x v="0"/>
    <x v="4"/>
    <s v="24"/>
    <x v="1"/>
    <x v="0"/>
    <x v="10"/>
    <x v="1"/>
    <n v="-9065.5300000000007"/>
  </r>
  <r>
    <x v="5"/>
    <x v="0"/>
    <x v="1"/>
    <x v="0"/>
    <x v="1"/>
    <x v="1"/>
    <x v="1"/>
    <x v="0"/>
    <x v="0"/>
    <x v="0"/>
    <x v="0"/>
    <x v="4"/>
    <s v="24"/>
    <x v="1"/>
    <x v="0"/>
    <x v="11"/>
    <x v="0"/>
    <n v="-7083.77"/>
  </r>
  <r>
    <x v="5"/>
    <x v="0"/>
    <x v="1"/>
    <x v="0"/>
    <x v="1"/>
    <x v="1"/>
    <x v="1"/>
    <x v="0"/>
    <x v="0"/>
    <x v="0"/>
    <x v="0"/>
    <x v="4"/>
    <s v="24"/>
    <x v="1"/>
    <x v="0"/>
    <x v="11"/>
    <x v="2"/>
    <n v="18102152.120000001"/>
  </r>
  <r>
    <x v="5"/>
    <x v="0"/>
    <x v="1"/>
    <x v="0"/>
    <x v="1"/>
    <x v="1"/>
    <x v="1"/>
    <x v="0"/>
    <x v="0"/>
    <x v="0"/>
    <x v="0"/>
    <x v="4"/>
    <s v="24"/>
    <x v="1"/>
    <x v="0"/>
    <x v="11"/>
    <x v="8"/>
    <n v="-253280.13"/>
  </r>
  <r>
    <x v="5"/>
    <x v="0"/>
    <x v="1"/>
    <x v="0"/>
    <x v="1"/>
    <x v="1"/>
    <x v="1"/>
    <x v="0"/>
    <x v="0"/>
    <x v="0"/>
    <x v="0"/>
    <x v="4"/>
    <s v="24"/>
    <x v="1"/>
    <x v="0"/>
    <x v="11"/>
    <x v="9"/>
    <n v="-259146.96"/>
  </r>
  <r>
    <x v="5"/>
    <x v="0"/>
    <x v="1"/>
    <x v="0"/>
    <x v="1"/>
    <x v="1"/>
    <x v="1"/>
    <x v="0"/>
    <x v="0"/>
    <x v="0"/>
    <x v="0"/>
    <x v="4"/>
    <s v="24"/>
    <x v="1"/>
    <x v="0"/>
    <x v="11"/>
    <x v="10"/>
    <n v="-101065.78"/>
  </r>
  <r>
    <x v="5"/>
    <x v="0"/>
    <x v="1"/>
    <x v="0"/>
    <x v="1"/>
    <x v="1"/>
    <x v="1"/>
    <x v="0"/>
    <x v="0"/>
    <x v="0"/>
    <x v="0"/>
    <x v="4"/>
    <s v="24"/>
    <x v="1"/>
    <x v="0"/>
    <x v="11"/>
    <x v="11"/>
    <n v="16087030.98"/>
  </r>
  <r>
    <x v="5"/>
    <x v="0"/>
    <x v="1"/>
    <x v="0"/>
    <x v="1"/>
    <x v="1"/>
    <x v="1"/>
    <x v="0"/>
    <x v="0"/>
    <x v="0"/>
    <x v="0"/>
    <x v="4"/>
    <s v="24"/>
    <x v="1"/>
    <x v="0"/>
    <x v="11"/>
    <x v="3"/>
    <n v="486249.2"/>
  </r>
  <r>
    <x v="5"/>
    <x v="0"/>
    <x v="1"/>
    <x v="0"/>
    <x v="1"/>
    <x v="1"/>
    <x v="1"/>
    <x v="0"/>
    <x v="0"/>
    <x v="0"/>
    <x v="0"/>
    <x v="4"/>
    <s v="24"/>
    <x v="1"/>
    <x v="0"/>
    <x v="11"/>
    <x v="4"/>
    <n v="-52697.07"/>
  </r>
  <r>
    <x v="5"/>
    <x v="0"/>
    <x v="1"/>
    <x v="0"/>
    <x v="1"/>
    <x v="1"/>
    <x v="1"/>
    <x v="0"/>
    <x v="0"/>
    <x v="0"/>
    <x v="0"/>
    <x v="4"/>
    <s v="24"/>
    <x v="1"/>
    <x v="0"/>
    <x v="11"/>
    <x v="7"/>
    <n v="15773024.15"/>
  </r>
  <r>
    <x v="5"/>
    <x v="0"/>
    <x v="1"/>
    <x v="0"/>
    <x v="1"/>
    <x v="1"/>
    <x v="1"/>
    <x v="0"/>
    <x v="0"/>
    <x v="0"/>
    <x v="0"/>
    <x v="4"/>
    <s v="24"/>
    <x v="1"/>
    <x v="0"/>
    <x v="11"/>
    <x v="5"/>
    <n v="104106.68"/>
  </r>
  <r>
    <x v="5"/>
    <x v="0"/>
    <x v="1"/>
    <x v="0"/>
    <x v="1"/>
    <x v="1"/>
    <x v="1"/>
    <x v="0"/>
    <x v="0"/>
    <x v="0"/>
    <x v="0"/>
    <x v="4"/>
    <s v="24"/>
    <x v="1"/>
    <x v="0"/>
    <x v="11"/>
    <x v="6"/>
    <n v="-628375.31000000006"/>
  </r>
  <r>
    <x v="5"/>
    <x v="0"/>
    <x v="1"/>
    <x v="0"/>
    <x v="1"/>
    <x v="1"/>
    <x v="1"/>
    <x v="0"/>
    <x v="0"/>
    <x v="0"/>
    <x v="0"/>
    <x v="4"/>
    <s v="24"/>
    <x v="1"/>
    <x v="0"/>
    <x v="11"/>
    <x v="1"/>
    <n v="-65401.5"/>
  </r>
  <r>
    <x v="5"/>
    <x v="0"/>
    <x v="1"/>
    <x v="0"/>
    <x v="1"/>
    <x v="1"/>
    <x v="1"/>
    <x v="0"/>
    <x v="0"/>
    <x v="0"/>
    <x v="0"/>
    <x v="4"/>
    <s v="99"/>
    <x v="9"/>
    <x v="0"/>
    <x v="10"/>
    <x v="3"/>
    <n v="1137.75"/>
  </r>
  <r>
    <x v="5"/>
    <x v="0"/>
    <x v="1"/>
    <x v="0"/>
    <x v="1"/>
    <x v="1"/>
    <x v="1"/>
    <x v="0"/>
    <x v="0"/>
    <x v="0"/>
    <x v="0"/>
    <x v="4"/>
    <s v="99"/>
    <x v="9"/>
    <x v="0"/>
    <x v="10"/>
    <x v="4"/>
    <n v="-1137.75"/>
  </r>
  <r>
    <x v="5"/>
    <x v="0"/>
    <x v="1"/>
    <x v="0"/>
    <x v="1"/>
    <x v="1"/>
    <x v="1"/>
    <x v="0"/>
    <x v="0"/>
    <x v="0"/>
    <x v="0"/>
    <x v="4"/>
    <s v="99"/>
    <x v="9"/>
    <x v="0"/>
    <x v="11"/>
    <x v="3"/>
    <n v="265"/>
  </r>
  <r>
    <x v="5"/>
    <x v="0"/>
    <x v="1"/>
    <x v="0"/>
    <x v="1"/>
    <x v="1"/>
    <x v="1"/>
    <x v="0"/>
    <x v="0"/>
    <x v="0"/>
    <x v="0"/>
    <x v="4"/>
    <s v="99"/>
    <x v="9"/>
    <x v="0"/>
    <x v="11"/>
    <x v="4"/>
    <n v="-265"/>
  </r>
  <r>
    <x v="5"/>
    <x v="0"/>
    <x v="1"/>
    <x v="0"/>
    <x v="1"/>
    <x v="5"/>
    <x v="0"/>
    <x v="0"/>
    <x v="0"/>
    <x v="0"/>
    <x v="0"/>
    <x v="4"/>
    <s v="09"/>
    <x v="0"/>
    <x v="0"/>
    <x v="10"/>
    <x v="1"/>
    <n v="45548.21"/>
  </r>
  <r>
    <x v="5"/>
    <x v="0"/>
    <x v="1"/>
    <x v="0"/>
    <x v="1"/>
    <x v="5"/>
    <x v="0"/>
    <x v="0"/>
    <x v="0"/>
    <x v="0"/>
    <x v="0"/>
    <x v="4"/>
    <s v="20"/>
    <x v="7"/>
    <x v="0"/>
    <x v="10"/>
    <x v="10"/>
    <n v="-3881.52"/>
  </r>
  <r>
    <x v="5"/>
    <x v="0"/>
    <x v="1"/>
    <x v="0"/>
    <x v="1"/>
    <x v="5"/>
    <x v="0"/>
    <x v="0"/>
    <x v="0"/>
    <x v="0"/>
    <x v="0"/>
    <x v="4"/>
    <s v="20"/>
    <x v="7"/>
    <x v="0"/>
    <x v="10"/>
    <x v="3"/>
    <n v="3881.52"/>
  </r>
  <r>
    <x v="5"/>
    <x v="0"/>
    <x v="1"/>
    <x v="0"/>
    <x v="1"/>
    <x v="5"/>
    <x v="0"/>
    <x v="0"/>
    <x v="0"/>
    <x v="0"/>
    <x v="0"/>
    <x v="4"/>
    <s v="24"/>
    <x v="1"/>
    <x v="0"/>
    <x v="10"/>
    <x v="0"/>
    <n v="-1987.16"/>
  </r>
  <r>
    <x v="5"/>
    <x v="0"/>
    <x v="1"/>
    <x v="0"/>
    <x v="1"/>
    <x v="5"/>
    <x v="0"/>
    <x v="0"/>
    <x v="0"/>
    <x v="0"/>
    <x v="0"/>
    <x v="4"/>
    <s v="24"/>
    <x v="1"/>
    <x v="0"/>
    <x v="10"/>
    <x v="2"/>
    <n v="-2849.58"/>
  </r>
  <r>
    <x v="5"/>
    <x v="0"/>
    <x v="1"/>
    <x v="0"/>
    <x v="1"/>
    <x v="5"/>
    <x v="0"/>
    <x v="0"/>
    <x v="0"/>
    <x v="0"/>
    <x v="0"/>
    <x v="4"/>
    <s v="24"/>
    <x v="1"/>
    <x v="0"/>
    <x v="10"/>
    <x v="8"/>
    <n v="17862399.809999999"/>
  </r>
  <r>
    <x v="5"/>
    <x v="0"/>
    <x v="1"/>
    <x v="0"/>
    <x v="1"/>
    <x v="5"/>
    <x v="0"/>
    <x v="0"/>
    <x v="0"/>
    <x v="0"/>
    <x v="0"/>
    <x v="4"/>
    <s v="24"/>
    <x v="1"/>
    <x v="0"/>
    <x v="10"/>
    <x v="9"/>
    <n v="-2412542.38"/>
  </r>
  <r>
    <x v="5"/>
    <x v="0"/>
    <x v="1"/>
    <x v="0"/>
    <x v="1"/>
    <x v="5"/>
    <x v="0"/>
    <x v="0"/>
    <x v="0"/>
    <x v="0"/>
    <x v="0"/>
    <x v="4"/>
    <s v="24"/>
    <x v="1"/>
    <x v="0"/>
    <x v="10"/>
    <x v="11"/>
    <n v="-33707.43"/>
  </r>
  <r>
    <x v="5"/>
    <x v="0"/>
    <x v="1"/>
    <x v="0"/>
    <x v="1"/>
    <x v="5"/>
    <x v="0"/>
    <x v="0"/>
    <x v="0"/>
    <x v="0"/>
    <x v="0"/>
    <x v="4"/>
    <s v="24"/>
    <x v="1"/>
    <x v="0"/>
    <x v="10"/>
    <x v="3"/>
    <n v="14595032.51"/>
  </r>
  <r>
    <x v="5"/>
    <x v="0"/>
    <x v="1"/>
    <x v="0"/>
    <x v="1"/>
    <x v="5"/>
    <x v="0"/>
    <x v="0"/>
    <x v="0"/>
    <x v="0"/>
    <x v="0"/>
    <x v="4"/>
    <s v="24"/>
    <x v="1"/>
    <x v="0"/>
    <x v="10"/>
    <x v="4"/>
    <n v="-15662.07"/>
  </r>
  <r>
    <x v="5"/>
    <x v="0"/>
    <x v="1"/>
    <x v="0"/>
    <x v="1"/>
    <x v="5"/>
    <x v="0"/>
    <x v="0"/>
    <x v="0"/>
    <x v="0"/>
    <x v="0"/>
    <x v="4"/>
    <s v="24"/>
    <x v="1"/>
    <x v="0"/>
    <x v="10"/>
    <x v="7"/>
    <n v="16029789.880000001"/>
  </r>
  <r>
    <x v="5"/>
    <x v="0"/>
    <x v="1"/>
    <x v="0"/>
    <x v="1"/>
    <x v="5"/>
    <x v="0"/>
    <x v="0"/>
    <x v="0"/>
    <x v="0"/>
    <x v="0"/>
    <x v="4"/>
    <s v="24"/>
    <x v="1"/>
    <x v="0"/>
    <x v="10"/>
    <x v="5"/>
    <n v="413609.37"/>
  </r>
  <r>
    <x v="5"/>
    <x v="0"/>
    <x v="1"/>
    <x v="0"/>
    <x v="1"/>
    <x v="5"/>
    <x v="0"/>
    <x v="0"/>
    <x v="0"/>
    <x v="0"/>
    <x v="0"/>
    <x v="4"/>
    <s v="24"/>
    <x v="1"/>
    <x v="0"/>
    <x v="10"/>
    <x v="6"/>
    <n v="-2579476.81"/>
  </r>
  <r>
    <x v="5"/>
    <x v="0"/>
    <x v="1"/>
    <x v="0"/>
    <x v="1"/>
    <x v="5"/>
    <x v="0"/>
    <x v="0"/>
    <x v="0"/>
    <x v="0"/>
    <x v="0"/>
    <x v="4"/>
    <s v="24"/>
    <x v="1"/>
    <x v="0"/>
    <x v="10"/>
    <x v="1"/>
    <n v="-410248.58"/>
  </r>
  <r>
    <x v="5"/>
    <x v="0"/>
    <x v="1"/>
    <x v="0"/>
    <x v="1"/>
    <x v="5"/>
    <x v="0"/>
    <x v="0"/>
    <x v="0"/>
    <x v="0"/>
    <x v="0"/>
    <x v="4"/>
    <s v="24"/>
    <x v="1"/>
    <x v="0"/>
    <x v="11"/>
    <x v="0"/>
    <n v="-12906.96"/>
  </r>
  <r>
    <x v="5"/>
    <x v="0"/>
    <x v="1"/>
    <x v="0"/>
    <x v="1"/>
    <x v="5"/>
    <x v="0"/>
    <x v="0"/>
    <x v="0"/>
    <x v="0"/>
    <x v="0"/>
    <x v="4"/>
    <s v="24"/>
    <x v="1"/>
    <x v="0"/>
    <x v="11"/>
    <x v="8"/>
    <n v="20636310.66"/>
  </r>
  <r>
    <x v="5"/>
    <x v="0"/>
    <x v="1"/>
    <x v="0"/>
    <x v="1"/>
    <x v="5"/>
    <x v="0"/>
    <x v="0"/>
    <x v="0"/>
    <x v="0"/>
    <x v="0"/>
    <x v="4"/>
    <s v="24"/>
    <x v="1"/>
    <x v="0"/>
    <x v="11"/>
    <x v="9"/>
    <n v="-53865.68"/>
  </r>
  <r>
    <x v="5"/>
    <x v="0"/>
    <x v="1"/>
    <x v="0"/>
    <x v="1"/>
    <x v="5"/>
    <x v="0"/>
    <x v="0"/>
    <x v="0"/>
    <x v="0"/>
    <x v="0"/>
    <x v="4"/>
    <s v="24"/>
    <x v="1"/>
    <x v="0"/>
    <x v="11"/>
    <x v="10"/>
    <n v="-6270.52"/>
  </r>
  <r>
    <x v="5"/>
    <x v="0"/>
    <x v="1"/>
    <x v="0"/>
    <x v="1"/>
    <x v="5"/>
    <x v="0"/>
    <x v="0"/>
    <x v="0"/>
    <x v="0"/>
    <x v="0"/>
    <x v="4"/>
    <s v="24"/>
    <x v="1"/>
    <x v="0"/>
    <x v="11"/>
    <x v="11"/>
    <n v="-2929583.49"/>
  </r>
  <r>
    <x v="5"/>
    <x v="0"/>
    <x v="1"/>
    <x v="0"/>
    <x v="1"/>
    <x v="5"/>
    <x v="0"/>
    <x v="0"/>
    <x v="0"/>
    <x v="0"/>
    <x v="0"/>
    <x v="4"/>
    <s v="24"/>
    <x v="1"/>
    <x v="0"/>
    <x v="11"/>
    <x v="3"/>
    <n v="17285648.449999999"/>
  </r>
  <r>
    <x v="5"/>
    <x v="0"/>
    <x v="1"/>
    <x v="0"/>
    <x v="1"/>
    <x v="5"/>
    <x v="0"/>
    <x v="0"/>
    <x v="0"/>
    <x v="0"/>
    <x v="0"/>
    <x v="4"/>
    <s v="24"/>
    <x v="1"/>
    <x v="0"/>
    <x v="11"/>
    <x v="4"/>
    <n v="-21728.03"/>
  </r>
  <r>
    <x v="5"/>
    <x v="0"/>
    <x v="1"/>
    <x v="0"/>
    <x v="1"/>
    <x v="5"/>
    <x v="0"/>
    <x v="0"/>
    <x v="0"/>
    <x v="0"/>
    <x v="0"/>
    <x v="4"/>
    <s v="24"/>
    <x v="1"/>
    <x v="0"/>
    <x v="11"/>
    <x v="7"/>
    <n v="18690501.390000001"/>
  </r>
  <r>
    <x v="5"/>
    <x v="0"/>
    <x v="1"/>
    <x v="0"/>
    <x v="1"/>
    <x v="5"/>
    <x v="0"/>
    <x v="0"/>
    <x v="0"/>
    <x v="0"/>
    <x v="0"/>
    <x v="4"/>
    <s v="24"/>
    <x v="1"/>
    <x v="0"/>
    <x v="11"/>
    <x v="5"/>
    <n v="-2470372.5099999998"/>
  </r>
  <r>
    <x v="5"/>
    <x v="0"/>
    <x v="1"/>
    <x v="0"/>
    <x v="1"/>
    <x v="5"/>
    <x v="0"/>
    <x v="0"/>
    <x v="0"/>
    <x v="0"/>
    <x v="0"/>
    <x v="4"/>
    <s v="24"/>
    <x v="1"/>
    <x v="0"/>
    <x v="11"/>
    <x v="6"/>
    <n v="-4313.33"/>
  </r>
  <r>
    <x v="5"/>
    <x v="0"/>
    <x v="1"/>
    <x v="0"/>
    <x v="1"/>
    <x v="5"/>
    <x v="0"/>
    <x v="0"/>
    <x v="0"/>
    <x v="0"/>
    <x v="0"/>
    <x v="4"/>
    <s v="24"/>
    <x v="1"/>
    <x v="0"/>
    <x v="11"/>
    <x v="1"/>
    <n v="-353261.84"/>
  </r>
  <r>
    <x v="5"/>
    <x v="0"/>
    <x v="1"/>
    <x v="0"/>
    <x v="1"/>
    <x v="5"/>
    <x v="0"/>
    <x v="0"/>
    <x v="0"/>
    <x v="0"/>
    <x v="4"/>
    <x v="5"/>
    <s v="22"/>
    <x v="25"/>
    <x v="0"/>
    <x v="10"/>
    <x v="0"/>
    <n v="-84434.38"/>
  </r>
  <r>
    <x v="5"/>
    <x v="0"/>
    <x v="1"/>
    <x v="0"/>
    <x v="1"/>
    <x v="5"/>
    <x v="0"/>
    <x v="0"/>
    <x v="0"/>
    <x v="0"/>
    <x v="4"/>
    <x v="5"/>
    <s v="22"/>
    <x v="25"/>
    <x v="0"/>
    <x v="10"/>
    <x v="3"/>
    <n v="-364434.38"/>
  </r>
  <r>
    <x v="5"/>
    <x v="0"/>
    <x v="1"/>
    <x v="0"/>
    <x v="1"/>
    <x v="5"/>
    <x v="0"/>
    <x v="0"/>
    <x v="0"/>
    <x v="0"/>
    <x v="4"/>
    <x v="5"/>
    <s v="22"/>
    <x v="25"/>
    <x v="0"/>
    <x v="11"/>
    <x v="0"/>
    <n v="-78134.38"/>
  </r>
  <r>
    <x v="5"/>
    <x v="0"/>
    <x v="1"/>
    <x v="0"/>
    <x v="1"/>
    <x v="5"/>
    <x v="0"/>
    <x v="0"/>
    <x v="0"/>
    <x v="0"/>
    <x v="4"/>
    <x v="5"/>
    <s v="22"/>
    <x v="25"/>
    <x v="0"/>
    <x v="11"/>
    <x v="3"/>
    <n v="-373134.38"/>
  </r>
  <r>
    <x v="5"/>
    <x v="0"/>
    <x v="1"/>
    <x v="0"/>
    <x v="1"/>
    <x v="6"/>
    <x v="0"/>
    <x v="0"/>
    <x v="0"/>
    <x v="1"/>
    <x v="1"/>
    <x v="8"/>
    <s v="41"/>
    <x v="4"/>
    <x v="0"/>
    <x v="10"/>
    <x v="1"/>
    <n v="4014.9"/>
  </r>
  <r>
    <x v="5"/>
    <x v="0"/>
    <x v="1"/>
    <x v="0"/>
    <x v="1"/>
    <x v="6"/>
    <x v="0"/>
    <x v="0"/>
    <x v="0"/>
    <x v="0"/>
    <x v="0"/>
    <x v="4"/>
    <s v="20"/>
    <x v="7"/>
    <x v="0"/>
    <x v="10"/>
    <x v="6"/>
    <n v="119"/>
  </r>
  <r>
    <x v="5"/>
    <x v="0"/>
    <x v="1"/>
    <x v="0"/>
    <x v="1"/>
    <x v="6"/>
    <x v="0"/>
    <x v="0"/>
    <x v="0"/>
    <x v="0"/>
    <x v="0"/>
    <x v="4"/>
    <s v="20"/>
    <x v="7"/>
    <x v="0"/>
    <x v="10"/>
    <x v="1"/>
    <n v="631"/>
  </r>
  <r>
    <x v="5"/>
    <x v="0"/>
    <x v="1"/>
    <x v="0"/>
    <x v="1"/>
    <x v="6"/>
    <x v="0"/>
    <x v="0"/>
    <x v="0"/>
    <x v="0"/>
    <x v="0"/>
    <x v="4"/>
    <s v="24"/>
    <x v="1"/>
    <x v="0"/>
    <x v="10"/>
    <x v="9"/>
    <n v="-266.86"/>
  </r>
  <r>
    <x v="5"/>
    <x v="0"/>
    <x v="1"/>
    <x v="0"/>
    <x v="1"/>
    <x v="6"/>
    <x v="0"/>
    <x v="0"/>
    <x v="0"/>
    <x v="0"/>
    <x v="0"/>
    <x v="4"/>
    <s v="24"/>
    <x v="1"/>
    <x v="0"/>
    <x v="10"/>
    <x v="7"/>
    <n v="-100"/>
  </r>
  <r>
    <x v="5"/>
    <x v="0"/>
    <x v="1"/>
    <x v="0"/>
    <x v="1"/>
    <x v="6"/>
    <x v="0"/>
    <x v="0"/>
    <x v="0"/>
    <x v="0"/>
    <x v="0"/>
    <x v="4"/>
    <s v="24"/>
    <x v="1"/>
    <x v="0"/>
    <x v="10"/>
    <x v="5"/>
    <n v="25"/>
  </r>
  <r>
    <x v="5"/>
    <x v="0"/>
    <x v="1"/>
    <x v="0"/>
    <x v="1"/>
    <x v="6"/>
    <x v="0"/>
    <x v="0"/>
    <x v="0"/>
    <x v="0"/>
    <x v="0"/>
    <x v="4"/>
    <s v="24"/>
    <x v="1"/>
    <x v="0"/>
    <x v="10"/>
    <x v="6"/>
    <n v="194.42"/>
  </r>
  <r>
    <x v="5"/>
    <x v="0"/>
    <x v="1"/>
    <x v="0"/>
    <x v="1"/>
    <x v="6"/>
    <x v="0"/>
    <x v="0"/>
    <x v="0"/>
    <x v="0"/>
    <x v="0"/>
    <x v="4"/>
    <s v="24"/>
    <x v="1"/>
    <x v="0"/>
    <x v="10"/>
    <x v="1"/>
    <n v="-4161.82"/>
  </r>
  <r>
    <x v="5"/>
    <x v="0"/>
    <x v="1"/>
    <x v="0"/>
    <x v="1"/>
    <x v="6"/>
    <x v="0"/>
    <x v="0"/>
    <x v="0"/>
    <x v="0"/>
    <x v="0"/>
    <x v="4"/>
    <s v="24"/>
    <x v="1"/>
    <x v="0"/>
    <x v="11"/>
    <x v="8"/>
    <n v="313"/>
  </r>
  <r>
    <x v="5"/>
    <x v="0"/>
    <x v="1"/>
    <x v="0"/>
    <x v="1"/>
    <x v="6"/>
    <x v="0"/>
    <x v="0"/>
    <x v="0"/>
    <x v="0"/>
    <x v="0"/>
    <x v="4"/>
    <s v="24"/>
    <x v="1"/>
    <x v="0"/>
    <x v="11"/>
    <x v="7"/>
    <n v="-80139.03"/>
  </r>
  <r>
    <x v="5"/>
    <x v="0"/>
    <x v="1"/>
    <x v="0"/>
    <x v="1"/>
    <x v="6"/>
    <x v="0"/>
    <x v="0"/>
    <x v="0"/>
    <x v="0"/>
    <x v="0"/>
    <x v="4"/>
    <s v="24"/>
    <x v="1"/>
    <x v="0"/>
    <x v="11"/>
    <x v="6"/>
    <n v="115.8"/>
  </r>
  <r>
    <x v="5"/>
    <x v="0"/>
    <x v="1"/>
    <x v="0"/>
    <x v="1"/>
    <x v="6"/>
    <x v="0"/>
    <x v="0"/>
    <x v="0"/>
    <x v="0"/>
    <x v="0"/>
    <x v="4"/>
    <s v="24"/>
    <x v="1"/>
    <x v="0"/>
    <x v="11"/>
    <x v="1"/>
    <n v="72.2"/>
  </r>
  <r>
    <x v="5"/>
    <x v="0"/>
    <x v="1"/>
    <x v="0"/>
    <x v="1"/>
    <x v="6"/>
    <x v="0"/>
    <x v="0"/>
    <x v="0"/>
    <x v="0"/>
    <x v="0"/>
    <x v="4"/>
    <s v="99"/>
    <x v="9"/>
    <x v="0"/>
    <x v="11"/>
    <x v="0"/>
    <n v="188"/>
  </r>
  <r>
    <x v="5"/>
    <x v="0"/>
    <x v="1"/>
    <x v="0"/>
    <x v="1"/>
    <x v="6"/>
    <x v="0"/>
    <x v="0"/>
    <x v="0"/>
    <x v="0"/>
    <x v="0"/>
    <x v="4"/>
    <s v="99"/>
    <x v="9"/>
    <x v="0"/>
    <x v="11"/>
    <x v="1"/>
    <n v="-188"/>
  </r>
  <r>
    <x v="5"/>
    <x v="0"/>
    <x v="1"/>
    <x v="0"/>
    <x v="1"/>
    <x v="6"/>
    <x v="0"/>
    <x v="0"/>
    <x v="0"/>
    <x v="0"/>
    <x v="4"/>
    <x v="5"/>
    <s v="21"/>
    <x v="27"/>
    <x v="0"/>
    <x v="10"/>
    <x v="1"/>
    <n v="2975"/>
  </r>
  <r>
    <x v="5"/>
    <x v="0"/>
    <x v="1"/>
    <x v="0"/>
    <x v="1"/>
    <x v="6"/>
    <x v="0"/>
    <x v="0"/>
    <x v="0"/>
    <x v="0"/>
    <x v="4"/>
    <x v="5"/>
    <s v="22"/>
    <x v="25"/>
    <x v="0"/>
    <x v="10"/>
    <x v="2"/>
    <n v="-37793.9"/>
  </r>
  <r>
    <x v="5"/>
    <x v="0"/>
    <x v="1"/>
    <x v="0"/>
    <x v="1"/>
    <x v="6"/>
    <x v="0"/>
    <x v="0"/>
    <x v="0"/>
    <x v="0"/>
    <x v="4"/>
    <x v="5"/>
    <s v="22"/>
    <x v="25"/>
    <x v="0"/>
    <x v="10"/>
    <x v="11"/>
    <n v="-125000"/>
  </r>
  <r>
    <x v="5"/>
    <x v="0"/>
    <x v="1"/>
    <x v="0"/>
    <x v="1"/>
    <x v="6"/>
    <x v="0"/>
    <x v="0"/>
    <x v="0"/>
    <x v="0"/>
    <x v="4"/>
    <x v="5"/>
    <s v="22"/>
    <x v="25"/>
    <x v="0"/>
    <x v="10"/>
    <x v="4"/>
    <n v="-4082917"/>
  </r>
  <r>
    <x v="5"/>
    <x v="0"/>
    <x v="1"/>
    <x v="0"/>
    <x v="1"/>
    <x v="6"/>
    <x v="0"/>
    <x v="0"/>
    <x v="0"/>
    <x v="0"/>
    <x v="4"/>
    <x v="5"/>
    <s v="22"/>
    <x v="25"/>
    <x v="0"/>
    <x v="10"/>
    <x v="1"/>
    <n v="-1467.5"/>
  </r>
  <r>
    <x v="5"/>
    <x v="0"/>
    <x v="1"/>
    <x v="0"/>
    <x v="1"/>
    <x v="6"/>
    <x v="0"/>
    <x v="0"/>
    <x v="0"/>
    <x v="0"/>
    <x v="4"/>
    <x v="5"/>
    <s v="22"/>
    <x v="25"/>
    <x v="0"/>
    <x v="11"/>
    <x v="1"/>
    <n v="-386012.9"/>
  </r>
  <r>
    <x v="5"/>
    <x v="0"/>
    <x v="1"/>
    <x v="0"/>
    <x v="1"/>
    <x v="6"/>
    <x v="0"/>
    <x v="0"/>
    <x v="0"/>
    <x v="0"/>
    <x v="5"/>
    <x v="6"/>
    <s v="40"/>
    <x v="26"/>
    <x v="0"/>
    <x v="10"/>
    <x v="7"/>
    <n v="100"/>
  </r>
  <r>
    <x v="5"/>
    <x v="0"/>
    <x v="1"/>
    <x v="0"/>
    <x v="1"/>
    <x v="6"/>
    <x v="0"/>
    <x v="0"/>
    <x v="0"/>
    <x v="0"/>
    <x v="5"/>
    <x v="6"/>
    <s v="40"/>
    <x v="26"/>
    <x v="0"/>
    <x v="10"/>
    <x v="5"/>
    <n v="-25"/>
  </r>
  <r>
    <x v="5"/>
    <x v="0"/>
    <x v="1"/>
    <x v="0"/>
    <x v="1"/>
    <x v="6"/>
    <x v="0"/>
    <x v="0"/>
    <x v="0"/>
    <x v="0"/>
    <x v="5"/>
    <x v="6"/>
    <s v="40"/>
    <x v="26"/>
    <x v="0"/>
    <x v="10"/>
    <x v="6"/>
    <n v="25"/>
  </r>
  <r>
    <x v="5"/>
    <x v="0"/>
    <x v="1"/>
    <x v="0"/>
    <x v="1"/>
    <x v="6"/>
    <x v="1"/>
    <x v="0"/>
    <x v="0"/>
    <x v="0"/>
    <x v="0"/>
    <x v="4"/>
    <s v="30"/>
    <x v="3"/>
    <x v="0"/>
    <x v="10"/>
    <x v="0"/>
    <n v="-1330"/>
  </r>
  <r>
    <x v="5"/>
    <x v="0"/>
    <x v="1"/>
    <x v="0"/>
    <x v="1"/>
    <x v="6"/>
    <x v="1"/>
    <x v="0"/>
    <x v="0"/>
    <x v="0"/>
    <x v="0"/>
    <x v="4"/>
    <s v="30"/>
    <x v="3"/>
    <x v="0"/>
    <x v="10"/>
    <x v="9"/>
    <n v="1330"/>
  </r>
  <r>
    <x v="5"/>
    <x v="0"/>
    <x v="1"/>
    <x v="0"/>
    <x v="1"/>
    <x v="6"/>
    <x v="5"/>
    <x v="0"/>
    <x v="0"/>
    <x v="0"/>
    <x v="0"/>
    <x v="4"/>
    <s v="24"/>
    <x v="1"/>
    <x v="0"/>
    <x v="10"/>
    <x v="8"/>
    <n v="266.86"/>
  </r>
  <r>
    <x v="5"/>
    <x v="0"/>
    <x v="1"/>
    <x v="0"/>
    <x v="1"/>
    <x v="6"/>
    <x v="2"/>
    <x v="0"/>
    <x v="0"/>
    <x v="0"/>
    <x v="0"/>
    <x v="4"/>
    <s v="20"/>
    <x v="7"/>
    <x v="0"/>
    <x v="11"/>
    <x v="2"/>
    <n v="129900"/>
  </r>
  <r>
    <x v="5"/>
    <x v="0"/>
    <x v="1"/>
    <x v="0"/>
    <x v="1"/>
    <x v="6"/>
    <x v="2"/>
    <x v="0"/>
    <x v="0"/>
    <x v="0"/>
    <x v="0"/>
    <x v="4"/>
    <s v="20"/>
    <x v="7"/>
    <x v="0"/>
    <x v="11"/>
    <x v="8"/>
    <n v="-129900"/>
  </r>
  <r>
    <x v="5"/>
    <x v="0"/>
    <x v="1"/>
    <x v="0"/>
    <x v="1"/>
    <x v="6"/>
    <x v="2"/>
    <x v="0"/>
    <x v="0"/>
    <x v="0"/>
    <x v="0"/>
    <x v="4"/>
    <s v="24"/>
    <x v="1"/>
    <x v="0"/>
    <x v="11"/>
    <x v="8"/>
    <n v="-501"/>
  </r>
  <r>
    <x v="5"/>
    <x v="0"/>
    <x v="1"/>
    <x v="0"/>
    <x v="1"/>
    <x v="6"/>
    <x v="3"/>
    <x v="0"/>
    <x v="0"/>
    <x v="0"/>
    <x v="0"/>
    <x v="4"/>
    <s v="99"/>
    <x v="9"/>
    <x v="0"/>
    <x v="10"/>
    <x v="8"/>
    <n v="225"/>
  </r>
  <r>
    <x v="5"/>
    <x v="0"/>
    <x v="1"/>
    <x v="0"/>
    <x v="1"/>
    <x v="6"/>
    <x v="3"/>
    <x v="0"/>
    <x v="0"/>
    <x v="0"/>
    <x v="0"/>
    <x v="4"/>
    <s v="99"/>
    <x v="9"/>
    <x v="0"/>
    <x v="10"/>
    <x v="9"/>
    <n v="-225"/>
  </r>
  <r>
    <x v="5"/>
    <x v="0"/>
    <x v="1"/>
    <x v="0"/>
    <x v="1"/>
    <x v="6"/>
    <x v="4"/>
    <x v="0"/>
    <x v="0"/>
    <x v="0"/>
    <x v="0"/>
    <x v="4"/>
    <s v="01"/>
    <x v="42"/>
    <x v="0"/>
    <x v="10"/>
    <x v="8"/>
    <n v="40208.33"/>
  </r>
  <r>
    <x v="5"/>
    <x v="0"/>
    <x v="1"/>
    <x v="0"/>
    <x v="1"/>
    <x v="6"/>
    <x v="4"/>
    <x v="0"/>
    <x v="0"/>
    <x v="0"/>
    <x v="0"/>
    <x v="4"/>
    <s v="01"/>
    <x v="42"/>
    <x v="0"/>
    <x v="10"/>
    <x v="7"/>
    <n v="4902.7700000000004"/>
  </r>
  <r>
    <x v="5"/>
    <x v="0"/>
    <x v="1"/>
    <x v="0"/>
    <x v="1"/>
    <x v="6"/>
    <x v="4"/>
    <x v="0"/>
    <x v="0"/>
    <x v="0"/>
    <x v="0"/>
    <x v="4"/>
    <s v="01"/>
    <x v="42"/>
    <x v="0"/>
    <x v="10"/>
    <x v="1"/>
    <n v="17311.18"/>
  </r>
  <r>
    <x v="5"/>
    <x v="0"/>
    <x v="1"/>
    <x v="0"/>
    <x v="1"/>
    <x v="6"/>
    <x v="4"/>
    <x v="0"/>
    <x v="0"/>
    <x v="0"/>
    <x v="0"/>
    <x v="4"/>
    <s v="01"/>
    <x v="42"/>
    <x v="0"/>
    <x v="11"/>
    <x v="8"/>
    <n v="8322.35"/>
  </r>
  <r>
    <x v="5"/>
    <x v="0"/>
    <x v="1"/>
    <x v="0"/>
    <x v="1"/>
    <x v="6"/>
    <x v="4"/>
    <x v="0"/>
    <x v="0"/>
    <x v="0"/>
    <x v="0"/>
    <x v="4"/>
    <s v="01"/>
    <x v="42"/>
    <x v="0"/>
    <x v="11"/>
    <x v="11"/>
    <n v="10498.59"/>
  </r>
  <r>
    <x v="5"/>
    <x v="0"/>
    <x v="1"/>
    <x v="0"/>
    <x v="1"/>
    <x v="6"/>
    <x v="4"/>
    <x v="0"/>
    <x v="0"/>
    <x v="0"/>
    <x v="0"/>
    <x v="4"/>
    <s v="01"/>
    <x v="42"/>
    <x v="0"/>
    <x v="11"/>
    <x v="7"/>
    <n v="10273.84"/>
  </r>
  <r>
    <x v="5"/>
    <x v="0"/>
    <x v="1"/>
    <x v="0"/>
    <x v="1"/>
    <x v="6"/>
    <x v="4"/>
    <x v="0"/>
    <x v="0"/>
    <x v="0"/>
    <x v="0"/>
    <x v="4"/>
    <s v="01"/>
    <x v="42"/>
    <x v="0"/>
    <x v="11"/>
    <x v="1"/>
    <n v="3568.98"/>
  </r>
  <r>
    <x v="5"/>
    <x v="0"/>
    <x v="1"/>
    <x v="0"/>
    <x v="1"/>
    <x v="6"/>
    <x v="4"/>
    <x v="0"/>
    <x v="0"/>
    <x v="0"/>
    <x v="0"/>
    <x v="4"/>
    <s v="05"/>
    <x v="38"/>
    <x v="0"/>
    <x v="10"/>
    <x v="0"/>
    <n v="195"/>
  </r>
  <r>
    <x v="5"/>
    <x v="0"/>
    <x v="1"/>
    <x v="0"/>
    <x v="1"/>
    <x v="6"/>
    <x v="4"/>
    <x v="0"/>
    <x v="0"/>
    <x v="0"/>
    <x v="0"/>
    <x v="4"/>
    <s v="05"/>
    <x v="38"/>
    <x v="0"/>
    <x v="10"/>
    <x v="9"/>
    <n v="-195"/>
  </r>
  <r>
    <x v="5"/>
    <x v="0"/>
    <x v="1"/>
    <x v="0"/>
    <x v="1"/>
    <x v="6"/>
    <x v="4"/>
    <x v="0"/>
    <x v="0"/>
    <x v="0"/>
    <x v="0"/>
    <x v="4"/>
    <s v="05"/>
    <x v="38"/>
    <x v="0"/>
    <x v="11"/>
    <x v="2"/>
    <n v="22.28"/>
  </r>
  <r>
    <x v="5"/>
    <x v="0"/>
    <x v="1"/>
    <x v="0"/>
    <x v="1"/>
    <x v="6"/>
    <x v="4"/>
    <x v="0"/>
    <x v="0"/>
    <x v="0"/>
    <x v="0"/>
    <x v="4"/>
    <s v="05"/>
    <x v="38"/>
    <x v="0"/>
    <x v="11"/>
    <x v="8"/>
    <n v="-22.28"/>
  </r>
  <r>
    <x v="5"/>
    <x v="0"/>
    <x v="1"/>
    <x v="0"/>
    <x v="1"/>
    <x v="6"/>
    <x v="4"/>
    <x v="0"/>
    <x v="0"/>
    <x v="0"/>
    <x v="0"/>
    <x v="4"/>
    <s v="24"/>
    <x v="1"/>
    <x v="0"/>
    <x v="10"/>
    <x v="0"/>
    <n v="87077.19"/>
  </r>
  <r>
    <x v="5"/>
    <x v="0"/>
    <x v="1"/>
    <x v="0"/>
    <x v="1"/>
    <x v="6"/>
    <x v="4"/>
    <x v="0"/>
    <x v="0"/>
    <x v="0"/>
    <x v="0"/>
    <x v="4"/>
    <s v="24"/>
    <x v="1"/>
    <x v="0"/>
    <x v="10"/>
    <x v="2"/>
    <n v="10747425.210000001"/>
  </r>
  <r>
    <x v="5"/>
    <x v="0"/>
    <x v="1"/>
    <x v="0"/>
    <x v="1"/>
    <x v="6"/>
    <x v="4"/>
    <x v="0"/>
    <x v="0"/>
    <x v="0"/>
    <x v="0"/>
    <x v="4"/>
    <s v="24"/>
    <x v="1"/>
    <x v="0"/>
    <x v="10"/>
    <x v="8"/>
    <n v="-687993.06"/>
  </r>
  <r>
    <x v="5"/>
    <x v="0"/>
    <x v="1"/>
    <x v="0"/>
    <x v="1"/>
    <x v="6"/>
    <x v="4"/>
    <x v="0"/>
    <x v="0"/>
    <x v="0"/>
    <x v="0"/>
    <x v="4"/>
    <s v="24"/>
    <x v="1"/>
    <x v="0"/>
    <x v="10"/>
    <x v="9"/>
    <n v="-258678.59"/>
  </r>
  <r>
    <x v="5"/>
    <x v="0"/>
    <x v="1"/>
    <x v="0"/>
    <x v="1"/>
    <x v="6"/>
    <x v="4"/>
    <x v="0"/>
    <x v="0"/>
    <x v="0"/>
    <x v="0"/>
    <x v="4"/>
    <s v="24"/>
    <x v="1"/>
    <x v="0"/>
    <x v="10"/>
    <x v="10"/>
    <n v="-757.56"/>
  </r>
  <r>
    <x v="5"/>
    <x v="0"/>
    <x v="1"/>
    <x v="0"/>
    <x v="1"/>
    <x v="6"/>
    <x v="4"/>
    <x v="0"/>
    <x v="0"/>
    <x v="0"/>
    <x v="0"/>
    <x v="4"/>
    <s v="24"/>
    <x v="1"/>
    <x v="0"/>
    <x v="10"/>
    <x v="11"/>
    <n v="8722756.5999999996"/>
  </r>
  <r>
    <x v="5"/>
    <x v="0"/>
    <x v="1"/>
    <x v="0"/>
    <x v="1"/>
    <x v="6"/>
    <x v="4"/>
    <x v="0"/>
    <x v="0"/>
    <x v="0"/>
    <x v="0"/>
    <x v="4"/>
    <s v="24"/>
    <x v="1"/>
    <x v="0"/>
    <x v="10"/>
    <x v="3"/>
    <n v="479475.95"/>
  </r>
  <r>
    <x v="5"/>
    <x v="0"/>
    <x v="1"/>
    <x v="0"/>
    <x v="1"/>
    <x v="6"/>
    <x v="4"/>
    <x v="0"/>
    <x v="0"/>
    <x v="0"/>
    <x v="0"/>
    <x v="4"/>
    <s v="24"/>
    <x v="1"/>
    <x v="0"/>
    <x v="10"/>
    <x v="4"/>
    <n v="-1622.59"/>
  </r>
  <r>
    <x v="5"/>
    <x v="0"/>
    <x v="1"/>
    <x v="0"/>
    <x v="1"/>
    <x v="6"/>
    <x v="4"/>
    <x v="0"/>
    <x v="0"/>
    <x v="0"/>
    <x v="0"/>
    <x v="4"/>
    <s v="24"/>
    <x v="1"/>
    <x v="0"/>
    <x v="10"/>
    <x v="7"/>
    <n v="8412514.1099999994"/>
  </r>
  <r>
    <x v="5"/>
    <x v="0"/>
    <x v="1"/>
    <x v="0"/>
    <x v="1"/>
    <x v="6"/>
    <x v="4"/>
    <x v="0"/>
    <x v="0"/>
    <x v="0"/>
    <x v="0"/>
    <x v="4"/>
    <s v="24"/>
    <x v="1"/>
    <x v="0"/>
    <x v="10"/>
    <x v="5"/>
    <n v="373602.78"/>
  </r>
  <r>
    <x v="5"/>
    <x v="0"/>
    <x v="1"/>
    <x v="0"/>
    <x v="1"/>
    <x v="6"/>
    <x v="4"/>
    <x v="0"/>
    <x v="0"/>
    <x v="0"/>
    <x v="0"/>
    <x v="4"/>
    <s v="24"/>
    <x v="1"/>
    <x v="0"/>
    <x v="10"/>
    <x v="6"/>
    <n v="2131.44"/>
  </r>
  <r>
    <x v="5"/>
    <x v="0"/>
    <x v="1"/>
    <x v="0"/>
    <x v="1"/>
    <x v="6"/>
    <x v="4"/>
    <x v="0"/>
    <x v="0"/>
    <x v="0"/>
    <x v="0"/>
    <x v="4"/>
    <s v="24"/>
    <x v="1"/>
    <x v="0"/>
    <x v="10"/>
    <x v="1"/>
    <n v="-19690.36"/>
  </r>
  <r>
    <x v="5"/>
    <x v="0"/>
    <x v="1"/>
    <x v="0"/>
    <x v="1"/>
    <x v="6"/>
    <x v="4"/>
    <x v="0"/>
    <x v="0"/>
    <x v="0"/>
    <x v="0"/>
    <x v="4"/>
    <s v="24"/>
    <x v="1"/>
    <x v="0"/>
    <x v="11"/>
    <x v="0"/>
    <n v="49196.11"/>
  </r>
  <r>
    <x v="5"/>
    <x v="0"/>
    <x v="1"/>
    <x v="0"/>
    <x v="1"/>
    <x v="6"/>
    <x v="4"/>
    <x v="0"/>
    <x v="0"/>
    <x v="0"/>
    <x v="0"/>
    <x v="4"/>
    <s v="24"/>
    <x v="1"/>
    <x v="0"/>
    <x v="11"/>
    <x v="2"/>
    <n v="11721036.25"/>
  </r>
  <r>
    <x v="5"/>
    <x v="0"/>
    <x v="1"/>
    <x v="0"/>
    <x v="1"/>
    <x v="6"/>
    <x v="4"/>
    <x v="0"/>
    <x v="0"/>
    <x v="0"/>
    <x v="0"/>
    <x v="4"/>
    <s v="24"/>
    <x v="1"/>
    <x v="0"/>
    <x v="11"/>
    <x v="8"/>
    <n v="-760702.48"/>
  </r>
  <r>
    <x v="5"/>
    <x v="0"/>
    <x v="1"/>
    <x v="0"/>
    <x v="1"/>
    <x v="6"/>
    <x v="4"/>
    <x v="0"/>
    <x v="0"/>
    <x v="0"/>
    <x v="0"/>
    <x v="4"/>
    <s v="24"/>
    <x v="1"/>
    <x v="0"/>
    <x v="11"/>
    <x v="9"/>
    <n v="-217866.84"/>
  </r>
  <r>
    <x v="5"/>
    <x v="0"/>
    <x v="1"/>
    <x v="0"/>
    <x v="1"/>
    <x v="6"/>
    <x v="4"/>
    <x v="0"/>
    <x v="0"/>
    <x v="0"/>
    <x v="0"/>
    <x v="4"/>
    <s v="24"/>
    <x v="1"/>
    <x v="0"/>
    <x v="11"/>
    <x v="10"/>
    <n v="-61351.58"/>
  </r>
  <r>
    <x v="5"/>
    <x v="0"/>
    <x v="1"/>
    <x v="0"/>
    <x v="1"/>
    <x v="6"/>
    <x v="4"/>
    <x v="0"/>
    <x v="0"/>
    <x v="0"/>
    <x v="0"/>
    <x v="4"/>
    <s v="24"/>
    <x v="1"/>
    <x v="0"/>
    <x v="11"/>
    <x v="11"/>
    <n v="9488935.9100000001"/>
  </r>
  <r>
    <x v="5"/>
    <x v="0"/>
    <x v="1"/>
    <x v="0"/>
    <x v="1"/>
    <x v="6"/>
    <x v="4"/>
    <x v="0"/>
    <x v="0"/>
    <x v="0"/>
    <x v="0"/>
    <x v="4"/>
    <s v="24"/>
    <x v="1"/>
    <x v="0"/>
    <x v="11"/>
    <x v="3"/>
    <n v="544255.42000000004"/>
  </r>
  <r>
    <x v="5"/>
    <x v="0"/>
    <x v="1"/>
    <x v="0"/>
    <x v="1"/>
    <x v="6"/>
    <x v="4"/>
    <x v="0"/>
    <x v="0"/>
    <x v="0"/>
    <x v="0"/>
    <x v="4"/>
    <s v="24"/>
    <x v="1"/>
    <x v="0"/>
    <x v="11"/>
    <x v="4"/>
    <n v="-37431.57"/>
  </r>
  <r>
    <x v="5"/>
    <x v="0"/>
    <x v="1"/>
    <x v="0"/>
    <x v="1"/>
    <x v="6"/>
    <x v="4"/>
    <x v="0"/>
    <x v="0"/>
    <x v="0"/>
    <x v="0"/>
    <x v="4"/>
    <s v="24"/>
    <x v="1"/>
    <x v="0"/>
    <x v="11"/>
    <x v="7"/>
    <n v="9278298"/>
  </r>
  <r>
    <x v="5"/>
    <x v="0"/>
    <x v="1"/>
    <x v="0"/>
    <x v="1"/>
    <x v="6"/>
    <x v="4"/>
    <x v="0"/>
    <x v="0"/>
    <x v="0"/>
    <x v="0"/>
    <x v="4"/>
    <s v="24"/>
    <x v="1"/>
    <x v="0"/>
    <x v="11"/>
    <x v="5"/>
    <n v="427822.39"/>
  </r>
  <r>
    <x v="5"/>
    <x v="0"/>
    <x v="1"/>
    <x v="0"/>
    <x v="1"/>
    <x v="6"/>
    <x v="4"/>
    <x v="0"/>
    <x v="0"/>
    <x v="0"/>
    <x v="0"/>
    <x v="4"/>
    <s v="24"/>
    <x v="1"/>
    <x v="0"/>
    <x v="11"/>
    <x v="6"/>
    <n v="-3364.16"/>
  </r>
  <r>
    <x v="5"/>
    <x v="0"/>
    <x v="1"/>
    <x v="0"/>
    <x v="1"/>
    <x v="6"/>
    <x v="4"/>
    <x v="0"/>
    <x v="0"/>
    <x v="0"/>
    <x v="0"/>
    <x v="4"/>
    <s v="24"/>
    <x v="1"/>
    <x v="0"/>
    <x v="11"/>
    <x v="1"/>
    <n v="-18728.580000000002"/>
  </r>
  <r>
    <x v="5"/>
    <x v="0"/>
    <x v="1"/>
    <x v="0"/>
    <x v="1"/>
    <x v="6"/>
    <x v="4"/>
    <x v="0"/>
    <x v="0"/>
    <x v="0"/>
    <x v="0"/>
    <x v="4"/>
    <s v="99"/>
    <x v="9"/>
    <x v="0"/>
    <x v="10"/>
    <x v="6"/>
    <n v="-7.1"/>
  </r>
  <r>
    <x v="5"/>
    <x v="0"/>
    <x v="1"/>
    <x v="0"/>
    <x v="1"/>
    <x v="6"/>
    <x v="4"/>
    <x v="0"/>
    <x v="0"/>
    <x v="0"/>
    <x v="0"/>
    <x v="4"/>
    <s v="99"/>
    <x v="9"/>
    <x v="0"/>
    <x v="10"/>
    <x v="1"/>
    <n v="7.1"/>
  </r>
  <r>
    <x v="5"/>
    <x v="0"/>
    <x v="1"/>
    <x v="0"/>
    <x v="1"/>
    <x v="6"/>
    <x v="4"/>
    <x v="0"/>
    <x v="0"/>
    <x v="0"/>
    <x v="5"/>
    <x v="6"/>
    <s v="40"/>
    <x v="26"/>
    <x v="0"/>
    <x v="10"/>
    <x v="0"/>
    <n v="-100"/>
  </r>
  <r>
    <x v="5"/>
    <x v="0"/>
    <x v="1"/>
    <x v="0"/>
    <x v="1"/>
    <x v="6"/>
    <x v="4"/>
    <x v="0"/>
    <x v="0"/>
    <x v="0"/>
    <x v="5"/>
    <x v="6"/>
    <s v="40"/>
    <x v="26"/>
    <x v="0"/>
    <x v="10"/>
    <x v="3"/>
    <n v="-979"/>
  </r>
  <r>
    <x v="5"/>
    <x v="0"/>
    <x v="1"/>
    <x v="0"/>
    <x v="1"/>
    <x v="6"/>
    <x v="4"/>
    <x v="0"/>
    <x v="0"/>
    <x v="0"/>
    <x v="5"/>
    <x v="6"/>
    <s v="40"/>
    <x v="26"/>
    <x v="0"/>
    <x v="10"/>
    <x v="4"/>
    <n v="979"/>
  </r>
  <r>
    <x v="5"/>
    <x v="0"/>
    <x v="1"/>
    <x v="0"/>
    <x v="1"/>
    <x v="6"/>
    <x v="4"/>
    <x v="0"/>
    <x v="0"/>
    <x v="0"/>
    <x v="5"/>
    <x v="6"/>
    <s v="40"/>
    <x v="26"/>
    <x v="0"/>
    <x v="10"/>
    <x v="5"/>
    <n v="25"/>
  </r>
  <r>
    <x v="5"/>
    <x v="0"/>
    <x v="1"/>
    <x v="0"/>
    <x v="1"/>
    <x v="6"/>
    <x v="4"/>
    <x v="0"/>
    <x v="0"/>
    <x v="0"/>
    <x v="5"/>
    <x v="6"/>
    <s v="40"/>
    <x v="26"/>
    <x v="0"/>
    <x v="10"/>
    <x v="6"/>
    <n v="-25"/>
  </r>
  <r>
    <x v="5"/>
    <x v="0"/>
    <x v="1"/>
    <x v="0"/>
    <x v="1"/>
    <x v="6"/>
    <x v="4"/>
    <x v="0"/>
    <x v="0"/>
    <x v="0"/>
    <x v="5"/>
    <x v="6"/>
    <s v="40"/>
    <x v="26"/>
    <x v="0"/>
    <x v="11"/>
    <x v="4"/>
    <n v="20"/>
  </r>
  <r>
    <x v="5"/>
    <x v="0"/>
    <x v="1"/>
    <x v="0"/>
    <x v="1"/>
    <x v="6"/>
    <x v="4"/>
    <x v="0"/>
    <x v="0"/>
    <x v="0"/>
    <x v="5"/>
    <x v="6"/>
    <s v="40"/>
    <x v="26"/>
    <x v="0"/>
    <x v="11"/>
    <x v="7"/>
    <n v="-20"/>
  </r>
  <r>
    <x v="5"/>
    <x v="0"/>
    <x v="1"/>
    <x v="0"/>
    <x v="1"/>
    <x v="6"/>
    <x v="4"/>
    <x v="0"/>
    <x v="0"/>
    <x v="0"/>
    <x v="5"/>
    <x v="6"/>
    <s v="40"/>
    <x v="26"/>
    <x v="0"/>
    <x v="11"/>
    <x v="5"/>
    <n v="450.4"/>
  </r>
  <r>
    <x v="5"/>
    <x v="0"/>
    <x v="1"/>
    <x v="0"/>
    <x v="1"/>
    <x v="6"/>
    <x v="4"/>
    <x v="0"/>
    <x v="0"/>
    <x v="0"/>
    <x v="5"/>
    <x v="6"/>
    <s v="40"/>
    <x v="26"/>
    <x v="0"/>
    <x v="11"/>
    <x v="6"/>
    <n v="-450.4"/>
  </r>
  <r>
    <x v="5"/>
    <x v="0"/>
    <x v="1"/>
    <x v="0"/>
    <x v="1"/>
    <x v="6"/>
    <x v="6"/>
    <x v="0"/>
    <x v="0"/>
    <x v="0"/>
    <x v="0"/>
    <x v="4"/>
    <s v="02"/>
    <x v="5"/>
    <x v="0"/>
    <x v="10"/>
    <x v="10"/>
    <n v="500"/>
  </r>
  <r>
    <x v="5"/>
    <x v="0"/>
    <x v="1"/>
    <x v="0"/>
    <x v="1"/>
    <x v="6"/>
    <x v="6"/>
    <x v="0"/>
    <x v="0"/>
    <x v="0"/>
    <x v="0"/>
    <x v="4"/>
    <s v="02"/>
    <x v="5"/>
    <x v="0"/>
    <x v="10"/>
    <x v="11"/>
    <n v="-500"/>
  </r>
  <r>
    <x v="5"/>
    <x v="0"/>
    <x v="1"/>
    <x v="0"/>
    <x v="1"/>
    <x v="6"/>
    <x v="6"/>
    <x v="0"/>
    <x v="0"/>
    <x v="0"/>
    <x v="0"/>
    <x v="4"/>
    <s v="02"/>
    <x v="5"/>
    <x v="0"/>
    <x v="10"/>
    <x v="7"/>
    <n v="1955.07"/>
  </r>
  <r>
    <x v="5"/>
    <x v="0"/>
    <x v="1"/>
    <x v="0"/>
    <x v="1"/>
    <x v="6"/>
    <x v="6"/>
    <x v="0"/>
    <x v="0"/>
    <x v="0"/>
    <x v="0"/>
    <x v="4"/>
    <s v="02"/>
    <x v="5"/>
    <x v="0"/>
    <x v="10"/>
    <x v="5"/>
    <n v="-1955.07"/>
  </r>
  <r>
    <x v="5"/>
    <x v="0"/>
    <x v="1"/>
    <x v="0"/>
    <x v="1"/>
    <x v="6"/>
    <x v="6"/>
    <x v="0"/>
    <x v="0"/>
    <x v="0"/>
    <x v="0"/>
    <x v="4"/>
    <s v="02"/>
    <x v="5"/>
    <x v="0"/>
    <x v="11"/>
    <x v="2"/>
    <n v="1822.66"/>
  </r>
  <r>
    <x v="5"/>
    <x v="0"/>
    <x v="1"/>
    <x v="0"/>
    <x v="1"/>
    <x v="6"/>
    <x v="6"/>
    <x v="0"/>
    <x v="0"/>
    <x v="0"/>
    <x v="0"/>
    <x v="4"/>
    <s v="02"/>
    <x v="5"/>
    <x v="0"/>
    <x v="11"/>
    <x v="8"/>
    <n v="-1822.66"/>
  </r>
  <r>
    <x v="5"/>
    <x v="0"/>
    <x v="1"/>
    <x v="0"/>
    <x v="1"/>
    <x v="6"/>
    <x v="6"/>
    <x v="0"/>
    <x v="0"/>
    <x v="0"/>
    <x v="0"/>
    <x v="4"/>
    <s v="20"/>
    <x v="7"/>
    <x v="0"/>
    <x v="10"/>
    <x v="2"/>
    <n v="381.25"/>
  </r>
  <r>
    <x v="5"/>
    <x v="0"/>
    <x v="1"/>
    <x v="0"/>
    <x v="1"/>
    <x v="6"/>
    <x v="6"/>
    <x v="0"/>
    <x v="0"/>
    <x v="0"/>
    <x v="0"/>
    <x v="4"/>
    <s v="20"/>
    <x v="7"/>
    <x v="0"/>
    <x v="10"/>
    <x v="9"/>
    <n v="-381.25"/>
  </r>
  <r>
    <x v="5"/>
    <x v="0"/>
    <x v="1"/>
    <x v="0"/>
    <x v="1"/>
    <x v="2"/>
    <x v="0"/>
    <x v="0"/>
    <x v="0"/>
    <x v="1"/>
    <x v="1"/>
    <x v="8"/>
    <s v="41"/>
    <x v="4"/>
    <x v="0"/>
    <x v="11"/>
    <x v="2"/>
    <n v="4694.04"/>
  </r>
  <r>
    <x v="5"/>
    <x v="0"/>
    <x v="1"/>
    <x v="0"/>
    <x v="1"/>
    <x v="2"/>
    <x v="0"/>
    <x v="0"/>
    <x v="0"/>
    <x v="1"/>
    <x v="1"/>
    <x v="8"/>
    <s v="41"/>
    <x v="4"/>
    <x v="0"/>
    <x v="11"/>
    <x v="9"/>
    <n v="-4694.04"/>
  </r>
  <r>
    <x v="5"/>
    <x v="0"/>
    <x v="1"/>
    <x v="0"/>
    <x v="1"/>
    <x v="2"/>
    <x v="0"/>
    <x v="0"/>
    <x v="0"/>
    <x v="1"/>
    <x v="1"/>
    <x v="8"/>
    <s v="41"/>
    <x v="4"/>
    <x v="0"/>
    <x v="11"/>
    <x v="5"/>
    <n v="-275"/>
  </r>
  <r>
    <x v="5"/>
    <x v="0"/>
    <x v="1"/>
    <x v="0"/>
    <x v="1"/>
    <x v="2"/>
    <x v="0"/>
    <x v="0"/>
    <x v="0"/>
    <x v="1"/>
    <x v="1"/>
    <x v="8"/>
    <s v="41"/>
    <x v="4"/>
    <x v="0"/>
    <x v="11"/>
    <x v="6"/>
    <n v="275"/>
  </r>
  <r>
    <x v="5"/>
    <x v="0"/>
    <x v="1"/>
    <x v="0"/>
    <x v="1"/>
    <x v="2"/>
    <x v="0"/>
    <x v="0"/>
    <x v="0"/>
    <x v="0"/>
    <x v="0"/>
    <x v="4"/>
    <s v="09"/>
    <x v="0"/>
    <x v="0"/>
    <x v="10"/>
    <x v="2"/>
    <n v="35630.89"/>
  </r>
  <r>
    <x v="5"/>
    <x v="0"/>
    <x v="1"/>
    <x v="0"/>
    <x v="1"/>
    <x v="2"/>
    <x v="0"/>
    <x v="0"/>
    <x v="0"/>
    <x v="0"/>
    <x v="0"/>
    <x v="4"/>
    <s v="09"/>
    <x v="0"/>
    <x v="0"/>
    <x v="10"/>
    <x v="8"/>
    <n v="30216.11"/>
  </r>
  <r>
    <x v="5"/>
    <x v="0"/>
    <x v="1"/>
    <x v="0"/>
    <x v="1"/>
    <x v="2"/>
    <x v="0"/>
    <x v="0"/>
    <x v="0"/>
    <x v="0"/>
    <x v="0"/>
    <x v="4"/>
    <s v="09"/>
    <x v="0"/>
    <x v="0"/>
    <x v="10"/>
    <x v="9"/>
    <n v="29586.49"/>
  </r>
  <r>
    <x v="5"/>
    <x v="0"/>
    <x v="1"/>
    <x v="0"/>
    <x v="1"/>
    <x v="2"/>
    <x v="0"/>
    <x v="0"/>
    <x v="0"/>
    <x v="0"/>
    <x v="0"/>
    <x v="4"/>
    <s v="09"/>
    <x v="0"/>
    <x v="0"/>
    <x v="10"/>
    <x v="10"/>
    <n v="22402.26"/>
  </r>
  <r>
    <x v="5"/>
    <x v="0"/>
    <x v="1"/>
    <x v="0"/>
    <x v="1"/>
    <x v="2"/>
    <x v="0"/>
    <x v="0"/>
    <x v="0"/>
    <x v="0"/>
    <x v="0"/>
    <x v="4"/>
    <s v="09"/>
    <x v="0"/>
    <x v="0"/>
    <x v="10"/>
    <x v="11"/>
    <n v="-22786.38"/>
  </r>
  <r>
    <x v="5"/>
    <x v="0"/>
    <x v="1"/>
    <x v="0"/>
    <x v="1"/>
    <x v="2"/>
    <x v="0"/>
    <x v="0"/>
    <x v="0"/>
    <x v="0"/>
    <x v="0"/>
    <x v="4"/>
    <s v="09"/>
    <x v="0"/>
    <x v="0"/>
    <x v="10"/>
    <x v="3"/>
    <n v="29314.17"/>
  </r>
  <r>
    <x v="5"/>
    <x v="0"/>
    <x v="1"/>
    <x v="0"/>
    <x v="1"/>
    <x v="2"/>
    <x v="0"/>
    <x v="0"/>
    <x v="0"/>
    <x v="0"/>
    <x v="0"/>
    <x v="4"/>
    <s v="09"/>
    <x v="0"/>
    <x v="0"/>
    <x v="10"/>
    <x v="4"/>
    <n v="28376.03"/>
  </r>
  <r>
    <x v="5"/>
    <x v="0"/>
    <x v="1"/>
    <x v="0"/>
    <x v="1"/>
    <x v="2"/>
    <x v="0"/>
    <x v="0"/>
    <x v="0"/>
    <x v="0"/>
    <x v="0"/>
    <x v="4"/>
    <s v="09"/>
    <x v="0"/>
    <x v="0"/>
    <x v="10"/>
    <x v="7"/>
    <n v="24946.05"/>
  </r>
  <r>
    <x v="5"/>
    <x v="0"/>
    <x v="1"/>
    <x v="0"/>
    <x v="1"/>
    <x v="2"/>
    <x v="0"/>
    <x v="0"/>
    <x v="0"/>
    <x v="0"/>
    <x v="0"/>
    <x v="4"/>
    <s v="09"/>
    <x v="0"/>
    <x v="0"/>
    <x v="10"/>
    <x v="5"/>
    <n v="19516.84"/>
  </r>
  <r>
    <x v="5"/>
    <x v="0"/>
    <x v="1"/>
    <x v="0"/>
    <x v="1"/>
    <x v="2"/>
    <x v="0"/>
    <x v="0"/>
    <x v="0"/>
    <x v="0"/>
    <x v="0"/>
    <x v="4"/>
    <s v="09"/>
    <x v="0"/>
    <x v="0"/>
    <x v="10"/>
    <x v="6"/>
    <n v="50020.06"/>
  </r>
  <r>
    <x v="5"/>
    <x v="0"/>
    <x v="1"/>
    <x v="0"/>
    <x v="1"/>
    <x v="2"/>
    <x v="0"/>
    <x v="0"/>
    <x v="0"/>
    <x v="0"/>
    <x v="0"/>
    <x v="4"/>
    <s v="09"/>
    <x v="0"/>
    <x v="0"/>
    <x v="10"/>
    <x v="1"/>
    <n v="43250.46"/>
  </r>
  <r>
    <x v="5"/>
    <x v="0"/>
    <x v="1"/>
    <x v="0"/>
    <x v="1"/>
    <x v="2"/>
    <x v="0"/>
    <x v="0"/>
    <x v="0"/>
    <x v="0"/>
    <x v="0"/>
    <x v="4"/>
    <s v="09"/>
    <x v="0"/>
    <x v="0"/>
    <x v="11"/>
    <x v="9"/>
    <n v="32471.39"/>
  </r>
  <r>
    <x v="5"/>
    <x v="0"/>
    <x v="1"/>
    <x v="0"/>
    <x v="1"/>
    <x v="2"/>
    <x v="0"/>
    <x v="0"/>
    <x v="0"/>
    <x v="0"/>
    <x v="0"/>
    <x v="4"/>
    <s v="09"/>
    <x v="0"/>
    <x v="0"/>
    <x v="11"/>
    <x v="10"/>
    <n v="7696.22"/>
  </r>
  <r>
    <x v="5"/>
    <x v="0"/>
    <x v="1"/>
    <x v="0"/>
    <x v="1"/>
    <x v="2"/>
    <x v="0"/>
    <x v="0"/>
    <x v="0"/>
    <x v="0"/>
    <x v="0"/>
    <x v="4"/>
    <s v="09"/>
    <x v="0"/>
    <x v="0"/>
    <x v="11"/>
    <x v="11"/>
    <n v="-13676.54"/>
  </r>
  <r>
    <x v="5"/>
    <x v="0"/>
    <x v="1"/>
    <x v="0"/>
    <x v="1"/>
    <x v="2"/>
    <x v="0"/>
    <x v="0"/>
    <x v="0"/>
    <x v="0"/>
    <x v="0"/>
    <x v="4"/>
    <s v="09"/>
    <x v="0"/>
    <x v="0"/>
    <x v="11"/>
    <x v="3"/>
    <n v="15296.43"/>
  </r>
  <r>
    <x v="5"/>
    <x v="0"/>
    <x v="1"/>
    <x v="0"/>
    <x v="1"/>
    <x v="2"/>
    <x v="0"/>
    <x v="0"/>
    <x v="0"/>
    <x v="0"/>
    <x v="0"/>
    <x v="4"/>
    <s v="09"/>
    <x v="0"/>
    <x v="0"/>
    <x v="11"/>
    <x v="4"/>
    <n v="11761.7"/>
  </r>
  <r>
    <x v="5"/>
    <x v="0"/>
    <x v="1"/>
    <x v="0"/>
    <x v="1"/>
    <x v="2"/>
    <x v="0"/>
    <x v="0"/>
    <x v="0"/>
    <x v="0"/>
    <x v="0"/>
    <x v="4"/>
    <s v="09"/>
    <x v="0"/>
    <x v="0"/>
    <x v="11"/>
    <x v="7"/>
    <n v="12704.26"/>
  </r>
  <r>
    <x v="5"/>
    <x v="0"/>
    <x v="1"/>
    <x v="0"/>
    <x v="1"/>
    <x v="2"/>
    <x v="0"/>
    <x v="0"/>
    <x v="0"/>
    <x v="0"/>
    <x v="0"/>
    <x v="4"/>
    <s v="09"/>
    <x v="0"/>
    <x v="0"/>
    <x v="11"/>
    <x v="5"/>
    <n v="15004.07"/>
  </r>
  <r>
    <x v="5"/>
    <x v="0"/>
    <x v="1"/>
    <x v="0"/>
    <x v="1"/>
    <x v="2"/>
    <x v="0"/>
    <x v="0"/>
    <x v="0"/>
    <x v="0"/>
    <x v="0"/>
    <x v="4"/>
    <s v="09"/>
    <x v="0"/>
    <x v="0"/>
    <x v="11"/>
    <x v="6"/>
    <n v="-43.16"/>
  </r>
  <r>
    <x v="5"/>
    <x v="0"/>
    <x v="1"/>
    <x v="0"/>
    <x v="1"/>
    <x v="2"/>
    <x v="0"/>
    <x v="0"/>
    <x v="0"/>
    <x v="0"/>
    <x v="0"/>
    <x v="4"/>
    <s v="09"/>
    <x v="0"/>
    <x v="0"/>
    <x v="11"/>
    <x v="1"/>
    <n v="-48320.97"/>
  </r>
  <r>
    <x v="5"/>
    <x v="0"/>
    <x v="1"/>
    <x v="0"/>
    <x v="1"/>
    <x v="2"/>
    <x v="0"/>
    <x v="0"/>
    <x v="0"/>
    <x v="0"/>
    <x v="0"/>
    <x v="4"/>
    <s v="16"/>
    <x v="20"/>
    <x v="0"/>
    <x v="10"/>
    <x v="6"/>
    <n v="496.2"/>
  </r>
  <r>
    <x v="5"/>
    <x v="0"/>
    <x v="1"/>
    <x v="0"/>
    <x v="1"/>
    <x v="2"/>
    <x v="0"/>
    <x v="0"/>
    <x v="0"/>
    <x v="0"/>
    <x v="0"/>
    <x v="4"/>
    <s v="16"/>
    <x v="20"/>
    <x v="0"/>
    <x v="10"/>
    <x v="1"/>
    <n v="-496.2"/>
  </r>
  <r>
    <x v="5"/>
    <x v="0"/>
    <x v="1"/>
    <x v="0"/>
    <x v="1"/>
    <x v="2"/>
    <x v="0"/>
    <x v="0"/>
    <x v="0"/>
    <x v="0"/>
    <x v="0"/>
    <x v="4"/>
    <s v="16"/>
    <x v="20"/>
    <x v="0"/>
    <x v="11"/>
    <x v="6"/>
    <n v="500"/>
  </r>
  <r>
    <x v="5"/>
    <x v="0"/>
    <x v="1"/>
    <x v="0"/>
    <x v="1"/>
    <x v="2"/>
    <x v="0"/>
    <x v="0"/>
    <x v="0"/>
    <x v="0"/>
    <x v="0"/>
    <x v="4"/>
    <s v="20"/>
    <x v="7"/>
    <x v="0"/>
    <x v="10"/>
    <x v="0"/>
    <n v="472.92"/>
  </r>
  <r>
    <x v="5"/>
    <x v="0"/>
    <x v="1"/>
    <x v="0"/>
    <x v="1"/>
    <x v="2"/>
    <x v="0"/>
    <x v="0"/>
    <x v="0"/>
    <x v="0"/>
    <x v="0"/>
    <x v="4"/>
    <s v="20"/>
    <x v="7"/>
    <x v="0"/>
    <x v="10"/>
    <x v="2"/>
    <n v="-457.92"/>
  </r>
  <r>
    <x v="5"/>
    <x v="0"/>
    <x v="1"/>
    <x v="0"/>
    <x v="1"/>
    <x v="2"/>
    <x v="0"/>
    <x v="0"/>
    <x v="0"/>
    <x v="0"/>
    <x v="0"/>
    <x v="4"/>
    <s v="20"/>
    <x v="7"/>
    <x v="0"/>
    <x v="10"/>
    <x v="8"/>
    <n v="2000"/>
  </r>
  <r>
    <x v="5"/>
    <x v="0"/>
    <x v="1"/>
    <x v="0"/>
    <x v="1"/>
    <x v="2"/>
    <x v="0"/>
    <x v="0"/>
    <x v="0"/>
    <x v="0"/>
    <x v="0"/>
    <x v="4"/>
    <s v="20"/>
    <x v="7"/>
    <x v="0"/>
    <x v="10"/>
    <x v="9"/>
    <n v="-2000"/>
  </r>
  <r>
    <x v="5"/>
    <x v="0"/>
    <x v="1"/>
    <x v="0"/>
    <x v="1"/>
    <x v="2"/>
    <x v="0"/>
    <x v="0"/>
    <x v="0"/>
    <x v="0"/>
    <x v="0"/>
    <x v="4"/>
    <s v="20"/>
    <x v="7"/>
    <x v="0"/>
    <x v="10"/>
    <x v="10"/>
    <n v="343642.24"/>
  </r>
  <r>
    <x v="5"/>
    <x v="0"/>
    <x v="1"/>
    <x v="0"/>
    <x v="1"/>
    <x v="2"/>
    <x v="0"/>
    <x v="0"/>
    <x v="0"/>
    <x v="0"/>
    <x v="0"/>
    <x v="4"/>
    <s v="20"/>
    <x v="7"/>
    <x v="0"/>
    <x v="10"/>
    <x v="11"/>
    <n v="-3630.24"/>
  </r>
  <r>
    <x v="5"/>
    <x v="0"/>
    <x v="1"/>
    <x v="0"/>
    <x v="1"/>
    <x v="2"/>
    <x v="0"/>
    <x v="0"/>
    <x v="0"/>
    <x v="0"/>
    <x v="0"/>
    <x v="4"/>
    <s v="20"/>
    <x v="7"/>
    <x v="0"/>
    <x v="10"/>
    <x v="3"/>
    <n v="470536"/>
  </r>
  <r>
    <x v="5"/>
    <x v="0"/>
    <x v="1"/>
    <x v="0"/>
    <x v="1"/>
    <x v="2"/>
    <x v="0"/>
    <x v="0"/>
    <x v="0"/>
    <x v="0"/>
    <x v="0"/>
    <x v="4"/>
    <s v="20"/>
    <x v="7"/>
    <x v="0"/>
    <x v="10"/>
    <x v="4"/>
    <n v="-3977"/>
  </r>
  <r>
    <x v="5"/>
    <x v="0"/>
    <x v="1"/>
    <x v="0"/>
    <x v="1"/>
    <x v="2"/>
    <x v="0"/>
    <x v="0"/>
    <x v="0"/>
    <x v="0"/>
    <x v="0"/>
    <x v="4"/>
    <s v="20"/>
    <x v="7"/>
    <x v="0"/>
    <x v="10"/>
    <x v="7"/>
    <n v="-806586"/>
  </r>
  <r>
    <x v="5"/>
    <x v="0"/>
    <x v="1"/>
    <x v="0"/>
    <x v="1"/>
    <x v="2"/>
    <x v="0"/>
    <x v="0"/>
    <x v="0"/>
    <x v="0"/>
    <x v="0"/>
    <x v="4"/>
    <s v="20"/>
    <x v="7"/>
    <x v="0"/>
    <x v="11"/>
    <x v="7"/>
    <n v="43141.68"/>
  </r>
  <r>
    <x v="5"/>
    <x v="0"/>
    <x v="1"/>
    <x v="0"/>
    <x v="1"/>
    <x v="2"/>
    <x v="0"/>
    <x v="0"/>
    <x v="0"/>
    <x v="0"/>
    <x v="0"/>
    <x v="4"/>
    <s v="20"/>
    <x v="7"/>
    <x v="0"/>
    <x v="11"/>
    <x v="6"/>
    <n v="-43174.68"/>
  </r>
  <r>
    <x v="5"/>
    <x v="0"/>
    <x v="1"/>
    <x v="0"/>
    <x v="1"/>
    <x v="2"/>
    <x v="0"/>
    <x v="0"/>
    <x v="0"/>
    <x v="0"/>
    <x v="0"/>
    <x v="4"/>
    <s v="20"/>
    <x v="7"/>
    <x v="0"/>
    <x v="11"/>
    <x v="1"/>
    <n v="-79727.789999999994"/>
  </r>
  <r>
    <x v="5"/>
    <x v="0"/>
    <x v="1"/>
    <x v="0"/>
    <x v="1"/>
    <x v="2"/>
    <x v="0"/>
    <x v="0"/>
    <x v="0"/>
    <x v="0"/>
    <x v="0"/>
    <x v="4"/>
    <s v="24"/>
    <x v="1"/>
    <x v="0"/>
    <x v="10"/>
    <x v="0"/>
    <n v="254507.09"/>
  </r>
  <r>
    <x v="5"/>
    <x v="0"/>
    <x v="1"/>
    <x v="0"/>
    <x v="1"/>
    <x v="2"/>
    <x v="0"/>
    <x v="0"/>
    <x v="0"/>
    <x v="0"/>
    <x v="0"/>
    <x v="4"/>
    <s v="24"/>
    <x v="1"/>
    <x v="0"/>
    <x v="10"/>
    <x v="2"/>
    <n v="22218253.530000001"/>
  </r>
  <r>
    <x v="5"/>
    <x v="0"/>
    <x v="1"/>
    <x v="0"/>
    <x v="1"/>
    <x v="2"/>
    <x v="0"/>
    <x v="0"/>
    <x v="0"/>
    <x v="0"/>
    <x v="0"/>
    <x v="4"/>
    <s v="24"/>
    <x v="1"/>
    <x v="0"/>
    <x v="10"/>
    <x v="8"/>
    <n v="-475669.32"/>
  </r>
  <r>
    <x v="5"/>
    <x v="0"/>
    <x v="1"/>
    <x v="0"/>
    <x v="1"/>
    <x v="2"/>
    <x v="0"/>
    <x v="0"/>
    <x v="0"/>
    <x v="0"/>
    <x v="0"/>
    <x v="4"/>
    <s v="24"/>
    <x v="1"/>
    <x v="0"/>
    <x v="10"/>
    <x v="9"/>
    <n v="-332492.17"/>
  </r>
  <r>
    <x v="5"/>
    <x v="0"/>
    <x v="1"/>
    <x v="0"/>
    <x v="1"/>
    <x v="2"/>
    <x v="0"/>
    <x v="0"/>
    <x v="0"/>
    <x v="0"/>
    <x v="0"/>
    <x v="4"/>
    <s v="24"/>
    <x v="1"/>
    <x v="0"/>
    <x v="10"/>
    <x v="10"/>
    <n v="17658949.039999999"/>
  </r>
  <r>
    <x v="5"/>
    <x v="0"/>
    <x v="1"/>
    <x v="0"/>
    <x v="1"/>
    <x v="2"/>
    <x v="0"/>
    <x v="0"/>
    <x v="0"/>
    <x v="0"/>
    <x v="0"/>
    <x v="4"/>
    <s v="24"/>
    <x v="1"/>
    <x v="0"/>
    <x v="10"/>
    <x v="11"/>
    <n v="2773560.19"/>
  </r>
  <r>
    <x v="5"/>
    <x v="0"/>
    <x v="1"/>
    <x v="0"/>
    <x v="1"/>
    <x v="2"/>
    <x v="0"/>
    <x v="0"/>
    <x v="0"/>
    <x v="0"/>
    <x v="0"/>
    <x v="4"/>
    <s v="24"/>
    <x v="1"/>
    <x v="0"/>
    <x v="10"/>
    <x v="3"/>
    <n v="171302.29"/>
  </r>
  <r>
    <x v="5"/>
    <x v="0"/>
    <x v="1"/>
    <x v="0"/>
    <x v="1"/>
    <x v="2"/>
    <x v="0"/>
    <x v="0"/>
    <x v="0"/>
    <x v="0"/>
    <x v="0"/>
    <x v="4"/>
    <s v="24"/>
    <x v="1"/>
    <x v="0"/>
    <x v="10"/>
    <x v="4"/>
    <n v="-36408.25"/>
  </r>
  <r>
    <x v="5"/>
    <x v="0"/>
    <x v="1"/>
    <x v="0"/>
    <x v="1"/>
    <x v="2"/>
    <x v="0"/>
    <x v="0"/>
    <x v="0"/>
    <x v="0"/>
    <x v="0"/>
    <x v="4"/>
    <s v="24"/>
    <x v="1"/>
    <x v="0"/>
    <x v="10"/>
    <x v="7"/>
    <n v="20545106.41"/>
  </r>
  <r>
    <x v="5"/>
    <x v="0"/>
    <x v="1"/>
    <x v="0"/>
    <x v="1"/>
    <x v="2"/>
    <x v="0"/>
    <x v="0"/>
    <x v="0"/>
    <x v="0"/>
    <x v="0"/>
    <x v="4"/>
    <s v="24"/>
    <x v="1"/>
    <x v="0"/>
    <x v="10"/>
    <x v="5"/>
    <n v="-265960.90000000002"/>
  </r>
  <r>
    <x v="5"/>
    <x v="0"/>
    <x v="1"/>
    <x v="0"/>
    <x v="1"/>
    <x v="2"/>
    <x v="0"/>
    <x v="0"/>
    <x v="0"/>
    <x v="0"/>
    <x v="0"/>
    <x v="4"/>
    <s v="24"/>
    <x v="1"/>
    <x v="0"/>
    <x v="10"/>
    <x v="6"/>
    <n v="-52158.53"/>
  </r>
  <r>
    <x v="5"/>
    <x v="0"/>
    <x v="1"/>
    <x v="0"/>
    <x v="1"/>
    <x v="2"/>
    <x v="0"/>
    <x v="0"/>
    <x v="0"/>
    <x v="0"/>
    <x v="0"/>
    <x v="4"/>
    <s v="24"/>
    <x v="1"/>
    <x v="0"/>
    <x v="10"/>
    <x v="1"/>
    <n v="-321340.32"/>
  </r>
  <r>
    <x v="5"/>
    <x v="0"/>
    <x v="1"/>
    <x v="0"/>
    <x v="1"/>
    <x v="2"/>
    <x v="0"/>
    <x v="0"/>
    <x v="0"/>
    <x v="0"/>
    <x v="0"/>
    <x v="4"/>
    <s v="24"/>
    <x v="1"/>
    <x v="0"/>
    <x v="11"/>
    <x v="0"/>
    <n v="214197.99"/>
  </r>
  <r>
    <x v="5"/>
    <x v="0"/>
    <x v="1"/>
    <x v="0"/>
    <x v="1"/>
    <x v="2"/>
    <x v="0"/>
    <x v="0"/>
    <x v="0"/>
    <x v="0"/>
    <x v="0"/>
    <x v="4"/>
    <s v="24"/>
    <x v="1"/>
    <x v="0"/>
    <x v="11"/>
    <x v="2"/>
    <n v="25815345.129999999"/>
  </r>
  <r>
    <x v="5"/>
    <x v="0"/>
    <x v="1"/>
    <x v="0"/>
    <x v="1"/>
    <x v="2"/>
    <x v="0"/>
    <x v="0"/>
    <x v="0"/>
    <x v="0"/>
    <x v="0"/>
    <x v="4"/>
    <s v="24"/>
    <x v="1"/>
    <x v="0"/>
    <x v="11"/>
    <x v="8"/>
    <n v="-640199.67000000004"/>
  </r>
  <r>
    <x v="5"/>
    <x v="0"/>
    <x v="1"/>
    <x v="0"/>
    <x v="1"/>
    <x v="2"/>
    <x v="0"/>
    <x v="0"/>
    <x v="0"/>
    <x v="0"/>
    <x v="0"/>
    <x v="4"/>
    <s v="24"/>
    <x v="1"/>
    <x v="0"/>
    <x v="11"/>
    <x v="9"/>
    <n v="-352091.46"/>
  </r>
  <r>
    <x v="5"/>
    <x v="0"/>
    <x v="1"/>
    <x v="0"/>
    <x v="1"/>
    <x v="2"/>
    <x v="0"/>
    <x v="0"/>
    <x v="0"/>
    <x v="0"/>
    <x v="0"/>
    <x v="4"/>
    <s v="24"/>
    <x v="1"/>
    <x v="0"/>
    <x v="11"/>
    <x v="10"/>
    <n v="21002842.539999999"/>
  </r>
  <r>
    <x v="5"/>
    <x v="0"/>
    <x v="1"/>
    <x v="0"/>
    <x v="1"/>
    <x v="2"/>
    <x v="0"/>
    <x v="0"/>
    <x v="0"/>
    <x v="0"/>
    <x v="0"/>
    <x v="4"/>
    <s v="24"/>
    <x v="1"/>
    <x v="0"/>
    <x v="11"/>
    <x v="11"/>
    <n v="2374836.44"/>
  </r>
  <r>
    <x v="5"/>
    <x v="0"/>
    <x v="1"/>
    <x v="0"/>
    <x v="1"/>
    <x v="2"/>
    <x v="0"/>
    <x v="0"/>
    <x v="0"/>
    <x v="0"/>
    <x v="0"/>
    <x v="4"/>
    <s v="24"/>
    <x v="1"/>
    <x v="0"/>
    <x v="11"/>
    <x v="3"/>
    <n v="126205.58"/>
  </r>
  <r>
    <x v="5"/>
    <x v="0"/>
    <x v="1"/>
    <x v="0"/>
    <x v="1"/>
    <x v="2"/>
    <x v="0"/>
    <x v="0"/>
    <x v="0"/>
    <x v="0"/>
    <x v="0"/>
    <x v="4"/>
    <s v="24"/>
    <x v="1"/>
    <x v="0"/>
    <x v="11"/>
    <x v="4"/>
    <n v="4692772.47"/>
  </r>
  <r>
    <x v="5"/>
    <x v="0"/>
    <x v="1"/>
    <x v="0"/>
    <x v="1"/>
    <x v="2"/>
    <x v="0"/>
    <x v="0"/>
    <x v="0"/>
    <x v="0"/>
    <x v="0"/>
    <x v="4"/>
    <s v="24"/>
    <x v="1"/>
    <x v="0"/>
    <x v="11"/>
    <x v="7"/>
    <n v="17395159.800000001"/>
  </r>
  <r>
    <x v="5"/>
    <x v="0"/>
    <x v="1"/>
    <x v="0"/>
    <x v="1"/>
    <x v="2"/>
    <x v="0"/>
    <x v="0"/>
    <x v="0"/>
    <x v="0"/>
    <x v="0"/>
    <x v="4"/>
    <s v="24"/>
    <x v="1"/>
    <x v="0"/>
    <x v="11"/>
    <x v="5"/>
    <n v="-323058.21999999997"/>
  </r>
  <r>
    <x v="5"/>
    <x v="0"/>
    <x v="1"/>
    <x v="0"/>
    <x v="1"/>
    <x v="2"/>
    <x v="0"/>
    <x v="0"/>
    <x v="0"/>
    <x v="0"/>
    <x v="0"/>
    <x v="4"/>
    <s v="24"/>
    <x v="1"/>
    <x v="0"/>
    <x v="11"/>
    <x v="6"/>
    <n v="122045.75"/>
  </r>
  <r>
    <x v="5"/>
    <x v="0"/>
    <x v="1"/>
    <x v="0"/>
    <x v="1"/>
    <x v="2"/>
    <x v="0"/>
    <x v="0"/>
    <x v="0"/>
    <x v="0"/>
    <x v="0"/>
    <x v="4"/>
    <s v="24"/>
    <x v="1"/>
    <x v="0"/>
    <x v="11"/>
    <x v="1"/>
    <n v="-557406.59"/>
  </r>
  <r>
    <x v="5"/>
    <x v="0"/>
    <x v="1"/>
    <x v="0"/>
    <x v="1"/>
    <x v="2"/>
    <x v="0"/>
    <x v="0"/>
    <x v="0"/>
    <x v="0"/>
    <x v="0"/>
    <x v="4"/>
    <s v="86"/>
    <x v="39"/>
    <x v="0"/>
    <x v="10"/>
    <x v="11"/>
    <n v="20180.04"/>
  </r>
  <r>
    <x v="5"/>
    <x v="0"/>
    <x v="1"/>
    <x v="0"/>
    <x v="1"/>
    <x v="2"/>
    <x v="0"/>
    <x v="0"/>
    <x v="0"/>
    <x v="0"/>
    <x v="0"/>
    <x v="4"/>
    <s v="86"/>
    <x v="39"/>
    <x v="0"/>
    <x v="10"/>
    <x v="4"/>
    <n v="-20180.04"/>
  </r>
  <r>
    <x v="5"/>
    <x v="0"/>
    <x v="1"/>
    <x v="0"/>
    <x v="1"/>
    <x v="2"/>
    <x v="0"/>
    <x v="0"/>
    <x v="0"/>
    <x v="0"/>
    <x v="0"/>
    <x v="4"/>
    <s v="90"/>
    <x v="16"/>
    <x v="0"/>
    <x v="10"/>
    <x v="1"/>
    <n v="-0.03"/>
  </r>
  <r>
    <x v="5"/>
    <x v="0"/>
    <x v="1"/>
    <x v="0"/>
    <x v="1"/>
    <x v="2"/>
    <x v="0"/>
    <x v="0"/>
    <x v="0"/>
    <x v="0"/>
    <x v="0"/>
    <x v="4"/>
    <s v="99"/>
    <x v="9"/>
    <x v="0"/>
    <x v="11"/>
    <x v="1"/>
    <n v="-16.71"/>
  </r>
  <r>
    <x v="5"/>
    <x v="0"/>
    <x v="1"/>
    <x v="0"/>
    <x v="1"/>
    <x v="2"/>
    <x v="0"/>
    <x v="0"/>
    <x v="0"/>
    <x v="0"/>
    <x v="4"/>
    <x v="5"/>
    <s v="21"/>
    <x v="27"/>
    <x v="0"/>
    <x v="10"/>
    <x v="2"/>
    <n v="20753.490000000002"/>
  </r>
  <r>
    <x v="5"/>
    <x v="0"/>
    <x v="1"/>
    <x v="0"/>
    <x v="1"/>
    <x v="2"/>
    <x v="0"/>
    <x v="0"/>
    <x v="0"/>
    <x v="0"/>
    <x v="4"/>
    <x v="5"/>
    <s v="21"/>
    <x v="27"/>
    <x v="0"/>
    <x v="10"/>
    <x v="1"/>
    <n v="68511.600000000006"/>
  </r>
  <r>
    <x v="5"/>
    <x v="0"/>
    <x v="1"/>
    <x v="0"/>
    <x v="1"/>
    <x v="2"/>
    <x v="0"/>
    <x v="0"/>
    <x v="0"/>
    <x v="0"/>
    <x v="4"/>
    <x v="5"/>
    <s v="21"/>
    <x v="27"/>
    <x v="0"/>
    <x v="11"/>
    <x v="10"/>
    <n v="5724.95"/>
  </r>
  <r>
    <x v="5"/>
    <x v="0"/>
    <x v="1"/>
    <x v="0"/>
    <x v="1"/>
    <x v="2"/>
    <x v="0"/>
    <x v="0"/>
    <x v="0"/>
    <x v="0"/>
    <x v="4"/>
    <x v="5"/>
    <s v="21"/>
    <x v="27"/>
    <x v="0"/>
    <x v="11"/>
    <x v="1"/>
    <n v="-66110"/>
  </r>
  <r>
    <x v="5"/>
    <x v="0"/>
    <x v="1"/>
    <x v="0"/>
    <x v="1"/>
    <x v="2"/>
    <x v="0"/>
    <x v="0"/>
    <x v="0"/>
    <x v="0"/>
    <x v="4"/>
    <x v="5"/>
    <s v="22"/>
    <x v="25"/>
    <x v="0"/>
    <x v="10"/>
    <x v="2"/>
    <n v="-20753.490000000002"/>
  </r>
  <r>
    <x v="5"/>
    <x v="0"/>
    <x v="1"/>
    <x v="0"/>
    <x v="1"/>
    <x v="2"/>
    <x v="0"/>
    <x v="0"/>
    <x v="0"/>
    <x v="0"/>
    <x v="4"/>
    <x v="5"/>
    <s v="22"/>
    <x v="25"/>
    <x v="0"/>
    <x v="10"/>
    <x v="9"/>
    <n v="-29200"/>
  </r>
  <r>
    <x v="5"/>
    <x v="0"/>
    <x v="1"/>
    <x v="0"/>
    <x v="1"/>
    <x v="2"/>
    <x v="0"/>
    <x v="0"/>
    <x v="0"/>
    <x v="0"/>
    <x v="4"/>
    <x v="5"/>
    <s v="22"/>
    <x v="25"/>
    <x v="0"/>
    <x v="10"/>
    <x v="11"/>
    <n v="-86000"/>
  </r>
  <r>
    <x v="5"/>
    <x v="0"/>
    <x v="1"/>
    <x v="0"/>
    <x v="1"/>
    <x v="2"/>
    <x v="0"/>
    <x v="0"/>
    <x v="0"/>
    <x v="0"/>
    <x v="4"/>
    <x v="5"/>
    <s v="22"/>
    <x v="25"/>
    <x v="0"/>
    <x v="10"/>
    <x v="1"/>
    <n v="-68511.600000000006"/>
  </r>
  <r>
    <x v="5"/>
    <x v="0"/>
    <x v="1"/>
    <x v="0"/>
    <x v="1"/>
    <x v="2"/>
    <x v="0"/>
    <x v="0"/>
    <x v="0"/>
    <x v="0"/>
    <x v="4"/>
    <x v="5"/>
    <s v="22"/>
    <x v="25"/>
    <x v="0"/>
    <x v="11"/>
    <x v="9"/>
    <n v="-63360"/>
  </r>
  <r>
    <x v="5"/>
    <x v="0"/>
    <x v="1"/>
    <x v="0"/>
    <x v="1"/>
    <x v="2"/>
    <x v="0"/>
    <x v="0"/>
    <x v="0"/>
    <x v="0"/>
    <x v="4"/>
    <x v="5"/>
    <s v="22"/>
    <x v="25"/>
    <x v="0"/>
    <x v="11"/>
    <x v="10"/>
    <n v="-5724.95"/>
  </r>
  <r>
    <x v="5"/>
    <x v="0"/>
    <x v="1"/>
    <x v="0"/>
    <x v="1"/>
    <x v="2"/>
    <x v="0"/>
    <x v="0"/>
    <x v="0"/>
    <x v="0"/>
    <x v="4"/>
    <x v="5"/>
    <s v="22"/>
    <x v="25"/>
    <x v="0"/>
    <x v="11"/>
    <x v="7"/>
    <n v="-51840"/>
  </r>
  <r>
    <x v="5"/>
    <x v="0"/>
    <x v="1"/>
    <x v="0"/>
    <x v="1"/>
    <x v="2"/>
    <x v="0"/>
    <x v="0"/>
    <x v="0"/>
    <x v="0"/>
    <x v="4"/>
    <x v="5"/>
    <s v="22"/>
    <x v="25"/>
    <x v="0"/>
    <x v="11"/>
    <x v="1"/>
    <n v="66110"/>
  </r>
  <r>
    <x v="5"/>
    <x v="0"/>
    <x v="1"/>
    <x v="0"/>
    <x v="1"/>
    <x v="3"/>
    <x v="0"/>
    <x v="0"/>
    <x v="0"/>
    <x v="1"/>
    <x v="1"/>
    <x v="8"/>
    <s v="41"/>
    <x v="4"/>
    <x v="0"/>
    <x v="10"/>
    <x v="6"/>
    <n v="11451"/>
  </r>
  <r>
    <x v="5"/>
    <x v="0"/>
    <x v="1"/>
    <x v="0"/>
    <x v="1"/>
    <x v="3"/>
    <x v="0"/>
    <x v="0"/>
    <x v="0"/>
    <x v="1"/>
    <x v="1"/>
    <x v="8"/>
    <s v="41"/>
    <x v="4"/>
    <x v="0"/>
    <x v="10"/>
    <x v="1"/>
    <n v="-11451"/>
  </r>
  <r>
    <x v="5"/>
    <x v="0"/>
    <x v="1"/>
    <x v="0"/>
    <x v="1"/>
    <x v="3"/>
    <x v="0"/>
    <x v="0"/>
    <x v="0"/>
    <x v="1"/>
    <x v="1"/>
    <x v="8"/>
    <s v="41"/>
    <x v="4"/>
    <x v="0"/>
    <x v="11"/>
    <x v="0"/>
    <n v="11451"/>
  </r>
  <r>
    <x v="5"/>
    <x v="0"/>
    <x v="1"/>
    <x v="0"/>
    <x v="1"/>
    <x v="3"/>
    <x v="0"/>
    <x v="0"/>
    <x v="0"/>
    <x v="1"/>
    <x v="1"/>
    <x v="8"/>
    <s v="41"/>
    <x v="4"/>
    <x v="0"/>
    <x v="11"/>
    <x v="10"/>
    <n v="-11451"/>
  </r>
  <r>
    <x v="5"/>
    <x v="0"/>
    <x v="1"/>
    <x v="0"/>
    <x v="1"/>
    <x v="3"/>
    <x v="0"/>
    <x v="0"/>
    <x v="0"/>
    <x v="1"/>
    <x v="1"/>
    <x v="8"/>
    <s v="41"/>
    <x v="4"/>
    <x v="0"/>
    <x v="11"/>
    <x v="3"/>
    <n v="15000"/>
  </r>
  <r>
    <x v="5"/>
    <x v="0"/>
    <x v="1"/>
    <x v="0"/>
    <x v="1"/>
    <x v="3"/>
    <x v="0"/>
    <x v="0"/>
    <x v="0"/>
    <x v="1"/>
    <x v="1"/>
    <x v="8"/>
    <s v="41"/>
    <x v="4"/>
    <x v="0"/>
    <x v="11"/>
    <x v="5"/>
    <n v="-13000"/>
  </r>
  <r>
    <x v="5"/>
    <x v="0"/>
    <x v="1"/>
    <x v="0"/>
    <x v="1"/>
    <x v="3"/>
    <x v="0"/>
    <x v="0"/>
    <x v="0"/>
    <x v="1"/>
    <x v="1"/>
    <x v="8"/>
    <s v="41"/>
    <x v="4"/>
    <x v="0"/>
    <x v="11"/>
    <x v="6"/>
    <n v="-2000"/>
  </r>
  <r>
    <x v="5"/>
    <x v="0"/>
    <x v="1"/>
    <x v="0"/>
    <x v="1"/>
    <x v="3"/>
    <x v="0"/>
    <x v="0"/>
    <x v="0"/>
    <x v="0"/>
    <x v="0"/>
    <x v="4"/>
    <s v="01"/>
    <x v="42"/>
    <x v="0"/>
    <x v="10"/>
    <x v="0"/>
    <n v="31241.78"/>
  </r>
  <r>
    <x v="5"/>
    <x v="0"/>
    <x v="1"/>
    <x v="0"/>
    <x v="1"/>
    <x v="3"/>
    <x v="0"/>
    <x v="0"/>
    <x v="0"/>
    <x v="0"/>
    <x v="0"/>
    <x v="4"/>
    <s v="01"/>
    <x v="42"/>
    <x v="0"/>
    <x v="10"/>
    <x v="2"/>
    <n v="24453.74"/>
  </r>
  <r>
    <x v="5"/>
    <x v="0"/>
    <x v="1"/>
    <x v="0"/>
    <x v="1"/>
    <x v="3"/>
    <x v="0"/>
    <x v="0"/>
    <x v="0"/>
    <x v="0"/>
    <x v="0"/>
    <x v="4"/>
    <s v="01"/>
    <x v="42"/>
    <x v="0"/>
    <x v="10"/>
    <x v="8"/>
    <n v="30965.96"/>
  </r>
  <r>
    <x v="5"/>
    <x v="0"/>
    <x v="1"/>
    <x v="0"/>
    <x v="1"/>
    <x v="3"/>
    <x v="0"/>
    <x v="0"/>
    <x v="0"/>
    <x v="0"/>
    <x v="0"/>
    <x v="4"/>
    <s v="01"/>
    <x v="42"/>
    <x v="0"/>
    <x v="10"/>
    <x v="9"/>
    <n v="33222.129999999997"/>
  </r>
  <r>
    <x v="5"/>
    <x v="0"/>
    <x v="1"/>
    <x v="0"/>
    <x v="1"/>
    <x v="3"/>
    <x v="0"/>
    <x v="0"/>
    <x v="0"/>
    <x v="0"/>
    <x v="0"/>
    <x v="4"/>
    <s v="01"/>
    <x v="42"/>
    <x v="0"/>
    <x v="10"/>
    <x v="10"/>
    <n v="235318.06"/>
  </r>
  <r>
    <x v="5"/>
    <x v="0"/>
    <x v="1"/>
    <x v="0"/>
    <x v="1"/>
    <x v="3"/>
    <x v="0"/>
    <x v="0"/>
    <x v="0"/>
    <x v="0"/>
    <x v="0"/>
    <x v="4"/>
    <s v="01"/>
    <x v="42"/>
    <x v="0"/>
    <x v="10"/>
    <x v="11"/>
    <n v="165067.82"/>
  </r>
  <r>
    <x v="5"/>
    <x v="0"/>
    <x v="1"/>
    <x v="0"/>
    <x v="1"/>
    <x v="3"/>
    <x v="0"/>
    <x v="0"/>
    <x v="0"/>
    <x v="0"/>
    <x v="0"/>
    <x v="4"/>
    <s v="01"/>
    <x v="42"/>
    <x v="0"/>
    <x v="10"/>
    <x v="3"/>
    <n v="97359.67"/>
  </r>
  <r>
    <x v="5"/>
    <x v="0"/>
    <x v="1"/>
    <x v="0"/>
    <x v="1"/>
    <x v="3"/>
    <x v="0"/>
    <x v="0"/>
    <x v="0"/>
    <x v="0"/>
    <x v="0"/>
    <x v="4"/>
    <s v="01"/>
    <x v="42"/>
    <x v="0"/>
    <x v="10"/>
    <x v="4"/>
    <n v="51155.68"/>
  </r>
  <r>
    <x v="5"/>
    <x v="0"/>
    <x v="1"/>
    <x v="0"/>
    <x v="1"/>
    <x v="3"/>
    <x v="0"/>
    <x v="0"/>
    <x v="0"/>
    <x v="0"/>
    <x v="0"/>
    <x v="4"/>
    <s v="01"/>
    <x v="42"/>
    <x v="0"/>
    <x v="10"/>
    <x v="7"/>
    <n v="28333.33"/>
  </r>
  <r>
    <x v="5"/>
    <x v="0"/>
    <x v="1"/>
    <x v="0"/>
    <x v="1"/>
    <x v="3"/>
    <x v="0"/>
    <x v="0"/>
    <x v="0"/>
    <x v="0"/>
    <x v="0"/>
    <x v="4"/>
    <s v="01"/>
    <x v="42"/>
    <x v="0"/>
    <x v="10"/>
    <x v="5"/>
    <n v="41819.57"/>
  </r>
  <r>
    <x v="5"/>
    <x v="0"/>
    <x v="1"/>
    <x v="0"/>
    <x v="1"/>
    <x v="3"/>
    <x v="0"/>
    <x v="0"/>
    <x v="0"/>
    <x v="0"/>
    <x v="0"/>
    <x v="4"/>
    <s v="01"/>
    <x v="42"/>
    <x v="0"/>
    <x v="10"/>
    <x v="6"/>
    <n v="23890.34"/>
  </r>
  <r>
    <x v="5"/>
    <x v="0"/>
    <x v="1"/>
    <x v="0"/>
    <x v="1"/>
    <x v="3"/>
    <x v="0"/>
    <x v="0"/>
    <x v="0"/>
    <x v="0"/>
    <x v="0"/>
    <x v="4"/>
    <s v="01"/>
    <x v="42"/>
    <x v="0"/>
    <x v="10"/>
    <x v="1"/>
    <n v="421966.04"/>
  </r>
  <r>
    <x v="5"/>
    <x v="0"/>
    <x v="1"/>
    <x v="0"/>
    <x v="1"/>
    <x v="3"/>
    <x v="0"/>
    <x v="0"/>
    <x v="0"/>
    <x v="0"/>
    <x v="0"/>
    <x v="4"/>
    <s v="01"/>
    <x v="42"/>
    <x v="0"/>
    <x v="11"/>
    <x v="0"/>
    <n v="13237.52"/>
  </r>
  <r>
    <x v="5"/>
    <x v="0"/>
    <x v="1"/>
    <x v="0"/>
    <x v="1"/>
    <x v="3"/>
    <x v="0"/>
    <x v="0"/>
    <x v="0"/>
    <x v="0"/>
    <x v="0"/>
    <x v="4"/>
    <s v="01"/>
    <x v="42"/>
    <x v="0"/>
    <x v="11"/>
    <x v="2"/>
    <n v="20898.95"/>
  </r>
  <r>
    <x v="5"/>
    <x v="0"/>
    <x v="1"/>
    <x v="0"/>
    <x v="1"/>
    <x v="3"/>
    <x v="0"/>
    <x v="0"/>
    <x v="0"/>
    <x v="0"/>
    <x v="0"/>
    <x v="4"/>
    <s v="01"/>
    <x v="42"/>
    <x v="0"/>
    <x v="11"/>
    <x v="8"/>
    <n v="85286.09"/>
  </r>
  <r>
    <x v="5"/>
    <x v="0"/>
    <x v="1"/>
    <x v="0"/>
    <x v="1"/>
    <x v="3"/>
    <x v="0"/>
    <x v="0"/>
    <x v="0"/>
    <x v="0"/>
    <x v="0"/>
    <x v="4"/>
    <s v="01"/>
    <x v="42"/>
    <x v="0"/>
    <x v="11"/>
    <x v="9"/>
    <n v="41819.019999999997"/>
  </r>
  <r>
    <x v="5"/>
    <x v="0"/>
    <x v="1"/>
    <x v="0"/>
    <x v="1"/>
    <x v="3"/>
    <x v="0"/>
    <x v="0"/>
    <x v="0"/>
    <x v="0"/>
    <x v="0"/>
    <x v="4"/>
    <s v="01"/>
    <x v="42"/>
    <x v="0"/>
    <x v="11"/>
    <x v="10"/>
    <n v="27520.47"/>
  </r>
  <r>
    <x v="5"/>
    <x v="0"/>
    <x v="1"/>
    <x v="0"/>
    <x v="1"/>
    <x v="3"/>
    <x v="0"/>
    <x v="0"/>
    <x v="0"/>
    <x v="0"/>
    <x v="0"/>
    <x v="4"/>
    <s v="01"/>
    <x v="42"/>
    <x v="0"/>
    <x v="11"/>
    <x v="11"/>
    <n v="41979.02"/>
  </r>
  <r>
    <x v="5"/>
    <x v="0"/>
    <x v="1"/>
    <x v="0"/>
    <x v="1"/>
    <x v="3"/>
    <x v="0"/>
    <x v="0"/>
    <x v="0"/>
    <x v="0"/>
    <x v="0"/>
    <x v="4"/>
    <s v="01"/>
    <x v="42"/>
    <x v="0"/>
    <x v="11"/>
    <x v="3"/>
    <n v="280296.65999999997"/>
  </r>
  <r>
    <x v="5"/>
    <x v="0"/>
    <x v="1"/>
    <x v="0"/>
    <x v="1"/>
    <x v="3"/>
    <x v="0"/>
    <x v="0"/>
    <x v="0"/>
    <x v="0"/>
    <x v="0"/>
    <x v="4"/>
    <s v="01"/>
    <x v="42"/>
    <x v="0"/>
    <x v="11"/>
    <x v="4"/>
    <n v="60496.73"/>
  </r>
  <r>
    <x v="5"/>
    <x v="0"/>
    <x v="1"/>
    <x v="0"/>
    <x v="1"/>
    <x v="3"/>
    <x v="0"/>
    <x v="0"/>
    <x v="0"/>
    <x v="0"/>
    <x v="0"/>
    <x v="4"/>
    <s v="01"/>
    <x v="42"/>
    <x v="0"/>
    <x v="11"/>
    <x v="7"/>
    <n v="37293.56"/>
  </r>
  <r>
    <x v="5"/>
    <x v="0"/>
    <x v="1"/>
    <x v="0"/>
    <x v="1"/>
    <x v="3"/>
    <x v="0"/>
    <x v="0"/>
    <x v="0"/>
    <x v="0"/>
    <x v="0"/>
    <x v="4"/>
    <s v="01"/>
    <x v="42"/>
    <x v="0"/>
    <x v="11"/>
    <x v="5"/>
    <n v="52113.11"/>
  </r>
  <r>
    <x v="5"/>
    <x v="0"/>
    <x v="1"/>
    <x v="0"/>
    <x v="1"/>
    <x v="3"/>
    <x v="0"/>
    <x v="0"/>
    <x v="0"/>
    <x v="0"/>
    <x v="0"/>
    <x v="4"/>
    <s v="01"/>
    <x v="42"/>
    <x v="0"/>
    <x v="11"/>
    <x v="6"/>
    <n v="84665.55"/>
  </r>
  <r>
    <x v="5"/>
    <x v="0"/>
    <x v="1"/>
    <x v="0"/>
    <x v="1"/>
    <x v="3"/>
    <x v="0"/>
    <x v="0"/>
    <x v="0"/>
    <x v="0"/>
    <x v="0"/>
    <x v="4"/>
    <s v="01"/>
    <x v="42"/>
    <x v="0"/>
    <x v="11"/>
    <x v="1"/>
    <n v="197163.79"/>
  </r>
  <r>
    <x v="5"/>
    <x v="0"/>
    <x v="1"/>
    <x v="0"/>
    <x v="1"/>
    <x v="3"/>
    <x v="0"/>
    <x v="0"/>
    <x v="0"/>
    <x v="0"/>
    <x v="0"/>
    <x v="4"/>
    <s v="02"/>
    <x v="5"/>
    <x v="0"/>
    <x v="11"/>
    <x v="0"/>
    <n v="600"/>
  </r>
  <r>
    <x v="5"/>
    <x v="0"/>
    <x v="1"/>
    <x v="0"/>
    <x v="1"/>
    <x v="3"/>
    <x v="0"/>
    <x v="0"/>
    <x v="0"/>
    <x v="0"/>
    <x v="0"/>
    <x v="4"/>
    <s v="02"/>
    <x v="5"/>
    <x v="0"/>
    <x v="11"/>
    <x v="8"/>
    <n v="-600"/>
  </r>
  <r>
    <x v="5"/>
    <x v="0"/>
    <x v="1"/>
    <x v="0"/>
    <x v="1"/>
    <x v="3"/>
    <x v="0"/>
    <x v="0"/>
    <x v="0"/>
    <x v="0"/>
    <x v="0"/>
    <x v="4"/>
    <s v="02"/>
    <x v="5"/>
    <x v="0"/>
    <x v="11"/>
    <x v="9"/>
    <n v="1440"/>
  </r>
  <r>
    <x v="5"/>
    <x v="0"/>
    <x v="1"/>
    <x v="0"/>
    <x v="1"/>
    <x v="3"/>
    <x v="0"/>
    <x v="0"/>
    <x v="0"/>
    <x v="0"/>
    <x v="0"/>
    <x v="4"/>
    <s v="02"/>
    <x v="5"/>
    <x v="0"/>
    <x v="11"/>
    <x v="10"/>
    <n v="-1312"/>
  </r>
  <r>
    <x v="5"/>
    <x v="0"/>
    <x v="1"/>
    <x v="0"/>
    <x v="1"/>
    <x v="3"/>
    <x v="0"/>
    <x v="0"/>
    <x v="0"/>
    <x v="0"/>
    <x v="0"/>
    <x v="4"/>
    <s v="02"/>
    <x v="5"/>
    <x v="0"/>
    <x v="11"/>
    <x v="3"/>
    <n v="1312"/>
  </r>
  <r>
    <x v="5"/>
    <x v="0"/>
    <x v="1"/>
    <x v="0"/>
    <x v="1"/>
    <x v="3"/>
    <x v="0"/>
    <x v="0"/>
    <x v="0"/>
    <x v="0"/>
    <x v="0"/>
    <x v="4"/>
    <s v="05"/>
    <x v="38"/>
    <x v="0"/>
    <x v="10"/>
    <x v="6"/>
    <n v="-160"/>
  </r>
  <r>
    <x v="5"/>
    <x v="0"/>
    <x v="1"/>
    <x v="0"/>
    <x v="1"/>
    <x v="3"/>
    <x v="0"/>
    <x v="0"/>
    <x v="0"/>
    <x v="0"/>
    <x v="0"/>
    <x v="4"/>
    <s v="05"/>
    <x v="38"/>
    <x v="0"/>
    <x v="10"/>
    <x v="1"/>
    <n v="160"/>
  </r>
  <r>
    <x v="5"/>
    <x v="0"/>
    <x v="1"/>
    <x v="0"/>
    <x v="1"/>
    <x v="3"/>
    <x v="0"/>
    <x v="0"/>
    <x v="0"/>
    <x v="0"/>
    <x v="0"/>
    <x v="4"/>
    <s v="09"/>
    <x v="0"/>
    <x v="0"/>
    <x v="10"/>
    <x v="0"/>
    <n v="490.05"/>
  </r>
  <r>
    <x v="5"/>
    <x v="0"/>
    <x v="1"/>
    <x v="0"/>
    <x v="1"/>
    <x v="3"/>
    <x v="0"/>
    <x v="0"/>
    <x v="0"/>
    <x v="0"/>
    <x v="0"/>
    <x v="4"/>
    <s v="09"/>
    <x v="0"/>
    <x v="0"/>
    <x v="10"/>
    <x v="2"/>
    <n v="83355.179999999993"/>
  </r>
  <r>
    <x v="5"/>
    <x v="0"/>
    <x v="1"/>
    <x v="0"/>
    <x v="1"/>
    <x v="3"/>
    <x v="0"/>
    <x v="0"/>
    <x v="0"/>
    <x v="0"/>
    <x v="0"/>
    <x v="4"/>
    <s v="09"/>
    <x v="0"/>
    <x v="0"/>
    <x v="10"/>
    <x v="8"/>
    <n v="49205.7"/>
  </r>
  <r>
    <x v="5"/>
    <x v="0"/>
    <x v="1"/>
    <x v="0"/>
    <x v="1"/>
    <x v="3"/>
    <x v="0"/>
    <x v="0"/>
    <x v="0"/>
    <x v="0"/>
    <x v="0"/>
    <x v="4"/>
    <s v="09"/>
    <x v="0"/>
    <x v="0"/>
    <x v="10"/>
    <x v="9"/>
    <n v="42555.79"/>
  </r>
  <r>
    <x v="5"/>
    <x v="0"/>
    <x v="1"/>
    <x v="0"/>
    <x v="1"/>
    <x v="3"/>
    <x v="0"/>
    <x v="0"/>
    <x v="0"/>
    <x v="0"/>
    <x v="0"/>
    <x v="4"/>
    <s v="09"/>
    <x v="0"/>
    <x v="0"/>
    <x v="10"/>
    <x v="10"/>
    <n v="-170539.33"/>
  </r>
  <r>
    <x v="5"/>
    <x v="0"/>
    <x v="1"/>
    <x v="0"/>
    <x v="1"/>
    <x v="3"/>
    <x v="0"/>
    <x v="0"/>
    <x v="0"/>
    <x v="0"/>
    <x v="0"/>
    <x v="4"/>
    <s v="09"/>
    <x v="0"/>
    <x v="0"/>
    <x v="10"/>
    <x v="11"/>
    <n v="-2662.21"/>
  </r>
  <r>
    <x v="5"/>
    <x v="0"/>
    <x v="1"/>
    <x v="0"/>
    <x v="1"/>
    <x v="3"/>
    <x v="0"/>
    <x v="0"/>
    <x v="0"/>
    <x v="0"/>
    <x v="0"/>
    <x v="4"/>
    <s v="09"/>
    <x v="0"/>
    <x v="0"/>
    <x v="10"/>
    <x v="3"/>
    <n v="4312.97"/>
  </r>
  <r>
    <x v="5"/>
    <x v="0"/>
    <x v="1"/>
    <x v="0"/>
    <x v="1"/>
    <x v="3"/>
    <x v="0"/>
    <x v="0"/>
    <x v="0"/>
    <x v="0"/>
    <x v="0"/>
    <x v="4"/>
    <s v="09"/>
    <x v="0"/>
    <x v="0"/>
    <x v="10"/>
    <x v="4"/>
    <n v="1212.6300000000001"/>
  </r>
  <r>
    <x v="5"/>
    <x v="0"/>
    <x v="1"/>
    <x v="0"/>
    <x v="1"/>
    <x v="3"/>
    <x v="0"/>
    <x v="0"/>
    <x v="0"/>
    <x v="0"/>
    <x v="0"/>
    <x v="4"/>
    <s v="09"/>
    <x v="0"/>
    <x v="0"/>
    <x v="10"/>
    <x v="7"/>
    <n v="-2802.92"/>
  </r>
  <r>
    <x v="5"/>
    <x v="0"/>
    <x v="1"/>
    <x v="0"/>
    <x v="1"/>
    <x v="3"/>
    <x v="0"/>
    <x v="0"/>
    <x v="0"/>
    <x v="0"/>
    <x v="0"/>
    <x v="4"/>
    <s v="09"/>
    <x v="0"/>
    <x v="0"/>
    <x v="10"/>
    <x v="5"/>
    <n v="452.25"/>
  </r>
  <r>
    <x v="5"/>
    <x v="0"/>
    <x v="1"/>
    <x v="0"/>
    <x v="1"/>
    <x v="3"/>
    <x v="0"/>
    <x v="0"/>
    <x v="0"/>
    <x v="0"/>
    <x v="0"/>
    <x v="4"/>
    <s v="09"/>
    <x v="0"/>
    <x v="0"/>
    <x v="10"/>
    <x v="6"/>
    <n v="520.92999999999995"/>
  </r>
  <r>
    <x v="5"/>
    <x v="0"/>
    <x v="1"/>
    <x v="0"/>
    <x v="1"/>
    <x v="3"/>
    <x v="0"/>
    <x v="0"/>
    <x v="0"/>
    <x v="0"/>
    <x v="0"/>
    <x v="4"/>
    <s v="09"/>
    <x v="0"/>
    <x v="0"/>
    <x v="10"/>
    <x v="1"/>
    <n v="-5755.74"/>
  </r>
  <r>
    <x v="5"/>
    <x v="0"/>
    <x v="1"/>
    <x v="0"/>
    <x v="1"/>
    <x v="3"/>
    <x v="0"/>
    <x v="0"/>
    <x v="0"/>
    <x v="0"/>
    <x v="0"/>
    <x v="4"/>
    <s v="09"/>
    <x v="0"/>
    <x v="0"/>
    <x v="11"/>
    <x v="0"/>
    <n v="1074.69"/>
  </r>
  <r>
    <x v="5"/>
    <x v="0"/>
    <x v="1"/>
    <x v="0"/>
    <x v="1"/>
    <x v="3"/>
    <x v="0"/>
    <x v="0"/>
    <x v="0"/>
    <x v="0"/>
    <x v="0"/>
    <x v="4"/>
    <s v="09"/>
    <x v="0"/>
    <x v="0"/>
    <x v="11"/>
    <x v="2"/>
    <n v="1995.37"/>
  </r>
  <r>
    <x v="5"/>
    <x v="0"/>
    <x v="1"/>
    <x v="0"/>
    <x v="1"/>
    <x v="3"/>
    <x v="0"/>
    <x v="0"/>
    <x v="0"/>
    <x v="0"/>
    <x v="0"/>
    <x v="4"/>
    <s v="09"/>
    <x v="0"/>
    <x v="0"/>
    <x v="11"/>
    <x v="8"/>
    <n v="143.06"/>
  </r>
  <r>
    <x v="5"/>
    <x v="0"/>
    <x v="1"/>
    <x v="0"/>
    <x v="1"/>
    <x v="3"/>
    <x v="0"/>
    <x v="0"/>
    <x v="0"/>
    <x v="0"/>
    <x v="0"/>
    <x v="4"/>
    <s v="09"/>
    <x v="0"/>
    <x v="0"/>
    <x v="11"/>
    <x v="9"/>
    <n v="536.27"/>
  </r>
  <r>
    <x v="5"/>
    <x v="0"/>
    <x v="1"/>
    <x v="0"/>
    <x v="1"/>
    <x v="3"/>
    <x v="0"/>
    <x v="0"/>
    <x v="0"/>
    <x v="0"/>
    <x v="0"/>
    <x v="4"/>
    <s v="09"/>
    <x v="0"/>
    <x v="0"/>
    <x v="11"/>
    <x v="10"/>
    <n v="1441.4"/>
  </r>
  <r>
    <x v="5"/>
    <x v="0"/>
    <x v="1"/>
    <x v="0"/>
    <x v="1"/>
    <x v="3"/>
    <x v="0"/>
    <x v="0"/>
    <x v="0"/>
    <x v="0"/>
    <x v="0"/>
    <x v="4"/>
    <s v="09"/>
    <x v="0"/>
    <x v="0"/>
    <x v="11"/>
    <x v="11"/>
    <n v="3628.1"/>
  </r>
  <r>
    <x v="5"/>
    <x v="0"/>
    <x v="1"/>
    <x v="0"/>
    <x v="1"/>
    <x v="3"/>
    <x v="0"/>
    <x v="0"/>
    <x v="0"/>
    <x v="0"/>
    <x v="0"/>
    <x v="4"/>
    <s v="09"/>
    <x v="0"/>
    <x v="0"/>
    <x v="11"/>
    <x v="3"/>
    <n v="173.96"/>
  </r>
  <r>
    <x v="5"/>
    <x v="0"/>
    <x v="1"/>
    <x v="0"/>
    <x v="1"/>
    <x v="3"/>
    <x v="0"/>
    <x v="0"/>
    <x v="0"/>
    <x v="0"/>
    <x v="0"/>
    <x v="4"/>
    <s v="09"/>
    <x v="0"/>
    <x v="0"/>
    <x v="11"/>
    <x v="4"/>
    <n v="2374.48"/>
  </r>
  <r>
    <x v="5"/>
    <x v="0"/>
    <x v="1"/>
    <x v="0"/>
    <x v="1"/>
    <x v="3"/>
    <x v="0"/>
    <x v="0"/>
    <x v="0"/>
    <x v="0"/>
    <x v="0"/>
    <x v="4"/>
    <s v="09"/>
    <x v="0"/>
    <x v="0"/>
    <x v="11"/>
    <x v="7"/>
    <n v="4420.25"/>
  </r>
  <r>
    <x v="5"/>
    <x v="0"/>
    <x v="1"/>
    <x v="0"/>
    <x v="1"/>
    <x v="3"/>
    <x v="0"/>
    <x v="0"/>
    <x v="0"/>
    <x v="0"/>
    <x v="0"/>
    <x v="4"/>
    <s v="09"/>
    <x v="0"/>
    <x v="0"/>
    <x v="11"/>
    <x v="5"/>
    <n v="791.05"/>
  </r>
  <r>
    <x v="5"/>
    <x v="0"/>
    <x v="1"/>
    <x v="0"/>
    <x v="1"/>
    <x v="3"/>
    <x v="0"/>
    <x v="0"/>
    <x v="0"/>
    <x v="0"/>
    <x v="0"/>
    <x v="4"/>
    <s v="09"/>
    <x v="0"/>
    <x v="0"/>
    <x v="11"/>
    <x v="6"/>
    <n v="4092.73"/>
  </r>
  <r>
    <x v="5"/>
    <x v="0"/>
    <x v="1"/>
    <x v="0"/>
    <x v="1"/>
    <x v="3"/>
    <x v="0"/>
    <x v="0"/>
    <x v="0"/>
    <x v="0"/>
    <x v="0"/>
    <x v="4"/>
    <s v="09"/>
    <x v="0"/>
    <x v="0"/>
    <x v="11"/>
    <x v="1"/>
    <n v="-12149.35"/>
  </r>
  <r>
    <x v="5"/>
    <x v="0"/>
    <x v="1"/>
    <x v="0"/>
    <x v="1"/>
    <x v="3"/>
    <x v="0"/>
    <x v="0"/>
    <x v="0"/>
    <x v="0"/>
    <x v="0"/>
    <x v="4"/>
    <s v="16"/>
    <x v="20"/>
    <x v="0"/>
    <x v="10"/>
    <x v="9"/>
    <n v="567.88"/>
  </r>
  <r>
    <x v="5"/>
    <x v="0"/>
    <x v="1"/>
    <x v="0"/>
    <x v="1"/>
    <x v="3"/>
    <x v="0"/>
    <x v="0"/>
    <x v="0"/>
    <x v="0"/>
    <x v="0"/>
    <x v="4"/>
    <s v="16"/>
    <x v="20"/>
    <x v="0"/>
    <x v="10"/>
    <x v="10"/>
    <n v="-243.77"/>
  </r>
  <r>
    <x v="5"/>
    <x v="0"/>
    <x v="1"/>
    <x v="0"/>
    <x v="1"/>
    <x v="3"/>
    <x v="0"/>
    <x v="0"/>
    <x v="0"/>
    <x v="0"/>
    <x v="0"/>
    <x v="4"/>
    <s v="16"/>
    <x v="20"/>
    <x v="0"/>
    <x v="10"/>
    <x v="7"/>
    <n v="-324.11"/>
  </r>
  <r>
    <x v="5"/>
    <x v="0"/>
    <x v="1"/>
    <x v="0"/>
    <x v="1"/>
    <x v="3"/>
    <x v="0"/>
    <x v="0"/>
    <x v="0"/>
    <x v="0"/>
    <x v="0"/>
    <x v="4"/>
    <s v="20"/>
    <x v="7"/>
    <x v="0"/>
    <x v="10"/>
    <x v="0"/>
    <n v="-49575.06"/>
  </r>
  <r>
    <x v="5"/>
    <x v="0"/>
    <x v="1"/>
    <x v="0"/>
    <x v="1"/>
    <x v="3"/>
    <x v="0"/>
    <x v="0"/>
    <x v="0"/>
    <x v="0"/>
    <x v="0"/>
    <x v="4"/>
    <s v="20"/>
    <x v="7"/>
    <x v="0"/>
    <x v="10"/>
    <x v="8"/>
    <n v="53634.39"/>
  </r>
  <r>
    <x v="5"/>
    <x v="0"/>
    <x v="1"/>
    <x v="0"/>
    <x v="1"/>
    <x v="3"/>
    <x v="0"/>
    <x v="0"/>
    <x v="0"/>
    <x v="0"/>
    <x v="0"/>
    <x v="4"/>
    <s v="20"/>
    <x v="7"/>
    <x v="0"/>
    <x v="10"/>
    <x v="9"/>
    <n v="23631.51"/>
  </r>
  <r>
    <x v="5"/>
    <x v="0"/>
    <x v="1"/>
    <x v="0"/>
    <x v="1"/>
    <x v="3"/>
    <x v="0"/>
    <x v="0"/>
    <x v="0"/>
    <x v="0"/>
    <x v="0"/>
    <x v="4"/>
    <s v="20"/>
    <x v="7"/>
    <x v="0"/>
    <x v="10"/>
    <x v="11"/>
    <n v="80779.899999999994"/>
  </r>
  <r>
    <x v="5"/>
    <x v="0"/>
    <x v="1"/>
    <x v="0"/>
    <x v="1"/>
    <x v="3"/>
    <x v="0"/>
    <x v="0"/>
    <x v="0"/>
    <x v="0"/>
    <x v="0"/>
    <x v="4"/>
    <s v="20"/>
    <x v="7"/>
    <x v="0"/>
    <x v="10"/>
    <x v="4"/>
    <n v="38796"/>
  </r>
  <r>
    <x v="5"/>
    <x v="0"/>
    <x v="1"/>
    <x v="0"/>
    <x v="1"/>
    <x v="3"/>
    <x v="0"/>
    <x v="0"/>
    <x v="0"/>
    <x v="0"/>
    <x v="0"/>
    <x v="4"/>
    <s v="20"/>
    <x v="7"/>
    <x v="0"/>
    <x v="10"/>
    <x v="7"/>
    <n v="30606.54"/>
  </r>
  <r>
    <x v="5"/>
    <x v="0"/>
    <x v="1"/>
    <x v="0"/>
    <x v="1"/>
    <x v="3"/>
    <x v="0"/>
    <x v="0"/>
    <x v="0"/>
    <x v="0"/>
    <x v="0"/>
    <x v="4"/>
    <s v="20"/>
    <x v="7"/>
    <x v="0"/>
    <x v="10"/>
    <x v="5"/>
    <n v="31408.83"/>
  </r>
  <r>
    <x v="5"/>
    <x v="0"/>
    <x v="1"/>
    <x v="0"/>
    <x v="1"/>
    <x v="3"/>
    <x v="0"/>
    <x v="0"/>
    <x v="0"/>
    <x v="0"/>
    <x v="0"/>
    <x v="4"/>
    <s v="20"/>
    <x v="7"/>
    <x v="0"/>
    <x v="10"/>
    <x v="6"/>
    <n v="10623.99"/>
  </r>
  <r>
    <x v="5"/>
    <x v="0"/>
    <x v="1"/>
    <x v="0"/>
    <x v="1"/>
    <x v="3"/>
    <x v="0"/>
    <x v="0"/>
    <x v="0"/>
    <x v="0"/>
    <x v="0"/>
    <x v="4"/>
    <s v="20"/>
    <x v="7"/>
    <x v="0"/>
    <x v="10"/>
    <x v="1"/>
    <n v="-219906.1"/>
  </r>
  <r>
    <x v="5"/>
    <x v="0"/>
    <x v="1"/>
    <x v="0"/>
    <x v="1"/>
    <x v="3"/>
    <x v="0"/>
    <x v="0"/>
    <x v="0"/>
    <x v="0"/>
    <x v="0"/>
    <x v="4"/>
    <s v="20"/>
    <x v="7"/>
    <x v="0"/>
    <x v="11"/>
    <x v="0"/>
    <n v="-50564"/>
  </r>
  <r>
    <x v="5"/>
    <x v="0"/>
    <x v="1"/>
    <x v="0"/>
    <x v="1"/>
    <x v="3"/>
    <x v="0"/>
    <x v="0"/>
    <x v="0"/>
    <x v="0"/>
    <x v="0"/>
    <x v="4"/>
    <s v="20"/>
    <x v="7"/>
    <x v="0"/>
    <x v="11"/>
    <x v="2"/>
    <n v="1655.02"/>
  </r>
  <r>
    <x v="5"/>
    <x v="0"/>
    <x v="1"/>
    <x v="0"/>
    <x v="1"/>
    <x v="3"/>
    <x v="0"/>
    <x v="0"/>
    <x v="0"/>
    <x v="0"/>
    <x v="0"/>
    <x v="4"/>
    <s v="20"/>
    <x v="7"/>
    <x v="0"/>
    <x v="11"/>
    <x v="8"/>
    <n v="57779.23"/>
  </r>
  <r>
    <x v="5"/>
    <x v="0"/>
    <x v="1"/>
    <x v="0"/>
    <x v="1"/>
    <x v="3"/>
    <x v="0"/>
    <x v="0"/>
    <x v="0"/>
    <x v="0"/>
    <x v="0"/>
    <x v="4"/>
    <s v="20"/>
    <x v="7"/>
    <x v="0"/>
    <x v="11"/>
    <x v="9"/>
    <n v="34.979999999999997"/>
  </r>
  <r>
    <x v="5"/>
    <x v="0"/>
    <x v="1"/>
    <x v="0"/>
    <x v="1"/>
    <x v="3"/>
    <x v="0"/>
    <x v="0"/>
    <x v="0"/>
    <x v="0"/>
    <x v="0"/>
    <x v="4"/>
    <s v="20"/>
    <x v="7"/>
    <x v="0"/>
    <x v="11"/>
    <x v="10"/>
    <n v="59602.18"/>
  </r>
  <r>
    <x v="5"/>
    <x v="0"/>
    <x v="1"/>
    <x v="0"/>
    <x v="1"/>
    <x v="3"/>
    <x v="0"/>
    <x v="0"/>
    <x v="0"/>
    <x v="0"/>
    <x v="0"/>
    <x v="4"/>
    <s v="20"/>
    <x v="7"/>
    <x v="0"/>
    <x v="11"/>
    <x v="11"/>
    <n v="-1500"/>
  </r>
  <r>
    <x v="5"/>
    <x v="0"/>
    <x v="1"/>
    <x v="0"/>
    <x v="1"/>
    <x v="3"/>
    <x v="0"/>
    <x v="0"/>
    <x v="0"/>
    <x v="0"/>
    <x v="0"/>
    <x v="4"/>
    <s v="20"/>
    <x v="7"/>
    <x v="0"/>
    <x v="11"/>
    <x v="3"/>
    <n v="-5295.77"/>
  </r>
  <r>
    <x v="5"/>
    <x v="0"/>
    <x v="1"/>
    <x v="0"/>
    <x v="1"/>
    <x v="3"/>
    <x v="0"/>
    <x v="0"/>
    <x v="0"/>
    <x v="0"/>
    <x v="0"/>
    <x v="4"/>
    <s v="20"/>
    <x v="7"/>
    <x v="0"/>
    <x v="11"/>
    <x v="4"/>
    <n v="64049.120000000003"/>
  </r>
  <r>
    <x v="5"/>
    <x v="0"/>
    <x v="1"/>
    <x v="0"/>
    <x v="1"/>
    <x v="3"/>
    <x v="0"/>
    <x v="0"/>
    <x v="0"/>
    <x v="0"/>
    <x v="0"/>
    <x v="4"/>
    <s v="20"/>
    <x v="7"/>
    <x v="0"/>
    <x v="11"/>
    <x v="7"/>
    <n v="60547.62"/>
  </r>
  <r>
    <x v="5"/>
    <x v="0"/>
    <x v="1"/>
    <x v="0"/>
    <x v="1"/>
    <x v="3"/>
    <x v="0"/>
    <x v="0"/>
    <x v="0"/>
    <x v="0"/>
    <x v="0"/>
    <x v="4"/>
    <s v="20"/>
    <x v="7"/>
    <x v="0"/>
    <x v="11"/>
    <x v="5"/>
    <n v="15185.97"/>
  </r>
  <r>
    <x v="5"/>
    <x v="0"/>
    <x v="1"/>
    <x v="0"/>
    <x v="1"/>
    <x v="3"/>
    <x v="0"/>
    <x v="0"/>
    <x v="0"/>
    <x v="0"/>
    <x v="0"/>
    <x v="4"/>
    <s v="20"/>
    <x v="7"/>
    <x v="0"/>
    <x v="11"/>
    <x v="6"/>
    <n v="50858.89"/>
  </r>
  <r>
    <x v="5"/>
    <x v="0"/>
    <x v="1"/>
    <x v="0"/>
    <x v="1"/>
    <x v="3"/>
    <x v="0"/>
    <x v="0"/>
    <x v="0"/>
    <x v="0"/>
    <x v="0"/>
    <x v="4"/>
    <s v="20"/>
    <x v="7"/>
    <x v="0"/>
    <x v="11"/>
    <x v="1"/>
    <n v="-252353.24"/>
  </r>
  <r>
    <x v="5"/>
    <x v="0"/>
    <x v="1"/>
    <x v="0"/>
    <x v="1"/>
    <x v="3"/>
    <x v="0"/>
    <x v="0"/>
    <x v="0"/>
    <x v="0"/>
    <x v="0"/>
    <x v="4"/>
    <s v="24"/>
    <x v="1"/>
    <x v="0"/>
    <x v="10"/>
    <x v="0"/>
    <n v="23296278.620000001"/>
  </r>
  <r>
    <x v="5"/>
    <x v="0"/>
    <x v="1"/>
    <x v="0"/>
    <x v="1"/>
    <x v="3"/>
    <x v="0"/>
    <x v="0"/>
    <x v="0"/>
    <x v="0"/>
    <x v="0"/>
    <x v="4"/>
    <s v="24"/>
    <x v="1"/>
    <x v="0"/>
    <x v="10"/>
    <x v="2"/>
    <n v="38850035.030000001"/>
  </r>
  <r>
    <x v="5"/>
    <x v="0"/>
    <x v="1"/>
    <x v="0"/>
    <x v="1"/>
    <x v="3"/>
    <x v="0"/>
    <x v="0"/>
    <x v="0"/>
    <x v="0"/>
    <x v="0"/>
    <x v="4"/>
    <s v="24"/>
    <x v="1"/>
    <x v="0"/>
    <x v="10"/>
    <x v="8"/>
    <n v="43347706.539999999"/>
  </r>
  <r>
    <x v="5"/>
    <x v="0"/>
    <x v="1"/>
    <x v="0"/>
    <x v="1"/>
    <x v="3"/>
    <x v="0"/>
    <x v="0"/>
    <x v="0"/>
    <x v="0"/>
    <x v="0"/>
    <x v="4"/>
    <s v="24"/>
    <x v="1"/>
    <x v="0"/>
    <x v="10"/>
    <x v="9"/>
    <n v="7686444.4400000004"/>
  </r>
  <r>
    <x v="5"/>
    <x v="0"/>
    <x v="1"/>
    <x v="0"/>
    <x v="1"/>
    <x v="3"/>
    <x v="0"/>
    <x v="0"/>
    <x v="0"/>
    <x v="0"/>
    <x v="0"/>
    <x v="4"/>
    <s v="24"/>
    <x v="1"/>
    <x v="0"/>
    <x v="10"/>
    <x v="10"/>
    <n v="21517620.780000001"/>
  </r>
  <r>
    <x v="5"/>
    <x v="0"/>
    <x v="1"/>
    <x v="0"/>
    <x v="1"/>
    <x v="3"/>
    <x v="0"/>
    <x v="0"/>
    <x v="0"/>
    <x v="0"/>
    <x v="0"/>
    <x v="4"/>
    <s v="24"/>
    <x v="1"/>
    <x v="0"/>
    <x v="10"/>
    <x v="11"/>
    <n v="50181092.740000002"/>
  </r>
  <r>
    <x v="5"/>
    <x v="0"/>
    <x v="1"/>
    <x v="0"/>
    <x v="1"/>
    <x v="3"/>
    <x v="0"/>
    <x v="0"/>
    <x v="0"/>
    <x v="0"/>
    <x v="0"/>
    <x v="4"/>
    <s v="24"/>
    <x v="1"/>
    <x v="0"/>
    <x v="10"/>
    <x v="3"/>
    <n v="15263293.59"/>
  </r>
  <r>
    <x v="5"/>
    <x v="0"/>
    <x v="1"/>
    <x v="0"/>
    <x v="1"/>
    <x v="3"/>
    <x v="0"/>
    <x v="0"/>
    <x v="0"/>
    <x v="0"/>
    <x v="0"/>
    <x v="4"/>
    <s v="24"/>
    <x v="1"/>
    <x v="0"/>
    <x v="10"/>
    <x v="4"/>
    <n v="12374912.98"/>
  </r>
  <r>
    <x v="5"/>
    <x v="0"/>
    <x v="1"/>
    <x v="0"/>
    <x v="1"/>
    <x v="3"/>
    <x v="0"/>
    <x v="0"/>
    <x v="0"/>
    <x v="0"/>
    <x v="0"/>
    <x v="4"/>
    <s v="24"/>
    <x v="1"/>
    <x v="0"/>
    <x v="10"/>
    <x v="7"/>
    <n v="53291705.619999997"/>
  </r>
  <r>
    <x v="5"/>
    <x v="0"/>
    <x v="1"/>
    <x v="0"/>
    <x v="1"/>
    <x v="3"/>
    <x v="0"/>
    <x v="0"/>
    <x v="0"/>
    <x v="0"/>
    <x v="0"/>
    <x v="4"/>
    <s v="24"/>
    <x v="1"/>
    <x v="0"/>
    <x v="10"/>
    <x v="5"/>
    <n v="-494046.08"/>
  </r>
  <r>
    <x v="5"/>
    <x v="0"/>
    <x v="1"/>
    <x v="0"/>
    <x v="1"/>
    <x v="3"/>
    <x v="0"/>
    <x v="0"/>
    <x v="0"/>
    <x v="0"/>
    <x v="0"/>
    <x v="4"/>
    <s v="24"/>
    <x v="1"/>
    <x v="0"/>
    <x v="10"/>
    <x v="6"/>
    <n v="-564511.89"/>
  </r>
  <r>
    <x v="5"/>
    <x v="0"/>
    <x v="1"/>
    <x v="0"/>
    <x v="1"/>
    <x v="3"/>
    <x v="0"/>
    <x v="0"/>
    <x v="0"/>
    <x v="0"/>
    <x v="0"/>
    <x v="4"/>
    <s v="24"/>
    <x v="1"/>
    <x v="0"/>
    <x v="10"/>
    <x v="1"/>
    <n v="-8920025.5600000005"/>
  </r>
  <r>
    <x v="5"/>
    <x v="0"/>
    <x v="1"/>
    <x v="0"/>
    <x v="1"/>
    <x v="3"/>
    <x v="0"/>
    <x v="0"/>
    <x v="0"/>
    <x v="0"/>
    <x v="0"/>
    <x v="4"/>
    <s v="24"/>
    <x v="1"/>
    <x v="0"/>
    <x v="11"/>
    <x v="0"/>
    <n v="32367692.82"/>
  </r>
  <r>
    <x v="5"/>
    <x v="0"/>
    <x v="1"/>
    <x v="0"/>
    <x v="1"/>
    <x v="3"/>
    <x v="0"/>
    <x v="0"/>
    <x v="0"/>
    <x v="0"/>
    <x v="0"/>
    <x v="4"/>
    <s v="24"/>
    <x v="1"/>
    <x v="0"/>
    <x v="11"/>
    <x v="2"/>
    <n v="47516365.119999997"/>
  </r>
  <r>
    <x v="5"/>
    <x v="0"/>
    <x v="1"/>
    <x v="0"/>
    <x v="1"/>
    <x v="3"/>
    <x v="0"/>
    <x v="0"/>
    <x v="0"/>
    <x v="0"/>
    <x v="0"/>
    <x v="4"/>
    <s v="24"/>
    <x v="1"/>
    <x v="0"/>
    <x v="11"/>
    <x v="8"/>
    <n v="41170303.240000002"/>
  </r>
  <r>
    <x v="5"/>
    <x v="0"/>
    <x v="1"/>
    <x v="0"/>
    <x v="1"/>
    <x v="3"/>
    <x v="0"/>
    <x v="0"/>
    <x v="0"/>
    <x v="0"/>
    <x v="0"/>
    <x v="4"/>
    <s v="24"/>
    <x v="1"/>
    <x v="0"/>
    <x v="11"/>
    <x v="9"/>
    <n v="8681465.2200000007"/>
  </r>
  <r>
    <x v="5"/>
    <x v="0"/>
    <x v="1"/>
    <x v="0"/>
    <x v="1"/>
    <x v="3"/>
    <x v="0"/>
    <x v="0"/>
    <x v="0"/>
    <x v="0"/>
    <x v="0"/>
    <x v="4"/>
    <s v="24"/>
    <x v="1"/>
    <x v="0"/>
    <x v="11"/>
    <x v="10"/>
    <n v="29387843.760000002"/>
  </r>
  <r>
    <x v="5"/>
    <x v="0"/>
    <x v="1"/>
    <x v="0"/>
    <x v="1"/>
    <x v="3"/>
    <x v="0"/>
    <x v="0"/>
    <x v="0"/>
    <x v="0"/>
    <x v="0"/>
    <x v="4"/>
    <s v="24"/>
    <x v="1"/>
    <x v="0"/>
    <x v="11"/>
    <x v="11"/>
    <n v="50592408"/>
  </r>
  <r>
    <x v="5"/>
    <x v="0"/>
    <x v="1"/>
    <x v="0"/>
    <x v="1"/>
    <x v="3"/>
    <x v="0"/>
    <x v="0"/>
    <x v="0"/>
    <x v="0"/>
    <x v="0"/>
    <x v="4"/>
    <s v="24"/>
    <x v="1"/>
    <x v="0"/>
    <x v="11"/>
    <x v="3"/>
    <n v="10441359.220000001"/>
  </r>
  <r>
    <x v="5"/>
    <x v="0"/>
    <x v="1"/>
    <x v="0"/>
    <x v="1"/>
    <x v="3"/>
    <x v="0"/>
    <x v="0"/>
    <x v="0"/>
    <x v="0"/>
    <x v="0"/>
    <x v="4"/>
    <s v="24"/>
    <x v="1"/>
    <x v="0"/>
    <x v="11"/>
    <x v="4"/>
    <n v="10830254.949999999"/>
  </r>
  <r>
    <x v="5"/>
    <x v="0"/>
    <x v="1"/>
    <x v="0"/>
    <x v="1"/>
    <x v="3"/>
    <x v="0"/>
    <x v="0"/>
    <x v="0"/>
    <x v="0"/>
    <x v="0"/>
    <x v="4"/>
    <s v="24"/>
    <x v="1"/>
    <x v="0"/>
    <x v="11"/>
    <x v="7"/>
    <n v="60978002.049999997"/>
  </r>
  <r>
    <x v="5"/>
    <x v="0"/>
    <x v="1"/>
    <x v="0"/>
    <x v="1"/>
    <x v="3"/>
    <x v="0"/>
    <x v="0"/>
    <x v="0"/>
    <x v="0"/>
    <x v="0"/>
    <x v="4"/>
    <s v="24"/>
    <x v="1"/>
    <x v="0"/>
    <x v="11"/>
    <x v="5"/>
    <n v="10233682.960000001"/>
  </r>
  <r>
    <x v="5"/>
    <x v="0"/>
    <x v="1"/>
    <x v="0"/>
    <x v="1"/>
    <x v="3"/>
    <x v="0"/>
    <x v="0"/>
    <x v="0"/>
    <x v="0"/>
    <x v="0"/>
    <x v="4"/>
    <s v="24"/>
    <x v="1"/>
    <x v="0"/>
    <x v="11"/>
    <x v="6"/>
    <n v="2241927.16"/>
  </r>
  <r>
    <x v="5"/>
    <x v="0"/>
    <x v="1"/>
    <x v="0"/>
    <x v="1"/>
    <x v="3"/>
    <x v="0"/>
    <x v="0"/>
    <x v="0"/>
    <x v="0"/>
    <x v="0"/>
    <x v="4"/>
    <s v="24"/>
    <x v="1"/>
    <x v="0"/>
    <x v="11"/>
    <x v="1"/>
    <n v="-8924942.9199999999"/>
  </r>
  <r>
    <x v="5"/>
    <x v="0"/>
    <x v="1"/>
    <x v="0"/>
    <x v="1"/>
    <x v="3"/>
    <x v="0"/>
    <x v="0"/>
    <x v="0"/>
    <x v="0"/>
    <x v="0"/>
    <x v="4"/>
    <s v="30"/>
    <x v="3"/>
    <x v="0"/>
    <x v="10"/>
    <x v="0"/>
    <n v="-89.87"/>
  </r>
  <r>
    <x v="5"/>
    <x v="0"/>
    <x v="1"/>
    <x v="0"/>
    <x v="1"/>
    <x v="3"/>
    <x v="0"/>
    <x v="0"/>
    <x v="0"/>
    <x v="0"/>
    <x v="0"/>
    <x v="4"/>
    <s v="30"/>
    <x v="3"/>
    <x v="0"/>
    <x v="10"/>
    <x v="2"/>
    <n v="89.87"/>
  </r>
  <r>
    <x v="5"/>
    <x v="0"/>
    <x v="1"/>
    <x v="0"/>
    <x v="1"/>
    <x v="3"/>
    <x v="0"/>
    <x v="0"/>
    <x v="0"/>
    <x v="0"/>
    <x v="0"/>
    <x v="4"/>
    <s v="30"/>
    <x v="3"/>
    <x v="0"/>
    <x v="10"/>
    <x v="8"/>
    <n v="789"/>
  </r>
  <r>
    <x v="5"/>
    <x v="0"/>
    <x v="1"/>
    <x v="0"/>
    <x v="1"/>
    <x v="3"/>
    <x v="0"/>
    <x v="0"/>
    <x v="0"/>
    <x v="0"/>
    <x v="0"/>
    <x v="4"/>
    <s v="30"/>
    <x v="3"/>
    <x v="0"/>
    <x v="10"/>
    <x v="11"/>
    <n v="-1020"/>
  </r>
  <r>
    <x v="5"/>
    <x v="0"/>
    <x v="1"/>
    <x v="0"/>
    <x v="1"/>
    <x v="3"/>
    <x v="0"/>
    <x v="0"/>
    <x v="0"/>
    <x v="0"/>
    <x v="0"/>
    <x v="4"/>
    <s v="30"/>
    <x v="3"/>
    <x v="0"/>
    <x v="10"/>
    <x v="3"/>
    <n v="-3"/>
  </r>
  <r>
    <x v="5"/>
    <x v="0"/>
    <x v="1"/>
    <x v="0"/>
    <x v="1"/>
    <x v="3"/>
    <x v="0"/>
    <x v="0"/>
    <x v="0"/>
    <x v="0"/>
    <x v="0"/>
    <x v="4"/>
    <s v="30"/>
    <x v="3"/>
    <x v="0"/>
    <x v="10"/>
    <x v="7"/>
    <n v="3"/>
  </r>
  <r>
    <x v="5"/>
    <x v="0"/>
    <x v="1"/>
    <x v="0"/>
    <x v="1"/>
    <x v="3"/>
    <x v="0"/>
    <x v="0"/>
    <x v="0"/>
    <x v="0"/>
    <x v="0"/>
    <x v="4"/>
    <s v="30"/>
    <x v="3"/>
    <x v="0"/>
    <x v="10"/>
    <x v="6"/>
    <n v="-4.25"/>
  </r>
  <r>
    <x v="5"/>
    <x v="0"/>
    <x v="1"/>
    <x v="0"/>
    <x v="1"/>
    <x v="3"/>
    <x v="0"/>
    <x v="0"/>
    <x v="0"/>
    <x v="0"/>
    <x v="0"/>
    <x v="4"/>
    <s v="30"/>
    <x v="3"/>
    <x v="0"/>
    <x v="10"/>
    <x v="1"/>
    <n v="235.25"/>
  </r>
  <r>
    <x v="5"/>
    <x v="0"/>
    <x v="1"/>
    <x v="0"/>
    <x v="1"/>
    <x v="3"/>
    <x v="0"/>
    <x v="0"/>
    <x v="0"/>
    <x v="0"/>
    <x v="0"/>
    <x v="4"/>
    <s v="30"/>
    <x v="3"/>
    <x v="0"/>
    <x v="11"/>
    <x v="2"/>
    <n v="85"/>
  </r>
  <r>
    <x v="5"/>
    <x v="0"/>
    <x v="1"/>
    <x v="0"/>
    <x v="1"/>
    <x v="3"/>
    <x v="0"/>
    <x v="0"/>
    <x v="0"/>
    <x v="0"/>
    <x v="0"/>
    <x v="4"/>
    <s v="30"/>
    <x v="3"/>
    <x v="0"/>
    <x v="11"/>
    <x v="8"/>
    <n v="-311.44"/>
  </r>
  <r>
    <x v="5"/>
    <x v="0"/>
    <x v="1"/>
    <x v="0"/>
    <x v="1"/>
    <x v="3"/>
    <x v="0"/>
    <x v="0"/>
    <x v="0"/>
    <x v="0"/>
    <x v="0"/>
    <x v="4"/>
    <s v="30"/>
    <x v="3"/>
    <x v="0"/>
    <x v="11"/>
    <x v="9"/>
    <n v="1006.44"/>
  </r>
  <r>
    <x v="5"/>
    <x v="0"/>
    <x v="1"/>
    <x v="0"/>
    <x v="1"/>
    <x v="3"/>
    <x v="0"/>
    <x v="0"/>
    <x v="0"/>
    <x v="0"/>
    <x v="0"/>
    <x v="4"/>
    <s v="30"/>
    <x v="3"/>
    <x v="0"/>
    <x v="11"/>
    <x v="11"/>
    <n v="-780"/>
  </r>
  <r>
    <x v="5"/>
    <x v="0"/>
    <x v="1"/>
    <x v="0"/>
    <x v="1"/>
    <x v="3"/>
    <x v="0"/>
    <x v="0"/>
    <x v="0"/>
    <x v="0"/>
    <x v="0"/>
    <x v="4"/>
    <s v="30"/>
    <x v="3"/>
    <x v="0"/>
    <x v="11"/>
    <x v="3"/>
    <n v="85"/>
  </r>
  <r>
    <x v="5"/>
    <x v="0"/>
    <x v="1"/>
    <x v="0"/>
    <x v="1"/>
    <x v="3"/>
    <x v="0"/>
    <x v="0"/>
    <x v="0"/>
    <x v="0"/>
    <x v="0"/>
    <x v="4"/>
    <s v="30"/>
    <x v="3"/>
    <x v="0"/>
    <x v="11"/>
    <x v="7"/>
    <n v="-4393515"/>
  </r>
  <r>
    <x v="5"/>
    <x v="0"/>
    <x v="1"/>
    <x v="0"/>
    <x v="1"/>
    <x v="3"/>
    <x v="0"/>
    <x v="0"/>
    <x v="0"/>
    <x v="0"/>
    <x v="0"/>
    <x v="4"/>
    <s v="30"/>
    <x v="3"/>
    <x v="0"/>
    <x v="11"/>
    <x v="5"/>
    <n v="-207316.55"/>
  </r>
  <r>
    <x v="5"/>
    <x v="0"/>
    <x v="1"/>
    <x v="0"/>
    <x v="1"/>
    <x v="3"/>
    <x v="0"/>
    <x v="0"/>
    <x v="0"/>
    <x v="0"/>
    <x v="0"/>
    <x v="4"/>
    <s v="30"/>
    <x v="3"/>
    <x v="0"/>
    <x v="11"/>
    <x v="6"/>
    <n v="-30"/>
  </r>
  <r>
    <x v="5"/>
    <x v="0"/>
    <x v="1"/>
    <x v="0"/>
    <x v="1"/>
    <x v="3"/>
    <x v="0"/>
    <x v="0"/>
    <x v="0"/>
    <x v="0"/>
    <x v="0"/>
    <x v="4"/>
    <s v="30"/>
    <x v="3"/>
    <x v="0"/>
    <x v="11"/>
    <x v="1"/>
    <n v="-530850.44999999995"/>
  </r>
  <r>
    <x v="5"/>
    <x v="0"/>
    <x v="1"/>
    <x v="0"/>
    <x v="1"/>
    <x v="3"/>
    <x v="0"/>
    <x v="0"/>
    <x v="0"/>
    <x v="0"/>
    <x v="0"/>
    <x v="4"/>
    <s v="40"/>
    <x v="18"/>
    <x v="0"/>
    <x v="10"/>
    <x v="7"/>
    <n v="4641"/>
  </r>
  <r>
    <x v="5"/>
    <x v="0"/>
    <x v="1"/>
    <x v="0"/>
    <x v="1"/>
    <x v="3"/>
    <x v="0"/>
    <x v="0"/>
    <x v="0"/>
    <x v="0"/>
    <x v="0"/>
    <x v="4"/>
    <s v="40"/>
    <x v="18"/>
    <x v="0"/>
    <x v="10"/>
    <x v="1"/>
    <n v="-4641"/>
  </r>
  <r>
    <x v="5"/>
    <x v="0"/>
    <x v="1"/>
    <x v="0"/>
    <x v="1"/>
    <x v="3"/>
    <x v="0"/>
    <x v="0"/>
    <x v="0"/>
    <x v="0"/>
    <x v="0"/>
    <x v="4"/>
    <s v="40"/>
    <x v="18"/>
    <x v="0"/>
    <x v="11"/>
    <x v="11"/>
    <n v="4420.04"/>
  </r>
  <r>
    <x v="5"/>
    <x v="0"/>
    <x v="1"/>
    <x v="0"/>
    <x v="1"/>
    <x v="3"/>
    <x v="0"/>
    <x v="0"/>
    <x v="0"/>
    <x v="0"/>
    <x v="0"/>
    <x v="4"/>
    <s v="40"/>
    <x v="18"/>
    <x v="0"/>
    <x v="11"/>
    <x v="4"/>
    <n v="4242.66"/>
  </r>
  <r>
    <x v="5"/>
    <x v="0"/>
    <x v="1"/>
    <x v="0"/>
    <x v="1"/>
    <x v="3"/>
    <x v="0"/>
    <x v="0"/>
    <x v="0"/>
    <x v="0"/>
    <x v="0"/>
    <x v="4"/>
    <s v="40"/>
    <x v="18"/>
    <x v="0"/>
    <x v="11"/>
    <x v="6"/>
    <n v="5236.54"/>
  </r>
  <r>
    <x v="5"/>
    <x v="0"/>
    <x v="1"/>
    <x v="0"/>
    <x v="1"/>
    <x v="3"/>
    <x v="0"/>
    <x v="0"/>
    <x v="0"/>
    <x v="0"/>
    <x v="0"/>
    <x v="4"/>
    <s v="40"/>
    <x v="18"/>
    <x v="0"/>
    <x v="11"/>
    <x v="1"/>
    <n v="-13899.24"/>
  </r>
  <r>
    <x v="5"/>
    <x v="0"/>
    <x v="1"/>
    <x v="0"/>
    <x v="1"/>
    <x v="3"/>
    <x v="0"/>
    <x v="0"/>
    <x v="0"/>
    <x v="0"/>
    <x v="0"/>
    <x v="4"/>
    <s v="90"/>
    <x v="16"/>
    <x v="0"/>
    <x v="10"/>
    <x v="8"/>
    <n v="-0.01"/>
  </r>
  <r>
    <x v="5"/>
    <x v="0"/>
    <x v="1"/>
    <x v="0"/>
    <x v="1"/>
    <x v="3"/>
    <x v="0"/>
    <x v="0"/>
    <x v="0"/>
    <x v="0"/>
    <x v="0"/>
    <x v="4"/>
    <s v="90"/>
    <x v="16"/>
    <x v="0"/>
    <x v="10"/>
    <x v="9"/>
    <n v="0.01"/>
  </r>
  <r>
    <x v="5"/>
    <x v="0"/>
    <x v="1"/>
    <x v="0"/>
    <x v="1"/>
    <x v="3"/>
    <x v="0"/>
    <x v="0"/>
    <x v="0"/>
    <x v="0"/>
    <x v="0"/>
    <x v="4"/>
    <s v="90"/>
    <x v="16"/>
    <x v="0"/>
    <x v="10"/>
    <x v="7"/>
    <n v="12.85"/>
  </r>
  <r>
    <x v="5"/>
    <x v="0"/>
    <x v="1"/>
    <x v="0"/>
    <x v="1"/>
    <x v="3"/>
    <x v="0"/>
    <x v="0"/>
    <x v="0"/>
    <x v="0"/>
    <x v="0"/>
    <x v="4"/>
    <s v="90"/>
    <x v="16"/>
    <x v="0"/>
    <x v="10"/>
    <x v="5"/>
    <n v="-0.59"/>
  </r>
  <r>
    <x v="5"/>
    <x v="0"/>
    <x v="1"/>
    <x v="0"/>
    <x v="1"/>
    <x v="3"/>
    <x v="0"/>
    <x v="0"/>
    <x v="0"/>
    <x v="0"/>
    <x v="0"/>
    <x v="4"/>
    <s v="90"/>
    <x v="16"/>
    <x v="0"/>
    <x v="10"/>
    <x v="6"/>
    <n v="-66.31"/>
  </r>
  <r>
    <x v="5"/>
    <x v="0"/>
    <x v="1"/>
    <x v="0"/>
    <x v="1"/>
    <x v="3"/>
    <x v="0"/>
    <x v="0"/>
    <x v="0"/>
    <x v="0"/>
    <x v="0"/>
    <x v="4"/>
    <s v="90"/>
    <x v="16"/>
    <x v="0"/>
    <x v="10"/>
    <x v="1"/>
    <n v="54.05"/>
  </r>
  <r>
    <x v="5"/>
    <x v="0"/>
    <x v="1"/>
    <x v="0"/>
    <x v="1"/>
    <x v="3"/>
    <x v="0"/>
    <x v="0"/>
    <x v="0"/>
    <x v="0"/>
    <x v="0"/>
    <x v="4"/>
    <s v="90"/>
    <x v="16"/>
    <x v="0"/>
    <x v="11"/>
    <x v="8"/>
    <n v="-45.06"/>
  </r>
  <r>
    <x v="5"/>
    <x v="0"/>
    <x v="1"/>
    <x v="0"/>
    <x v="1"/>
    <x v="3"/>
    <x v="0"/>
    <x v="0"/>
    <x v="0"/>
    <x v="0"/>
    <x v="0"/>
    <x v="4"/>
    <s v="90"/>
    <x v="16"/>
    <x v="0"/>
    <x v="11"/>
    <x v="4"/>
    <n v="-49"/>
  </r>
  <r>
    <x v="5"/>
    <x v="0"/>
    <x v="1"/>
    <x v="0"/>
    <x v="1"/>
    <x v="3"/>
    <x v="0"/>
    <x v="0"/>
    <x v="0"/>
    <x v="0"/>
    <x v="0"/>
    <x v="4"/>
    <s v="90"/>
    <x v="16"/>
    <x v="0"/>
    <x v="11"/>
    <x v="5"/>
    <n v="10"/>
  </r>
  <r>
    <x v="5"/>
    <x v="0"/>
    <x v="1"/>
    <x v="0"/>
    <x v="1"/>
    <x v="3"/>
    <x v="0"/>
    <x v="0"/>
    <x v="0"/>
    <x v="0"/>
    <x v="0"/>
    <x v="4"/>
    <s v="90"/>
    <x v="16"/>
    <x v="0"/>
    <x v="11"/>
    <x v="6"/>
    <n v="-0.91"/>
  </r>
  <r>
    <x v="5"/>
    <x v="0"/>
    <x v="1"/>
    <x v="0"/>
    <x v="1"/>
    <x v="3"/>
    <x v="0"/>
    <x v="0"/>
    <x v="0"/>
    <x v="0"/>
    <x v="0"/>
    <x v="4"/>
    <s v="90"/>
    <x v="16"/>
    <x v="0"/>
    <x v="11"/>
    <x v="1"/>
    <n v="84.97"/>
  </r>
  <r>
    <x v="5"/>
    <x v="0"/>
    <x v="1"/>
    <x v="0"/>
    <x v="1"/>
    <x v="3"/>
    <x v="0"/>
    <x v="0"/>
    <x v="0"/>
    <x v="0"/>
    <x v="0"/>
    <x v="4"/>
    <s v="99"/>
    <x v="9"/>
    <x v="0"/>
    <x v="10"/>
    <x v="0"/>
    <n v="11370.93"/>
  </r>
  <r>
    <x v="5"/>
    <x v="0"/>
    <x v="1"/>
    <x v="0"/>
    <x v="1"/>
    <x v="3"/>
    <x v="0"/>
    <x v="0"/>
    <x v="0"/>
    <x v="0"/>
    <x v="0"/>
    <x v="4"/>
    <s v="99"/>
    <x v="9"/>
    <x v="0"/>
    <x v="10"/>
    <x v="2"/>
    <n v="2442.23"/>
  </r>
  <r>
    <x v="5"/>
    <x v="0"/>
    <x v="1"/>
    <x v="0"/>
    <x v="1"/>
    <x v="3"/>
    <x v="0"/>
    <x v="0"/>
    <x v="0"/>
    <x v="0"/>
    <x v="0"/>
    <x v="4"/>
    <s v="99"/>
    <x v="9"/>
    <x v="0"/>
    <x v="10"/>
    <x v="8"/>
    <n v="-321.7"/>
  </r>
  <r>
    <x v="5"/>
    <x v="0"/>
    <x v="1"/>
    <x v="0"/>
    <x v="1"/>
    <x v="3"/>
    <x v="0"/>
    <x v="0"/>
    <x v="0"/>
    <x v="0"/>
    <x v="0"/>
    <x v="4"/>
    <s v="99"/>
    <x v="9"/>
    <x v="0"/>
    <x v="10"/>
    <x v="9"/>
    <n v="18342.759999999998"/>
  </r>
  <r>
    <x v="5"/>
    <x v="0"/>
    <x v="1"/>
    <x v="0"/>
    <x v="1"/>
    <x v="3"/>
    <x v="0"/>
    <x v="0"/>
    <x v="0"/>
    <x v="0"/>
    <x v="0"/>
    <x v="4"/>
    <s v="99"/>
    <x v="9"/>
    <x v="0"/>
    <x v="10"/>
    <x v="10"/>
    <n v="-18352.759999999998"/>
  </r>
  <r>
    <x v="5"/>
    <x v="0"/>
    <x v="1"/>
    <x v="0"/>
    <x v="1"/>
    <x v="3"/>
    <x v="0"/>
    <x v="0"/>
    <x v="0"/>
    <x v="0"/>
    <x v="0"/>
    <x v="4"/>
    <s v="99"/>
    <x v="9"/>
    <x v="0"/>
    <x v="10"/>
    <x v="11"/>
    <n v="55.7"/>
  </r>
  <r>
    <x v="5"/>
    <x v="0"/>
    <x v="1"/>
    <x v="0"/>
    <x v="1"/>
    <x v="3"/>
    <x v="0"/>
    <x v="0"/>
    <x v="0"/>
    <x v="0"/>
    <x v="0"/>
    <x v="4"/>
    <s v="99"/>
    <x v="9"/>
    <x v="0"/>
    <x v="10"/>
    <x v="3"/>
    <n v="-625.87"/>
  </r>
  <r>
    <x v="5"/>
    <x v="0"/>
    <x v="1"/>
    <x v="0"/>
    <x v="1"/>
    <x v="3"/>
    <x v="0"/>
    <x v="0"/>
    <x v="0"/>
    <x v="0"/>
    <x v="0"/>
    <x v="4"/>
    <s v="99"/>
    <x v="9"/>
    <x v="0"/>
    <x v="10"/>
    <x v="4"/>
    <n v="2762.55"/>
  </r>
  <r>
    <x v="5"/>
    <x v="0"/>
    <x v="1"/>
    <x v="0"/>
    <x v="1"/>
    <x v="3"/>
    <x v="0"/>
    <x v="0"/>
    <x v="0"/>
    <x v="0"/>
    <x v="0"/>
    <x v="4"/>
    <s v="99"/>
    <x v="9"/>
    <x v="0"/>
    <x v="10"/>
    <x v="7"/>
    <n v="285.19"/>
  </r>
  <r>
    <x v="5"/>
    <x v="0"/>
    <x v="1"/>
    <x v="0"/>
    <x v="1"/>
    <x v="3"/>
    <x v="0"/>
    <x v="0"/>
    <x v="0"/>
    <x v="0"/>
    <x v="0"/>
    <x v="4"/>
    <s v="99"/>
    <x v="9"/>
    <x v="0"/>
    <x v="10"/>
    <x v="5"/>
    <n v="700"/>
  </r>
  <r>
    <x v="5"/>
    <x v="0"/>
    <x v="1"/>
    <x v="0"/>
    <x v="1"/>
    <x v="3"/>
    <x v="0"/>
    <x v="0"/>
    <x v="0"/>
    <x v="0"/>
    <x v="0"/>
    <x v="4"/>
    <s v="99"/>
    <x v="9"/>
    <x v="0"/>
    <x v="10"/>
    <x v="6"/>
    <n v="8860.1299999999992"/>
  </r>
  <r>
    <x v="5"/>
    <x v="0"/>
    <x v="1"/>
    <x v="0"/>
    <x v="1"/>
    <x v="3"/>
    <x v="0"/>
    <x v="0"/>
    <x v="0"/>
    <x v="0"/>
    <x v="0"/>
    <x v="4"/>
    <s v="99"/>
    <x v="9"/>
    <x v="0"/>
    <x v="10"/>
    <x v="1"/>
    <n v="-25519.16"/>
  </r>
  <r>
    <x v="5"/>
    <x v="0"/>
    <x v="1"/>
    <x v="0"/>
    <x v="1"/>
    <x v="3"/>
    <x v="0"/>
    <x v="0"/>
    <x v="0"/>
    <x v="0"/>
    <x v="0"/>
    <x v="4"/>
    <s v="99"/>
    <x v="9"/>
    <x v="0"/>
    <x v="11"/>
    <x v="0"/>
    <n v="853.29"/>
  </r>
  <r>
    <x v="5"/>
    <x v="0"/>
    <x v="1"/>
    <x v="0"/>
    <x v="1"/>
    <x v="3"/>
    <x v="0"/>
    <x v="0"/>
    <x v="0"/>
    <x v="0"/>
    <x v="0"/>
    <x v="4"/>
    <s v="99"/>
    <x v="9"/>
    <x v="0"/>
    <x v="11"/>
    <x v="2"/>
    <n v="4182.1899999999996"/>
  </r>
  <r>
    <x v="5"/>
    <x v="0"/>
    <x v="1"/>
    <x v="0"/>
    <x v="1"/>
    <x v="3"/>
    <x v="0"/>
    <x v="0"/>
    <x v="0"/>
    <x v="0"/>
    <x v="0"/>
    <x v="4"/>
    <s v="99"/>
    <x v="9"/>
    <x v="0"/>
    <x v="11"/>
    <x v="9"/>
    <n v="102.32"/>
  </r>
  <r>
    <x v="5"/>
    <x v="0"/>
    <x v="1"/>
    <x v="0"/>
    <x v="1"/>
    <x v="3"/>
    <x v="0"/>
    <x v="0"/>
    <x v="0"/>
    <x v="0"/>
    <x v="0"/>
    <x v="4"/>
    <s v="99"/>
    <x v="9"/>
    <x v="0"/>
    <x v="11"/>
    <x v="11"/>
    <n v="100"/>
  </r>
  <r>
    <x v="5"/>
    <x v="0"/>
    <x v="1"/>
    <x v="0"/>
    <x v="1"/>
    <x v="3"/>
    <x v="0"/>
    <x v="0"/>
    <x v="0"/>
    <x v="0"/>
    <x v="0"/>
    <x v="4"/>
    <s v="99"/>
    <x v="9"/>
    <x v="0"/>
    <x v="11"/>
    <x v="3"/>
    <n v="486.06"/>
  </r>
  <r>
    <x v="5"/>
    <x v="0"/>
    <x v="1"/>
    <x v="0"/>
    <x v="1"/>
    <x v="3"/>
    <x v="0"/>
    <x v="0"/>
    <x v="0"/>
    <x v="0"/>
    <x v="0"/>
    <x v="4"/>
    <s v="99"/>
    <x v="9"/>
    <x v="0"/>
    <x v="11"/>
    <x v="4"/>
    <n v="101.39"/>
  </r>
  <r>
    <x v="5"/>
    <x v="0"/>
    <x v="1"/>
    <x v="0"/>
    <x v="1"/>
    <x v="3"/>
    <x v="0"/>
    <x v="0"/>
    <x v="0"/>
    <x v="0"/>
    <x v="0"/>
    <x v="4"/>
    <s v="99"/>
    <x v="9"/>
    <x v="0"/>
    <x v="11"/>
    <x v="7"/>
    <n v="854.05"/>
  </r>
  <r>
    <x v="5"/>
    <x v="0"/>
    <x v="1"/>
    <x v="0"/>
    <x v="1"/>
    <x v="3"/>
    <x v="0"/>
    <x v="0"/>
    <x v="0"/>
    <x v="0"/>
    <x v="0"/>
    <x v="4"/>
    <s v="99"/>
    <x v="9"/>
    <x v="0"/>
    <x v="11"/>
    <x v="5"/>
    <n v="-139"/>
  </r>
  <r>
    <x v="5"/>
    <x v="0"/>
    <x v="1"/>
    <x v="0"/>
    <x v="1"/>
    <x v="3"/>
    <x v="0"/>
    <x v="0"/>
    <x v="0"/>
    <x v="0"/>
    <x v="0"/>
    <x v="4"/>
    <s v="99"/>
    <x v="9"/>
    <x v="0"/>
    <x v="11"/>
    <x v="6"/>
    <n v="-3776.32"/>
  </r>
  <r>
    <x v="5"/>
    <x v="0"/>
    <x v="1"/>
    <x v="0"/>
    <x v="1"/>
    <x v="3"/>
    <x v="0"/>
    <x v="0"/>
    <x v="0"/>
    <x v="0"/>
    <x v="0"/>
    <x v="4"/>
    <s v="99"/>
    <x v="9"/>
    <x v="0"/>
    <x v="11"/>
    <x v="1"/>
    <n v="-2087.1"/>
  </r>
  <r>
    <x v="5"/>
    <x v="0"/>
    <x v="1"/>
    <x v="0"/>
    <x v="1"/>
    <x v="3"/>
    <x v="0"/>
    <x v="0"/>
    <x v="0"/>
    <x v="0"/>
    <x v="4"/>
    <x v="5"/>
    <s v="21"/>
    <x v="27"/>
    <x v="0"/>
    <x v="10"/>
    <x v="9"/>
    <n v="35439"/>
  </r>
  <r>
    <x v="5"/>
    <x v="0"/>
    <x v="1"/>
    <x v="0"/>
    <x v="1"/>
    <x v="3"/>
    <x v="0"/>
    <x v="0"/>
    <x v="0"/>
    <x v="0"/>
    <x v="4"/>
    <x v="5"/>
    <s v="21"/>
    <x v="27"/>
    <x v="0"/>
    <x v="10"/>
    <x v="10"/>
    <n v="-25255.4"/>
  </r>
  <r>
    <x v="5"/>
    <x v="0"/>
    <x v="1"/>
    <x v="0"/>
    <x v="1"/>
    <x v="3"/>
    <x v="0"/>
    <x v="0"/>
    <x v="0"/>
    <x v="0"/>
    <x v="4"/>
    <x v="5"/>
    <s v="21"/>
    <x v="27"/>
    <x v="0"/>
    <x v="10"/>
    <x v="11"/>
    <n v="45936.6"/>
  </r>
  <r>
    <x v="5"/>
    <x v="0"/>
    <x v="1"/>
    <x v="0"/>
    <x v="1"/>
    <x v="3"/>
    <x v="0"/>
    <x v="0"/>
    <x v="0"/>
    <x v="0"/>
    <x v="4"/>
    <x v="5"/>
    <s v="21"/>
    <x v="27"/>
    <x v="0"/>
    <x v="10"/>
    <x v="3"/>
    <n v="-391000"/>
  </r>
  <r>
    <x v="5"/>
    <x v="0"/>
    <x v="1"/>
    <x v="0"/>
    <x v="1"/>
    <x v="3"/>
    <x v="0"/>
    <x v="0"/>
    <x v="0"/>
    <x v="0"/>
    <x v="4"/>
    <x v="5"/>
    <s v="21"/>
    <x v="27"/>
    <x v="0"/>
    <x v="10"/>
    <x v="4"/>
    <n v="391000"/>
  </r>
  <r>
    <x v="5"/>
    <x v="0"/>
    <x v="1"/>
    <x v="0"/>
    <x v="1"/>
    <x v="3"/>
    <x v="0"/>
    <x v="0"/>
    <x v="0"/>
    <x v="0"/>
    <x v="4"/>
    <x v="5"/>
    <s v="21"/>
    <x v="27"/>
    <x v="0"/>
    <x v="10"/>
    <x v="5"/>
    <n v="-56120.2"/>
  </r>
  <r>
    <x v="5"/>
    <x v="0"/>
    <x v="1"/>
    <x v="0"/>
    <x v="1"/>
    <x v="3"/>
    <x v="0"/>
    <x v="0"/>
    <x v="0"/>
    <x v="0"/>
    <x v="4"/>
    <x v="5"/>
    <s v="21"/>
    <x v="27"/>
    <x v="0"/>
    <x v="11"/>
    <x v="11"/>
    <n v="54252.959999999999"/>
  </r>
  <r>
    <x v="5"/>
    <x v="0"/>
    <x v="1"/>
    <x v="0"/>
    <x v="1"/>
    <x v="3"/>
    <x v="0"/>
    <x v="0"/>
    <x v="0"/>
    <x v="0"/>
    <x v="4"/>
    <x v="5"/>
    <s v="21"/>
    <x v="27"/>
    <x v="0"/>
    <x v="11"/>
    <x v="5"/>
    <n v="-54252.959999999999"/>
  </r>
  <r>
    <x v="5"/>
    <x v="0"/>
    <x v="1"/>
    <x v="0"/>
    <x v="1"/>
    <x v="3"/>
    <x v="0"/>
    <x v="0"/>
    <x v="0"/>
    <x v="0"/>
    <x v="4"/>
    <x v="5"/>
    <s v="22"/>
    <x v="25"/>
    <x v="0"/>
    <x v="10"/>
    <x v="2"/>
    <n v="15"/>
  </r>
  <r>
    <x v="5"/>
    <x v="0"/>
    <x v="1"/>
    <x v="0"/>
    <x v="1"/>
    <x v="3"/>
    <x v="0"/>
    <x v="0"/>
    <x v="0"/>
    <x v="0"/>
    <x v="4"/>
    <x v="5"/>
    <s v="22"/>
    <x v="25"/>
    <x v="0"/>
    <x v="10"/>
    <x v="8"/>
    <n v="-15"/>
  </r>
  <r>
    <x v="5"/>
    <x v="0"/>
    <x v="1"/>
    <x v="0"/>
    <x v="1"/>
    <x v="3"/>
    <x v="0"/>
    <x v="0"/>
    <x v="0"/>
    <x v="0"/>
    <x v="4"/>
    <x v="5"/>
    <s v="22"/>
    <x v="25"/>
    <x v="0"/>
    <x v="11"/>
    <x v="9"/>
    <n v="590.22"/>
  </r>
  <r>
    <x v="5"/>
    <x v="0"/>
    <x v="1"/>
    <x v="0"/>
    <x v="1"/>
    <x v="3"/>
    <x v="0"/>
    <x v="0"/>
    <x v="0"/>
    <x v="0"/>
    <x v="4"/>
    <x v="5"/>
    <s v="22"/>
    <x v="25"/>
    <x v="0"/>
    <x v="11"/>
    <x v="10"/>
    <n v="-31287.22"/>
  </r>
  <r>
    <x v="5"/>
    <x v="0"/>
    <x v="1"/>
    <x v="0"/>
    <x v="1"/>
    <x v="3"/>
    <x v="0"/>
    <x v="0"/>
    <x v="0"/>
    <x v="0"/>
    <x v="4"/>
    <x v="5"/>
    <s v="22"/>
    <x v="25"/>
    <x v="0"/>
    <x v="11"/>
    <x v="11"/>
    <n v="-6430.26"/>
  </r>
  <r>
    <x v="5"/>
    <x v="0"/>
    <x v="1"/>
    <x v="0"/>
    <x v="1"/>
    <x v="3"/>
    <x v="0"/>
    <x v="0"/>
    <x v="0"/>
    <x v="0"/>
    <x v="4"/>
    <x v="5"/>
    <s v="22"/>
    <x v="25"/>
    <x v="0"/>
    <x v="11"/>
    <x v="4"/>
    <n v="6430.26"/>
  </r>
  <r>
    <x v="5"/>
    <x v="0"/>
    <x v="1"/>
    <x v="0"/>
    <x v="1"/>
    <x v="3"/>
    <x v="0"/>
    <x v="0"/>
    <x v="0"/>
    <x v="0"/>
    <x v="4"/>
    <x v="5"/>
    <s v="22"/>
    <x v="25"/>
    <x v="0"/>
    <x v="11"/>
    <x v="1"/>
    <n v="30697"/>
  </r>
  <r>
    <x v="5"/>
    <x v="0"/>
    <x v="1"/>
    <x v="0"/>
    <x v="1"/>
    <x v="3"/>
    <x v="0"/>
    <x v="0"/>
    <x v="0"/>
    <x v="0"/>
    <x v="4"/>
    <x v="5"/>
    <s v="90"/>
    <x v="36"/>
    <x v="0"/>
    <x v="11"/>
    <x v="7"/>
    <n v="-319178"/>
  </r>
  <r>
    <x v="5"/>
    <x v="0"/>
    <x v="1"/>
    <x v="0"/>
    <x v="1"/>
    <x v="3"/>
    <x v="0"/>
    <x v="0"/>
    <x v="0"/>
    <x v="0"/>
    <x v="4"/>
    <x v="5"/>
    <s v="90"/>
    <x v="36"/>
    <x v="0"/>
    <x v="11"/>
    <x v="1"/>
    <n v="319178"/>
  </r>
  <r>
    <x v="5"/>
    <x v="0"/>
    <x v="1"/>
    <x v="0"/>
    <x v="1"/>
    <x v="3"/>
    <x v="0"/>
    <x v="0"/>
    <x v="0"/>
    <x v="0"/>
    <x v="5"/>
    <x v="6"/>
    <s v="40"/>
    <x v="26"/>
    <x v="0"/>
    <x v="10"/>
    <x v="10"/>
    <n v="276.10000000000002"/>
  </r>
  <r>
    <x v="5"/>
    <x v="0"/>
    <x v="1"/>
    <x v="0"/>
    <x v="1"/>
    <x v="3"/>
    <x v="0"/>
    <x v="0"/>
    <x v="0"/>
    <x v="0"/>
    <x v="5"/>
    <x v="6"/>
    <s v="40"/>
    <x v="26"/>
    <x v="0"/>
    <x v="10"/>
    <x v="3"/>
    <n v="-276.10000000000002"/>
  </r>
  <r>
    <x v="5"/>
    <x v="0"/>
    <x v="1"/>
    <x v="0"/>
    <x v="1"/>
    <x v="3"/>
    <x v="0"/>
    <x v="0"/>
    <x v="0"/>
    <x v="0"/>
    <x v="5"/>
    <x v="6"/>
    <s v="40"/>
    <x v="26"/>
    <x v="0"/>
    <x v="11"/>
    <x v="5"/>
    <n v="50"/>
  </r>
  <r>
    <x v="5"/>
    <x v="0"/>
    <x v="1"/>
    <x v="0"/>
    <x v="1"/>
    <x v="3"/>
    <x v="0"/>
    <x v="0"/>
    <x v="0"/>
    <x v="0"/>
    <x v="5"/>
    <x v="6"/>
    <s v="40"/>
    <x v="26"/>
    <x v="0"/>
    <x v="11"/>
    <x v="1"/>
    <n v="-50"/>
  </r>
  <r>
    <x v="6"/>
    <x v="0"/>
    <x v="0"/>
    <x v="0"/>
    <x v="1"/>
    <x v="0"/>
    <x v="0"/>
    <x v="0"/>
    <x v="0"/>
    <x v="0"/>
    <x v="0"/>
    <x v="4"/>
    <s v="09"/>
    <x v="0"/>
    <x v="1"/>
    <x v="12"/>
    <x v="0"/>
    <n v="-4975.01"/>
  </r>
  <r>
    <x v="6"/>
    <x v="0"/>
    <x v="0"/>
    <x v="0"/>
    <x v="1"/>
    <x v="0"/>
    <x v="0"/>
    <x v="0"/>
    <x v="0"/>
    <x v="0"/>
    <x v="0"/>
    <x v="4"/>
    <s v="09"/>
    <x v="0"/>
    <x v="1"/>
    <x v="12"/>
    <x v="1"/>
    <n v="53329.5"/>
  </r>
  <r>
    <x v="6"/>
    <x v="0"/>
    <x v="0"/>
    <x v="0"/>
    <x v="1"/>
    <x v="0"/>
    <x v="0"/>
    <x v="0"/>
    <x v="0"/>
    <x v="0"/>
    <x v="0"/>
    <x v="4"/>
    <s v="09"/>
    <x v="0"/>
    <x v="1"/>
    <x v="13"/>
    <x v="0"/>
    <n v="-53329.5"/>
  </r>
  <r>
    <x v="6"/>
    <x v="0"/>
    <x v="0"/>
    <x v="0"/>
    <x v="1"/>
    <x v="0"/>
    <x v="0"/>
    <x v="0"/>
    <x v="0"/>
    <x v="0"/>
    <x v="0"/>
    <x v="4"/>
    <s v="09"/>
    <x v="0"/>
    <x v="1"/>
    <x v="13"/>
    <x v="1"/>
    <n v="28446.84"/>
  </r>
  <r>
    <x v="6"/>
    <x v="0"/>
    <x v="0"/>
    <x v="0"/>
    <x v="1"/>
    <x v="0"/>
    <x v="0"/>
    <x v="0"/>
    <x v="0"/>
    <x v="0"/>
    <x v="0"/>
    <x v="4"/>
    <s v="20"/>
    <x v="7"/>
    <x v="1"/>
    <x v="12"/>
    <x v="0"/>
    <n v="765.87"/>
  </r>
  <r>
    <x v="6"/>
    <x v="0"/>
    <x v="0"/>
    <x v="0"/>
    <x v="1"/>
    <x v="0"/>
    <x v="0"/>
    <x v="0"/>
    <x v="0"/>
    <x v="0"/>
    <x v="0"/>
    <x v="4"/>
    <s v="20"/>
    <x v="7"/>
    <x v="1"/>
    <x v="12"/>
    <x v="1"/>
    <n v="99.6"/>
  </r>
  <r>
    <x v="6"/>
    <x v="0"/>
    <x v="0"/>
    <x v="0"/>
    <x v="1"/>
    <x v="0"/>
    <x v="0"/>
    <x v="0"/>
    <x v="0"/>
    <x v="0"/>
    <x v="0"/>
    <x v="4"/>
    <s v="20"/>
    <x v="7"/>
    <x v="1"/>
    <x v="13"/>
    <x v="0"/>
    <n v="-99.6"/>
  </r>
  <r>
    <x v="6"/>
    <x v="0"/>
    <x v="0"/>
    <x v="0"/>
    <x v="1"/>
    <x v="0"/>
    <x v="0"/>
    <x v="0"/>
    <x v="0"/>
    <x v="0"/>
    <x v="0"/>
    <x v="4"/>
    <s v="24"/>
    <x v="1"/>
    <x v="1"/>
    <x v="12"/>
    <x v="0"/>
    <n v="-1257120.47"/>
  </r>
  <r>
    <x v="6"/>
    <x v="0"/>
    <x v="0"/>
    <x v="0"/>
    <x v="1"/>
    <x v="0"/>
    <x v="0"/>
    <x v="0"/>
    <x v="0"/>
    <x v="0"/>
    <x v="0"/>
    <x v="4"/>
    <s v="24"/>
    <x v="1"/>
    <x v="1"/>
    <x v="12"/>
    <x v="1"/>
    <n v="1229245.21"/>
  </r>
  <r>
    <x v="6"/>
    <x v="0"/>
    <x v="0"/>
    <x v="0"/>
    <x v="1"/>
    <x v="0"/>
    <x v="0"/>
    <x v="0"/>
    <x v="0"/>
    <x v="0"/>
    <x v="0"/>
    <x v="4"/>
    <s v="24"/>
    <x v="1"/>
    <x v="1"/>
    <x v="13"/>
    <x v="0"/>
    <n v="-1484610.77"/>
  </r>
  <r>
    <x v="6"/>
    <x v="0"/>
    <x v="0"/>
    <x v="0"/>
    <x v="1"/>
    <x v="0"/>
    <x v="0"/>
    <x v="0"/>
    <x v="0"/>
    <x v="0"/>
    <x v="0"/>
    <x v="4"/>
    <s v="24"/>
    <x v="1"/>
    <x v="1"/>
    <x v="13"/>
    <x v="1"/>
    <n v="-1301955.02"/>
  </r>
  <r>
    <x v="6"/>
    <x v="0"/>
    <x v="0"/>
    <x v="0"/>
    <x v="1"/>
    <x v="0"/>
    <x v="0"/>
    <x v="0"/>
    <x v="0"/>
    <x v="0"/>
    <x v="0"/>
    <x v="4"/>
    <s v="30"/>
    <x v="3"/>
    <x v="1"/>
    <x v="13"/>
    <x v="1"/>
    <n v="3025623.18"/>
  </r>
  <r>
    <x v="6"/>
    <x v="0"/>
    <x v="0"/>
    <x v="0"/>
    <x v="1"/>
    <x v="0"/>
    <x v="0"/>
    <x v="0"/>
    <x v="0"/>
    <x v="0"/>
    <x v="0"/>
    <x v="4"/>
    <s v="73"/>
    <x v="37"/>
    <x v="1"/>
    <x v="12"/>
    <x v="0"/>
    <n v="4496.8500000000004"/>
  </r>
  <r>
    <x v="6"/>
    <x v="0"/>
    <x v="0"/>
    <x v="0"/>
    <x v="1"/>
    <x v="0"/>
    <x v="0"/>
    <x v="0"/>
    <x v="0"/>
    <x v="0"/>
    <x v="0"/>
    <x v="4"/>
    <s v="73"/>
    <x v="37"/>
    <x v="1"/>
    <x v="12"/>
    <x v="1"/>
    <n v="-10775.42"/>
  </r>
  <r>
    <x v="6"/>
    <x v="0"/>
    <x v="0"/>
    <x v="0"/>
    <x v="1"/>
    <x v="0"/>
    <x v="0"/>
    <x v="0"/>
    <x v="0"/>
    <x v="0"/>
    <x v="0"/>
    <x v="4"/>
    <s v="73"/>
    <x v="37"/>
    <x v="1"/>
    <x v="13"/>
    <x v="0"/>
    <n v="10775.42"/>
  </r>
  <r>
    <x v="6"/>
    <x v="0"/>
    <x v="0"/>
    <x v="0"/>
    <x v="1"/>
    <x v="0"/>
    <x v="0"/>
    <x v="0"/>
    <x v="0"/>
    <x v="0"/>
    <x v="0"/>
    <x v="4"/>
    <s v="73"/>
    <x v="37"/>
    <x v="1"/>
    <x v="13"/>
    <x v="1"/>
    <n v="-11199.87"/>
  </r>
  <r>
    <x v="6"/>
    <x v="0"/>
    <x v="0"/>
    <x v="0"/>
    <x v="1"/>
    <x v="0"/>
    <x v="0"/>
    <x v="0"/>
    <x v="0"/>
    <x v="0"/>
    <x v="0"/>
    <x v="4"/>
    <s v="99"/>
    <x v="9"/>
    <x v="1"/>
    <x v="12"/>
    <x v="0"/>
    <n v="18117.45"/>
  </r>
  <r>
    <x v="6"/>
    <x v="0"/>
    <x v="0"/>
    <x v="0"/>
    <x v="1"/>
    <x v="0"/>
    <x v="0"/>
    <x v="0"/>
    <x v="0"/>
    <x v="0"/>
    <x v="4"/>
    <x v="5"/>
    <s v="21"/>
    <x v="27"/>
    <x v="1"/>
    <x v="12"/>
    <x v="1"/>
    <n v="6000"/>
  </r>
  <r>
    <x v="6"/>
    <x v="0"/>
    <x v="0"/>
    <x v="0"/>
    <x v="1"/>
    <x v="0"/>
    <x v="0"/>
    <x v="0"/>
    <x v="0"/>
    <x v="0"/>
    <x v="4"/>
    <x v="5"/>
    <s v="21"/>
    <x v="27"/>
    <x v="1"/>
    <x v="13"/>
    <x v="0"/>
    <n v="-6000"/>
  </r>
  <r>
    <x v="6"/>
    <x v="0"/>
    <x v="0"/>
    <x v="0"/>
    <x v="1"/>
    <x v="0"/>
    <x v="0"/>
    <x v="0"/>
    <x v="0"/>
    <x v="0"/>
    <x v="4"/>
    <x v="5"/>
    <s v="22"/>
    <x v="25"/>
    <x v="1"/>
    <x v="12"/>
    <x v="0"/>
    <n v="30"/>
  </r>
  <r>
    <x v="6"/>
    <x v="0"/>
    <x v="0"/>
    <x v="0"/>
    <x v="1"/>
    <x v="6"/>
    <x v="0"/>
    <x v="0"/>
    <x v="0"/>
    <x v="0"/>
    <x v="0"/>
    <x v="4"/>
    <s v="24"/>
    <x v="1"/>
    <x v="1"/>
    <x v="12"/>
    <x v="5"/>
    <n v="-5855.35"/>
  </r>
  <r>
    <x v="6"/>
    <x v="0"/>
    <x v="0"/>
    <x v="0"/>
    <x v="1"/>
    <x v="6"/>
    <x v="5"/>
    <x v="0"/>
    <x v="0"/>
    <x v="0"/>
    <x v="0"/>
    <x v="4"/>
    <s v="99"/>
    <x v="9"/>
    <x v="1"/>
    <x v="12"/>
    <x v="3"/>
    <n v="-1654.48"/>
  </r>
  <r>
    <x v="6"/>
    <x v="0"/>
    <x v="0"/>
    <x v="0"/>
    <x v="1"/>
    <x v="6"/>
    <x v="3"/>
    <x v="0"/>
    <x v="0"/>
    <x v="0"/>
    <x v="0"/>
    <x v="4"/>
    <s v="05"/>
    <x v="38"/>
    <x v="1"/>
    <x v="13"/>
    <x v="9"/>
    <n v="1770.17"/>
  </r>
  <r>
    <x v="6"/>
    <x v="0"/>
    <x v="0"/>
    <x v="0"/>
    <x v="1"/>
    <x v="6"/>
    <x v="4"/>
    <x v="0"/>
    <x v="0"/>
    <x v="0"/>
    <x v="0"/>
    <x v="4"/>
    <s v="24"/>
    <x v="1"/>
    <x v="1"/>
    <x v="12"/>
    <x v="1"/>
    <n v="-12727.19"/>
  </r>
  <r>
    <x v="6"/>
    <x v="0"/>
    <x v="0"/>
    <x v="0"/>
    <x v="1"/>
    <x v="6"/>
    <x v="4"/>
    <x v="0"/>
    <x v="0"/>
    <x v="0"/>
    <x v="0"/>
    <x v="4"/>
    <s v="24"/>
    <x v="1"/>
    <x v="1"/>
    <x v="13"/>
    <x v="0"/>
    <n v="7525.6"/>
  </r>
  <r>
    <x v="6"/>
    <x v="0"/>
    <x v="0"/>
    <x v="0"/>
    <x v="1"/>
    <x v="6"/>
    <x v="4"/>
    <x v="0"/>
    <x v="0"/>
    <x v="0"/>
    <x v="0"/>
    <x v="4"/>
    <s v="24"/>
    <x v="1"/>
    <x v="1"/>
    <x v="13"/>
    <x v="2"/>
    <n v="220909.01"/>
  </r>
  <r>
    <x v="6"/>
    <x v="0"/>
    <x v="0"/>
    <x v="0"/>
    <x v="1"/>
    <x v="6"/>
    <x v="4"/>
    <x v="0"/>
    <x v="0"/>
    <x v="0"/>
    <x v="0"/>
    <x v="4"/>
    <s v="24"/>
    <x v="1"/>
    <x v="1"/>
    <x v="13"/>
    <x v="8"/>
    <n v="13087104.789999999"/>
  </r>
  <r>
    <x v="6"/>
    <x v="0"/>
    <x v="0"/>
    <x v="0"/>
    <x v="1"/>
    <x v="6"/>
    <x v="4"/>
    <x v="0"/>
    <x v="0"/>
    <x v="0"/>
    <x v="0"/>
    <x v="4"/>
    <s v="24"/>
    <x v="1"/>
    <x v="1"/>
    <x v="13"/>
    <x v="9"/>
    <n v="-122961.27"/>
  </r>
  <r>
    <x v="6"/>
    <x v="0"/>
    <x v="0"/>
    <x v="0"/>
    <x v="1"/>
    <x v="6"/>
    <x v="4"/>
    <x v="0"/>
    <x v="0"/>
    <x v="0"/>
    <x v="5"/>
    <x v="6"/>
    <s v="40"/>
    <x v="26"/>
    <x v="1"/>
    <x v="12"/>
    <x v="1"/>
    <n v="17243.09"/>
  </r>
  <r>
    <x v="6"/>
    <x v="0"/>
    <x v="0"/>
    <x v="0"/>
    <x v="1"/>
    <x v="6"/>
    <x v="4"/>
    <x v="0"/>
    <x v="0"/>
    <x v="0"/>
    <x v="5"/>
    <x v="6"/>
    <s v="40"/>
    <x v="26"/>
    <x v="1"/>
    <x v="13"/>
    <x v="0"/>
    <n v="38341.29"/>
  </r>
  <r>
    <x v="6"/>
    <x v="0"/>
    <x v="0"/>
    <x v="0"/>
    <x v="1"/>
    <x v="6"/>
    <x v="4"/>
    <x v="0"/>
    <x v="0"/>
    <x v="0"/>
    <x v="5"/>
    <x v="6"/>
    <s v="40"/>
    <x v="26"/>
    <x v="1"/>
    <x v="13"/>
    <x v="2"/>
    <n v="10767.83"/>
  </r>
  <r>
    <x v="6"/>
    <x v="0"/>
    <x v="0"/>
    <x v="0"/>
    <x v="1"/>
    <x v="6"/>
    <x v="4"/>
    <x v="0"/>
    <x v="0"/>
    <x v="0"/>
    <x v="5"/>
    <x v="6"/>
    <s v="40"/>
    <x v="26"/>
    <x v="1"/>
    <x v="13"/>
    <x v="8"/>
    <n v="53548.160000000003"/>
  </r>
  <r>
    <x v="6"/>
    <x v="0"/>
    <x v="0"/>
    <x v="0"/>
    <x v="1"/>
    <x v="6"/>
    <x v="4"/>
    <x v="0"/>
    <x v="0"/>
    <x v="0"/>
    <x v="5"/>
    <x v="6"/>
    <s v="40"/>
    <x v="26"/>
    <x v="1"/>
    <x v="13"/>
    <x v="9"/>
    <n v="94938.93"/>
  </r>
  <r>
    <x v="6"/>
    <x v="0"/>
    <x v="0"/>
    <x v="0"/>
    <x v="1"/>
    <x v="2"/>
    <x v="0"/>
    <x v="0"/>
    <x v="0"/>
    <x v="0"/>
    <x v="0"/>
    <x v="4"/>
    <s v="99"/>
    <x v="9"/>
    <x v="1"/>
    <x v="12"/>
    <x v="11"/>
    <n v="-49000"/>
  </r>
  <r>
    <x v="6"/>
    <x v="0"/>
    <x v="0"/>
    <x v="0"/>
    <x v="1"/>
    <x v="2"/>
    <x v="0"/>
    <x v="0"/>
    <x v="0"/>
    <x v="0"/>
    <x v="0"/>
    <x v="4"/>
    <s v="99"/>
    <x v="9"/>
    <x v="1"/>
    <x v="12"/>
    <x v="1"/>
    <n v="49000"/>
  </r>
  <r>
    <x v="6"/>
    <x v="0"/>
    <x v="0"/>
    <x v="0"/>
    <x v="1"/>
    <x v="3"/>
    <x v="0"/>
    <x v="0"/>
    <x v="0"/>
    <x v="1"/>
    <x v="1"/>
    <x v="8"/>
    <s v="41"/>
    <x v="4"/>
    <x v="1"/>
    <x v="12"/>
    <x v="11"/>
    <n v="386.8"/>
  </r>
  <r>
    <x v="6"/>
    <x v="0"/>
    <x v="0"/>
    <x v="0"/>
    <x v="1"/>
    <x v="3"/>
    <x v="0"/>
    <x v="0"/>
    <x v="0"/>
    <x v="1"/>
    <x v="1"/>
    <x v="8"/>
    <s v="41"/>
    <x v="4"/>
    <x v="1"/>
    <x v="12"/>
    <x v="4"/>
    <n v="1593.2"/>
  </r>
  <r>
    <x v="6"/>
    <x v="0"/>
    <x v="0"/>
    <x v="0"/>
    <x v="1"/>
    <x v="3"/>
    <x v="0"/>
    <x v="0"/>
    <x v="0"/>
    <x v="1"/>
    <x v="1"/>
    <x v="8"/>
    <s v="41"/>
    <x v="4"/>
    <x v="1"/>
    <x v="12"/>
    <x v="7"/>
    <n v="-1980"/>
  </r>
  <r>
    <x v="6"/>
    <x v="0"/>
    <x v="0"/>
    <x v="0"/>
    <x v="1"/>
    <x v="3"/>
    <x v="0"/>
    <x v="0"/>
    <x v="0"/>
    <x v="1"/>
    <x v="1"/>
    <x v="8"/>
    <s v="41"/>
    <x v="4"/>
    <x v="1"/>
    <x v="13"/>
    <x v="3"/>
    <n v="1980"/>
  </r>
  <r>
    <x v="6"/>
    <x v="0"/>
    <x v="0"/>
    <x v="0"/>
    <x v="1"/>
    <x v="3"/>
    <x v="0"/>
    <x v="0"/>
    <x v="0"/>
    <x v="1"/>
    <x v="1"/>
    <x v="8"/>
    <s v="41"/>
    <x v="4"/>
    <x v="1"/>
    <x v="13"/>
    <x v="4"/>
    <n v="-1980"/>
  </r>
  <r>
    <x v="6"/>
    <x v="0"/>
    <x v="0"/>
    <x v="0"/>
    <x v="1"/>
    <x v="3"/>
    <x v="0"/>
    <x v="0"/>
    <x v="0"/>
    <x v="0"/>
    <x v="0"/>
    <x v="4"/>
    <s v="01"/>
    <x v="42"/>
    <x v="1"/>
    <x v="12"/>
    <x v="0"/>
    <n v="534.46"/>
  </r>
  <r>
    <x v="6"/>
    <x v="0"/>
    <x v="0"/>
    <x v="0"/>
    <x v="1"/>
    <x v="3"/>
    <x v="0"/>
    <x v="0"/>
    <x v="0"/>
    <x v="0"/>
    <x v="0"/>
    <x v="4"/>
    <s v="01"/>
    <x v="42"/>
    <x v="1"/>
    <x v="12"/>
    <x v="2"/>
    <n v="-5437.41"/>
  </r>
  <r>
    <x v="6"/>
    <x v="0"/>
    <x v="0"/>
    <x v="0"/>
    <x v="1"/>
    <x v="3"/>
    <x v="0"/>
    <x v="0"/>
    <x v="0"/>
    <x v="0"/>
    <x v="0"/>
    <x v="4"/>
    <s v="01"/>
    <x v="42"/>
    <x v="1"/>
    <x v="12"/>
    <x v="8"/>
    <n v="1811.32"/>
  </r>
  <r>
    <x v="6"/>
    <x v="0"/>
    <x v="0"/>
    <x v="0"/>
    <x v="1"/>
    <x v="3"/>
    <x v="0"/>
    <x v="0"/>
    <x v="0"/>
    <x v="0"/>
    <x v="0"/>
    <x v="4"/>
    <s v="01"/>
    <x v="42"/>
    <x v="1"/>
    <x v="12"/>
    <x v="9"/>
    <n v="-2346.41"/>
  </r>
  <r>
    <x v="6"/>
    <x v="0"/>
    <x v="0"/>
    <x v="0"/>
    <x v="1"/>
    <x v="3"/>
    <x v="0"/>
    <x v="0"/>
    <x v="0"/>
    <x v="0"/>
    <x v="0"/>
    <x v="4"/>
    <s v="01"/>
    <x v="42"/>
    <x v="1"/>
    <x v="12"/>
    <x v="10"/>
    <n v="-55.52"/>
  </r>
  <r>
    <x v="6"/>
    <x v="0"/>
    <x v="0"/>
    <x v="0"/>
    <x v="1"/>
    <x v="3"/>
    <x v="0"/>
    <x v="0"/>
    <x v="0"/>
    <x v="0"/>
    <x v="0"/>
    <x v="4"/>
    <s v="01"/>
    <x v="42"/>
    <x v="1"/>
    <x v="12"/>
    <x v="11"/>
    <n v="393.62"/>
  </r>
  <r>
    <x v="6"/>
    <x v="0"/>
    <x v="0"/>
    <x v="0"/>
    <x v="1"/>
    <x v="3"/>
    <x v="0"/>
    <x v="0"/>
    <x v="0"/>
    <x v="0"/>
    <x v="0"/>
    <x v="4"/>
    <s v="01"/>
    <x v="42"/>
    <x v="1"/>
    <x v="12"/>
    <x v="3"/>
    <n v="2702.69"/>
  </r>
  <r>
    <x v="6"/>
    <x v="0"/>
    <x v="0"/>
    <x v="0"/>
    <x v="1"/>
    <x v="3"/>
    <x v="0"/>
    <x v="0"/>
    <x v="0"/>
    <x v="0"/>
    <x v="0"/>
    <x v="4"/>
    <s v="01"/>
    <x v="42"/>
    <x v="1"/>
    <x v="12"/>
    <x v="4"/>
    <n v="43.76"/>
  </r>
  <r>
    <x v="6"/>
    <x v="0"/>
    <x v="0"/>
    <x v="0"/>
    <x v="1"/>
    <x v="3"/>
    <x v="0"/>
    <x v="0"/>
    <x v="0"/>
    <x v="0"/>
    <x v="0"/>
    <x v="4"/>
    <s v="01"/>
    <x v="42"/>
    <x v="1"/>
    <x v="12"/>
    <x v="7"/>
    <n v="-457.34"/>
  </r>
  <r>
    <x v="6"/>
    <x v="0"/>
    <x v="0"/>
    <x v="0"/>
    <x v="1"/>
    <x v="3"/>
    <x v="0"/>
    <x v="0"/>
    <x v="0"/>
    <x v="0"/>
    <x v="0"/>
    <x v="4"/>
    <s v="01"/>
    <x v="42"/>
    <x v="1"/>
    <x v="12"/>
    <x v="5"/>
    <n v="-2658.94"/>
  </r>
  <r>
    <x v="6"/>
    <x v="0"/>
    <x v="0"/>
    <x v="0"/>
    <x v="1"/>
    <x v="3"/>
    <x v="0"/>
    <x v="0"/>
    <x v="0"/>
    <x v="0"/>
    <x v="0"/>
    <x v="4"/>
    <s v="01"/>
    <x v="42"/>
    <x v="1"/>
    <x v="12"/>
    <x v="6"/>
    <n v="3056"/>
  </r>
  <r>
    <x v="6"/>
    <x v="0"/>
    <x v="0"/>
    <x v="0"/>
    <x v="1"/>
    <x v="3"/>
    <x v="0"/>
    <x v="0"/>
    <x v="0"/>
    <x v="0"/>
    <x v="0"/>
    <x v="4"/>
    <s v="01"/>
    <x v="42"/>
    <x v="1"/>
    <x v="12"/>
    <x v="1"/>
    <n v="3329.23"/>
  </r>
  <r>
    <x v="6"/>
    <x v="0"/>
    <x v="0"/>
    <x v="0"/>
    <x v="1"/>
    <x v="3"/>
    <x v="0"/>
    <x v="0"/>
    <x v="0"/>
    <x v="0"/>
    <x v="0"/>
    <x v="4"/>
    <s v="01"/>
    <x v="42"/>
    <x v="1"/>
    <x v="13"/>
    <x v="0"/>
    <n v="-4166.59"/>
  </r>
  <r>
    <x v="6"/>
    <x v="0"/>
    <x v="0"/>
    <x v="0"/>
    <x v="1"/>
    <x v="3"/>
    <x v="0"/>
    <x v="0"/>
    <x v="0"/>
    <x v="0"/>
    <x v="0"/>
    <x v="4"/>
    <s v="01"/>
    <x v="42"/>
    <x v="1"/>
    <x v="13"/>
    <x v="2"/>
    <n v="50.66"/>
  </r>
  <r>
    <x v="6"/>
    <x v="0"/>
    <x v="0"/>
    <x v="0"/>
    <x v="1"/>
    <x v="3"/>
    <x v="0"/>
    <x v="0"/>
    <x v="0"/>
    <x v="0"/>
    <x v="0"/>
    <x v="4"/>
    <s v="01"/>
    <x v="42"/>
    <x v="1"/>
    <x v="13"/>
    <x v="8"/>
    <n v="3005101.23"/>
  </r>
  <r>
    <x v="6"/>
    <x v="0"/>
    <x v="0"/>
    <x v="0"/>
    <x v="1"/>
    <x v="3"/>
    <x v="0"/>
    <x v="0"/>
    <x v="0"/>
    <x v="0"/>
    <x v="0"/>
    <x v="4"/>
    <s v="01"/>
    <x v="42"/>
    <x v="1"/>
    <x v="13"/>
    <x v="9"/>
    <n v="-3003861.43"/>
  </r>
  <r>
    <x v="6"/>
    <x v="0"/>
    <x v="0"/>
    <x v="0"/>
    <x v="1"/>
    <x v="3"/>
    <x v="0"/>
    <x v="0"/>
    <x v="0"/>
    <x v="0"/>
    <x v="0"/>
    <x v="4"/>
    <s v="01"/>
    <x v="42"/>
    <x v="1"/>
    <x v="13"/>
    <x v="10"/>
    <n v="1017.21"/>
  </r>
  <r>
    <x v="6"/>
    <x v="0"/>
    <x v="0"/>
    <x v="0"/>
    <x v="1"/>
    <x v="3"/>
    <x v="0"/>
    <x v="0"/>
    <x v="0"/>
    <x v="0"/>
    <x v="0"/>
    <x v="4"/>
    <s v="01"/>
    <x v="42"/>
    <x v="1"/>
    <x v="13"/>
    <x v="11"/>
    <n v="-1062.57"/>
  </r>
  <r>
    <x v="6"/>
    <x v="0"/>
    <x v="0"/>
    <x v="0"/>
    <x v="1"/>
    <x v="3"/>
    <x v="0"/>
    <x v="0"/>
    <x v="0"/>
    <x v="0"/>
    <x v="0"/>
    <x v="4"/>
    <s v="01"/>
    <x v="42"/>
    <x v="1"/>
    <x v="13"/>
    <x v="3"/>
    <n v="5515.77"/>
  </r>
  <r>
    <x v="6"/>
    <x v="0"/>
    <x v="0"/>
    <x v="0"/>
    <x v="1"/>
    <x v="3"/>
    <x v="0"/>
    <x v="0"/>
    <x v="0"/>
    <x v="0"/>
    <x v="0"/>
    <x v="4"/>
    <s v="01"/>
    <x v="42"/>
    <x v="1"/>
    <x v="13"/>
    <x v="4"/>
    <n v="-1513.93"/>
  </r>
  <r>
    <x v="6"/>
    <x v="0"/>
    <x v="0"/>
    <x v="0"/>
    <x v="1"/>
    <x v="3"/>
    <x v="0"/>
    <x v="0"/>
    <x v="0"/>
    <x v="0"/>
    <x v="0"/>
    <x v="4"/>
    <s v="01"/>
    <x v="42"/>
    <x v="1"/>
    <x v="13"/>
    <x v="7"/>
    <n v="-775.55"/>
  </r>
  <r>
    <x v="6"/>
    <x v="0"/>
    <x v="0"/>
    <x v="0"/>
    <x v="1"/>
    <x v="3"/>
    <x v="0"/>
    <x v="0"/>
    <x v="0"/>
    <x v="0"/>
    <x v="0"/>
    <x v="4"/>
    <s v="01"/>
    <x v="42"/>
    <x v="1"/>
    <x v="13"/>
    <x v="5"/>
    <n v="-76.69"/>
  </r>
  <r>
    <x v="6"/>
    <x v="0"/>
    <x v="0"/>
    <x v="0"/>
    <x v="1"/>
    <x v="3"/>
    <x v="0"/>
    <x v="0"/>
    <x v="0"/>
    <x v="0"/>
    <x v="0"/>
    <x v="4"/>
    <s v="01"/>
    <x v="42"/>
    <x v="1"/>
    <x v="13"/>
    <x v="6"/>
    <n v="-953.47"/>
  </r>
  <r>
    <x v="6"/>
    <x v="0"/>
    <x v="0"/>
    <x v="0"/>
    <x v="1"/>
    <x v="3"/>
    <x v="0"/>
    <x v="0"/>
    <x v="0"/>
    <x v="0"/>
    <x v="0"/>
    <x v="4"/>
    <s v="01"/>
    <x v="42"/>
    <x v="1"/>
    <x v="13"/>
    <x v="1"/>
    <n v="5441.15"/>
  </r>
  <r>
    <x v="6"/>
    <x v="0"/>
    <x v="0"/>
    <x v="0"/>
    <x v="1"/>
    <x v="3"/>
    <x v="0"/>
    <x v="0"/>
    <x v="0"/>
    <x v="0"/>
    <x v="0"/>
    <x v="4"/>
    <s v="02"/>
    <x v="5"/>
    <x v="1"/>
    <x v="13"/>
    <x v="5"/>
    <n v="2250"/>
  </r>
  <r>
    <x v="6"/>
    <x v="0"/>
    <x v="0"/>
    <x v="0"/>
    <x v="1"/>
    <x v="3"/>
    <x v="0"/>
    <x v="0"/>
    <x v="0"/>
    <x v="0"/>
    <x v="0"/>
    <x v="4"/>
    <s v="02"/>
    <x v="5"/>
    <x v="1"/>
    <x v="13"/>
    <x v="6"/>
    <n v="-2250"/>
  </r>
  <r>
    <x v="6"/>
    <x v="0"/>
    <x v="0"/>
    <x v="0"/>
    <x v="1"/>
    <x v="3"/>
    <x v="0"/>
    <x v="0"/>
    <x v="0"/>
    <x v="0"/>
    <x v="0"/>
    <x v="4"/>
    <s v="05"/>
    <x v="38"/>
    <x v="1"/>
    <x v="13"/>
    <x v="0"/>
    <n v="-100"/>
  </r>
  <r>
    <x v="6"/>
    <x v="0"/>
    <x v="0"/>
    <x v="0"/>
    <x v="1"/>
    <x v="3"/>
    <x v="0"/>
    <x v="0"/>
    <x v="0"/>
    <x v="0"/>
    <x v="0"/>
    <x v="4"/>
    <s v="05"/>
    <x v="38"/>
    <x v="1"/>
    <x v="13"/>
    <x v="7"/>
    <n v="-15"/>
  </r>
  <r>
    <x v="6"/>
    <x v="0"/>
    <x v="0"/>
    <x v="0"/>
    <x v="1"/>
    <x v="3"/>
    <x v="0"/>
    <x v="0"/>
    <x v="0"/>
    <x v="0"/>
    <x v="0"/>
    <x v="4"/>
    <s v="05"/>
    <x v="38"/>
    <x v="1"/>
    <x v="13"/>
    <x v="6"/>
    <n v="15"/>
  </r>
  <r>
    <x v="6"/>
    <x v="0"/>
    <x v="0"/>
    <x v="0"/>
    <x v="1"/>
    <x v="3"/>
    <x v="0"/>
    <x v="0"/>
    <x v="0"/>
    <x v="0"/>
    <x v="0"/>
    <x v="4"/>
    <s v="05"/>
    <x v="38"/>
    <x v="1"/>
    <x v="13"/>
    <x v="1"/>
    <n v="100"/>
  </r>
  <r>
    <x v="6"/>
    <x v="0"/>
    <x v="0"/>
    <x v="0"/>
    <x v="1"/>
    <x v="3"/>
    <x v="0"/>
    <x v="0"/>
    <x v="0"/>
    <x v="0"/>
    <x v="0"/>
    <x v="4"/>
    <s v="09"/>
    <x v="0"/>
    <x v="1"/>
    <x v="12"/>
    <x v="2"/>
    <n v="20.61"/>
  </r>
  <r>
    <x v="6"/>
    <x v="0"/>
    <x v="0"/>
    <x v="0"/>
    <x v="1"/>
    <x v="3"/>
    <x v="0"/>
    <x v="0"/>
    <x v="0"/>
    <x v="0"/>
    <x v="0"/>
    <x v="4"/>
    <s v="09"/>
    <x v="0"/>
    <x v="1"/>
    <x v="12"/>
    <x v="8"/>
    <n v="-20.61"/>
  </r>
  <r>
    <x v="6"/>
    <x v="0"/>
    <x v="0"/>
    <x v="0"/>
    <x v="1"/>
    <x v="3"/>
    <x v="0"/>
    <x v="0"/>
    <x v="0"/>
    <x v="0"/>
    <x v="0"/>
    <x v="4"/>
    <s v="09"/>
    <x v="0"/>
    <x v="1"/>
    <x v="13"/>
    <x v="2"/>
    <n v="391.49"/>
  </r>
  <r>
    <x v="6"/>
    <x v="0"/>
    <x v="0"/>
    <x v="0"/>
    <x v="1"/>
    <x v="3"/>
    <x v="0"/>
    <x v="0"/>
    <x v="0"/>
    <x v="0"/>
    <x v="0"/>
    <x v="4"/>
    <s v="20"/>
    <x v="7"/>
    <x v="1"/>
    <x v="13"/>
    <x v="3"/>
    <n v="122700.69"/>
  </r>
  <r>
    <x v="6"/>
    <x v="0"/>
    <x v="0"/>
    <x v="0"/>
    <x v="1"/>
    <x v="3"/>
    <x v="0"/>
    <x v="0"/>
    <x v="0"/>
    <x v="0"/>
    <x v="0"/>
    <x v="4"/>
    <s v="20"/>
    <x v="7"/>
    <x v="1"/>
    <x v="13"/>
    <x v="4"/>
    <n v="-122700.69"/>
  </r>
  <r>
    <x v="6"/>
    <x v="0"/>
    <x v="0"/>
    <x v="0"/>
    <x v="1"/>
    <x v="3"/>
    <x v="0"/>
    <x v="0"/>
    <x v="0"/>
    <x v="0"/>
    <x v="0"/>
    <x v="4"/>
    <s v="24"/>
    <x v="1"/>
    <x v="1"/>
    <x v="12"/>
    <x v="0"/>
    <n v="1963255.99"/>
  </r>
  <r>
    <x v="6"/>
    <x v="0"/>
    <x v="0"/>
    <x v="0"/>
    <x v="1"/>
    <x v="3"/>
    <x v="0"/>
    <x v="0"/>
    <x v="0"/>
    <x v="0"/>
    <x v="0"/>
    <x v="4"/>
    <s v="24"/>
    <x v="1"/>
    <x v="1"/>
    <x v="12"/>
    <x v="2"/>
    <n v="-1765794.15"/>
  </r>
  <r>
    <x v="6"/>
    <x v="0"/>
    <x v="0"/>
    <x v="0"/>
    <x v="1"/>
    <x v="3"/>
    <x v="0"/>
    <x v="0"/>
    <x v="0"/>
    <x v="0"/>
    <x v="0"/>
    <x v="4"/>
    <s v="24"/>
    <x v="1"/>
    <x v="1"/>
    <x v="12"/>
    <x v="8"/>
    <n v="293426.5"/>
  </r>
  <r>
    <x v="6"/>
    <x v="0"/>
    <x v="0"/>
    <x v="0"/>
    <x v="1"/>
    <x v="3"/>
    <x v="0"/>
    <x v="0"/>
    <x v="0"/>
    <x v="0"/>
    <x v="0"/>
    <x v="4"/>
    <s v="24"/>
    <x v="1"/>
    <x v="1"/>
    <x v="12"/>
    <x v="9"/>
    <n v="106628.57"/>
  </r>
  <r>
    <x v="6"/>
    <x v="0"/>
    <x v="0"/>
    <x v="0"/>
    <x v="1"/>
    <x v="3"/>
    <x v="0"/>
    <x v="0"/>
    <x v="0"/>
    <x v="0"/>
    <x v="0"/>
    <x v="4"/>
    <s v="24"/>
    <x v="1"/>
    <x v="1"/>
    <x v="12"/>
    <x v="10"/>
    <n v="2753.14"/>
  </r>
  <r>
    <x v="6"/>
    <x v="0"/>
    <x v="0"/>
    <x v="0"/>
    <x v="1"/>
    <x v="3"/>
    <x v="0"/>
    <x v="0"/>
    <x v="0"/>
    <x v="0"/>
    <x v="0"/>
    <x v="4"/>
    <s v="24"/>
    <x v="1"/>
    <x v="1"/>
    <x v="12"/>
    <x v="11"/>
    <n v="-27500.16"/>
  </r>
  <r>
    <x v="6"/>
    <x v="0"/>
    <x v="0"/>
    <x v="0"/>
    <x v="1"/>
    <x v="3"/>
    <x v="0"/>
    <x v="0"/>
    <x v="0"/>
    <x v="0"/>
    <x v="0"/>
    <x v="4"/>
    <s v="24"/>
    <x v="1"/>
    <x v="1"/>
    <x v="12"/>
    <x v="3"/>
    <n v="-22006.22"/>
  </r>
  <r>
    <x v="6"/>
    <x v="0"/>
    <x v="0"/>
    <x v="0"/>
    <x v="1"/>
    <x v="3"/>
    <x v="0"/>
    <x v="0"/>
    <x v="0"/>
    <x v="0"/>
    <x v="0"/>
    <x v="4"/>
    <s v="24"/>
    <x v="1"/>
    <x v="1"/>
    <x v="12"/>
    <x v="4"/>
    <n v="6484.28"/>
  </r>
  <r>
    <x v="6"/>
    <x v="0"/>
    <x v="0"/>
    <x v="0"/>
    <x v="1"/>
    <x v="3"/>
    <x v="0"/>
    <x v="0"/>
    <x v="0"/>
    <x v="0"/>
    <x v="0"/>
    <x v="4"/>
    <s v="24"/>
    <x v="1"/>
    <x v="1"/>
    <x v="12"/>
    <x v="7"/>
    <n v="100265.22"/>
  </r>
  <r>
    <x v="6"/>
    <x v="0"/>
    <x v="0"/>
    <x v="0"/>
    <x v="1"/>
    <x v="3"/>
    <x v="0"/>
    <x v="0"/>
    <x v="0"/>
    <x v="0"/>
    <x v="0"/>
    <x v="4"/>
    <s v="24"/>
    <x v="1"/>
    <x v="1"/>
    <x v="12"/>
    <x v="5"/>
    <n v="-27939.4"/>
  </r>
  <r>
    <x v="6"/>
    <x v="0"/>
    <x v="0"/>
    <x v="0"/>
    <x v="1"/>
    <x v="3"/>
    <x v="0"/>
    <x v="0"/>
    <x v="0"/>
    <x v="0"/>
    <x v="0"/>
    <x v="4"/>
    <s v="24"/>
    <x v="1"/>
    <x v="1"/>
    <x v="12"/>
    <x v="6"/>
    <n v="-412563.38"/>
  </r>
  <r>
    <x v="6"/>
    <x v="0"/>
    <x v="0"/>
    <x v="0"/>
    <x v="1"/>
    <x v="3"/>
    <x v="0"/>
    <x v="0"/>
    <x v="0"/>
    <x v="0"/>
    <x v="0"/>
    <x v="4"/>
    <s v="24"/>
    <x v="1"/>
    <x v="1"/>
    <x v="12"/>
    <x v="1"/>
    <n v="-73433.039999999994"/>
  </r>
  <r>
    <x v="6"/>
    <x v="0"/>
    <x v="0"/>
    <x v="0"/>
    <x v="1"/>
    <x v="3"/>
    <x v="0"/>
    <x v="0"/>
    <x v="0"/>
    <x v="0"/>
    <x v="0"/>
    <x v="4"/>
    <s v="24"/>
    <x v="1"/>
    <x v="1"/>
    <x v="13"/>
    <x v="0"/>
    <n v="-151619.54999999999"/>
  </r>
  <r>
    <x v="6"/>
    <x v="0"/>
    <x v="0"/>
    <x v="0"/>
    <x v="1"/>
    <x v="3"/>
    <x v="0"/>
    <x v="0"/>
    <x v="0"/>
    <x v="0"/>
    <x v="0"/>
    <x v="4"/>
    <s v="24"/>
    <x v="1"/>
    <x v="1"/>
    <x v="13"/>
    <x v="2"/>
    <n v="453322.42"/>
  </r>
  <r>
    <x v="6"/>
    <x v="0"/>
    <x v="0"/>
    <x v="0"/>
    <x v="1"/>
    <x v="3"/>
    <x v="0"/>
    <x v="0"/>
    <x v="0"/>
    <x v="0"/>
    <x v="0"/>
    <x v="4"/>
    <s v="24"/>
    <x v="1"/>
    <x v="1"/>
    <x v="13"/>
    <x v="8"/>
    <n v="-59102.91"/>
  </r>
  <r>
    <x v="6"/>
    <x v="0"/>
    <x v="0"/>
    <x v="0"/>
    <x v="1"/>
    <x v="3"/>
    <x v="0"/>
    <x v="0"/>
    <x v="0"/>
    <x v="0"/>
    <x v="0"/>
    <x v="4"/>
    <s v="24"/>
    <x v="1"/>
    <x v="1"/>
    <x v="13"/>
    <x v="9"/>
    <n v="829.9"/>
  </r>
  <r>
    <x v="6"/>
    <x v="0"/>
    <x v="0"/>
    <x v="0"/>
    <x v="1"/>
    <x v="3"/>
    <x v="0"/>
    <x v="0"/>
    <x v="0"/>
    <x v="0"/>
    <x v="0"/>
    <x v="4"/>
    <s v="24"/>
    <x v="1"/>
    <x v="1"/>
    <x v="13"/>
    <x v="10"/>
    <n v="71152.179999999993"/>
  </r>
  <r>
    <x v="6"/>
    <x v="0"/>
    <x v="0"/>
    <x v="0"/>
    <x v="1"/>
    <x v="3"/>
    <x v="0"/>
    <x v="0"/>
    <x v="0"/>
    <x v="0"/>
    <x v="0"/>
    <x v="4"/>
    <s v="24"/>
    <x v="1"/>
    <x v="1"/>
    <x v="13"/>
    <x v="11"/>
    <n v="4084.8"/>
  </r>
  <r>
    <x v="6"/>
    <x v="0"/>
    <x v="0"/>
    <x v="0"/>
    <x v="1"/>
    <x v="3"/>
    <x v="0"/>
    <x v="0"/>
    <x v="0"/>
    <x v="0"/>
    <x v="0"/>
    <x v="4"/>
    <s v="24"/>
    <x v="1"/>
    <x v="1"/>
    <x v="13"/>
    <x v="3"/>
    <n v="1424.3"/>
  </r>
  <r>
    <x v="6"/>
    <x v="0"/>
    <x v="0"/>
    <x v="0"/>
    <x v="1"/>
    <x v="3"/>
    <x v="0"/>
    <x v="0"/>
    <x v="0"/>
    <x v="0"/>
    <x v="0"/>
    <x v="4"/>
    <s v="24"/>
    <x v="1"/>
    <x v="1"/>
    <x v="13"/>
    <x v="4"/>
    <n v="106905.33"/>
  </r>
  <r>
    <x v="6"/>
    <x v="0"/>
    <x v="0"/>
    <x v="0"/>
    <x v="1"/>
    <x v="3"/>
    <x v="0"/>
    <x v="0"/>
    <x v="0"/>
    <x v="0"/>
    <x v="0"/>
    <x v="4"/>
    <s v="24"/>
    <x v="1"/>
    <x v="1"/>
    <x v="13"/>
    <x v="7"/>
    <n v="-103548.39"/>
  </r>
  <r>
    <x v="6"/>
    <x v="0"/>
    <x v="0"/>
    <x v="0"/>
    <x v="1"/>
    <x v="3"/>
    <x v="0"/>
    <x v="0"/>
    <x v="0"/>
    <x v="0"/>
    <x v="0"/>
    <x v="4"/>
    <s v="24"/>
    <x v="1"/>
    <x v="1"/>
    <x v="13"/>
    <x v="5"/>
    <n v="69940.960000000006"/>
  </r>
  <r>
    <x v="6"/>
    <x v="0"/>
    <x v="0"/>
    <x v="0"/>
    <x v="1"/>
    <x v="3"/>
    <x v="0"/>
    <x v="0"/>
    <x v="0"/>
    <x v="0"/>
    <x v="0"/>
    <x v="4"/>
    <s v="24"/>
    <x v="1"/>
    <x v="1"/>
    <x v="13"/>
    <x v="6"/>
    <n v="-137655.13"/>
  </r>
  <r>
    <x v="6"/>
    <x v="0"/>
    <x v="0"/>
    <x v="0"/>
    <x v="1"/>
    <x v="3"/>
    <x v="0"/>
    <x v="0"/>
    <x v="0"/>
    <x v="0"/>
    <x v="0"/>
    <x v="4"/>
    <s v="24"/>
    <x v="1"/>
    <x v="1"/>
    <x v="13"/>
    <x v="1"/>
    <n v="-852743.19"/>
  </r>
  <r>
    <x v="6"/>
    <x v="0"/>
    <x v="0"/>
    <x v="0"/>
    <x v="1"/>
    <x v="3"/>
    <x v="0"/>
    <x v="0"/>
    <x v="0"/>
    <x v="0"/>
    <x v="0"/>
    <x v="4"/>
    <s v="30"/>
    <x v="3"/>
    <x v="1"/>
    <x v="13"/>
    <x v="9"/>
    <n v="-104.4"/>
  </r>
  <r>
    <x v="6"/>
    <x v="0"/>
    <x v="0"/>
    <x v="0"/>
    <x v="1"/>
    <x v="3"/>
    <x v="0"/>
    <x v="0"/>
    <x v="0"/>
    <x v="0"/>
    <x v="0"/>
    <x v="4"/>
    <s v="30"/>
    <x v="3"/>
    <x v="1"/>
    <x v="13"/>
    <x v="10"/>
    <n v="2744.35"/>
  </r>
  <r>
    <x v="6"/>
    <x v="0"/>
    <x v="0"/>
    <x v="0"/>
    <x v="1"/>
    <x v="3"/>
    <x v="0"/>
    <x v="0"/>
    <x v="0"/>
    <x v="0"/>
    <x v="0"/>
    <x v="4"/>
    <s v="30"/>
    <x v="3"/>
    <x v="1"/>
    <x v="13"/>
    <x v="11"/>
    <n v="1473.8"/>
  </r>
  <r>
    <x v="6"/>
    <x v="0"/>
    <x v="0"/>
    <x v="0"/>
    <x v="1"/>
    <x v="3"/>
    <x v="0"/>
    <x v="0"/>
    <x v="0"/>
    <x v="0"/>
    <x v="0"/>
    <x v="4"/>
    <s v="30"/>
    <x v="3"/>
    <x v="1"/>
    <x v="13"/>
    <x v="3"/>
    <n v="-10.9"/>
  </r>
  <r>
    <x v="6"/>
    <x v="0"/>
    <x v="0"/>
    <x v="0"/>
    <x v="1"/>
    <x v="3"/>
    <x v="0"/>
    <x v="0"/>
    <x v="0"/>
    <x v="0"/>
    <x v="0"/>
    <x v="4"/>
    <s v="30"/>
    <x v="3"/>
    <x v="1"/>
    <x v="13"/>
    <x v="4"/>
    <n v="-878.75"/>
  </r>
  <r>
    <x v="6"/>
    <x v="0"/>
    <x v="0"/>
    <x v="0"/>
    <x v="1"/>
    <x v="3"/>
    <x v="0"/>
    <x v="0"/>
    <x v="0"/>
    <x v="0"/>
    <x v="0"/>
    <x v="4"/>
    <s v="30"/>
    <x v="3"/>
    <x v="1"/>
    <x v="13"/>
    <x v="7"/>
    <n v="-220"/>
  </r>
  <r>
    <x v="6"/>
    <x v="0"/>
    <x v="0"/>
    <x v="0"/>
    <x v="1"/>
    <x v="3"/>
    <x v="0"/>
    <x v="0"/>
    <x v="0"/>
    <x v="0"/>
    <x v="0"/>
    <x v="4"/>
    <s v="30"/>
    <x v="3"/>
    <x v="1"/>
    <x v="13"/>
    <x v="5"/>
    <n v="5835"/>
  </r>
  <r>
    <x v="6"/>
    <x v="0"/>
    <x v="0"/>
    <x v="0"/>
    <x v="1"/>
    <x v="3"/>
    <x v="0"/>
    <x v="0"/>
    <x v="0"/>
    <x v="0"/>
    <x v="0"/>
    <x v="4"/>
    <s v="30"/>
    <x v="3"/>
    <x v="1"/>
    <x v="13"/>
    <x v="6"/>
    <n v="-3091"/>
  </r>
  <r>
    <x v="6"/>
    <x v="0"/>
    <x v="0"/>
    <x v="0"/>
    <x v="1"/>
    <x v="3"/>
    <x v="0"/>
    <x v="0"/>
    <x v="0"/>
    <x v="0"/>
    <x v="0"/>
    <x v="4"/>
    <s v="30"/>
    <x v="3"/>
    <x v="1"/>
    <x v="13"/>
    <x v="1"/>
    <n v="-5748.1"/>
  </r>
  <r>
    <x v="6"/>
    <x v="0"/>
    <x v="0"/>
    <x v="0"/>
    <x v="1"/>
    <x v="3"/>
    <x v="0"/>
    <x v="0"/>
    <x v="0"/>
    <x v="0"/>
    <x v="0"/>
    <x v="4"/>
    <s v="85"/>
    <x v="21"/>
    <x v="1"/>
    <x v="13"/>
    <x v="3"/>
    <n v="185"/>
  </r>
  <r>
    <x v="6"/>
    <x v="0"/>
    <x v="0"/>
    <x v="0"/>
    <x v="1"/>
    <x v="3"/>
    <x v="0"/>
    <x v="0"/>
    <x v="0"/>
    <x v="0"/>
    <x v="0"/>
    <x v="4"/>
    <s v="86"/>
    <x v="39"/>
    <x v="1"/>
    <x v="12"/>
    <x v="4"/>
    <n v="1500"/>
  </r>
  <r>
    <x v="6"/>
    <x v="0"/>
    <x v="0"/>
    <x v="0"/>
    <x v="1"/>
    <x v="3"/>
    <x v="0"/>
    <x v="0"/>
    <x v="0"/>
    <x v="0"/>
    <x v="0"/>
    <x v="4"/>
    <s v="86"/>
    <x v="39"/>
    <x v="1"/>
    <x v="12"/>
    <x v="1"/>
    <n v="-1500"/>
  </r>
  <r>
    <x v="6"/>
    <x v="0"/>
    <x v="0"/>
    <x v="0"/>
    <x v="1"/>
    <x v="3"/>
    <x v="0"/>
    <x v="0"/>
    <x v="0"/>
    <x v="0"/>
    <x v="0"/>
    <x v="4"/>
    <s v="86"/>
    <x v="39"/>
    <x v="1"/>
    <x v="13"/>
    <x v="10"/>
    <n v="185"/>
  </r>
  <r>
    <x v="6"/>
    <x v="0"/>
    <x v="0"/>
    <x v="0"/>
    <x v="1"/>
    <x v="3"/>
    <x v="0"/>
    <x v="0"/>
    <x v="0"/>
    <x v="0"/>
    <x v="0"/>
    <x v="4"/>
    <s v="86"/>
    <x v="39"/>
    <x v="1"/>
    <x v="13"/>
    <x v="3"/>
    <n v="-185"/>
  </r>
  <r>
    <x v="6"/>
    <x v="0"/>
    <x v="0"/>
    <x v="0"/>
    <x v="1"/>
    <x v="3"/>
    <x v="0"/>
    <x v="0"/>
    <x v="0"/>
    <x v="0"/>
    <x v="0"/>
    <x v="4"/>
    <s v="99"/>
    <x v="9"/>
    <x v="1"/>
    <x v="12"/>
    <x v="8"/>
    <n v="805.76"/>
  </r>
  <r>
    <x v="6"/>
    <x v="0"/>
    <x v="0"/>
    <x v="0"/>
    <x v="1"/>
    <x v="3"/>
    <x v="0"/>
    <x v="0"/>
    <x v="0"/>
    <x v="0"/>
    <x v="0"/>
    <x v="4"/>
    <s v="99"/>
    <x v="9"/>
    <x v="1"/>
    <x v="12"/>
    <x v="9"/>
    <n v="-230.88"/>
  </r>
  <r>
    <x v="6"/>
    <x v="0"/>
    <x v="0"/>
    <x v="0"/>
    <x v="1"/>
    <x v="3"/>
    <x v="0"/>
    <x v="0"/>
    <x v="0"/>
    <x v="0"/>
    <x v="0"/>
    <x v="4"/>
    <s v="99"/>
    <x v="9"/>
    <x v="1"/>
    <x v="12"/>
    <x v="10"/>
    <n v="74949.25"/>
  </r>
  <r>
    <x v="6"/>
    <x v="0"/>
    <x v="0"/>
    <x v="0"/>
    <x v="1"/>
    <x v="3"/>
    <x v="0"/>
    <x v="0"/>
    <x v="0"/>
    <x v="0"/>
    <x v="0"/>
    <x v="4"/>
    <s v="99"/>
    <x v="9"/>
    <x v="1"/>
    <x v="12"/>
    <x v="11"/>
    <n v="-75524.13"/>
  </r>
  <r>
    <x v="6"/>
    <x v="0"/>
    <x v="0"/>
    <x v="0"/>
    <x v="1"/>
    <x v="3"/>
    <x v="0"/>
    <x v="0"/>
    <x v="0"/>
    <x v="0"/>
    <x v="0"/>
    <x v="4"/>
    <s v="99"/>
    <x v="9"/>
    <x v="1"/>
    <x v="12"/>
    <x v="3"/>
    <n v="-289"/>
  </r>
  <r>
    <x v="6"/>
    <x v="0"/>
    <x v="0"/>
    <x v="0"/>
    <x v="1"/>
    <x v="3"/>
    <x v="0"/>
    <x v="0"/>
    <x v="0"/>
    <x v="0"/>
    <x v="0"/>
    <x v="4"/>
    <s v="99"/>
    <x v="9"/>
    <x v="1"/>
    <x v="12"/>
    <x v="7"/>
    <n v="289"/>
  </r>
  <r>
    <x v="6"/>
    <x v="0"/>
    <x v="0"/>
    <x v="0"/>
    <x v="1"/>
    <x v="3"/>
    <x v="0"/>
    <x v="0"/>
    <x v="0"/>
    <x v="0"/>
    <x v="0"/>
    <x v="4"/>
    <s v="99"/>
    <x v="9"/>
    <x v="1"/>
    <x v="12"/>
    <x v="5"/>
    <n v="1000"/>
  </r>
  <r>
    <x v="6"/>
    <x v="0"/>
    <x v="0"/>
    <x v="0"/>
    <x v="1"/>
    <x v="3"/>
    <x v="0"/>
    <x v="0"/>
    <x v="0"/>
    <x v="0"/>
    <x v="0"/>
    <x v="4"/>
    <s v="99"/>
    <x v="9"/>
    <x v="1"/>
    <x v="12"/>
    <x v="6"/>
    <n v="-49.37"/>
  </r>
  <r>
    <x v="6"/>
    <x v="0"/>
    <x v="0"/>
    <x v="0"/>
    <x v="1"/>
    <x v="3"/>
    <x v="0"/>
    <x v="0"/>
    <x v="0"/>
    <x v="0"/>
    <x v="0"/>
    <x v="4"/>
    <s v="99"/>
    <x v="9"/>
    <x v="1"/>
    <x v="12"/>
    <x v="1"/>
    <n v="-947.73"/>
  </r>
  <r>
    <x v="6"/>
    <x v="0"/>
    <x v="0"/>
    <x v="0"/>
    <x v="1"/>
    <x v="3"/>
    <x v="0"/>
    <x v="0"/>
    <x v="0"/>
    <x v="0"/>
    <x v="0"/>
    <x v="4"/>
    <s v="99"/>
    <x v="9"/>
    <x v="1"/>
    <x v="13"/>
    <x v="0"/>
    <n v="268.8"/>
  </r>
  <r>
    <x v="6"/>
    <x v="0"/>
    <x v="0"/>
    <x v="0"/>
    <x v="1"/>
    <x v="3"/>
    <x v="0"/>
    <x v="0"/>
    <x v="0"/>
    <x v="0"/>
    <x v="0"/>
    <x v="4"/>
    <s v="99"/>
    <x v="9"/>
    <x v="1"/>
    <x v="13"/>
    <x v="2"/>
    <n v="23.61"/>
  </r>
  <r>
    <x v="6"/>
    <x v="0"/>
    <x v="0"/>
    <x v="0"/>
    <x v="1"/>
    <x v="3"/>
    <x v="0"/>
    <x v="0"/>
    <x v="0"/>
    <x v="0"/>
    <x v="0"/>
    <x v="4"/>
    <s v="99"/>
    <x v="9"/>
    <x v="1"/>
    <x v="13"/>
    <x v="8"/>
    <n v="-268.5"/>
  </r>
  <r>
    <x v="6"/>
    <x v="0"/>
    <x v="0"/>
    <x v="0"/>
    <x v="1"/>
    <x v="3"/>
    <x v="0"/>
    <x v="0"/>
    <x v="0"/>
    <x v="0"/>
    <x v="0"/>
    <x v="4"/>
    <s v="99"/>
    <x v="9"/>
    <x v="1"/>
    <x v="13"/>
    <x v="9"/>
    <n v="532.76"/>
  </r>
  <r>
    <x v="6"/>
    <x v="0"/>
    <x v="0"/>
    <x v="0"/>
    <x v="1"/>
    <x v="3"/>
    <x v="0"/>
    <x v="0"/>
    <x v="0"/>
    <x v="0"/>
    <x v="0"/>
    <x v="4"/>
    <s v="99"/>
    <x v="9"/>
    <x v="1"/>
    <x v="13"/>
    <x v="10"/>
    <n v="-15919.99"/>
  </r>
  <r>
    <x v="6"/>
    <x v="0"/>
    <x v="0"/>
    <x v="0"/>
    <x v="1"/>
    <x v="3"/>
    <x v="0"/>
    <x v="0"/>
    <x v="0"/>
    <x v="0"/>
    <x v="0"/>
    <x v="4"/>
    <s v="99"/>
    <x v="9"/>
    <x v="1"/>
    <x v="13"/>
    <x v="11"/>
    <n v="6147.82"/>
  </r>
  <r>
    <x v="6"/>
    <x v="0"/>
    <x v="0"/>
    <x v="0"/>
    <x v="1"/>
    <x v="3"/>
    <x v="0"/>
    <x v="0"/>
    <x v="0"/>
    <x v="0"/>
    <x v="0"/>
    <x v="4"/>
    <s v="99"/>
    <x v="9"/>
    <x v="1"/>
    <x v="13"/>
    <x v="3"/>
    <n v="8387.2900000000009"/>
  </r>
  <r>
    <x v="6"/>
    <x v="0"/>
    <x v="0"/>
    <x v="0"/>
    <x v="1"/>
    <x v="3"/>
    <x v="0"/>
    <x v="0"/>
    <x v="0"/>
    <x v="0"/>
    <x v="0"/>
    <x v="4"/>
    <s v="99"/>
    <x v="9"/>
    <x v="1"/>
    <x v="13"/>
    <x v="4"/>
    <n v="4314.9799999999996"/>
  </r>
  <r>
    <x v="6"/>
    <x v="0"/>
    <x v="0"/>
    <x v="0"/>
    <x v="1"/>
    <x v="3"/>
    <x v="0"/>
    <x v="0"/>
    <x v="0"/>
    <x v="0"/>
    <x v="0"/>
    <x v="4"/>
    <s v="99"/>
    <x v="9"/>
    <x v="1"/>
    <x v="13"/>
    <x v="7"/>
    <n v="-22153.919999999998"/>
  </r>
  <r>
    <x v="6"/>
    <x v="0"/>
    <x v="0"/>
    <x v="0"/>
    <x v="1"/>
    <x v="3"/>
    <x v="0"/>
    <x v="0"/>
    <x v="0"/>
    <x v="0"/>
    <x v="0"/>
    <x v="4"/>
    <s v="99"/>
    <x v="9"/>
    <x v="1"/>
    <x v="13"/>
    <x v="5"/>
    <n v="-8294.83"/>
  </r>
  <r>
    <x v="6"/>
    <x v="0"/>
    <x v="0"/>
    <x v="0"/>
    <x v="1"/>
    <x v="3"/>
    <x v="0"/>
    <x v="0"/>
    <x v="0"/>
    <x v="0"/>
    <x v="0"/>
    <x v="4"/>
    <s v="99"/>
    <x v="9"/>
    <x v="1"/>
    <x v="13"/>
    <x v="6"/>
    <n v="-323.33999999999997"/>
  </r>
  <r>
    <x v="6"/>
    <x v="0"/>
    <x v="0"/>
    <x v="0"/>
    <x v="1"/>
    <x v="3"/>
    <x v="0"/>
    <x v="0"/>
    <x v="0"/>
    <x v="0"/>
    <x v="0"/>
    <x v="4"/>
    <s v="99"/>
    <x v="9"/>
    <x v="1"/>
    <x v="13"/>
    <x v="1"/>
    <n v="29291.57"/>
  </r>
  <r>
    <x v="6"/>
    <x v="0"/>
    <x v="0"/>
    <x v="0"/>
    <x v="1"/>
    <x v="3"/>
    <x v="4"/>
    <x v="0"/>
    <x v="0"/>
    <x v="0"/>
    <x v="0"/>
    <x v="4"/>
    <s v="99"/>
    <x v="9"/>
    <x v="1"/>
    <x v="13"/>
    <x v="5"/>
    <n v="-1989"/>
  </r>
  <r>
    <x v="6"/>
    <x v="0"/>
    <x v="1"/>
    <x v="0"/>
    <x v="1"/>
    <x v="4"/>
    <x v="0"/>
    <x v="0"/>
    <x v="0"/>
    <x v="0"/>
    <x v="0"/>
    <x v="4"/>
    <s v="02"/>
    <x v="5"/>
    <x v="1"/>
    <x v="12"/>
    <x v="0"/>
    <n v="419.1"/>
  </r>
  <r>
    <x v="6"/>
    <x v="0"/>
    <x v="1"/>
    <x v="0"/>
    <x v="1"/>
    <x v="4"/>
    <x v="0"/>
    <x v="0"/>
    <x v="0"/>
    <x v="0"/>
    <x v="0"/>
    <x v="4"/>
    <s v="02"/>
    <x v="5"/>
    <x v="1"/>
    <x v="12"/>
    <x v="2"/>
    <n v="4402.51"/>
  </r>
  <r>
    <x v="6"/>
    <x v="0"/>
    <x v="1"/>
    <x v="0"/>
    <x v="1"/>
    <x v="4"/>
    <x v="0"/>
    <x v="0"/>
    <x v="0"/>
    <x v="0"/>
    <x v="0"/>
    <x v="4"/>
    <s v="02"/>
    <x v="5"/>
    <x v="1"/>
    <x v="12"/>
    <x v="11"/>
    <n v="-1750"/>
  </r>
  <r>
    <x v="6"/>
    <x v="0"/>
    <x v="1"/>
    <x v="0"/>
    <x v="1"/>
    <x v="4"/>
    <x v="0"/>
    <x v="0"/>
    <x v="0"/>
    <x v="0"/>
    <x v="0"/>
    <x v="4"/>
    <s v="02"/>
    <x v="5"/>
    <x v="1"/>
    <x v="12"/>
    <x v="3"/>
    <n v="1750"/>
  </r>
  <r>
    <x v="6"/>
    <x v="0"/>
    <x v="1"/>
    <x v="0"/>
    <x v="1"/>
    <x v="4"/>
    <x v="0"/>
    <x v="0"/>
    <x v="0"/>
    <x v="0"/>
    <x v="0"/>
    <x v="4"/>
    <s v="02"/>
    <x v="5"/>
    <x v="1"/>
    <x v="12"/>
    <x v="5"/>
    <n v="-419.1"/>
  </r>
  <r>
    <x v="6"/>
    <x v="0"/>
    <x v="1"/>
    <x v="0"/>
    <x v="1"/>
    <x v="4"/>
    <x v="0"/>
    <x v="0"/>
    <x v="0"/>
    <x v="0"/>
    <x v="0"/>
    <x v="4"/>
    <s v="02"/>
    <x v="5"/>
    <x v="1"/>
    <x v="12"/>
    <x v="1"/>
    <n v="-413.39"/>
  </r>
  <r>
    <x v="6"/>
    <x v="0"/>
    <x v="1"/>
    <x v="0"/>
    <x v="1"/>
    <x v="4"/>
    <x v="0"/>
    <x v="0"/>
    <x v="0"/>
    <x v="0"/>
    <x v="0"/>
    <x v="4"/>
    <s v="02"/>
    <x v="5"/>
    <x v="1"/>
    <x v="13"/>
    <x v="8"/>
    <n v="4315.5"/>
  </r>
  <r>
    <x v="6"/>
    <x v="0"/>
    <x v="1"/>
    <x v="0"/>
    <x v="1"/>
    <x v="4"/>
    <x v="0"/>
    <x v="0"/>
    <x v="0"/>
    <x v="0"/>
    <x v="0"/>
    <x v="4"/>
    <s v="02"/>
    <x v="5"/>
    <x v="1"/>
    <x v="13"/>
    <x v="9"/>
    <n v="63.36"/>
  </r>
  <r>
    <x v="6"/>
    <x v="0"/>
    <x v="1"/>
    <x v="0"/>
    <x v="1"/>
    <x v="4"/>
    <x v="0"/>
    <x v="0"/>
    <x v="0"/>
    <x v="0"/>
    <x v="0"/>
    <x v="4"/>
    <s v="02"/>
    <x v="5"/>
    <x v="1"/>
    <x v="13"/>
    <x v="11"/>
    <n v="78.430000000000007"/>
  </r>
  <r>
    <x v="6"/>
    <x v="0"/>
    <x v="1"/>
    <x v="0"/>
    <x v="1"/>
    <x v="4"/>
    <x v="0"/>
    <x v="0"/>
    <x v="0"/>
    <x v="0"/>
    <x v="0"/>
    <x v="4"/>
    <s v="02"/>
    <x v="5"/>
    <x v="1"/>
    <x v="13"/>
    <x v="4"/>
    <n v="38.11"/>
  </r>
  <r>
    <x v="6"/>
    <x v="0"/>
    <x v="1"/>
    <x v="0"/>
    <x v="1"/>
    <x v="4"/>
    <x v="0"/>
    <x v="0"/>
    <x v="0"/>
    <x v="0"/>
    <x v="0"/>
    <x v="4"/>
    <s v="02"/>
    <x v="5"/>
    <x v="1"/>
    <x v="13"/>
    <x v="7"/>
    <n v="4315.5"/>
  </r>
  <r>
    <x v="6"/>
    <x v="0"/>
    <x v="1"/>
    <x v="0"/>
    <x v="1"/>
    <x v="4"/>
    <x v="0"/>
    <x v="0"/>
    <x v="0"/>
    <x v="0"/>
    <x v="0"/>
    <x v="4"/>
    <s v="02"/>
    <x v="5"/>
    <x v="1"/>
    <x v="13"/>
    <x v="1"/>
    <n v="-13283.42"/>
  </r>
  <r>
    <x v="6"/>
    <x v="0"/>
    <x v="1"/>
    <x v="0"/>
    <x v="1"/>
    <x v="4"/>
    <x v="0"/>
    <x v="0"/>
    <x v="0"/>
    <x v="0"/>
    <x v="0"/>
    <x v="4"/>
    <s v="20"/>
    <x v="7"/>
    <x v="1"/>
    <x v="12"/>
    <x v="0"/>
    <n v="872.95"/>
  </r>
  <r>
    <x v="6"/>
    <x v="0"/>
    <x v="1"/>
    <x v="0"/>
    <x v="1"/>
    <x v="4"/>
    <x v="0"/>
    <x v="0"/>
    <x v="0"/>
    <x v="0"/>
    <x v="0"/>
    <x v="4"/>
    <s v="20"/>
    <x v="7"/>
    <x v="1"/>
    <x v="12"/>
    <x v="2"/>
    <n v="483.4"/>
  </r>
  <r>
    <x v="6"/>
    <x v="0"/>
    <x v="1"/>
    <x v="0"/>
    <x v="1"/>
    <x v="4"/>
    <x v="0"/>
    <x v="0"/>
    <x v="0"/>
    <x v="0"/>
    <x v="0"/>
    <x v="4"/>
    <s v="20"/>
    <x v="7"/>
    <x v="1"/>
    <x v="12"/>
    <x v="8"/>
    <n v="-102.45"/>
  </r>
  <r>
    <x v="6"/>
    <x v="0"/>
    <x v="1"/>
    <x v="0"/>
    <x v="1"/>
    <x v="4"/>
    <x v="0"/>
    <x v="0"/>
    <x v="0"/>
    <x v="0"/>
    <x v="0"/>
    <x v="4"/>
    <s v="20"/>
    <x v="7"/>
    <x v="1"/>
    <x v="12"/>
    <x v="9"/>
    <n v="-148.11000000000001"/>
  </r>
  <r>
    <x v="6"/>
    <x v="0"/>
    <x v="1"/>
    <x v="0"/>
    <x v="1"/>
    <x v="4"/>
    <x v="0"/>
    <x v="0"/>
    <x v="0"/>
    <x v="0"/>
    <x v="0"/>
    <x v="4"/>
    <s v="20"/>
    <x v="7"/>
    <x v="1"/>
    <x v="12"/>
    <x v="10"/>
    <n v="150"/>
  </r>
  <r>
    <x v="6"/>
    <x v="0"/>
    <x v="1"/>
    <x v="0"/>
    <x v="1"/>
    <x v="4"/>
    <x v="0"/>
    <x v="0"/>
    <x v="0"/>
    <x v="0"/>
    <x v="0"/>
    <x v="4"/>
    <s v="20"/>
    <x v="7"/>
    <x v="1"/>
    <x v="12"/>
    <x v="11"/>
    <n v="594.96"/>
  </r>
  <r>
    <x v="6"/>
    <x v="0"/>
    <x v="1"/>
    <x v="0"/>
    <x v="1"/>
    <x v="4"/>
    <x v="0"/>
    <x v="0"/>
    <x v="0"/>
    <x v="0"/>
    <x v="0"/>
    <x v="4"/>
    <s v="20"/>
    <x v="7"/>
    <x v="1"/>
    <x v="12"/>
    <x v="3"/>
    <n v="-4875"/>
  </r>
  <r>
    <x v="6"/>
    <x v="0"/>
    <x v="1"/>
    <x v="0"/>
    <x v="1"/>
    <x v="4"/>
    <x v="0"/>
    <x v="0"/>
    <x v="0"/>
    <x v="0"/>
    <x v="0"/>
    <x v="4"/>
    <s v="20"/>
    <x v="7"/>
    <x v="1"/>
    <x v="12"/>
    <x v="4"/>
    <n v="48.21"/>
  </r>
  <r>
    <x v="6"/>
    <x v="0"/>
    <x v="1"/>
    <x v="0"/>
    <x v="1"/>
    <x v="4"/>
    <x v="0"/>
    <x v="0"/>
    <x v="0"/>
    <x v="0"/>
    <x v="0"/>
    <x v="4"/>
    <s v="20"/>
    <x v="7"/>
    <x v="1"/>
    <x v="12"/>
    <x v="5"/>
    <n v="5327.61"/>
  </r>
  <r>
    <x v="6"/>
    <x v="0"/>
    <x v="1"/>
    <x v="0"/>
    <x v="1"/>
    <x v="4"/>
    <x v="0"/>
    <x v="0"/>
    <x v="0"/>
    <x v="0"/>
    <x v="0"/>
    <x v="4"/>
    <s v="20"/>
    <x v="7"/>
    <x v="1"/>
    <x v="12"/>
    <x v="6"/>
    <n v="-1787.61"/>
  </r>
  <r>
    <x v="6"/>
    <x v="0"/>
    <x v="1"/>
    <x v="0"/>
    <x v="1"/>
    <x v="4"/>
    <x v="0"/>
    <x v="0"/>
    <x v="0"/>
    <x v="0"/>
    <x v="0"/>
    <x v="4"/>
    <s v="20"/>
    <x v="7"/>
    <x v="1"/>
    <x v="12"/>
    <x v="1"/>
    <n v="1871.41"/>
  </r>
  <r>
    <x v="6"/>
    <x v="0"/>
    <x v="1"/>
    <x v="0"/>
    <x v="1"/>
    <x v="4"/>
    <x v="0"/>
    <x v="0"/>
    <x v="0"/>
    <x v="0"/>
    <x v="0"/>
    <x v="4"/>
    <s v="20"/>
    <x v="7"/>
    <x v="1"/>
    <x v="13"/>
    <x v="0"/>
    <n v="487.67"/>
  </r>
  <r>
    <x v="6"/>
    <x v="0"/>
    <x v="1"/>
    <x v="0"/>
    <x v="1"/>
    <x v="4"/>
    <x v="0"/>
    <x v="0"/>
    <x v="0"/>
    <x v="0"/>
    <x v="0"/>
    <x v="4"/>
    <s v="20"/>
    <x v="7"/>
    <x v="1"/>
    <x v="13"/>
    <x v="2"/>
    <n v="504"/>
  </r>
  <r>
    <x v="6"/>
    <x v="0"/>
    <x v="1"/>
    <x v="0"/>
    <x v="1"/>
    <x v="4"/>
    <x v="0"/>
    <x v="0"/>
    <x v="0"/>
    <x v="0"/>
    <x v="0"/>
    <x v="4"/>
    <s v="20"/>
    <x v="7"/>
    <x v="1"/>
    <x v="13"/>
    <x v="8"/>
    <n v="-41.62"/>
  </r>
  <r>
    <x v="6"/>
    <x v="0"/>
    <x v="1"/>
    <x v="0"/>
    <x v="1"/>
    <x v="4"/>
    <x v="0"/>
    <x v="0"/>
    <x v="0"/>
    <x v="0"/>
    <x v="0"/>
    <x v="4"/>
    <s v="20"/>
    <x v="7"/>
    <x v="1"/>
    <x v="13"/>
    <x v="9"/>
    <n v="5135.58"/>
  </r>
  <r>
    <x v="6"/>
    <x v="0"/>
    <x v="1"/>
    <x v="0"/>
    <x v="1"/>
    <x v="4"/>
    <x v="0"/>
    <x v="0"/>
    <x v="0"/>
    <x v="0"/>
    <x v="0"/>
    <x v="4"/>
    <s v="20"/>
    <x v="7"/>
    <x v="1"/>
    <x v="13"/>
    <x v="10"/>
    <n v="-466.98"/>
  </r>
  <r>
    <x v="6"/>
    <x v="0"/>
    <x v="1"/>
    <x v="0"/>
    <x v="1"/>
    <x v="4"/>
    <x v="0"/>
    <x v="0"/>
    <x v="0"/>
    <x v="0"/>
    <x v="0"/>
    <x v="4"/>
    <s v="20"/>
    <x v="7"/>
    <x v="1"/>
    <x v="13"/>
    <x v="11"/>
    <n v="234409.5"/>
  </r>
  <r>
    <x v="6"/>
    <x v="0"/>
    <x v="1"/>
    <x v="0"/>
    <x v="1"/>
    <x v="4"/>
    <x v="0"/>
    <x v="0"/>
    <x v="0"/>
    <x v="0"/>
    <x v="0"/>
    <x v="4"/>
    <s v="20"/>
    <x v="7"/>
    <x v="1"/>
    <x v="13"/>
    <x v="3"/>
    <n v="-233865.56"/>
  </r>
  <r>
    <x v="6"/>
    <x v="0"/>
    <x v="1"/>
    <x v="0"/>
    <x v="1"/>
    <x v="4"/>
    <x v="0"/>
    <x v="0"/>
    <x v="0"/>
    <x v="0"/>
    <x v="0"/>
    <x v="4"/>
    <s v="20"/>
    <x v="7"/>
    <x v="1"/>
    <x v="13"/>
    <x v="4"/>
    <n v="-327.67"/>
  </r>
  <r>
    <x v="6"/>
    <x v="0"/>
    <x v="1"/>
    <x v="0"/>
    <x v="1"/>
    <x v="4"/>
    <x v="0"/>
    <x v="0"/>
    <x v="0"/>
    <x v="0"/>
    <x v="0"/>
    <x v="4"/>
    <s v="20"/>
    <x v="7"/>
    <x v="1"/>
    <x v="13"/>
    <x v="7"/>
    <n v="-199216"/>
  </r>
  <r>
    <x v="6"/>
    <x v="0"/>
    <x v="1"/>
    <x v="0"/>
    <x v="1"/>
    <x v="4"/>
    <x v="0"/>
    <x v="0"/>
    <x v="0"/>
    <x v="0"/>
    <x v="0"/>
    <x v="4"/>
    <s v="20"/>
    <x v="7"/>
    <x v="1"/>
    <x v="13"/>
    <x v="5"/>
    <n v="-179.52"/>
  </r>
  <r>
    <x v="6"/>
    <x v="0"/>
    <x v="1"/>
    <x v="0"/>
    <x v="1"/>
    <x v="4"/>
    <x v="0"/>
    <x v="0"/>
    <x v="0"/>
    <x v="0"/>
    <x v="0"/>
    <x v="4"/>
    <s v="20"/>
    <x v="7"/>
    <x v="1"/>
    <x v="13"/>
    <x v="6"/>
    <n v="-16228"/>
  </r>
  <r>
    <x v="6"/>
    <x v="0"/>
    <x v="1"/>
    <x v="0"/>
    <x v="1"/>
    <x v="4"/>
    <x v="0"/>
    <x v="0"/>
    <x v="0"/>
    <x v="0"/>
    <x v="0"/>
    <x v="4"/>
    <s v="20"/>
    <x v="7"/>
    <x v="1"/>
    <x v="13"/>
    <x v="1"/>
    <n v="392596.47999999998"/>
  </r>
  <r>
    <x v="6"/>
    <x v="0"/>
    <x v="1"/>
    <x v="0"/>
    <x v="1"/>
    <x v="4"/>
    <x v="0"/>
    <x v="0"/>
    <x v="0"/>
    <x v="0"/>
    <x v="0"/>
    <x v="4"/>
    <s v="23"/>
    <x v="46"/>
    <x v="1"/>
    <x v="12"/>
    <x v="9"/>
    <n v="-13"/>
  </r>
  <r>
    <x v="6"/>
    <x v="0"/>
    <x v="1"/>
    <x v="0"/>
    <x v="1"/>
    <x v="4"/>
    <x v="0"/>
    <x v="0"/>
    <x v="0"/>
    <x v="0"/>
    <x v="0"/>
    <x v="4"/>
    <s v="23"/>
    <x v="46"/>
    <x v="1"/>
    <x v="12"/>
    <x v="10"/>
    <n v="13"/>
  </r>
  <r>
    <x v="6"/>
    <x v="0"/>
    <x v="1"/>
    <x v="0"/>
    <x v="1"/>
    <x v="4"/>
    <x v="0"/>
    <x v="0"/>
    <x v="0"/>
    <x v="0"/>
    <x v="0"/>
    <x v="4"/>
    <s v="24"/>
    <x v="1"/>
    <x v="1"/>
    <x v="12"/>
    <x v="2"/>
    <n v="168723057.94999999"/>
  </r>
  <r>
    <x v="6"/>
    <x v="0"/>
    <x v="1"/>
    <x v="0"/>
    <x v="1"/>
    <x v="4"/>
    <x v="0"/>
    <x v="0"/>
    <x v="0"/>
    <x v="0"/>
    <x v="0"/>
    <x v="4"/>
    <s v="24"/>
    <x v="1"/>
    <x v="1"/>
    <x v="12"/>
    <x v="8"/>
    <n v="1455813.19"/>
  </r>
  <r>
    <x v="6"/>
    <x v="0"/>
    <x v="1"/>
    <x v="0"/>
    <x v="1"/>
    <x v="4"/>
    <x v="0"/>
    <x v="0"/>
    <x v="0"/>
    <x v="0"/>
    <x v="0"/>
    <x v="4"/>
    <s v="24"/>
    <x v="1"/>
    <x v="1"/>
    <x v="12"/>
    <x v="9"/>
    <n v="-4996783.71"/>
  </r>
  <r>
    <x v="6"/>
    <x v="0"/>
    <x v="1"/>
    <x v="0"/>
    <x v="1"/>
    <x v="4"/>
    <x v="0"/>
    <x v="0"/>
    <x v="0"/>
    <x v="0"/>
    <x v="0"/>
    <x v="4"/>
    <s v="24"/>
    <x v="1"/>
    <x v="1"/>
    <x v="12"/>
    <x v="10"/>
    <n v="-349854.39"/>
  </r>
  <r>
    <x v="6"/>
    <x v="0"/>
    <x v="1"/>
    <x v="0"/>
    <x v="1"/>
    <x v="4"/>
    <x v="0"/>
    <x v="0"/>
    <x v="0"/>
    <x v="0"/>
    <x v="0"/>
    <x v="4"/>
    <s v="24"/>
    <x v="1"/>
    <x v="1"/>
    <x v="12"/>
    <x v="11"/>
    <n v="162217390.34"/>
  </r>
  <r>
    <x v="6"/>
    <x v="0"/>
    <x v="1"/>
    <x v="0"/>
    <x v="1"/>
    <x v="4"/>
    <x v="0"/>
    <x v="0"/>
    <x v="0"/>
    <x v="0"/>
    <x v="0"/>
    <x v="4"/>
    <s v="24"/>
    <x v="1"/>
    <x v="1"/>
    <x v="12"/>
    <x v="3"/>
    <n v="-481161.06"/>
  </r>
  <r>
    <x v="6"/>
    <x v="0"/>
    <x v="1"/>
    <x v="0"/>
    <x v="1"/>
    <x v="4"/>
    <x v="0"/>
    <x v="0"/>
    <x v="0"/>
    <x v="0"/>
    <x v="0"/>
    <x v="4"/>
    <s v="24"/>
    <x v="1"/>
    <x v="1"/>
    <x v="12"/>
    <x v="4"/>
    <n v="-325250.23"/>
  </r>
  <r>
    <x v="6"/>
    <x v="0"/>
    <x v="1"/>
    <x v="0"/>
    <x v="1"/>
    <x v="4"/>
    <x v="0"/>
    <x v="0"/>
    <x v="0"/>
    <x v="0"/>
    <x v="0"/>
    <x v="4"/>
    <s v="24"/>
    <x v="1"/>
    <x v="1"/>
    <x v="12"/>
    <x v="7"/>
    <n v="154417052.40000001"/>
  </r>
  <r>
    <x v="6"/>
    <x v="0"/>
    <x v="1"/>
    <x v="0"/>
    <x v="1"/>
    <x v="4"/>
    <x v="0"/>
    <x v="0"/>
    <x v="0"/>
    <x v="0"/>
    <x v="0"/>
    <x v="4"/>
    <s v="24"/>
    <x v="1"/>
    <x v="1"/>
    <x v="12"/>
    <x v="5"/>
    <n v="-1070415.01"/>
  </r>
  <r>
    <x v="6"/>
    <x v="0"/>
    <x v="1"/>
    <x v="0"/>
    <x v="1"/>
    <x v="4"/>
    <x v="0"/>
    <x v="0"/>
    <x v="0"/>
    <x v="0"/>
    <x v="0"/>
    <x v="4"/>
    <s v="24"/>
    <x v="1"/>
    <x v="1"/>
    <x v="12"/>
    <x v="6"/>
    <n v="-296629.08"/>
  </r>
  <r>
    <x v="6"/>
    <x v="0"/>
    <x v="1"/>
    <x v="0"/>
    <x v="1"/>
    <x v="4"/>
    <x v="0"/>
    <x v="0"/>
    <x v="0"/>
    <x v="0"/>
    <x v="0"/>
    <x v="4"/>
    <s v="24"/>
    <x v="1"/>
    <x v="1"/>
    <x v="12"/>
    <x v="1"/>
    <n v="32389.38"/>
  </r>
  <r>
    <x v="6"/>
    <x v="0"/>
    <x v="1"/>
    <x v="0"/>
    <x v="1"/>
    <x v="4"/>
    <x v="0"/>
    <x v="0"/>
    <x v="0"/>
    <x v="0"/>
    <x v="0"/>
    <x v="4"/>
    <s v="24"/>
    <x v="1"/>
    <x v="1"/>
    <x v="13"/>
    <x v="0"/>
    <n v="-2110.5500000000002"/>
  </r>
  <r>
    <x v="6"/>
    <x v="0"/>
    <x v="1"/>
    <x v="0"/>
    <x v="1"/>
    <x v="4"/>
    <x v="0"/>
    <x v="0"/>
    <x v="0"/>
    <x v="0"/>
    <x v="0"/>
    <x v="4"/>
    <s v="24"/>
    <x v="1"/>
    <x v="1"/>
    <x v="13"/>
    <x v="2"/>
    <n v="198925900.18000001"/>
  </r>
  <r>
    <x v="6"/>
    <x v="0"/>
    <x v="1"/>
    <x v="0"/>
    <x v="1"/>
    <x v="4"/>
    <x v="0"/>
    <x v="0"/>
    <x v="0"/>
    <x v="0"/>
    <x v="0"/>
    <x v="4"/>
    <s v="24"/>
    <x v="1"/>
    <x v="1"/>
    <x v="13"/>
    <x v="8"/>
    <n v="-5547745.8600000003"/>
  </r>
  <r>
    <x v="6"/>
    <x v="0"/>
    <x v="1"/>
    <x v="0"/>
    <x v="1"/>
    <x v="4"/>
    <x v="0"/>
    <x v="0"/>
    <x v="0"/>
    <x v="0"/>
    <x v="0"/>
    <x v="4"/>
    <s v="24"/>
    <x v="1"/>
    <x v="1"/>
    <x v="13"/>
    <x v="9"/>
    <n v="-3627482.07"/>
  </r>
  <r>
    <x v="6"/>
    <x v="0"/>
    <x v="1"/>
    <x v="0"/>
    <x v="1"/>
    <x v="4"/>
    <x v="0"/>
    <x v="0"/>
    <x v="0"/>
    <x v="0"/>
    <x v="0"/>
    <x v="4"/>
    <s v="24"/>
    <x v="1"/>
    <x v="1"/>
    <x v="13"/>
    <x v="10"/>
    <n v="-421426.58"/>
  </r>
  <r>
    <x v="6"/>
    <x v="0"/>
    <x v="1"/>
    <x v="0"/>
    <x v="1"/>
    <x v="4"/>
    <x v="0"/>
    <x v="0"/>
    <x v="0"/>
    <x v="0"/>
    <x v="0"/>
    <x v="4"/>
    <s v="24"/>
    <x v="1"/>
    <x v="1"/>
    <x v="13"/>
    <x v="11"/>
    <n v="200720514.74000001"/>
  </r>
  <r>
    <x v="6"/>
    <x v="0"/>
    <x v="1"/>
    <x v="0"/>
    <x v="1"/>
    <x v="4"/>
    <x v="0"/>
    <x v="0"/>
    <x v="0"/>
    <x v="0"/>
    <x v="0"/>
    <x v="4"/>
    <s v="24"/>
    <x v="1"/>
    <x v="1"/>
    <x v="13"/>
    <x v="3"/>
    <n v="-15033925.23"/>
  </r>
  <r>
    <x v="6"/>
    <x v="0"/>
    <x v="1"/>
    <x v="0"/>
    <x v="1"/>
    <x v="4"/>
    <x v="0"/>
    <x v="0"/>
    <x v="0"/>
    <x v="0"/>
    <x v="0"/>
    <x v="4"/>
    <s v="24"/>
    <x v="1"/>
    <x v="1"/>
    <x v="13"/>
    <x v="4"/>
    <n v="22899.46"/>
  </r>
  <r>
    <x v="6"/>
    <x v="0"/>
    <x v="1"/>
    <x v="0"/>
    <x v="1"/>
    <x v="4"/>
    <x v="0"/>
    <x v="0"/>
    <x v="0"/>
    <x v="0"/>
    <x v="0"/>
    <x v="4"/>
    <s v="24"/>
    <x v="1"/>
    <x v="1"/>
    <x v="13"/>
    <x v="7"/>
    <n v="177954218.22999999"/>
  </r>
  <r>
    <x v="6"/>
    <x v="0"/>
    <x v="1"/>
    <x v="0"/>
    <x v="1"/>
    <x v="4"/>
    <x v="0"/>
    <x v="0"/>
    <x v="0"/>
    <x v="0"/>
    <x v="0"/>
    <x v="4"/>
    <s v="24"/>
    <x v="1"/>
    <x v="1"/>
    <x v="13"/>
    <x v="5"/>
    <n v="-2672300.7999999998"/>
  </r>
  <r>
    <x v="6"/>
    <x v="0"/>
    <x v="1"/>
    <x v="0"/>
    <x v="1"/>
    <x v="4"/>
    <x v="0"/>
    <x v="0"/>
    <x v="0"/>
    <x v="0"/>
    <x v="0"/>
    <x v="4"/>
    <s v="24"/>
    <x v="1"/>
    <x v="1"/>
    <x v="13"/>
    <x v="6"/>
    <n v="-171381.58"/>
  </r>
  <r>
    <x v="6"/>
    <x v="0"/>
    <x v="1"/>
    <x v="0"/>
    <x v="1"/>
    <x v="4"/>
    <x v="0"/>
    <x v="0"/>
    <x v="0"/>
    <x v="0"/>
    <x v="0"/>
    <x v="4"/>
    <s v="24"/>
    <x v="1"/>
    <x v="1"/>
    <x v="13"/>
    <x v="1"/>
    <n v="-391151.89"/>
  </r>
  <r>
    <x v="6"/>
    <x v="0"/>
    <x v="1"/>
    <x v="0"/>
    <x v="1"/>
    <x v="4"/>
    <x v="0"/>
    <x v="0"/>
    <x v="0"/>
    <x v="0"/>
    <x v="0"/>
    <x v="4"/>
    <s v="30"/>
    <x v="3"/>
    <x v="1"/>
    <x v="12"/>
    <x v="11"/>
    <n v="7250"/>
  </r>
  <r>
    <x v="6"/>
    <x v="0"/>
    <x v="1"/>
    <x v="0"/>
    <x v="1"/>
    <x v="4"/>
    <x v="0"/>
    <x v="0"/>
    <x v="0"/>
    <x v="0"/>
    <x v="0"/>
    <x v="4"/>
    <s v="30"/>
    <x v="3"/>
    <x v="1"/>
    <x v="12"/>
    <x v="3"/>
    <n v="500"/>
  </r>
  <r>
    <x v="6"/>
    <x v="0"/>
    <x v="1"/>
    <x v="0"/>
    <x v="1"/>
    <x v="4"/>
    <x v="0"/>
    <x v="0"/>
    <x v="0"/>
    <x v="0"/>
    <x v="0"/>
    <x v="4"/>
    <s v="30"/>
    <x v="3"/>
    <x v="1"/>
    <x v="12"/>
    <x v="4"/>
    <n v="-5800"/>
  </r>
  <r>
    <x v="6"/>
    <x v="0"/>
    <x v="1"/>
    <x v="0"/>
    <x v="1"/>
    <x v="4"/>
    <x v="0"/>
    <x v="0"/>
    <x v="0"/>
    <x v="0"/>
    <x v="0"/>
    <x v="4"/>
    <s v="30"/>
    <x v="3"/>
    <x v="1"/>
    <x v="12"/>
    <x v="7"/>
    <n v="-751.39"/>
  </r>
  <r>
    <x v="6"/>
    <x v="0"/>
    <x v="1"/>
    <x v="0"/>
    <x v="1"/>
    <x v="4"/>
    <x v="0"/>
    <x v="0"/>
    <x v="0"/>
    <x v="0"/>
    <x v="0"/>
    <x v="4"/>
    <s v="30"/>
    <x v="3"/>
    <x v="1"/>
    <x v="12"/>
    <x v="5"/>
    <n v="-2300"/>
  </r>
  <r>
    <x v="6"/>
    <x v="0"/>
    <x v="1"/>
    <x v="0"/>
    <x v="1"/>
    <x v="4"/>
    <x v="0"/>
    <x v="0"/>
    <x v="0"/>
    <x v="0"/>
    <x v="0"/>
    <x v="4"/>
    <s v="30"/>
    <x v="3"/>
    <x v="1"/>
    <x v="12"/>
    <x v="6"/>
    <n v="553.76"/>
  </r>
  <r>
    <x v="6"/>
    <x v="0"/>
    <x v="1"/>
    <x v="0"/>
    <x v="1"/>
    <x v="4"/>
    <x v="0"/>
    <x v="0"/>
    <x v="0"/>
    <x v="0"/>
    <x v="0"/>
    <x v="4"/>
    <s v="30"/>
    <x v="3"/>
    <x v="1"/>
    <x v="12"/>
    <x v="1"/>
    <n v="596.24"/>
  </r>
  <r>
    <x v="6"/>
    <x v="0"/>
    <x v="1"/>
    <x v="0"/>
    <x v="1"/>
    <x v="4"/>
    <x v="0"/>
    <x v="0"/>
    <x v="0"/>
    <x v="0"/>
    <x v="0"/>
    <x v="4"/>
    <s v="30"/>
    <x v="3"/>
    <x v="1"/>
    <x v="13"/>
    <x v="0"/>
    <n v="209.82"/>
  </r>
  <r>
    <x v="6"/>
    <x v="0"/>
    <x v="1"/>
    <x v="0"/>
    <x v="1"/>
    <x v="4"/>
    <x v="0"/>
    <x v="0"/>
    <x v="0"/>
    <x v="0"/>
    <x v="0"/>
    <x v="4"/>
    <s v="30"/>
    <x v="3"/>
    <x v="1"/>
    <x v="13"/>
    <x v="2"/>
    <n v="43"/>
  </r>
  <r>
    <x v="6"/>
    <x v="0"/>
    <x v="1"/>
    <x v="0"/>
    <x v="1"/>
    <x v="4"/>
    <x v="0"/>
    <x v="0"/>
    <x v="0"/>
    <x v="0"/>
    <x v="0"/>
    <x v="4"/>
    <s v="30"/>
    <x v="3"/>
    <x v="1"/>
    <x v="13"/>
    <x v="9"/>
    <n v="20"/>
  </r>
  <r>
    <x v="6"/>
    <x v="0"/>
    <x v="1"/>
    <x v="0"/>
    <x v="1"/>
    <x v="4"/>
    <x v="0"/>
    <x v="0"/>
    <x v="0"/>
    <x v="0"/>
    <x v="0"/>
    <x v="4"/>
    <s v="30"/>
    <x v="3"/>
    <x v="1"/>
    <x v="13"/>
    <x v="10"/>
    <n v="195"/>
  </r>
  <r>
    <x v="6"/>
    <x v="0"/>
    <x v="1"/>
    <x v="0"/>
    <x v="1"/>
    <x v="4"/>
    <x v="0"/>
    <x v="0"/>
    <x v="0"/>
    <x v="0"/>
    <x v="0"/>
    <x v="4"/>
    <s v="30"/>
    <x v="3"/>
    <x v="1"/>
    <x v="13"/>
    <x v="11"/>
    <n v="1061"/>
  </r>
  <r>
    <x v="6"/>
    <x v="0"/>
    <x v="1"/>
    <x v="0"/>
    <x v="1"/>
    <x v="4"/>
    <x v="0"/>
    <x v="0"/>
    <x v="0"/>
    <x v="0"/>
    <x v="0"/>
    <x v="4"/>
    <s v="30"/>
    <x v="3"/>
    <x v="1"/>
    <x v="13"/>
    <x v="3"/>
    <n v="-847.15"/>
  </r>
  <r>
    <x v="6"/>
    <x v="0"/>
    <x v="1"/>
    <x v="0"/>
    <x v="1"/>
    <x v="4"/>
    <x v="0"/>
    <x v="0"/>
    <x v="0"/>
    <x v="0"/>
    <x v="0"/>
    <x v="4"/>
    <s v="30"/>
    <x v="3"/>
    <x v="1"/>
    <x v="13"/>
    <x v="4"/>
    <n v="-667.28"/>
  </r>
  <r>
    <x v="6"/>
    <x v="0"/>
    <x v="1"/>
    <x v="0"/>
    <x v="1"/>
    <x v="4"/>
    <x v="0"/>
    <x v="0"/>
    <x v="0"/>
    <x v="0"/>
    <x v="0"/>
    <x v="4"/>
    <s v="30"/>
    <x v="3"/>
    <x v="1"/>
    <x v="13"/>
    <x v="7"/>
    <n v="-359245"/>
  </r>
  <r>
    <x v="6"/>
    <x v="0"/>
    <x v="1"/>
    <x v="0"/>
    <x v="1"/>
    <x v="4"/>
    <x v="0"/>
    <x v="0"/>
    <x v="0"/>
    <x v="0"/>
    <x v="0"/>
    <x v="4"/>
    <s v="30"/>
    <x v="3"/>
    <x v="1"/>
    <x v="13"/>
    <x v="5"/>
    <n v="2097"/>
  </r>
  <r>
    <x v="6"/>
    <x v="0"/>
    <x v="1"/>
    <x v="0"/>
    <x v="1"/>
    <x v="4"/>
    <x v="0"/>
    <x v="0"/>
    <x v="0"/>
    <x v="0"/>
    <x v="0"/>
    <x v="4"/>
    <s v="30"/>
    <x v="3"/>
    <x v="1"/>
    <x v="13"/>
    <x v="6"/>
    <n v="-294806.36"/>
  </r>
  <r>
    <x v="6"/>
    <x v="0"/>
    <x v="1"/>
    <x v="0"/>
    <x v="1"/>
    <x v="4"/>
    <x v="0"/>
    <x v="0"/>
    <x v="0"/>
    <x v="0"/>
    <x v="0"/>
    <x v="4"/>
    <s v="30"/>
    <x v="3"/>
    <x v="1"/>
    <x v="13"/>
    <x v="1"/>
    <n v="651897"/>
  </r>
  <r>
    <x v="6"/>
    <x v="0"/>
    <x v="1"/>
    <x v="0"/>
    <x v="1"/>
    <x v="4"/>
    <x v="0"/>
    <x v="0"/>
    <x v="0"/>
    <x v="0"/>
    <x v="0"/>
    <x v="4"/>
    <s v="99"/>
    <x v="9"/>
    <x v="1"/>
    <x v="12"/>
    <x v="9"/>
    <n v="529.80999999999995"/>
  </r>
  <r>
    <x v="6"/>
    <x v="0"/>
    <x v="1"/>
    <x v="0"/>
    <x v="1"/>
    <x v="4"/>
    <x v="0"/>
    <x v="0"/>
    <x v="0"/>
    <x v="0"/>
    <x v="0"/>
    <x v="4"/>
    <s v="99"/>
    <x v="9"/>
    <x v="1"/>
    <x v="12"/>
    <x v="10"/>
    <n v="-529.80999999999995"/>
  </r>
  <r>
    <x v="6"/>
    <x v="0"/>
    <x v="1"/>
    <x v="0"/>
    <x v="1"/>
    <x v="4"/>
    <x v="0"/>
    <x v="0"/>
    <x v="0"/>
    <x v="0"/>
    <x v="0"/>
    <x v="4"/>
    <s v="99"/>
    <x v="9"/>
    <x v="1"/>
    <x v="12"/>
    <x v="11"/>
    <n v="1650"/>
  </r>
  <r>
    <x v="6"/>
    <x v="0"/>
    <x v="1"/>
    <x v="0"/>
    <x v="1"/>
    <x v="4"/>
    <x v="0"/>
    <x v="0"/>
    <x v="0"/>
    <x v="0"/>
    <x v="0"/>
    <x v="4"/>
    <s v="99"/>
    <x v="9"/>
    <x v="1"/>
    <x v="12"/>
    <x v="3"/>
    <n v="-150"/>
  </r>
  <r>
    <x v="6"/>
    <x v="0"/>
    <x v="1"/>
    <x v="0"/>
    <x v="1"/>
    <x v="4"/>
    <x v="0"/>
    <x v="0"/>
    <x v="0"/>
    <x v="0"/>
    <x v="0"/>
    <x v="4"/>
    <s v="99"/>
    <x v="9"/>
    <x v="1"/>
    <x v="12"/>
    <x v="5"/>
    <n v="650"/>
  </r>
  <r>
    <x v="6"/>
    <x v="0"/>
    <x v="1"/>
    <x v="0"/>
    <x v="1"/>
    <x v="4"/>
    <x v="0"/>
    <x v="0"/>
    <x v="0"/>
    <x v="0"/>
    <x v="0"/>
    <x v="4"/>
    <s v="99"/>
    <x v="9"/>
    <x v="1"/>
    <x v="12"/>
    <x v="6"/>
    <n v="-19338.63"/>
  </r>
  <r>
    <x v="6"/>
    <x v="0"/>
    <x v="1"/>
    <x v="0"/>
    <x v="1"/>
    <x v="4"/>
    <x v="0"/>
    <x v="0"/>
    <x v="0"/>
    <x v="0"/>
    <x v="0"/>
    <x v="4"/>
    <s v="99"/>
    <x v="9"/>
    <x v="1"/>
    <x v="12"/>
    <x v="1"/>
    <n v="15337.02"/>
  </r>
  <r>
    <x v="6"/>
    <x v="0"/>
    <x v="1"/>
    <x v="0"/>
    <x v="1"/>
    <x v="4"/>
    <x v="0"/>
    <x v="0"/>
    <x v="0"/>
    <x v="0"/>
    <x v="0"/>
    <x v="4"/>
    <s v="99"/>
    <x v="9"/>
    <x v="1"/>
    <x v="13"/>
    <x v="2"/>
    <n v="328"/>
  </r>
  <r>
    <x v="6"/>
    <x v="0"/>
    <x v="1"/>
    <x v="0"/>
    <x v="1"/>
    <x v="4"/>
    <x v="0"/>
    <x v="0"/>
    <x v="0"/>
    <x v="0"/>
    <x v="0"/>
    <x v="4"/>
    <s v="99"/>
    <x v="9"/>
    <x v="1"/>
    <x v="13"/>
    <x v="8"/>
    <n v="157"/>
  </r>
  <r>
    <x v="6"/>
    <x v="0"/>
    <x v="1"/>
    <x v="0"/>
    <x v="1"/>
    <x v="4"/>
    <x v="0"/>
    <x v="0"/>
    <x v="0"/>
    <x v="0"/>
    <x v="0"/>
    <x v="4"/>
    <s v="99"/>
    <x v="9"/>
    <x v="1"/>
    <x v="13"/>
    <x v="9"/>
    <n v="241"/>
  </r>
  <r>
    <x v="6"/>
    <x v="0"/>
    <x v="1"/>
    <x v="0"/>
    <x v="1"/>
    <x v="4"/>
    <x v="0"/>
    <x v="0"/>
    <x v="0"/>
    <x v="0"/>
    <x v="0"/>
    <x v="4"/>
    <s v="99"/>
    <x v="9"/>
    <x v="1"/>
    <x v="13"/>
    <x v="10"/>
    <n v="3967"/>
  </r>
  <r>
    <x v="6"/>
    <x v="0"/>
    <x v="1"/>
    <x v="0"/>
    <x v="1"/>
    <x v="4"/>
    <x v="0"/>
    <x v="0"/>
    <x v="0"/>
    <x v="0"/>
    <x v="0"/>
    <x v="4"/>
    <s v="99"/>
    <x v="9"/>
    <x v="1"/>
    <x v="13"/>
    <x v="3"/>
    <n v="-3714.68"/>
  </r>
  <r>
    <x v="6"/>
    <x v="0"/>
    <x v="1"/>
    <x v="0"/>
    <x v="1"/>
    <x v="4"/>
    <x v="0"/>
    <x v="0"/>
    <x v="0"/>
    <x v="0"/>
    <x v="0"/>
    <x v="4"/>
    <s v="99"/>
    <x v="9"/>
    <x v="1"/>
    <x v="13"/>
    <x v="4"/>
    <n v="38.33"/>
  </r>
  <r>
    <x v="6"/>
    <x v="0"/>
    <x v="1"/>
    <x v="0"/>
    <x v="1"/>
    <x v="4"/>
    <x v="0"/>
    <x v="0"/>
    <x v="0"/>
    <x v="0"/>
    <x v="0"/>
    <x v="4"/>
    <s v="99"/>
    <x v="9"/>
    <x v="1"/>
    <x v="13"/>
    <x v="7"/>
    <n v="-320"/>
  </r>
  <r>
    <x v="6"/>
    <x v="0"/>
    <x v="1"/>
    <x v="0"/>
    <x v="1"/>
    <x v="4"/>
    <x v="0"/>
    <x v="0"/>
    <x v="0"/>
    <x v="0"/>
    <x v="0"/>
    <x v="4"/>
    <s v="99"/>
    <x v="9"/>
    <x v="1"/>
    <x v="13"/>
    <x v="5"/>
    <n v="-135"/>
  </r>
  <r>
    <x v="6"/>
    <x v="0"/>
    <x v="1"/>
    <x v="0"/>
    <x v="1"/>
    <x v="4"/>
    <x v="0"/>
    <x v="0"/>
    <x v="0"/>
    <x v="0"/>
    <x v="0"/>
    <x v="4"/>
    <s v="99"/>
    <x v="9"/>
    <x v="1"/>
    <x v="13"/>
    <x v="6"/>
    <n v="-549.71"/>
  </r>
  <r>
    <x v="6"/>
    <x v="0"/>
    <x v="1"/>
    <x v="0"/>
    <x v="1"/>
    <x v="4"/>
    <x v="0"/>
    <x v="0"/>
    <x v="0"/>
    <x v="0"/>
    <x v="0"/>
    <x v="4"/>
    <s v="99"/>
    <x v="9"/>
    <x v="1"/>
    <x v="13"/>
    <x v="1"/>
    <n v="249.63"/>
  </r>
  <r>
    <x v="6"/>
    <x v="0"/>
    <x v="1"/>
    <x v="0"/>
    <x v="1"/>
    <x v="4"/>
    <x v="0"/>
    <x v="0"/>
    <x v="0"/>
    <x v="0"/>
    <x v="4"/>
    <x v="5"/>
    <s v="21"/>
    <x v="27"/>
    <x v="1"/>
    <x v="12"/>
    <x v="9"/>
    <n v="-1176000"/>
  </r>
  <r>
    <x v="6"/>
    <x v="0"/>
    <x v="1"/>
    <x v="0"/>
    <x v="1"/>
    <x v="4"/>
    <x v="0"/>
    <x v="0"/>
    <x v="0"/>
    <x v="0"/>
    <x v="4"/>
    <x v="5"/>
    <s v="21"/>
    <x v="27"/>
    <x v="1"/>
    <x v="12"/>
    <x v="10"/>
    <n v="-12537038"/>
  </r>
  <r>
    <x v="6"/>
    <x v="0"/>
    <x v="1"/>
    <x v="0"/>
    <x v="1"/>
    <x v="4"/>
    <x v="0"/>
    <x v="0"/>
    <x v="0"/>
    <x v="0"/>
    <x v="4"/>
    <x v="5"/>
    <s v="21"/>
    <x v="27"/>
    <x v="1"/>
    <x v="12"/>
    <x v="11"/>
    <n v="-219038"/>
  </r>
  <r>
    <x v="6"/>
    <x v="0"/>
    <x v="1"/>
    <x v="0"/>
    <x v="1"/>
    <x v="4"/>
    <x v="0"/>
    <x v="0"/>
    <x v="0"/>
    <x v="0"/>
    <x v="4"/>
    <x v="5"/>
    <s v="21"/>
    <x v="27"/>
    <x v="1"/>
    <x v="12"/>
    <x v="3"/>
    <n v="-13318296.77"/>
  </r>
  <r>
    <x v="6"/>
    <x v="0"/>
    <x v="1"/>
    <x v="0"/>
    <x v="1"/>
    <x v="4"/>
    <x v="0"/>
    <x v="0"/>
    <x v="0"/>
    <x v="0"/>
    <x v="4"/>
    <x v="5"/>
    <s v="21"/>
    <x v="27"/>
    <x v="1"/>
    <x v="12"/>
    <x v="4"/>
    <n v="-832751"/>
  </r>
  <r>
    <x v="6"/>
    <x v="0"/>
    <x v="1"/>
    <x v="0"/>
    <x v="1"/>
    <x v="4"/>
    <x v="0"/>
    <x v="0"/>
    <x v="0"/>
    <x v="0"/>
    <x v="4"/>
    <x v="5"/>
    <s v="21"/>
    <x v="27"/>
    <x v="1"/>
    <x v="12"/>
    <x v="7"/>
    <n v="-219036.16"/>
  </r>
  <r>
    <x v="6"/>
    <x v="0"/>
    <x v="1"/>
    <x v="0"/>
    <x v="1"/>
    <x v="4"/>
    <x v="0"/>
    <x v="0"/>
    <x v="0"/>
    <x v="0"/>
    <x v="4"/>
    <x v="5"/>
    <s v="21"/>
    <x v="27"/>
    <x v="1"/>
    <x v="12"/>
    <x v="5"/>
    <n v="-219038"/>
  </r>
  <r>
    <x v="6"/>
    <x v="0"/>
    <x v="1"/>
    <x v="0"/>
    <x v="1"/>
    <x v="4"/>
    <x v="0"/>
    <x v="0"/>
    <x v="0"/>
    <x v="0"/>
    <x v="4"/>
    <x v="5"/>
    <s v="21"/>
    <x v="27"/>
    <x v="1"/>
    <x v="12"/>
    <x v="6"/>
    <n v="-135000"/>
  </r>
  <r>
    <x v="6"/>
    <x v="0"/>
    <x v="1"/>
    <x v="0"/>
    <x v="1"/>
    <x v="4"/>
    <x v="0"/>
    <x v="0"/>
    <x v="0"/>
    <x v="0"/>
    <x v="4"/>
    <x v="5"/>
    <s v="21"/>
    <x v="27"/>
    <x v="1"/>
    <x v="12"/>
    <x v="1"/>
    <n v="28656197.93"/>
  </r>
  <r>
    <x v="6"/>
    <x v="0"/>
    <x v="1"/>
    <x v="0"/>
    <x v="1"/>
    <x v="4"/>
    <x v="0"/>
    <x v="0"/>
    <x v="0"/>
    <x v="0"/>
    <x v="4"/>
    <x v="5"/>
    <s v="21"/>
    <x v="27"/>
    <x v="1"/>
    <x v="13"/>
    <x v="0"/>
    <n v="2266.14"/>
  </r>
  <r>
    <x v="6"/>
    <x v="0"/>
    <x v="1"/>
    <x v="0"/>
    <x v="1"/>
    <x v="4"/>
    <x v="0"/>
    <x v="0"/>
    <x v="0"/>
    <x v="0"/>
    <x v="4"/>
    <x v="5"/>
    <s v="21"/>
    <x v="27"/>
    <x v="1"/>
    <x v="13"/>
    <x v="8"/>
    <n v="-536.24"/>
  </r>
  <r>
    <x v="6"/>
    <x v="0"/>
    <x v="1"/>
    <x v="0"/>
    <x v="1"/>
    <x v="4"/>
    <x v="0"/>
    <x v="0"/>
    <x v="0"/>
    <x v="0"/>
    <x v="4"/>
    <x v="5"/>
    <s v="21"/>
    <x v="27"/>
    <x v="1"/>
    <x v="13"/>
    <x v="9"/>
    <n v="27486.14"/>
  </r>
  <r>
    <x v="6"/>
    <x v="0"/>
    <x v="1"/>
    <x v="0"/>
    <x v="1"/>
    <x v="4"/>
    <x v="0"/>
    <x v="0"/>
    <x v="0"/>
    <x v="0"/>
    <x v="4"/>
    <x v="5"/>
    <s v="21"/>
    <x v="27"/>
    <x v="1"/>
    <x v="13"/>
    <x v="11"/>
    <n v="-64"/>
  </r>
  <r>
    <x v="6"/>
    <x v="0"/>
    <x v="1"/>
    <x v="0"/>
    <x v="1"/>
    <x v="4"/>
    <x v="0"/>
    <x v="0"/>
    <x v="0"/>
    <x v="0"/>
    <x v="4"/>
    <x v="5"/>
    <s v="21"/>
    <x v="27"/>
    <x v="1"/>
    <x v="13"/>
    <x v="3"/>
    <n v="-1665.9"/>
  </r>
  <r>
    <x v="6"/>
    <x v="0"/>
    <x v="1"/>
    <x v="0"/>
    <x v="1"/>
    <x v="4"/>
    <x v="0"/>
    <x v="0"/>
    <x v="0"/>
    <x v="0"/>
    <x v="4"/>
    <x v="5"/>
    <s v="21"/>
    <x v="27"/>
    <x v="1"/>
    <x v="13"/>
    <x v="5"/>
    <n v="-53.23"/>
  </r>
  <r>
    <x v="6"/>
    <x v="0"/>
    <x v="1"/>
    <x v="0"/>
    <x v="1"/>
    <x v="4"/>
    <x v="0"/>
    <x v="0"/>
    <x v="0"/>
    <x v="0"/>
    <x v="4"/>
    <x v="5"/>
    <s v="21"/>
    <x v="27"/>
    <x v="1"/>
    <x v="13"/>
    <x v="6"/>
    <n v="142484"/>
  </r>
  <r>
    <x v="6"/>
    <x v="0"/>
    <x v="1"/>
    <x v="0"/>
    <x v="1"/>
    <x v="4"/>
    <x v="0"/>
    <x v="0"/>
    <x v="0"/>
    <x v="0"/>
    <x v="4"/>
    <x v="5"/>
    <s v="21"/>
    <x v="27"/>
    <x v="1"/>
    <x v="13"/>
    <x v="1"/>
    <n v="724616.97"/>
  </r>
  <r>
    <x v="6"/>
    <x v="0"/>
    <x v="1"/>
    <x v="0"/>
    <x v="1"/>
    <x v="4"/>
    <x v="0"/>
    <x v="0"/>
    <x v="0"/>
    <x v="0"/>
    <x v="4"/>
    <x v="5"/>
    <s v="22"/>
    <x v="25"/>
    <x v="1"/>
    <x v="12"/>
    <x v="0"/>
    <n v="-81115.839999999997"/>
  </r>
  <r>
    <x v="6"/>
    <x v="0"/>
    <x v="1"/>
    <x v="0"/>
    <x v="1"/>
    <x v="4"/>
    <x v="0"/>
    <x v="0"/>
    <x v="0"/>
    <x v="0"/>
    <x v="4"/>
    <x v="5"/>
    <s v="22"/>
    <x v="25"/>
    <x v="1"/>
    <x v="12"/>
    <x v="3"/>
    <n v="13320000"/>
  </r>
  <r>
    <x v="6"/>
    <x v="0"/>
    <x v="1"/>
    <x v="0"/>
    <x v="1"/>
    <x v="4"/>
    <x v="0"/>
    <x v="0"/>
    <x v="0"/>
    <x v="0"/>
    <x v="4"/>
    <x v="5"/>
    <s v="22"/>
    <x v="25"/>
    <x v="1"/>
    <x v="12"/>
    <x v="7"/>
    <n v="-515785"/>
  </r>
  <r>
    <x v="6"/>
    <x v="0"/>
    <x v="1"/>
    <x v="0"/>
    <x v="1"/>
    <x v="4"/>
    <x v="0"/>
    <x v="0"/>
    <x v="0"/>
    <x v="0"/>
    <x v="4"/>
    <x v="5"/>
    <s v="22"/>
    <x v="25"/>
    <x v="1"/>
    <x v="12"/>
    <x v="6"/>
    <n v="-2413619"/>
  </r>
  <r>
    <x v="6"/>
    <x v="0"/>
    <x v="1"/>
    <x v="0"/>
    <x v="1"/>
    <x v="4"/>
    <x v="0"/>
    <x v="0"/>
    <x v="0"/>
    <x v="0"/>
    <x v="4"/>
    <x v="5"/>
    <s v="22"/>
    <x v="25"/>
    <x v="1"/>
    <x v="12"/>
    <x v="1"/>
    <n v="-29491601.93"/>
  </r>
  <r>
    <x v="6"/>
    <x v="0"/>
    <x v="1"/>
    <x v="0"/>
    <x v="1"/>
    <x v="4"/>
    <x v="0"/>
    <x v="0"/>
    <x v="0"/>
    <x v="0"/>
    <x v="4"/>
    <x v="5"/>
    <s v="22"/>
    <x v="25"/>
    <x v="1"/>
    <x v="13"/>
    <x v="0"/>
    <n v="-60"/>
  </r>
  <r>
    <x v="6"/>
    <x v="0"/>
    <x v="1"/>
    <x v="0"/>
    <x v="1"/>
    <x v="4"/>
    <x v="0"/>
    <x v="0"/>
    <x v="0"/>
    <x v="0"/>
    <x v="4"/>
    <x v="5"/>
    <s v="22"/>
    <x v="25"/>
    <x v="1"/>
    <x v="13"/>
    <x v="2"/>
    <n v="-438076"/>
  </r>
  <r>
    <x v="6"/>
    <x v="0"/>
    <x v="1"/>
    <x v="0"/>
    <x v="1"/>
    <x v="4"/>
    <x v="0"/>
    <x v="0"/>
    <x v="0"/>
    <x v="0"/>
    <x v="4"/>
    <x v="5"/>
    <s v="22"/>
    <x v="25"/>
    <x v="1"/>
    <x v="13"/>
    <x v="8"/>
    <n v="-243307.1"/>
  </r>
  <r>
    <x v="6"/>
    <x v="0"/>
    <x v="1"/>
    <x v="0"/>
    <x v="1"/>
    <x v="4"/>
    <x v="0"/>
    <x v="0"/>
    <x v="0"/>
    <x v="0"/>
    <x v="4"/>
    <x v="5"/>
    <s v="22"/>
    <x v="25"/>
    <x v="1"/>
    <x v="13"/>
    <x v="9"/>
    <n v="-246524.14"/>
  </r>
  <r>
    <x v="6"/>
    <x v="0"/>
    <x v="1"/>
    <x v="0"/>
    <x v="1"/>
    <x v="4"/>
    <x v="0"/>
    <x v="0"/>
    <x v="0"/>
    <x v="0"/>
    <x v="4"/>
    <x v="5"/>
    <s v="22"/>
    <x v="25"/>
    <x v="1"/>
    <x v="13"/>
    <x v="10"/>
    <n v="-219038"/>
  </r>
  <r>
    <x v="6"/>
    <x v="0"/>
    <x v="1"/>
    <x v="0"/>
    <x v="1"/>
    <x v="4"/>
    <x v="0"/>
    <x v="0"/>
    <x v="0"/>
    <x v="0"/>
    <x v="4"/>
    <x v="5"/>
    <s v="22"/>
    <x v="25"/>
    <x v="1"/>
    <x v="13"/>
    <x v="11"/>
    <n v="-22533188.899999999"/>
  </r>
  <r>
    <x v="6"/>
    <x v="0"/>
    <x v="1"/>
    <x v="0"/>
    <x v="1"/>
    <x v="4"/>
    <x v="0"/>
    <x v="0"/>
    <x v="0"/>
    <x v="0"/>
    <x v="4"/>
    <x v="5"/>
    <s v="22"/>
    <x v="25"/>
    <x v="1"/>
    <x v="13"/>
    <x v="3"/>
    <n v="-219102"/>
  </r>
  <r>
    <x v="6"/>
    <x v="0"/>
    <x v="1"/>
    <x v="0"/>
    <x v="1"/>
    <x v="4"/>
    <x v="0"/>
    <x v="0"/>
    <x v="0"/>
    <x v="0"/>
    <x v="4"/>
    <x v="5"/>
    <s v="22"/>
    <x v="25"/>
    <x v="1"/>
    <x v="13"/>
    <x v="4"/>
    <n v="-219038"/>
  </r>
  <r>
    <x v="6"/>
    <x v="0"/>
    <x v="1"/>
    <x v="0"/>
    <x v="1"/>
    <x v="4"/>
    <x v="0"/>
    <x v="0"/>
    <x v="0"/>
    <x v="0"/>
    <x v="4"/>
    <x v="5"/>
    <s v="22"/>
    <x v="25"/>
    <x v="1"/>
    <x v="13"/>
    <x v="7"/>
    <n v="-219038"/>
  </r>
  <r>
    <x v="6"/>
    <x v="0"/>
    <x v="1"/>
    <x v="0"/>
    <x v="1"/>
    <x v="4"/>
    <x v="0"/>
    <x v="0"/>
    <x v="0"/>
    <x v="0"/>
    <x v="4"/>
    <x v="5"/>
    <s v="22"/>
    <x v="25"/>
    <x v="1"/>
    <x v="13"/>
    <x v="5"/>
    <n v="-1119038"/>
  </r>
  <r>
    <x v="6"/>
    <x v="0"/>
    <x v="1"/>
    <x v="0"/>
    <x v="1"/>
    <x v="4"/>
    <x v="0"/>
    <x v="0"/>
    <x v="0"/>
    <x v="0"/>
    <x v="4"/>
    <x v="5"/>
    <s v="22"/>
    <x v="25"/>
    <x v="1"/>
    <x v="13"/>
    <x v="6"/>
    <n v="-1469038"/>
  </r>
  <r>
    <x v="6"/>
    <x v="0"/>
    <x v="1"/>
    <x v="0"/>
    <x v="1"/>
    <x v="4"/>
    <x v="0"/>
    <x v="0"/>
    <x v="0"/>
    <x v="0"/>
    <x v="4"/>
    <x v="5"/>
    <s v="22"/>
    <x v="25"/>
    <x v="1"/>
    <x v="13"/>
    <x v="1"/>
    <n v="-5483093.0700000003"/>
  </r>
  <r>
    <x v="6"/>
    <x v="0"/>
    <x v="1"/>
    <x v="0"/>
    <x v="1"/>
    <x v="4"/>
    <x v="0"/>
    <x v="0"/>
    <x v="0"/>
    <x v="0"/>
    <x v="4"/>
    <x v="5"/>
    <s v="88"/>
    <x v="43"/>
    <x v="1"/>
    <x v="12"/>
    <x v="8"/>
    <n v="-342574.13"/>
  </r>
  <r>
    <x v="6"/>
    <x v="0"/>
    <x v="1"/>
    <x v="0"/>
    <x v="1"/>
    <x v="4"/>
    <x v="0"/>
    <x v="0"/>
    <x v="0"/>
    <x v="0"/>
    <x v="4"/>
    <x v="5"/>
    <s v="88"/>
    <x v="43"/>
    <x v="1"/>
    <x v="12"/>
    <x v="9"/>
    <n v="-109415.25"/>
  </r>
  <r>
    <x v="6"/>
    <x v="0"/>
    <x v="1"/>
    <x v="0"/>
    <x v="1"/>
    <x v="4"/>
    <x v="0"/>
    <x v="0"/>
    <x v="0"/>
    <x v="0"/>
    <x v="4"/>
    <x v="5"/>
    <s v="88"/>
    <x v="43"/>
    <x v="1"/>
    <x v="12"/>
    <x v="10"/>
    <n v="-109415.25"/>
  </r>
  <r>
    <x v="6"/>
    <x v="0"/>
    <x v="1"/>
    <x v="0"/>
    <x v="1"/>
    <x v="4"/>
    <x v="0"/>
    <x v="0"/>
    <x v="0"/>
    <x v="0"/>
    <x v="4"/>
    <x v="5"/>
    <s v="88"/>
    <x v="43"/>
    <x v="1"/>
    <x v="12"/>
    <x v="11"/>
    <n v="-109415.25"/>
  </r>
  <r>
    <x v="6"/>
    <x v="0"/>
    <x v="1"/>
    <x v="0"/>
    <x v="1"/>
    <x v="4"/>
    <x v="0"/>
    <x v="0"/>
    <x v="0"/>
    <x v="0"/>
    <x v="4"/>
    <x v="5"/>
    <s v="88"/>
    <x v="43"/>
    <x v="1"/>
    <x v="12"/>
    <x v="4"/>
    <n v="-215947.17"/>
  </r>
  <r>
    <x v="6"/>
    <x v="0"/>
    <x v="1"/>
    <x v="0"/>
    <x v="1"/>
    <x v="4"/>
    <x v="0"/>
    <x v="0"/>
    <x v="0"/>
    <x v="0"/>
    <x v="4"/>
    <x v="5"/>
    <s v="88"/>
    <x v="43"/>
    <x v="1"/>
    <x v="12"/>
    <x v="7"/>
    <n v="-106531.92"/>
  </r>
  <r>
    <x v="6"/>
    <x v="0"/>
    <x v="1"/>
    <x v="0"/>
    <x v="1"/>
    <x v="4"/>
    <x v="0"/>
    <x v="0"/>
    <x v="0"/>
    <x v="0"/>
    <x v="4"/>
    <x v="5"/>
    <s v="88"/>
    <x v="43"/>
    <x v="1"/>
    <x v="12"/>
    <x v="5"/>
    <n v="-106531.92"/>
  </r>
  <r>
    <x v="6"/>
    <x v="0"/>
    <x v="1"/>
    <x v="0"/>
    <x v="1"/>
    <x v="4"/>
    <x v="0"/>
    <x v="0"/>
    <x v="0"/>
    <x v="0"/>
    <x v="4"/>
    <x v="5"/>
    <s v="88"/>
    <x v="43"/>
    <x v="1"/>
    <x v="12"/>
    <x v="6"/>
    <n v="-106531.92"/>
  </r>
  <r>
    <x v="6"/>
    <x v="0"/>
    <x v="1"/>
    <x v="0"/>
    <x v="1"/>
    <x v="4"/>
    <x v="0"/>
    <x v="0"/>
    <x v="0"/>
    <x v="0"/>
    <x v="4"/>
    <x v="5"/>
    <s v="88"/>
    <x v="43"/>
    <x v="1"/>
    <x v="12"/>
    <x v="1"/>
    <n v="1206362.81"/>
  </r>
  <r>
    <x v="6"/>
    <x v="0"/>
    <x v="1"/>
    <x v="0"/>
    <x v="1"/>
    <x v="4"/>
    <x v="0"/>
    <x v="0"/>
    <x v="0"/>
    <x v="0"/>
    <x v="4"/>
    <x v="5"/>
    <s v="88"/>
    <x v="43"/>
    <x v="1"/>
    <x v="13"/>
    <x v="0"/>
    <n v="-106531.92"/>
  </r>
  <r>
    <x v="6"/>
    <x v="0"/>
    <x v="1"/>
    <x v="0"/>
    <x v="1"/>
    <x v="4"/>
    <x v="0"/>
    <x v="0"/>
    <x v="0"/>
    <x v="0"/>
    <x v="4"/>
    <x v="5"/>
    <s v="88"/>
    <x v="43"/>
    <x v="1"/>
    <x v="13"/>
    <x v="2"/>
    <n v="-93708.75"/>
  </r>
  <r>
    <x v="6"/>
    <x v="0"/>
    <x v="1"/>
    <x v="0"/>
    <x v="1"/>
    <x v="4"/>
    <x v="0"/>
    <x v="0"/>
    <x v="0"/>
    <x v="0"/>
    <x v="4"/>
    <x v="5"/>
    <s v="88"/>
    <x v="43"/>
    <x v="1"/>
    <x v="13"/>
    <x v="8"/>
    <n v="-93708.75"/>
  </r>
  <r>
    <x v="6"/>
    <x v="0"/>
    <x v="1"/>
    <x v="0"/>
    <x v="1"/>
    <x v="4"/>
    <x v="0"/>
    <x v="0"/>
    <x v="0"/>
    <x v="0"/>
    <x v="4"/>
    <x v="5"/>
    <s v="88"/>
    <x v="43"/>
    <x v="1"/>
    <x v="13"/>
    <x v="9"/>
    <n v="-93708.75"/>
  </r>
  <r>
    <x v="6"/>
    <x v="0"/>
    <x v="1"/>
    <x v="0"/>
    <x v="1"/>
    <x v="4"/>
    <x v="0"/>
    <x v="0"/>
    <x v="0"/>
    <x v="0"/>
    <x v="4"/>
    <x v="5"/>
    <s v="88"/>
    <x v="43"/>
    <x v="1"/>
    <x v="13"/>
    <x v="10"/>
    <n v="-93708.75"/>
  </r>
  <r>
    <x v="6"/>
    <x v="0"/>
    <x v="1"/>
    <x v="0"/>
    <x v="1"/>
    <x v="4"/>
    <x v="0"/>
    <x v="0"/>
    <x v="0"/>
    <x v="0"/>
    <x v="4"/>
    <x v="5"/>
    <s v="88"/>
    <x v="43"/>
    <x v="1"/>
    <x v="13"/>
    <x v="11"/>
    <n v="-93708.75"/>
  </r>
  <r>
    <x v="6"/>
    <x v="0"/>
    <x v="1"/>
    <x v="0"/>
    <x v="1"/>
    <x v="4"/>
    <x v="0"/>
    <x v="0"/>
    <x v="0"/>
    <x v="0"/>
    <x v="4"/>
    <x v="5"/>
    <s v="88"/>
    <x v="43"/>
    <x v="1"/>
    <x v="13"/>
    <x v="3"/>
    <n v="-93708.75"/>
  </r>
  <r>
    <x v="6"/>
    <x v="0"/>
    <x v="1"/>
    <x v="0"/>
    <x v="1"/>
    <x v="4"/>
    <x v="0"/>
    <x v="0"/>
    <x v="0"/>
    <x v="0"/>
    <x v="4"/>
    <x v="5"/>
    <s v="88"/>
    <x v="43"/>
    <x v="1"/>
    <x v="13"/>
    <x v="4"/>
    <n v="-93708.75"/>
  </r>
  <r>
    <x v="6"/>
    <x v="0"/>
    <x v="1"/>
    <x v="0"/>
    <x v="1"/>
    <x v="4"/>
    <x v="0"/>
    <x v="0"/>
    <x v="0"/>
    <x v="0"/>
    <x v="4"/>
    <x v="5"/>
    <s v="88"/>
    <x v="43"/>
    <x v="1"/>
    <x v="13"/>
    <x v="7"/>
    <n v="-174246.43"/>
  </r>
  <r>
    <x v="6"/>
    <x v="0"/>
    <x v="1"/>
    <x v="0"/>
    <x v="1"/>
    <x v="4"/>
    <x v="0"/>
    <x v="0"/>
    <x v="0"/>
    <x v="0"/>
    <x v="4"/>
    <x v="5"/>
    <s v="88"/>
    <x v="43"/>
    <x v="1"/>
    <x v="13"/>
    <x v="5"/>
    <n v="-186201.65"/>
  </r>
  <r>
    <x v="6"/>
    <x v="0"/>
    <x v="1"/>
    <x v="0"/>
    <x v="1"/>
    <x v="4"/>
    <x v="0"/>
    <x v="0"/>
    <x v="0"/>
    <x v="0"/>
    <x v="4"/>
    <x v="5"/>
    <s v="88"/>
    <x v="43"/>
    <x v="1"/>
    <x v="13"/>
    <x v="6"/>
    <n v="-186096.89"/>
  </r>
  <r>
    <x v="6"/>
    <x v="0"/>
    <x v="1"/>
    <x v="0"/>
    <x v="1"/>
    <x v="4"/>
    <x v="0"/>
    <x v="0"/>
    <x v="0"/>
    <x v="0"/>
    <x v="4"/>
    <x v="5"/>
    <s v="88"/>
    <x v="43"/>
    <x v="1"/>
    <x v="13"/>
    <x v="1"/>
    <n v="1309038.1399999999"/>
  </r>
  <r>
    <x v="6"/>
    <x v="0"/>
    <x v="1"/>
    <x v="0"/>
    <x v="1"/>
    <x v="4"/>
    <x v="0"/>
    <x v="0"/>
    <x v="0"/>
    <x v="0"/>
    <x v="6"/>
    <x v="9"/>
    <s v="60"/>
    <x v="47"/>
    <x v="1"/>
    <x v="13"/>
    <x v="1"/>
    <n v="20200000"/>
  </r>
  <r>
    <x v="6"/>
    <x v="0"/>
    <x v="1"/>
    <x v="0"/>
    <x v="1"/>
    <x v="0"/>
    <x v="0"/>
    <x v="0"/>
    <x v="0"/>
    <x v="1"/>
    <x v="1"/>
    <x v="8"/>
    <s v="41"/>
    <x v="4"/>
    <x v="1"/>
    <x v="12"/>
    <x v="6"/>
    <n v="520"/>
  </r>
  <r>
    <x v="6"/>
    <x v="0"/>
    <x v="1"/>
    <x v="0"/>
    <x v="1"/>
    <x v="0"/>
    <x v="0"/>
    <x v="0"/>
    <x v="0"/>
    <x v="1"/>
    <x v="1"/>
    <x v="8"/>
    <s v="41"/>
    <x v="4"/>
    <x v="1"/>
    <x v="12"/>
    <x v="1"/>
    <n v="-520"/>
  </r>
  <r>
    <x v="6"/>
    <x v="0"/>
    <x v="1"/>
    <x v="0"/>
    <x v="1"/>
    <x v="0"/>
    <x v="0"/>
    <x v="0"/>
    <x v="0"/>
    <x v="1"/>
    <x v="1"/>
    <x v="8"/>
    <s v="41"/>
    <x v="4"/>
    <x v="1"/>
    <x v="13"/>
    <x v="5"/>
    <n v="500"/>
  </r>
  <r>
    <x v="6"/>
    <x v="0"/>
    <x v="1"/>
    <x v="0"/>
    <x v="1"/>
    <x v="0"/>
    <x v="0"/>
    <x v="0"/>
    <x v="0"/>
    <x v="1"/>
    <x v="1"/>
    <x v="8"/>
    <s v="41"/>
    <x v="4"/>
    <x v="1"/>
    <x v="13"/>
    <x v="1"/>
    <n v="-500"/>
  </r>
  <r>
    <x v="6"/>
    <x v="0"/>
    <x v="1"/>
    <x v="0"/>
    <x v="1"/>
    <x v="0"/>
    <x v="0"/>
    <x v="0"/>
    <x v="0"/>
    <x v="0"/>
    <x v="0"/>
    <x v="4"/>
    <s v="09"/>
    <x v="0"/>
    <x v="1"/>
    <x v="12"/>
    <x v="0"/>
    <n v="4975.01"/>
  </r>
  <r>
    <x v="6"/>
    <x v="0"/>
    <x v="1"/>
    <x v="0"/>
    <x v="1"/>
    <x v="0"/>
    <x v="0"/>
    <x v="0"/>
    <x v="0"/>
    <x v="0"/>
    <x v="0"/>
    <x v="4"/>
    <s v="09"/>
    <x v="0"/>
    <x v="1"/>
    <x v="12"/>
    <x v="11"/>
    <n v="125863.83"/>
  </r>
  <r>
    <x v="6"/>
    <x v="0"/>
    <x v="1"/>
    <x v="0"/>
    <x v="1"/>
    <x v="0"/>
    <x v="0"/>
    <x v="0"/>
    <x v="0"/>
    <x v="0"/>
    <x v="0"/>
    <x v="4"/>
    <s v="09"/>
    <x v="0"/>
    <x v="1"/>
    <x v="12"/>
    <x v="7"/>
    <n v="205552.59"/>
  </r>
  <r>
    <x v="6"/>
    <x v="0"/>
    <x v="1"/>
    <x v="0"/>
    <x v="1"/>
    <x v="0"/>
    <x v="0"/>
    <x v="0"/>
    <x v="0"/>
    <x v="0"/>
    <x v="0"/>
    <x v="4"/>
    <s v="09"/>
    <x v="0"/>
    <x v="1"/>
    <x v="12"/>
    <x v="6"/>
    <n v="130834.17"/>
  </r>
  <r>
    <x v="6"/>
    <x v="0"/>
    <x v="1"/>
    <x v="0"/>
    <x v="1"/>
    <x v="0"/>
    <x v="0"/>
    <x v="0"/>
    <x v="0"/>
    <x v="0"/>
    <x v="0"/>
    <x v="4"/>
    <s v="09"/>
    <x v="0"/>
    <x v="1"/>
    <x v="12"/>
    <x v="1"/>
    <n v="37229.96"/>
  </r>
  <r>
    <x v="6"/>
    <x v="0"/>
    <x v="1"/>
    <x v="0"/>
    <x v="1"/>
    <x v="0"/>
    <x v="0"/>
    <x v="0"/>
    <x v="0"/>
    <x v="0"/>
    <x v="0"/>
    <x v="4"/>
    <s v="09"/>
    <x v="0"/>
    <x v="1"/>
    <x v="13"/>
    <x v="0"/>
    <n v="53611.17"/>
  </r>
  <r>
    <x v="6"/>
    <x v="0"/>
    <x v="1"/>
    <x v="0"/>
    <x v="1"/>
    <x v="0"/>
    <x v="0"/>
    <x v="0"/>
    <x v="0"/>
    <x v="0"/>
    <x v="0"/>
    <x v="4"/>
    <s v="09"/>
    <x v="0"/>
    <x v="1"/>
    <x v="13"/>
    <x v="2"/>
    <n v="-281.67"/>
  </r>
  <r>
    <x v="6"/>
    <x v="0"/>
    <x v="1"/>
    <x v="0"/>
    <x v="1"/>
    <x v="0"/>
    <x v="0"/>
    <x v="0"/>
    <x v="0"/>
    <x v="0"/>
    <x v="0"/>
    <x v="4"/>
    <s v="09"/>
    <x v="0"/>
    <x v="1"/>
    <x v="13"/>
    <x v="10"/>
    <n v="77609.25"/>
  </r>
  <r>
    <x v="6"/>
    <x v="0"/>
    <x v="1"/>
    <x v="0"/>
    <x v="1"/>
    <x v="0"/>
    <x v="0"/>
    <x v="0"/>
    <x v="0"/>
    <x v="0"/>
    <x v="0"/>
    <x v="4"/>
    <s v="09"/>
    <x v="0"/>
    <x v="1"/>
    <x v="13"/>
    <x v="3"/>
    <n v="177257.74"/>
  </r>
  <r>
    <x v="6"/>
    <x v="0"/>
    <x v="1"/>
    <x v="0"/>
    <x v="1"/>
    <x v="0"/>
    <x v="0"/>
    <x v="0"/>
    <x v="0"/>
    <x v="0"/>
    <x v="0"/>
    <x v="4"/>
    <s v="09"/>
    <x v="0"/>
    <x v="1"/>
    <x v="13"/>
    <x v="5"/>
    <n v="184306.25"/>
  </r>
  <r>
    <x v="6"/>
    <x v="0"/>
    <x v="1"/>
    <x v="0"/>
    <x v="1"/>
    <x v="0"/>
    <x v="0"/>
    <x v="0"/>
    <x v="0"/>
    <x v="0"/>
    <x v="0"/>
    <x v="4"/>
    <s v="09"/>
    <x v="0"/>
    <x v="1"/>
    <x v="13"/>
    <x v="1"/>
    <n v="55152.22"/>
  </r>
  <r>
    <x v="6"/>
    <x v="0"/>
    <x v="1"/>
    <x v="0"/>
    <x v="1"/>
    <x v="0"/>
    <x v="0"/>
    <x v="0"/>
    <x v="0"/>
    <x v="0"/>
    <x v="0"/>
    <x v="4"/>
    <s v="20"/>
    <x v="7"/>
    <x v="1"/>
    <x v="12"/>
    <x v="0"/>
    <n v="-765.87"/>
  </r>
  <r>
    <x v="6"/>
    <x v="0"/>
    <x v="1"/>
    <x v="0"/>
    <x v="1"/>
    <x v="0"/>
    <x v="0"/>
    <x v="0"/>
    <x v="0"/>
    <x v="0"/>
    <x v="0"/>
    <x v="4"/>
    <s v="20"/>
    <x v="7"/>
    <x v="1"/>
    <x v="12"/>
    <x v="2"/>
    <n v="90"/>
  </r>
  <r>
    <x v="6"/>
    <x v="0"/>
    <x v="1"/>
    <x v="0"/>
    <x v="1"/>
    <x v="0"/>
    <x v="0"/>
    <x v="0"/>
    <x v="0"/>
    <x v="0"/>
    <x v="0"/>
    <x v="4"/>
    <s v="20"/>
    <x v="7"/>
    <x v="1"/>
    <x v="12"/>
    <x v="8"/>
    <n v="-90"/>
  </r>
  <r>
    <x v="6"/>
    <x v="0"/>
    <x v="1"/>
    <x v="0"/>
    <x v="1"/>
    <x v="0"/>
    <x v="0"/>
    <x v="0"/>
    <x v="0"/>
    <x v="0"/>
    <x v="0"/>
    <x v="4"/>
    <s v="20"/>
    <x v="7"/>
    <x v="1"/>
    <x v="12"/>
    <x v="3"/>
    <n v="99.6"/>
  </r>
  <r>
    <x v="6"/>
    <x v="0"/>
    <x v="1"/>
    <x v="0"/>
    <x v="1"/>
    <x v="0"/>
    <x v="0"/>
    <x v="0"/>
    <x v="0"/>
    <x v="0"/>
    <x v="0"/>
    <x v="4"/>
    <s v="20"/>
    <x v="7"/>
    <x v="1"/>
    <x v="12"/>
    <x v="4"/>
    <n v="-99.6"/>
  </r>
  <r>
    <x v="6"/>
    <x v="0"/>
    <x v="1"/>
    <x v="0"/>
    <x v="1"/>
    <x v="0"/>
    <x v="0"/>
    <x v="0"/>
    <x v="0"/>
    <x v="0"/>
    <x v="0"/>
    <x v="4"/>
    <s v="20"/>
    <x v="7"/>
    <x v="1"/>
    <x v="12"/>
    <x v="7"/>
    <n v="-4787.59"/>
  </r>
  <r>
    <x v="6"/>
    <x v="0"/>
    <x v="1"/>
    <x v="0"/>
    <x v="1"/>
    <x v="0"/>
    <x v="0"/>
    <x v="0"/>
    <x v="0"/>
    <x v="0"/>
    <x v="0"/>
    <x v="4"/>
    <s v="20"/>
    <x v="7"/>
    <x v="1"/>
    <x v="12"/>
    <x v="5"/>
    <n v="4662.99"/>
  </r>
  <r>
    <x v="6"/>
    <x v="0"/>
    <x v="1"/>
    <x v="0"/>
    <x v="1"/>
    <x v="0"/>
    <x v="0"/>
    <x v="0"/>
    <x v="0"/>
    <x v="0"/>
    <x v="0"/>
    <x v="4"/>
    <s v="20"/>
    <x v="7"/>
    <x v="1"/>
    <x v="12"/>
    <x v="6"/>
    <n v="-19267"/>
  </r>
  <r>
    <x v="6"/>
    <x v="0"/>
    <x v="1"/>
    <x v="0"/>
    <x v="1"/>
    <x v="0"/>
    <x v="0"/>
    <x v="0"/>
    <x v="0"/>
    <x v="0"/>
    <x v="0"/>
    <x v="4"/>
    <s v="20"/>
    <x v="7"/>
    <x v="1"/>
    <x v="12"/>
    <x v="1"/>
    <n v="19292"/>
  </r>
  <r>
    <x v="6"/>
    <x v="0"/>
    <x v="1"/>
    <x v="0"/>
    <x v="1"/>
    <x v="0"/>
    <x v="0"/>
    <x v="0"/>
    <x v="0"/>
    <x v="0"/>
    <x v="0"/>
    <x v="4"/>
    <s v="20"/>
    <x v="7"/>
    <x v="1"/>
    <x v="13"/>
    <x v="0"/>
    <n v="99.6"/>
  </r>
  <r>
    <x v="6"/>
    <x v="0"/>
    <x v="1"/>
    <x v="0"/>
    <x v="1"/>
    <x v="0"/>
    <x v="0"/>
    <x v="0"/>
    <x v="0"/>
    <x v="0"/>
    <x v="0"/>
    <x v="4"/>
    <s v="20"/>
    <x v="7"/>
    <x v="1"/>
    <x v="13"/>
    <x v="2"/>
    <n v="9.4499999999999993"/>
  </r>
  <r>
    <x v="6"/>
    <x v="0"/>
    <x v="1"/>
    <x v="0"/>
    <x v="1"/>
    <x v="0"/>
    <x v="0"/>
    <x v="0"/>
    <x v="0"/>
    <x v="0"/>
    <x v="0"/>
    <x v="4"/>
    <s v="20"/>
    <x v="7"/>
    <x v="1"/>
    <x v="13"/>
    <x v="8"/>
    <n v="-9.4499999999999993"/>
  </r>
  <r>
    <x v="6"/>
    <x v="0"/>
    <x v="1"/>
    <x v="0"/>
    <x v="1"/>
    <x v="0"/>
    <x v="0"/>
    <x v="0"/>
    <x v="0"/>
    <x v="0"/>
    <x v="0"/>
    <x v="4"/>
    <s v="20"/>
    <x v="7"/>
    <x v="1"/>
    <x v="13"/>
    <x v="10"/>
    <n v="91.8"/>
  </r>
  <r>
    <x v="6"/>
    <x v="0"/>
    <x v="1"/>
    <x v="0"/>
    <x v="1"/>
    <x v="0"/>
    <x v="0"/>
    <x v="0"/>
    <x v="0"/>
    <x v="0"/>
    <x v="0"/>
    <x v="4"/>
    <s v="20"/>
    <x v="7"/>
    <x v="1"/>
    <x v="13"/>
    <x v="4"/>
    <n v="-91.8"/>
  </r>
  <r>
    <x v="6"/>
    <x v="0"/>
    <x v="1"/>
    <x v="0"/>
    <x v="1"/>
    <x v="0"/>
    <x v="0"/>
    <x v="0"/>
    <x v="0"/>
    <x v="0"/>
    <x v="0"/>
    <x v="4"/>
    <s v="24"/>
    <x v="1"/>
    <x v="1"/>
    <x v="12"/>
    <x v="0"/>
    <n v="26085.94"/>
  </r>
  <r>
    <x v="6"/>
    <x v="0"/>
    <x v="1"/>
    <x v="0"/>
    <x v="1"/>
    <x v="0"/>
    <x v="0"/>
    <x v="0"/>
    <x v="0"/>
    <x v="0"/>
    <x v="0"/>
    <x v="4"/>
    <s v="24"/>
    <x v="1"/>
    <x v="1"/>
    <x v="12"/>
    <x v="2"/>
    <n v="81052363.359999999"/>
  </r>
  <r>
    <x v="6"/>
    <x v="0"/>
    <x v="1"/>
    <x v="0"/>
    <x v="1"/>
    <x v="0"/>
    <x v="0"/>
    <x v="0"/>
    <x v="0"/>
    <x v="0"/>
    <x v="0"/>
    <x v="4"/>
    <s v="24"/>
    <x v="1"/>
    <x v="1"/>
    <x v="12"/>
    <x v="8"/>
    <n v="25824786.48"/>
  </r>
  <r>
    <x v="6"/>
    <x v="0"/>
    <x v="1"/>
    <x v="0"/>
    <x v="1"/>
    <x v="0"/>
    <x v="0"/>
    <x v="0"/>
    <x v="0"/>
    <x v="0"/>
    <x v="0"/>
    <x v="4"/>
    <s v="24"/>
    <x v="1"/>
    <x v="1"/>
    <x v="12"/>
    <x v="9"/>
    <n v="2457344.37"/>
  </r>
  <r>
    <x v="6"/>
    <x v="0"/>
    <x v="1"/>
    <x v="0"/>
    <x v="1"/>
    <x v="0"/>
    <x v="0"/>
    <x v="0"/>
    <x v="0"/>
    <x v="0"/>
    <x v="0"/>
    <x v="4"/>
    <s v="24"/>
    <x v="1"/>
    <x v="1"/>
    <x v="12"/>
    <x v="10"/>
    <n v="863642.9"/>
  </r>
  <r>
    <x v="6"/>
    <x v="0"/>
    <x v="1"/>
    <x v="0"/>
    <x v="1"/>
    <x v="0"/>
    <x v="0"/>
    <x v="0"/>
    <x v="0"/>
    <x v="0"/>
    <x v="0"/>
    <x v="4"/>
    <s v="24"/>
    <x v="1"/>
    <x v="1"/>
    <x v="12"/>
    <x v="11"/>
    <n v="503329.57"/>
  </r>
  <r>
    <x v="6"/>
    <x v="0"/>
    <x v="1"/>
    <x v="0"/>
    <x v="1"/>
    <x v="0"/>
    <x v="0"/>
    <x v="0"/>
    <x v="0"/>
    <x v="0"/>
    <x v="0"/>
    <x v="4"/>
    <s v="24"/>
    <x v="1"/>
    <x v="1"/>
    <x v="12"/>
    <x v="3"/>
    <n v="100193707.41"/>
  </r>
  <r>
    <x v="6"/>
    <x v="0"/>
    <x v="1"/>
    <x v="0"/>
    <x v="1"/>
    <x v="0"/>
    <x v="0"/>
    <x v="0"/>
    <x v="0"/>
    <x v="0"/>
    <x v="0"/>
    <x v="4"/>
    <s v="24"/>
    <x v="1"/>
    <x v="1"/>
    <x v="12"/>
    <x v="4"/>
    <n v="2733195.23"/>
  </r>
  <r>
    <x v="6"/>
    <x v="0"/>
    <x v="1"/>
    <x v="0"/>
    <x v="1"/>
    <x v="0"/>
    <x v="0"/>
    <x v="0"/>
    <x v="0"/>
    <x v="0"/>
    <x v="0"/>
    <x v="4"/>
    <s v="24"/>
    <x v="1"/>
    <x v="1"/>
    <x v="12"/>
    <x v="7"/>
    <n v="-2175111.69"/>
  </r>
  <r>
    <x v="6"/>
    <x v="0"/>
    <x v="1"/>
    <x v="0"/>
    <x v="1"/>
    <x v="0"/>
    <x v="0"/>
    <x v="0"/>
    <x v="0"/>
    <x v="0"/>
    <x v="0"/>
    <x v="4"/>
    <s v="24"/>
    <x v="1"/>
    <x v="1"/>
    <x v="12"/>
    <x v="5"/>
    <n v="506060.29"/>
  </r>
  <r>
    <x v="6"/>
    <x v="0"/>
    <x v="1"/>
    <x v="0"/>
    <x v="1"/>
    <x v="0"/>
    <x v="0"/>
    <x v="0"/>
    <x v="0"/>
    <x v="0"/>
    <x v="0"/>
    <x v="4"/>
    <s v="24"/>
    <x v="1"/>
    <x v="1"/>
    <x v="12"/>
    <x v="6"/>
    <n v="161037.26999999999"/>
  </r>
  <r>
    <x v="6"/>
    <x v="0"/>
    <x v="1"/>
    <x v="0"/>
    <x v="1"/>
    <x v="0"/>
    <x v="0"/>
    <x v="0"/>
    <x v="0"/>
    <x v="0"/>
    <x v="0"/>
    <x v="4"/>
    <s v="24"/>
    <x v="1"/>
    <x v="1"/>
    <x v="12"/>
    <x v="1"/>
    <n v="-817950.34"/>
  </r>
  <r>
    <x v="6"/>
    <x v="0"/>
    <x v="1"/>
    <x v="0"/>
    <x v="1"/>
    <x v="0"/>
    <x v="0"/>
    <x v="0"/>
    <x v="0"/>
    <x v="0"/>
    <x v="0"/>
    <x v="4"/>
    <s v="24"/>
    <x v="1"/>
    <x v="1"/>
    <x v="13"/>
    <x v="0"/>
    <n v="37047.629999999997"/>
  </r>
  <r>
    <x v="6"/>
    <x v="0"/>
    <x v="1"/>
    <x v="0"/>
    <x v="1"/>
    <x v="0"/>
    <x v="0"/>
    <x v="0"/>
    <x v="0"/>
    <x v="0"/>
    <x v="0"/>
    <x v="4"/>
    <s v="24"/>
    <x v="1"/>
    <x v="1"/>
    <x v="13"/>
    <x v="2"/>
    <n v="79160176.739999995"/>
  </r>
  <r>
    <x v="6"/>
    <x v="0"/>
    <x v="1"/>
    <x v="0"/>
    <x v="1"/>
    <x v="0"/>
    <x v="0"/>
    <x v="0"/>
    <x v="0"/>
    <x v="0"/>
    <x v="0"/>
    <x v="4"/>
    <s v="24"/>
    <x v="1"/>
    <x v="1"/>
    <x v="13"/>
    <x v="8"/>
    <n v="26631482.68"/>
  </r>
  <r>
    <x v="6"/>
    <x v="0"/>
    <x v="1"/>
    <x v="0"/>
    <x v="1"/>
    <x v="0"/>
    <x v="0"/>
    <x v="0"/>
    <x v="0"/>
    <x v="0"/>
    <x v="0"/>
    <x v="4"/>
    <s v="24"/>
    <x v="1"/>
    <x v="1"/>
    <x v="13"/>
    <x v="9"/>
    <n v="15287713.039999999"/>
  </r>
  <r>
    <x v="6"/>
    <x v="0"/>
    <x v="1"/>
    <x v="0"/>
    <x v="1"/>
    <x v="0"/>
    <x v="0"/>
    <x v="0"/>
    <x v="0"/>
    <x v="0"/>
    <x v="0"/>
    <x v="4"/>
    <s v="24"/>
    <x v="1"/>
    <x v="1"/>
    <x v="13"/>
    <x v="10"/>
    <n v="4731630.5199999996"/>
  </r>
  <r>
    <x v="6"/>
    <x v="0"/>
    <x v="1"/>
    <x v="0"/>
    <x v="1"/>
    <x v="0"/>
    <x v="0"/>
    <x v="0"/>
    <x v="0"/>
    <x v="0"/>
    <x v="0"/>
    <x v="4"/>
    <s v="24"/>
    <x v="1"/>
    <x v="1"/>
    <x v="13"/>
    <x v="11"/>
    <n v="58448097.270000003"/>
  </r>
  <r>
    <x v="6"/>
    <x v="0"/>
    <x v="1"/>
    <x v="0"/>
    <x v="1"/>
    <x v="0"/>
    <x v="0"/>
    <x v="0"/>
    <x v="0"/>
    <x v="0"/>
    <x v="0"/>
    <x v="4"/>
    <s v="24"/>
    <x v="1"/>
    <x v="1"/>
    <x v="13"/>
    <x v="3"/>
    <n v="55044754.509999998"/>
  </r>
  <r>
    <x v="6"/>
    <x v="0"/>
    <x v="1"/>
    <x v="0"/>
    <x v="1"/>
    <x v="0"/>
    <x v="0"/>
    <x v="0"/>
    <x v="0"/>
    <x v="0"/>
    <x v="0"/>
    <x v="4"/>
    <s v="24"/>
    <x v="1"/>
    <x v="1"/>
    <x v="13"/>
    <x v="4"/>
    <n v="6553013.6299999999"/>
  </r>
  <r>
    <x v="6"/>
    <x v="0"/>
    <x v="1"/>
    <x v="0"/>
    <x v="1"/>
    <x v="0"/>
    <x v="0"/>
    <x v="0"/>
    <x v="0"/>
    <x v="0"/>
    <x v="0"/>
    <x v="4"/>
    <s v="24"/>
    <x v="1"/>
    <x v="1"/>
    <x v="13"/>
    <x v="7"/>
    <n v="199984.46"/>
  </r>
  <r>
    <x v="6"/>
    <x v="0"/>
    <x v="1"/>
    <x v="0"/>
    <x v="1"/>
    <x v="0"/>
    <x v="0"/>
    <x v="0"/>
    <x v="0"/>
    <x v="0"/>
    <x v="0"/>
    <x v="4"/>
    <s v="24"/>
    <x v="1"/>
    <x v="1"/>
    <x v="13"/>
    <x v="5"/>
    <n v="1111691.21"/>
  </r>
  <r>
    <x v="6"/>
    <x v="0"/>
    <x v="1"/>
    <x v="0"/>
    <x v="1"/>
    <x v="0"/>
    <x v="0"/>
    <x v="0"/>
    <x v="0"/>
    <x v="0"/>
    <x v="0"/>
    <x v="4"/>
    <s v="24"/>
    <x v="1"/>
    <x v="1"/>
    <x v="13"/>
    <x v="6"/>
    <n v="315632.96000000002"/>
  </r>
  <r>
    <x v="6"/>
    <x v="0"/>
    <x v="1"/>
    <x v="0"/>
    <x v="1"/>
    <x v="0"/>
    <x v="0"/>
    <x v="0"/>
    <x v="0"/>
    <x v="0"/>
    <x v="0"/>
    <x v="4"/>
    <s v="24"/>
    <x v="1"/>
    <x v="1"/>
    <x v="13"/>
    <x v="1"/>
    <n v="-1856017.11"/>
  </r>
  <r>
    <x v="6"/>
    <x v="0"/>
    <x v="1"/>
    <x v="0"/>
    <x v="1"/>
    <x v="0"/>
    <x v="0"/>
    <x v="0"/>
    <x v="0"/>
    <x v="0"/>
    <x v="0"/>
    <x v="4"/>
    <s v="73"/>
    <x v="37"/>
    <x v="1"/>
    <x v="12"/>
    <x v="0"/>
    <n v="-4496.8500000000004"/>
  </r>
  <r>
    <x v="6"/>
    <x v="0"/>
    <x v="1"/>
    <x v="0"/>
    <x v="1"/>
    <x v="0"/>
    <x v="0"/>
    <x v="0"/>
    <x v="0"/>
    <x v="0"/>
    <x v="0"/>
    <x v="4"/>
    <s v="73"/>
    <x v="37"/>
    <x v="1"/>
    <x v="12"/>
    <x v="11"/>
    <n v="-38920.550000000003"/>
  </r>
  <r>
    <x v="6"/>
    <x v="0"/>
    <x v="1"/>
    <x v="0"/>
    <x v="1"/>
    <x v="0"/>
    <x v="0"/>
    <x v="0"/>
    <x v="0"/>
    <x v="0"/>
    <x v="0"/>
    <x v="4"/>
    <s v="73"/>
    <x v="37"/>
    <x v="1"/>
    <x v="12"/>
    <x v="7"/>
    <n v="-59325.73"/>
  </r>
  <r>
    <x v="6"/>
    <x v="0"/>
    <x v="1"/>
    <x v="0"/>
    <x v="1"/>
    <x v="0"/>
    <x v="0"/>
    <x v="0"/>
    <x v="0"/>
    <x v="0"/>
    <x v="0"/>
    <x v="4"/>
    <s v="73"/>
    <x v="37"/>
    <x v="1"/>
    <x v="12"/>
    <x v="6"/>
    <n v="-55496.01"/>
  </r>
  <r>
    <x v="6"/>
    <x v="0"/>
    <x v="1"/>
    <x v="0"/>
    <x v="1"/>
    <x v="0"/>
    <x v="0"/>
    <x v="0"/>
    <x v="0"/>
    <x v="0"/>
    <x v="0"/>
    <x v="4"/>
    <s v="73"/>
    <x v="37"/>
    <x v="1"/>
    <x v="12"/>
    <x v="1"/>
    <n v="-21229.279999999999"/>
  </r>
  <r>
    <x v="6"/>
    <x v="0"/>
    <x v="1"/>
    <x v="0"/>
    <x v="1"/>
    <x v="0"/>
    <x v="0"/>
    <x v="0"/>
    <x v="0"/>
    <x v="0"/>
    <x v="0"/>
    <x v="4"/>
    <s v="73"/>
    <x v="37"/>
    <x v="1"/>
    <x v="13"/>
    <x v="0"/>
    <n v="-10775.42"/>
  </r>
  <r>
    <x v="6"/>
    <x v="0"/>
    <x v="1"/>
    <x v="0"/>
    <x v="1"/>
    <x v="0"/>
    <x v="0"/>
    <x v="0"/>
    <x v="0"/>
    <x v="0"/>
    <x v="0"/>
    <x v="4"/>
    <s v="73"/>
    <x v="37"/>
    <x v="1"/>
    <x v="13"/>
    <x v="10"/>
    <n v="-28627.79"/>
  </r>
  <r>
    <x v="6"/>
    <x v="0"/>
    <x v="1"/>
    <x v="0"/>
    <x v="1"/>
    <x v="0"/>
    <x v="0"/>
    <x v="0"/>
    <x v="0"/>
    <x v="0"/>
    <x v="0"/>
    <x v="4"/>
    <s v="73"/>
    <x v="37"/>
    <x v="1"/>
    <x v="13"/>
    <x v="3"/>
    <n v="-55892.959999999999"/>
  </r>
  <r>
    <x v="6"/>
    <x v="0"/>
    <x v="1"/>
    <x v="0"/>
    <x v="1"/>
    <x v="0"/>
    <x v="0"/>
    <x v="0"/>
    <x v="0"/>
    <x v="0"/>
    <x v="0"/>
    <x v="4"/>
    <s v="73"/>
    <x v="37"/>
    <x v="1"/>
    <x v="13"/>
    <x v="5"/>
    <n v="-70478.59"/>
  </r>
  <r>
    <x v="6"/>
    <x v="0"/>
    <x v="1"/>
    <x v="0"/>
    <x v="1"/>
    <x v="0"/>
    <x v="0"/>
    <x v="0"/>
    <x v="0"/>
    <x v="0"/>
    <x v="0"/>
    <x v="4"/>
    <s v="73"/>
    <x v="37"/>
    <x v="1"/>
    <x v="13"/>
    <x v="1"/>
    <n v="-32256.95"/>
  </r>
  <r>
    <x v="6"/>
    <x v="0"/>
    <x v="1"/>
    <x v="0"/>
    <x v="1"/>
    <x v="0"/>
    <x v="0"/>
    <x v="0"/>
    <x v="0"/>
    <x v="0"/>
    <x v="0"/>
    <x v="4"/>
    <s v="90"/>
    <x v="16"/>
    <x v="1"/>
    <x v="13"/>
    <x v="5"/>
    <n v="1"/>
  </r>
  <r>
    <x v="6"/>
    <x v="0"/>
    <x v="1"/>
    <x v="0"/>
    <x v="1"/>
    <x v="0"/>
    <x v="0"/>
    <x v="0"/>
    <x v="0"/>
    <x v="0"/>
    <x v="0"/>
    <x v="4"/>
    <s v="90"/>
    <x v="16"/>
    <x v="1"/>
    <x v="13"/>
    <x v="1"/>
    <n v="-1"/>
  </r>
  <r>
    <x v="6"/>
    <x v="0"/>
    <x v="1"/>
    <x v="0"/>
    <x v="1"/>
    <x v="0"/>
    <x v="0"/>
    <x v="0"/>
    <x v="0"/>
    <x v="0"/>
    <x v="0"/>
    <x v="4"/>
    <s v="99"/>
    <x v="9"/>
    <x v="1"/>
    <x v="12"/>
    <x v="0"/>
    <n v="-18117.45"/>
  </r>
  <r>
    <x v="6"/>
    <x v="0"/>
    <x v="1"/>
    <x v="0"/>
    <x v="1"/>
    <x v="0"/>
    <x v="0"/>
    <x v="0"/>
    <x v="0"/>
    <x v="0"/>
    <x v="0"/>
    <x v="4"/>
    <s v="99"/>
    <x v="9"/>
    <x v="1"/>
    <x v="13"/>
    <x v="0"/>
    <n v="94.67"/>
  </r>
  <r>
    <x v="6"/>
    <x v="0"/>
    <x v="1"/>
    <x v="0"/>
    <x v="1"/>
    <x v="0"/>
    <x v="0"/>
    <x v="0"/>
    <x v="0"/>
    <x v="0"/>
    <x v="0"/>
    <x v="4"/>
    <s v="99"/>
    <x v="9"/>
    <x v="1"/>
    <x v="13"/>
    <x v="2"/>
    <n v="-94.67"/>
  </r>
  <r>
    <x v="6"/>
    <x v="0"/>
    <x v="1"/>
    <x v="0"/>
    <x v="1"/>
    <x v="0"/>
    <x v="0"/>
    <x v="0"/>
    <x v="0"/>
    <x v="0"/>
    <x v="4"/>
    <x v="5"/>
    <s v="21"/>
    <x v="27"/>
    <x v="1"/>
    <x v="12"/>
    <x v="4"/>
    <n v="27557000"/>
  </r>
  <r>
    <x v="6"/>
    <x v="0"/>
    <x v="1"/>
    <x v="0"/>
    <x v="1"/>
    <x v="0"/>
    <x v="0"/>
    <x v="0"/>
    <x v="0"/>
    <x v="0"/>
    <x v="4"/>
    <x v="5"/>
    <s v="21"/>
    <x v="27"/>
    <x v="1"/>
    <x v="12"/>
    <x v="5"/>
    <n v="6200000"/>
  </r>
  <r>
    <x v="6"/>
    <x v="0"/>
    <x v="1"/>
    <x v="0"/>
    <x v="1"/>
    <x v="0"/>
    <x v="0"/>
    <x v="0"/>
    <x v="0"/>
    <x v="0"/>
    <x v="4"/>
    <x v="5"/>
    <s v="21"/>
    <x v="27"/>
    <x v="1"/>
    <x v="13"/>
    <x v="0"/>
    <n v="6000"/>
  </r>
  <r>
    <x v="6"/>
    <x v="0"/>
    <x v="1"/>
    <x v="0"/>
    <x v="1"/>
    <x v="0"/>
    <x v="0"/>
    <x v="0"/>
    <x v="0"/>
    <x v="0"/>
    <x v="4"/>
    <x v="5"/>
    <s v="21"/>
    <x v="27"/>
    <x v="1"/>
    <x v="13"/>
    <x v="4"/>
    <n v="22010118.170000002"/>
  </r>
  <r>
    <x v="6"/>
    <x v="0"/>
    <x v="1"/>
    <x v="0"/>
    <x v="1"/>
    <x v="0"/>
    <x v="0"/>
    <x v="0"/>
    <x v="0"/>
    <x v="0"/>
    <x v="4"/>
    <x v="5"/>
    <s v="21"/>
    <x v="27"/>
    <x v="1"/>
    <x v="13"/>
    <x v="6"/>
    <n v="10895180.550000001"/>
  </r>
  <r>
    <x v="6"/>
    <x v="0"/>
    <x v="1"/>
    <x v="0"/>
    <x v="1"/>
    <x v="0"/>
    <x v="0"/>
    <x v="0"/>
    <x v="0"/>
    <x v="0"/>
    <x v="4"/>
    <x v="5"/>
    <s v="22"/>
    <x v="25"/>
    <x v="1"/>
    <x v="12"/>
    <x v="0"/>
    <n v="-645812.72"/>
  </r>
  <r>
    <x v="6"/>
    <x v="0"/>
    <x v="1"/>
    <x v="0"/>
    <x v="1"/>
    <x v="0"/>
    <x v="0"/>
    <x v="0"/>
    <x v="0"/>
    <x v="0"/>
    <x v="4"/>
    <x v="5"/>
    <s v="22"/>
    <x v="25"/>
    <x v="1"/>
    <x v="12"/>
    <x v="2"/>
    <n v="-93.02"/>
  </r>
  <r>
    <x v="6"/>
    <x v="0"/>
    <x v="1"/>
    <x v="0"/>
    <x v="1"/>
    <x v="0"/>
    <x v="0"/>
    <x v="0"/>
    <x v="0"/>
    <x v="0"/>
    <x v="4"/>
    <x v="5"/>
    <s v="22"/>
    <x v="25"/>
    <x v="1"/>
    <x v="12"/>
    <x v="8"/>
    <n v="76.37"/>
  </r>
  <r>
    <x v="6"/>
    <x v="0"/>
    <x v="1"/>
    <x v="0"/>
    <x v="1"/>
    <x v="0"/>
    <x v="0"/>
    <x v="0"/>
    <x v="0"/>
    <x v="0"/>
    <x v="4"/>
    <x v="5"/>
    <s v="22"/>
    <x v="25"/>
    <x v="1"/>
    <x v="12"/>
    <x v="9"/>
    <n v="-12.15"/>
  </r>
  <r>
    <x v="6"/>
    <x v="0"/>
    <x v="1"/>
    <x v="0"/>
    <x v="1"/>
    <x v="0"/>
    <x v="0"/>
    <x v="0"/>
    <x v="0"/>
    <x v="0"/>
    <x v="4"/>
    <x v="5"/>
    <s v="22"/>
    <x v="25"/>
    <x v="1"/>
    <x v="12"/>
    <x v="10"/>
    <n v="-8119.95"/>
  </r>
  <r>
    <x v="6"/>
    <x v="0"/>
    <x v="1"/>
    <x v="0"/>
    <x v="1"/>
    <x v="0"/>
    <x v="0"/>
    <x v="0"/>
    <x v="0"/>
    <x v="0"/>
    <x v="4"/>
    <x v="5"/>
    <s v="22"/>
    <x v="25"/>
    <x v="1"/>
    <x v="12"/>
    <x v="11"/>
    <n v="-472098.79"/>
  </r>
  <r>
    <x v="6"/>
    <x v="0"/>
    <x v="1"/>
    <x v="0"/>
    <x v="1"/>
    <x v="0"/>
    <x v="0"/>
    <x v="0"/>
    <x v="0"/>
    <x v="0"/>
    <x v="4"/>
    <x v="5"/>
    <s v="22"/>
    <x v="25"/>
    <x v="1"/>
    <x v="12"/>
    <x v="3"/>
    <n v="-1068247.1100000001"/>
  </r>
  <r>
    <x v="6"/>
    <x v="0"/>
    <x v="1"/>
    <x v="0"/>
    <x v="1"/>
    <x v="0"/>
    <x v="0"/>
    <x v="0"/>
    <x v="0"/>
    <x v="0"/>
    <x v="4"/>
    <x v="5"/>
    <s v="22"/>
    <x v="25"/>
    <x v="1"/>
    <x v="12"/>
    <x v="4"/>
    <n v="-27557003.550000001"/>
  </r>
  <r>
    <x v="6"/>
    <x v="0"/>
    <x v="1"/>
    <x v="0"/>
    <x v="1"/>
    <x v="0"/>
    <x v="0"/>
    <x v="0"/>
    <x v="0"/>
    <x v="0"/>
    <x v="4"/>
    <x v="5"/>
    <s v="22"/>
    <x v="25"/>
    <x v="1"/>
    <x v="12"/>
    <x v="7"/>
    <n v="-8.23"/>
  </r>
  <r>
    <x v="6"/>
    <x v="0"/>
    <x v="1"/>
    <x v="0"/>
    <x v="1"/>
    <x v="0"/>
    <x v="0"/>
    <x v="0"/>
    <x v="0"/>
    <x v="0"/>
    <x v="4"/>
    <x v="5"/>
    <s v="22"/>
    <x v="25"/>
    <x v="1"/>
    <x v="12"/>
    <x v="5"/>
    <n v="-6200006.7599999998"/>
  </r>
  <r>
    <x v="6"/>
    <x v="0"/>
    <x v="1"/>
    <x v="0"/>
    <x v="1"/>
    <x v="0"/>
    <x v="0"/>
    <x v="0"/>
    <x v="0"/>
    <x v="0"/>
    <x v="4"/>
    <x v="5"/>
    <s v="22"/>
    <x v="25"/>
    <x v="1"/>
    <x v="12"/>
    <x v="6"/>
    <n v="-43123.48"/>
  </r>
  <r>
    <x v="6"/>
    <x v="0"/>
    <x v="1"/>
    <x v="0"/>
    <x v="1"/>
    <x v="0"/>
    <x v="0"/>
    <x v="0"/>
    <x v="0"/>
    <x v="0"/>
    <x v="4"/>
    <x v="5"/>
    <s v="22"/>
    <x v="25"/>
    <x v="1"/>
    <x v="12"/>
    <x v="1"/>
    <n v="-132101.85"/>
  </r>
  <r>
    <x v="6"/>
    <x v="0"/>
    <x v="1"/>
    <x v="0"/>
    <x v="1"/>
    <x v="0"/>
    <x v="0"/>
    <x v="0"/>
    <x v="0"/>
    <x v="0"/>
    <x v="4"/>
    <x v="5"/>
    <s v="22"/>
    <x v="25"/>
    <x v="1"/>
    <x v="13"/>
    <x v="0"/>
    <n v="-1097695.93"/>
  </r>
  <r>
    <x v="6"/>
    <x v="0"/>
    <x v="1"/>
    <x v="0"/>
    <x v="1"/>
    <x v="0"/>
    <x v="0"/>
    <x v="0"/>
    <x v="0"/>
    <x v="0"/>
    <x v="4"/>
    <x v="5"/>
    <s v="22"/>
    <x v="25"/>
    <x v="1"/>
    <x v="13"/>
    <x v="2"/>
    <n v="-7.77"/>
  </r>
  <r>
    <x v="6"/>
    <x v="0"/>
    <x v="1"/>
    <x v="0"/>
    <x v="1"/>
    <x v="0"/>
    <x v="0"/>
    <x v="0"/>
    <x v="0"/>
    <x v="0"/>
    <x v="4"/>
    <x v="5"/>
    <s v="22"/>
    <x v="25"/>
    <x v="1"/>
    <x v="13"/>
    <x v="8"/>
    <n v="-9.17"/>
  </r>
  <r>
    <x v="6"/>
    <x v="0"/>
    <x v="1"/>
    <x v="0"/>
    <x v="1"/>
    <x v="0"/>
    <x v="0"/>
    <x v="0"/>
    <x v="0"/>
    <x v="0"/>
    <x v="4"/>
    <x v="5"/>
    <s v="22"/>
    <x v="25"/>
    <x v="1"/>
    <x v="13"/>
    <x v="9"/>
    <n v="-8.0299999999999994"/>
  </r>
  <r>
    <x v="6"/>
    <x v="0"/>
    <x v="1"/>
    <x v="0"/>
    <x v="1"/>
    <x v="0"/>
    <x v="0"/>
    <x v="0"/>
    <x v="0"/>
    <x v="0"/>
    <x v="4"/>
    <x v="5"/>
    <s v="22"/>
    <x v="25"/>
    <x v="1"/>
    <x v="13"/>
    <x v="10"/>
    <n v="-7161.51"/>
  </r>
  <r>
    <x v="6"/>
    <x v="0"/>
    <x v="1"/>
    <x v="0"/>
    <x v="1"/>
    <x v="0"/>
    <x v="0"/>
    <x v="0"/>
    <x v="0"/>
    <x v="0"/>
    <x v="4"/>
    <x v="5"/>
    <s v="22"/>
    <x v="25"/>
    <x v="1"/>
    <x v="13"/>
    <x v="11"/>
    <n v="-18798.7"/>
  </r>
  <r>
    <x v="6"/>
    <x v="0"/>
    <x v="1"/>
    <x v="0"/>
    <x v="1"/>
    <x v="0"/>
    <x v="0"/>
    <x v="0"/>
    <x v="0"/>
    <x v="0"/>
    <x v="4"/>
    <x v="5"/>
    <s v="22"/>
    <x v="25"/>
    <x v="1"/>
    <x v="13"/>
    <x v="3"/>
    <n v="-584844.06000000006"/>
  </r>
  <r>
    <x v="6"/>
    <x v="0"/>
    <x v="1"/>
    <x v="0"/>
    <x v="1"/>
    <x v="0"/>
    <x v="0"/>
    <x v="0"/>
    <x v="0"/>
    <x v="0"/>
    <x v="4"/>
    <x v="5"/>
    <s v="22"/>
    <x v="25"/>
    <x v="1"/>
    <x v="13"/>
    <x v="4"/>
    <n v="-22086123.609999999"/>
  </r>
  <r>
    <x v="6"/>
    <x v="0"/>
    <x v="1"/>
    <x v="0"/>
    <x v="1"/>
    <x v="0"/>
    <x v="0"/>
    <x v="0"/>
    <x v="0"/>
    <x v="0"/>
    <x v="4"/>
    <x v="5"/>
    <s v="22"/>
    <x v="25"/>
    <x v="1"/>
    <x v="13"/>
    <x v="6"/>
    <n v="-10942330.550000001"/>
  </r>
  <r>
    <x v="6"/>
    <x v="0"/>
    <x v="1"/>
    <x v="0"/>
    <x v="1"/>
    <x v="0"/>
    <x v="0"/>
    <x v="0"/>
    <x v="0"/>
    <x v="0"/>
    <x v="4"/>
    <x v="5"/>
    <s v="22"/>
    <x v="25"/>
    <x v="1"/>
    <x v="13"/>
    <x v="1"/>
    <n v="-63790"/>
  </r>
  <r>
    <x v="6"/>
    <x v="0"/>
    <x v="1"/>
    <x v="0"/>
    <x v="1"/>
    <x v="1"/>
    <x v="0"/>
    <x v="0"/>
    <x v="0"/>
    <x v="0"/>
    <x v="0"/>
    <x v="4"/>
    <s v="13"/>
    <x v="30"/>
    <x v="1"/>
    <x v="12"/>
    <x v="1"/>
    <n v="-90900"/>
  </r>
  <r>
    <x v="6"/>
    <x v="0"/>
    <x v="1"/>
    <x v="0"/>
    <x v="1"/>
    <x v="1"/>
    <x v="0"/>
    <x v="0"/>
    <x v="0"/>
    <x v="0"/>
    <x v="0"/>
    <x v="4"/>
    <s v="14"/>
    <x v="48"/>
    <x v="1"/>
    <x v="13"/>
    <x v="1"/>
    <n v="352900"/>
  </r>
  <r>
    <x v="6"/>
    <x v="0"/>
    <x v="1"/>
    <x v="0"/>
    <x v="1"/>
    <x v="1"/>
    <x v="0"/>
    <x v="0"/>
    <x v="0"/>
    <x v="0"/>
    <x v="0"/>
    <x v="4"/>
    <s v="24"/>
    <x v="1"/>
    <x v="1"/>
    <x v="12"/>
    <x v="1"/>
    <n v="-250194"/>
  </r>
  <r>
    <x v="6"/>
    <x v="0"/>
    <x v="1"/>
    <x v="0"/>
    <x v="1"/>
    <x v="1"/>
    <x v="0"/>
    <x v="0"/>
    <x v="0"/>
    <x v="0"/>
    <x v="0"/>
    <x v="4"/>
    <s v="24"/>
    <x v="1"/>
    <x v="1"/>
    <x v="13"/>
    <x v="1"/>
    <n v="-257882"/>
  </r>
  <r>
    <x v="6"/>
    <x v="0"/>
    <x v="1"/>
    <x v="0"/>
    <x v="1"/>
    <x v="1"/>
    <x v="0"/>
    <x v="0"/>
    <x v="0"/>
    <x v="0"/>
    <x v="4"/>
    <x v="5"/>
    <s v="22"/>
    <x v="25"/>
    <x v="1"/>
    <x v="12"/>
    <x v="1"/>
    <n v="-133301.22"/>
  </r>
  <r>
    <x v="6"/>
    <x v="0"/>
    <x v="1"/>
    <x v="0"/>
    <x v="1"/>
    <x v="1"/>
    <x v="1"/>
    <x v="0"/>
    <x v="0"/>
    <x v="0"/>
    <x v="0"/>
    <x v="4"/>
    <s v="09"/>
    <x v="0"/>
    <x v="1"/>
    <x v="12"/>
    <x v="9"/>
    <n v="42893.03"/>
  </r>
  <r>
    <x v="6"/>
    <x v="0"/>
    <x v="1"/>
    <x v="0"/>
    <x v="1"/>
    <x v="1"/>
    <x v="1"/>
    <x v="0"/>
    <x v="0"/>
    <x v="0"/>
    <x v="0"/>
    <x v="4"/>
    <s v="09"/>
    <x v="0"/>
    <x v="1"/>
    <x v="12"/>
    <x v="3"/>
    <n v="43761.87"/>
  </r>
  <r>
    <x v="6"/>
    <x v="0"/>
    <x v="1"/>
    <x v="0"/>
    <x v="1"/>
    <x v="1"/>
    <x v="1"/>
    <x v="0"/>
    <x v="0"/>
    <x v="0"/>
    <x v="0"/>
    <x v="4"/>
    <s v="09"/>
    <x v="0"/>
    <x v="1"/>
    <x v="12"/>
    <x v="5"/>
    <n v="54159.9"/>
  </r>
  <r>
    <x v="6"/>
    <x v="0"/>
    <x v="1"/>
    <x v="0"/>
    <x v="1"/>
    <x v="1"/>
    <x v="1"/>
    <x v="0"/>
    <x v="0"/>
    <x v="0"/>
    <x v="0"/>
    <x v="4"/>
    <s v="09"/>
    <x v="0"/>
    <x v="1"/>
    <x v="12"/>
    <x v="1"/>
    <n v="148140.07"/>
  </r>
  <r>
    <x v="6"/>
    <x v="0"/>
    <x v="1"/>
    <x v="0"/>
    <x v="1"/>
    <x v="1"/>
    <x v="1"/>
    <x v="0"/>
    <x v="0"/>
    <x v="0"/>
    <x v="0"/>
    <x v="4"/>
    <s v="09"/>
    <x v="0"/>
    <x v="1"/>
    <x v="13"/>
    <x v="9"/>
    <n v="45600.37"/>
  </r>
  <r>
    <x v="6"/>
    <x v="0"/>
    <x v="1"/>
    <x v="0"/>
    <x v="1"/>
    <x v="1"/>
    <x v="1"/>
    <x v="0"/>
    <x v="0"/>
    <x v="0"/>
    <x v="0"/>
    <x v="4"/>
    <s v="09"/>
    <x v="0"/>
    <x v="1"/>
    <x v="13"/>
    <x v="3"/>
    <n v="53954.9"/>
  </r>
  <r>
    <x v="6"/>
    <x v="0"/>
    <x v="1"/>
    <x v="0"/>
    <x v="1"/>
    <x v="1"/>
    <x v="1"/>
    <x v="0"/>
    <x v="0"/>
    <x v="0"/>
    <x v="0"/>
    <x v="4"/>
    <s v="09"/>
    <x v="0"/>
    <x v="1"/>
    <x v="13"/>
    <x v="5"/>
    <n v="48159.3"/>
  </r>
  <r>
    <x v="6"/>
    <x v="0"/>
    <x v="1"/>
    <x v="0"/>
    <x v="1"/>
    <x v="1"/>
    <x v="1"/>
    <x v="0"/>
    <x v="0"/>
    <x v="0"/>
    <x v="0"/>
    <x v="4"/>
    <s v="09"/>
    <x v="0"/>
    <x v="1"/>
    <x v="13"/>
    <x v="1"/>
    <n v="26446.27"/>
  </r>
  <r>
    <x v="6"/>
    <x v="0"/>
    <x v="1"/>
    <x v="0"/>
    <x v="1"/>
    <x v="1"/>
    <x v="1"/>
    <x v="0"/>
    <x v="0"/>
    <x v="0"/>
    <x v="0"/>
    <x v="4"/>
    <s v="13"/>
    <x v="30"/>
    <x v="1"/>
    <x v="12"/>
    <x v="1"/>
    <n v="90900"/>
  </r>
  <r>
    <x v="6"/>
    <x v="0"/>
    <x v="1"/>
    <x v="0"/>
    <x v="1"/>
    <x v="1"/>
    <x v="1"/>
    <x v="0"/>
    <x v="0"/>
    <x v="0"/>
    <x v="0"/>
    <x v="4"/>
    <s v="14"/>
    <x v="48"/>
    <x v="1"/>
    <x v="13"/>
    <x v="1"/>
    <n v="-352900"/>
  </r>
  <r>
    <x v="6"/>
    <x v="0"/>
    <x v="1"/>
    <x v="0"/>
    <x v="1"/>
    <x v="1"/>
    <x v="1"/>
    <x v="0"/>
    <x v="0"/>
    <x v="0"/>
    <x v="0"/>
    <x v="4"/>
    <s v="24"/>
    <x v="1"/>
    <x v="1"/>
    <x v="12"/>
    <x v="0"/>
    <n v="-8979.89"/>
  </r>
  <r>
    <x v="6"/>
    <x v="0"/>
    <x v="1"/>
    <x v="0"/>
    <x v="1"/>
    <x v="1"/>
    <x v="1"/>
    <x v="0"/>
    <x v="0"/>
    <x v="0"/>
    <x v="0"/>
    <x v="4"/>
    <s v="24"/>
    <x v="1"/>
    <x v="1"/>
    <x v="12"/>
    <x v="2"/>
    <n v="20943761.739999998"/>
  </r>
  <r>
    <x v="6"/>
    <x v="0"/>
    <x v="1"/>
    <x v="0"/>
    <x v="1"/>
    <x v="1"/>
    <x v="1"/>
    <x v="0"/>
    <x v="0"/>
    <x v="0"/>
    <x v="0"/>
    <x v="4"/>
    <s v="24"/>
    <x v="1"/>
    <x v="1"/>
    <x v="12"/>
    <x v="8"/>
    <n v="-747752.35"/>
  </r>
  <r>
    <x v="6"/>
    <x v="0"/>
    <x v="1"/>
    <x v="0"/>
    <x v="1"/>
    <x v="1"/>
    <x v="1"/>
    <x v="0"/>
    <x v="0"/>
    <x v="0"/>
    <x v="0"/>
    <x v="4"/>
    <s v="24"/>
    <x v="1"/>
    <x v="1"/>
    <x v="12"/>
    <x v="9"/>
    <n v="-176889.13"/>
  </r>
  <r>
    <x v="6"/>
    <x v="0"/>
    <x v="1"/>
    <x v="0"/>
    <x v="1"/>
    <x v="1"/>
    <x v="1"/>
    <x v="0"/>
    <x v="0"/>
    <x v="0"/>
    <x v="0"/>
    <x v="4"/>
    <s v="24"/>
    <x v="1"/>
    <x v="1"/>
    <x v="12"/>
    <x v="10"/>
    <n v="-44816.47"/>
  </r>
  <r>
    <x v="6"/>
    <x v="0"/>
    <x v="1"/>
    <x v="0"/>
    <x v="1"/>
    <x v="1"/>
    <x v="1"/>
    <x v="0"/>
    <x v="0"/>
    <x v="0"/>
    <x v="0"/>
    <x v="4"/>
    <s v="24"/>
    <x v="1"/>
    <x v="1"/>
    <x v="12"/>
    <x v="11"/>
    <n v="20446650.890000001"/>
  </r>
  <r>
    <x v="6"/>
    <x v="0"/>
    <x v="1"/>
    <x v="0"/>
    <x v="1"/>
    <x v="1"/>
    <x v="1"/>
    <x v="0"/>
    <x v="0"/>
    <x v="0"/>
    <x v="0"/>
    <x v="4"/>
    <s v="24"/>
    <x v="1"/>
    <x v="1"/>
    <x v="12"/>
    <x v="3"/>
    <n v="-902019.13"/>
  </r>
  <r>
    <x v="6"/>
    <x v="0"/>
    <x v="1"/>
    <x v="0"/>
    <x v="1"/>
    <x v="1"/>
    <x v="1"/>
    <x v="0"/>
    <x v="0"/>
    <x v="0"/>
    <x v="0"/>
    <x v="4"/>
    <s v="24"/>
    <x v="1"/>
    <x v="1"/>
    <x v="12"/>
    <x v="4"/>
    <n v="-81488.39"/>
  </r>
  <r>
    <x v="6"/>
    <x v="0"/>
    <x v="1"/>
    <x v="0"/>
    <x v="1"/>
    <x v="1"/>
    <x v="1"/>
    <x v="0"/>
    <x v="0"/>
    <x v="0"/>
    <x v="0"/>
    <x v="4"/>
    <s v="24"/>
    <x v="1"/>
    <x v="1"/>
    <x v="12"/>
    <x v="7"/>
    <n v="17878506.649999999"/>
  </r>
  <r>
    <x v="6"/>
    <x v="0"/>
    <x v="1"/>
    <x v="0"/>
    <x v="1"/>
    <x v="1"/>
    <x v="1"/>
    <x v="0"/>
    <x v="0"/>
    <x v="0"/>
    <x v="0"/>
    <x v="4"/>
    <s v="24"/>
    <x v="1"/>
    <x v="1"/>
    <x v="12"/>
    <x v="5"/>
    <n v="591158.75"/>
  </r>
  <r>
    <x v="6"/>
    <x v="0"/>
    <x v="1"/>
    <x v="0"/>
    <x v="1"/>
    <x v="1"/>
    <x v="1"/>
    <x v="0"/>
    <x v="0"/>
    <x v="0"/>
    <x v="0"/>
    <x v="4"/>
    <s v="24"/>
    <x v="1"/>
    <x v="1"/>
    <x v="12"/>
    <x v="6"/>
    <n v="-363873.73"/>
  </r>
  <r>
    <x v="6"/>
    <x v="0"/>
    <x v="1"/>
    <x v="0"/>
    <x v="1"/>
    <x v="1"/>
    <x v="1"/>
    <x v="0"/>
    <x v="0"/>
    <x v="0"/>
    <x v="0"/>
    <x v="4"/>
    <s v="24"/>
    <x v="1"/>
    <x v="1"/>
    <x v="12"/>
    <x v="1"/>
    <n v="-287376.07"/>
  </r>
  <r>
    <x v="6"/>
    <x v="0"/>
    <x v="1"/>
    <x v="0"/>
    <x v="1"/>
    <x v="1"/>
    <x v="1"/>
    <x v="0"/>
    <x v="0"/>
    <x v="0"/>
    <x v="0"/>
    <x v="4"/>
    <s v="24"/>
    <x v="1"/>
    <x v="1"/>
    <x v="13"/>
    <x v="0"/>
    <n v="21838802.18"/>
  </r>
  <r>
    <x v="6"/>
    <x v="0"/>
    <x v="1"/>
    <x v="0"/>
    <x v="1"/>
    <x v="1"/>
    <x v="1"/>
    <x v="0"/>
    <x v="0"/>
    <x v="0"/>
    <x v="0"/>
    <x v="4"/>
    <s v="24"/>
    <x v="1"/>
    <x v="1"/>
    <x v="13"/>
    <x v="2"/>
    <n v="2060046.71"/>
  </r>
  <r>
    <x v="6"/>
    <x v="0"/>
    <x v="1"/>
    <x v="0"/>
    <x v="1"/>
    <x v="1"/>
    <x v="1"/>
    <x v="0"/>
    <x v="0"/>
    <x v="0"/>
    <x v="0"/>
    <x v="4"/>
    <s v="24"/>
    <x v="1"/>
    <x v="1"/>
    <x v="13"/>
    <x v="8"/>
    <n v="-1088002.49"/>
  </r>
  <r>
    <x v="6"/>
    <x v="0"/>
    <x v="1"/>
    <x v="0"/>
    <x v="1"/>
    <x v="1"/>
    <x v="1"/>
    <x v="0"/>
    <x v="0"/>
    <x v="0"/>
    <x v="0"/>
    <x v="4"/>
    <s v="24"/>
    <x v="1"/>
    <x v="1"/>
    <x v="13"/>
    <x v="9"/>
    <n v="-233306.59"/>
  </r>
  <r>
    <x v="6"/>
    <x v="0"/>
    <x v="1"/>
    <x v="0"/>
    <x v="1"/>
    <x v="1"/>
    <x v="1"/>
    <x v="0"/>
    <x v="0"/>
    <x v="0"/>
    <x v="0"/>
    <x v="4"/>
    <s v="24"/>
    <x v="1"/>
    <x v="1"/>
    <x v="13"/>
    <x v="10"/>
    <n v="-529707.97"/>
  </r>
  <r>
    <x v="6"/>
    <x v="0"/>
    <x v="1"/>
    <x v="0"/>
    <x v="1"/>
    <x v="1"/>
    <x v="1"/>
    <x v="0"/>
    <x v="0"/>
    <x v="0"/>
    <x v="0"/>
    <x v="4"/>
    <s v="24"/>
    <x v="1"/>
    <x v="1"/>
    <x v="13"/>
    <x v="11"/>
    <n v="20884600.859999999"/>
  </r>
  <r>
    <x v="6"/>
    <x v="0"/>
    <x v="1"/>
    <x v="0"/>
    <x v="1"/>
    <x v="1"/>
    <x v="1"/>
    <x v="0"/>
    <x v="0"/>
    <x v="0"/>
    <x v="0"/>
    <x v="4"/>
    <s v="24"/>
    <x v="1"/>
    <x v="1"/>
    <x v="13"/>
    <x v="3"/>
    <n v="639878.49"/>
  </r>
  <r>
    <x v="6"/>
    <x v="0"/>
    <x v="1"/>
    <x v="0"/>
    <x v="1"/>
    <x v="1"/>
    <x v="1"/>
    <x v="0"/>
    <x v="0"/>
    <x v="0"/>
    <x v="0"/>
    <x v="4"/>
    <s v="24"/>
    <x v="1"/>
    <x v="1"/>
    <x v="13"/>
    <x v="4"/>
    <n v="-79144.759999999995"/>
  </r>
  <r>
    <x v="6"/>
    <x v="0"/>
    <x v="1"/>
    <x v="0"/>
    <x v="1"/>
    <x v="1"/>
    <x v="1"/>
    <x v="0"/>
    <x v="0"/>
    <x v="0"/>
    <x v="0"/>
    <x v="4"/>
    <s v="24"/>
    <x v="1"/>
    <x v="1"/>
    <x v="13"/>
    <x v="7"/>
    <n v="19744887.16"/>
  </r>
  <r>
    <x v="6"/>
    <x v="0"/>
    <x v="1"/>
    <x v="0"/>
    <x v="1"/>
    <x v="1"/>
    <x v="1"/>
    <x v="0"/>
    <x v="0"/>
    <x v="0"/>
    <x v="0"/>
    <x v="4"/>
    <s v="24"/>
    <x v="1"/>
    <x v="1"/>
    <x v="13"/>
    <x v="5"/>
    <n v="525929.66"/>
  </r>
  <r>
    <x v="6"/>
    <x v="0"/>
    <x v="1"/>
    <x v="0"/>
    <x v="1"/>
    <x v="1"/>
    <x v="1"/>
    <x v="0"/>
    <x v="0"/>
    <x v="0"/>
    <x v="0"/>
    <x v="4"/>
    <s v="24"/>
    <x v="1"/>
    <x v="1"/>
    <x v="13"/>
    <x v="6"/>
    <n v="-75188.13"/>
  </r>
  <r>
    <x v="6"/>
    <x v="0"/>
    <x v="1"/>
    <x v="0"/>
    <x v="1"/>
    <x v="1"/>
    <x v="1"/>
    <x v="0"/>
    <x v="0"/>
    <x v="0"/>
    <x v="0"/>
    <x v="4"/>
    <s v="24"/>
    <x v="1"/>
    <x v="1"/>
    <x v="13"/>
    <x v="1"/>
    <n v="-8316.85"/>
  </r>
  <r>
    <x v="6"/>
    <x v="0"/>
    <x v="1"/>
    <x v="0"/>
    <x v="1"/>
    <x v="1"/>
    <x v="5"/>
    <x v="0"/>
    <x v="0"/>
    <x v="0"/>
    <x v="0"/>
    <x v="4"/>
    <s v="20"/>
    <x v="7"/>
    <x v="1"/>
    <x v="12"/>
    <x v="3"/>
    <n v="900"/>
  </r>
  <r>
    <x v="6"/>
    <x v="0"/>
    <x v="1"/>
    <x v="0"/>
    <x v="1"/>
    <x v="1"/>
    <x v="5"/>
    <x v="0"/>
    <x v="0"/>
    <x v="0"/>
    <x v="0"/>
    <x v="4"/>
    <s v="20"/>
    <x v="7"/>
    <x v="1"/>
    <x v="12"/>
    <x v="4"/>
    <n v="-900"/>
  </r>
  <r>
    <x v="6"/>
    <x v="0"/>
    <x v="1"/>
    <x v="0"/>
    <x v="1"/>
    <x v="1"/>
    <x v="8"/>
    <x v="0"/>
    <x v="0"/>
    <x v="0"/>
    <x v="0"/>
    <x v="4"/>
    <s v="20"/>
    <x v="7"/>
    <x v="1"/>
    <x v="12"/>
    <x v="0"/>
    <n v="45"/>
  </r>
  <r>
    <x v="6"/>
    <x v="0"/>
    <x v="1"/>
    <x v="0"/>
    <x v="1"/>
    <x v="1"/>
    <x v="8"/>
    <x v="0"/>
    <x v="0"/>
    <x v="0"/>
    <x v="0"/>
    <x v="4"/>
    <s v="20"/>
    <x v="7"/>
    <x v="1"/>
    <x v="12"/>
    <x v="2"/>
    <n v="-45"/>
  </r>
  <r>
    <x v="6"/>
    <x v="0"/>
    <x v="1"/>
    <x v="0"/>
    <x v="1"/>
    <x v="5"/>
    <x v="0"/>
    <x v="0"/>
    <x v="0"/>
    <x v="1"/>
    <x v="1"/>
    <x v="8"/>
    <s v="41"/>
    <x v="4"/>
    <x v="1"/>
    <x v="13"/>
    <x v="1"/>
    <n v="1904616.75"/>
  </r>
  <r>
    <x v="6"/>
    <x v="0"/>
    <x v="1"/>
    <x v="0"/>
    <x v="1"/>
    <x v="5"/>
    <x v="0"/>
    <x v="0"/>
    <x v="0"/>
    <x v="0"/>
    <x v="0"/>
    <x v="4"/>
    <s v="20"/>
    <x v="7"/>
    <x v="1"/>
    <x v="13"/>
    <x v="0"/>
    <n v="-40762.44"/>
  </r>
  <r>
    <x v="6"/>
    <x v="0"/>
    <x v="1"/>
    <x v="0"/>
    <x v="1"/>
    <x v="5"/>
    <x v="0"/>
    <x v="0"/>
    <x v="0"/>
    <x v="0"/>
    <x v="0"/>
    <x v="4"/>
    <s v="20"/>
    <x v="7"/>
    <x v="1"/>
    <x v="13"/>
    <x v="1"/>
    <n v="40762.44"/>
  </r>
  <r>
    <x v="6"/>
    <x v="0"/>
    <x v="1"/>
    <x v="0"/>
    <x v="1"/>
    <x v="5"/>
    <x v="0"/>
    <x v="0"/>
    <x v="0"/>
    <x v="0"/>
    <x v="0"/>
    <x v="4"/>
    <s v="24"/>
    <x v="1"/>
    <x v="1"/>
    <x v="12"/>
    <x v="0"/>
    <n v="-13048.89"/>
  </r>
  <r>
    <x v="6"/>
    <x v="0"/>
    <x v="1"/>
    <x v="0"/>
    <x v="1"/>
    <x v="5"/>
    <x v="0"/>
    <x v="0"/>
    <x v="0"/>
    <x v="0"/>
    <x v="0"/>
    <x v="4"/>
    <s v="24"/>
    <x v="1"/>
    <x v="1"/>
    <x v="12"/>
    <x v="2"/>
    <n v="-9409.4699999999993"/>
  </r>
  <r>
    <x v="6"/>
    <x v="0"/>
    <x v="1"/>
    <x v="0"/>
    <x v="1"/>
    <x v="5"/>
    <x v="0"/>
    <x v="0"/>
    <x v="0"/>
    <x v="0"/>
    <x v="0"/>
    <x v="4"/>
    <s v="24"/>
    <x v="1"/>
    <x v="1"/>
    <x v="12"/>
    <x v="8"/>
    <n v="20693255.82"/>
  </r>
  <r>
    <x v="6"/>
    <x v="0"/>
    <x v="1"/>
    <x v="0"/>
    <x v="1"/>
    <x v="5"/>
    <x v="0"/>
    <x v="0"/>
    <x v="0"/>
    <x v="0"/>
    <x v="0"/>
    <x v="4"/>
    <s v="24"/>
    <x v="1"/>
    <x v="1"/>
    <x v="12"/>
    <x v="9"/>
    <n v="-331305.44"/>
  </r>
  <r>
    <x v="6"/>
    <x v="0"/>
    <x v="1"/>
    <x v="0"/>
    <x v="1"/>
    <x v="5"/>
    <x v="0"/>
    <x v="0"/>
    <x v="0"/>
    <x v="0"/>
    <x v="0"/>
    <x v="4"/>
    <s v="24"/>
    <x v="1"/>
    <x v="1"/>
    <x v="12"/>
    <x v="10"/>
    <n v="-61493.36"/>
  </r>
  <r>
    <x v="6"/>
    <x v="0"/>
    <x v="1"/>
    <x v="0"/>
    <x v="1"/>
    <x v="5"/>
    <x v="0"/>
    <x v="0"/>
    <x v="0"/>
    <x v="0"/>
    <x v="0"/>
    <x v="4"/>
    <s v="24"/>
    <x v="1"/>
    <x v="1"/>
    <x v="12"/>
    <x v="11"/>
    <n v="-4800.28"/>
  </r>
  <r>
    <x v="6"/>
    <x v="0"/>
    <x v="1"/>
    <x v="0"/>
    <x v="1"/>
    <x v="5"/>
    <x v="0"/>
    <x v="0"/>
    <x v="0"/>
    <x v="0"/>
    <x v="0"/>
    <x v="4"/>
    <s v="24"/>
    <x v="1"/>
    <x v="1"/>
    <x v="12"/>
    <x v="3"/>
    <n v="19475294.359999999"/>
  </r>
  <r>
    <x v="6"/>
    <x v="0"/>
    <x v="1"/>
    <x v="0"/>
    <x v="1"/>
    <x v="5"/>
    <x v="0"/>
    <x v="0"/>
    <x v="0"/>
    <x v="0"/>
    <x v="0"/>
    <x v="4"/>
    <s v="24"/>
    <x v="1"/>
    <x v="1"/>
    <x v="12"/>
    <x v="4"/>
    <n v="-390199.99"/>
  </r>
  <r>
    <x v="6"/>
    <x v="0"/>
    <x v="1"/>
    <x v="0"/>
    <x v="1"/>
    <x v="5"/>
    <x v="0"/>
    <x v="0"/>
    <x v="0"/>
    <x v="0"/>
    <x v="0"/>
    <x v="4"/>
    <s v="24"/>
    <x v="1"/>
    <x v="1"/>
    <x v="12"/>
    <x v="7"/>
    <n v="18778787.199999999"/>
  </r>
  <r>
    <x v="6"/>
    <x v="0"/>
    <x v="1"/>
    <x v="0"/>
    <x v="1"/>
    <x v="5"/>
    <x v="0"/>
    <x v="0"/>
    <x v="0"/>
    <x v="0"/>
    <x v="0"/>
    <x v="4"/>
    <s v="24"/>
    <x v="1"/>
    <x v="1"/>
    <x v="12"/>
    <x v="5"/>
    <n v="-58787.74"/>
  </r>
  <r>
    <x v="6"/>
    <x v="0"/>
    <x v="1"/>
    <x v="0"/>
    <x v="1"/>
    <x v="5"/>
    <x v="0"/>
    <x v="0"/>
    <x v="0"/>
    <x v="0"/>
    <x v="0"/>
    <x v="4"/>
    <s v="24"/>
    <x v="1"/>
    <x v="1"/>
    <x v="12"/>
    <x v="6"/>
    <n v="-17423.96"/>
  </r>
  <r>
    <x v="6"/>
    <x v="0"/>
    <x v="1"/>
    <x v="0"/>
    <x v="1"/>
    <x v="5"/>
    <x v="0"/>
    <x v="0"/>
    <x v="0"/>
    <x v="0"/>
    <x v="0"/>
    <x v="4"/>
    <s v="24"/>
    <x v="1"/>
    <x v="1"/>
    <x v="12"/>
    <x v="1"/>
    <n v="-193519.79"/>
  </r>
  <r>
    <x v="6"/>
    <x v="0"/>
    <x v="1"/>
    <x v="0"/>
    <x v="1"/>
    <x v="5"/>
    <x v="0"/>
    <x v="0"/>
    <x v="0"/>
    <x v="0"/>
    <x v="0"/>
    <x v="4"/>
    <s v="24"/>
    <x v="1"/>
    <x v="1"/>
    <x v="13"/>
    <x v="2"/>
    <n v="15240.17"/>
  </r>
  <r>
    <x v="6"/>
    <x v="0"/>
    <x v="1"/>
    <x v="0"/>
    <x v="1"/>
    <x v="5"/>
    <x v="0"/>
    <x v="0"/>
    <x v="0"/>
    <x v="0"/>
    <x v="0"/>
    <x v="4"/>
    <s v="24"/>
    <x v="1"/>
    <x v="1"/>
    <x v="13"/>
    <x v="8"/>
    <n v="22722746.739999998"/>
  </r>
  <r>
    <x v="6"/>
    <x v="0"/>
    <x v="1"/>
    <x v="0"/>
    <x v="1"/>
    <x v="5"/>
    <x v="0"/>
    <x v="0"/>
    <x v="0"/>
    <x v="0"/>
    <x v="0"/>
    <x v="4"/>
    <s v="24"/>
    <x v="1"/>
    <x v="1"/>
    <x v="13"/>
    <x v="9"/>
    <n v="-414171.63"/>
  </r>
  <r>
    <x v="6"/>
    <x v="0"/>
    <x v="1"/>
    <x v="0"/>
    <x v="1"/>
    <x v="5"/>
    <x v="0"/>
    <x v="0"/>
    <x v="0"/>
    <x v="0"/>
    <x v="0"/>
    <x v="4"/>
    <s v="24"/>
    <x v="1"/>
    <x v="1"/>
    <x v="13"/>
    <x v="10"/>
    <n v="-101176.52"/>
  </r>
  <r>
    <x v="6"/>
    <x v="0"/>
    <x v="1"/>
    <x v="0"/>
    <x v="1"/>
    <x v="5"/>
    <x v="0"/>
    <x v="0"/>
    <x v="0"/>
    <x v="0"/>
    <x v="0"/>
    <x v="4"/>
    <s v="24"/>
    <x v="1"/>
    <x v="1"/>
    <x v="13"/>
    <x v="11"/>
    <n v="-13463.9"/>
  </r>
  <r>
    <x v="6"/>
    <x v="0"/>
    <x v="1"/>
    <x v="0"/>
    <x v="1"/>
    <x v="5"/>
    <x v="0"/>
    <x v="0"/>
    <x v="0"/>
    <x v="0"/>
    <x v="0"/>
    <x v="4"/>
    <s v="24"/>
    <x v="1"/>
    <x v="1"/>
    <x v="13"/>
    <x v="3"/>
    <n v="21637323.559999999"/>
  </r>
  <r>
    <x v="6"/>
    <x v="0"/>
    <x v="1"/>
    <x v="0"/>
    <x v="1"/>
    <x v="5"/>
    <x v="0"/>
    <x v="0"/>
    <x v="0"/>
    <x v="0"/>
    <x v="0"/>
    <x v="4"/>
    <s v="24"/>
    <x v="1"/>
    <x v="1"/>
    <x v="13"/>
    <x v="4"/>
    <n v="-65417.51"/>
  </r>
  <r>
    <x v="6"/>
    <x v="0"/>
    <x v="1"/>
    <x v="0"/>
    <x v="1"/>
    <x v="5"/>
    <x v="0"/>
    <x v="0"/>
    <x v="0"/>
    <x v="0"/>
    <x v="0"/>
    <x v="4"/>
    <s v="24"/>
    <x v="1"/>
    <x v="1"/>
    <x v="13"/>
    <x v="7"/>
    <n v="20902130.34"/>
  </r>
  <r>
    <x v="6"/>
    <x v="0"/>
    <x v="1"/>
    <x v="0"/>
    <x v="1"/>
    <x v="5"/>
    <x v="0"/>
    <x v="0"/>
    <x v="0"/>
    <x v="0"/>
    <x v="0"/>
    <x v="4"/>
    <s v="24"/>
    <x v="1"/>
    <x v="1"/>
    <x v="13"/>
    <x v="5"/>
    <n v="-54051.57"/>
  </r>
  <r>
    <x v="6"/>
    <x v="0"/>
    <x v="1"/>
    <x v="0"/>
    <x v="1"/>
    <x v="5"/>
    <x v="0"/>
    <x v="0"/>
    <x v="0"/>
    <x v="0"/>
    <x v="0"/>
    <x v="4"/>
    <s v="24"/>
    <x v="1"/>
    <x v="1"/>
    <x v="13"/>
    <x v="6"/>
    <n v="-38748.42"/>
  </r>
  <r>
    <x v="6"/>
    <x v="0"/>
    <x v="1"/>
    <x v="0"/>
    <x v="1"/>
    <x v="5"/>
    <x v="0"/>
    <x v="0"/>
    <x v="0"/>
    <x v="0"/>
    <x v="0"/>
    <x v="4"/>
    <s v="24"/>
    <x v="1"/>
    <x v="1"/>
    <x v="13"/>
    <x v="1"/>
    <n v="-85568.57"/>
  </r>
  <r>
    <x v="6"/>
    <x v="0"/>
    <x v="1"/>
    <x v="0"/>
    <x v="1"/>
    <x v="5"/>
    <x v="0"/>
    <x v="0"/>
    <x v="0"/>
    <x v="0"/>
    <x v="0"/>
    <x v="4"/>
    <s v="99"/>
    <x v="9"/>
    <x v="1"/>
    <x v="13"/>
    <x v="1"/>
    <n v="308391.12"/>
  </r>
  <r>
    <x v="6"/>
    <x v="0"/>
    <x v="1"/>
    <x v="0"/>
    <x v="1"/>
    <x v="5"/>
    <x v="0"/>
    <x v="0"/>
    <x v="0"/>
    <x v="0"/>
    <x v="4"/>
    <x v="5"/>
    <s v="21"/>
    <x v="27"/>
    <x v="1"/>
    <x v="13"/>
    <x v="1"/>
    <n v="1000000"/>
  </r>
  <r>
    <x v="6"/>
    <x v="0"/>
    <x v="1"/>
    <x v="0"/>
    <x v="1"/>
    <x v="5"/>
    <x v="0"/>
    <x v="0"/>
    <x v="0"/>
    <x v="0"/>
    <x v="4"/>
    <x v="5"/>
    <s v="22"/>
    <x v="25"/>
    <x v="1"/>
    <x v="12"/>
    <x v="0"/>
    <n v="-153525"/>
  </r>
  <r>
    <x v="6"/>
    <x v="0"/>
    <x v="1"/>
    <x v="0"/>
    <x v="1"/>
    <x v="5"/>
    <x v="0"/>
    <x v="0"/>
    <x v="0"/>
    <x v="0"/>
    <x v="4"/>
    <x v="5"/>
    <s v="22"/>
    <x v="25"/>
    <x v="1"/>
    <x v="12"/>
    <x v="3"/>
    <n v="-266525"/>
  </r>
  <r>
    <x v="6"/>
    <x v="0"/>
    <x v="1"/>
    <x v="0"/>
    <x v="1"/>
    <x v="5"/>
    <x v="0"/>
    <x v="0"/>
    <x v="0"/>
    <x v="0"/>
    <x v="4"/>
    <x v="5"/>
    <s v="22"/>
    <x v="25"/>
    <x v="1"/>
    <x v="13"/>
    <x v="0"/>
    <n v="397625"/>
  </r>
  <r>
    <x v="6"/>
    <x v="0"/>
    <x v="1"/>
    <x v="0"/>
    <x v="1"/>
    <x v="5"/>
    <x v="0"/>
    <x v="0"/>
    <x v="0"/>
    <x v="0"/>
    <x v="4"/>
    <x v="5"/>
    <s v="22"/>
    <x v="25"/>
    <x v="1"/>
    <x v="13"/>
    <x v="3"/>
    <n v="59375"/>
  </r>
  <r>
    <x v="6"/>
    <x v="0"/>
    <x v="1"/>
    <x v="0"/>
    <x v="1"/>
    <x v="5"/>
    <x v="0"/>
    <x v="0"/>
    <x v="0"/>
    <x v="0"/>
    <x v="4"/>
    <x v="5"/>
    <s v="22"/>
    <x v="25"/>
    <x v="1"/>
    <x v="13"/>
    <x v="1"/>
    <n v="-1943692.78"/>
  </r>
  <r>
    <x v="6"/>
    <x v="0"/>
    <x v="1"/>
    <x v="0"/>
    <x v="1"/>
    <x v="6"/>
    <x v="0"/>
    <x v="0"/>
    <x v="0"/>
    <x v="1"/>
    <x v="1"/>
    <x v="8"/>
    <s v="41"/>
    <x v="4"/>
    <x v="1"/>
    <x v="12"/>
    <x v="1"/>
    <n v="-168.27"/>
  </r>
  <r>
    <x v="6"/>
    <x v="0"/>
    <x v="1"/>
    <x v="0"/>
    <x v="1"/>
    <x v="6"/>
    <x v="0"/>
    <x v="0"/>
    <x v="0"/>
    <x v="0"/>
    <x v="0"/>
    <x v="4"/>
    <s v="20"/>
    <x v="7"/>
    <x v="1"/>
    <x v="12"/>
    <x v="2"/>
    <n v="-84"/>
  </r>
  <r>
    <x v="6"/>
    <x v="0"/>
    <x v="1"/>
    <x v="0"/>
    <x v="1"/>
    <x v="6"/>
    <x v="0"/>
    <x v="0"/>
    <x v="0"/>
    <x v="0"/>
    <x v="0"/>
    <x v="4"/>
    <s v="20"/>
    <x v="7"/>
    <x v="1"/>
    <x v="12"/>
    <x v="8"/>
    <n v="84"/>
  </r>
  <r>
    <x v="6"/>
    <x v="0"/>
    <x v="1"/>
    <x v="0"/>
    <x v="1"/>
    <x v="6"/>
    <x v="0"/>
    <x v="0"/>
    <x v="0"/>
    <x v="0"/>
    <x v="0"/>
    <x v="4"/>
    <s v="24"/>
    <x v="1"/>
    <x v="1"/>
    <x v="12"/>
    <x v="2"/>
    <n v="41.49"/>
  </r>
  <r>
    <x v="6"/>
    <x v="0"/>
    <x v="1"/>
    <x v="0"/>
    <x v="1"/>
    <x v="6"/>
    <x v="0"/>
    <x v="0"/>
    <x v="0"/>
    <x v="0"/>
    <x v="0"/>
    <x v="4"/>
    <s v="24"/>
    <x v="1"/>
    <x v="1"/>
    <x v="12"/>
    <x v="5"/>
    <n v="-137438.41"/>
  </r>
  <r>
    <x v="6"/>
    <x v="0"/>
    <x v="1"/>
    <x v="0"/>
    <x v="1"/>
    <x v="6"/>
    <x v="0"/>
    <x v="0"/>
    <x v="0"/>
    <x v="0"/>
    <x v="0"/>
    <x v="4"/>
    <s v="24"/>
    <x v="1"/>
    <x v="1"/>
    <x v="12"/>
    <x v="6"/>
    <n v="-240792.75"/>
  </r>
  <r>
    <x v="6"/>
    <x v="0"/>
    <x v="1"/>
    <x v="0"/>
    <x v="1"/>
    <x v="6"/>
    <x v="0"/>
    <x v="0"/>
    <x v="0"/>
    <x v="0"/>
    <x v="0"/>
    <x v="4"/>
    <s v="24"/>
    <x v="1"/>
    <x v="1"/>
    <x v="13"/>
    <x v="2"/>
    <n v="-7767.58"/>
  </r>
  <r>
    <x v="6"/>
    <x v="0"/>
    <x v="1"/>
    <x v="0"/>
    <x v="1"/>
    <x v="6"/>
    <x v="0"/>
    <x v="0"/>
    <x v="0"/>
    <x v="0"/>
    <x v="0"/>
    <x v="4"/>
    <s v="24"/>
    <x v="1"/>
    <x v="1"/>
    <x v="13"/>
    <x v="8"/>
    <n v="-6471"/>
  </r>
  <r>
    <x v="6"/>
    <x v="0"/>
    <x v="1"/>
    <x v="0"/>
    <x v="1"/>
    <x v="6"/>
    <x v="0"/>
    <x v="0"/>
    <x v="0"/>
    <x v="0"/>
    <x v="0"/>
    <x v="4"/>
    <s v="24"/>
    <x v="1"/>
    <x v="1"/>
    <x v="13"/>
    <x v="9"/>
    <n v="-4099.07"/>
  </r>
  <r>
    <x v="6"/>
    <x v="0"/>
    <x v="1"/>
    <x v="0"/>
    <x v="1"/>
    <x v="6"/>
    <x v="0"/>
    <x v="0"/>
    <x v="0"/>
    <x v="0"/>
    <x v="0"/>
    <x v="4"/>
    <s v="24"/>
    <x v="1"/>
    <x v="1"/>
    <x v="13"/>
    <x v="3"/>
    <n v="-6924.73"/>
  </r>
  <r>
    <x v="6"/>
    <x v="0"/>
    <x v="1"/>
    <x v="0"/>
    <x v="1"/>
    <x v="6"/>
    <x v="0"/>
    <x v="0"/>
    <x v="0"/>
    <x v="0"/>
    <x v="0"/>
    <x v="4"/>
    <s v="24"/>
    <x v="1"/>
    <x v="1"/>
    <x v="13"/>
    <x v="6"/>
    <n v="-270"/>
  </r>
  <r>
    <x v="6"/>
    <x v="0"/>
    <x v="1"/>
    <x v="0"/>
    <x v="1"/>
    <x v="6"/>
    <x v="0"/>
    <x v="0"/>
    <x v="0"/>
    <x v="0"/>
    <x v="0"/>
    <x v="4"/>
    <s v="24"/>
    <x v="1"/>
    <x v="1"/>
    <x v="13"/>
    <x v="1"/>
    <n v="-4387.4799999999996"/>
  </r>
  <r>
    <x v="6"/>
    <x v="0"/>
    <x v="1"/>
    <x v="0"/>
    <x v="1"/>
    <x v="6"/>
    <x v="0"/>
    <x v="0"/>
    <x v="0"/>
    <x v="0"/>
    <x v="4"/>
    <x v="5"/>
    <s v="21"/>
    <x v="27"/>
    <x v="1"/>
    <x v="12"/>
    <x v="8"/>
    <n v="806000"/>
  </r>
  <r>
    <x v="6"/>
    <x v="0"/>
    <x v="1"/>
    <x v="0"/>
    <x v="1"/>
    <x v="6"/>
    <x v="0"/>
    <x v="0"/>
    <x v="0"/>
    <x v="0"/>
    <x v="4"/>
    <x v="5"/>
    <s v="22"/>
    <x v="25"/>
    <x v="1"/>
    <x v="12"/>
    <x v="5"/>
    <n v="-18408.55"/>
  </r>
  <r>
    <x v="6"/>
    <x v="0"/>
    <x v="1"/>
    <x v="0"/>
    <x v="1"/>
    <x v="6"/>
    <x v="0"/>
    <x v="0"/>
    <x v="0"/>
    <x v="0"/>
    <x v="4"/>
    <x v="5"/>
    <s v="22"/>
    <x v="25"/>
    <x v="1"/>
    <x v="12"/>
    <x v="1"/>
    <n v="-438070"/>
  </r>
  <r>
    <x v="6"/>
    <x v="0"/>
    <x v="1"/>
    <x v="0"/>
    <x v="1"/>
    <x v="6"/>
    <x v="0"/>
    <x v="0"/>
    <x v="0"/>
    <x v="0"/>
    <x v="4"/>
    <x v="5"/>
    <s v="22"/>
    <x v="25"/>
    <x v="1"/>
    <x v="13"/>
    <x v="1"/>
    <n v="-334540"/>
  </r>
  <r>
    <x v="6"/>
    <x v="0"/>
    <x v="1"/>
    <x v="0"/>
    <x v="1"/>
    <x v="6"/>
    <x v="0"/>
    <x v="0"/>
    <x v="0"/>
    <x v="0"/>
    <x v="5"/>
    <x v="6"/>
    <s v="40"/>
    <x v="26"/>
    <x v="1"/>
    <x v="13"/>
    <x v="6"/>
    <n v="270"/>
  </r>
  <r>
    <x v="6"/>
    <x v="0"/>
    <x v="1"/>
    <x v="0"/>
    <x v="1"/>
    <x v="6"/>
    <x v="0"/>
    <x v="0"/>
    <x v="0"/>
    <x v="0"/>
    <x v="5"/>
    <x v="6"/>
    <s v="40"/>
    <x v="26"/>
    <x v="1"/>
    <x v="13"/>
    <x v="1"/>
    <n v="-270"/>
  </r>
  <r>
    <x v="6"/>
    <x v="0"/>
    <x v="1"/>
    <x v="0"/>
    <x v="1"/>
    <x v="6"/>
    <x v="1"/>
    <x v="0"/>
    <x v="0"/>
    <x v="1"/>
    <x v="1"/>
    <x v="8"/>
    <s v="41"/>
    <x v="4"/>
    <x v="1"/>
    <x v="12"/>
    <x v="1"/>
    <n v="168.27"/>
  </r>
  <r>
    <x v="6"/>
    <x v="0"/>
    <x v="1"/>
    <x v="0"/>
    <x v="1"/>
    <x v="6"/>
    <x v="1"/>
    <x v="0"/>
    <x v="0"/>
    <x v="0"/>
    <x v="0"/>
    <x v="4"/>
    <s v="24"/>
    <x v="1"/>
    <x v="1"/>
    <x v="12"/>
    <x v="2"/>
    <n v="-41.49"/>
  </r>
  <r>
    <x v="6"/>
    <x v="0"/>
    <x v="1"/>
    <x v="0"/>
    <x v="1"/>
    <x v="6"/>
    <x v="5"/>
    <x v="0"/>
    <x v="0"/>
    <x v="2"/>
    <x v="3"/>
    <x v="7"/>
    <s v="93"/>
    <x v="40"/>
    <x v="1"/>
    <x v="12"/>
    <x v="9"/>
    <n v="-95.11"/>
  </r>
  <r>
    <x v="6"/>
    <x v="0"/>
    <x v="1"/>
    <x v="0"/>
    <x v="1"/>
    <x v="6"/>
    <x v="5"/>
    <x v="0"/>
    <x v="0"/>
    <x v="2"/>
    <x v="3"/>
    <x v="7"/>
    <s v="93"/>
    <x v="40"/>
    <x v="1"/>
    <x v="12"/>
    <x v="10"/>
    <n v="95.11"/>
  </r>
  <r>
    <x v="6"/>
    <x v="0"/>
    <x v="1"/>
    <x v="0"/>
    <x v="1"/>
    <x v="6"/>
    <x v="5"/>
    <x v="0"/>
    <x v="0"/>
    <x v="0"/>
    <x v="0"/>
    <x v="4"/>
    <s v="99"/>
    <x v="9"/>
    <x v="1"/>
    <x v="12"/>
    <x v="3"/>
    <n v="1654.48"/>
  </r>
  <r>
    <x v="6"/>
    <x v="0"/>
    <x v="1"/>
    <x v="0"/>
    <x v="1"/>
    <x v="6"/>
    <x v="3"/>
    <x v="0"/>
    <x v="0"/>
    <x v="0"/>
    <x v="0"/>
    <x v="4"/>
    <s v="05"/>
    <x v="38"/>
    <x v="1"/>
    <x v="13"/>
    <x v="9"/>
    <n v="-1770.17"/>
  </r>
  <r>
    <x v="6"/>
    <x v="0"/>
    <x v="1"/>
    <x v="0"/>
    <x v="1"/>
    <x v="6"/>
    <x v="4"/>
    <x v="0"/>
    <x v="0"/>
    <x v="0"/>
    <x v="0"/>
    <x v="4"/>
    <s v="01"/>
    <x v="42"/>
    <x v="1"/>
    <x v="12"/>
    <x v="11"/>
    <n v="4414.8599999999997"/>
  </r>
  <r>
    <x v="6"/>
    <x v="0"/>
    <x v="1"/>
    <x v="0"/>
    <x v="1"/>
    <x v="6"/>
    <x v="4"/>
    <x v="0"/>
    <x v="0"/>
    <x v="0"/>
    <x v="0"/>
    <x v="4"/>
    <s v="01"/>
    <x v="42"/>
    <x v="1"/>
    <x v="12"/>
    <x v="7"/>
    <n v="10408.43"/>
  </r>
  <r>
    <x v="6"/>
    <x v="0"/>
    <x v="1"/>
    <x v="0"/>
    <x v="1"/>
    <x v="6"/>
    <x v="4"/>
    <x v="0"/>
    <x v="0"/>
    <x v="0"/>
    <x v="0"/>
    <x v="4"/>
    <s v="01"/>
    <x v="42"/>
    <x v="1"/>
    <x v="12"/>
    <x v="1"/>
    <n v="7005.07"/>
  </r>
  <r>
    <x v="6"/>
    <x v="0"/>
    <x v="1"/>
    <x v="0"/>
    <x v="1"/>
    <x v="6"/>
    <x v="4"/>
    <x v="0"/>
    <x v="0"/>
    <x v="0"/>
    <x v="0"/>
    <x v="4"/>
    <s v="01"/>
    <x v="42"/>
    <x v="1"/>
    <x v="13"/>
    <x v="8"/>
    <n v="4685.21"/>
  </r>
  <r>
    <x v="6"/>
    <x v="0"/>
    <x v="1"/>
    <x v="0"/>
    <x v="1"/>
    <x v="6"/>
    <x v="4"/>
    <x v="0"/>
    <x v="0"/>
    <x v="0"/>
    <x v="0"/>
    <x v="4"/>
    <s v="01"/>
    <x v="42"/>
    <x v="1"/>
    <x v="13"/>
    <x v="11"/>
    <n v="2610.5300000000002"/>
  </r>
  <r>
    <x v="6"/>
    <x v="0"/>
    <x v="1"/>
    <x v="0"/>
    <x v="1"/>
    <x v="6"/>
    <x v="4"/>
    <x v="0"/>
    <x v="0"/>
    <x v="0"/>
    <x v="0"/>
    <x v="4"/>
    <s v="01"/>
    <x v="42"/>
    <x v="1"/>
    <x v="13"/>
    <x v="7"/>
    <n v="1857.93"/>
  </r>
  <r>
    <x v="6"/>
    <x v="0"/>
    <x v="1"/>
    <x v="0"/>
    <x v="1"/>
    <x v="6"/>
    <x v="4"/>
    <x v="0"/>
    <x v="0"/>
    <x v="0"/>
    <x v="0"/>
    <x v="4"/>
    <s v="01"/>
    <x v="42"/>
    <x v="1"/>
    <x v="13"/>
    <x v="1"/>
    <n v="3351.16"/>
  </r>
  <r>
    <x v="6"/>
    <x v="0"/>
    <x v="1"/>
    <x v="0"/>
    <x v="1"/>
    <x v="6"/>
    <x v="4"/>
    <x v="0"/>
    <x v="0"/>
    <x v="0"/>
    <x v="0"/>
    <x v="4"/>
    <s v="24"/>
    <x v="1"/>
    <x v="1"/>
    <x v="12"/>
    <x v="0"/>
    <n v="15537.26"/>
  </r>
  <r>
    <x v="6"/>
    <x v="0"/>
    <x v="1"/>
    <x v="0"/>
    <x v="1"/>
    <x v="6"/>
    <x v="4"/>
    <x v="0"/>
    <x v="0"/>
    <x v="0"/>
    <x v="0"/>
    <x v="4"/>
    <s v="24"/>
    <x v="1"/>
    <x v="1"/>
    <x v="12"/>
    <x v="2"/>
    <n v="12880067.189999999"/>
  </r>
  <r>
    <x v="6"/>
    <x v="0"/>
    <x v="1"/>
    <x v="0"/>
    <x v="1"/>
    <x v="6"/>
    <x v="4"/>
    <x v="0"/>
    <x v="0"/>
    <x v="0"/>
    <x v="0"/>
    <x v="4"/>
    <s v="24"/>
    <x v="1"/>
    <x v="1"/>
    <x v="12"/>
    <x v="8"/>
    <n v="-1048085.45"/>
  </r>
  <r>
    <x v="6"/>
    <x v="0"/>
    <x v="1"/>
    <x v="0"/>
    <x v="1"/>
    <x v="6"/>
    <x v="4"/>
    <x v="0"/>
    <x v="0"/>
    <x v="0"/>
    <x v="0"/>
    <x v="4"/>
    <s v="24"/>
    <x v="1"/>
    <x v="1"/>
    <x v="12"/>
    <x v="9"/>
    <n v="-138437.99"/>
  </r>
  <r>
    <x v="6"/>
    <x v="0"/>
    <x v="1"/>
    <x v="0"/>
    <x v="1"/>
    <x v="6"/>
    <x v="4"/>
    <x v="0"/>
    <x v="0"/>
    <x v="0"/>
    <x v="0"/>
    <x v="4"/>
    <s v="24"/>
    <x v="1"/>
    <x v="1"/>
    <x v="12"/>
    <x v="10"/>
    <n v="-108065.48"/>
  </r>
  <r>
    <x v="6"/>
    <x v="0"/>
    <x v="1"/>
    <x v="0"/>
    <x v="1"/>
    <x v="6"/>
    <x v="4"/>
    <x v="0"/>
    <x v="0"/>
    <x v="0"/>
    <x v="0"/>
    <x v="4"/>
    <s v="24"/>
    <x v="1"/>
    <x v="1"/>
    <x v="12"/>
    <x v="11"/>
    <n v="11168276.630000001"/>
  </r>
  <r>
    <x v="6"/>
    <x v="0"/>
    <x v="1"/>
    <x v="0"/>
    <x v="1"/>
    <x v="6"/>
    <x v="4"/>
    <x v="0"/>
    <x v="0"/>
    <x v="0"/>
    <x v="0"/>
    <x v="4"/>
    <s v="24"/>
    <x v="1"/>
    <x v="1"/>
    <x v="12"/>
    <x v="3"/>
    <n v="-317179.93"/>
  </r>
  <r>
    <x v="6"/>
    <x v="0"/>
    <x v="1"/>
    <x v="0"/>
    <x v="1"/>
    <x v="6"/>
    <x v="4"/>
    <x v="0"/>
    <x v="0"/>
    <x v="0"/>
    <x v="0"/>
    <x v="4"/>
    <s v="24"/>
    <x v="1"/>
    <x v="1"/>
    <x v="12"/>
    <x v="4"/>
    <n v="-30596.06"/>
  </r>
  <r>
    <x v="6"/>
    <x v="0"/>
    <x v="1"/>
    <x v="0"/>
    <x v="1"/>
    <x v="6"/>
    <x v="4"/>
    <x v="0"/>
    <x v="0"/>
    <x v="0"/>
    <x v="0"/>
    <x v="4"/>
    <s v="24"/>
    <x v="1"/>
    <x v="1"/>
    <x v="12"/>
    <x v="7"/>
    <n v="9742693.4700000007"/>
  </r>
  <r>
    <x v="6"/>
    <x v="0"/>
    <x v="1"/>
    <x v="0"/>
    <x v="1"/>
    <x v="6"/>
    <x v="4"/>
    <x v="0"/>
    <x v="0"/>
    <x v="0"/>
    <x v="0"/>
    <x v="4"/>
    <s v="24"/>
    <x v="1"/>
    <x v="1"/>
    <x v="12"/>
    <x v="5"/>
    <n v="542017.63"/>
  </r>
  <r>
    <x v="6"/>
    <x v="0"/>
    <x v="1"/>
    <x v="0"/>
    <x v="1"/>
    <x v="6"/>
    <x v="4"/>
    <x v="0"/>
    <x v="0"/>
    <x v="0"/>
    <x v="0"/>
    <x v="4"/>
    <s v="24"/>
    <x v="1"/>
    <x v="1"/>
    <x v="12"/>
    <x v="6"/>
    <n v="-3791.9"/>
  </r>
  <r>
    <x v="6"/>
    <x v="0"/>
    <x v="1"/>
    <x v="0"/>
    <x v="1"/>
    <x v="6"/>
    <x v="4"/>
    <x v="0"/>
    <x v="0"/>
    <x v="0"/>
    <x v="0"/>
    <x v="4"/>
    <s v="24"/>
    <x v="1"/>
    <x v="1"/>
    <x v="12"/>
    <x v="1"/>
    <n v="76.66"/>
  </r>
  <r>
    <x v="6"/>
    <x v="0"/>
    <x v="1"/>
    <x v="0"/>
    <x v="1"/>
    <x v="6"/>
    <x v="4"/>
    <x v="0"/>
    <x v="0"/>
    <x v="0"/>
    <x v="0"/>
    <x v="4"/>
    <s v="24"/>
    <x v="1"/>
    <x v="1"/>
    <x v="13"/>
    <x v="0"/>
    <n v="-579"/>
  </r>
  <r>
    <x v="6"/>
    <x v="0"/>
    <x v="1"/>
    <x v="0"/>
    <x v="1"/>
    <x v="6"/>
    <x v="4"/>
    <x v="0"/>
    <x v="0"/>
    <x v="0"/>
    <x v="0"/>
    <x v="4"/>
    <s v="24"/>
    <x v="1"/>
    <x v="1"/>
    <x v="13"/>
    <x v="2"/>
    <n v="3263.61"/>
  </r>
  <r>
    <x v="6"/>
    <x v="0"/>
    <x v="1"/>
    <x v="0"/>
    <x v="1"/>
    <x v="6"/>
    <x v="4"/>
    <x v="0"/>
    <x v="0"/>
    <x v="0"/>
    <x v="0"/>
    <x v="4"/>
    <s v="24"/>
    <x v="1"/>
    <x v="1"/>
    <x v="13"/>
    <x v="8"/>
    <n v="-1447700.19"/>
  </r>
  <r>
    <x v="6"/>
    <x v="0"/>
    <x v="1"/>
    <x v="0"/>
    <x v="1"/>
    <x v="6"/>
    <x v="4"/>
    <x v="0"/>
    <x v="0"/>
    <x v="0"/>
    <x v="0"/>
    <x v="4"/>
    <s v="24"/>
    <x v="1"/>
    <x v="1"/>
    <x v="13"/>
    <x v="9"/>
    <n v="-100903.48"/>
  </r>
  <r>
    <x v="6"/>
    <x v="0"/>
    <x v="1"/>
    <x v="0"/>
    <x v="1"/>
    <x v="6"/>
    <x v="4"/>
    <x v="0"/>
    <x v="0"/>
    <x v="0"/>
    <x v="0"/>
    <x v="4"/>
    <s v="24"/>
    <x v="1"/>
    <x v="1"/>
    <x v="13"/>
    <x v="10"/>
    <n v="-107822.51"/>
  </r>
  <r>
    <x v="6"/>
    <x v="0"/>
    <x v="1"/>
    <x v="0"/>
    <x v="1"/>
    <x v="6"/>
    <x v="4"/>
    <x v="0"/>
    <x v="0"/>
    <x v="0"/>
    <x v="0"/>
    <x v="4"/>
    <s v="24"/>
    <x v="1"/>
    <x v="1"/>
    <x v="13"/>
    <x v="11"/>
    <n v="11917712.369999999"/>
  </r>
  <r>
    <x v="6"/>
    <x v="0"/>
    <x v="1"/>
    <x v="0"/>
    <x v="1"/>
    <x v="6"/>
    <x v="4"/>
    <x v="0"/>
    <x v="0"/>
    <x v="0"/>
    <x v="0"/>
    <x v="4"/>
    <s v="24"/>
    <x v="1"/>
    <x v="1"/>
    <x v="13"/>
    <x v="3"/>
    <n v="-764727.67"/>
  </r>
  <r>
    <x v="6"/>
    <x v="0"/>
    <x v="1"/>
    <x v="0"/>
    <x v="1"/>
    <x v="6"/>
    <x v="4"/>
    <x v="0"/>
    <x v="0"/>
    <x v="0"/>
    <x v="0"/>
    <x v="4"/>
    <s v="24"/>
    <x v="1"/>
    <x v="1"/>
    <x v="13"/>
    <x v="4"/>
    <n v="-38822.47"/>
  </r>
  <r>
    <x v="6"/>
    <x v="0"/>
    <x v="1"/>
    <x v="0"/>
    <x v="1"/>
    <x v="6"/>
    <x v="4"/>
    <x v="0"/>
    <x v="0"/>
    <x v="0"/>
    <x v="0"/>
    <x v="4"/>
    <s v="24"/>
    <x v="1"/>
    <x v="1"/>
    <x v="13"/>
    <x v="7"/>
    <n v="10083934.640000001"/>
  </r>
  <r>
    <x v="6"/>
    <x v="0"/>
    <x v="1"/>
    <x v="0"/>
    <x v="1"/>
    <x v="6"/>
    <x v="4"/>
    <x v="0"/>
    <x v="0"/>
    <x v="0"/>
    <x v="0"/>
    <x v="4"/>
    <s v="24"/>
    <x v="1"/>
    <x v="1"/>
    <x v="13"/>
    <x v="5"/>
    <n v="500666.61"/>
  </r>
  <r>
    <x v="6"/>
    <x v="0"/>
    <x v="1"/>
    <x v="0"/>
    <x v="1"/>
    <x v="6"/>
    <x v="4"/>
    <x v="0"/>
    <x v="0"/>
    <x v="0"/>
    <x v="0"/>
    <x v="4"/>
    <s v="24"/>
    <x v="1"/>
    <x v="1"/>
    <x v="13"/>
    <x v="6"/>
    <n v="-39030.54"/>
  </r>
  <r>
    <x v="6"/>
    <x v="0"/>
    <x v="1"/>
    <x v="0"/>
    <x v="1"/>
    <x v="6"/>
    <x v="4"/>
    <x v="0"/>
    <x v="0"/>
    <x v="0"/>
    <x v="0"/>
    <x v="4"/>
    <s v="24"/>
    <x v="1"/>
    <x v="1"/>
    <x v="13"/>
    <x v="1"/>
    <n v="-38350.46"/>
  </r>
  <r>
    <x v="6"/>
    <x v="0"/>
    <x v="1"/>
    <x v="0"/>
    <x v="1"/>
    <x v="6"/>
    <x v="4"/>
    <x v="0"/>
    <x v="0"/>
    <x v="0"/>
    <x v="5"/>
    <x v="6"/>
    <s v="40"/>
    <x v="26"/>
    <x v="1"/>
    <x v="12"/>
    <x v="0"/>
    <n v="50"/>
  </r>
  <r>
    <x v="6"/>
    <x v="0"/>
    <x v="1"/>
    <x v="0"/>
    <x v="1"/>
    <x v="6"/>
    <x v="4"/>
    <x v="0"/>
    <x v="0"/>
    <x v="0"/>
    <x v="5"/>
    <x v="6"/>
    <s v="40"/>
    <x v="26"/>
    <x v="1"/>
    <x v="12"/>
    <x v="2"/>
    <n v="-50"/>
  </r>
  <r>
    <x v="6"/>
    <x v="0"/>
    <x v="1"/>
    <x v="0"/>
    <x v="1"/>
    <x v="6"/>
    <x v="4"/>
    <x v="0"/>
    <x v="0"/>
    <x v="0"/>
    <x v="5"/>
    <x v="6"/>
    <s v="40"/>
    <x v="26"/>
    <x v="1"/>
    <x v="12"/>
    <x v="9"/>
    <n v="-0.09"/>
  </r>
  <r>
    <x v="6"/>
    <x v="0"/>
    <x v="1"/>
    <x v="0"/>
    <x v="1"/>
    <x v="6"/>
    <x v="4"/>
    <x v="0"/>
    <x v="0"/>
    <x v="0"/>
    <x v="5"/>
    <x v="6"/>
    <s v="40"/>
    <x v="26"/>
    <x v="1"/>
    <x v="12"/>
    <x v="10"/>
    <n v="0.09"/>
  </r>
  <r>
    <x v="6"/>
    <x v="0"/>
    <x v="1"/>
    <x v="0"/>
    <x v="1"/>
    <x v="6"/>
    <x v="4"/>
    <x v="0"/>
    <x v="0"/>
    <x v="0"/>
    <x v="5"/>
    <x v="6"/>
    <s v="40"/>
    <x v="26"/>
    <x v="1"/>
    <x v="12"/>
    <x v="11"/>
    <n v="50"/>
  </r>
  <r>
    <x v="6"/>
    <x v="0"/>
    <x v="1"/>
    <x v="0"/>
    <x v="1"/>
    <x v="6"/>
    <x v="4"/>
    <x v="0"/>
    <x v="0"/>
    <x v="0"/>
    <x v="5"/>
    <x v="6"/>
    <s v="40"/>
    <x v="26"/>
    <x v="1"/>
    <x v="12"/>
    <x v="3"/>
    <n v="-200"/>
  </r>
  <r>
    <x v="6"/>
    <x v="0"/>
    <x v="1"/>
    <x v="0"/>
    <x v="1"/>
    <x v="6"/>
    <x v="4"/>
    <x v="0"/>
    <x v="0"/>
    <x v="0"/>
    <x v="5"/>
    <x v="6"/>
    <s v="40"/>
    <x v="26"/>
    <x v="1"/>
    <x v="12"/>
    <x v="4"/>
    <n v="200"/>
  </r>
  <r>
    <x v="6"/>
    <x v="0"/>
    <x v="1"/>
    <x v="0"/>
    <x v="1"/>
    <x v="6"/>
    <x v="4"/>
    <x v="0"/>
    <x v="0"/>
    <x v="0"/>
    <x v="5"/>
    <x v="6"/>
    <s v="40"/>
    <x v="26"/>
    <x v="1"/>
    <x v="12"/>
    <x v="7"/>
    <n v="-250"/>
  </r>
  <r>
    <x v="6"/>
    <x v="0"/>
    <x v="1"/>
    <x v="0"/>
    <x v="1"/>
    <x v="6"/>
    <x v="4"/>
    <x v="0"/>
    <x v="0"/>
    <x v="0"/>
    <x v="5"/>
    <x v="6"/>
    <s v="40"/>
    <x v="26"/>
    <x v="1"/>
    <x v="12"/>
    <x v="5"/>
    <n v="0.18"/>
  </r>
  <r>
    <x v="6"/>
    <x v="0"/>
    <x v="1"/>
    <x v="0"/>
    <x v="1"/>
    <x v="6"/>
    <x v="4"/>
    <x v="0"/>
    <x v="0"/>
    <x v="0"/>
    <x v="5"/>
    <x v="6"/>
    <s v="40"/>
    <x v="26"/>
    <x v="1"/>
    <x v="12"/>
    <x v="6"/>
    <n v="1050"/>
  </r>
  <r>
    <x v="6"/>
    <x v="0"/>
    <x v="1"/>
    <x v="0"/>
    <x v="1"/>
    <x v="6"/>
    <x v="4"/>
    <x v="0"/>
    <x v="0"/>
    <x v="0"/>
    <x v="5"/>
    <x v="6"/>
    <s v="40"/>
    <x v="26"/>
    <x v="1"/>
    <x v="12"/>
    <x v="1"/>
    <n v="-18093.27"/>
  </r>
  <r>
    <x v="6"/>
    <x v="0"/>
    <x v="1"/>
    <x v="0"/>
    <x v="1"/>
    <x v="6"/>
    <x v="4"/>
    <x v="0"/>
    <x v="0"/>
    <x v="0"/>
    <x v="5"/>
    <x v="6"/>
    <s v="40"/>
    <x v="26"/>
    <x v="1"/>
    <x v="13"/>
    <x v="0"/>
    <n v="-38341.29"/>
  </r>
  <r>
    <x v="6"/>
    <x v="0"/>
    <x v="1"/>
    <x v="0"/>
    <x v="1"/>
    <x v="6"/>
    <x v="4"/>
    <x v="0"/>
    <x v="0"/>
    <x v="0"/>
    <x v="5"/>
    <x v="6"/>
    <s v="40"/>
    <x v="26"/>
    <x v="1"/>
    <x v="13"/>
    <x v="2"/>
    <n v="-10767.83"/>
  </r>
  <r>
    <x v="6"/>
    <x v="0"/>
    <x v="1"/>
    <x v="0"/>
    <x v="1"/>
    <x v="6"/>
    <x v="4"/>
    <x v="0"/>
    <x v="0"/>
    <x v="0"/>
    <x v="5"/>
    <x v="6"/>
    <s v="40"/>
    <x v="26"/>
    <x v="1"/>
    <x v="13"/>
    <x v="8"/>
    <n v="-53548.160000000003"/>
  </r>
  <r>
    <x v="6"/>
    <x v="0"/>
    <x v="1"/>
    <x v="0"/>
    <x v="1"/>
    <x v="6"/>
    <x v="4"/>
    <x v="0"/>
    <x v="0"/>
    <x v="0"/>
    <x v="5"/>
    <x v="6"/>
    <s v="40"/>
    <x v="26"/>
    <x v="1"/>
    <x v="13"/>
    <x v="9"/>
    <n v="-94938.93"/>
  </r>
  <r>
    <x v="6"/>
    <x v="0"/>
    <x v="1"/>
    <x v="0"/>
    <x v="1"/>
    <x v="6"/>
    <x v="4"/>
    <x v="0"/>
    <x v="0"/>
    <x v="0"/>
    <x v="5"/>
    <x v="6"/>
    <s v="40"/>
    <x v="26"/>
    <x v="1"/>
    <x v="13"/>
    <x v="11"/>
    <n v="-18"/>
  </r>
  <r>
    <x v="6"/>
    <x v="0"/>
    <x v="1"/>
    <x v="0"/>
    <x v="1"/>
    <x v="6"/>
    <x v="4"/>
    <x v="0"/>
    <x v="0"/>
    <x v="0"/>
    <x v="5"/>
    <x v="6"/>
    <s v="40"/>
    <x v="26"/>
    <x v="1"/>
    <x v="13"/>
    <x v="3"/>
    <n v="18"/>
  </r>
  <r>
    <x v="6"/>
    <x v="0"/>
    <x v="1"/>
    <x v="0"/>
    <x v="1"/>
    <x v="6"/>
    <x v="4"/>
    <x v="0"/>
    <x v="0"/>
    <x v="0"/>
    <x v="5"/>
    <x v="6"/>
    <s v="40"/>
    <x v="26"/>
    <x v="1"/>
    <x v="13"/>
    <x v="4"/>
    <n v="200"/>
  </r>
  <r>
    <x v="6"/>
    <x v="0"/>
    <x v="1"/>
    <x v="0"/>
    <x v="1"/>
    <x v="6"/>
    <x v="4"/>
    <x v="0"/>
    <x v="0"/>
    <x v="0"/>
    <x v="5"/>
    <x v="6"/>
    <s v="40"/>
    <x v="26"/>
    <x v="1"/>
    <x v="13"/>
    <x v="7"/>
    <n v="-200"/>
  </r>
  <r>
    <x v="6"/>
    <x v="0"/>
    <x v="1"/>
    <x v="0"/>
    <x v="1"/>
    <x v="6"/>
    <x v="4"/>
    <x v="0"/>
    <x v="0"/>
    <x v="0"/>
    <x v="5"/>
    <x v="6"/>
    <s v="40"/>
    <x v="26"/>
    <x v="1"/>
    <x v="13"/>
    <x v="5"/>
    <n v="-270"/>
  </r>
  <r>
    <x v="6"/>
    <x v="0"/>
    <x v="1"/>
    <x v="0"/>
    <x v="1"/>
    <x v="6"/>
    <x v="4"/>
    <x v="0"/>
    <x v="0"/>
    <x v="0"/>
    <x v="5"/>
    <x v="6"/>
    <s v="40"/>
    <x v="26"/>
    <x v="1"/>
    <x v="13"/>
    <x v="6"/>
    <n v="270"/>
  </r>
  <r>
    <x v="6"/>
    <x v="0"/>
    <x v="1"/>
    <x v="0"/>
    <x v="1"/>
    <x v="6"/>
    <x v="6"/>
    <x v="0"/>
    <x v="0"/>
    <x v="0"/>
    <x v="0"/>
    <x v="4"/>
    <s v="20"/>
    <x v="7"/>
    <x v="1"/>
    <x v="12"/>
    <x v="9"/>
    <n v="-177"/>
  </r>
  <r>
    <x v="6"/>
    <x v="0"/>
    <x v="1"/>
    <x v="0"/>
    <x v="1"/>
    <x v="6"/>
    <x v="6"/>
    <x v="0"/>
    <x v="0"/>
    <x v="0"/>
    <x v="0"/>
    <x v="4"/>
    <s v="20"/>
    <x v="7"/>
    <x v="1"/>
    <x v="12"/>
    <x v="10"/>
    <n v="177"/>
  </r>
  <r>
    <x v="6"/>
    <x v="0"/>
    <x v="1"/>
    <x v="0"/>
    <x v="1"/>
    <x v="2"/>
    <x v="0"/>
    <x v="0"/>
    <x v="0"/>
    <x v="1"/>
    <x v="1"/>
    <x v="8"/>
    <s v="41"/>
    <x v="4"/>
    <x v="1"/>
    <x v="12"/>
    <x v="11"/>
    <n v="315"/>
  </r>
  <r>
    <x v="6"/>
    <x v="0"/>
    <x v="1"/>
    <x v="0"/>
    <x v="1"/>
    <x v="2"/>
    <x v="0"/>
    <x v="0"/>
    <x v="0"/>
    <x v="1"/>
    <x v="1"/>
    <x v="8"/>
    <s v="41"/>
    <x v="4"/>
    <x v="1"/>
    <x v="12"/>
    <x v="1"/>
    <n v="-315"/>
  </r>
  <r>
    <x v="6"/>
    <x v="0"/>
    <x v="1"/>
    <x v="0"/>
    <x v="1"/>
    <x v="2"/>
    <x v="0"/>
    <x v="0"/>
    <x v="0"/>
    <x v="1"/>
    <x v="1"/>
    <x v="8"/>
    <s v="41"/>
    <x v="4"/>
    <x v="1"/>
    <x v="13"/>
    <x v="5"/>
    <n v="994.32"/>
  </r>
  <r>
    <x v="6"/>
    <x v="0"/>
    <x v="1"/>
    <x v="0"/>
    <x v="1"/>
    <x v="2"/>
    <x v="0"/>
    <x v="0"/>
    <x v="0"/>
    <x v="0"/>
    <x v="0"/>
    <x v="4"/>
    <s v="01"/>
    <x v="42"/>
    <x v="1"/>
    <x v="13"/>
    <x v="7"/>
    <n v="5268.85"/>
  </r>
  <r>
    <x v="6"/>
    <x v="0"/>
    <x v="1"/>
    <x v="0"/>
    <x v="1"/>
    <x v="2"/>
    <x v="0"/>
    <x v="0"/>
    <x v="0"/>
    <x v="0"/>
    <x v="0"/>
    <x v="4"/>
    <s v="01"/>
    <x v="42"/>
    <x v="1"/>
    <x v="13"/>
    <x v="5"/>
    <n v="45941.14"/>
  </r>
  <r>
    <x v="6"/>
    <x v="0"/>
    <x v="1"/>
    <x v="0"/>
    <x v="1"/>
    <x v="2"/>
    <x v="0"/>
    <x v="0"/>
    <x v="0"/>
    <x v="0"/>
    <x v="0"/>
    <x v="4"/>
    <s v="01"/>
    <x v="42"/>
    <x v="1"/>
    <x v="13"/>
    <x v="6"/>
    <n v="7230.8"/>
  </r>
  <r>
    <x v="6"/>
    <x v="0"/>
    <x v="1"/>
    <x v="0"/>
    <x v="1"/>
    <x v="2"/>
    <x v="0"/>
    <x v="0"/>
    <x v="0"/>
    <x v="0"/>
    <x v="0"/>
    <x v="4"/>
    <s v="01"/>
    <x v="42"/>
    <x v="1"/>
    <x v="13"/>
    <x v="1"/>
    <n v="12338.5"/>
  </r>
  <r>
    <x v="6"/>
    <x v="0"/>
    <x v="1"/>
    <x v="0"/>
    <x v="1"/>
    <x v="2"/>
    <x v="0"/>
    <x v="0"/>
    <x v="0"/>
    <x v="0"/>
    <x v="0"/>
    <x v="4"/>
    <s v="09"/>
    <x v="0"/>
    <x v="1"/>
    <x v="12"/>
    <x v="2"/>
    <n v="5960.96"/>
  </r>
  <r>
    <x v="6"/>
    <x v="0"/>
    <x v="1"/>
    <x v="0"/>
    <x v="1"/>
    <x v="2"/>
    <x v="0"/>
    <x v="0"/>
    <x v="0"/>
    <x v="0"/>
    <x v="0"/>
    <x v="4"/>
    <s v="09"/>
    <x v="0"/>
    <x v="1"/>
    <x v="12"/>
    <x v="8"/>
    <n v="3714.69"/>
  </r>
  <r>
    <x v="6"/>
    <x v="0"/>
    <x v="1"/>
    <x v="0"/>
    <x v="1"/>
    <x v="2"/>
    <x v="0"/>
    <x v="0"/>
    <x v="0"/>
    <x v="0"/>
    <x v="0"/>
    <x v="4"/>
    <s v="09"/>
    <x v="0"/>
    <x v="1"/>
    <x v="12"/>
    <x v="9"/>
    <n v="5523.73"/>
  </r>
  <r>
    <x v="6"/>
    <x v="0"/>
    <x v="1"/>
    <x v="0"/>
    <x v="1"/>
    <x v="2"/>
    <x v="0"/>
    <x v="0"/>
    <x v="0"/>
    <x v="0"/>
    <x v="0"/>
    <x v="4"/>
    <s v="09"/>
    <x v="0"/>
    <x v="1"/>
    <x v="12"/>
    <x v="10"/>
    <n v="5956.88"/>
  </r>
  <r>
    <x v="6"/>
    <x v="0"/>
    <x v="1"/>
    <x v="0"/>
    <x v="1"/>
    <x v="2"/>
    <x v="0"/>
    <x v="0"/>
    <x v="0"/>
    <x v="0"/>
    <x v="0"/>
    <x v="4"/>
    <s v="09"/>
    <x v="0"/>
    <x v="1"/>
    <x v="12"/>
    <x v="11"/>
    <n v="4777.95"/>
  </r>
  <r>
    <x v="6"/>
    <x v="0"/>
    <x v="1"/>
    <x v="0"/>
    <x v="1"/>
    <x v="2"/>
    <x v="0"/>
    <x v="0"/>
    <x v="0"/>
    <x v="0"/>
    <x v="0"/>
    <x v="4"/>
    <s v="09"/>
    <x v="0"/>
    <x v="1"/>
    <x v="12"/>
    <x v="3"/>
    <n v="5857.22"/>
  </r>
  <r>
    <x v="6"/>
    <x v="0"/>
    <x v="1"/>
    <x v="0"/>
    <x v="1"/>
    <x v="2"/>
    <x v="0"/>
    <x v="0"/>
    <x v="0"/>
    <x v="0"/>
    <x v="0"/>
    <x v="4"/>
    <s v="09"/>
    <x v="0"/>
    <x v="1"/>
    <x v="12"/>
    <x v="4"/>
    <n v="6314.87"/>
  </r>
  <r>
    <x v="6"/>
    <x v="0"/>
    <x v="1"/>
    <x v="0"/>
    <x v="1"/>
    <x v="2"/>
    <x v="0"/>
    <x v="0"/>
    <x v="0"/>
    <x v="0"/>
    <x v="0"/>
    <x v="4"/>
    <s v="09"/>
    <x v="0"/>
    <x v="1"/>
    <x v="12"/>
    <x v="7"/>
    <n v="35963.599999999999"/>
  </r>
  <r>
    <x v="6"/>
    <x v="0"/>
    <x v="1"/>
    <x v="0"/>
    <x v="1"/>
    <x v="2"/>
    <x v="0"/>
    <x v="0"/>
    <x v="0"/>
    <x v="0"/>
    <x v="0"/>
    <x v="4"/>
    <s v="09"/>
    <x v="0"/>
    <x v="1"/>
    <x v="12"/>
    <x v="5"/>
    <n v="5771.08"/>
  </r>
  <r>
    <x v="6"/>
    <x v="0"/>
    <x v="1"/>
    <x v="0"/>
    <x v="1"/>
    <x v="2"/>
    <x v="0"/>
    <x v="0"/>
    <x v="0"/>
    <x v="0"/>
    <x v="0"/>
    <x v="4"/>
    <s v="09"/>
    <x v="0"/>
    <x v="1"/>
    <x v="12"/>
    <x v="6"/>
    <n v="7014.25"/>
  </r>
  <r>
    <x v="6"/>
    <x v="0"/>
    <x v="1"/>
    <x v="0"/>
    <x v="1"/>
    <x v="2"/>
    <x v="0"/>
    <x v="0"/>
    <x v="0"/>
    <x v="0"/>
    <x v="0"/>
    <x v="4"/>
    <s v="09"/>
    <x v="0"/>
    <x v="1"/>
    <x v="12"/>
    <x v="1"/>
    <n v="13590.35"/>
  </r>
  <r>
    <x v="6"/>
    <x v="0"/>
    <x v="1"/>
    <x v="0"/>
    <x v="1"/>
    <x v="2"/>
    <x v="0"/>
    <x v="0"/>
    <x v="0"/>
    <x v="0"/>
    <x v="0"/>
    <x v="4"/>
    <s v="09"/>
    <x v="0"/>
    <x v="1"/>
    <x v="13"/>
    <x v="0"/>
    <n v="2067.06"/>
  </r>
  <r>
    <x v="6"/>
    <x v="0"/>
    <x v="1"/>
    <x v="0"/>
    <x v="1"/>
    <x v="2"/>
    <x v="0"/>
    <x v="0"/>
    <x v="0"/>
    <x v="0"/>
    <x v="0"/>
    <x v="4"/>
    <s v="09"/>
    <x v="0"/>
    <x v="1"/>
    <x v="13"/>
    <x v="2"/>
    <n v="4609.96"/>
  </r>
  <r>
    <x v="6"/>
    <x v="0"/>
    <x v="1"/>
    <x v="0"/>
    <x v="1"/>
    <x v="2"/>
    <x v="0"/>
    <x v="0"/>
    <x v="0"/>
    <x v="0"/>
    <x v="0"/>
    <x v="4"/>
    <s v="09"/>
    <x v="0"/>
    <x v="1"/>
    <x v="13"/>
    <x v="8"/>
    <n v="3241.71"/>
  </r>
  <r>
    <x v="6"/>
    <x v="0"/>
    <x v="1"/>
    <x v="0"/>
    <x v="1"/>
    <x v="2"/>
    <x v="0"/>
    <x v="0"/>
    <x v="0"/>
    <x v="0"/>
    <x v="0"/>
    <x v="4"/>
    <s v="09"/>
    <x v="0"/>
    <x v="1"/>
    <x v="13"/>
    <x v="9"/>
    <n v="3783.65"/>
  </r>
  <r>
    <x v="6"/>
    <x v="0"/>
    <x v="1"/>
    <x v="0"/>
    <x v="1"/>
    <x v="2"/>
    <x v="0"/>
    <x v="0"/>
    <x v="0"/>
    <x v="0"/>
    <x v="0"/>
    <x v="4"/>
    <s v="09"/>
    <x v="0"/>
    <x v="1"/>
    <x v="13"/>
    <x v="10"/>
    <n v="6924.28"/>
  </r>
  <r>
    <x v="6"/>
    <x v="0"/>
    <x v="1"/>
    <x v="0"/>
    <x v="1"/>
    <x v="2"/>
    <x v="0"/>
    <x v="0"/>
    <x v="0"/>
    <x v="0"/>
    <x v="0"/>
    <x v="4"/>
    <s v="09"/>
    <x v="0"/>
    <x v="1"/>
    <x v="13"/>
    <x v="11"/>
    <n v="4086.26"/>
  </r>
  <r>
    <x v="6"/>
    <x v="0"/>
    <x v="1"/>
    <x v="0"/>
    <x v="1"/>
    <x v="2"/>
    <x v="0"/>
    <x v="0"/>
    <x v="0"/>
    <x v="0"/>
    <x v="0"/>
    <x v="4"/>
    <s v="09"/>
    <x v="0"/>
    <x v="1"/>
    <x v="13"/>
    <x v="3"/>
    <n v="7343.94"/>
  </r>
  <r>
    <x v="6"/>
    <x v="0"/>
    <x v="1"/>
    <x v="0"/>
    <x v="1"/>
    <x v="2"/>
    <x v="0"/>
    <x v="0"/>
    <x v="0"/>
    <x v="0"/>
    <x v="0"/>
    <x v="4"/>
    <s v="09"/>
    <x v="0"/>
    <x v="1"/>
    <x v="13"/>
    <x v="4"/>
    <n v="7600.37"/>
  </r>
  <r>
    <x v="6"/>
    <x v="0"/>
    <x v="1"/>
    <x v="0"/>
    <x v="1"/>
    <x v="2"/>
    <x v="0"/>
    <x v="0"/>
    <x v="0"/>
    <x v="0"/>
    <x v="0"/>
    <x v="4"/>
    <s v="09"/>
    <x v="0"/>
    <x v="1"/>
    <x v="13"/>
    <x v="5"/>
    <n v="-39657.230000000003"/>
  </r>
  <r>
    <x v="6"/>
    <x v="0"/>
    <x v="1"/>
    <x v="0"/>
    <x v="1"/>
    <x v="2"/>
    <x v="0"/>
    <x v="0"/>
    <x v="0"/>
    <x v="0"/>
    <x v="0"/>
    <x v="4"/>
    <s v="16"/>
    <x v="20"/>
    <x v="1"/>
    <x v="12"/>
    <x v="7"/>
    <n v="2076"/>
  </r>
  <r>
    <x v="6"/>
    <x v="0"/>
    <x v="1"/>
    <x v="0"/>
    <x v="1"/>
    <x v="2"/>
    <x v="0"/>
    <x v="0"/>
    <x v="0"/>
    <x v="0"/>
    <x v="0"/>
    <x v="4"/>
    <s v="16"/>
    <x v="20"/>
    <x v="1"/>
    <x v="12"/>
    <x v="1"/>
    <n v="-2076"/>
  </r>
  <r>
    <x v="6"/>
    <x v="0"/>
    <x v="1"/>
    <x v="0"/>
    <x v="1"/>
    <x v="2"/>
    <x v="0"/>
    <x v="0"/>
    <x v="0"/>
    <x v="0"/>
    <x v="0"/>
    <x v="4"/>
    <s v="20"/>
    <x v="7"/>
    <x v="1"/>
    <x v="12"/>
    <x v="8"/>
    <n v="12.87"/>
  </r>
  <r>
    <x v="6"/>
    <x v="0"/>
    <x v="1"/>
    <x v="0"/>
    <x v="1"/>
    <x v="2"/>
    <x v="0"/>
    <x v="0"/>
    <x v="0"/>
    <x v="0"/>
    <x v="0"/>
    <x v="4"/>
    <s v="20"/>
    <x v="7"/>
    <x v="1"/>
    <x v="12"/>
    <x v="11"/>
    <n v="2015.13"/>
  </r>
  <r>
    <x v="6"/>
    <x v="0"/>
    <x v="1"/>
    <x v="0"/>
    <x v="1"/>
    <x v="2"/>
    <x v="0"/>
    <x v="0"/>
    <x v="0"/>
    <x v="0"/>
    <x v="0"/>
    <x v="4"/>
    <s v="20"/>
    <x v="7"/>
    <x v="1"/>
    <x v="12"/>
    <x v="3"/>
    <n v="815.44"/>
  </r>
  <r>
    <x v="6"/>
    <x v="0"/>
    <x v="1"/>
    <x v="0"/>
    <x v="1"/>
    <x v="2"/>
    <x v="0"/>
    <x v="0"/>
    <x v="0"/>
    <x v="0"/>
    <x v="0"/>
    <x v="4"/>
    <s v="20"/>
    <x v="7"/>
    <x v="1"/>
    <x v="12"/>
    <x v="7"/>
    <n v="32.44"/>
  </r>
  <r>
    <x v="6"/>
    <x v="0"/>
    <x v="1"/>
    <x v="0"/>
    <x v="1"/>
    <x v="2"/>
    <x v="0"/>
    <x v="0"/>
    <x v="0"/>
    <x v="0"/>
    <x v="0"/>
    <x v="4"/>
    <s v="20"/>
    <x v="7"/>
    <x v="1"/>
    <x v="12"/>
    <x v="1"/>
    <n v="-2875.91"/>
  </r>
  <r>
    <x v="6"/>
    <x v="0"/>
    <x v="1"/>
    <x v="0"/>
    <x v="1"/>
    <x v="2"/>
    <x v="0"/>
    <x v="0"/>
    <x v="0"/>
    <x v="0"/>
    <x v="0"/>
    <x v="4"/>
    <s v="20"/>
    <x v="7"/>
    <x v="1"/>
    <x v="13"/>
    <x v="3"/>
    <n v="3621.71"/>
  </r>
  <r>
    <x v="6"/>
    <x v="0"/>
    <x v="1"/>
    <x v="0"/>
    <x v="1"/>
    <x v="2"/>
    <x v="0"/>
    <x v="0"/>
    <x v="0"/>
    <x v="0"/>
    <x v="0"/>
    <x v="4"/>
    <s v="20"/>
    <x v="7"/>
    <x v="1"/>
    <x v="13"/>
    <x v="7"/>
    <n v="-3356.6"/>
  </r>
  <r>
    <x v="6"/>
    <x v="0"/>
    <x v="1"/>
    <x v="0"/>
    <x v="1"/>
    <x v="2"/>
    <x v="0"/>
    <x v="0"/>
    <x v="0"/>
    <x v="0"/>
    <x v="0"/>
    <x v="4"/>
    <s v="20"/>
    <x v="7"/>
    <x v="1"/>
    <x v="13"/>
    <x v="5"/>
    <n v="4022"/>
  </r>
  <r>
    <x v="6"/>
    <x v="0"/>
    <x v="1"/>
    <x v="0"/>
    <x v="1"/>
    <x v="2"/>
    <x v="0"/>
    <x v="0"/>
    <x v="0"/>
    <x v="0"/>
    <x v="0"/>
    <x v="4"/>
    <s v="20"/>
    <x v="7"/>
    <x v="1"/>
    <x v="13"/>
    <x v="1"/>
    <n v="-3822"/>
  </r>
  <r>
    <x v="6"/>
    <x v="0"/>
    <x v="1"/>
    <x v="0"/>
    <x v="1"/>
    <x v="2"/>
    <x v="0"/>
    <x v="0"/>
    <x v="0"/>
    <x v="0"/>
    <x v="0"/>
    <x v="4"/>
    <s v="24"/>
    <x v="1"/>
    <x v="1"/>
    <x v="12"/>
    <x v="0"/>
    <n v="-2078.83"/>
  </r>
  <r>
    <x v="6"/>
    <x v="0"/>
    <x v="1"/>
    <x v="0"/>
    <x v="1"/>
    <x v="2"/>
    <x v="0"/>
    <x v="0"/>
    <x v="0"/>
    <x v="0"/>
    <x v="0"/>
    <x v="4"/>
    <s v="24"/>
    <x v="1"/>
    <x v="1"/>
    <x v="12"/>
    <x v="2"/>
    <n v="29956583.079999998"/>
  </r>
  <r>
    <x v="6"/>
    <x v="0"/>
    <x v="1"/>
    <x v="0"/>
    <x v="1"/>
    <x v="2"/>
    <x v="0"/>
    <x v="0"/>
    <x v="0"/>
    <x v="0"/>
    <x v="0"/>
    <x v="4"/>
    <s v="24"/>
    <x v="1"/>
    <x v="1"/>
    <x v="12"/>
    <x v="8"/>
    <n v="-907614.59"/>
  </r>
  <r>
    <x v="6"/>
    <x v="0"/>
    <x v="1"/>
    <x v="0"/>
    <x v="1"/>
    <x v="2"/>
    <x v="0"/>
    <x v="0"/>
    <x v="0"/>
    <x v="0"/>
    <x v="0"/>
    <x v="4"/>
    <s v="24"/>
    <x v="1"/>
    <x v="1"/>
    <x v="12"/>
    <x v="9"/>
    <n v="-398274.09"/>
  </r>
  <r>
    <x v="6"/>
    <x v="0"/>
    <x v="1"/>
    <x v="0"/>
    <x v="1"/>
    <x v="2"/>
    <x v="0"/>
    <x v="0"/>
    <x v="0"/>
    <x v="0"/>
    <x v="0"/>
    <x v="4"/>
    <s v="24"/>
    <x v="1"/>
    <x v="1"/>
    <x v="12"/>
    <x v="10"/>
    <n v="24404138.989999998"/>
  </r>
  <r>
    <x v="6"/>
    <x v="0"/>
    <x v="1"/>
    <x v="0"/>
    <x v="1"/>
    <x v="2"/>
    <x v="0"/>
    <x v="0"/>
    <x v="0"/>
    <x v="0"/>
    <x v="0"/>
    <x v="4"/>
    <s v="24"/>
    <x v="1"/>
    <x v="1"/>
    <x v="12"/>
    <x v="11"/>
    <n v="2700256.06"/>
  </r>
  <r>
    <x v="6"/>
    <x v="0"/>
    <x v="1"/>
    <x v="0"/>
    <x v="1"/>
    <x v="2"/>
    <x v="0"/>
    <x v="0"/>
    <x v="0"/>
    <x v="0"/>
    <x v="0"/>
    <x v="4"/>
    <s v="24"/>
    <x v="1"/>
    <x v="1"/>
    <x v="12"/>
    <x v="3"/>
    <n v="120085.82"/>
  </r>
  <r>
    <x v="6"/>
    <x v="0"/>
    <x v="1"/>
    <x v="0"/>
    <x v="1"/>
    <x v="2"/>
    <x v="0"/>
    <x v="0"/>
    <x v="0"/>
    <x v="0"/>
    <x v="0"/>
    <x v="4"/>
    <s v="24"/>
    <x v="1"/>
    <x v="1"/>
    <x v="12"/>
    <x v="4"/>
    <n v="12430854.279999999"/>
  </r>
  <r>
    <x v="6"/>
    <x v="0"/>
    <x v="1"/>
    <x v="0"/>
    <x v="1"/>
    <x v="2"/>
    <x v="0"/>
    <x v="0"/>
    <x v="0"/>
    <x v="0"/>
    <x v="0"/>
    <x v="4"/>
    <s v="24"/>
    <x v="1"/>
    <x v="1"/>
    <x v="12"/>
    <x v="7"/>
    <n v="13922670.939999999"/>
  </r>
  <r>
    <x v="6"/>
    <x v="0"/>
    <x v="1"/>
    <x v="0"/>
    <x v="1"/>
    <x v="2"/>
    <x v="0"/>
    <x v="0"/>
    <x v="0"/>
    <x v="0"/>
    <x v="0"/>
    <x v="4"/>
    <s v="24"/>
    <x v="1"/>
    <x v="1"/>
    <x v="12"/>
    <x v="5"/>
    <n v="-299950.92"/>
  </r>
  <r>
    <x v="6"/>
    <x v="0"/>
    <x v="1"/>
    <x v="0"/>
    <x v="1"/>
    <x v="2"/>
    <x v="0"/>
    <x v="0"/>
    <x v="0"/>
    <x v="0"/>
    <x v="0"/>
    <x v="4"/>
    <s v="24"/>
    <x v="1"/>
    <x v="1"/>
    <x v="12"/>
    <x v="6"/>
    <n v="-119321.21"/>
  </r>
  <r>
    <x v="6"/>
    <x v="0"/>
    <x v="1"/>
    <x v="0"/>
    <x v="1"/>
    <x v="2"/>
    <x v="0"/>
    <x v="0"/>
    <x v="0"/>
    <x v="0"/>
    <x v="0"/>
    <x v="4"/>
    <s v="24"/>
    <x v="1"/>
    <x v="1"/>
    <x v="12"/>
    <x v="1"/>
    <n v="-129102.69"/>
  </r>
  <r>
    <x v="6"/>
    <x v="0"/>
    <x v="1"/>
    <x v="0"/>
    <x v="1"/>
    <x v="2"/>
    <x v="0"/>
    <x v="0"/>
    <x v="0"/>
    <x v="0"/>
    <x v="0"/>
    <x v="4"/>
    <s v="24"/>
    <x v="1"/>
    <x v="1"/>
    <x v="13"/>
    <x v="0"/>
    <n v="602937.47"/>
  </r>
  <r>
    <x v="6"/>
    <x v="0"/>
    <x v="1"/>
    <x v="0"/>
    <x v="1"/>
    <x v="2"/>
    <x v="0"/>
    <x v="0"/>
    <x v="0"/>
    <x v="0"/>
    <x v="0"/>
    <x v="4"/>
    <s v="24"/>
    <x v="1"/>
    <x v="1"/>
    <x v="13"/>
    <x v="2"/>
    <n v="33966273.640000001"/>
  </r>
  <r>
    <x v="6"/>
    <x v="0"/>
    <x v="1"/>
    <x v="0"/>
    <x v="1"/>
    <x v="2"/>
    <x v="0"/>
    <x v="0"/>
    <x v="0"/>
    <x v="0"/>
    <x v="0"/>
    <x v="4"/>
    <s v="24"/>
    <x v="1"/>
    <x v="1"/>
    <x v="13"/>
    <x v="8"/>
    <n v="-964465.91"/>
  </r>
  <r>
    <x v="6"/>
    <x v="0"/>
    <x v="1"/>
    <x v="0"/>
    <x v="1"/>
    <x v="2"/>
    <x v="0"/>
    <x v="0"/>
    <x v="0"/>
    <x v="0"/>
    <x v="0"/>
    <x v="4"/>
    <s v="24"/>
    <x v="1"/>
    <x v="1"/>
    <x v="13"/>
    <x v="9"/>
    <n v="-550326.94999999995"/>
  </r>
  <r>
    <x v="6"/>
    <x v="0"/>
    <x v="1"/>
    <x v="0"/>
    <x v="1"/>
    <x v="2"/>
    <x v="0"/>
    <x v="0"/>
    <x v="0"/>
    <x v="0"/>
    <x v="0"/>
    <x v="4"/>
    <s v="24"/>
    <x v="1"/>
    <x v="1"/>
    <x v="13"/>
    <x v="10"/>
    <n v="32657424.329999998"/>
  </r>
  <r>
    <x v="6"/>
    <x v="0"/>
    <x v="1"/>
    <x v="0"/>
    <x v="1"/>
    <x v="2"/>
    <x v="0"/>
    <x v="0"/>
    <x v="0"/>
    <x v="0"/>
    <x v="0"/>
    <x v="4"/>
    <s v="24"/>
    <x v="1"/>
    <x v="1"/>
    <x v="13"/>
    <x v="11"/>
    <n v="1194131.68"/>
  </r>
  <r>
    <x v="6"/>
    <x v="0"/>
    <x v="1"/>
    <x v="0"/>
    <x v="1"/>
    <x v="2"/>
    <x v="0"/>
    <x v="0"/>
    <x v="0"/>
    <x v="0"/>
    <x v="0"/>
    <x v="4"/>
    <s v="24"/>
    <x v="1"/>
    <x v="1"/>
    <x v="13"/>
    <x v="3"/>
    <n v="-2796095.87"/>
  </r>
  <r>
    <x v="6"/>
    <x v="0"/>
    <x v="1"/>
    <x v="0"/>
    <x v="1"/>
    <x v="2"/>
    <x v="0"/>
    <x v="0"/>
    <x v="0"/>
    <x v="0"/>
    <x v="0"/>
    <x v="4"/>
    <s v="24"/>
    <x v="1"/>
    <x v="1"/>
    <x v="13"/>
    <x v="4"/>
    <n v="17724469.940000001"/>
  </r>
  <r>
    <x v="6"/>
    <x v="0"/>
    <x v="1"/>
    <x v="0"/>
    <x v="1"/>
    <x v="2"/>
    <x v="0"/>
    <x v="0"/>
    <x v="0"/>
    <x v="0"/>
    <x v="0"/>
    <x v="4"/>
    <s v="24"/>
    <x v="1"/>
    <x v="1"/>
    <x v="13"/>
    <x v="7"/>
    <n v="14155549.83"/>
  </r>
  <r>
    <x v="6"/>
    <x v="0"/>
    <x v="1"/>
    <x v="0"/>
    <x v="1"/>
    <x v="2"/>
    <x v="0"/>
    <x v="0"/>
    <x v="0"/>
    <x v="0"/>
    <x v="0"/>
    <x v="4"/>
    <s v="24"/>
    <x v="1"/>
    <x v="1"/>
    <x v="13"/>
    <x v="5"/>
    <n v="-2899448.63"/>
  </r>
  <r>
    <x v="6"/>
    <x v="0"/>
    <x v="1"/>
    <x v="0"/>
    <x v="1"/>
    <x v="2"/>
    <x v="0"/>
    <x v="0"/>
    <x v="0"/>
    <x v="0"/>
    <x v="0"/>
    <x v="4"/>
    <s v="24"/>
    <x v="1"/>
    <x v="1"/>
    <x v="13"/>
    <x v="6"/>
    <n v="-21616.84"/>
  </r>
  <r>
    <x v="6"/>
    <x v="0"/>
    <x v="1"/>
    <x v="0"/>
    <x v="1"/>
    <x v="2"/>
    <x v="0"/>
    <x v="0"/>
    <x v="0"/>
    <x v="0"/>
    <x v="0"/>
    <x v="4"/>
    <s v="24"/>
    <x v="1"/>
    <x v="1"/>
    <x v="13"/>
    <x v="1"/>
    <n v="-138851.72"/>
  </r>
  <r>
    <x v="6"/>
    <x v="0"/>
    <x v="1"/>
    <x v="0"/>
    <x v="1"/>
    <x v="2"/>
    <x v="0"/>
    <x v="0"/>
    <x v="0"/>
    <x v="0"/>
    <x v="0"/>
    <x v="4"/>
    <s v="90"/>
    <x v="16"/>
    <x v="1"/>
    <x v="12"/>
    <x v="8"/>
    <n v="687.8"/>
  </r>
  <r>
    <x v="6"/>
    <x v="0"/>
    <x v="1"/>
    <x v="0"/>
    <x v="1"/>
    <x v="2"/>
    <x v="0"/>
    <x v="0"/>
    <x v="0"/>
    <x v="0"/>
    <x v="0"/>
    <x v="4"/>
    <s v="90"/>
    <x v="16"/>
    <x v="1"/>
    <x v="12"/>
    <x v="11"/>
    <n v="1140.57"/>
  </r>
  <r>
    <x v="6"/>
    <x v="0"/>
    <x v="1"/>
    <x v="0"/>
    <x v="1"/>
    <x v="2"/>
    <x v="0"/>
    <x v="0"/>
    <x v="0"/>
    <x v="0"/>
    <x v="0"/>
    <x v="4"/>
    <s v="90"/>
    <x v="16"/>
    <x v="1"/>
    <x v="12"/>
    <x v="1"/>
    <n v="-1828.37"/>
  </r>
  <r>
    <x v="6"/>
    <x v="0"/>
    <x v="1"/>
    <x v="0"/>
    <x v="1"/>
    <x v="2"/>
    <x v="0"/>
    <x v="0"/>
    <x v="0"/>
    <x v="0"/>
    <x v="0"/>
    <x v="4"/>
    <s v="99"/>
    <x v="9"/>
    <x v="1"/>
    <x v="12"/>
    <x v="1"/>
    <n v="-49000"/>
  </r>
  <r>
    <x v="6"/>
    <x v="0"/>
    <x v="1"/>
    <x v="0"/>
    <x v="1"/>
    <x v="2"/>
    <x v="0"/>
    <x v="0"/>
    <x v="0"/>
    <x v="0"/>
    <x v="4"/>
    <x v="5"/>
    <s v="21"/>
    <x v="27"/>
    <x v="1"/>
    <x v="13"/>
    <x v="9"/>
    <n v="-147.38999999999999"/>
  </r>
  <r>
    <x v="6"/>
    <x v="0"/>
    <x v="1"/>
    <x v="0"/>
    <x v="1"/>
    <x v="2"/>
    <x v="0"/>
    <x v="0"/>
    <x v="0"/>
    <x v="0"/>
    <x v="4"/>
    <x v="5"/>
    <s v="21"/>
    <x v="27"/>
    <x v="1"/>
    <x v="13"/>
    <x v="10"/>
    <n v="147.38999999999999"/>
  </r>
  <r>
    <x v="6"/>
    <x v="0"/>
    <x v="1"/>
    <x v="0"/>
    <x v="1"/>
    <x v="2"/>
    <x v="0"/>
    <x v="0"/>
    <x v="0"/>
    <x v="0"/>
    <x v="4"/>
    <x v="5"/>
    <s v="22"/>
    <x v="25"/>
    <x v="1"/>
    <x v="12"/>
    <x v="9"/>
    <n v="-86000"/>
  </r>
  <r>
    <x v="6"/>
    <x v="0"/>
    <x v="1"/>
    <x v="0"/>
    <x v="1"/>
    <x v="2"/>
    <x v="0"/>
    <x v="0"/>
    <x v="0"/>
    <x v="0"/>
    <x v="4"/>
    <x v="5"/>
    <s v="22"/>
    <x v="25"/>
    <x v="1"/>
    <x v="12"/>
    <x v="10"/>
    <n v="-18688"/>
  </r>
  <r>
    <x v="6"/>
    <x v="0"/>
    <x v="1"/>
    <x v="0"/>
    <x v="1"/>
    <x v="2"/>
    <x v="0"/>
    <x v="0"/>
    <x v="0"/>
    <x v="0"/>
    <x v="4"/>
    <x v="5"/>
    <s v="22"/>
    <x v="25"/>
    <x v="1"/>
    <x v="12"/>
    <x v="11"/>
    <n v="-10512"/>
  </r>
  <r>
    <x v="6"/>
    <x v="0"/>
    <x v="1"/>
    <x v="0"/>
    <x v="1"/>
    <x v="2"/>
    <x v="0"/>
    <x v="0"/>
    <x v="0"/>
    <x v="0"/>
    <x v="4"/>
    <x v="5"/>
    <s v="22"/>
    <x v="25"/>
    <x v="1"/>
    <x v="13"/>
    <x v="8"/>
    <n v="-115200"/>
  </r>
  <r>
    <x v="6"/>
    <x v="0"/>
    <x v="1"/>
    <x v="0"/>
    <x v="1"/>
    <x v="2"/>
    <x v="0"/>
    <x v="0"/>
    <x v="0"/>
    <x v="0"/>
    <x v="4"/>
    <x v="5"/>
    <s v="22"/>
    <x v="25"/>
    <x v="1"/>
    <x v="13"/>
    <x v="1"/>
    <n v="-1113434.26"/>
  </r>
  <r>
    <x v="6"/>
    <x v="0"/>
    <x v="1"/>
    <x v="0"/>
    <x v="1"/>
    <x v="2"/>
    <x v="0"/>
    <x v="0"/>
    <x v="0"/>
    <x v="0"/>
    <x v="6"/>
    <x v="9"/>
    <s v="63"/>
    <x v="49"/>
    <x v="1"/>
    <x v="13"/>
    <x v="8"/>
    <n v="288420.67"/>
  </r>
  <r>
    <x v="6"/>
    <x v="0"/>
    <x v="1"/>
    <x v="0"/>
    <x v="1"/>
    <x v="2"/>
    <x v="0"/>
    <x v="0"/>
    <x v="0"/>
    <x v="0"/>
    <x v="6"/>
    <x v="9"/>
    <s v="63"/>
    <x v="49"/>
    <x v="1"/>
    <x v="13"/>
    <x v="1"/>
    <n v="-269908"/>
  </r>
  <r>
    <x v="6"/>
    <x v="0"/>
    <x v="1"/>
    <x v="0"/>
    <x v="1"/>
    <x v="2"/>
    <x v="1"/>
    <x v="0"/>
    <x v="0"/>
    <x v="1"/>
    <x v="1"/>
    <x v="8"/>
    <s v="41"/>
    <x v="4"/>
    <x v="1"/>
    <x v="13"/>
    <x v="6"/>
    <n v="-994.32"/>
  </r>
  <r>
    <x v="6"/>
    <x v="0"/>
    <x v="1"/>
    <x v="0"/>
    <x v="1"/>
    <x v="2"/>
    <x v="1"/>
    <x v="0"/>
    <x v="0"/>
    <x v="0"/>
    <x v="0"/>
    <x v="4"/>
    <s v="16"/>
    <x v="20"/>
    <x v="1"/>
    <x v="13"/>
    <x v="6"/>
    <n v="-265.10000000000002"/>
  </r>
  <r>
    <x v="6"/>
    <x v="0"/>
    <x v="1"/>
    <x v="0"/>
    <x v="1"/>
    <x v="2"/>
    <x v="1"/>
    <x v="0"/>
    <x v="0"/>
    <x v="0"/>
    <x v="0"/>
    <x v="4"/>
    <s v="20"/>
    <x v="7"/>
    <x v="1"/>
    <x v="13"/>
    <x v="6"/>
    <n v="-200"/>
  </r>
  <r>
    <x v="6"/>
    <x v="0"/>
    <x v="1"/>
    <x v="0"/>
    <x v="1"/>
    <x v="2"/>
    <x v="1"/>
    <x v="0"/>
    <x v="0"/>
    <x v="0"/>
    <x v="4"/>
    <x v="5"/>
    <s v="22"/>
    <x v="25"/>
    <x v="1"/>
    <x v="13"/>
    <x v="6"/>
    <n v="-1233.55"/>
  </r>
  <r>
    <x v="6"/>
    <x v="0"/>
    <x v="1"/>
    <x v="0"/>
    <x v="1"/>
    <x v="2"/>
    <x v="3"/>
    <x v="0"/>
    <x v="0"/>
    <x v="0"/>
    <x v="4"/>
    <x v="5"/>
    <s v="22"/>
    <x v="25"/>
    <x v="1"/>
    <x v="13"/>
    <x v="6"/>
    <n v="-200000"/>
  </r>
  <r>
    <x v="6"/>
    <x v="0"/>
    <x v="1"/>
    <x v="0"/>
    <x v="1"/>
    <x v="3"/>
    <x v="0"/>
    <x v="0"/>
    <x v="0"/>
    <x v="1"/>
    <x v="1"/>
    <x v="8"/>
    <s v="41"/>
    <x v="4"/>
    <x v="1"/>
    <x v="12"/>
    <x v="2"/>
    <n v="21384.34"/>
  </r>
  <r>
    <x v="6"/>
    <x v="0"/>
    <x v="1"/>
    <x v="0"/>
    <x v="1"/>
    <x v="3"/>
    <x v="0"/>
    <x v="0"/>
    <x v="0"/>
    <x v="1"/>
    <x v="1"/>
    <x v="8"/>
    <s v="41"/>
    <x v="4"/>
    <x v="1"/>
    <x v="12"/>
    <x v="9"/>
    <n v="-21384.34"/>
  </r>
  <r>
    <x v="6"/>
    <x v="0"/>
    <x v="1"/>
    <x v="0"/>
    <x v="1"/>
    <x v="3"/>
    <x v="0"/>
    <x v="0"/>
    <x v="0"/>
    <x v="1"/>
    <x v="1"/>
    <x v="8"/>
    <s v="41"/>
    <x v="4"/>
    <x v="1"/>
    <x v="12"/>
    <x v="4"/>
    <n v="386.8"/>
  </r>
  <r>
    <x v="6"/>
    <x v="0"/>
    <x v="1"/>
    <x v="0"/>
    <x v="1"/>
    <x v="3"/>
    <x v="0"/>
    <x v="0"/>
    <x v="0"/>
    <x v="1"/>
    <x v="1"/>
    <x v="8"/>
    <s v="41"/>
    <x v="4"/>
    <x v="1"/>
    <x v="12"/>
    <x v="7"/>
    <n v="1980"/>
  </r>
  <r>
    <x v="6"/>
    <x v="0"/>
    <x v="1"/>
    <x v="0"/>
    <x v="1"/>
    <x v="3"/>
    <x v="0"/>
    <x v="0"/>
    <x v="0"/>
    <x v="1"/>
    <x v="1"/>
    <x v="8"/>
    <s v="41"/>
    <x v="4"/>
    <x v="1"/>
    <x v="12"/>
    <x v="5"/>
    <n v="3267.92"/>
  </r>
  <r>
    <x v="6"/>
    <x v="0"/>
    <x v="1"/>
    <x v="0"/>
    <x v="1"/>
    <x v="3"/>
    <x v="0"/>
    <x v="0"/>
    <x v="0"/>
    <x v="1"/>
    <x v="1"/>
    <x v="8"/>
    <s v="41"/>
    <x v="4"/>
    <x v="1"/>
    <x v="12"/>
    <x v="1"/>
    <n v="-5634.72"/>
  </r>
  <r>
    <x v="6"/>
    <x v="0"/>
    <x v="1"/>
    <x v="0"/>
    <x v="1"/>
    <x v="3"/>
    <x v="0"/>
    <x v="0"/>
    <x v="0"/>
    <x v="1"/>
    <x v="1"/>
    <x v="8"/>
    <s v="41"/>
    <x v="4"/>
    <x v="1"/>
    <x v="13"/>
    <x v="2"/>
    <n v="15000"/>
  </r>
  <r>
    <x v="6"/>
    <x v="0"/>
    <x v="1"/>
    <x v="0"/>
    <x v="1"/>
    <x v="3"/>
    <x v="0"/>
    <x v="0"/>
    <x v="0"/>
    <x v="1"/>
    <x v="1"/>
    <x v="8"/>
    <s v="41"/>
    <x v="4"/>
    <x v="1"/>
    <x v="13"/>
    <x v="9"/>
    <n v="-10000"/>
  </r>
  <r>
    <x v="6"/>
    <x v="0"/>
    <x v="1"/>
    <x v="0"/>
    <x v="1"/>
    <x v="3"/>
    <x v="0"/>
    <x v="0"/>
    <x v="0"/>
    <x v="1"/>
    <x v="1"/>
    <x v="8"/>
    <s v="41"/>
    <x v="4"/>
    <x v="1"/>
    <x v="13"/>
    <x v="11"/>
    <n v="-4500"/>
  </r>
  <r>
    <x v="6"/>
    <x v="0"/>
    <x v="1"/>
    <x v="0"/>
    <x v="1"/>
    <x v="3"/>
    <x v="0"/>
    <x v="0"/>
    <x v="0"/>
    <x v="1"/>
    <x v="1"/>
    <x v="8"/>
    <s v="41"/>
    <x v="4"/>
    <x v="1"/>
    <x v="13"/>
    <x v="3"/>
    <n v="-500"/>
  </r>
  <r>
    <x v="6"/>
    <x v="0"/>
    <x v="1"/>
    <x v="0"/>
    <x v="1"/>
    <x v="3"/>
    <x v="0"/>
    <x v="0"/>
    <x v="0"/>
    <x v="1"/>
    <x v="1"/>
    <x v="8"/>
    <s v="41"/>
    <x v="4"/>
    <x v="1"/>
    <x v="13"/>
    <x v="4"/>
    <n v="1980"/>
  </r>
  <r>
    <x v="6"/>
    <x v="0"/>
    <x v="1"/>
    <x v="0"/>
    <x v="1"/>
    <x v="3"/>
    <x v="0"/>
    <x v="0"/>
    <x v="0"/>
    <x v="1"/>
    <x v="1"/>
    <x v="8"/>
    <s v="41"/>
    <x v="4"/>
    <x v="1"/>
    <x v="13"/>
    <x v="5"/>
    <n v="1022.19"/>
  </r>
  <r>
    <x v="6"/>
    <x v="0"/>
    <x v="1"/>
    <x v="0"/>
    <x v="1"/>
    <x v="3"/>
    <x v="0"/>
    <x v="0"/>
    <x v="0"/>
    <x v="1"/>
    <x v="1"/>
    <x v="8"/>
    <s v="41"/>
    <x v="4"/>
    <x v="1"/>
    <x v="13"/>
    <x v="1"/>
    <n v="-3002.19"/>
  </r>
  <r>
    <x v="6"/>
    <x v="0"/>
    <x v="1"/>
    <x v="0"/>
    <x v="1"/>
    <x v="3"/>
    <x v="0"/>
    <x v="0"/>
    <x v="0"/>
    <x v="0"/>
    <x v="0"/>
    <x v="4"/>
    <s v="01"/>
    <x v="42"/>
    <x v="1"/>
    <x v="12"/>
    <x v="0"/>
    <n v="5066.04"/>
  </r>
  <r>
    <x v="6"/>
    <x v="0"/>
    <x v="1"/>
    <x v="0"/>
    <x v="1"/>
    <x v="3"/>
    <x v="0"/>
    <x v="0"/>
    <x v="0"/>
    <x v="0"/>
    <x v="0"/>
    <x v="4"/>
    <s v="01"/>
    <x v="42"/>
    <x v="1"/>
    <x v="12"/>
    <x v="2"/>
    <n v="42388.32"/>
  </r>
  <r>
    <x v="6"/>
    <x v="0"/>
    <x v="1"/>
    <x v="0"/>
    <x v="1"/>
    <x v="3"/>
    <x v="0"/>
    <x v="0"/>
    <x v="0"/>
    <x v="0"/>
    <x v="0"/>
    <x v="4"/>
    <s v="01"/>
    <x v="42"/>
    <x v="1"/>
    <x v="12"/>
    <x v="8"/>
    <n v="7448.58"/>
  </r>
  <r>
    <x v="6"/>
    <x v="0"/>
    <x v="1"/>
    <x v="0"/>
    <x v="1"/>
    <x v="3"/>
    <x v="0"/>
    <x v="0"/>
    <x v="0"/>
    <x v="0"/>
    <x v="0"/>
    <x v="4"/>
    <s v="01"/>
    <x v="42"/>
    <x v="1"/>
    <x v="12"/>
    <x v="9"/>
    <n v="28838.880000000001"/>
  </r>
  <r>
    <x v="6"/>
    <x v="0"/>
    <x v="1"/>
    <x v="0"/>
    <x v="1"/>
    <x v="3"/>
    <x v="0"/>
    <x v="0"/>
    <x v="0"/>
    <x v="0"/>
    <x v="0"/>
    <x v="4"/>
    <s v="01"/>
    <x v="42"/>
    <x v="1"/>
    <x v="12"/>
    <x v="10"/>
    <n v="182634.53"/>
  </r>
  <r>
    <x v="6"/>
    <x v="0"/>
    <x v="1"/>
    <x v="0"/>
    <x v="1"/>
    <x v="3"/>
    <x v="0"/>
    <x v="0"/>
    <x v="0"/>
    <x v="0"/>
    <x v="0"/>
    <x v="4"/>
    <s v="01"/>
    <x v="42"/>
    <x v="1"/>
    <x v="12"/>
    <x v="11"/>
    <n v="17970.88"/>
  </r>
  <r>
    <x v="6"/>
    <x v="0"/>
    <x v="1"/>
    <x v="0"/>
    <x v="1"/>
    <x v="3"/>
    <x v="0"/>
    <x v="0"/>
    <x v="0"/>
    <x v="0"/>
    <x v="0"/>
    <x v="4"/>
    <s v="01"/>
    <x v="42"/>
    <x v="1"/>
    <x v="12"/>
    <x v="3"/>
    <n v="29682.61"/>
  </r>
  <r>
    <x v="6"/>
    <x v="0"/>
    <x v="1"/>
    <x v="0"/>
    <x v="1"/>
    <x v="3"/>
    <x v="0"/>
    <x v="0"/>
    <x v="0"/>
    <x v="0"/>
    <x v="0"/>
    <x v="4"/>
    <s v="01"/>
    <x v="42"/>
    <x v="1"/>
    <x v="12"/>
    <x v="4"/>
    <n v="43080.800000000003"/>
  </r>
  <r>
    <x v="6"/>
    <x v="0"/>
    <x v="1"/>
    <x v="0"/>
    <x v="1"/>
    <x v="3"/>
    <x v="0"/>
    <x v="0"/>
    <x v="0"/>
    <x v="0"/>
    <x v="0"/>
    <x v="4"/>
    <s v="01"/>
    <x v="42"/>
    <x v="1"/>
    <x v="12"/>
    <x v="7"/>
    <n v="25232.11"/>
  </r>
  <r>
    <x v="6"/>
    <x v="0"/>
    <x v="1"/>
    <x v="0"/>
    <x v="1"/>
    <x v="3"/>
    <x v="0"/>
    <x v="0"/>
    <x v="0"/>
    <x v="0"/>
    <x v="0"/>
    <x v="4"/>
    <s v="01"/>
    <x v="42"/>
    <x v="1"/>
    <x v="12"/>
    <x v="5"/>
    <n v="36917.599999999999"/>
  </r>
  <r>
    <x v="6"/>
    <x v="0"/>
    <x v="1"/>
    <x v="0"/>
    <x v="1"/>
    <x v="3"/>
    <x v="0"/>
    <x v="0"/>
    <x v="0"/>
    <x v="0"/>
    <x v="0"/>
    <x v="4"/>
    <s v="01"/>
    <x v="42"/>
    <x v="1"/>
    <x v="12"/>
    <x v="6"/>
    <n v="13406.32"/>
  </r>
  <r>
    <x v="6"/>
    <x v="0"/>
    <x v="1"/>
    <x v="0"/>
    <x v="1"/>
    <x v="3"/>
    <x v="0"/>
    <x v="0"/>
    <x v="0"/>
    <x v="0"/>
    <x v="0"/>
    <x v="4"/>
    <s v="01"/>
    <x v="42"/>
    <x v="1"/>
    <x v="12"/>
    <x v="1"/>
    <n v="217104.08"/>
  </r>
  <r>
    <x v="6"/>
    <x v="0"/>
    <x v="1"/>
    <x v="0"/>
    <x v="1"/>
    <x v="3"/>
    <x v="0"/>
    <x v="0"/>
    <x v="0"/>
    <x v="0"/>
    <x v="0"/>
    <x v="4"/>
    <s v="01"/>
    <x v="42"/>
    <x v="1"/>
    <x v="13"/>
    <x v="0"/>
    <n v="-1571.62"/>
  </r>
  <r>
    <x v="6"/>
    <x v="0"/>
    <x v="1"/>
    <x v="0"/>
    <x v="1"/>
    <x v="3"/>
    <x v="0"/>
    <x v="0"/>
    <x v="0"/>
    <x v="0"/>
    <x v="0"/>
    <x v="4"/>
    <s v="01"/>
    <x v="42"/>
    <x v="1"/>
    <x v="13"/>
    <x v="2"/>
    <n v="142702.29999999999"/>
  </r>
  <r>
    <x v="6"/>
    <x v="0"/>
    <x v="1"/>
    <x v="0"/>
    <x v="1"/>
    <x v="3"/>
    <x v="0"/>
    <x v="0"/>
    <x v="0"/>
    <x v="0"/>
    <x v="0"/>
    <x v="4"/>
    <s v="01"/>
    <x v="42"/>
    <x v="1"/>
    <x v="13"/>
    <x v="8"/>
    <n v="37490.74"/>
  </r>
  <r>
    <x v="6"/>
    <x v="0"/>
    <x v="1"/>
    <x v="0"/>
    <x v="1"/>
    <x v="3"/>
    <x v="0"/>
    <x v="0"/>
    <x v="0"/>
    <x v="0"/>
    <x v="0"/>
    <x v="4"/>
    <s v="01"/>
    <x v="42"/>
    <x v="1"/>
    <x v="13"/>
    <x v="9"/>
    <n v="62208.36"/>
  </r>
  <r>
    <x v="6"/>
    <x v="0"/>
    <x v="1"/>
    <x v="0"/>
    <x v="1"/>
    <x v="3"/>
    <x v="0"/>
    <x v="0"/>
    <x v="0"/>
    <x v="0"/>
    <x v="0"/>
    <x v="4"/>
    <s v="01"/>
    <x v="42"/>
    <x v="1"/>
    <x v="13"/>
    <x v="10"/>
    <n v="102908.77"/>
  </r>
  <r>
    <x v="6"/>
    <x v="0"/>
    <x v="1"/>
    <x v="0"/>
    <x v="1"/>
    <x v="3"/>
    <x v="0"/>
    <x v="0"/>
    <x v="0"/>
    <x v="0"/>
    <x v="0"/>
    <x v="4"/>
    <s v="01"/>
    <x v="42"/>
    <x v="1"/>
    <x v="13"/>
    <x v="11"/>
    <n v="125407.85"/>
  </r>
  <r>
    <x v="6"/>
    <x v="0"/>
    <x v="1"/>
    <x v="0"/>
    <x v="1"/>
    <x v="3"/>
    <x v="0"/>
    <x v="0"/>
    <x v="0"/>
    <x v="0"/>
    <x v="0"/>
    <x v="4"/>
    <s v="01"/>
    <x v="42"/>
    <x v="1"/>
    <x v="13"/>
    <x v="3"/>
    <n v="59838.080000000002"/>
  </r>
  <r>
    <x v="6"/>
    <x v="0"/>
    <x v="1"/>
    <x v="0"/>
    <x v="1"/>
    <x v="3"/>
    <x v="0"/>
    <x v="0"/>
    <x v="0"/>
    <x v="0"/>
    <x v="0"/>
    <x v="4"/>
    <s v="01"/>
    <x v="42"/>
    <x v="1"/>
    <x v="13"/>
    <x v="4"/>
    <n v="126168.12"/>
  </r>
  <r>
    <x v="6"/>
    <x v="0"/>
    <x v="1"/>
    <x v="0"/>
    <x v="1"/>
    <x v="3"/>
    <x v="0"/>
    <x v="0"/>
    <x v="0"/>
    <x v="0"/>
    <x v="0"/>
    <x v="4"/>
    <s v="01"/>
    <x v="42"/>
    <x v="1"/>
    <x v="13"/>
    <x v="7"/>
    <n v="-67268.19"/>
  </r>
  <r>
    <x v="6"/>
    <x v="0"/>
    <x v="1"/>
    <x v="0"/>
    <x v="1"/>
    <x v="3"/>
    <x v="0"/>
    <x v="0"/>
    <x v="0"/>
    <x v="0"/>
    <x v="0"/>
    <x v="4"/>
    <s v="01"/>
    <x v="42"/>
    <x v="1"/>
    <x v="13"/>
    <x v="5"/>
    <n v="77143.53"/>
  </r>
  <r>
    <x v="6"/>
    <x v="0"/>
    <x v="1"/>
    <x v="0"/>
    <x v="1"/>
    <x v="3"/>
    <x v="0"/>
    <x v="0"/>
    <x v="0"/>
    <x v="0"/>
    <x v="0"/>
    <x v="4"/>
    <s v="01"/>
    <x v="42"/>
    <x v="1"/>
    <x v="13"/>
    <x v="6"/>
    <n v="21147.13"/>
  </r>
  <r>
    <x v="6"/>
    <x v="0"/>
    <x v="1"/>
    <x v="0"/>
    <x v="1"/>
    <x v="3"/>
    <x v="0"/>
    <x v="0"/>
    <x v="0"/>
    <x v="0"/>
    <x v="0"/>
    <x v="4"/>
    <s v="01"/>
    <x v="42"/>
    <x v="1"/>
    <x v="13"/>
    <x v="1"/>
    <n v="151315.34"/>
  </r>
  <r>
    <x v="6"/>
    <x v="0"/>
    <x v="1"/>
    <x v="0"/>
    <x v="1"/>
    <x v="3"/>
    <x v="0"/>
    <x v="0"/>
    <x v="0"/>
    <x v="0"/>
    <x v="0"/>
    <x v="4"/>
    <s v="02"/>
    <x v="5"/>
    <x v="1"/>
    <x v="13"/>
    <x v="2"/>
    <n v="2299.77"/>
  </r>
  <r>
    <x v="6"/>
    <x v="0"/>
    <x v="1"/>
    <x v="0"/>
    <x v="1"/>
    <x v="3"/>
    <x v="0"/>
    <x v="0"/>
    <x v="0"/>
    <x v="0"/>
    <x v="0"/>
    <x v="4"/>
    <s v="02"/>
    <x v="5"/>
    <x v="1"/>
    <x v="13"/>
    <x v="8"/>
    <n v="-2299.77"/>
  </r>
  <r>
    <x v="6"/>
    <x v="0"/>
    <x v="1"/>
    <x v="0"/>
    <x v="1"/>
    <x v="3"/>
    <x v="0"/>
    <x v="0"/>
    <x v="0"/>
    <x v="0"/>
    <x v="0"/>
    <x v="4"/>
    <s v="02"/>
    <x v="5"/>
    <x v="1"/>
    <x v="13"/>
    <x v="10"/>
    <n v="15"/>
  </r>
  <r>
    <x v="6"/>
    <x v="0"/>
    <x v="1"/>
    <x v="0"/>
    <x v="1"/>
    <x v="3"/>
    <x v="0"/>
    <x v="0"/>
    <x v="0"/>
    <x v="0"/>
    <x v="0"/>
    <x v="4"/>
    <s v="02"/>
    <x v="5"/>
    <x v="1"/>
    <x v="13"/>
    <x v="3"/>
    <n v="-15"/>
  </r>
  <r>
    <x v="6"/>
    <x v="0"/>
    <x v="1"/>
    <x v="0"/>
    <x v="1"/>
    <x v="3"/>
    <x v="0"/>
    <x v="0"/>
    <x v="0"/>
    <x v="0"/>
    <x v="0"/>
    <x v="4"/>
    <s v="02"/>
    <x v="5"/>
    <x v="1"/>
    <x v="13"/>
    <x v="6"/>
    <n v="2250"/>
  </r>
  <r>
    <x v="6"/>
    <x v="0"/>
    <x v="1"/>
    <x v="0"/>
    <x v="1"/>
    <x v="3"/>
    <x v="0"/>
    <x v="0"/>
    <x v="0"/>
    <x v="0"/>
    <x v="0"/>
    <x v="4"/>
    <s v="02"/>
    <x v="5"/>
    <x v="1"/>
    <x v="13"/>
    <x v="1"/>
    <n v="-2250"/>
  </r>
  <r>
    <x v="6"/>
    <x v="0"/>
    <x v="1"/>
    <x v="0"/>
    <x v="1"/>
    <x v="3"/>
    <x v="0"/>
    <x v="0"/>
    <x v="0"/>
    <x v="0"/>
    <x v="0"/>
    <x v="4"/>
    <s v="05"/>
    <x v="38"/>
    <x v="1"/>
    <x v="12"/>
    <x v="10"/>
    <n v="-268.35000000000002"/>
  </r>
  <r>
    <x v="6"/>
    <x v="0"/>
    <x v="1"/>
    <x v="0"/>
    <x v="1"/>
    <x v="3"/>
    <x v="0"/>
    <x v="0"/>
    <x v="0"/>
    <x v="0"/>
    <x v="0"/>
    <x v="4"/>
    <s v="05"/>
    <x v="38"/>
    <x v="1"/>
    <x v="12"/>
    <x v="3"/>
    <n v="268.35000000000002"/>
  </r>
  <r>
    <x v="6"/>
    <x v="0"/>
    <x v="1"/>
    <x v="0"/>
    <x v="1"/>
    <x v="3"/>
    <x v="0"/>
    <x v="0"/>
    <x v="0"/>
    <x v="0"/>
    <x v="0"/>
    <x v="4"/>
    <s v="09"/>
    <x v="0"/>
    <x v="1"/>
    <x v="12"/>
    <x v="0"/>
    <n v="1518.12"/>
  </r>
  <r>
    <x v="6"/>
    <x v="0"/>
    <x v="1"/>
    <x v="0"/>
    <x v="1"/>
    <x v="3"/>
    <x v="0"/>
    <x v="0"/>
    <x v="0"/>
    <x v="0"/>
    <x v="0"/>
    <x v="4"/>
    <s v="09"/>
    <x v="0"/>
    <x v="1"/>
    <x v="12"/>
    <x v="2"/>
    <n v="3423.94"/>
  </r>
  <r>
    <x v="6"/>
    <x v="0"/>
    <x v="1"/>
    <x v="0"/>
    <x v="1"/>
    <x v="3"/>
    <x v="0"/>
    <x v="0"/>
    <x v="0"/>
    <x v="0"/>
    <x v="0"/>
    <x v="4"/>
    <s v="09"/>
    <x v="0"/>
    <x v="1"/>
    <x v="12"/>
    <x v="8"/>
    <n v="541.74"/>
  </r>
  <r>
    <x v="6"/>
    <x v="0"/>
    <x v="1"/>
    <x v="0"/>
    <x v="1"/>
    <x v="3"/>
    <x v="0"/>
    <x v="0"/>
    <x v="0"/>
    <x v="0"/>
    <x v="0"/>
    <x v="4"/>
    <s v="09"/>
    <x v="0"/>
    <x v="1"/>
    <x v="12"/>
    <x v="9"/>
    <n v="494.22"/>
  </r>
  <r>
    <x v="6"/>
    <x v="0"/>
    <x v="1"/>
    <x v="0"/>
    <x v="1"/>
    <x v="3"/>
    <x v="0"/>
    <x v="0"/>
    <x v="0"/>
    <x v="0"/>
    <x v="0"/>
    <x v="4"/>
    <s v="09"/>
    <x v="0"/>
    <x v="1"/>
    <x v="12"/>
    <x v="10"/>
    <n v="2464.31"/>
  </r>
  <r>
    <x v="6"/>
    <x v="0"/>
    <x v="1"/>
    <x v="0"/>
    <x v="1"/>
    <x v="3"/>
    <x v="0"/>
    <x v="0"/>
    <x v="0"/>
    <x v="0"/>
    <x v="0"/>
    <x v="4"/>
    <s v="09"/>
    <x v="0"/>
    <x v="1"/>
    <x v="12"/>
    <x v="11"/>
    <n v="755.99"/>
  </r>
  <r>
    <x v="6"/>
    <x v="0"/>
    <x v="1"/>
    <x v="0"/>
    <x v="1"/>
    <x v="3"/>
    <x v="0"/>
    <x v="0"/>
    <x v="0"/>
    <x v="0"/>
    <x v="0"/>
    <x v="4"/>
    <s v="09"/>
    <x v="0"/>
    <x v="1"/>
    <x v="12"/>
    <x v="3"/>
    <n v="3117.7"/>
  </r>
  <r>
    <x v="6"/>
    <x v="0"/>
    <x v="1"/>
    <x v="0"/>
    <x v="1"/>
    <x v="3"/>
    <x v="0"/>
    <x v="0"/>
    <x v="0"/>
    <x v="0"/>
    <x v="0"/>
    <x v="4"/>
    <s v="09"/>
    <x v="0"/>
    <x v="1"/>
    <x v="12"/>
    <x v="4"/>
    <n v="2124.37"/>
  </r>
  <r>
    <x v="6"/>
    <x v="0"/>
    <x v="1"/>
    <x v="0"/>
    <x v="1"/>
    <x v="3"/>
    <x v="0"/>
    <x v="0"/>
    <x v="0"/>
    <x v="0"/>
    <x v="0"/>
    <x v="4"/>
    <s v="09"/>
    <x v="0"/>
    <x v="1"/>
    <x v="12"/>
    <x v="7"/>
    <n v="2692.75"/>
  </r>
  <r>
    <x v="6"/>
    <x v="0"/>
    <x v="1"/>
    <x v="0"/>
    <x v="1"/>
    <x v="3"/>
    <x v="0"/>
    <x v="0"/>
    <x v="0"/>
    <x v="0"/>
    <x v="0"/>
    <x v="4"/>
    <s v="09"/>
    <x v="0"/>
    <x v="1"/>
    <x v="12"/>
    <x v="5"/>
    <n v="1803.14"/>
  </r>
  <r>
    <x v="6"/>
    <x v="0"/>
    <x v="1"/>
    <x v="0"/>
    <x v="1"/>
    <x v="3"/>
    <x v="0"/>
    <x v="0"/>
    <x v="0"/>
    <x v="0"/>
    <x v="0"/>
    <x v="4"/>
    <s v="09"/>
    <x v="0"/>
    <x v="1"/>
    <x v="12"/>
    <x v="6"/>
    <n v="3092.77"/>
  </r>
  <r>
    <x v="6"/>
    <x v="0"/>
    <x v="1"/>
    <x v="0"/>
    <x v="1"/>
    <x v="3"/>
    <x v="0"/>
    <x v="0"/>
    <x v="0"/>
    <x v="0"/>
    <x v="0"/>
    <x v="4"/>
    <s v="09"/>
    <x v="0"/>
    <x v="1"/>
    <x v="12"/>
    <x v="1"/>
    <n v="-9747.6"/>
  </r>
  <r>
    <x v="6"/>
    <x v="0"/>
    <x v="1"/>
    <x v="0"/>
    <x v="1"/>
    <x v="3"/>
    <x v="0"/>
    <x v="0"/>
    <x v="0"/>
    <x v="0"/>
    <x v="0"/>
    <x v="4"/>
    <s v="09"/>
    <x v="0"/>
    <x v="1"/>
    <x v="13"/>
    <x v="0"/>
    <n v="87.12"/>
  </r>
  <r>
    <x v="6"/>
    <x v="0"/>
    <x v="1"/>
    <x v="0"/>
    <x v="1"/>
    <x v="3"/>
    <x v="0"/>
    <x v="0"/>
    <x v="0"/>
    <x v="0"/>
    <x v="0"/>
    <x v="4"/>
    <s v="09"/>
    <x v="0"/>
    <x v="1"/>
    <x v="13"/>
    <x v="2"/>
    <n v="4833.9399999999996"/>
  </r>
  <r>
    <x v="6"/>
    <x v="0"/>
    <x v="1"/>
    <x v="0"/>
    <x v="1"/>
    <x v="3"/>
    <x v="0"/>
    <x v="0"/>
    <x v="0"/>
    <x v="0"/>
    <x v="0"/>
    <x v="4"/>
    <s v="09"/>
    <x v="0"/>
    <x v="1"/>
    <x v="13"/>
    <x v="8"/>
    <n v="836.11"/>
  </r>
  <r>
    <x v="6"/>
    <x v="0"/>
    <x v="1"/>
    <x v="0"/>
    <x v="1"/>
    <x v="3"/>
    <x v="0"/>
    <x v="0"/>
    <x v="0"/>
    <x v="0"/>
    <x v="0"/>
    <x v="4"/>
    <s v="09"/>
    <x v="0"/>
    <x v="1"/>
    <x v="13"/>
    <x v="9"/>
    <n v="1112.23"/>
  </r>
  <r>
    <x v="6"/>
    <x v="0"/>
    <x v="1"/>
    <x v="0"/>
    <x v="1"/>
    <x v="3"/>
    <x v="0"/>
    <x v="0"/>
    <x v="0"/>
    <x v="0"/>
    <x v="0"/>
    <x v="4"/>
    <s v="09"/>
    <x v="0"/>
    <x v="1"/>
    <x v="13"/>
    <x v="10"/>
    <n v="3913.27"/>
  </r>
  <r>
    <x v="6"/>
    <x v="0"/>
    <x v="1"/>
    <x v="0"/>
    <x v="1"/>
    <x v="3"/>
    <x v="0"/>
    <x v="0"/>
    <x v="0"/>
    <x v="0"/>
    <x v="0"/>
    <x v="4"/>
    <s v="09"/>
    <x v="0"/>
    <x v="1"/>
    <x v="13"/>
    <x v="11"/>
    <n v="1222.23"/>
  </r>
  <r>
    <x v="6"/>
    <x v="0"/>
    <x v="1"/>
    <x v="0"/>
    <x v="1"/>
    <x v="3"/>
    <x v="0"/>
    <x v="0"/>
    <x v="0"/>
    <x v="0"/>
    <x v="0"/>
    <x v="4"/>
    <s v="09"/>
    <x v="0"/>
    <x v="1"/>
    <x v="13"/>
    <x v="3"/>
    <n v="448.85"/>
  </r>
  <r>
    <x v="6"/>
    <x v="0"/>
    <x v="1"/>
    <x v="0"/>
    <x v="1"/>
    <x v="3"/>
    <x v="0"/>
    <x v="0"/>
    <x v="0"/>
    <x v="0"/>
    <x v="0"/>
    <x v="4"/>
    <s v="09"/>
    <x v="0"/>
    <x v="1"/>
    <x v="13"/>
    <x v="4"/>
    <n v="3719.93"/>
  </r>
  <r>
    <x v="6"/>
    <x v="0"/>
    <x v="1"/>
    <x v="0"/>
    <x v="1"/>
    <x v="3"/>
    <x v="0"/>
    <x v="0"/>
    <x v="0"/>
    <x v="0"/>
    <x v="0"/>
    <x v="4"/>
    <s v="09"/>
    <x v="0"/>
    <x v="1"/>
    <x v="13"/>
    <x v="7"/>
    <n v="2087.71"/>
  </r>
  <r>
    <x v="6"/>
    <x v="0"/>
    <x v="1"/>
    <x v="0"/>
    <x v="1"/>
    <x v="3"/>
    <x v="0"/>
    <x v="0"/>
    <x v="0"/>
    <x v="0"/>
    <x v="0"/>
    <x v="4"/>
    <s v="09"/>
    <x v="0"/>
    <x v="1"/>
    <x v="13"/>
    <x v="5"/>
    <n v="358.19"/>
  </r>
  <r>
    <x v="6"/>
    <x v="0"/>
    <x v="1"/>
    <x v="0"/>
    <x v="1"/>
    <x v="3"/>
    <x v="0"/>
    <x v="0"/>
    <x v="0"/>
    <x v="0"/>
    <x v="0"/>
    <x v="4"/>
    <s v="09"/>
    <x v="0"/>
    <x v="1"/>
    <x v="13"/>
    <x v="6"/>
    <n v="3612.81"/>
  </r>
  <r>
    <x v="6"/>
    <x v="0"/>
    <x v="1"/>
    <x v="0"/>
    <x v="1"/>
    <x v="3"/>
    <x v="0"/>
    <x v="0"/>
    <x v="0"/>
    <x v="0"/>
    <x v="0"/>
    <x v="4"/>
    <s v="09"/>
    <x v="0"/>
    <x v="1"/>
    <x v="13"/>
    <x v="1"/>
    <n v="98.44"/>
  </r>
  <r>
    <x v="6"/>
    <x v="0"/>
    <x v="1"/>
    <x v="0"/>
    <x v="1"/>
    <x v="3"/>
    <x v="0"/>
    <x v="0"/>
    <x v="0"/>
    <x v="0"/>
    <x v="0"/>
    <x v="4"/>
    <s v="20"/>
    <x v="7"/>
    <x v="1"/>
    <x v="12"/>
    <x v="9"/>
    <n v="61482.43"/>
  </r>
  <r>
    <x v="6"/>
    <x v="0"/>
    <x v="1"/>
    <x v="0"/>
    <x v="1"/>
    <x v="3"/>
    <x v="0"/>
    <x v="0"/>
    <x v="0"/>
    <x v="0"/>
    <x v="0"/>
    <x v="4"/>
    <s v="20"/>
    <x v="7"/>
    <x v="1"/>
    <x v="12"/>
    <x v="10"/>
    <n v="40"/>
  </r>
  <r>
    <x v="6"/>
    <x v="0"/>
    <x v="1"/>
    <x v="0"/>
    <x v="1"/>
    <x v="3"/>
    <x v="0"/>
    <x v="0"/>
    <x v="0"/>
    <x v="0"/>
    <x v="0"/>
    <x v="4"/>
    <s v="20"/>
    <x v="7"/>
    <x v="1"/>
    <x v="12"/>
    <x v="11"/>
    <n v="51485.24"/>
  </r>
  <r>
    <x v="6"/>
    <x v="0"/>
    <x v="1"/>
    <x v="0"/>
    <x v="1"/>
    <x v="3"/>
    <x v="0"/>
    <x v="0"/>
    <x v="0"/>
    <x v="0"/>
    <x v="0"/>
    <x v="4"/>
    <s v="20"/>
    <x v="7"/>
    <x v="1"/>
    <x v="12"/>
    <x v="4"/>
    <n v="66801.75"/>
  </r>
  <r>
    <x v="6"/>
    <x v="0"/>
    <x v="1"/>
    <x v="0"/>
    <x v="1"/>
    <x v="3"/>
    <x v="0"/>
    <x v="0"/>
    <x v="0"/>
    <x v="0"/>
    <x v="0"/>
    <x v="4"/>
    <s v="20"/>
    <x v="7"/>
    <x v="1"/>
    <x v="12"/>
    <x v="5"/>
    <n v="51993.23"/>
  </r>
  <r>
    <x v="6"/>
    <x v="0"/>
    <x v="1"/>
    <x v="0"/>
    <x v="1"/>
    <x v="3"/>
    <x v="0"/>
    <x v="0"/>
    <x v="0"/>
    <x v="0"/>
    <x v="0"/>
    <x v="4"/>
    <s v="20"/>
    <x v="7"/>
    <x v="1"/>
    <x v="12"/>
    <x v="6"/>
    <n v="270"/>
  </r>
  <r>
    <x v="6"/>
    <x v="0"/>
    <x v="1"/>
    <x v="0"/>
    <x v="1"/>
    <x v="3"/>
    <x v="0"/>
    <x v="0"/>
    <x v="0"/>
    <x v="0"/>
    <x v="0"/>
    <x v="4"/>
    <s v="20"/>
    <x v="7"/>
    <x v="1"/>
    <x v="12"/>
    <x v="1"/>
    <n v="-232072.65"/>
  </r>
  <r>
    <x v="6"/>
    <x v="0"/>
    <x v="1"/>
    <x v="0"/>
    <x v="1"/>
    <x v="3"/>
    <x v="0"/>
    <x v="0"/>
    <x v="0"/>
    <x v="0"/>
    <x v="0"/>
    <x v="4"/>
    <s v="20"/>
    <x v="7"/>
    <x v="1"/>
    <x v="13"/>
    <x v="9"/>
    <n v="79663.89"/>
  </r>
  <r>
    <x v="6"/>
    <x v="0"/>
    <x v="1"/>
    <x v="0"/>
    <x v="1"/>
    <x v="3"/>
    <x v="0"/>
    <x v="0"/>
    <x v="0"/>
    <x v="0"/>
    <x v="0"/>
    <x v="4"/>
    <s v="20"/>
    <x v="7"/>
    <x v="1"/>
    <x v="13"/>
    <x v="10"/>
    <n v="285"/>
  </r>
  <r>
    <x v="6"/>
    <x v="0"/>
    <x v="1"/>
    <x v="0"/>
    <x v="1"/>
    <x v="3"/>
    <x v="0"/>
    <x v="0"/>
    <x v="0"/>
    <x v="0"/>
    <x v="0"/>
    <x v="4"/>
    <s v="20"/>
    <x v="7"/>
    <x v="1"/>
    <x v="13"/>
    <x v="11"/>
    <n v="1000"/>
  </r>
  <r>
    <x v="6"/>
    <x v="0"/>
    <x v="1"/>
    <x v="0"/>
    <x v="1"/>
    <x v="3"/>
    <x v="0"/>
    <x v="0"/>
    <x v="0"/>
    <x v="0"/>
    <x v="0"/>
    <x v="4"/>
    <s v="20"/>
    <x v="7"/>
    <x v="1"/>
    <x v="13"/>
    <x v="3"/>
    <n v="-285"/>
  </r>
  <r>
    <x v="6"/>
    <x v="0"/>
    <x v="1"/>
    <x v="0"/>
    <x v="1"/>
    <x v="3"/>
    <x v="0"/>
    <x v="0"/>
    <x v="0"/>
    <x v="0"/>
    <x v="0"/>
    <x v="4"/>
    <s v="20"/>
    <x v="7"/>
    <x v="1"/>
    <x v="13"/>
    <x v="4"/>
    <n v="122700.69"/>
  </r>
  <r>
    <x v="6"/>
    <x v="0"/>
    <x v="1"/>
    <x v="0"/>
    <x v="1"/>
    <x v="3"/>
    <x v="0"/>
    <x v="0"/>
    <x v="0"/>
    <x v="0"/>
    <x v="0"/>
    <x v="4"/>
    <s v="20"/>
    <x v="7"/>
    <x v="1"/>
    <x v="13"/>
    <x v="5"/>
    <n v="129029.78"/>
  </r>
  <r>
    <x v="6"/>
    <x v="0"/>
    <x v="1"/>
    <x v="0"/>
    <x v="1"/>
    <x v="3"/>
    <x v="0"/>
    <x v="0"/>
    <x v="0"/>
    <x v="0"/>
    <x v="0"/>
    <x v="4"/>
    <s v="20"/>
    <x v="7"/>
    <x v="1"/>
    <x v="13"/>
    <x v="6"/>
    <n v="5716.59"/>
  </r>
  <r>
    <x v="6"/>
    <x v="0"/>
    <x v="1"/>
    <x v="0"/>
    <x v="1"/>
    <x v="3"/>
    <x v="0"/>
    <x v="0"/>
    <x v="0"/>
    <x v="0"/>
    <x v="0"/>
    <x v="4"/>
    <s v="20"/>
    <x v="7"/>
    <x v="1"/>
    <x v="13"/>
    <x v="1"/>
    <n v="-338110.95"/>
  </r>
  <r>
    <x v="6"/>
    <x v="0"/>
    <x v="1"/>
    <x v="0"/>
    <x v="1"/>
    <x v="3"/>
    <x v="0"/>
    <x v="0"/>
    <x v="0"/>
    <x v="0"/>
    <x v="0"/>
    <x v="4"/>
    <s v="24"/>
    <x v="1"/>
    <x v="1"/>
    <x v="12"/>
    <x v="0"/>
    <n v="34110674.710000001"/>
  </r>
  <r>
    <x v="6"/>
    <x v="0"/>
    <x v="1"/>
    <x v="0"/>
    <x v="1"/>
    <x v="3"/>
    <x v="0"/>
    <x v="0"/>
    <x v="0"/>
    <x v="0"/>
    <x v="0"/>
    <x v="4"/>
    <s v="24"/>
    <x v="1"/>
    <x v="1"/>
    <x v="12"/>
    <x v="2"/>
    <n v="47219058.229999997"/>
  </r>
  <r>
    <x v="6"/>
    <x v="0"/>
    <x v="1"/>
    <x v="0"/>
    <x v="1"/>
    <x v="3"/>
    <x v="0"/>
    <x v="0"/>
    <x v="0"/>
    <x v="0"/>
    <x v="0"/>
    <x v="4"/>
    <s v="24"/>
    <x v="1"/>
    <x v="1"/>
    <x v="12"/>
    <x v="8"/>
    <n v="48054103.759999998"/>
  </r>
  <r>
    <x v="6"/>
    <x v="0"/>
    <x v="1"/>
    <x v="0"/>
    <x v="1"/>
    <x v="3"/>
    <x v="0"/>
    <x v="0"/>
    <x v="0"/>
    <x v="0"/>
    <x v="0"/>
    <x v="4"/>
    <s v="24"/>
    <x v="1"/>
    <x v="1"/>
    <x v="12"/>
    <x v="9"/>
    <n v="8881628.5600000005"/>
  </r>
  <r>
    <x v="6"/>
    <x v="0"/>
    <x v="1"/>
    <x v="0"/>
    <x v="1"/>
    <x v="3"/>
    <x v="0"/>
    <x v="0"/>
    <x v="0"/>
    <x v="0"/>
    <x v="0"/>
    <x v="4"/>
    <s v="24"/>
    <x v="1"/>
    <x v="1"/>
    <x v="12"/>
    <x v="10"/>
    <n v="36026017.780000001"/>
  </r>
  <r>
    <x v="6"/>
    <x v="0"/>
    <x v="1"/>
    <x v="0"/>
    <x v="1"/>
    <x v="3"/>
    <x v="0"/>
    <x v="0"/>
    <x v="0"/>
    <x v="0"/>
    <x v="0"/>
    <x v="4"/>
    <s v="24"/>
    <x v="1"/>
    <x v="1"/>
    <x v="12"/>
    <x v="11"/>
    <n v="48070689.039999999"/>
  </r>
  <r>
    <x v="6"/>
    <x v="0"/>
    <x v="1"/>
    <x v="0"/>
    <x v="1"/>
    <x v="3"/>
    <x v="0"/>
    <x v="0"/>
    <x v="0"/>
    <x v="0"/>
    <x v="0"/>
    <x v="4"/>
    <s v="24"/>
    <x v="1"/>
    <x v="1"/>
    <x v="12"/>
    <x v="3"/>
    <n v="10627638.15"/>
  </r>
  <r>
    <x v="6"/>
    <x v="0"/>
    <x v="1"/>
    <x v="0"/>
    <x v="1"/>
    <x v="3"/>
    <x v="0"/>
    <x v="0"/>
    <x v="0"/>
    <x v="0"/>
    <x v="0"/>
    <x v="4"/>
    <s v="24"/>
    <x v="1"/>
    <x v="1"/>
    <x v="12"/>
    <x v="4"/>
    <n v="18884347.859999999"/>
  </r>
  <r>
    <x v="6"/>
    <x v="0"/>
    <x v="1"/>
    <x v="0"/>
    <x v="1"/>
    <x v="3"/>
    <x v="0"/>
    <x v="0"/>
    <x v="0"/>
    <x v="0"/>
    <x v="0"/>
    <x v="4"/>
    <s v="24"/>
    <x v="1"/>
    <x v="1"/>
    <x v="12"/>
    <x v="7"/>
    <n v="62821746.82"/>
  </r>
  <r>
    <x v="6"/>
    <x v="0"/>
    <x v="1"/>
    <x v="0"/>
    <x v="1"/>
    <x v="3"/>
    <x v="0"/>
    <x v="0"/>
    <x v="0"/>
    <x v="0"/>
    <x v="0"/>
    <x v="4"/>
    <s v="24"/>
    <x v="1"/>
    <x v="1"/>
    <x v="12"/>
    <x v="5"/>
    <n v="8796849.3900000006"/>
  </r>
  <r>
    <x v="6"/>
    <x v="0"/>
    <x v="1"/>
    <x v="0"/>
    <x v="1"/>
    <x v="3"/>
    <x v="0"/>
    <x v="0"/>
    <x v="0"/>
    <x v="0"/>
    <x v="0"/>
    <x v="4"/>
    <s v="24"/>
    <x v="1"/>
    <x v="1"/>
    <x v="12"/>
    <x v="6"/>
    <n v="2726148.87"/>
  </r>
  <r>
    <x v="6"/>
    <x v="0"/>
    <x v="1"/>
    <x v="0"/>
    <x v="1"/>
    <x v="3"/>
    <x v="0"/>
    <x v="0"/>
    <x v="0"/>
    <x v="0"/>
    <x v="0"/>
    <x v="4"/>
    <s v="24"/>
    <x v="1"/>
    <x v="1"/>
    <x v="12"/>
    <x v="1"/>
    <n v="-6785097.1500000004"/>
  </r>
  <r>
    <x v="6"/>
    <x v="0"/>
    <x v="1"/>
    <x v="0"/>
    <x v="1"/>
    <x v="3"/>
    <x v="0"/>
    <x v="0"/>
    <x v="0"/>
    <x v="0"/>
    <x v="0"/>
    <x v="4"/>
    <s v="24"/>
    <x v="1"/>
    <x v="1"/>
    <x v="13"/>
    <x v="0"/>
    <n v="32707372.27"/>
  </r>
  <r>
    <x v="6"/>
    <x v="0"/>
    <x v="1"/>
    <x v="0"/>
    <x v="1"/>
    <x v="3"/>
    <x v="0"/>
    <x v="0"/>
    <x v="0"/>
    <x v="0"/>
    <x v="0"/>
    <x v="4"/>
    <s v="24"/>
    <x v="1"/>
    <x v="1"/>
    <x v="13"/>
    <x v="2"/>
    <n v="56537594.119999997"/>
  </r>
  <r>
    <x v="6"/>
    <x v="0"/>
    <x v="1"/>
    <x v="0"/>
    <x v="1"/>
    <x v="3"/>
    <x v="0"/>
    <x v="0"/>
    <x v="0"/>
    <x v="0"/>
    <x v="0"/>
    <x v="4"/>
    <s v="24"/>
    <x v="1"/>
    <x v="1"/>
    <x v="13"/>
    <x v="8"/>
    <n v="48875185.880000003"/>
  </r>
  <r>
    <x v="6"/>
    <x v="0"/>
    <x v="1"/>
    <x v="0"/>
    <x v="1"/>
    <x v="3"/>
    <x v="0"/>
    <x v="0"/>
    <x v="0"/>
    <x v="0"/>
    <x v="0"/>
    <x v="4"/>
    <s v="24"/>
    <x v="1"/>
    <x v="1"/>
    <x v="13"/>
    <x v="9"/>
    <n v="8379726.5599999996"/>
  </r>
  <r>
    <x v="6"/>
    <x v="0"/>
    <x v="1"/>
    <x v="0"/>
    <x v="1"/>
    <x v="3"/>
    <x v="0"/>
    <x v="0"/>
    <x v="0"/>
    <x v="0"/>
    <x v="0"/>
    <x v="4"/>
    <s v="24"/>
    <x v="1"/>
    <x v="1"/>
    <x v="13"/>
    <x v="10"/>
    <n v="37554514.200000003"/>
  </r>
  <r>
    <x v="6"/>
    <x v="0"/>
    <x v="1"/>
    <x v="0"/>
    <x v="1"/>
    <x v="3"/>
    <x v="0"/>
    <x v="0"/>
    <x v="0"/>
    <x v="0"/>
    <x v="0"/>
    <x v="4"/>
    <s v="24"/>
    <x v="1"/>
    <x v="1"/>
    <x v="13"/>
    <x v="11"/>
    <n v="50503958.869999997"/>
  </r>
  <r>
    <x v="6"/>
    <x v="0"/>
    <x v="1"/>
    <x v="0"/>
    <x v="1"/>
    <x v="3"/>
    <x v="0"/>
    <x v="0"/>
    <x v="0"/>
    <x v="0"/>
    <x v="0"/>
    <x v="4"/>
    <s v="24"/>
    <x v="1"/>
    <x v="1"/>
    <x v="13"/>
    <x v="3"/>
    <n v="17654280.140000001"/>
  </r>
  <r>
    <x v="6"/>
    <x v="0"/>
    <x v="1"/>
    <x v="0"/>
    <x v="1"/>
    <x v="3"/>
    <x v="0"/>
    <x v="0"/>
    <x v="0"/>
    <x v="0"/>
    <x v="0"/>
    <x v="4"/>
    <s v="24"/>
    <x v="1"/>
    <x v="1"/>
    <x v="13"/>
    <x v="4"/>
    <n v="22001545.370000001"/>
  </r>
  <r>
    <x v="6"/>
    <x v="0"/>
    <x v="1"/>
    <x v="0"/>
    <x v="1"/>
    <x v="3"/>
    <x v="0"/>
    <x v="0"/>
    <x v="0"/>
    <x v="0"/>
    <x v="0"/>
    <x v="4"/>
    <s v="24"/>
    <x v="1"/>
    <x v="1"/>
    <x v="13"/>
    <x v="7"/>
    <n v="64694745.020000003"/>
  </r>
  <r>
    <x v="6"/>
    <x v="0"/>
    <x v="1"/>
    <x v="0"/>
    <x v="1"/>
    <x v="3"/>
    <x v="0"/>
    <x v="0"/>
    <x v="0"/>
    <x v="0"/>
    <x v="0"/>
    <x v="4"/>
    <s v="24"/>
    <x v="1"/>
    <x v="1"/>
    <x v="13"/>
    <x v="5"/>
    <n v="14079614.09"/>
  </r>
  <r>
    <x v="6"/>
    <x v="0"/>
    <x v="1"/>
    <x v="0"/>
    <x v="1"/>
    <x v="3"/>
    <x v="0"/>
    <x v="0"/>
    <x v="0"/>
    <x v="0"/>
    <x v="0"/>
    <x v="4"/>
    <s v="24"/>
    <x v="1"/>
    <x v="1"/>
    <x v="13"/>
    <x v="6"/>
    <n v="4063378.41"/>
  </r>
  <r>
    <x v="6"/>
    <x v="0"/>
    <x v="1"/>
    <x v="0"/>
    <x v="1"/>
    <x v="3"/>
    <x v="0"/>
    <x v="0"/>
    <x v="0"/>
    <x v="0"/>
    <x v="0"/>
    <x v="4"/>
    <s v="24"/>
    <x v="1"/>
    <x v="1"/>
    <x v="13"/>
    <x v="1"/>
    <n v="-3176173.41"/>
  </r>
  <r>
    <x v="6"/>
    <x v="0"/>
    <x v="1"/>
    <x v="0"/>
    <x v="1"/>
    <x v="3"/>
    <x v="0"/>
    <x v="0"/>
    <x v="0"/>
    <x v="0"/>
    <x v="0"/>
    <x v="4"/>
    <s v="30"/>
    <x v="3"/>
    <x v="1"/>
    <x v="12"/>
    <x v="0"/>
    <n v="-26.37"/>
  </r>
  <r>
    <x v="6"/>
    <x v="0"/>
    <x v="1"/>
    <x v="0"/>
    <x v="1"/>
    <x v="3"/>
    <x v="0"/>
    <x v="0"/>
    <x v="0"/>
    <x v="0"/>
    <x v="0"/>
    <x v="4"/>
    <s v="30"/>
    <x v="3"/>
    <x v="1"/>
    <x v="12"/>
    <x v="8"/>
    <n v="66.37"/>
  </r>
  <r>
    <x v="6"/>
    <x v="0"/>
    <x v="1"/>
    <x v="0"/>
    <x v="1"/>
    <x v="3"/>
    <x v="0"/>
    <x v="0"/>
    <x v="0"/>
    <x v="0"/>
    <x v="0"/>
    <x v="4"/>
    <s v="30"/>
    <x v="3"/>
    <x v="1"/>
    <x v="12"/>
    <x v="9"/>
    <n v="548"/>
  </r>
  <r>
    <x v="6"/>
    <x v="0"/>
    <x v="1"/>
    <x v="0"/>
    <x v="1"/>
    <x v="3"/>
    <x v="0"/>
    <x v="0"/>
    <x v="0"/>
    <x v="0"/>
    <x v="0"/>
    <x v="4"/>
    <s v="30"/>
    <x v="3"/>
    <x v="1"/>
    <x v="12"/>
    <x v="10"/>
    <n v="183"/>
  </r>
  <r>
    <x v="6"/>
    <x v="0"/>
    <x v="1"/>
    <x v="0"/>
    <x v="1"/>
    <x v="3"/>
    <x v="0"/>
    <x v="0"/>
    <x v="0"/>
    <x v="0"/>
    <x v="0"/>
    <x v="4"/>
    <s v="30"/>
    <x v="3"/>
    <x v="1"/>
    <x v="12"/>
    <x v="11"/>
    <n v="274"/>
  </r>
  <r>
    <x v="6"/>
    <x v="0"/>
    <x v="1"/>
    <x v="0"/>
    <x v="1"/>
    <x v="3"/>
    <x v="0"/>
    <x v="0"/>
    <x v="0"/>
    <x v="0"/>
    <x v="0"/>
    <x v="4"/>
    <s v="30"/>
    <x v="3"/>
    <x v="1"/>
    <x v="12"/>
    <x v="3"/>
    <n v="-549.57000000000005"/>
  </r>
  <r>
    <x v="6"/>
    <x v="0"/>
    <x v="1"/>
    <x v="0"/>
    <x v="1"/>
    <x v="3"/>
    <x v="0"/>
    <x v="0"/>
    <x v="0"/>
    <x v="0"/>
    <x v="0"/>
    <x v="4"/>
    <s v="30"/>
    <x v="3"/>
    <x v="1"/>
    <x v="12"/>
    <x v="4"/>
    <n v="357"/>
  </r>
  <r>
    <x v="6"/>
    <x v="0"/>
    <x v="1"/>
    <x v="0"/>
    <x v="1"/>
    <x v="3"/>
    <x v="0"/>
    <x v="0"/>
    <x v="0"/>
    <x v="0"/>
    <x v="0"/>
    <x v="4"/>
    <s v="30"/>
    <x v="3"/>
    <x v="1"/>
    <x v="12"/>
    <x v="7"/>
    <n v="716"/>
  </r>
  <r>
    <x v="6"/>
    <x v="0"/>
    <x v="1"/>
    <x v="0"/>
    <x v="1"/>
    <x v="3"/>
    <x v="0"/>
    <x v="0"/>
    <x v="0"/>
    <x v="0"/>
    <x v="0"/>
    <x v="4"/>
    <s v="30"/>
    <x v="3"/>
    <x v="1"/>
    <x v="12"/>
    <x v="5"/>
    <n v="232"/>
  </r>
  <r>
    <x v="6"/>
    <x v="0"/>
    <x v="1"/>
    <x v="0"/>
    <x v="1"/>
    <x v="3"/>
    <x v="0"/>
    <x v="0"/>
    <x v="0"/>
    <x v="0"/>
    <x v="0"/>
    <x v="4"/>
    <s v="30"/>
    <x v="3"/>
    <x v="1"/>
    <x v="12"/>
    <x v="6"/>
    <n v="252.57"/>
  </r>
  <r>
    <x v="6"/>
    <x v="0"/>
    <x v="1"/>
    <x v="0"/>
    <x v="1"/>
    <x v="3"/>
    <x v="0"/>
    <x v="0"/>
    <x v="0"/>
    <x v="0"/>
    <x v="0"/>
    <x v="4"/>
    <s v="30"/>
    <x v="3"/>
    <x v="1"/>
    <x v="12"/>
    <x v="1"/>
    <n v="-30"/>
  </r>
  <r>
    <x v="6"/>
    <x v="0"/>
    <x v="1"/>
    <x v="0"/>
    <x v="1"/>
    <x v="3"/>
    <x v="0"/>
    <x v="0"/>
    <x v="0"/>
    <x v="0"/>
    <x v="0"/>
    <x v="4"/>
    <s v="30"/>
    <x v="3"/>
    <x v="1"/>
    <x v="13"/>
    <x v="0"/>
    <n v="50"/>
  </r>
  <r>
    <x v="6"/>
    <x v="0"/>
    <x v="1"/>
    <x v="0"/>
    <x v="1"/>
    <x v="3"/>
    <x v="0"/>
    <x v="0"/>
    <x v="0"/>
    <x v="0"/>
    <x v="0"/>
    <x v="4"/>
    <s v="30"/>
    <x v="3"/>
    <x v="1"/>
    <x v="13"/>
    <x v="8"/>
    <n v="77.27"/>
  </r>
  <r>
    <x v="6"/>
    <x v="0"/>
    <x v="1"/>
    <x v="0"/>
    <x v="1"/>
    <x v="3"/>
    <x v="0"/>
    <x v="0"/>
    <x v="0"/>
    <x v="0"/>
    <x v="0"/>
    <x v="4"/>
    <s v="30"/>
    <x v="3"/>
    <x v="1"/>
    <x v="13"/>
    <x v="9"/>
    <n v="131.72999999999999"/>
  </r>
  <r>
    <x v="6"/>
    <x v="0"/>
    <x v="1"/>
    <x v="0"/>
    <x v="1"/>
    <x v="3"/>
    <x v="0"/>
    <x v="0"/>
    <x v="0"/>
    <x v="0"/>
    <x v="0"/>
    <x v="4"/>
    <s v="30"/>
    <x v="3"/>
    <x v="1"/>
    <x v="13"/>
    <x v="10"/>
    <n v="295.19"/>
  </r>
  <r>
    <x v="6"/>
    <x v="0"/>
    <x v="1"/>
    <x v="0"/>
    <x v="1"/>
    <x v="3"/>
    <x v="0"/>
    <x v="0"/>
    <x v="0"/>
    <x v="0"/>
    <x v="0"/>
    <x v="4"/>
    <s v="30"/>
    <x v="3"/>
    <x v="1"/>
    <x v="13"/>
    <x v="4"/>
    <n v="761"/>
  </r>
  <r>
    <x v="6"/>
    <x v="0"/>
    <x v="1"/>
    <x v="0"/>
    <x v="1"/>
    <x v="3"/>
    <x v="0"/>
    <x v="0"/>
    <x v="0"/>
    <x v="0"/>
    <x v="0"/>
    <x v="4"/>
    <s v="30"/>
    <x v="3"/>
    <x v="1"/>
    <x v="13"/>
    <x v="7"/>
    <n v="-805"/>
  </r>
  <r>
    <x v="6"/>
    <x v="0"/>
    <x v="1"/>
    <x v="0"/>
    <x v="1"/>
    <x v="3"/>
    <x v="0"/>
    <x v="0"/>
    <x v="0"/>
    <x v="0"/>
    <x v="0"/>
    <x v="4"/>
    <s v="30"/>
    <x v="3"/>
    <x v="1"/>
    <x v="13"/>
    <x v="5"/>
    <n v="41"/>
  </r>
  <r>
    <x v="6"/>
    <x v="0"/>
    <x v="1"/>
    <x v="0"/>
    <x v="1"/>
    <x v="3"/>
    <x v="0"/>
    <x v="0"/>
    <x v="0"/>
    <x v="0"/>
    <x v="0"/>
    <x v="4"/>
    <s v="30"/>
    <x v="3"/>
    <x v="1"/>
    <x v="13"/>
    <x v="6"/>
    <n v="-82"/>
  </r>
  <r>
    <x v="6"/>
    <x v="0"/>
    <x v="1"/>
    <x v="0"/>
    <x v="1"/>
    <x v="3"/>
    <x v="0"/>
    <x v="0"/>
    <x v="0"/>
    <x v="0"/>
    <x v="0"/>
    <x v="4"/>
    <s v="40"/>
    <x v="18"/>
    <x v="1"/>
    <x v="12"/>
    <x v="10"/>
    <n v="8619.39"/>
  </r>
  <r>
    <x v="6"/>
    <x v="0"/>
    <x v="1"/>
    <x v="0"/>
    <x v="1"/>
    <x v="3"/>
    <x v="0"/>
    <x v="0"/>
    <x v="0"/>
    <x v="0"/>
    <x v="0"/>
    <x v="4"/>
    <s v="40"/>
    <x v="18"/>
    <x v="1"/>
    <x v="12"/>
    <x v="4"/>
    <n v="-8619.39"/>
  </r>
  <r>
    <x v="6"/>
    <x v="0"/>
    <x v="1"/>
    <x v="0"/>
    <x v="1"/>
    <x v="3"/>
    <x v="0"/>
    <x v="0"/>
    <x v="0"/>
    <x v="0"/>
    <x v="0"/>
    <x v="4"/>
    <s v="40"/>
    <x v="18"/>
    <x v="1"/>
    <x v="13"/>
    <x v="6"/>
    <n v="6760.57"/>
  </r>
  <r>
    <x v="6"/>
    <x v="0"/>
    <x v="1"/>
    <x v="0"/>
    <x v="1"/>
    <x v="3"/>
    <x v="0"/>
    <x v="0"/>
    <x v="0"/>
    <x v="0"/>
    <x v="0"/>
    <x v="4"/>
    <s v="40"/>
    <x v="18"/>
    <x v="1"/>
    <x v="13"/>
    <x v="1"/>
    <n v="-6760.57"/>
  </r>
  <r>
    <x v="6"/>
    <x v="0"/>
    <x v="1"/>
    <x v="0"/>
    <x v="1"/>
    <x v="3"/>
    <x v="0"/>
    <x v="0"/>
    <x v="0"/>
    <x v="0"/>
    <x v="0"/>
    <x v="4"/>
    <s v="86"/>
    <x v="39"/>
    <x v="1"/>
    <x v="12"/>
    <x v="9"/>
    <n v="1500"/>
  </r>
  <r>
    <x v="6"/>
    <x v="0"/>
    <x v="1"/>
    <x v="0"/>
    <x v="1"/>
    <x v="3"/>
    <x v="0"/>
    <x v="0"/>
    <x v="0"/>
    <x v="0"/>
    <x v="0"/>
    <x v="4"/>
    <s v="86"/>
    <x v="39"/>
    <x v="1"/>
    <x v="12"/>
    <x v="4"/>
    <n v="-1500"/>
  </r>
  <r>
    <x v="6"/>
    <x v="0"/>
    <x v="1"/>
    <x v="0"/>
    <x v="1"/>
    <x v="3"/>
    <x v="0"/>
    <x v="0"/>
    <x v="0"/>
    <x v="0"/>
    <x v="0"/>
    <x v="4"/>
    <s v="86"/>
    <x v="39"/>
    <x v="1"/>
    <x v="12"/>
    <x v="1"/>
    <n v="1500"/>
  </r>
  <r>
    <x v="6"/>
    <x v="0"/>
    <x v="1"/>
    <x v="0"/>
    <x v="1"/>
    <x v="3"/>
    <x v="0"/>
    <x v="0"/>
    <x v="0"/>
    <x v="0"/>
    <x v="0"/>
    <x v="4"/>
    <s v="90"/>
    <x v="16"/>
    <x v="1"/>
    <x v="12"/>
    <x v="8"/>
    <n v="-11.9"/>
  </r>
  <r>
    <x v="6"/>
    <x v="0"/>
    <x v="1"/>
    <x v="0"/>
    <x v="1"/>
    <x v="3"/>
    <x v="0"/>
    <x v="0"/>
    <x v="0"/>
    <x v="0"/>
    <x v="0"/>
    <x v="4"/>
    <s v="90"/>
    <x v="16"/>
    <x v="1"/>
    <x v="12"/>
    <x v="10"/>
    <n v="-198"/>
  </r>
  <r>
    <x v="6"/>
    <x v="0"/>
    <x v="1"/>
    <x v="0"/>
    <x v="1"/>
    <x v="3"/>
    <x v="0"/>
    <x v="0"/>
    <x v="0"/>
    <x v="0"/>
    <x v="0"/>
    <x v="4"/>
    <s v="90"/>
    <x v="16"/>
    <x v="1"/>
    <x v="12"/>
    <x v="11"/>
    <n v="199"/>
  </r>
  <r>
    <x v="6"/>
    <x v="0"/>
    <x v="1"/>
    <x v="0"/>
    <x v="1"/>
    <x v="3"/>
    <x v="0"/>
    <x v="0"/>
    <x v="0"/>
    <x v="0"/>
    <x v="0"/>
    <x v="4"/>
    <s v="90"/>
    <x v="16"/>
    <x v="1"/>
    <x v="12"/>
    <x v="4"/>
    <n v="11.9"/>
  </r>
  <r>
    <x v="6"/>
    <x v="0"/>
    <x v="1"/>
    <x v="0"/>
    <x v="1"/>
    <x v="3"/>
    <x v="0"/>
    <x v="0"/>
    <x v="0"/>
    <x v="0"/>
    <x v="0"/>
    <x v="4"/>
    <s v="90"/>
    <x v="16"/>
    <x v="1"/>
    <x v="12"/>
    <x v="7"/>
    <n v="30"/>
  </r>
  <r>
    <x v="6"/>
    <x v="0"/>
    <x v="1"/>
    <x v="0"/>
    <x v="1"/>
    <x v="3"/>
    <x v="0"/>
    <x v="0"/>
    <x v="0"/>
    <x v="0"/>
    <x v="0"/>
    <x v="4"/>
    <s v="90"/>
    <x v="16"/>
    <x v="1"/>
    <x v="12"/>
    <x v="5"/>
    <n v="-31"/>
  </r>
  <r>
    <x v="6"/>
    <x v="0"/>
    <x v="1"/>
    <x v="0"/>
    <x v="1"/>
    <x v="3"/>
    <x v="0"/>
    <x v="0"/>
    <x v="0"/>
    <x v="0"/>
    <x v="0"/>
    <x v="4"/>
    <s v="90"/>
    <x v="16"/>
    <x v="1"/>
    <x v="12"/>
    <x v="6"/>
    <n v="-1.4"/>
  </r>
  <r>
    <x v="6"/>
    <x v="0"/>
    <x v="1"/>
    <x v="0"/>
    <x v="1"/>
    <x v="3"/>
    <x v="0"/>
    <x v="0"/>
    <x v="0"/>
    <x v="0"/>
    <x v="0"/>
    <x v="4"/>
    <s v="90"/>
    <x v="16"/>
    <x v="1"/>
    <x v="12"/>
    <x v="1"/>
    <n v="1.4"/>
  </r>
  <r>
    <x v="6"/>
    <x v="0"/>
    <x v="1"/>
    <x v="0"/>
    <x v="1"/>
    <x v="3"/>
    <x v="0"/>
    <x v="0"/>
    <x v="0"/>
    <x v="0"/>
    <x v="0"/>
    <x v="4"/>
    <s v="90"/>
    <x v="16"/>
    <x v="1"/>
    <x v="13"/>
    <x v="3"/>
    <n v="6.19"/>
  </r>
  <r>
    <x v="6"/>
    <x v="0"/>
    <x v="1"/>
    <x v="0"/>
    <x v="1"/>
    <x v="3"/>
    <x v="0"/>
    <x v="0"/>
    <x v="0"/>
    <x v="0"/>
    <x v="0"/>
    <x v="4"/>
    <s v="90"/>
    <x v="16"/>
    <x v="1"/>
    <x v="13"/>
    <x v="7"/>
    <n v="-37.29"/>
  </r>
  <r>
    <x v="6"/>
    <x v="0"/>
    <x v="1"/>
    <x v="0"/>
    <x v="1"/>
    <x v="3"/>
    <x v="0"/>
    <x v="0"/>
    <x v="0"/>
    <x v="0"/>
    <x v="0"/>
    <x v="4"/>
    <s v="90"/>
    <x v="16"/>
    <x v="1"/>
    <x v="13"/>
    <x v="5"/>
    <n v="26.1"/>
  </r>
  <r>
    <x v="6"/>
    <x v="0"/>
    <x v="1"/>
    <x v="0"/>
    <x v="1"/>
    <x v="3"/>
    <x v="0"/>
    <x v="0"/>
    <x v="0"/>
    <x v="0"/>
    <x v="0"/>
    <x v="4"/>
    <s v="90"/>
    <x v="16"/>
    <x v="1"/>
    <x v="13"/>
    <x v="1"/>
    <n v="5"/>
  </r>
  <r>
    <x v="6"/>
    <x v="0"/>
    <x v="1"/>
    <x v="0"/>
    <x v="1"/>
    <x v="3"/>
    <x v="0"/>
    <x v="0"/>
    <x v="0"/>
    <x v="0"/>
    <x v="0"/>
    <x v="4"/>
    <s v="99"/>
    <x v="9"/>
    <x v="1"/>
    <x v="12"/>
    <x v="0"/>
    <n v="757.17"/>
  </r>
  <r>
    <x v="6"/>
    <x v="0"/>
    <x v="1"/>
    <x v="0"/>
    <x v="1"/>
    <x v="3"/>
    <x v="0"/>
    <x v="0"/>
    <x v="0"/>
    <x v="0"/>
    <x v="0"/>
    <x v="4"/>
    <s v="99"/>
    <x v="9"/>
    <x v="1"/>
    <x v="12"/>
    <x v="8"/>
    <n v="3267.44"/>
  </r>
  <r>
    <x v="6"/>
    <x v="0"/>
    <x v="1"/>
    <x v="0"/>
    <x v="1"/>
    <x v="3"/>
    <x v="0"/>
    <x v="0"/>
    <x v="0"/>
    <x v="0"/>
    <x v="0"/>
    <x v="4"/>
    <s v="99"/>
    <x v="9"/>
    <x v="1"/>
    <x v="12"/>
    <x v="9"/>
    <n v="-4024.61"/>
  </r>
  <r>
    <x v="6"/>
    <x v="0"/>
    <x v="1"/>
    <x v="0"/>
    <x v="1"/>
    <x v="3"/>
    <x v="0"/>
    <x v="0"/>
    <x v="0"/>
    <x v="0"/>
    <x v="0"/>
    <x v="4"/>
    <s v="99"/>
    <x v="9"/>
    <x v="1"/>
    <x v="12"/>
    <x v="11"/>
    <n v="767.45"/>
  </r>
  <r>
    <x v="6"/>
    <x v="0"/>
    <x v="1"/>
    <x v="0"/>
    <x v="1"/>
    <x v="3"/>
    <x v="0"/>
    <x v="0"/>
    <x v="0"/>
    <x v="0"/>
    <x v="0"/>
    <x v="4"/>
    <s v="99"/>
    <x v="9"/>
    <x v="1"/>
    <x v="12"/>
    <x v="3"/>
    <n v="2044.6"/>
  </r>
  <r>
    <x v="6"/>
    <x v="0"/>
    <x v="1"/>
    <x v="0"/>
    <x v="1"/>
    <x v="3"/>
    <x v="0"/>
    <x v="0"/>
    <x v="0"/>
    <x v="0"/>
    <x v="0"/>
    <x v="4"/>
    <s v="99"/>
    <x v="9"/>
    <x v="1"/>
    <x v="12"/>
    <x v="4"/>
    <n v="199.36"/>
  </r>
  <r>
    <x v="6"/>
    <x v="0"/>
    <x v="1"/>
    <x v="0"/>
    <x v="1"/>
    <x v="3"/>
    <x v="0"/>
    <x v="0"/>
    <x v="0"/>
    <x v="0"/>
    <x v="0"/>
    <x v="4"/>
    <s v="99"/>
    <x v="9"/>
    <x v="1"/>
    <x v="12"/>
    <x v="7"/>
    <n v="84.64"/>
  </r>
  <r>
    <x v="6"/>
    <x v="0"/>
    <x v="1"/>
    <x v="0"/>
    <x v="1"/>
    <x v="3"/>
    <x v="0"/>
    <x v="0"/>
    <x v="0"/>
    <x v="0"/>
    <x v="0"/>
    <x v="4"/>
    <s v="99"/>
    <x v="9"/>
    <x v="1"/>
    <x v="12"/>
    <x v="5"/>
    <n v="-1832.65"/>
  </r>
  <r>
    <x v="6"/>
    <x v="0"/>
    <x v="1"/>
    <x v="0"/>
    <x v="1"/>
    <x v="3"/>
    <x v="0"/>
    <x v="0"/>
    <x v="0"/>
    <x v="0"/>
    <x v="0"/>
    <x v="4"/>
    <s v="99"/>
    <x v="9"/>
    <x v="1"/>
    <x v="12"/>
    <x v="6"/>
    <n v="118.88"/>
  </r>
  <r>
    <x v="6"/>
    <x v="0"/>
    <x v="1"/>
    <x v="0"/>
    <x v="1"/>
    <x v="3"/>
    <x v="0"/>
    <x v="0"/>
    <x v="0"/>
    <x v="0"/>
    <x v="0"/>
    <x v="4"/>
    <s v="99"/>
    <x v="9"/>
    <x v="1"/>
    <x v="12"/>
    <x v="1"/>
    <n v="141.77000000000001"/>
  </r>
  <r>
    <x v="6"/>
    <x v="0"/>
    <x v="1"/>
    <x v="0"/>
    <x v="1"/>
    <x v="3"/>
    <x v="0"/>
    <x v="0"/>
    <x v="0"/>
    <x v="0"/>
    <x v="0"/>
    <x v="4"/>
    <s v="99"/>
    <x v="9"/>
    <x v="1"/>
    <x v="13"/>
    <x v="2"/>
    <n v="357.9"/>
  </r>
  <r>
    <x v="6"/>
    <x v="0"/>
    <x v="1"/>
    <x v="0"/>
    <x v="1"/>
    <x v="3"/>
    <x v="0"/>
    <x v="0"/>
    <x v="0"/>
    <x v="0"/>
    <x v="0"/>
    <x v="4"/>
    <s v="99"/>
    <x v="9"/>
    <x v="1"/>
    <x v="13"/>
    <x v="8"/>
    <n v="7244.37"/>
  </r>
  <r>
    <x v="6"/>
    <x v="0"/>
    <x v="1"/>
    <x v="0"/>
    <x v="1"/>
    <x v="3"/>
    <x v="0"/>
    <x v="0"/>
    <x v="0"/>
    <x v="0"/>
    <x v="0"/>
    <x v="4"/>
    <s v="99"/>
    <x v="9"/>
    <x v="1"/>
    <x v="13"/>
    <x v="9"/>
    <n v="105.78"/>
  </r>
  <r>
    <x v="6"/>
    <x v="0"/>
    <x v="1"/>
    <x v="0"/>
    <x v="1"/>
    <x v="3"/>
    <x v="0"/>
    <x v="0"/>
    <x v="0"/>
    <x v="0"/>
    <x v="0"/>
    <x v="4"/>
    <s v="99"/>
    <x v="9"/>
    <x v="1"/>
    <x v="13"/>
    <x v="10"/>
    <n v="-5990.84"/>
  </r>
  <r>
    <x v="6"/>
    <x v="0"/>
    <x v="1"/>
    <x v="0"/>
    <x v="1"/>
    <x v="3"/>
    <x v="0"/>
    <x v="0"/>
    <x v="0"/>
    <x v="0"/>
    <x v="0"/>
    <x v="4"/>
    <s v="99"/>
    <x v="9"/>
    <x v="1"/>
    <x v="13"/>
    <x v="11"/>
    <n v="343.84"/>
  </r>
  <r>
    <x v="6"/>
    <x v="0"/>
    <x v="1"/>
    <x v="0"/>
    <x v="1"/>
    <x v="3"/>
    <x v="0"/>
    <x v="0"/>
    <x v="0"/>
    <x v="0"/>
    <x v="0"/>
    <x v="4"/>
    <s v="99"/>
    <x v="9"/>
    <x v="1"/>
    <x v="13"/>
    <x v="3"/>
    <n v="581.54"/>
  </r>
  <r>
    <x v="6"/>
    <x v="0"/>
    <x v="1"/>
    <x v="0"/>
    <x v="1"/>
    <x v="3"/>
    <x v="0"/>
    <x v="0"/>
    <x v="0"/>
    <x v="0"/>
    <x v="0"/>
    <x v="4"/>
    <s v="99"/>
    <x v="9"/>
    <x v="1"/>
    <x v="13"/>
    <x v="4"/>
    <n v="365.7"/>
  </r>
  <r>
    <x v="6"/>
    <x v="0"/>
    <x v="1"/>
    <x v="0"/>
    <x v="1"/>
    <x v="3"/>
    <x v="0"/>
    <x v="0"/>
    <x v="0"/>
    <x v="0"/>
    <x v="0"/>
    <x v="4"/>
    <s v="99"/>
    <x v="9"/>
    <x v="1"/>
    <x v="13"/>
    <x v="7"/>
    <n v="1744.64"/>
  </r>
  <r>
    <x v="6"/>
    <x v="0"/>
    <x v="1"/>
    <x v="0"/>
    <x v="1"/>
    <x v="3"/>
    <x v="0"/>
    <x v="0"/>
    <x v="0"/>
    <x v="0"/>
    <x v="0"/>
    <x v="4"/>
    <s v="99"/>
    <x v="9"/>
    <x v="1"/>
    <x v="13"/>
    <x v="5"/>
    <n v="790.87"/>
  </r>
  <r>
    <x v="6"/>
    <x v="0"/>
    <x v="1"/>
    <x v="0"/>
    <x v="1"/>
    <x v="3"/>
    <x v="0"/>
    <x v="0"/>
    <x v="0"/>
    <x v="0"/>
    <x v="0"/>
    <x v="4"/>
    <s v="99"/>
    <x v="9"/>
    <x v="1"/>
    <x v="13"/>
    <x v="6"/>
    <n v="-1611"/>
  </r>
  <r>
    <x v="6"/>
    <x v="0"/>
    <x v="1"/>
    <x v="0"/>
    <x v="1"/>
    <x v="3"/>
    <x v="0"/>
    <x v="0"/>
    <x v="0"/>
    <x v="0"/>
    <x v="0"/>
    <x v="4"/>
    <s v="99"/>
    <x v="9"/>
    <x v="1"/>
    <x v="13"/>
    <x v="1"/>
    <n v="-1003950.05"/>
  </r>
  <r>
    <x v="6"/>
    <x v="0"/>
    <x v="1"/>
    <x v="0"/>
    <x v="1"/>
    <x v="3"/>
    <x v="0"/>
    <x v="0"/>
    <x v="0"/>
    <x v="0"/>
    <x v="4"/>
    <x v="5"/>
    <s v="21"/>
    <x v="27"/>
    <x v="1"/>
    <x v="12"/>
    <x v="3"/>
    <n v="107845.04"/>
  </r>
  <r>
    <x v="6"/>
    <x v="0"/>
    <x v="1"/>
    <x v="0"/>
    <x v="1"/>
    <x v="3"/>
    <x v="0"/>
    <x v="0"/>
    <x v="0"/>
    <x v="0"/>
    <x v="4"/>
    <x v="5"/>
    <s v="21"/>
    <x v="27"/>
    <x v="1"/>
    <x v="12"/>
    <x v="4"/>
    <n v="-6932.64"/>
  </r>
  <r>
    <x v="6"/>
    <x v="0"/>
    <x v="1"/>
    <x v="0"/>
    <x v="1"/>
    <x v="3"/>
    <x v="0"/>
    <x v="0"/>
    <x v="0"/>
    <x v="0"/>
    <x v="4"/>
    <x v="5"/>
    <s v="21"/>
    <x v="27"/>
    <x v="1"/>
    <x v="12"/>
    <x v="6"/>
    <n v="-100912.4"/>
  </r>
  <r>
    <x v="6"/>
    <x v="0"/>
    <x v="1"/>
    <x v="0"/>
    <x v="1"/>
    <x v="3"/>
    <x v="0"/>
    <x v="0"/>
    <x v="0"/>
    <x v="0"/>
    <x v="4"/>
    <x v="5"/>
    <s v="21"/>
    <x v="27"/>
    <x v="1"/>
    <x v="13"/>
    <x v="10"/>
    <n v="166816.25"/>
  </r>
  <r>
    <x v="6"/>
    <x v="0"/>
    <x v="1"/>
    <x v="0"/>
    <x v="1"/>
    <x v="3"/>
    <x v="0"/>
    <x v="0"/>
    <x v="0"/>
    <x v="0"/>
    <x v="4"/>
    <x v="5"/>
    <s v="21"/>
    <x v="27"/>
    <x v="1"/>
    <x v="13"/>
    <x v="11"/>
    <n v="-166816.25"/>
  </r>
  <r>
    <x v="6"/>
    <x v="0"/>
    <x v="1"/>
    <x v="0"/>
    <x v="1"/>
    <x v="3"/>
    <x v="0"/>
    <x v="0"/>
    <x v="0"/>
    <x v="0"/>
    <x v="4"/>
    <x v="5"/>
    <s v="21"/>
    <x v="27"/>
    <x v="1"/>
    <x v="13"/>
    <x v="3"/>
    <n v="20000"/>
  </r>
  <r>
    <x v="6"/>
    <x v="0"/>
    <x v="1"/>
    <x v="0"/>
    <x v="1"/>
    <x v="3"/>
    <x v="0"/>
    <x v="0"/>
    <x v="0"/>
    <x v="0"/>
    <x v="4"/>
    <x v="5"/>
    <s v="21"/>
    <x v="27"/>
    <x v="1"/>
    <x v="13"/>
    <x v="5"/>
    <n v="-40000"/>
  </r>
  <r>
    <x v="6"/>
    <x v="0"/>
    <x v="1"/>
    <x v="0"/>
    <x v="1"/>
    <x v="3"/>
    <x v="0"/>
    <x v="0"/>
    <x v="0"/>
    <x v="0"/>
    <x v="4"/>
    <x v="5"/>
    <s v="21"/>
    <x v="27"/>
    <x v="1"/>
    <x v="13"/>
    <x v="6"/>
    <n v="20000"/>
  </r>
  <r>
    <x v="6"/>
    <x v="0"/>
    <x v="1"/>
    <x v="0"/>
    <x v="1"/>
    <x v="3"/>
    <x v="0"/>
    <x v="0"/>
    <x v="0"/>
    <x v="0"/>
    <x v="4"/>
    <x v="5"/>
    <s v="22"/>
    <x v="25"/>
    <x v="1"/>
    <x v="13"/>
    <x v="3"/>
    <n v="-20000"/>
  </r>
  <r>
    <x v="6"/>
    <x v="0"/>
    <x v="1"/>
    <x v="0"/>
    <x v="1"/>
    <x v="3"/>
    <x v="0"/>
    <x v="0"/>
    <x v="0"/>
    <x v="0"/>
    <x v="4"/>
    <x v="5"/>
    <s v="22"/>
    <x v="25"/>
    <x v="1"/>
    <x v="13"/>
    <x v="5"/>
    <n v="20000"/>
  </r>
  <r>
    <x v="6"/>
    <x v="0"/>
    <x v="1"/>
    <x v="0"/>
    <x v="1"/>
    <x v="3"/>
    <x v="0"/>
    <x v="0"/>
    <x v="0"/>
    <x v="0"/>
    <x v="4"/>
    <x v="5"/>
    <s v="27"/>
    <x v="50"/>
    <x v="1"/>
    <x v="12"/>
    <x v="1"/>
    <n v="-23229.3"/>
  </r>
  <r>
    <x v="6"/>
    <x v="0"/>
    <x v="1"/>
    <x v="0"/>
    <x v="1"/>
    <x v="3"/>
    <x v="0"/>
    <x v="0"/>
    <x v="0"/>
    <x v="0"/>
    <x v="4"/>
    <x v="5"/>
    <s v="27"/>
    <x v="50"/>
    <x v="1"/>
    <x v="13"/>
    <x v="3"/>
    <n v="-21859.65"/>
  </r>
  <r>
    <x v="6"/>
    <x v="0"/>
    <x v="1"/>
    <x v="0"/>
    <x v="1"/>
    <x v="3"/>
    <x v="0"/>
    <x v="0"/>
    <x v="0"/>
    <x v="0"/>
    <x v="5"/>
    <x v="6"/>
    <s v="02"/>
    <x v="45"/>
    <x v="1"/>
    <x v="12"/>
    <x v="8"/>
    <n v="-1000"/>
  </r>
  <r>
    <x v="6"/>
    <x v="0"/>
    <x v="1"/>
    <x v="0"/>
    <x v="1"/>
    <x v="3"/>
    <x v="0"/>
    <x v="0"/>
    <x v="0"/>
    <x v="0"/>
    <x v="5"/>
    <x v="6"/>
    <s v="02"/>
    <x v="45"/>
    <x v="1"/>
    <x v="12"/>
    <x v="9"/>
    <n v="1000"/>
  </r>
  <r>
    <x v="6"/>
    <x v="0"/>
    <x v="1"/>
    <x v="0"/>
    <x v="1"/>
    <x v="3"/>
    <x v="0"/>
    <x v="0"/>
    <x v="0"/>
    <x v="0"/>
    <x v="5"/>
    <x v="6"/>
    <s v="20"/>
    <x v="29"/>
    <x v="1"/>
    <x v="12"/>
    <x v="10"/>
    <n v="-515.64"/>
  </r>
  <r>
    <x v="6"/>
    <x v="0"/>
    <x v="1"/>
    <x v="0"/>
    <x v="1"/>
    <x v="3"/>
    <x v="0"/>
    <x v="0"/>
    <x v="0"/>
    <x v="0"/>
    <x v="5"/>
    <x v="6"/>
    <s v="20"/>
    <x v="29"/>
    <x v="1"/>
    <x v="12"/>
    <x v="4"/>
    <n v="515.64"/>
  </r>
  <r>
    <x v="7"/>
    <x v="0"/>
    <x v="0"/>
    <x v="0"/>
    <x v="1"/>
    <x v="0"/>
    <x v="0"/>
    <x v="0"/>
    <x v="0"/>
    <x v="0"/>
    <x v="0"/>
    <x v="4"/>
    <s v="09"/>
    <x v="51"/>
    <x v="1"/>
    <x v="14"/>
    <x v="0"/>
    <n v="-28446.84"/>
  </r>
  <r>
    <x v="7"/>
    <x v="0"/>
    <x v="0"/>
    <x v="0"/>
    <x v="1"/>
    <x v="0"/>
    <x v="0"/>
    <x v="0"/>
    <x v="0"/>
    <x v="0"/>
    <x v="0"/>
    <x v="4"/>
    <s v="09"/>
    <x v="51"/>
    <x v="1"/>
    <x v="14"/>
    <x v="1"/>
    <n v="-0.01"/>
  </r>
  <r>
    <x v="7"/>
    <x v="0"/>
    <x v="0"/>
    <x v="0"/>
    <x v="1"/>
    <x v="0"/>
    <x v="0"/>
    <x v="0"/>
    <x v="0"/>
    <x v="0"/>
    <x v="0"/>
    <x v="4"/>
    <s v="09"/>
    <x v="51"/>
    <x v="1"/>
    <x v="15"/>
    <x v="0"/>
    <n v="-52223.21"/>
  </r>
  <r>
    <x v="7"/>
    <x v="0"/>
    <x v="0"/>
    <x v="0"/>
    <x v="1"/>
    <x v="0"/>
    <x v="0"/>
    <x v="0"/>
    <x v="0"/>
    <x v="0"/>
    <x v="0"/>
    <x v="4"/>
    <s v="09"/>
    <x v="51"/>
    <x v="1"/>
    <x v="15"/>
    <x v="9"/>
    <n v="52223.22"/>
  </r>
  <r>
    <x v="7"/>
    <x v="0"/>
    <x v="0"/>
    <x v="0"/>
    <x v="1"/>
    <x v="0"/>
    <x v="0"/>
    <x v="0"/>
    <x v="0"/>
    <x v="0"/>
    <x v="0"/>
    <x v="4"/>
    <s v="10"/>
    <x v="52"/>
    <x v="1"/>
    <x v="14"/>
    <x v="3"/>
    <n v="1574.85"/>
  </r>
  <r>
    <x v="7"/>
    <x v="0"/>
    <x v="0"/>
    <x v="0"/>
    <x v="1"/>
    <x v="0"/>
    <x v="0"/>
    <x v="0"/>
    <x v="0"/>
    <x v="0"/>
    <x v="0"/>
    <x v="4"/>
    <s v="24"/>
    <x v="1"/>
    <x v="1"/>
    <x v="14"/>
    <x v="0"/>
    <n v="-210947.96"/>
  </r>
  <r>
    <x v="7"/>
    <x v="0"/>
    <x v="0"/>
    <x v="0"/>
    <x v="1"/>
    <x v="0"/>
    <x v="0"/>
    <x v="0"/>
    <x v="0"/>
    <x v="0"/>
    <x v="0"/>
    <x v="4"/>
    <s v="24"/>
    <x v="1"/>
    <x v="1"/>
    <x v="14"/>
    <x v="1"/>
    <n v="3009394.24"/>
  </r>
  <r>
    <x v="7"/>
    <x v="0"/>
    <x v="0"/>
    <x v="0"/>
    <x v="1"/>
    <x v="0"/>
    <x v="0"/>
    <x v="0"/>
    <x v="0"/>
    <x v="0"/>
    <x v="0"/>
    <x v="4"/>
    <s v="24"/>
    <x v="1"/>
    <x v="1"/>
    <x v="15"/>
    <x v="0"/>
    <n v="-4695990.26"/>
  </r>
  <r>
    <x v="7"/>
    <x v="0"/>
    <x v="0"/>
    <x v="0"/>
    <x v="1"/>
    <x v="0"/>
    <x v="0"/>
    <x v="0"/>
    <x v="0"/>
    <x v="0"/>
    <x v="0"/>
    <x v="4"/>
    <s v="30"/>
    <x v="3"/>
    <x v="1"/>
    <x v="14"/>
    <x v="0"/>
    <n v="-3025623.18"/>
  </r>
  <r>
    <x v="7"/>
    <x v="0"/>
    <x v="0"/>
    <x v="0"/>
    <x v="1"/>
    <x v="0"/>
    <x v="0"/>
    <x v="0"/>
    <x v="0"/>
    <x v="0"/>
    <x v="0"/>
    <x v="4"/>
    <s v="73"/>
    <x v="37"/>
    <x v="1"/>
    <x v="14"/>
    <x v="0"/>
    <n v="11199.87"/>
  </r>
  <r>
    <x v="7"/>
    <x v="0"/>
    <x v="0"/>
    <x v="0"/>
    <x v="1"/>
    <x v="0"/>
    <x v="0"/>
    <x v="0"/>
    <x v="0"/>
    <x v="0"/>
    <x v="0"/>
    <x v="4"/>
    <s v="73"/>
    <x v="37"/>
    <x v="1"/>
    <x v="14"/>
    <x v="1"/>
    <n v="-13449.17"/>
  </r>
  <r>
    <x v="7"/>
    <x v="0"/>
    <x v="0"/>
    <x v="0"/>
    <x v="1"/>
    <x v="0"/>
    <x v="0"/>
    <x v="0"/>
    <x v="0"/>
    <x v="0"/>
    <x v="0"/>
    <x v="4"/>
    <s v="73"/>
    <x v="37"/>
    <x v="1"/>
    <x v="15"/>
    <x v="0"/>
    <n v="13449.17"/>
  </r>
  <r>
    <x v="7"/>
    <x v="0"/>
    <x v="0"/>
    <x v="0"/>
    <x v="1"/>
    <x v="6"/>
    <x v="0"/>
    <x v="0"/>
    <x v="0"/>
    <x v="0"/>
    <x v="0"/>
    <x v="4"/>
    <s v="24"/>
    <x v="1"/>
    <x v="1"/>
    <x v="15"/>
    <x v="10"/>
    <n v="2029.6"/>
  </r>
  <r>
    <x v="7"/>
    <x v="0"/>
    <x v="0"/>
    <x v="0"/>
    <x v="1"/>
    <x v="6"/>
    <x v="0"/>
    <x v="0"/>
    <x v="0"/>
    <x v="0"/>
    <x v="0"/>
    <x v="4"/>
    <s v="24"/>
    <x v="1"/>
    <x v="1"/>
    <x v="15"/>
    <x v="11"/>
    <n v="653023.80000000005"/>
  </r>
  <r>
    <x v="7"/>
    <x v="0"/>
    <x v="0"/>
    <x v="0"/>
    <x v="1"/>
    <x v="6"/>
    <x v="4"/>
    <x v="0"/>
    <x v="0"/>
    <x v="0"/>
    <x v="0"/>
    <x v="4"/>
    <s v="24"/>
    <x v="1"/>
    <x v="1"/>
    <x v="15"/>
    <x v="8"/>
    <n v="678393.8"/>
  </r>
  <r>
    <x v="7"/>
    <x v="0"/>
    <x v="0"/>
    <x v="0"/>
    <x v="1"/>
    <x v="6"/>
    <x v="4"/>
    <x v="0"/>
    <x v="0"/>
    <x v="0"/>
    <x v="0"/>
    <x v="4"/>
    <s v="24"/>
    <x v="1"/>
    <x v="1"/>
    <x v="15"/>
    <x v="9"/>
    <n v="5581.4"/>
  </r>
  <r>
    <x v="7"/>
    <x v="0"/>
    <x v="0"/>
    <x v="0"/>
    <x v="1"/>
    <x v="6"/>
    <x v="4"/>
    <x v="0"/>
    <x v="0"/>
    <x v="0"/>
    <x v="0"/>
    <x v="4"/>
    <s v="24"/>
    <x v="1"/>
    <x v="1"/>
    <x v="15"/>
    <x v="10"/>
    <n v="-4820.3"/>
  </r>
  <r>
    <x v="7"/>
    <x v="0"/>
    <x v="0"/>
    <x v="0"/>
    <x v="1"/>
    <x v="6"/>
    <x v="4"/>
    <x v="0"/>
    <x v="0"/>
    <x v="0"/>
    <x v="0"/>
    <x v="4"/>
    <s v="24"/>
    <x v="1"/>
    <x v="1"/>
    <x v="15"/>
    <x v="3"/>
    <n v="2537"/>
  </r>
  <r>
    <x v="7"/>
    <x v="0"/>
    <x v="0"/>
    <x v="0"/>
    <x v="1"/>
    <x v="6"/>
    <x v="4"/>
    <x v="0"/>
    <x v="0"/>
    <x v="0"/>
    <x v="0"/>
    <x v="4"/>
    <s v="24"/>
    <x v="1"/>
    <x v="1"/>
    <x v="15"/>
    <x v="4"/>
    <n v="-5835.1"/>
  </r>
  <r>
    <x v="7"/>
    <x v="0"/>
    <x v="0"/>
    <x v="0"/>
    <x v="1"/>
    <x v="3"/>
    <x v="0"/>
    <x v="0"/>
    <x v="0"/>
    <x v="1"/>
    <x v="1"/>
    <x v="8"/>
    <s v="41"/>
    <x v="4"/>
    <x v="1"/>
    <x v="14"/>
    <x v="6"/>
    <n v="169.99"/>
  </r>
  <r>
    <x v="7"/>
    <x v="0"/>
    <x v="0"/>
    <x v="0"/>
    <x v="1"/>
    <x v="3"/>
    <x v="0"/>
    <x v="0"/>
    <x v="0"/>
    <x v="1"/>
    <x v="1"/>
    <x v="8"/>
    <s v="41"/>
    <x v="4"/>
    <x v="1"/>
    <x v="14"/>
    <x v="1"/>
    <n v="-169.99"/>
  </r>
  <r>
    <x v="7"/>
    <x v="0"/>
    <x v="0"/>
    <x v="0"/>
    <x v="1"/>
    <x v="3"/>
    <x v="0"/>
    <x v="0"/>
    <x v="0"/>
    <x v="1"/>
    <x v="1"/>
    <x v="8"/>
    <s v="41"/>
    <x v="4"/>
    <x v="1"/>
    <x v="15"/>
    <x v="4"/>
    <n v="1980"/>
  </r>
  <r>
    <x v="7"/>
    <x v="0"/>
    <x v="0"/>
    <x v="0"/>
    <x v="1"/>
    <x v="3"/>
    <x v="0"/>
    <x v="0"/>
    <x v="0"/>
    <x v="0"/>
    <x v="0"/>
    <x v="4"/>
    <s v="01"/>
    <x v="42"/>
    <x v="1"/>
    <x v="14"/>
    <x v="0"/>
    <n v="-4663.57"/>
  </r>
  <r>
    <x v="7"/>
    <x v="0"/>
    <x v="0"/>
    <x v="0"/>
    <x v="1"/>
    <x v="3"/>
    <x v="0"/>
    <x v="0"/>
    <x v="0"/>
    <x v="0"/>
    <x v="0"/>
    <x v="4"/>
    <s v="01"/>
    <x v="42"/>
    <x v="1"/>
    <x v="14"/>
    <x v="8"/>
    <n v="95.9"/>
  </r>
  <r>
    <x v="7"/>
    <x v="0"/>
    <x v="0"/>
    <x v="0"/>
    <x v="1"/>
    <x v="3"/>
    <x v="0"/>
    <x v="0"/>
    <x v="0"/>
    <x v="0"/>
    <x v="0"/>
    <x v="4"/>
    <s v="01"/>
    <x v="42"/>
    <x v="1"/>
    <x v="14"/>
    <x v="9"/>
    <n v="1183.6099999999999"/>
  </r>
  <r>
    <x v="7"/>
    <x v="0"/>
    <x v="0"/>
    <x v="0"/>
    <x v="1"/>
    <x v="3"/>
    <x v="0"/>
    <x v="0"/>
    <x v="0"/>
    <x v="0"/>
    <x v="0"/>
    <x v="4"/>
    <s v="01"/>
    <x v="42"/>
    <x v="1"/>
    <x v="14"/>
    <x v="10"/>
    <n v="-1253.01"/>
  </r>
  <r>
    <x v="7"/>
    <x v="0"/>
    <x v="0"/>
    <x v="0"/>
    <x v="1"/>
    <x v="3"/>
    <x v="0"/>
    <x v="0"/>
    <x v="0"/>
    <x v="0"/>
    <x v="0"/>
    <x v="4"/>
    <s v="01"/>
    <x v="42"/>
    <x v="1"/>
    <x v="14"/>
    <x v="11"/>
    <n v="-1190.46"/>
  </r>
  <r>
    <x v="7"/>
    <x v="0"/>
    <x v="0"/>
    <x v="0"/>
    <x v="1"/>
    <x v="3"/>
    <x v="0"/>
    <x v="0"/>
    <x v="0"/>
    <x v="0"/>
    <x v="0"/>
    <x v="4"/>
    <s v="01"/>
    <x v="42"/>
    <x v="1"/>
    <x v="14"/>
    <x v="3"/>
    <n v="3642.57"/>
  </r>
  <r>
    <x v="7"/>
    <x v="0"/>
    <x v="0"/>
    <x v="0"/>
    <x v="1"/>
    <x v="3"/>
    <x v="0"/>
    <x v="0"/>
    <x v="0"/>
    <x v="0"/>
    <x v="0"/>
    <x v="4"/>
    <s v="01"/>
    <x v="42"/>
    <x v="1"/>
    <x v="14"/>
    <x v="4"/>
    <n v="-935.28"/>
  </r>
  <r>
    <x v="7"/>
    <x v="0"/>
    <x v="0"/>
    <x v="0"/>
    <x v="1"/>
    <x v="3"/>
    <x v="0"/>
    <x v="0"/>
    <x v="0"/>
    <x v="0"/>
    <x v="0"/>
    <x v="4"/>
    <s v="01"/>
    <x v="42"/>
    <x v="1"/>
    <x v="14"/>
    <x v="7"/>
    <n v="1650.6"/>
  </r>
  <r>
    <x v="7"/>
    <x v="0"/>
    <x v="0"/>
    <x v="0"/>
    <x v="1"/>
    <x v="3"/>
    <x v="0"/>
    <x v="0"/>
    <x v="0"/>
    <x v="0"/>
    <x v="0"/>
    <x v="4"/>
    <s v="01"/>
    <x v="42"/>
    <x v="1"/>
    <x v="14"/>
    <x v="5"/>
    <n v="1532.27"/>
  </r>
  <r>
    <x v="7"/>
    <x v="0"/>
    <x v="0"/>
    <x v="0"/>
    <x v="1"/>
    <x v="3"/>
    <x v="0"/>
    <x v="0"/>
    <x v="0"/>
    <x v="0"/>
    <x v="0"/>
    <x v="4"/>
    <s v="01"/>
    <x v="42"/>
    <x v="1"/>
    <x v="14"/>
    <x v="6"/>
    <n v="-6342.63"/>
  </r>
  <r>
    <x v="7"/>
    <x v="0"/>
    <x v="0"/>
    <x v="0"/>
    <x v="1"/>
    <x v="3"/>
    <x v="0"/>
    <x v="0"/>
    <x v="0"/>
    <x v="0"/>
    <x v="0"/>
    <x v="4"/>
    <s v="01"/>
    <x v="42"/>
    <x v="1"/>
    <x v="14"/>
    <x v="1"/>
    <n v="6187.52"/>
  </r>
  <r>
    <x v="7"/>
    <x v="0"/>
    <x v="0"/>
    <x v="0"/>
    <x v="1"/>
    <x v="3"/>
    <x v="0"/>
    <x v="0"/>
    <x v="0"/>
    <x v="0"/>
    <x v="0"/>
    <x v="4"/>
    <s v="01"/>
    <x v="42"/>
    <x v="1"/>
    <x v="15"/>
    <x v="0"/>
    <n v="-5672.86"/>
  </r>
  <r>
    <x v="7"/>
    <x v="0"/>
    <x v="0"/>
    <x v="0"/>
    <x v="1"/>
    <x v="3"/>
    <x v="0"/>
    <x v="0"/>
    <x v="0"/>
    <x v="0"/>
    <x v="0"/>
    <x v="4"/>
    <s v="01"/>
    <x v="42"/>
    <x v="1"/>
    <x v="15"/>
    <x v="2"/>
    <n v="12.1"/>
  </r>
  <r>
    <x v="7"/>
    <x v="0"/>
    <x v="0"/>
    <x v="0"/>
    <x v="1"/>
    <x v="3"/>
    <x v="0"/>
    <x v="0"/>
    <x v="0"/>
    <x v="0"/>
    <x v="0"/>
    <x v="4"/>
    <s v="01"/>
    <x v="42"/>
    <x v="1"/>
    <x v="15"/>
    <x v="8"/>
    <n v="321.66000000000003"/>
  </r>
  <r>
    <x v="7"/>
    <x v="0"/>
    <x v="0"/>
    <x v="0"/>
    <x v="1"/>
    <x v="3"/>
    <x v="0"/>
    <x v="0"/>
    <x v="0"/>
    <x v="0"/>
    <x v="0"/>
    <x v="4"/>
    <s v="01"/>
    <x v="42"/>
    <x v="1"/>
    <x v="15"/>
    <x v="9"/>
    <n v="846.38"/>
  </r>
  <r>
    <x v="7"/>
    <x v="0"/>
    <x v="0"/>
    <x v="0"/>
    <x v="1"/>
    <x v="3"/>
    <x v="0"/>
    <x v="0"/>
    <x v="0"/>
    <x v="0"/>
    <x v="0"/>
    <x v="4"/>
    <s v="01"/>
    <x v="42"/>
    <x v="1"/>
    <x v="15"/>
    <x v="10"/>
    <n v="-2194.29"/>
  </r>
  <r>
    <x v="7"/>
    <x v="0"/>
    <x v="0"/>
    <x v="0"/>
    <x v="1"/>
    <x v="3"/>
    <x v="0"/>
    <x v="0"/>
    <x v="0"/>
    <x v="0"/>
    <x v="0"/>
    <x v="4"/>
    <s v="01"/>
    <x v="42"/>
    <x v="1"/>
    <x v="15"/>
    <x v="11"/>
    <n v="-959.5"/>
  </r>
  <r>
    <x v="7"/>
    <x v="0"/>
    <x v="0"/>
    <x v="0"/>
    <x v="1"/>
    <x v="3"/>
    <x v="0"/>
    <x v="0"/>
    <x v="0"/>
    <x v="0"/>
    <x v="0"/>
    <x v="4"/>
    <s v="01"/>
    <x v="42"/>
    <x v="1"/>
    <x v="15"/>
    <x v="3"/>
    <n v="1817.81"/>
  </r>
  <r>
    <x v="7"/>
    <x v="0"/>
    <x v="0"/>
    <x v="0"/>
    <x v="1"/>
    <x v="3"/>
    <x v="0"/>
    <x v="0"/>
    <x v="0"/>
    <x v="0"/>
    <x v="0"/>
    <x v="4"/>
    <s v="01"/>
    <x v="42"/>
    <x v="1"/>
    <x v="15"/>
    <x v="4"/>
    <n v="1660.84"/>
  </r>
  <r>
    <x v="7"/>
    <x v="0"/>
    <x v="0"/>
    <x v="0"/>
    <x v="1"/>
    <x v="3"/>
    <x v="0"/>
    <x v="0"/>
    <x v="0"/>
    <x v="0"/>
    <x v="0"/>
    <x v="4"/>
    <s v="09"/>
    <x v="51"/>
    <x v="1"/>
    <x v="14"/>
    <x v="0"/>
    <n v="288.41000000000003"/>
  </r>
  <r>
    <x v="7"/>
    <x v="0"/>
    <x v="0"/>
    <x v="0"/>
    <x v="1"/>
    <x v="3"/>
    <x v="0"/>
    <x v="0"/>
    <x v="0"/>
    <x v="0"/>
    <x v="0"/>
    <x v="4"/>
    <s v="20"/>
    <x v="7"/>
    <x v="1"/>
    <x v="14"/>
    <x v="0"/>
    <n v="10"/>
  </r>
  <r>
    <x v="7"/>
    <x v="0"/>
    <x v="0"/>
    <x v="0"/>
    <x v="1"/>
    <x v="3"/>
    <x v="0"/>
    <x v="0"/>
    <x v="0"/>
    <x v="0"/>
    <x v="0"/>
    <x v="4"/>
    <s v="20"/>
    <x v="7"/>
    <x v="1"/>
    <x v="14"/>
    <x v="9"/>
    <n v="-10"/>
  </r>
  <r>
    <x v="7"/>
    <x v="0"/>
    <x v="0"/>
    <x v="0"/>
    <x v="1"/>
    <x v="3"/>
    <x v="0"/>
    <x v="0"/>
    <x v="0"/>
    <x v="0"/>
    <x v="0"/>
    <x v="4"/>
    <s v="20"/>
    <x v="7"/>
    <x v="1"/>
    <x v="15"/>
    <x v="0"/>
    <n v="-568.58000000000004"/>
  </r>
  <r>
    <x v="7"/>
    <x v="0"/>
    <x v="0"/>
    <x v="0"/>
    <x v="1"/>
    <x v="3"/>
    <x v="0"/>
    <x v="0"/>
    <x v="0"/>
    <x v="0"/>
    <x v="0"/>
    <x v="4"/>
    <s v="21"/>
    <x v="17"/>
    <x v="1"/>
    <x v="15"/>
    <x v="0"/>
    <n v="1250"/>
  </r>
  <r>
    <x v="7"/>
    <x v="0"/>
    <x v="0"/>
    <x v="0"/>
    <x v="1"/>
    <x v="3"/>
    <x v="0"/>
    <x v="0"/>
    <x v="0"/>
    <x v="0"/>
    <x v="0"/>
    <x v="4"/>
    <s v="21"/>
    <x v="17"/>
    <x v="1"/>
    <x v="15"/>
    <x v="2"/>
    <n v="-1250"/>
  </r>
  <r>
    <x v="7"/>
    <x v="0"/>
    <x v="0"/>
    <x v="0"/>
    <x v="1"/>
    <x v="3"/>
    <x v="0"/>
    <x v="0"/>
    <x v="0"/>
    <x v="0"/>
    <x v="0"/>
    <x v="4"/>
    <s v="24"/>
    <x v="1"/>
    <x v="1"/>
    <x v="14"/>
    <x v="0"/>
    <n v="460230.1"/>
  </r>
  <r>
    <x v="7"/>
    <x v="0"/>
    <x v="0"/>
    <x v="0"/>
    <x v="1"/>
    <x v="3"/>
    <x v="0"/>
    <x v="0"/>
    <x v="0"/>
    <x v="0"/>
    <x v="0"/>
    <x v="4"/>
    <s v="24"/>
    <x v="1"/>
    <x v="1"/>
    <x v="14"/>
    <x v="2"/>
    <n v="288245.03999999998"/>
  </r>
  <r>
    <x v="7"/>
    <x v="0"/>
    <x v="0"/>
    <x v="0"/>
    <x v="1"/>
    <x v="3"/>
    <x v="0"/>
    <x v="0"/>
    <x v="0"/>
    <x v="0"/>
    <x v="0"/>
    <x v="4"/>
    <s v="24"/>
    <x v="1"/>
    <x v="1"/>
    <x v="14"/>
    <x v="8"/>
    <n v="-56847.22"/>
  </r>
  <r>
    <x v="7"/>
    <x v="0"/>
    <x v="0"/>
    <x v="0"/>
    <x v="1"/>
    <x v="3"/>
    <x v="0"/>
    <x v="0"/>
    <x v="0"/>
    <x v="0"/>
    <x v="0"/>
    <x v="4"/>
    <s v="24"/>
    <x v="1"/>
    <x v="1"/>
    <x v="14"/>
    <x v="9"/>
    <n v="-51337.83"/>
  </r>
  <r>
    <x v="7"/>
    <x v="0"/>
    <x v="0"/>
    <x v="0"/>
    <x v="1"/>
    <x v="3"/>
    <x v="0"/>
    <x v="0"/>
    <x v="0"/>
    <x v="0"/>
    <x v="0"/>
    <x v="4"/>
    <s v="24"/>
    <x v="1"/>
    <x v="1"/>
    <x v="14"/>
    <x v="10"/>
    <n v="93099.05"/>
  </r>
  <r>
    <x v="7"/>
    <x v="0"/>
    <x v="0"/>
    <x v="0"/>
    <x v="1"/>
    <x v="3"/>
    <x v="0"/>
    <x v="0"/>
    <x v="0"/>
    <x v="0"/>
    <x v="0"/>
    <x v="4"/>
    <s v="24"/>
    <x v="1"/>
    <x v="1"/>
    <x v="14"/>
    <x v="11"/>
    <n v="-71203.460000000006"/>
  </r>
  <r>
    <x v="7"/>
    <x v="0"/>
    <x v="0"/>
    <x v="0"/>
    <x v="1"/>
    <x v="3"/>
    <x v="0"/>
    <x v="0"/>
    <x v="0"/>
    <x v="0"/>
    <x v="0"/>
    <x v="4"/>
    <s v="24"/>
    <x v="1"/>
    <x v="1"/>
    <x v="14"/>
    <x v="3"/>
    <n v="92540.32"/>
  </r>
  <r>
    <x v="7"/>
    <x v="0"/>
    <x v="0"/>
    <x v="0"/>
    <x v="1"/>
    <x v="3"/>
    <x v="0"/>
    <x v="0"/>
    <x v="0"/>
    <x v="0"/>
    <x v="0"/>
    <x v="4"/>
    <s v="24"/>
    <x v="1"/>
    <x v="1"/>
    <x v="14"/>
    <x v="4"/>
    <n v="-7686.6"/>
  </r>
  <r>
    <x v="7"/>
    <x v="0"/>
    <x v="0"/>
    <x v="0"/>
    <x v="1"/>
    <x v="3"/>
    <x v="0"/>
    <x v="0"/>
    <x v="0"/>
    <x v="0"/>
    <x v="0"/>
    <x v="4"/>
    <s v="24"/>
    <x v="1"/>
    <x v="1"/>
    <x v="14"/>
    <x v="7"/>
    <n v="41441.75"/>
  </r>
  <r>
    <x v="7"/>
    <x v="0"/>
    <x v="0"/>
    <x v="0"/>
    <x v="1"/>
    <x v="3"/>
    <x v="0"/>
    <x v="0"/>
    <x v="0"/>
    <x v="0"/>
    <x v="0"/>
    <x v="4"/>
    <s v="24"/>
    <x v="1"/>
    <x v="1"/>
    <x v="14"/>
    <x v="5"/>
    <n v="-25835.71"/>
  </r>
  <r>
    <x v="7"/>
    <x v="0"/>
    <x v="0"/>
    <x v="0"/>
    <x v="1"/>
    <x v="3"/>
    <x v="0"/>
    <x v="0"/>
    <x v="0"/>
    <x v="0"/>
    <x v="0"/>
    <x v="4"/>
    <s v="24"/>
    <x v="1"/>
    <x v="1"/>
    <x v="14"/>
    <x v="6"/>
    <n v="-83525.72"/>
  </r>
  <r>
    <x v="7"/>
    <x v="0"/>
    <x v="0"/>
    <x v="0"/>
    <x v="1"/>
    <x v="3"/>
    <x v="0"/>
    <x v="0"/>
    <x v="0"/>
    <x v="0"/>
    <x v="0"/>
    <x v="4"/>
    <s v="24"/>
    <x v="1"/>
    <x v="1"/>
    <x v="14"/>
    <x v="1"/>
    <n v="-850324.4"/>
  </r>
  <r>
    <x v="7"/>
    <x v="0"/>
    <x v="0"/>
    <x v="0"/>
    <x v="1"/>
    <x v="3"/>
    <x v="0"/>
    <x v="0"/>
    <x v="0"/>
    <x v="0"/>
    <x v="0"/>
    <x v="4"/>
    <s v="24"/>
    <x v="1"/>
    <x v="1"/>
    <x v="15"/>
    <x v="0"/>
    <n v="388319.37"/>
  </r>
  <r>
    <x v="7"/>
    <x v="0"/>
    <x v="0"/>
    <x v="0"/>
    <x v="1"/>
    <x v="3"/>
    <x v="0"/>
    <x v="0"/>
    <x v="0"/>
    <x v="0"/>
    <x v="0"/>
    <x v="4"/>
    <s v="24"/>
    <x v="1"/>
    <x v="1"/>
    <x v="15"/>
    <x v="2"/>
    <n v="61069.97"/>
  </r>
  <r>
    <x v="7"/>
    <x v="0"/>
    <x v="0"/>
    <x v="0"/>
    <x v="1"/>
    <x v="3"/>
    <x v="0"/>
    <x v="0"/>
    <x v="0"/>
    <x v="0"/>
    <x v="0"/>
    <x v="4"/>
    <s v="24"/>
    <x v="1"/>
    <x v="1"/>
    <x v="15"/>
    <x v="8"/>
    <n v="61920.39"/>
  </r>
  <r>
    <x v="7"/>
    <x v="0"/>
    <x v="0"/>
    <x v="0"/>
    <x v="1"/>
    <x v="3"/>
    <x v="0"/>
    <x v="0"/>
    <x v="0"/>
    <x v="0"/>
    <x v="0"/>
    <x v="4"/>
    <s v="24"/>
    <x v="1"/>
    <x v="1"/>
    <x v="15"/>
    <x v="9"/>
    <n v="45548.06"/>
  </r>
  <r>
    <x v="7"/>
    <x v="0"/>
    <x v="0"/>
    <x v="0"/>
    <x v="1"/>
    <x v="3"/>
    <x v="0"/>
    <x v="0"/>
    <x v="0"/>
    <x v="0"/>
    <x v="0"/>
    <x v="4"/>
    <s v="24"/>
    <x v="1"/>
    <x v="1"/>
    <x v="15"/>
    <x v="10"/>
    <n v="172789.74"/>
  </r>
  <r>
    <x v="7"/>
    <x v="0"/>
    <x v="0"/>
    <x v="0"/>
    <x v="1"/>
    <x v="3"/>
    <x v="0"/>
    <x v="0"/>
    <x v="0"/>
    <x v="0"/>
    <x v="0"/>
    <x v="4"/>
    <s v="24"/>
    <x v="1"/>
    <x v="1"/>
    <x v="15"/>
    <x v="11"/>
    <n v="-172288.62"/>
  </r>
  <r>
    <x v="7"/>
    <x v="0"/>
    <x v="0"/>
    <x v="0"/>
    <x v="1"/>
    <x v="3"/>
    <x v="0"/>
    <x v="0"/>
    <x v="0"/>
    <x v="0"/>
    <x v="0"/>
    <x v="4"/>
    <s v="24"/>
    <x v="1"/>
    <x v="1"/>
    <x v="15"/>
    <x v="3"/>
    <n v="22750.78"/>
  </r>
  <r>
    <x v="7"/>
    <x v="0"/>
    <x v="0"/>
    <x v="0"/>
    <x v="1"/>
    <x v="3"/>
    <x v="0"/>
    <x v="0"/>
    <x v="0"/>
    <x v="0"/>
    <x v="0"/>
    <x v="4"/>
    <s v="24"/>
    <x v="1"/>
    <x v="1"/>
    <x v="15"/>
    <x v="4"/>
    <n v="82265.210000000006"/>
  </r>
  <r>
    <x v="7"/>
    <x v="0"/>
    <x v="0"/>
    <x v="0"/>
    <x v="1"/>
    <x v="3"/>
    <x v="0"/>
    <x v="0"/>
    <x v="0"/>
    <x v="0"/>
    <x v="0"/>
    <x v="4"/>
    <s v="30"/>
    <x v="3"/>
    <x v="1"/>
    <x v="14"/>
    <x v="9"/>
    <n v="-1357"/>
  </r>
  <r>
    <x v="7"/>
    <x v="0"/>
    <x v="0"/>
    <x v="0"/>
    <x v="1"/>
    <x v="3"/>
    <x v="0"/>
    <x v="0"/>
    <x v="0"/>
    <x v="0"/>
    <x v="0"/>
    <x v="4"/>
    <s v="30"/>
    <x v="3"/>
    <x v="1"/>
    <x v="14"/>
    <x v="10"/>
    <n v="505.4"/>
  </r>
  <r>
    <x v="7"/>
    <x v="0"/>
    <x v="0"/>
    <x v="0"/>
    <x v="1"/>
    <x v="3"/>
    <x v="0"/>
    <x v="0"/>
    <x v="0"/>
    <x v="0"/>
    <x v="0"/>
    <x v="4"/>
    <s v="30"/>
    <x v="3"/>
    <x v="1"/>
    <x v="14"/>
    <x v="11"/>
    <n v="-409.15"/>
  </r>
  <r>
    <x v="7"/>
    <x v="0"/>
    <x v="0"/>
    <x v="0"/>
    <x v="1"/>
    <x v="3"/>
    <x v="0"/>
    <x v="0"/>
    <x v="0"/>
    <x v="0"/>
    <x v="0"/>
    <x v="4"/>
    <s v="30"/>
    <x v="3"/>
    <x v="1"/>
    <x v="14"/>
    <x v="3"/>
    <n v="132"/>
  </r>
  <r>
    <x v="7"/>
    <x v="0"/>
    <x v="0"/>
    <x v="0"/>
    <x v="1"/>
    <x v="3"/>
    <x v="0"/>
    <x v="0"/>
    <x v="0"/>
    <x v="0"/>
    <x v="0"/>
    <x v="4"/>
    <s v="30"/>
    <x v="3"/>
    <x v="1"/>
    <x v="14"/>
    <x v="4"/>
    <n v="-132"/>
  </r>
  <r>
    <x v="7"/>
    <x v="0"/>
    <x v="0"/>
    <x v="0"/>
    <x v="1"/>
    <x v="3"/>
    <x v="0"/>
    <x v="0"/>
    <x v="0"/>
    <x v="0"/>
    <x v="0"/>
    <x v="4"/>
    <s v="30"/>
    <x v="3"/>
    <x v="1"/>
    <x v="14"/>
    <x v="6"/>
    <n v="1260.75"/>
  </r>
  <r>
    <x v="7"/>
    <x v="0"/>
    <x v="0"/>
    <x v="0"/>
    <x v="1"/>
    <x v="3"/>
    <x v="0"/>
    <x v="0"/>
    <x v="0"/>
    <x v="0"/>
    <x v="0"/>
    <x v="4"/>
    <s v="30"/>
    <x v="3"/>
    <x v="1"/>
    <x v="15"/>
    <x v="2"/>
    <n v="-78.099999999999994"/>
  </r>
  <r>
    <x v="7"/>
    <x v="0"/>
    <x v="0"/>
    <x v="0"/>
    <x v="1"/>
    <x v="3"/>
    <x v="0"/>
    <x v="0"/>
    <x v="0"/>
    <x v="0"/>
    <x v="0"/>
    <x v="4"/>
    <s v="30"/>
    <x v="3"/>
    <x v="1"/>
    <x v="15"/>
    <x v="8"/>
    <n v="78.099999999999994"/>
  </r>
  <r>
    <x v="7"/>
    <x v="0"/>
    <x v="0"/>
    <x v="0"/>
    <x v="1"/>
    <x v="3"/>
    <x v="0"/>
    <x v="0"/>
    <x v="0"/>
    <x v="0"/>
    <x v="0"/>
    <x v="4"/>
    <s v="41"/>
    <x v="4"/>
    <x v="1"/>
    <x v="15"/>
    <x v="3"/>
    <n v="104805.67"/>
  </r>
  <r>
    <x v="7"/>
    <x v="0"/>
    <x v="0"/>
    <x v="0"/>
    <x v="1"/>
    <x v="3"/>
    <x v="0"/>
    <x v="0"/>
    <x v="0"/>
    <x v="0"/>
    <x v="0"/>
    <x v="4"/>
    <s v="41"/>
    <x v="4"/>
    <x v="1"/>
    <x v="15"/>
    <x v="4"/>
    <n v="-104805.67"/>
  </r>
  <r>
    <x v="7"/>
    <x v="0"/>
    <x v="0"/>
    <x v="0"/>
    <x v="1"/>
    <x v="3"/>
    <x v="0"/>
    <x v="0"/>
    <x v="0"/>
    <x v="0"/>
    <x v="0"/>
    <x v="4"/>
    <s v="85"/>
    <x v="21"/>
    <x v="1"/>
    <x v="14"/>
    <x v="1"/>
    <n v="25447.119999999999"/>
  </r>
  <r>
    <x v="7"/>
    <x v="0"/>
    <x v="0"/>
    <x v="0"/>
    <x v="1"/>
    <x v="3"/>
    <x v="0"/>
    <x v="0"/>
    <x v="0"/>
    <x v="0"/>
    <x v="0"/>
    <x v="4"/>
    <s v="85"/>
    <x v="21"/>
    <x v="1"/>
    <x v="15"/>
    <x v="3"/>
    <n v="-100540.67"/>
  </r>
  <r>
    <x v="7"/>
    <x v="0"/>
    <x v="0"/>
    <x v="0"/>
    <x v="1"/>
    <x v="3"/>
    <x v="0"/>
    <x v="0"/>
    <x v="0"/>
    <x v="0"/>
    <x v="0"/>
    <x v="4"/>
    <s v="85"/>
    <x v="21"/>
    <x v="1"/>
    <x v="15"/>
    <x v="4"/>
    <n v="100540.67"/>
  </r>
  <r>
    <x v="7"/>
    <x v="0"/>
    <x v="0"/>
    <x v="0"/>
    <x v="1"/>
    <x v="3"/>
    <x v="0"/>
    <x v="0"/>
    <x v="0"/>
    <x v="0"/>
    <x v="0"/>
    <x v="4"/>
    <s v="99"/>
    <x v="9"/>
    <x v="1"/>
    <x v="14"/>
    <x v="2"/>
    <n v="-200.2"/>
  </r>
  <r>
    <x v="7"/>
    <x v="0"/>
    <x v="0"/>
    <x v="0"/>
    <x v="1"/>
    <x v="3"/>
    <x v="0"/>
    <x v="0"/>
    <x v="0"/>
    <x v="0"/>
    <x v="0"/>
    <x v="4"/>
    <s v="99"/>
    <x v="9"/>
    <x v="1"/>
    <x v="14"/>
    <x v="8"/>
    <n v="45.2"/>
  </r>
  <r>
    <x v="7"/>
    <x v="0"/>
    <x v="0"/>
    <x v="0"/>
    <x v="1"/>
    <x v="3"/>
    <x v="0"/>
    <x v="0"/>
    <x v="0"/>
    <x v="0"/>
    <x v="0"/>
    <x v="4"/>
    <s v="99"/>
    <x v="9"/>
    <x v="1"/>
    <x v="14"/>
    <x v="10"/>
    <n v="-31.36"/>
  </r>
  <r>
    <x v="7"/>
    <x v="0"/>
    <x v="0"/>
    <x v="0"/>
    <x v="1"/>
    <x v="3"/>
    <x v="0"/>
    <x v="0"/>
    <x v="0"/>
    <x v="0"/>
    <x v="0"/>
    <x v="4"/>
    <s v="99"/>
    <x v="9"/>
    <x v="1"/>
    <x v="14"/>
    <x v="11"/>
    <n v="-79.8"/>
  </r>
  <r>
    <x v="7"/>
    <x v="0"/>
    <x v="0"/>
    <x v="0"/>
    <x v="1"/>
    <x v="3"/>
    <x v="0"/>
    <x v="0"/>
    <x v="0"/>
    <x v="0"/>
    <x v="0"/>
    <x v="4"/>
    <s v="99"/>
    <x v="9"/>
    <x v="1"/>
    <x v="14"/>
    <x v="6"/>
    <n v="297.79000000000002"/>
  </r>
  <r>
    <x v="7"/>
    <x v="0"/>
    <x v="0"/>
    <x v="0"/>
    <x v="1"/>
    <x v="3"/>
    <x v="0"/>
    <x v="0"/>
    <x v="0"/>
    <x v="0"/>
    <x v="0"/>
    <x v="4"/>
    <s v="99"/>
    <x v="9"/>
    <x v="1"/>
    <x v="14"/>
    <x v="1"/>
    <n v="23896.65"/>
  </r>
  <r>
    <x v="7"/>
    <x v="0"/>
    <x v="0"/>
    <x v="0"/>
    <x v="1"/>
    <x v="3"/>
    <x v="0"/>
    <x v="0"/>
    <x v="0"/>
    <x v="0"/>
    <x v="0"/>
    <x v="4"/>
    <s v="99"/>
    <x v="9"/>
    <x v="1"/>
    <x v="15"/>
    <x v="0"/>
    <n v="-24526.87"/>
  </r>
  <r>
    <x v="7"/>
    <x v="0"/>
    <x v="0"/>
    <x v="0"/>
    <x v="1"/>
    <x v="3"/>
    <x v="0"/>
    <x v="0"/>
    <x v="0"/>
    <x v="0"/>
    <x v="0"/>
    <x v="4"/>
    <s v="99"/>
    <x v="9"/>
    <x v="1"/>
    <x v="15"/>
    <x v="2"/>
    <n v="22741.03"/>
  </r>
  <r>
    <x v="7"/>
    <x v="0"/>
    <x v="0"/>
    <x v="0"/>
    <x v="1"/>
    <x v="3"/>
    <x v="0"/>
    <x v="0"/>
    <x v="0"/>
    <x v="0"/>
    <x v="0"/>
    <x v="4"/>
    <s v="99"/>
    <x v="9"/>
    <x v="1"/>
    <x v="15"/>
    <x v="8"/>
    <n v="423.3"/>
  </r>
  <r>
    <x v="7"/>
    <x v="0"/>
    <x v="0"/>
    <x v="0"/>
    <x v="1"/>
    <x v="3"/>
    <x v="0"/>
    <x v="0"/>
    <x v="0"/>
    <x v="0"/>
    <x v="0"/>
    <x v="4"/>
    <s v="99"/>
    <x v="9"/>
    <x v="1"/>
    <x v="15"/>
    <x v="9"/>
    <n v="40.9"/>
  </r>
  <r>
    <x v="7"/>
    <x v="0"/>
    <x v="0"/>
    <x v="0"/>
    <x v="1"/>
    <x v="3"/>
    <x v="0"/>
    <x v="0"/>
    <x v="0"/>
    <x v="0"/>
    <x v="0"/>
    <x v="4"/>
    <s v="99"/>
    <x v="9"/>
    <x v="1"/>
    <x v="15"/>
    <x v="11"/>
    <n v="4750"/>
  </r>
  <r>
    <x v="7"/>
    <x v="0"/>
    <x v="0"/>
    <x v="0"/>
    <x v="1"/>
    <x v="3"/>
    <x v="0"/>
    <x v="0"/>
    <x v="0"/>
    <x v="0"/>
    <x v="0"/>
    <x v="4"/>
    <s v="99"/>
    <x v="9"/>
    <x v="1"/>
    <x v="15"/>
    <x v="3"/>
    <n v="3685"/>
  </r>
  <r>
    <x v="7"/>
    <x v="0"/>
    <x v="0"/>
    <x v="0"/>
    <x v="1"/>
    <x v="3"/>
    <x v="0"/>
    <x v="0"/>
    <x v="0"/>
    <x v="0"/>
    <x v="0"/>
    <x v="4"/>
    <s v="99"/>
    <x v="9"/>
    <x v="1"/>
    <x v="15"/>
    <x v="4"/>
    <n v="-3685"/>
  </r>
  <r>
    <x v="7"/>
    <x v="0"/>
    <x v="0"/>
    <x v="0"/>
    <x v="1"/>
    <x v="3"/>
    <x v="0"/>
    <x v="0"/>
    <x v="0"/>
    <x v="0"/>
    <x v="5"/>
    <x v="6"/>
    <s v="20"/>
    <x v="29"/>
    <x v="1"/>
    <x v="14"/>
    <x v="0"/>
    <n v="0.18"/>
  </r>
  <r>
    <x v="7"/>
    <x v="0"/>
    <x v="0"/>
    <x v="0"/>
    <x v="1"/>
    <x v="3"/>
    <x v="0"/>
    <x v="0"/>
    <x v="0"/>
    <x v="0"/>
    <x v="5"/>
    <x v="6"/>
    <s v="20"/>
    <x v="29"/>
    <x v="1"/>
    <x v="14"/>
    <x v="2"/>
    <n v="0.01"/>
  </r>
  <r>
    <x v="7"/>
    <x v="0"/>
    <x v="0"/>
    <x v="0"/>
    <x v="1"/>
    <x v="3"/>
    <x v="0"/>
    <x v="0"/>
    <x v="0"/>
    <x v="0"/>
    <x v="5"/>
    <x v="6"/>
    <s v="20"/>
    <x v="29"/>
    <x v="1"/>
    <x v="14"/>
    <x v="5"/>
    <n v="-0.01"/>
  </r>
  <r>
    <x v="7"/>
    <x v="0"/>
    <x v="0"/>
    <x v="0"/>
    <x v="1"/>
    <x v="3"/>
    <x v="0"/>
    <x v="0"/>
    <x v="0"/>
    <x v="0"/>
    <x v="5"/>
    <x v="6"/>
    <s v="20"/>
    <x v="29"/>
    <x v="1"/>
    <x v="14"/>
    <x v="6"/>
    <n v="-0.18"/>
  </r>
  <r>
    <x v="7"/>
    <x v="0"/>
    <x v="0"/>
    <x v="0"/>
    <x v="1"/>
    <x v="3"/>
    <x v="0"/>
    <x v="0"/>
    <x v="0"/>
    <x v="0"/>
    <x v="5"/>
    <x v="6"/>
    <s v="20"/>
    <x v="29"/>
    <x v="1"/>
    <x v="15"/>
    <x v="0"/>
    <n v="-0.18"/>
  </r>
  <r>
    <x v="7"/>
    <x v="0"/>
    <x v="1"/>
    <x v="0"/>
    <x v="1"/>
    <x v="4"/>
    <x v="0"/>
    <x v="0"/>
    <x v="0"/>
    <x v="0"/>
    <x v="0"/>
    <x v="4"/>
    <s v="02"/>
    <x v="5"/>
    <x v="1"/>
    <x v="14"/>
    <x v="0"/>
    <n v="26304"/>
  </r>
  <r>
    <x v="7"/>
    <x v="0"/>
    <x v="1"/>
    <x v="0"/>
    <x v="1"/>
    <x v="4"/>
    <x v="0"/>
    <x v="0"/>
    <x v="0"/>
    <x v="0"/>
    <x v="0"/>
    <x v="4"/>
    <s v="02"/>
    <x v="5"/>
    <x v="1"/>
    <x v="14"/>
    <x v="2"/>
    <n v="2961.83"/>
  </r>
  <r>
    <x v="7"/>
    <x v="0"/>
    <x v="1"/>
    <x v="0"/>
    <x v="1"/>
    <x v="4"/>
    <x v="0"/>
    <x v="0"/>
    <x v="0"/>
    <x v="0"/>
    <x v="0"/>
    <x v="4"/>
    <s v="02"/>
    <x v="5"/>
    <x v="1"/>
    <x v="14"/>
    <x v="8"/>
    <n v="4442.8900000000003"/>
  </r>
  <r>
    <x v="7"/>
    <x v="0"/>
    <x v="1"/>
    <x v="0"/>
    <x v="1"/>
    <x v="4"/>
    <x v="0"/>
    <x v="0"/>
    <x v="0"/>
    <x v="0"/>
    <x v="0"/>
    <x v="4"/>
    <s v="02"/>
    <x v="5"/>
    <x v="1"/>
    <x v="14"/>
    <x v="10"/>
    <n v="29.89"/>
  </r>
  <r>
    <x v="7"/>
    <x v="0"/>
    <x v="1"/>
    <x v="0"/>
    <x v="1"/>
    <x v="4"/>
    <x v="0"/>
    <x v="0"/>
    <x v="0"/>
    <x v="0"/>
    <x v="0"/>
    <x v="4"/>
    <s v="02"/>
    <x v="5"/>
    <x v="1"/>
    <x v="14"/>
    <x v="11"/>
    <n v="40.409999999999997"/>
  </r>
  <r>
    <x v="7"/>
    <x v="0"/>
    <x v="1"/>
    <x v="0"/>
    <x v="1"/>
    <x v="4"/>
    <x v="0"/>
    <x v="0"/>
    <x v="0"/>
    <x v="0"/>
    <x v="0"/>
    <x v="4"/>
    <s v="02"/>
    <x v="5"/>
    <x v="1"/>
    <x v="14"/>
    <x v="6"/>
    <n v="91.77"/>
  </r>
  <r>
    <x v="7"/>
    <x v="0"/>
    <x v="1"/>
    <x v="0"/>
    <x v="1"/>
    <x v="4"/>
    <x v="0"/>
    <x v="0"/>
    <x v="0"/>
    <x v="0"/>
    <x v="0"/>
    <x v="4"/>
    <s v="02"/>
    <x v="5"/>
    <x v="1"/>
    <x v="14"/>
    <x v="1"/>
    <n v="-33870.79"/>
  </r>
  <r>
    <x v="7"/>
    <x v="0"/>
    <x v="1"/>
    <x v="0"/>
    <x v="1"/>
    <x v="4"/>
    <x v="0"/>
    <x v="0"/>
    <x v="0"/>
    <x v="0"/>
    <x v="0"/>
    <x v="4"/>
    <s v="02"/>
    <x v="5"/>
    <x v="1"/>
    <x v="15"/>
    <x v="3"/>
    <n v="20.2"/>
  </r>
  <r>
    <x v="7"/>
    <x v="0"/>
    <x v="1"/>
    <x v="0"/>
    <x v="1"/>
    <x v="4"/>
    <x v="0"/>
    <x v="0"/>
    <x v="0"/>
    <x v="0"/>
    <x v="0"/>
    <x v="4"/>
    <s v="20"/>
    <x v="7"/>
    <x v="1"/>
    <x v="14"/>
    <x v="0"/>
    <n v="304"/>
  </r>
  <r>
    <x v="7"/>
    <x v="0"/>
    <x v="1"/>
    <x v="0"/>
    <x v="1"/>
    <x v="4"/>
    <x v="0"/>
    <x v="0"/>
    <x v="0"/>
    <x v="0"/>
    <x v="0"/>
    <x v="4"/>
    <s v="20"/>
    <x v="7"/>
    <x v="1"/>
    <x v="14"/>
    <x v="2"/>
    <n v="-15859.78"/>
  </r>
  <r>
    <x v="7"/>
    <x v="0"/>
    <x v="1"/>
    <x v="0"/>
    <x v="1"/>
    <x v="4"/>
    <x v="0"/>
    <x v="0"/>
    <x v="0"/>
    <x v="0"/>
    <x v="0"/>
    <x v="4"/>
    <s v="20"/>
    <x v="7"/>
    <x v="1"/>
    <x v="14"/>
    <x v="8"/>
    <n v="304"/>
  </r>
  <r>
    <x v="7"/>
    <x v="0"/>
    <x v="1"/>
    <x v="0"/>
    <x v="1"/>
    <x v="4"/>
    <x v="0"/>
    <x v="0"/>
    <x v="0"/>
    <x v="0"/>
    <x v="0"/>
    <x v="4"/>
    <s v="20"/>
    <x v="7"/>
    <x v="1"/>
    <x v="14"/>
    <x v="9"/>
    <n v="19208.18"/>
  </r>
  <r>
    <x v="7"/>
    <x v="0"/>
    <x v="1"/>
    <x v="0"/>
    <x v="1"/>
    <x v="4"/>
    <x v="0"/>
    <x v="0"/>
    <x v="0"/>
    <x v="0"/>
    <x v="0"/>
    <x v="4"/>
    <s v="20"/>
    <x v="7"/>
    <x v="1"/>
    <x v="14"/>
    <x v="10"/>
    <n v="1232"/>
  </r>
  <r>
    <x v="7"/>
    <x v="0"/>
    <x v="1"/>
    <x v="0"/>
    <x v="1"/>
    <x v="4"/>
    <x v="0"/>
    <x v="0"/>
    <x v="0"/>
    <x v="0"/>
    <x v="0"/>
    <x v="4"/>
    <s v="20"/>
    <x v="7"/>
    <x v="1"/>
    <x v="14"/>
    <x v="11"/>
    <n v="152"/>
  </r>
  <r>
    <x v="7"/>
    <x v="0"/>
    <x v="1"/>
    <x v="0"/>
    <x v="1"/>
    <x v="4"/>
    <x v="0"/>
    <x v="0"/>
    <x v="0"/>
    <x v="0"/>
    <x v="0"/>
    <x v="4"/>
    <s v="20"/>
    <x v="7"/>
    <x v="1"/>
    <x v="14"/>
    <x v="3"/>
    <n v="-453.7"/>
  </r>
  <r>
    <x v="7"/>
    <x v="0"/>
    <x v="1"/>
    <x v="0"/>
    <x v="1"/>
    <x v="4"/>
    <x v="0"/>
    <x v="0"/>
    <x v="0"/>
    <x v="0"/>
    <x v="0"/>
    <x v="4"/>
    <s v="20"/>
    <x v="7"/>
    <x v="1"/>
    <x v="14"/>
    <x v="4"/>
    <n v="-42706.18"/>
  </r>
  <r>
    <x v="7"/>
    <x v="0"/>
    <x v="1"/>
    <x v="0"/>
    <x v="1"/>
    <x v="4"/>
    <x v="0"/>
    <x v="0"/>
    <x v="0"/>
    <x v="0"/>
    <x v="0"/>
    <x v="4"/>
    <s v="20"/>
    <x v="7"/>
    <x v="1"/>
    <x v="14"/>
    <x v="7"/>
    <n v="1155"/>
  </r>
  <r>
    <x v="7"/>
    <x v="0"/>
    <x v="1"/>
    <x v="0"/>
    <x v="1"/>
    <x v="4"/>
    <x v="0"/>
    <x v="0"/>
    <x v="0"/>
    <x v="0"/>
    <x v="0"/>
    <x v="4"/>
    <s v="20"/>
    <x v="7"/>
    <x v="1"/>
    <x v="14"/>
    <x v="5"/>
    <n v="-60269"/>
  </r>
  <r>
    <x v="7"/>
    <x v="0"/>
    <x v="1"/>
    <x v="0"/>
    <x v="1"/>
    <x v="4"/>
    <x v="0"/>
    <x v="0"/>
    <x v="0"/>
    <x v="0"/>
    <x v="0"/>
    <x v="4"/>
    <s v="20"/>
    <x v="7"/>
    <x v="1"/>
    <x v="14"/>
    <x v="6"/>
    <n v="6028.95"/>
  </r>
  <r>
    <x v="7"/>
    <x v="0"/>
    <x v="1"/>
    <x v="0"/>
    <x v="1"/>
    <x v="4"/>
    <x v="0"/>
    <x v="0"/>
    <x v="0"/>
    <x v="0"/>
    <x v="0"/>
    <x v="4"/>
    <s v="20"/>
    <x v="7"/>
    <x v="1"/>
    <x v="14"/>
    <x v="1"/>
    <n v="-166368.04"/>
  </r>
  <r>
    <x v="7"/>
    <x v="0"/>
    <x v="1"/>
    <x v="0"/>
    <x v="1"/>
    <x v="4"/>
    <x v="0"/>
    <x v="0"/>
    <x v="0"/>
    <x v="0"/>
    <x v="0"/>
    <x v="4"/>
    <s v="20"/>
    <x v="7"/>
    <x v="1"/>
    <x v="15"/>
    <x v="2"/>
    <n v="51669.81"/>
  </r>
  <r>
    <x v="7"/>
    <x v="0"/>
    <x v="1"/>
    <x v="0"/>
    <x v="1"/>
    <x v="4"/>
    <x v="0"/>
    <x v="0"/>
    <x v="0"/>
    <x v="0"/>
    <x v="0"/>
    <x v="4"/>
    <s v="20"/>
    <x v="7"/>
    <x v="1"/>
    <x v="15"/>
    <x v="8"/>
    <n v="-85539.4"/>
  </r>
  <r>
    <x v="7"/>
    <x v="0"/>
    <x v="1"/>
    <x v="0"/>
    <x v="1"/>
    <x v="4"/>
    <x v="0"/>
    <x v="0"/>
    <x v="0"/>
    <x v="0"/>
    <x v="0"/>
    <x v="4"/>
    <s v="20"/>
    <x v="7"/>
    <x v="1"/>
    <x v="15"/>
    <x v="9"/>
    <n v="-5422.41"/>
  </r>
  <r>
    <x v="7"/>
    <x v="0"/>
    <x v="1"/>
    <x v="0"/>
    <x v="1"/>
    <x v="4"/>
    <x v="0"/>
    <x v="0"/>
    <x v="0"/>
    <x v="0"/>
    <x v="0"/>
    <x v="4"/>
    <s v="20"/>
    <x v="7"/>
    <x v="1"/>
    <x v="15"/>
    <x v="3"/>
    <n v="-16500"/>
  </r>
  <r>
    <x v="7"/>
    <x v="0"/>
    <x v="1"/>
    <x v="0"/>
    <x v="1"/>
    <x v="4"/>
    <x v="0"/>
    <x v="0"/>
    <x v="0"/>
    <x v="0"/>
    <x v="0"/>
    <x v="4"/>
    <s v="24"/>
    <x v="1"/>
    <x v="1"/>
    <x v="14"/>
    <x v="0"/>
    <n v="-54558.42"/>
  </r>
  <r>
    <x v="7"/>
    <x v="0"/>
    <x v="1"/>
    <x v="0"/>
    <x v="1"/>
    <x v="4"/>
    <x v="0"/>
    <x v="0"/>
    <x v="0"/>
    <x v="0"/>
    <x v="0"/>
    <x v="4"/>
    <s v="24"/>
    <x v="1"/>
    <x v="1"/>
    <x v="14"/>
    <x v="2"/>
    <n v="213466775.49000001"/>
  </r>
  <r>
    <x v="7"/>
    <x v="0"/>
    <x v="1"/>
    <x v="0"/>
    <x v="1"/>
    <x v="4"/>
    <x v="0"/>
    <x v="0"/>
    <x v="0"/>
    <x v="0"/>
    <x v="0"/>
    <x v="4"/>
    <s v="24"/>
    <x v="1"/>
    <x v="1"/>
    <x v="14"/>
    <x v="8"/>
    <n v="-897722.24"/>
  </r>
  <r>
    <x v="7"/>
    <x v="0"/>
    <x v="1"/>
    <x v="0"/>
    <x v="1"/>
    <x v="4"/>
    <x v="0"/>
    <x v="0"/>
    <x v="0"/>
    <x v="0"/>
    <x v="0"/>
    <x v="4"/>
    <s v="24"/>
    <x v="1"/>
    <x v="1"/>
    <x v="14"/>
    <x v="9"/>
    <n v="-5408860.2800000003"/>
  </r>
  <r>
    <x v="7"/>
    <x v="0"/>
    <x v="1"/>
    <x v="0"/>
    <x v="1"/>
    <x v="4"/>
    <x v="0"/>
    <x v="0"/>
    <x v="0"/>
    <x v="0"/>
    <x v="0"/>
    <x v="4"/>
    <s v="24"/>
    <x v="1"/>
    <x v="1"/>
    <x v="14"/>
    <x v="10"/>
    <n v="-310403.19"/>
  </r>
  <r>
    <x v="7"/>
    <x v="0"/>
    <x v="1"/>
    <x v="0"/>
    <x v="1"/>
    <x v="4"/>
    <x v="0"/>
    <x v="0"/>
    <x v="0"/>
    <x v="0"/>
    <x v="0"/>
    <x v="4"/>
    <s v="24"/>
    <x v="1"/>
    <x v="1"/>
    <x v="14"/>
    <x v="11"/>
    <n v="201602436.59999999"/>
  </r>
  <r>
    <x v="7"/>
    <x v="0"/>
    <x v="1"/>
    <x v="0"/>
    <x v="1"/>
    <x v="4"/>
    <x v="0"/>
    <x v="0"/>
    <x v="0"/>
    <x v="0"/>
    <x v="0"/>
    <x v="4"/>
    <s v="24"/>
    <x v="1"/>
    <x v="1"/>
    <x v="14"/>
    <x v="3"/>
    <n v="-1459468.32"/>
  </r>
  <r>
    <x v="7"/>
    <x v="0"/>
    <x v="1"/>
    <x v="0"/>
    <x v="1"/>
    <x v="4"/>
    <x v="0"/>
    <x v="0"/>
    <x v="0"/>
    <x v="0"/>
    <x v="0"/>
    <x v="4"/>
    <s v="24"/>
    <x v="1"/>
    <x v="1"/>
    <x v="14"/>
    <x v="4"/>
    <n v="-383244.68"/>
  </r>
  <r>
    <x v="7"/>
    <x v="0"/>
    <x v="1"/>
    <x v="0"/>
    <x v="1"/>
    <x v="4"/>
    <x v="0"/>
    <x v="0"/>
    <x v="0"/>
    <x v="0"/>
    <x v="0"/>
    <x v="4"/>
    <s v="24"/>
    <x v="1"/>
    <x v="1"/>
    <x v="14"/>
    <x v="7"/>
    <n v="193337691.69"/>
  </r>
  <r>
    <x v="7"/>
    <x v="0"/>
    <x v="1"/>
    <x v="0"/>
    <x v="1"/>
    <x v="4"/>
    <x v="0"/>
    <x v="0"/>
    <x v="0"/>
    <x v="0"/>
    <x v="0"/>
    <x v="4"/>
    <s v="24"/>
    <x v="1"/>
    <x v="1"/>
    <x v="14"/>
    <x v="5"/>
    <n v="-3591631.44"/>
  </r>
  <r>
    <x v="7"/>
    <x v="0"/>
    <x v="1"/>
    <x v="0"/>
    <x v="1"/>
    <x v="4"/>
    <x v="0"/>
    <x v="0"/>
    <x v="0"/>
    <x v="0"/>
    <x v="0"/>
    <x v="4"/>
    <s v="24"/>
    <x v="1"/>
    <x v="1"/>
    <x v="14"/>
    <x v="6"/>
    <n v="-215427.68"/>
  </r>
  <r>
    <x v="7"/>
    <x v="0"/>
    <x v="1"/>
    <x v="0"/>
    <x v="1"/>
    <x v="4"/>
    <x v="0"/>
    <x v="0"/>
    <x v="0"/>
    <x v="0"/>
    <x v="0"/>
    <x v="4"/>
    <s v="24"/>
    <x v="1"/>
    <x v="1"/>
    <x v="14"/>
    <x v="1"/>
    <n v="-963575.17"/>
  </r>
  <r>
    <x v="7"/>
    <x v="0"/>
    <x v="1"/>
    <x v="0"/>
    <x v="1"/>
    <x v="4"/>
    <x v="0"/>
    <x v="0"/>
    <x v="0"/>
    <x v="0"/>
    <x v="0"/>
    <x v="4"/>
    <s v="24"/>
    <x v="1"/>
    <x v="1"/>
    <x v="15"/>
    <x v="0"/>
    <n v="-60951.27"/>
  </r>
  <r>
    <x v="7"/>
    <x v="0"/>
    <x v="1"/>
    <x v="0"/>
    <x v="1"/>
    <x v="4"/>
    <x v="0"/>
    <x v="0"/>
    <x v="0"/>
    <x v="0"/>
    <x v="0"/>
    <x v="4"/>
    <s v="24"/>
    <x v="1"/>
    <x v="1"/>
    <x v="15"/>
    <x v="2"/>
    <n v="227839696.59999999"/>
  </r>
  <r>
    <x v="7"/>
    <x v="0"/>
    <x v="1"/>
    <x v="0"/>
    <x v="1"/>
    <x v="4"/>
    <x v="0"/>
    <x v="0"/>
    <x v="0"/>
    <x v="0"/>
    <x v="0"/>
    <x v="4"/>
    <s v="24"/>
    <x v="1"/>
    <x v="1"/>
    <x v="15"/>
    <x v="8"/>
    <n v="-3373797.22"/>
  </r>
  <r>
    <x v="7"/>
    <x v="0"/>
    <x v="1"/>
    <x v="0"/>
    <x v="1"/>
    <x v="4"/>
    <x v="0"/>
    <x v="0"/>
    <x v="0"/>
    <x v="0"/>
    <x v="0"/>
    <x v="4"/>
    <s v="24"/>
    <x v="1"/>
    <x v="1"/>
    <x v="15"/>
    <x v="9"/>
    <n v="-3146237.27"/>
  </r>
  <r>
    <x v="7"/>
    <x v="0"/>
    <x v="1"/>
    <x v="0"/>
    <x v="1"/>
    <x v="4"/>
    <x v="0"/>
    <x v="0"/>
    <x v="0"/>
    <x v="0"/>
    <x v="0"/>
    <x v="4"/>
    <s v="24"/>
    <x v="1"/>
    <x v="1"/>
    <x v="15"/>
    <x v="10"/>
    <n v="-476355.83"/>
  </r>
  <r>
    <x v="7"/>
    <x v="0"/>
    <x v="1"/>
    <x v="0"/>
    <x v="1"/>
    <x v="4"/>
    <x v="0"/>
    <x v="0"/>
    <x v="0"/>
    <x v="0"/>
    <x v="0"/>
    <x v="4"/>
    <s v="24"/>
    <x v="1"/>
    <x v="1"/>
    <x v="15"/>
    <x v="11"/>
    <n v="216504693.05000001"/>
  </r>
  <r>
    <x v="7"/>
    <x v="0"/>
    <x v="1"/>
    <x v="0"/>
    <x v="1"/>
    <x v="4"/>
    <x v="0"/>
    <x v="0"/>
    <x v="0"/>
    <x v="0"/>
    <x v="0"/>
    <x v="4"/>
    <s v="24"/>
    <x v="1"/>
    <x v="1"/>
    <x v="15"/>
    <x v="3"/>
    <n v="-2257949.98"/>
  </r>
  <r>
    <x v="7"/>
    <x v="0"/>
    <x v="1"/>
    <x v="0"/>
    <x v="1"/>
    <x v="4"/>
    <x v="0"/>
    <x v="0"/>
    <x v="0"/>
    <x v="0"/>
    <x v="0"/>
    <x v="4"/>
    <s v="24"/>
    <x v="1"/>
    <x v="1"/>
    <x v="15"/>
    <x v="4"/>
    <n v="-350342.42"/>
  </r>
  <r>
    <x v="7"/>
    <x v="0"/>
    <x v="1"/>
    <x v="0"/>
    <x v="1"/>
    <x v="4"/>
    <x v="0"/>
    <x v="0"/>
    <x v="0"/>
    <x v="0"/>
    <x v="0"/>
    <x v="4"/>
    <s v="30"/>
    <x v="3"/>
    <x v="1"/>
    <x v="14"/>
    <x v="0"/>
    <n v="-133"/>
  </r>
  <r>
    <x v="7"/>
    <x v="0"/>
    <x v="1"/>
    <x v="0"/>
    <x v="1"/>
    <x v="4"/>
    <x v="0"/>
    <x v="0"/>
    <x v="0"/>
    <x v="0"/>
    <x v="0"/>
    <x v="4"/>
    <s v="30"/>
    <x v="3"/>
    <x v="1"/>
    <x v="14"/>
    <x v="2"/>
    <n v="-168257.63"/>
  </r>
  <r>
    <x v="7"/>
    <x v="0"/>
    <x v="1"/>
    <x v="0"/>
    <x v="1"/>
    <x v="4"/>
    <x v="0"/>
    <x v="0"/>
    <x v="0"/>
    <x v="0"/>
    <x v="0"/>
    <x v="4"/>
    <s v="30"/>
    <x v="3"/>
    <x v="1"/>
    <x v="14"/>
    <x v="8"/>
    <n v="327.20999999999998"/>
  </r>
  <r>
    <x v="7"/>
    <x v="0"/>
    <x v="1"/>
    <x v="0"/>
    <x v="1"/>
    <x v="4"/>
    <x v="0"/>
    <x v="0"/>
    <x v="0"/>
    <x v="0"/>
    <x v="0"/>
    <x v="4"/>
    <s v="30"/>
    <x v="3"/>
    <x v="1"/>
    <x v="14"/>
    <x v="9"/>
    <n v="-39039.660000000003"/>
  </r>
  <r>
    <x v="7"/>
    <x v="0"/>
    <x v="1"/>
    <x v="0"/>
    <x v="1"/>
    <x v="4"/>
    <x v="0"/>
    <x v="0"/>
    <x v="0"/>
    <x v="0"/>
    <x v="0"/>
    <x v="4"/>
    <s v="30"/>
    <x v="3"/>
    <x v="1"/>
    <x v="14"/>
    <x v="10"/>
    <n v="668"/>
  </r>
  <r>
    <x v="7"/>
    <x v="0"/>
    <x v="1"/>
    <x v="0"/>
    <x v="1"/>
    <x v="4"/>
    <x v="0"/>
    <x v="0"/>
    <x v="0"/>
    <x v="0"/>
    <x v="0"/>
    <x v="4"/>
    <s v="30"/>
    <x v="3"/>
    <x v="1"/>
    <x v="14"/>
    <x v="11"/>
    <n v="849.5"/>
  </r>
  <r>
    <x v="7"/>
    <x v="0"/>
    <x v="1"/>
    <x v="0"/>
    <x v="1"/>
    <x v="4"/>
    <x v="0"/>
    <x v="0"/>
    <x v="0"/>
    <x v="0"/>
    <x v="0"/>
    <x v="4"/>
    <s v="30"/>
    <x v="3"/>
    <x v="1"/>
    <x v="14"/>
    <x v="3"/>
    <n v="-397.71"/>
  </r>
  <r>
    <x v="7"/>
    <x v="0"/>
    <x v="1"/>
    <x v="0"/>
    <x v="1"/>
    <x v="4"/>
    <x v="0"/>
    <x v="0"/>
    <x v="0"/>
    <x v="0"/>
    <x v="0"/>
    <x v="4"/>
    <s v="30"/>
    <x v="3"/>
    <x v="1"/>
    <x v="14"/>
    <x v="4"/>
    <n v="-167330"/>
  </r>
  <r>
    <x v="7"/>
    <x v="0"/>
    <x v="1"/>
    <x v="0"/>
    <x v="1"/>
    <x v="4"/>
    <x v="0"/>
    <x v="0"/>
    <x v="0"/>
    <x v="0"/>
    <x v="0"/>
    <x v="4"/>
    <s v="30"/>
    <x v="3"/>
    <x v="1"/>
    <x v="14"/>
    <x v="7"/>
    <n v="68.63"/>
  </r>
  <r>
    <x v="7"/>
    <x v="0"/>
    <x v="1"/>
    <x v="0"/>
    <x v="1"/>
    <x v="4"/>
    <x v="0"/>
    <x v="0"/>
    <x v="0"/>
    <x v="0"/>
    <x v="0"/>
    <x v="4"/>
    <s v="30"/>
    <x v="3"/>
    <x v="1"/>
    <x v="14"/>
    <x v="5"/>
    <n v="-162103.9"/>
  </r>
  <r>
    <x v="7"/>
    <x v="0"/>
    <x v="1"/>
    <x v="0"/>
    <x v="1"/>
    <x v="4"/>
    <x v="0"/>
    <x v="0"/>
    <x v="0"/>
    <x v="0"/>
    <x v="0"/>
    <x v="4"/>
    <s v="30"/>
    <x v="3"/>
    <x v="1"/>
    <x v="14"/>
    <x v="6"/>
    <n v="280"/>
  </r>
  <r>
    <x v="7"/>
    <x v="0"/>
    <x v="1"/>
    <x v="0"/>
    <x v="1"/>
    <x v="4"/>
    <x v="0"/>
    <x v="0"/>
    <x v="0"/>
    <x v="0"/>
    <x v="0"/>
    <x v="4"/>
    <s v="30"/>
    <x v="3"/>
    <x v="1"/>
    <x v="14"/>
    <x v="1"/>
    <n v="6382"/>
  </r>
  <r>
    <x v="7"/>
    <x v="0"/>
    <x v="1"/>
    <x v="0"/>
    <x v="1"/>
    <x v="4"/>
    <x v="0"/>
    <x v="0"/>
    <x v="0"/>
    <x v="0"/>
    <x v="0"/>
    <x v="4"/>
    <s v="30"/>
    <x v="3"/>
    <x v="1"/>
    <x v="15"/>
    <x v="0"/>
    <n v="183.62"/>
  </r>
  <r>
    <x v="7"/>
    <x v="0"/>
    <x v="1"/>
    <x v="0"/>
    <x v="1"/>
    <x v="4"/>
    <x v="0"/>
    <x v="0"/>
    <x v="0"/>
    <x v="0"/>
    <x v="0"/>
    <x v="4"/>
    <s v="30"/>
    <x v="3"/>
    <x v="1"/>
    <x v="15"/>
    <x v="2"/>
    <n v="-4471.66"/>
  </r>
  <r>
    <x v="7"/>
    <x v="0"/>
    <x v="1"/>
    <x v="0"/>
    <x v="1"/>
    <x v="4"/>
    <x v="0"/>
    <x v="0"/>
    <x v="0"/>
    <x v="0"/>
    <x v="0"/>
    <x v="4"/>
    <s v="30"/>
    <x v="3"/>
    <x v="1"/>
    <x v="15"/>
    <x v="9"/>
    <n v="44.5"/>
  </r>
  <r>
    <x v="7"/>
    <x v="0"/>
    <x v="1"/>
    <x v="0"/>
    <x v="1"/>
    <x v="4"/>
    <x v="0"/>
    <x v="0"/>
    <x v="0"/>
    <x v="0"/>
    <x v="0"/>
    <x v="4"/>
    <s v="30"/>
    <x v="3"/>
    <x v="1"/>
    <x v="15"/>
    <x v="10"/>
    <n v="1015.5"/>
  </r>
  <r>
    <x v="7"/>
    <x v="0"/>
    <x v="1"/>
    <x v="0"/>
    <x v="1"/>
    <x v="4"/>
    <x v="0"/>
    <x v="0"/>
    <x v="0"/>
    <x v="0"/>
    <x v="0"/>
    <x v="4"/>
    <s v="30"/>
    <x v="3"/>
    <x v="1"/>
    <x v="15"/>
    <x v="11"/>
    <n v="1617.2"/>
  </r>
  <r>
    <x v="7"/>
    <x v="0"/>
    <x v="1"/>
    <x v="0"/>
    <x v="1"/>
    <x v="4"/>
    <x v="0"/>
    <x v="0"/>
    <x v="0"/>
    <x v="0"/>
    <x v="0"/>
    <x v="4"/>
    <s v="30"/>
    <x v="3"/>
    <x v="1"/>
    <x v="15"/>
    <x v="3"/>
    <n v="245.74"/>
  </r>
  <r>
    <x v="7"/>
    <x v="0"/>
    <x v="1"/>
    <x v="0"/>
    <x v="1"/>
    <x v="4"/>
    <x v="0"/>
    <x v="0"/>
    <x v="0"/>
    <x v="0"/>
    <x v="0"/>
    <x v="4"/>
    <s v="30"/>
    <x v="3"/>
    <x v="1"/>
    <x v="15"/>
    <x v="4"/>
    <n v="-600"/>
  </r>
  <r>
    <x v="7"/>
    <x v="0"/>
    <x v="1"/>
    <x v="0"/>
    <x v="1"/>
    <x v="4"/>
    <x v="0"/>
    <x v="0"/>
    <x v="0"/>
    <x v="0"/>
    <x v="0"/>
    <x v="4"/>
    <s v="99"/>
    <x v="9"/>
    <x v="1"/>
    <x v="14"/>
    <x v="2"/>
    <n v="780"/>
  </r>
  <r>
    <x v="7"/>
    <x v="0"/>
    <x v="1"/>
    <x v="0"/>
    <x v="1"/>
    <x v="4"/>
    <x v="0"/>
    <x v="0"/>
    <x v="0"/>
    <x v="0"/>
    <x v="0"/>
    <x v="4"/>
    <s v="99"/>
    <x v="9"/>
    <x v="1"/>
    <x v="14"/>
    <x v="8"/>
    <n v="1580"/>
  </r>
  <r>
    <x v="7"/>
    <x v="0"/>
    <x v="1"/>
    <x v="0"/>
    <x v="1"/>
    <x v="4"/>
    <x v="0"/>
    <x v="0"/>
    <x v="0"/>
    <x v="0"/>
    <x v="0"/>
    <x v="4"/>
    <s v="99"/>
    <x v="9"/>
    <x v="1"/>
    <x v="14"/>
    <x v="9"/>
    <n v="766.47"/>
  </r>
  <r>
    <x v="7"/>
    <x v="0"/>
    <x v="1"/>
    <x v="0"/>
    <x v="1"/>
    <x v="4"/>
    <x v="0"/>
    <x v="0"/>
    <x v="0"/>
    <x v="0"/>
    <x v="0"/>
    <x v="4"/>
    <s v="99"/>
    <x v="9"/>
    <x v="1"/>
    <x v="14"/>
    <x v="11"/>
    <n v="4955.8900000000003"/>
  </r>
  <r>
    <x v="7"/>
    <x v="0"/>
    <x v="1"/>
    <x v="0"/>
    <x v="1"/>
    <x v="4"/>
    <x v="0"/>
    <x v="0"/>
    <x v="0"/>
    <x v="0"/>
    <x v="0"/>
    <x v="4"/>
    <s v="99"/>
    <x v="9"/>
    <x v="1"/>
    <x v="14"/>
    <x v="3"/>
    <n v="1155.25"/>
  </r>
  <r>
    <x v="7"/>
    <x v="0"/>
    <x v="1"/>
    <x v="0"/>
    <x v="1"/>
    <x v="4"/>
    <x v="0"/>
    <x v="0"/>
    <x v="0"/>
    <x v="0"/>
    <x v="0"/>
    <x v="4"/>
    <s v="99"/>
    <x v="9"/>
    <x v="1"/>
    <x v="14"/>
    <x v="7"/>
    <n v="-655.25"/>
  </r>
  <r>
    <x v="7"/>
    <x v="0"/>
    <x v="1"/>
    <x v="0"/>
    <x v="1"/>
    <x v="4"/>
    <x v="0"/>
    <x v="0"/>
    <x v="0"/>
    <x v="0"/>
    <x v="0"/>
    <x v="4"/>
    <s v="99"/>
    <x v="9"/>
    <x v="1"/>
    <x v="14"/>
    <x v="6"/>
    <n v="500"/>
  </r>
  <r>
    <x v="7"/>
    <x v="0"/>
    <x v="1"/>
    <x v="0"/>
    <x v="1"/>
    <x v="4"/>
    <x v="0"/>
    <x v="0"/>
    <x v="0"/>
    <x v="0"/>
    <x v="0"/>
    <x v="4"/>
    <s v="99"/>
    <x v="9"/>
    <x v="1"/>
    <x v="14"/>
    <x v="1"/>
    <n v="2192.0100000000002"/>
  </r>
  <r>
    <x v="7"/>
    <x v="0"/>
    <x v="1"/>
    <x v="0"/>
    <x v="1"/>
    <x v="4"/>
    <x v="0"/>
    <x v="0"/>
    <x v="0"/>
    <x v="0"/>
    <x v="0"/>
    <x v="4"/>
    <s v="99"/>
    <x v="9"/>
    <x v="1"/>
    <x v="15"/>
    <x v="9"/>
    <n v="1000"/>
  </r>
  <r>
    <x v="7"/>
    <x v="0"/>
    <x v="1"/>
    <x v="0"/>
    <x v="1"/>
    <x v="4"/>
    <x v="0"/>
    <x v="0"/>
    <x v="0"/>
    <x v="0"/>
    <x v="0"/>
    <x v="4"/>
    <s v="99"/>
    <x v="9"/>
    <x v="1"/>
    <x v="15"/>
    <x v="10"/>
    <n v="-1000"/>
  </r>
  <r>
    <x v="7"/>
    <x v="0"/>
    <x v="1"/>
    <x v="0"/>
    <x v="1"/>
    <x v="4"/>
    <x v="0"/>
    <x v="0"/>
    <x v="0"/>
    <x v="0"/>
    <x v="0"/>
    <x v="4"/>
    <s v="99"/>
    <x v="9"/>
    <x v="1"/>
    <x v="15"/>
    <x v="11"/>
    <n v="5562"/>
  </r>
  <r>
    <x v="7"/>
    <x v="0"/>
    <x v="1"/>
    <x v="0"/>
    <x v="1"/>
    <x v="4"/>
    <x v="0"/>
    <x v="0"/>
    <x v="0"/>
    <x v="0"/>
    <x v="0"/>
    <x v="4"/>
    <s v="99"/>
    <x v="9"/>
    <x v="1"/>
    <x v="15"/>
    <x v="3"/>
    <n v="-5152"/>
  </r>
  <r>
    <x v="7"/>
    <x v="0"/>
    <x v="1"/>
    <x v="0"/>
    <x v="1"/>
    <x v="4"/>
    <x v="0"/>
    <x v="0"/>
    <x v="0"/>
    <x v="0"/>
    <x v="0"/>
    <x v="4"/>
    <s v="99"/>
    <x v="9"/>
    <x v="1"/>
    <x v="15"/>
    <x v="4"/>
    <n v="17827.55"/>
  </r>
  <r>
    <x v="7"/>
    <x v="0"/>
    <x v="1"/>
    <x v="0"/>
    <x v="1"/>
    <x v="4"/>
    <x v="0"/>
    <x v="0"/>
    <x v="0"/>
    <x v="0"/>
    <x v="4"/>
    <x v="5"/>
    <s v="21"/>
    <x v="27"/>
    <x v="1"/>
    <x v="14"/>
    <x v="3"/>
    <n v="5159"/>
  </r>
  <r>
    <x v="7"/>
    <x v="0"/>
    <x v="1"/>
    <x v="0"/>
    <x v="1"/>
    <x v="4"/>
    <x v="0"/>
    <x v="0"/>
    <x v="0"/>
    <x v="0"/>
    <x v="4"/>
    <x v="5"/>
    <s v="21"/>
    <x v="27"/>
    <x v="1"/>
    <x v="14"/>
    <x v="5"/>
    <n v="77800"/>
  </r>
  <r>
    <x v="7"/>
    <x v="0"/>
    <x v="1"/>
    <x v="0"/>
    <x v="1"/>
    <x v="4"/>
    <x v="0"/>
    <x v="0"/>
    <x v="0"/>
    <x v="0"/>
    <x v="4"/>
    <x v="5"/>
    <s v="21"/>
    <x v="27"/>
    <x v="1"/>
    <x v="14"/>
    <x v="6"/>
    <n v="7692"/>
  </r>
  <r>
    <x v="7"/>
    <x v="0"/>
    <x v="1"/>
    <x v="0"/>
    <x v="1"/>
    <x v="4"/>
    <x v="0"/>
    <x v="0"/>
    <x v="0"/>
    <x v="0"/>
    <x v="4"/>
    <x v="5"/>
    <s v="21"/>
    <x v="27"/>
    <x v="1"/>
    <x v="14"/>
    <x v="1"/>
    <n v="108484"/>
  </r>
  <r>
    <x v="7"/>
    <x v="0"/>
    <x v="1"/>
    <x v="0"/>
    <x v="1"/>
    <x v="4"/>
    <x v="0"/>
    <x v="0"/>
    <x v="0"/>
    <x v="0"/>
    <x v="4"/>
    <x v="5"/>
    <s v="21"/>
    <x v="27"/>
    <x v="1"/>
    <x v="15"/>
    <x v="11"/>
    <n v="16033.5"/>
  </r>
  <r>
    <x v="7"/>
    <x v="0"/>
    <x v="1"/>
    <x v="0"/>
    <x v="1"/>
    <x v="4"/>
    <x v="0"/>
    <x v="0"/>
    <x v="0"/>
    <x v="0"/>
    <x v="4"/>
    <x v="5"/>
    <s v="21"/>
    <x v="27"/>
    <x v="1"/>
    <x v="15"/>
    <x v="4"/>
    <n v="24988"/>
  </r>
  <r>
    <x v="7"/>
    <x v="0"/>
    <x v="1"/>
    <x v="0"/>
    <x v="1"/>
    <x v="4"/>
    <x v="0"/>
    <x v="0"/>
    <x v="0"/>
    <x v="0"/>
    <x v="4"/>
    <x v="5"/>
    <s v="22"/>
    <x v="25"/>
    <x v="1"/>
    <x v="14"/>
    <x v="8"/>
    <n v="-793111"/>
  </r>
  <r>
    <x v="7"/>
    <x v="0"/>
    <x v="1"/>
    <x v="0"/>
    <x v="1"/>
    <x v="4"/>
    <x v="0"/>
    <x v="0"/>
    <x v="0"/>
    <x v="0"/>
    <x v="4"/>
    <x v="5"/>
    <s v="22"/>
    <x v="25"/>
    <x v="1"/>
    <x v="14"/>
    <x v="9"/>
    <n v="-219038"/>
  </r>
  <r>
    <x v="7"/>
    <x v="0"/>
    <x v="1"/>
    <x v="0"/>
    <x v="1"/>
    <x v="4"/>
    <x v="0"/>
    <x v="0"/>
    <x v="0"/>
    <x v="0"/>
    <x v="4"/>
    <x v="5"/>
    <s v="22"/>
    <x v="25"/>
    <x v="1"/>
    <x v="14"/>
    <x v="10"/>
    <n v="-219353"/>
  </r>
  <r>
    <x v="7"/>
    <x v="0"/>
    <x v="1"/>
    <x v="0"/>
    <x v="1"/>
    <x v="4"/>
    <x v="0"/>
    <x v="0"/>
    <x v="0"/>
    <x v="0"/>
    <x v="4"/>
    <x v="5"/>
    <s v="22"/>
    <x v="25"/>
    <x v="1"/>
    <x v="14"/>
    <x v="11"/>
    <n v="-219038"/>
  </r>
  <r>
    <x v="7"/>
    <x v="0"/>
    <x v="1"/>
    <x v="0"/>
    <x v="1"/>
    <x v="4"/>
    <x v="0"/>
    <x v="0"/>
    <x v="0"/>
    <x v="0"/>
    <x v="4"/>
    <x v="5"/>
    <s v="22"/>
    <x v="25"/>
    <x v="1"/>
    <x v="14"/>
    <x v="3"/>
    <n v="-5877038"/>
  </r>
  <r>
    <x v="7"/>
    <x v="0"/>
    <x v="1"/>
    <x v="0"/>
    <x v="1"/>
    <x v="4"/>
    <x v="0"/>
    <x v="0"/>
    <x v="0"/>
    <x v="0"/>
    <x v="4"/>
    <x v="5"/>
    <s v="22"/>
    <x v="25"/>
    <x v="1"/>
    <x v="14"/>
    <x v="4"/>
    <n v="-18980446"/>
  </r>
  <r>
    <x v="7"/>
    <x v="0"/>
    <x v="1"/>
    <x v="0"/>
    <x v="1"/>
    <x v="4"/>
    <x v="0"/>
    <x v="0"/>
    <x v="0"/>
    <x v="0"/>
    <x v="4"/>
    <x v="5"/>
    <s v="22"/>
    <x v="25"/>
    <x v="1"/>
    <x v="14"/>
    <x v="5"/>
    <n v="-3520768"/>
  </r>
  <r>
    <x v="7"/>
    <x v="0"/>
    <x v="1"/>
    <x v="0"/>
    <x v="1"/>
    <x v="4"/>
    <x v="0"/>
    <x v="0"/>
    <x v="0"/>
    <x v="0"/>
    <x v="4"/>
    <x v="5"/>
    <s v="22"/>
    <x v="25"/>
    <x v="1"/>
    <x v="14"/>
    <x v="6"/>
    <n v="-2224197"/>
  </r>
  <r>
    <x v="7"/>
    <x v="0"/>
    <x v="1"/>
    <x v="0"/>
    <x v="1"/>
    <x v="4"/>
    <x v="0"/>
    <x v="0"/>
    <x v="0"/>
    <x v="0"/>
    <x v="4"/>
    <x v="5"/>
    <s v="22"/>
    <x v="25"/>
    <x v="1"/>
    <x v="14"/>
    <x v="1"/>
    <n v="-6978442"/>
  </r>
  <r>
    <x v="7"/>
    <x v="0"/>
    <x v="1"/>
    <x v="0"/>
    <x v="1"/>
    <x v="4"/>
    <x v="0"/>
    <x v="0"/>
    <x v="0"/>
    <x v="0"/>
    <x v="4"/>
    <x v="5"/>
    <s v="22"/>
    <x v="25"/>
    <x v="1"/>
    <x v="15"/>
    <x v="2"/>
    <n v="-438076"/>
  </r>
  <r>
    <x v="7"/>
    <x v="0"/>
    <x v="1"/>
    <x v="0"/>
    <x v="1"/>
    <x v="4"/>
    <x v="0"/>
    <x v="0"/>
    <x v="0"/>
    <x v="0"/>
    <x v="4"/>
    <x v="5"/>
    <s v="22"/>
    <x v="25"/>
    <x v="1"/>
    <x v="15"/>
    <x v="8"/>
    <n v="-219038"/>
  </r>
  <r>
    <x v="7"/>
    <x v="0"/>
    <x v="1"/>
    <x v="0"/>
    <x v="1"/>
    <x v="4"/>
    <x v="0"/>
    <x v="0"/>
    <x v="0"/>
    <x v="0"/>
    <x v="4"/>
    <x v="5"/>
    <s v="22"/>
    <x v="25"/>
    <x v="1"/>
    <x v="15"/>
    <x v="9"/>
    <n v="-219038"/>
  </r>
  <r>
    <x v="7"/>
    <x v="0"/>
    <x v="1"/>
    <x v="0"/>
    <x v="1"/>
    <x v="4"/>
    <x v="0"/>
    <x v="0"/>
    <x v="0"/>
    <x v="0"/>
    <x v="4"/>
    <x v="5"/>
    <s v="22"/>
    <x v="25"/>
    <x v="1"/>
    <x v="15"/>
    <x v="10"/>
    <n v="-7382433.5"/>
  </r>
  <r>
    <x v="7"/>
    <x v="0"/>
    <x v="1"/>
    <x v="0"/>
    <x v="1"/>
    <x v="4"/>
    <x v="0"/>
    <x v="0"/>
    <x v="0"/>
    <x v="0"/>
    <x v="4"/>
    <x v="5"/>
    <s v="22"/>
    <x v="25"/>
    <x v="1"/>
    <x v="15"/>
    <x v="11"/>
    <n v="-264871"/>
  </r>
  <r>
    <x v="7"/>
    <x v="0"/>
    <x v="1"/>
    <x v="0"/>
    <x v="1"/>
    <x v="4"/>
    <x v="0"/>
    <x v="0"/>
    <x v="0"/>
    <x v="0"/>
    <x v="4"/>
    <x v="5"/>
    <s v="22"/>
    <x v="25"/>
    <x v="1"/>
    <x v="15"/>
    <x v="3"/>
    <n v="-43126000"/>
  </r>
  <r>
    <x v="7"/>
    <x v="0"/>
    <x v="1"/>
    <x v="0"/>
    <x v="1"/>
    <x v="4"/>
    <x v="0"/>
    <x v="0"/>
    <x v="0"/>
    <x v="0"/>
    <x v="4"/>
    <x v="5"/>
    <s v="22"/>
    <x v="25"/>
    <x v="1"/>
    <x v="15"/>
    <x v="4"/>
    <n v="-459542"/>
  </r>
  <r>
    <x v="7"/>
    <x v="0"/>
    <x v="1"/>
    <x v="0"/>
    <x v="1"/>
    <x v="4"/>
    <x v="0"/>
    <x v="0"/>
    <x v="0"/>
    <x v="0"/>
    <x v="4"/>
    <x v="5"/>
    <s v="88"/>
    <x v="53"/>
    <x v="1"/>
    <x v="14"/>
    <x v="0"/>
    <n v="-185885.95"/>
  </r>
  <r>
    <x v="7"/>
    <x v="0"/>
    <x v="1"/>
    <x v="0"/>
    <x v="1"/>
    <x v="4"/>
    <x v="0"/>
    <x v="0"/>
    <x v="0"/>
    <x v="0"/>
    <x v="4"/>
    <x v="5"/>
    <s v="88"/>
    <x v="53"/>
    <x v="1"/>
    <x v="14"/>
    <x v="2"/>
    <n v="-172795.5"/>
  </r>
  <r>
    <x v="7"/>
    <x v="0"/>
    <x v="1"/>
    <x v="0"/>
    <x v="1"/>
    <x v="4"/>
    <x v="0"/>
    <x v="0"/>
    <x v="0"/>
    <x v="0"/>
    <x v="4"/>
    <x v="5"/>
    <s v="88"/>
    <x v="53"/>
    <x v="1"/>
    <x v="14"/>
    <x v="8"/>
    <n v="-172688.82"/>
  </r>
  <r>
    <x v="7"/>
    <x v="0"/>
    <x v="1"/>
    <x v="0"/>
    <x v="1"/>
    <x v="4"/>
    <x v="0"/>
    <x v="0"/>
    <x v="0"/>
    <x v="0"/>
    <x v="4"/>
    <x v="5"/>
    <s v="88"/>
    <x v="53"/>
    <x v="1"/>
    <x v="14"/>
    <x v="9"/>
    <n v="-172581.64"/>
  </r>
  <r>
    <x v="7"/>
    <x v="0"/>
    <x v="1"/>
    <x v="0"/>
    <x v="1"/>
    <x v="4"/>
    <x v="0"/>
    <x v="0"/>
    <x v="0"/>
    <x v="0"/>
    <x v="4"/>
    <x v="5"/>
    <s v="88"/>
    <x v="53"/>
    <x v="1"/>
    <x v="14"/>
    <x v="10"/>
    <n v="-172473.98"/>
  </r>
  <r>
    <x v="7"/>
    <x v="0"/>
    <x v="1"/>
    <x v="0"/>
    <x v="1"/>
    <x v="4"/>
    <x v="0"/>
    <x v="0"/>
    <x v="0"/>
    <x v="0"/>
    <x v="4"/>
    <x v="5"/>
    <s v="88"/>
    <x v="53"/>
    <x v="1"/>
    <x v="14"/>
    <x v="11"/>
    <n v="-172365.82"/>
  </r>
  <r>
    <x v="7"/>
    <x v="0"/>
    <x v="1"/>
    <x v="0"/>
    <x v="1"/>
    <x v="4"/>
    <x v="0"/>
    <x v="0"/>
    <x v="0"/>
    <x v="0"/>
    <x v="4"/>
    <x v="5"/>
    <s v="88"/>
    <x v="53"/>
    <x v="1"/>
    <x v="14"/>
    <x v="3"/>
    <n v="-172257.17"/>
  </r>
  <r>
    <x v="7"/>
    <x v="0"/>
    <x v="1"/>
    <x v="0"/>
    <x v="1"/>
    <x v="4"/>
    <x v="0"/>
    <x v="0"/>
    <x v="0"/>
    <x v="0"/>
    <x v="4"/>
    <x v="5"/>
    <s v="88"/>
    <x v="53"/>
    <x v="1"/>
    <x v="14"/>
    <x v="4"/>
    <n v="-172148.02"/>
  </r>
  <r>
    <x v="7"/>
    <x v="0"/>
    <x v="1"/>
    <x v="0"/>
    <x v="1"/>
    <x v="4"/>
    <x v="0"/>
    <x v="0"/>
    <x v="0"/>
    <x v="0"/>
    <x v="4"/>
    <x v="5"/>
    <s v="88"/>
    <x v="53"/>
    <x v="1"/>
    <x v="14"/>
    <x v="7"/>
    <n v="-172038.36"/>
  </r>
  <r>
    <x v="7"/>
    <x v="0"/>
    <x v="1"/>
    <x v="0"/>
    <x v="1"/>
    <x v="4"/>
    <x v="0"/>
    <x v="0"/>
    <x v="0"/>
    <x v="0"/>
    <x v="4"/>
    <x v="5"/>
    <s v="88"/>
    <x v="53"/>
    <x v="1"/>
    <x v="14"/>
    <x v="5"/>
    <n v="-171931.21"/>
  </r>
  <r>
    <x v="7"/>
    <x v="0"/>
    <x v="1"/>
    <x v="0"/>
    <x v="1"/>
    <x v="4"/>
    <x v="0"/>
    <x v="0"/>
    <x v="0"/>
    <x v="0"/>
    <x v="4"/>
    <x v="5"/>
    <s v="88"/>
    <x v="53"/>
    <x v="1"/>
    <x v="14"/>
    <x v="6"/>
    <n v="-171820.55"/>
  </r>
  <r>
    <x v="7"/>
    <x v="0"/>
    <x v="1"/>
    <x v="0"/>
    <x v="1"/>
    <x v="4"/>
    <x v="0"/>
    <x v="0"/>
    <x v="0"/>
    <x v="0"/>
    <x v="4"/>
    <x v="5"/>
    <s v="88"/>
    <x v="53"/>
    <x v="1"/>
    <x v="14"/>
    <x v="1"/>
    <n v="1908987.02"/>
  </r>
  <r>
    <x v="7"/>
    <x v="0"/>
    <x v="1"/>
    <x v="0"/>
    <x v="1"/>
    <x v="4"/>
    <x v="0"/>
    <x v="0"/>
    <x v="0"/>
    <x v="0"/>
    <x v="4"/>
    <x v="5"/>
    <s v="88"/>
    <x v="53"/>
    <x v="1"/>
    <x v="15"/>
    <x v="0"/>
    <n v="-171597.71"/>
  </r>
  <r>
    <x v="7"/>
    <x v="0"/>
    <x v="1"/>
    <x v="0"/>
    <x v="1"/>
    <x v="4"/>
    <x v="0"/>
    <x v="0"/>
    <x v="0"/>
    <x v="0"/>
    <x v="4"/>
    <x v="5"/>
    <s v="88"/>
    <x v="53"/>
    <x v="1"/>
    <x v="15"/>
    <x v="2"/>
    <n v="-156336.34"/>
  </r>
  <r>
    <x v="7"/>
    <x v="0"/>
    <x v="1"/>
    <x v="0"/>
    <x v="1"/>
    <x v="4"/>
    <x v="0"/>
    <x v="0"/>
    <x v="0"/>
    <x v="0"/>
    <x v="4"/>
    <x v="5"/>
    <s v="88"/>
    <x v="53"/>
    <x v="1"/>
    <x v="15"/>
    <x v="8"/>
    <n v="-156223.64000000001"/>
  </r>
  <r>
    <x v="7"/>
    <x v="0"/>
    <x v="1"/>
    <x v="0"/>
    <x v="1"/>
    <x v="4"/>
    <x v="0"/>
    <x v="0"/>
    <x v="0"/>
    <x v="0"/>
    <x v="4"/>
    <x v="5"/>
    <s v="88"/>
    <x v="53"/>
    <x v="1"/>
    <x v="15"/>
    <x v="9"/>
    <n v="-156110.42000000001"/>
  </r>
  <r>
    <x v="7"/>
    <x v="0"/>
    <x v="1"/>
    <x v="0"/>
    <x v="1"/>
    <x v="4"/>
    <x v="0"/>
    <x v="0"/>
    <x v="0"/>
    <x v="0"/>
    <x v="4"/>
    <x v="5"/>
    <s v="88"/>
    <x v="53"/>
    <x v="1"/>
    <x v="15"/>
    <x v="10"/>
    <n v="-155996.68"/>
  </r>
  <r>
    <x v="7"/>
    <x v="0"/>
    <x v="1"/>
    <x v="0"/>
    <x v="1"/>
    <x v="4"/>
    <x v="0"/>
    <x v="0"/>
    <x v="0"/>
    <x v="0"/>
    <x v="4"/>
    <x v="5"/>
    <s v="88"/>
    <x v="53"/>
    <x v="1"/>
    <x v="15"/>
    <x v="11"/>
    <n v="-155882.42000000001"/>
  </r>
  <r>
    <x v="7"/>
    <x v="0"/>
    <x v="1"/>
    <x v="0"/>
    <x v="1"/>
    <x v="4"/>
    <x v="0"/>
    <x v="0"/>
    <x v="0"/>
    <x v="0"/>
    <x v="4"/>
    <x v="5"/>
    <s v="88"/>
    <x v="53"/>
    <x v="1"/>
    <x v="15"/>
    <x v="3"/>
    <n v="-155767.64000000001"/>
  </r>
  <r>
    <x v="7"/>
    <x v="0"/>
    <x v="1"/>
    <x v="0"/>
    <x v="1"/>
    <x v="4"/>
    <x v="0"/>
    <x v="0"/>
    <x v="0"/>
    <x v="0"/>
    <x v="4"/>
    <x v="5"/>
    <s v="88"/>
    <x v="53"/>
    <x v="1"/>
    <x v="15"/>
    <x v="4"/>
    <n v="-155652.32999999999"/>
  </r>
  <r>
    <x v="7"/>
    <x v="0"/>
    <x v="1"/>
    <x v="0"/>
    <x v="1"/>
    <x v="4"/>
    <x v="0"/>
    <x v="0"/>
    <x v="0"/>
    <x v="0"/>
    <x v="4"/>
    <x v="5"/>
    <s v="94"/>
    <x v="28"/>
    <x v="1"/>
    <x v="14"/>
    <x v="1"/>
    <n v="-4009603.95"/>
  </r>
  <r>
    <x v="7"/>
    <x v="0"/>
    <x v="1"/>
    <x v="0"/>
    <x v="1"/>
    <x v="0"/>
    <x v="0"/>
    <x v="0"/>
    <x v="0"/>
    <x v="1"/>
    <x v="1"/>
    <x v="8"/>
    <s v="41"/>
    <x v="4"/>
    <x v="1"/>
    <x v="14"/>
    <x v="10"/>
    <n v="50000"/>
  </r>
  <r>
    <x v="7"/>
    <x v="0"/>
    <x v="1"/>
    <x v="0"/>
    <x v="1"/>
    <x v="0"/>
    <x v="0"/>
    <x v="0"/>
    <x v="0"/>
    <x v="1"/>
    <x v="1"/>
    <x v="8"/>
    <s v="41"/>
    <x v="4"/>
    <x v="1"/>
    <x v="14"/>
    <x v="3"/>
    <n v="-50000"/>
  </r>
  <r>
    <x v="7"/>
    <x v="0"/>
    <x v="1"/>
    <x v="0"/>
    <x v="1"/>
    <x v="0"/>
    <x v="0"/>
    <x v="0"/>
    <x v="0"/>
    <x v="0"/>
    <x v="0"/>
    <x v="4"/>
    <s v="09"/>
    <x v="51"/>
    <x v="1"/>
    <x v="14"/>
    <x v="0"/>
    <n v="28446.84"/>
  </r>
  <r>
    <x v="7"/>
    <x v="0"/>
    <x v="1"/>
    <x v="0"/>
    <x v="1"/>
    <x v="0"/>
    <x v="0"/>
    <x v="0"/>
    <x v="0"/>
    <x v="0"/>
    <x v="0"/>
    <x v="4"/>
    <s v="09"/>
    <x v="51"/>
    <x v="1"/>
    <x v="14"/>
    <x v="10"/>
    <n v="149371.24"/>
  </r>
  <r>
    <x v="7"/>
    <x v="0"/>
    <x v="1"/>
    <x v="0"/>
    <x v="1"/>
    <x v="0"/>
    <x v="0"/>
    <x v="0"/>
    <x v="0"/>
    <x v="0"/>
    <x v="0"/>
    <x v="4"/>
    <s v="09"/>
    <x v="51"/>
    <x v="1"/>
    <x v="14"/>
    <x v="4"/>
    <n v="130362.23"/>
  </r>
  <r>
    <x v="7"/>
    <x v="0"/>
    <x v="1"/>
    <x v="0"/>
    <x v="1"/>
    <x v="0"/>
    <x v="0"/>
    <x v="0"/>
    <x v="0"/>
    <x v="0"/>
    <x v="0"/>
    <x v="4"/>
    <s v="09"/>
    <x v="51"/>
    <x v="1"/>
    <x v="14"/>
    <x v="6"/>
    <n v="186634.27"/>
  </r>
  <r>
    <x v="7"/>
    <x v="0"/>
    <x v="1"/>
    <x v="0"/>
    <x v="1"/>
    <x v="0"/>
    <x v="0"/>
    <x v="0"/>
    <x v="0"/>
    <x v="0"/>
    <x v="0"/>
    <x v="4"/>
    <s v="09"/>
    <x v="51"/>
    <x v="1"/>
    <x v="14"/>
    <x v="1"/>
    <n v="101108.04"/>
  </r>
  <r>
    <x v="7"/>
    <x v="0"/>
    <x v="1"/>
    <x v="0"/>
    <x v="1"/>
    <x v="0"/>
    <x v="0"/>
    <x v="0"/>
    <x v="0"/>
    <x v="0"/>
    <x v="0"/>
    <x v="4"/>
    <s v="09"/>
    <x v="51"/>
    <x v="1"/>
    <x v="15"/>
    <x v="0"/>
    <n v="52223.21"/>
  </r>
  <r>
    <x v="7"/>
    <x v="0"/>
    <x v="1"/>
    <x v="0"/>
    <x v="1"/>
    <x v="0"/>
    <x v="0"/>
    <x v="0"/>
    <x v="0"/>
    <x v="0"/>
    <x v="0"/>
    <x v="4"/>
    <s v="09"/>
    <x v="51"/>
    <x v="1"/>
    <x v="15"/>
    <x v="10"/>
    <n v="48359.839999999997"/>
  </r>
  <r>
    <x v="7"/>
    <x v="0"/>
    <x v="1"/>
    <x v="0"/>
    <x v="1"/>
    <x v="0"/>
    <x v="0"/>
    <x v="0"/>
    <x v="0"/>
    <x v="0"/>
    <x v="0"/>
    <x v="4"/>
    <s v="09"/>
    <x v="51"/>
    <x v="1"/>
    <x v="15"/>
    <x v="4"/>
    <n v="89832.4"/>
  </r>
  <r>
    <x v="7"/>
    <x v="0"/>
    <x v="1"/>
    <x v="0"/>
    <x v="1"/>
    <x v="0"/>
    <x v="0"/>
    <x v="0"/>
    <x v="0"/>
    <x v="0"/>
    <x v="0"/>
    <x v="4"/>
    <s v="20"/>
    <x v="7"/>
    <x v="1"/>
    <x v="14"/>
    <x v="8"/>
    <n v="142.69"/>
  </r>
  <r>
    <x v="7"/>
    <x v="0"/>
    <x v="1"/>
    <x v="0"/>
    <x v="1"/>
    <x v="0"/>
    <x v="0"/>
    <x v="0"/>
    <x v="0"/>
    <x v="0"/>
    <x v="0"/>
    <x v="4"/>
    <s v="20"/>
    <x v="7"/>
    <x v="1"/>
    <x v="14"/>
    <x v="9"/>
    <n v="2859.01"/>
  </r>
  <r>
    <x v="7"/>
    <x v="0"/>
    <x v="1"/>
    <x v="0"/>
    <x v="1"/>
    <x v="0"/>
    <x v="0"/>
    <x v="0"/>
    <x v="0"/>
    <x v="0"/>
    <x v="0"/>
    <x v="4"/>
    <s v="20"/>
    <x v="7"/>
    <x v="1"/>
    <x v="14"/>
    <x v="11"/>
    <n v="-3001.7"/>
  </r>
  <r>
    <x v="7"/>
    <x v="0"/>
    <x v="1"/>
    <x v="0"/>
    <x v="1"/>
    <x v="0"/>
    <x v="0"/>
    <x v="0"/>
    <x v="0"/>
    <x v="0"/>
    <x v="0"/>
    <x v="4"/>
    <s v="20"/>
    <x v="7"/>
    <x v="1"/>
    <x v="14"/>
    <x v="3"/>
    <n v="2"/>
  </r>
  <r>
    <x v="7"/>
    <x v="0"/>
    <x v="1"/>
    <x v="0"/>
    <x v="1"/>
    <x v="0"/>
    <x v="0"/>
    <x v="0"/>
    <x v="0"/>
    <x v="0"/>
    <x v="0"/>
    <x v="4"/>
    <s v="20"/>
    <x v="7"/>
    <x v="1"/>
    <x v="14"/>
    <x v="4"/>
    <n v="-2"/>
  </r>
  <r>
    <x v="7"/>
    <x v="0"/>
    <x v="1"/>
    <x v="0"/>
    <x v="1"/>
    <x v="0"/>
    <x v="0"/>
    <x v="0"/>
    <x v="0"/>
    <x v="0"/>
    <x v="0"/>
    <x v="4"/>
    <s v="20"/>
    <x v="7"/>
    <x v="1"/>
    <x v="15"/>
    <x v="0"/>
    <n v="7583.92"/>
  </r>
  <r>
    <x v="7"/>
    <x v="0"/>
    <x v="1"/>
    <x v="0"/>
    <x v="1"/>
    <x v="0"/>
    <x v="0"/>
    <x v="0"/>
    <x v="0"/>
    <x v="0"/>
    <x v="0"/>
    <x v="4"/>
    <s v="20"/>
    <x v="7"/>
    <x v="1"/>
    <x v="15"/>
    <x v="2"/>
    <n v="-6080"/>
  </r>
  <r>
    <x v="7"/>
    <x v="0"/>
    <x v="1"/>
    <x v="0"/>
    <x v="1"/>
    <x v="0"/>
    <x v="0"/>
    <x v="0"/>
    <x v="0"/>
    <x v="0"/>
    <x v="0"/>
    <x v="4"/>
    <s v="20"/>
    <x v="7"/>
    <x v="1"/>
    <x v="15"/>
    <x v="8"/>
    <n v="368"/>
  </r>
  <r>
    <x v="7"/>
    <x v="0"/>
    <x v="1"/>
    <x v="0"/>
    <x v="1"/>
    <x v="0"/>
    <x v="0"/>
    <x v="0"/>
    <x v="0"/>
    <x v="0"/>
    <x v="0"/>
    <x v="4"/>
    <s v="20"/>
    <x v="7"/>
    <x v="1"/>
    <x v="15"/>
    <x v="9"/>
    <n v="2878.45"/>
  </r>
  <r>
    <x v="7"/>
    <x v="0"/>
    <x v="1"/>
    <x v="0"/>
    <x v="1"/>
    <x v="0"/>
    <x v="0"/>
    <x v="0"/>
    <x v="0"/>
    <x v="0"/>
    <x v="0"/>
    <x v="4"/>
    <s v="20"/>
    <x v="7"/>
    <x v="1"/>
    <x v="15"/>
    <x v="11"/>
    <n v="-27.85"/>
  </r>
  <r>
    <x v="7"/>
    <x v="0"/>
    <x v="1"/>
    <x v="0"/>
    <x v="1"/>
    <x v="0"/>
    <x v="0"/>
    <x v="0"/>
    <x v="0"/>
    <x v="0"/>
    <x v="0"/>
    <x v="4"/>
    <s v="20"/>
    <x v="7"/>
    <x v="1"/>
    <x v="15"/>
    <x v="3"/>
    <n v="138"/>
  </r>
  <r>
    <x v="7"/>
    <x v="0"/>
    <x v="1"/>
    <x v="0"/>
    <x v="1"/>
    <x v="0"/>
    <x v="0"/>
    <x v="0"/>
    <x v="0"/>
    <x v="0"/>
    <x v="0"/>
    <x v="4"/>
    <s v="20"/>
    <x v="7"/>
    <x v="1"/>
    <x v="15"/>
    <x v="4"/>
    <n v="-4860.5200000000004"/>
  </r>
  <r>
    <x v="7"/>
    <x v="0"/>
    <x v="1"/>
    <x v="0"/>
    <x v="1"/>
    <x v="0"/>
    <x v="0"/>
    <x v="0"/>
    <x v="0"/>
    <x v="0"/>
    <x v="0"/>
    <x v="4"/>
    <s v="24"/>
    <x v="1"/>
    <x v="1"/>
    <x v="14"/>
    <x v="0"/>
    <n v="273589.39"/>
  </r>
  <r>
    <x v="7"/>
    <x v="0"/>
    <x v="1"/>
    <x v="0"/>
    <x v="1"/>
    <x v="0"/>
    <x v="0"/>
    <x v="0"/>
    <x v="0"/>
    <x v="0"/>
    <x v="0"/>
    <x v="4"/>
    <s v="24"/>
    <x v="1"/>
    <x v="1"/>
    <x v="14"/>
    <x v="2"/>
    <n v="97670844.019999996"/>
  </r>
  <r>
    <x v="7"/>
    <x v="0"/>
    <x v="1"/>
    <x v="0"/>
    <x v="1"/>
    <x v="0"/>
    <x v="0"/>
    <x v="0"/>
    <x v="0"/>
    <x v="0"/>
    <x v="0"/>
    <x v="4"/>
    <s v="24"/>
    <x v="1"/>
    <x v="1"/>
    <x v="14"/>
    <x v="8"/>
    <n v="21994797.82"/>
  </r>
  <r>
    <x v="7"/>
    <x v="0"/>
    <x v="1"/>
    <x v="0"/>
    <x v="1"/>
    <x v="0"/>
    <x v="0"/>
    <x v="0"/>
    <x v="0"/>
    <x v="0"/>
    <x v="0"/>
    <x v="4"/>
    <s v="24"/>
    <x v="1"/>
    <x v="1"/>
    <x v="14"/>
    <x v="9"/>
    <n v="5028625.22"/>
  </r>
  <r>
    <x v="7"/>
    <x v="0"/>
    <x v="1"/>
    <x v="0"/>
    <x v="1"/>
    <x v="0"/>
    <x v="0"/>
    <x v="0"/>
    <x v="0"/>
    <x v="0"/>
    <x v="0"/>
    <x v="4"/>
    <s v="24"/>
    <x v="1"/>
    <x v="1"/>
    <x v="14"/>
    <x v="10"/>
    <n v="2167795.61"/>
  </r>
  <r>
    <x v="7"/>
    <x v="0"/>
    <x v="1"/>
    <x v="0"/>
    <x v="1"/>
    <x v="0"/>
    <x v="0"/>
    <x v="0"/>
    <x v="0"/>
    <x v="0"/>
    <x v="0"/>
    <x v="4"/>
    <s v="24"/>
    <x v="1"/>
    <x v="1"/>
    <x v="14"/>
    <x v="11"/>
    <n v="3193515.88"/>
  </r>
  <r>
    <x v="7"/>
    <x v="0"/>
    <x v="1"/>
    <x v="0"/>
    <x v="1"/>
    <x v="0"/>
    <x v="0"/>
    <x v="0"/>
    <x v="0"/>
    <x v="0"/>
    <x v="0"/>
    <x v="4"/>
    <s v="24"/>
    <x v="1"/>
    <x v="1"/>
    <x v="14"/>
    <x v="3"/>
    <n v="108261991.61"/>
  </r>
  <r>
    <x v="7"/>
    <x v="0"/>
    <x v="1"/>
    <x v="0"/>
    <x v="1"/>
    <x v="0"/>
    <x v="0"/>
    <x v="0"/>
    <x v="0"/>
    <x v="0"/>
    <x v="0"/>
    <x v="4"/>
    <s v="24"/>
    <x v="1"/>
    <x v="1"/>
    <x v="14"/>
    <x v="4"/>
    <n v="7614215.1299999999"/>
  </r>
  <r>
    <x v="7"/>
    <x v="0"/>
    <x v="1"/>
    <x v="0"/>
    <x v="1"/>
    <x v="0"/>
    <x v="0"/>
    <x v="0"/>
    <x v="0"/>
    <x v="0"/>
    <x v="0"/>
    <x v="4"/>
    <s v="24"/>
    <x v="1"/>
    <x v="1"/>
    <x v="14"/>
    <x v="7"/>
    <n v="1540916.19"/>
  </r>
  <r>
    <x v="7"/>
    <x v="0"/>
    <x v="1"/>
    <x v="0"/>
    <x v="1"/>
    <x v="0"/>
    <x v="0"/>
    <x v="0"/>
    <x v="0"/>
    <x v="0"/>
    <x v="0"/>
    <x v="4"/>
    <s v="24"/>
    <x v="1"/>
    <x v="1"/>
    <x v="14"/>
    <x v="5"/>
    <n v="843243.23"/>
  </r>
  <r>
    <x v="7"/>
    <x v="0"/>
    <x v="1"/>
    <x v="0"/>
    <x v="1"/>
    <x v="0"/>
    <x v="0"/>
    <x v="0"/>
    <x v="0"/>
    <x v="0"/>
    <x v="0"/>
    <x v="4"/>
    <s v="24"/>
    <x v="1"/>
    <x v="1"/>
    <x v="14"/>
    <x v="6"/>
    <n v="1083970.3"/>
  </r>
  <r>
    <x v="7"/>
    <x v="0"/>
    <x v="1"/>
    <x v="0"/>
    <x v="1"/>
    <x v="0"/>
    <x v="0"/>
    <x v="0"/>
    <x v="0"/>
    <x v="0"/>
    <x v="0"/>
    <x v="4"/>
    <s v="24"/>
    <x v="1"/>
    <x v="1"/>
    <x v="14"/>
    <x v="1"/>
    <n v="-1573978.12"/>
  </r>
  <r>
    <x v="7"/>
    <x v="0"/>
    <x v="1"/>
    <x v="0"/>
    <x v="1"/>
    <x v="0"/>
    <x v="0"/>
    <x v="0"/>
    <x v="0"/>
    <x v="0"/>
    <x v="0"/>
    <x v="4"/>
    <s v="24"/>
    <x v="1"/>
    <x v="1"/>
    <x v="15"/>
    <x v="0"/>
    <n v="808100.72"/>
  </r>
  <r>
    <x v="7"/>
    <x v="0"/>
    <x v="1"/>
    <x v="0"/>
    <x v="1"/>
    <x v="0"/>
    <x v="0"/>
    <x v="0"/>
    <x v="0"/>
    <x v="0"/>
    <x v="0"/>
    <x v="4"/>
    <s v="24"/>
    <x v="1"/>
    <x v="1"/>
    <x v="15"/>
    <x v="2"/>
    <n v="96329776.540000007"/>
  </r>
  <r>
    <x v="7"/>
    <x v="0"/>
    <x v="1"/>
    <x v="0"/>
    <x v="1"/>
    <x v="0"/>
    <x v="0"/>
    <x v="0"/>
    <x v="0"/>
    <x v="0"/>
    <x v="0"/>
    <x v="4"/>
    <s v="24"/>
    <x v="1"/>
    <x v="1"/>
    <x v="15"/>
    <x v="8"/>
    <n v="28364389.010000002"/>
  </r>
  <r>
    <x v="7"/>
    <x v="0"/>
    <x v="1"/>
    <x v="0"/>
    <x v="1"/>
    <x v="0"/>
    <x v="0"/>
    <x v="0"/>
    <x v="0"/>
    <x v="0"/>
    <x v="0"/>
    <x v="4"/>
    <s v="24"/>
    <x v="1"/>
    <x v="1"/>
    <x v="15"/>
    <x v="9"/>
    <n v="3812856.18"/>
  </r>
  <r>
    <x v="7"/>
    <x v="0"/>
    <x v="1"/>
    <x v="0"/>
    <x v="1"/>
    <x v="0"/>
    <x v="0"/>
    <x v="0"/>
    <x v="0"/>
    <x v="0"/>
    <x v="0"/>
    <x v="4"/>
    <s v="24"/>
    <x v="1"/>
    <x v="1"/>
    <x v="15"/>
    <x v="10"/>
    <n v="1148403.94"/>
  </r>
  <r>
    <x v="7"/>
    <x v="0"/>
    <x v="1"/>
    <x v="0"/>
    <x v="1"/>
    <x v="0"/>
    <x v="0"/>
    <x v="0"/>
    <x v="0"/>
    <x v="0"/>
    <x v="0"/>
    <x v="4"/>
    <s v="24"/>
    <x v="1"/>
    <x v="1"/>
    <x v="15"/>
    <x v="11"/>
    <n v="7315841.2800000003"/>
  </r>
  <r>
    <x v="7"/>
    <x v="0"/>
    <x v="1"/>
    <x v="0"/>
    <x v="1"/>
    <x v="0"/>
    <x v="0"/>
    <x v="0"/>
    <x v="0"/>
    <x v="0"/>
    <x v="0"/>
    <x v="4"/>
    <s v="24"/>
    <x v="1"/>
    <x v="1"/>
    <x v="15"/>
    <x v="3"/>
    <n v="106856925.47"/>
  </r>
  <r>
    <x v="7"/>
    <x v="0"/>
    <x v="1"/>
    <x v="0"/>
    <x v="1"/>
    <x v="0"/>
    <x v="0"/>
    <x v="0"/>
    <x v="0"/>
    <x v="0"/>
    <x v="0"/>
    <x v="4"/>
    <s v="24"/>
    <x v="1"/>
    <x v="1"/>
    <x v="15"/>
    <x v="4"/>
    <n v="6142904.0999999996"/>
  </r>
  <r>
    <x v="7"/>
    <x v="0"/>
    <x v="1"/>
    <x v="0"/>
    <x v="1"/>
    <x v="0"/>
    <x v="0"/>
    <x v="0"/>
    <x v="0"/>
    <x v="0"/>
    <x v="0"/>
    <x v="4"/>
    <s v="73"/>
    <x v="37"/>
    <x v="1"/>
    <x v="14"/>
    <x v="0"/>
    <n v="-11199.87"/>
  </r>
  <r>
    <x v="7"/>
    <x v="0"/>
    <x v="1"/>
    <x v="0"/>
    <x v="1"/>
    <x v="0"/>
    <x v="0"/>
    <x v="0"/>
    <x v="0"/>
    <x v="0"/>
    <x v="0"/>
    <x v="4"/>
    <s v="73"/>
    <x v="37"/>
    <x v="1"/>
    <x v="14"/>
    <x v="10"/>
    <n v="-47609.29"/>
  </r>
  <r>
    <x v="7"/>
    <x v="0"/>
    <x v="1"/>
    <x v="0"/>
    <x v="1"/>
    <x v="0"/>
    <x v="0"/>
    <x v="0"/>
    <x v="0"/>
    <x v="0"/>
    <x v="0"/>
    <x v="4"/>
    <s v="73"/>
    <x v="37"/>
    <x v="1"/>
    <x v="14"/>
    <x v="4"/>
    <n v="-58222.5"/>
  </r>
  <r>
    <x v="7"/>
    <x v="0"/>
    <x v="1"/>
    <x v="0"/>
    <x v="1"/>
    <x v="0"/>
    <x v="0"/>
    <x v="0"/>
    <x v="0"/>
    <x v="0"/>
    <x v="0"/>
    <x v="4"/>
    <s v="73"/>
    <x v="37"/>
    <x v="1"/>
    <x v="14"/>
    <x v="6"/>
    <n v="-70541.460000000006"/>
  </r>
  <r>
    <x v="7"/>
    <x v="0"/>
    <x v="1"/>
    <x v="0"/>
    <x v="1"/>
    <x v="0"/>
    <x v="0"/>
    <x v="0"/>
    <x v="0"/>
    <x v="0"/>
    <x v="0"/>
    <x v="4"/>
    <s v="73"/>
    <x v="37"/>
    <x v="1"/>
    <x v="14"/>
    <x v="1"/>
    <n v="-29883.55"/>
  </r>
  <r>
    <x v="7"/>
    <x v="0"/>
    <x v="1"/>
    <x v="0"/>
    <x v="1"/>
    <x v="0"/>
    <x v="0"/>
    <x v="0"/>
    <x v="0"/>
    <x v="0"/>
    <x v="0"/>
    <x v="4"/>
    <s v="73"/>
    <x v="37"/>
    <x v="1"/>
    <x v="15"/>
    <x v="0"/>
    <n v="-13449.17"/>
  </r>
  <r>
    <x v="7"/>
    <x v="0"/>
    <x v="1"/>
    <x v="0"/>
    <x v="1"/>
    <x v="0"/>
    <x v="0"/>
    <x v="0"/>
    <x v="0"/>
    <x v="0"/>
    <x v="0"/>
    <x v="4"/>
    <s v="73"/>
    <x v="37"/>
    <x v="1"/>
    <x v="15"/>
    <x v="10"/>
    <n v="-40942.589999999997"/>
  </r>
  <r>
    <x v="7"/>
    <x v="0"/>
    <x v="1"/>
    <x v="0"/>
    <x v="1"/>
    <x v="0"/>
    <x v="0"/>
    <x v="0"/>
    <x v="0"/>
    <x v="0"/>
    <x v="0"/>
    <x v="4"/>
    <s v="73"/>
    <x v="37"/>
    <x v="1"/>
    <x v="15"/>
    <x v="4"/>
    <n v="-57284.82"/>
  </r>
  <r>
    <x v="7"/>
    <x v="0"/>
    <x v="1"/>
    <x v="0"/>
    <x v="1"/>
    <x v="0"/>
    <x v="0"/>
    <x v="0"/>
    <x v="0"/>
    <x v="0"/>
    <x v="4"/>
    <x v="5"/>
    <s v="21"/>
    <x v="27"/>
    <x v="1"/>
    <x v="14"/>
    <x v="11"/>
    <n v="18431326.760000002"/>
  </r>
  <r>
    <x v="7"/>
    <x v="0"/>
    <x v="1"/>
    <x v="0"/>
    <x v="1"/>
    <x v="0"/>
    <x v="0"/>
    <x v="0"/>
    <x v="0"/>
    <x v="0"/>
    <x v="4"/>
    <x v="5"/>
    <s v="21"/>
    <x v="27"/>
    <x v="1"/>
    <x v="14"/>
    <x v="6"/>
    <n v="16585000"/>
  </r>
  <r>
    <x v="7"/>
    <x v="0"/>
    <x v="1"/>
    <x v="0"/>
    <x v="1"/>
    <x v="0"/>
    <x v="0"/>
    <x v="0"/>
    <x v="0"/>
    <x v="0"/>
    <x v="4"/>
    <x v="5"/>
    <s v="21"/>
    <x v="27"/>
    <x v="1"/>
    <x v="15"/>
    <x v="4"/>
    <n v="25450716.879999999"/>
  </r>
  <r>
    <x v="7"/>
    <x v="0"/>
    <x v="1"/>
    <x v="0"/>
    <x v="1"/>
    <x v="0"/>
    <x v="0"/>
    <x v="0"/>
    <x v="0"/>
    <x v="0"/>
    <x v="4"/>
    <x v="5"/>
    <s v="22"/>
    <x v="25"/>
    <x v="1"/>
    <x v="14"/>
    <x v="0"/>
    <n v="-1121825"/>
  </r>
  <r>
    <x v="7"/>
    <x v="0"/>
    <x v="1"/>
    <x v="0"/>
    <x v="1"/>
    <x v="0"/>
    <x v="0"/>
    <x v="0"/>
    <x v="0"/>
    <x v="0"/>
    <x v="4"/>
    <x v="5"/>
    <s v="22"/>
    <x v="25"/>
    <x v="1"/>
    <x v="14"/>
    <x v="10"/>
    <n v="-6050"/>
  </r>
  <r>
    <x v="7"/>
    <x v="0"/>
    <x v="1"/>
    <x v="0"/>
    <x v="1"/>
    <x v="0"/>
    <x v="0"/>
    <x v="0"/>
    <x v="0"/>
    <x v="0"/>
    <x v="4"/>
    <x v="5"/>
    <s v="22"/>
    <x v="25"/>
    <x v="1"/>
    <x v="14"/>
    <x v="11"/>
    <n v="-18448766.760000002"/>
  </r>
  <r>
    <x v="7"/>
    <x v="0"/>
    <x v="1"/>
    <x v="0"/>
    <x v="1"/>
    <x v="0"/>
    <x v="0"/>
    <x v="0"/>
    <x v="0"/>
    <x v="0"/>
    <x v="4"/>
    <x v="5"/>
    <s v="22"/>
    <x v="25"/>
    <x v="1"/>
    <x v="14"/>
    <x v="3"/>
    <n v="-529461.26"/>
  </r>
  <r>
    <x v="7"/>
    <x v="0"/>
    <x v="1"/>
    <x v="0"/>
    <x v="1"/>
    <x v="0"/>
    <x v="0"/>
    <x v="0"/>
    <x v="0"/>
    <x v="0"/>
    <x v="4"/>
    <x v="5"/>
    <s v="22"/>
    <x v="25"/>
    <x v="1"/>
    <x v="14"/>
    <x v="6"/>
    <n v="-19870425"/>
  </r>
  <r>
    <x v="7"/>
    <x v="0"/>
    <x v="1"/>
    <x v="0"/>
    <x v="1"/>
    <x v="0"/>
    <x v="0"/>
    <x v="0"/>
    <x v="0"/>
    <x v="0"/>
    <x v="4"/>
    <x v="5"/>
    <s v="22"/>
    <x v="25"/>
    <x v="1"/>
    <x v="14"/>
    <x v="1"/>
    <n v="-143060.54999999999"/>
  </r>
  <r>
    <x v="7"/>
    <x v="0"/>
    <x v="1"/>
    <x v="0"/>
    <x v="1"/>
    <x v="0"/>
    <x v="0"/>
    <x v="0"/>
    <x v="0"/>
    <x v="0"/>
    <x v="4"/>
    <x v="5"/>
    <s v="22"/>
    <x v="25"/>
    <x v="1"/>
    <x v="15"/>
    <x v="10"/>
    <n v="-4950"/>
  </r>
  <r>
    <x v="7"/>
    <x v="0"/>
    <x v="1"/>
    <x v="0"/>
    <x v="1"/>
    <x v="0"/>
    <x v="0"/>
    <x v="0"/>
    <x v="0"/>
    <x v="0"/>
    <x v="4"/>
    <x v="5"/>
    <s v="22"/>
    <x v="25"/>
    <x v="1"/>
    <x v="15"/>
    <x v="11"/>
    <n v="-13440"/>
  </r>
  <r>
    <x v="7"/>
    <x v="0"/>
    <x v="1"/>
    <x v="0"/>
    <x v="1"/>
    <x v="0"/>
    <x v="0"/>
    <x v="0"/>
    <x v="0"/>
    <x v="0"/>
    <x v="4"/>
    <x v="5"/>
    <s v="22"/>
    <x v="25"/>
    <x v="1"/>
    <x v="15"/>
    <x v="3"/>
    <n v="-579177.79"/>
  </r>
  <r>
    <x v="7"/>
    <x v="0"/>
    <x v="1"/>
    <x v="0"/>
    <x v="1"/>
    <x v="0"/>
    <x v="0"/>
    <x v="0"/>
    <x v="0"/>
    <x v="0"/>
    <x v="4"/>
    <x v="5"/>
    <s v="22"/>
    <x v="25"/>
    <x v="1"/>
    <x v="15"/>
    <x v="4"/>
    <n v="-25450716.879999999"/>
  </r>
  <r>
    <x v="7"/>
    <x v="0"/>
    <x v="1"/>
    <x v="0"/>
    <x v="1"/>
    <x v="0"/>
    <x v="0"/>
    <x v="0"/>
    <x v="0"/>
    <x v="0"/>
    <x v="5"/>
    <x v="6"/>
    <s v="20"/>
    <x v="29"/>
    <x v="1"/>
    <x v="14"/>
    <x v="8"/>
    <n v="687.22"/>
  </r>
  <r>
    <x v="7"/>
    <x v="0"/>
    <x v="1"/>
    <x v="0"/>
    <x v="1"/>
    <x v="0"/>
    <x v="0"/>
    <x v="0"/>
    <x v="0"/>
    <x v="0"/>
    <x v="5"/>
    <x v="6"/>
    <s v="20"/>
    <x v="29"/>
    <x v="1"/>
    <x v="14"/>
    <x v="9"/>
    <n v="-1603.04"/>
  </r>
  <r>
    <x v="7"/>
    <x v="0"/>
    <x v="1"/>
    <x v="0"/>
    <x v="1"/>
    <x v="0"/>
    <x v="0"/>
    <x v="0"/>
    <x v="0"/>
    <x v="0"/>
    <x v="5"/>
    <x v="6"/>
    <s v="20"/>
    <x v="29"/>
    <x v="1"/>
    <x v="14"/>
    <x v="11"/>
    <n v="915.82"/>
  </r>
  <r>
    <x v="7"/>
    <x v="0"/>
    <x v="1"/>
    <x v="0"/>
    <x v="1"/>
    <x v="1"/>
    <x v="0"/>
    <x v="0"/>
    <x v="0"/>
    <x v="0"/>
    <x v="0"/>
    <x v="4"/>
    <s v="13"/>
    <x v="54"/>
    <x v="1"/>
    <x v="14"/>
    <x v="1"/>
    <n v="-142200"/>
  </r>
  <r>
    <x v="7"/>
    <x v="0"/>
    <x v="1"/>
    <x v="0"/>
    <x v="1"/>
    <x v="1"/>
    <x v="0"/>
    <x v="0"/>
    <x v="0"/>
    <x v="0"/>
    <x v="0"/>
    <x v="4"/>
    <s v="24"/>
    <x v="1"/>
    <x v="1"/>
    <x v="14"/>
    <x v="1"/>
    <n v="-277712.40000000002"/>
  </r>
  <r>
    <x v="7"/>
    <x v="0"/>
    <x v="1"/>
    <x v="0"/>
    <x v="1"/>
    <x v="1"/>
    <x v="1"/>
    <x v="0"/>
    <x v="0"/>
    <x v="0"/>
    <x v="0"/>
    <x v="4"/>
    <s v="09"/>
    <x v="51"/>
    <x v="1"/>
    <x v="14"/>
    <x v="9"/>
    <n v="42462.81"/>
  </r>
  <r>
    <x v="7"/>
    <x v="0"/>
    <x v="1"/>
    <x v="0"/>
    <x v="1"/>
    <x v="1"/>
    <x v="1"/>
    <x v="0"/>
    <x v="0"/>
    <x v="0"/>
    <x v="0"/>
    <x v="4"/>
    <s v="09"/>
    <x v="51"/>
    <x v="1"/>
    <x v="14"/>
    <x v="3"/>
    <n v="49062.6"/>
  </r>
  <r>
    <x v="7"/>
    <x v="0"/>
    <x v="1"/>
    <x v="0"/>
    <x v="1"/>
    <x v="1"/>
    <x v="1"/>
    <x v="0"/>
    <x v="0"/>
    <x v="0"/>
    <x v="0"/>
    <x v="4"/>
    <s v="09"/>
    <x v="51"/>
    <x v="1"/>
    <x v="14"/>
    <x v="5"/>
    <n v="41207.24"/>
  </r>
  <r>
    <x v="7"/>
    <x v="0"/>
    <x v="1"/>
    <x v="0"/>
    <x v="1"/>
    <x v="1"/>
    <x v="1"/>
    <x v="0"/>
    <x v="0"/>
    <x v="0"/>
    <x v="0"/>
    <x v="4"/>
    <s v="09"/>
    <x v="51"/>
    <x v="1"/>
    <x v="14"/>
    <x v="1"/>
    <n v="1343.07"/>
  </r>
  <r>
    <x v="7"/>
    <x v="0"/>
    <x v="1"/>
    <x v="0"/>
    <x v="1"/>
    <x v="1"/>
    <x v="1"/>
    <x v="0"/>
    <x v="0"/>
    <x v="0"/>
    <x v="0"/>
    <x v="4"/>
    <s v="13"/>
    <x v="54"/>
    <x v="1"/>
    <x v="14"/>
    <x v="1"/>
    <n v="142200"/>
  </r>
  <r>
    <x v="7"/>
    <x v="0"/>
    <x v="1"/>
    <x v="0"/>
    <x v="1"/>
    <x v="1"/>
    <x v="1"/>
    <x v="0"/>
    <x v="0"/>
    <x v="0"/>
    <x v="0"/>
    <x v="4"/>
    <s v="24"/>
    <x v="1"/>
    <x v="1"/>
    <x v="14"/>
    <x v="0"/>
    <n v="-13147.92"/>
  </r>
  <r>
    <x v="7"/>
    <x v="0"/>
    <x v="1"/>
    <x v="0"/>
    <x v="1"/>
    <x v="1"/>
    <x v="1"/>
    <x v="0"/>
    <x v="0"/>
    <x v="0"/>
    <x v="0"/>
    <x v="4"/>
    <s v="24"/>
    <x v="1"/>
    <x v="1"/>
    <x v="14"/>
    <x v="2"/>
    <n v="24594953.989999998"/>
  </r>
  <r>
    <x v="7"/>
    <x v="0"/>
    <x v="1"/>
    <x v="0"/>
    <x v="1"/>
    <x v="1"/>
    <x v="1"/>
    <x v="0"/>
    <x v="0"/>
    <x v="0"/>
    <x v="0"/>
    <x v="4"/>
    <s v="24"/>
    <x v="1"/>
    <x v="1"/>
    <x v="14"/>
    <x v="8"/>
    <n v="-1296426.1499999999"/>
  </r>
  <r>
    <x v="7"/>
    <x v="0"/>
    <x v="1"/>
    <x v="0"/>
    <x v="1"/>
    <x v="1"/>
    <x v="1"/>
    <x v="0"/>
    <x v="0"/>
    <x v="0"/>
    <x v="0"/>
    <x v="4"/>
    <s v="24"/>
    <x v="1"/>
    <x v="1"/>
    <x v="14"/>
    <x v="9"/>
    <n v="-238941.22"/>
  </r>
  <r>
    <x v="7"/>
    <x v="0"/>
    <x v="1"/>
    <x v="0"/>
    <x v="1"/>
    <x v="1"/>
    <x v="1"/>
    <x v="0"/>
    <x v="0"/>
    <x v="0"/>
    <x v="0"/>
    <x v="4"/>
    <s v="24"/>
    <x v="1"/>
    <x v="1"/>
    <x v="14"/>
    <x v="10"/>
    <n v="-80301.39"/>
  </r>
  <r>
    <x v="7"/>
    <x v="0"/>
    <x v="1"/>
    <x v="0"/>
    <x v="1"/>
    <x v="1"/>
    <x v="1"/>
    <x v="0"/>
    <x v="0"/>
    <x v="0"/>
    <x v="0"/>
    <x v="4"/>
    <s v="24"/>
    <x v="1"/>
    <x v="1"/>
    <x v="14"/>
    <x v="11"/>
    <n v="21436035.699999999"/>
  </r>
  <r>
    <x v="7"/>
    <x v="0"/>
    <x v="1"/>
    <x v="0"/>
    <x v="1"/>
    <x v="1"/>
    <x v="1"/>
    <x v="0"/>
    <x v="0"/>
    <x v="0"/>
    <x v="0"/>
    <x v="4"/>
    <s v="24"/>
    <x v="1"/>
    <x v="1"/>
    <x v="14"/>
    <x v="3"/>
    <n v="600404.13"/>
  </r>
  <r>
    <x v="7"/>
    <x v="0"/>
    <x v="1"/>
    <x v="0"/>
    <x v="1"/>
    <x v="1"/>
    <x v="1"/>
    <x v="0"/>
    <x v="0"/>
    <x v="0"/>
    <x v="0"/>
    <x v="4"/>
    <s v="24"/>
    <x v="1"/>
    <x v="1"/>
    <x v="14"/>
    <x v="4"/>
    <n v="-98171.97"/>
  </r>
  <r>
    <x v="7"/>
    <x v="0"/>
    <x v="1"/>
    <x v="0"/>
    <x v="1"/>
    <x v="1"/>
    <x v="1"/>
    <x v="0"/>
    <x v="0"/>
    <x v="0"/>
    <x v="0"/>
    <x v="4"/>
    <s v="24"/>
    <x v="1"/>
    <x v="1"/>
    <x v="14"/>
    <x v="7"/>
    <n v="20495431.289999999"/>
  </r>
  <r>
    <x v="7"/>
    <x v="0"/>
    <x v="1"/>
    <x v="0"/>
    <x v="1"/>
    <x v="1"/>
    <x v="1"/>
    <x v="0"/>
    <x v="0"/>
    <x v="0"/>
    <x v="0"/>
    <x v="4"/>
    <s v="24"/>
    <x v="1"/>
    <x v="1"/>
    <x v="14"/>
    <x v="5"/>
    <n v="127839.94"/>
  </r>
  <r>
    <x v="7"/>
    <x v="0"/>
    <x v="1"/>
    <x v="0"/>
    <x v="1"/>
    <x v="1"/>
    <x v="1"/>
    <x v="0"/>
    <x v="0"/>
    <x v="0"/>
    <x v="0"/>
    <x v="4"/>
    <s v="24"/>
    <x v="1"/>
    <x v="1"/>
    <x v="14"/>
    <x v="6"/>
    <n v="61253.46"/>
  </r>
  <r>
    <x v="7"/>
    <x v="0"/>
    <x v="1"/>
    <x v="0"/>
    <x v="1"/>
    <x v="1"/>
    <x v="1"/>
    <x v="0"/>
    <x v="0"/>
    <x v="0"/>
    <x v="0"/>
    <x v="4"/>
    <s v="24"/>
    <x v="1"/>
    <x v="1"/>
    <x v="14"/>
    <x v="1"/>
    <n v="-15660.08"/>
  </r>
  <r>
    <x v="7"/>
    <x v="0"/>
    <x v="1"/>
    <x v="0"/>
    <x v="1"/>
    <x v="1"/>
    <x v="1"/>
    <x v="0"/>
    <x v="0"/>
    <x v="0"/>
    <x v="0"/>
    <x v="4"/>
    <s v="24"/>
    <x v="1"/>
    <x v="1"/>
    <x v="15"/>
    <x v="0"/>
    <n v="-38878.39"/>
  </r>
  <r>
    <x v="7"/>
    <x v="0"/>
    <x v="1"/>
    <x v="0"/>
    <x v="1"/>
    <x v="1"/>
    <x v="1"/>
    <x v="0"/>
    <x v="0"/>
    <x v="0"/>
    <x v="0"/>
    <x v="4"/>
    <s v="24"/>
    <x v="1"/>
    <x v="1"/>
    <x v="15"/>
    <x v="2"/>
    <n v="24733537.510000002"/>
  </r>
  <r>
    <x v="7"/>
    <x v="0"/>
    <x v="1"/>
    <x v="0"/>
    <x v="1"/>
    <x v="1"/>
    <x v="1"/>
    <x v="0"/>
    <x v="0"/>
    <x v="0"/>
    <x v="0"/>
    <x v="4"/>
    <s v="24"/>
    <x v="1"/>
    <x v="1"/>
    <x v="15"/>
    <x v="8"/>
    <n v="-799818.38"/>
  </r>
  <r>
    <x v="7"/>
    <x v="0"/>
    <x v="1"/>
    <x v="0"/>
    <x v="1"/>
    <x v="1"/>
    <x v="1"/>
    <x v="0"/>
    <x v="0"/>
    <x v="0"/>
    <x v="0"/>
    <x v="4"/>
    <s v="24"/>
    <x v="1"/>
    <x v="1"/>
    <x v="15"/>
    <x v="9"/>
    <n v="-446334.67"/>
  </r>
  <r>
    <x v="7"/>
    <x v="0"/>
    <x v="1"/>
    <x v="0"/>
    <x v="1"/>
    <x v="1"/>
    <x v="1"/>
    <x v="0"/>
    <x v="0"/>
    <x v="0"/>
    <x v="0"/>
    <x v="4"/>
    <s v="24"/>
    <x v="1"/>
    <x v="1"/>
    <x v="15"/>
    <x v="10"/>
    <n v="-84758.31"/>
  </r>
  <r>
    <x v="7"/>
    <x v="0"/>
    <x v="1"/>
    <x v="0"/>
    <x v="1"/>
    <x v="1"/>
    <x v="1"/>
    <x v="0"/>
    <x v="0"/>
    <x v="0"/>
    <x v="0"/>
    <x v="4"/>
    <s v="24"/>
    <x v="1"/>
    <x v="1"/>
    <x v="15"/>
    <x v="11"/>
    <n v="21964289.629999999"/>
  </r>
  <r>
    <x v="7"/>
    <x v="0"/>
    <x v="1"/>
    <x v="0"/>
    <x v="1"/>
    <x v="1"/>
    <x v="1"/>
    <x v="0"/>
    <x v="0"/>
    <x v="0"/>
    <x v="0"/>
    <x v="4"/>
    <s v="24"/>
    <x v="1"/>
    <x v="1"/>
    <x v="15"/>
    <x v="3"/>
    <n v="636988.74"/>
  </r>
  <r>
    <x v="7"/>
    <x v="0"/>
    <x v="1"/>
    <x v="0"/>
    <x v="1"/>
    <x v="1"/>
    <x v="1"/>
    <x v="0"/>
    <x v="0"/>
    <x v="0"/>
    <x v="0"/>
    <x v="4"/>
    <s v="24"/>
    <x v="1"/>
    <x v="1"/>
    <x v="15"/>
    <x v="4"/>
    <n v="-130841.64"/>
  </r>
  <r>
    <x v="7"/>
    <x v="0"/>
    <x v="1"/>
    <x v="0"/>
    <x v="1"/>
    <x v="1"/>
    <x v="2"/>
    <x v="0"/>
    <x v="0"/>
    <x v="0"/>
    <x v="0"/>
    <x v="4"/>
    <s v="05"/>
    <x v="38"/>
    <x v="1"/>
    <x v="15"/>
    <x v="11"/>
    <n v="-360"/>
  </r>
  <r>
    <x v="7"/>
    <x v="0"/>
    <x v="1"/>
    <x v="0"/>
    <x v="1"/>
    <x v="1"/>
    <x v="2"/>
    <x v="0"/>
    <x v="0"/>
    <x v="0"/>
    <x v="0"/>
    <x v="4"/>
    <s v="05"/>
    <x v="38"/>
    <x v="1"/>
    <x v="15"/>
    <x v="3"/>
    <n v="360"/>
  </r>
  <r>
    <x v="7"/>
    <x v="0"/>
    <x v="1"/>
    <x v="0"/>
    <x v="1"/>
    <x v="1"/>
    <x v="6"/>
    <x v="0"/>
    <x v="0"/>
    <x v="0"/>
    <x v="0"/>
    <x v="4"/>
    <s v="05"/>
    <x v="38"/>
    <x v="1"/>
    <x v="15"/>
    <x v="3"/>
    <n v="535"/>
  </r>
  <r>
    <x v="7"/>
    <x v="0"/>
    <x v="1"/>
    <x v="0"/>
    <x v="1"/>
    <x v="1"/>
    <x v="6"/>
    <x v="0"/>
    <x v="0"/>
    <x v="0"/>
    <x v="0"/>
    <x v="4"/>
    <s v="05"/>
    <x v="38"/>
    <x v="1"/>
    <x v="15"/>
    <x v="4"/>
    <n v="50"/>
  </r>
  <r>
    <x v="7"/>
    <x v="0"/>
    <x v="1"/>
    <x v="0"/>
    <x v="1"/>
    <x v="1"/>
    <x v="6"/>
    <x v="0"/>
    <x v="0"/>
    <x v="0"/>
    <x v="0"/>
    <x v="4"/>
    <s v="20"/>
    <x v="7"/>
    <x v="1"/>
    <x v="15"/>
    <x v="3"/>
    <n v="317"/>
  </r>
  <r>
    <x v="7"/>
    <x v="0"/>
    <x v="1"/>
    <x v="0"/>
    <x v="1"/>
    <x v="1"/>
    <x v="6"/>
    <x v="0"/>
    <x v="0"/>
    <x v="0"/>
    <x v="0"/>
    <x v="4"/>
    <s v="20"/>
    <x v="7"/>
    <x v="1"/>
    <x v="15"/>
    <x v="4"/>
    <n v="-87.14"/>
  </r>
  <r>
    <x v="7"/>
    <x v="0"/>
    <x v="1"/>
    <x v="0"/>
    <x v="1"/>
    <x v="5"/>
    <x v="0"/>
    <x v="0"/>
    <x v="0"/>
    <x v="1"/>
    <x v="1"/>
    <x v="8"/>
    <s v="41"/>
    <x v="4"/>
    <x v="1"/>
    <x v="14"/>
    <x v="0"/>
    <n v="-1900000"/>
  </r>
  <r>
    <x v="7"/>
    <x v="0"/>
    <x v="1"/>
    <x v="0"/>
    <x v="1"/>
    <x v="5"/>
    <x v="0"/>
    <x v="0"/>
    <x v="0"/>
    <x v="1"/>
    <x v="1"/>
    <x v="8"/>
    <s v="41"/>
    <x v="4"/>
    <x v="1"/>
    <x v="14"/>
    <x v="9"/>
    <n v="1900000"/>
  </r>
  <r>
    <x v="7"/>
    <x v="0"/>
    <x v="1"/>
    <x v="0"/>
    <x v="1"/>
    <x v="5"/>
    <x v="0"/>
    <x v="0"/>
    <x v="0"/>
    <x v="1"/>
    <x v="1"/>
    <x v="8"/>
    <s v="41"/>
    <x v="4"/>
    <x v="1"/>
    <x v="14"/>
    <x v="3"/>
    <n v="1900000"/>
  </r>
  <r>
    <x v="7"/>
    <x v="0"/>
    <x v="1"/>
    <x v="0"/>
    <x v="1"/>
    <x v="5"/>
    <x v="0"/>
    <x v="0"/>
    <x v="0"/>
    <x v="1"/>
    <x v="1"/>
    <x v="8"/>
    <s v="41"/>
    <x v="4"/>
    <x v="1"/>
    <x v="14"/>
    <x v="5"/>
    <n v="87413.04"/>
  </r>
  <r>
    <x v="7"/>
    <x v="0"/>
    <x v="1"/>
    <x v="0"/>
    <x v="1"/>
    <x v="5"/>
    <x v="0"/>
    <x v="0"/>
    <x v="0"/>
    <x v="1"/>
    <x v="1"/>
    <x v="8"/>
    <s v="41"/>
    <x v="4"/>
    <x v="1"/>
    <x v="14"/>
    <x v="1"/>
    <n v="-1742029.79"/>
  </r>
  <r>
    <x v="7"/>
    <x v="0"/>
    <x v="1"/>
    <x v="0"/>
    <x v="1"/>
    <x v="5"/>
    <x v="0"/>
    <x v="0"/>
    <x v="0"/>
    <x v="0"/>
    <x v="0"/>
    <x v="4"/>
    <s v="09"/>
    <x v="51"/>
    <x v="1"/>
    <x v="14"/>
    <x v="7"/>
    <n v="104295.78"/>
  </r>
  <r>
    <x v="7"/>
    <x v="0"/>
    <x v="1"/>
    <x v="0"/>
    <x v="1"/>
    <x v="5"/>
    <x v="0"/>
    <x v="0"/>
    <x v="0"/>
    <x v="0"/>
    <x v="0"/>
    <x v="4"/>
    <s v="24"/>
    <x v="1"/>
    <x v="1"/>
    <x v="14"/>
    <x v="0"/>
    <n v="-9175.5499999999993"/>
  </r>
  <r>
    <x v="7"/>
    <x v="0"/>
    <x v="1"/>
    <x v="0"/>
    <x v="1"/>
    <x v="5"/>
    <x v="0"/>
    <x v="0"/>
    <x v="0"/>
    <x v="0"/>
    <x v="0"/>
    <x v="4"/>
    <s v="24"/>
    <x v="1"/>
    <x v="1"/>
    <x v="14"/>
    <x v="2"/>
    <n v="-3225"/>
  </r>
  <r>
    <x v="7"/>
    <x v="0"/>
    <x v="1"/>
    <x v="0"/>
    <x v="1"/>
    <x v="5"/>
    <x v="0"/>
    <x v="0"/>
    <x v="0"/>
    <x v="0"/>
    <x v="0"/>
    <x v="4"/>
    <s v="24"/>
    <x v="1"/>
    <x v="1"/>
    <x v="14"/>
    <x v="8"/>
    <n v="22764776.030000001"/>
  </r>
  <r>
    <x v="7"/>
    <x v="0"/>
    <x v="1"/>
    <x v="0"/>
    <x v="1"/>
    <x v="5"/>
    <x v="0"/>
    <x v="0"/>
    <x v="0"/>
    <x v="0"/>
    <x v="0"/>
    <x v="4"/>
    <s v="24"/>
    <x v="1"/>
    <x v="1"/>
    <x v="14"/>
    <x v="9"/>
    <n v="-583981.26"/>
  </r>
  <r>
    <x v="7"/>
    <x v="0"/>
    <x v="1"/>
    <x v="0"/>
    <x v="1"/>
    <x v="5"/>
    <x v="0"/>
    <x v="0"/>
    <x v="0"/>
    <x v="0"/>
    <x v="0"/>
    <x v="4"/>
    <s v="24"/>
    <x v="1"/>
    <x v="1"/>
    <x v="14"/>
    <x v="10"/>
    <n v="-157595.96"/>
  </r>
  <r>
    <x v="7"/>
    <x v="0"/>
    <x v="1"/>
    <x v="0"/>
    <x v="1"/>
    <x v="5"/>
    <x v="0"/>
    <x v="0"/>
    <x v="0"/>
    <x v="0"/>
    <x v="0"/>
    <x v="4"/>
    <s v="24"/>
    <x v="1"/>
    <x v="1"/>
    <x v="14"/>
    <x v="11"/>
    <n v="-55613.23"/>
  </r>
  <r>
    <x v="7"/>
    <x v="0"/>
    <x v="1"/>
    <x v="0"/>
    <x v="1"/>
    <x v="5"/>
    <x v="0"/>
    <x v="0"/>
    <x v="0"/>
    <x v="0"/>
    <x v="0"/>
    <x v="4"/>
    <s v="24"/>
    <x v="1"/>
    <x v="1"/>
    <x v="14"/>
    <x v="3"/>
    <n v="-41255.360000000001"/>
  </r>
  <r>
    <x v="7"/>
    <x v="0"/>
    <x v="1"/>
    <x v="0"/>
    <x v="1"/>
    <x v="5"/>
    <x v="0"/>
    <x v="0"/>
    <x v="0"/>
    <x v="0"/>
    <x v="0"/>
    <x v="4"/>
    <s v="24"/>
    <x v="1"/>
    <x v="1"/>
    <x v="14"/>
    <x v="4"/>
    <n v="-1124280.5"/>
  </r>
  <r>
    <x v="7"/>
    <x v="0"/>
    <x v="1"/>
    <x v="0"/>
    <x v="1"/>
    <x v="5"/>
    <x v="0"/>
    <x v="0"/>
    <x v="0"/>
    <x v="0"/>
    <x v="0"/>
    <x v="4"/>
    <s v="24"/>
    <x v="1"/>
    <x v="1"/>
    <x v="14"/>
    <x v="7"/>
    <n v="-423573.1"/>
  </r>
  <r>
    <x v="7"/>
    <x v="0"/>
    <x v="1"/>
    <x v="0"/>
    <x v="1"/>
    <x v="5"/>
    <x v="0"/>
    <x v="0"/>
    <x v="0"/>
    <x v="0"/>
    <x v="0"/>
    <x v="4"/>
    <s v="24"/>
    <x v="1"/>
    <x v="1"/>
    <x v="14"/>
    <x v="5"/>
    <n v="20397619.710000001"/>
  </r>
  <r>
    <x v="7"/>
    <x v="0"/>
    <x v="1"/>
    <x v="0"/>
    <x v="1"/>
    <x v="5"/>
    <x v="0"/>
    <x v="0"/>
    <x v="0"/>
    <x v="0"/>
    <x v="0"/>
    <x v="4"/>
    <s v="24"/>
    <x v="1"/>
    <x v="1"/>
    <x v="14"/>
    <x v="6"/>
    <n v="251111.53"/>
  </r>
  <r>
    <x v="7"/>
    <x v="0"/>
    <x v="1"/>
    <x v="0"/>
    <x v="1"/>
    <x v="5"/>
    <x v="0"/>
    <x v="0"/>
    <x v="0"/>
    <x v="0"/>
    <x v="0"/>
    <x v="4"/>
    <s v="24"/>
    <x v="1"/>
    <x v="1"/>
    <x v="14"/>
    <x v="1"/>
    <n v="22459277.84"/>
  </r>
  <r>
    <x v="7"/>
    <x v="0"/>
    <x v="1"/>
    <x v="0"/>
    <x v="1"/>
    <x v="5"/>
    <x v="0"/>
    <x v="0"/>
    <x v="0"/>
    <x v="0"/>
    <x v="0"/>
    <x v="4"/>
    <s v="24"/>
    <x v="1"/>
    <x v="1"/>
    <x v="15"/>
    <x v="0"/>
    <n v="236.46"/>
  </r>
  <r>
    <x v="7"/>
    <x v="0"/>
    <x v="1"/>
    <x v="0"/>
    <x v="1"/>
    <x v="5"/>
    <x v="0"/>
    <x v="0"/>
    <x v="0"/>
    <x v="0"/>
    <x v="0"/>
    <x v="4"/>
    <s v="24"/>
    <x v="1"/>
    <x v="1"/>
    <x v="15"/>
    <x v="2"/>
    <n v="-10101.780000000001"/>
  </r>
  <r>
    <x v="7"/>
    <x v="0"/>
    <x v="1"/>
    <x v="0"/>
    <x v="1"/>
    <x v="5"/>
    <x v="0"/>
    <x v="0"/>
    <x v="0"/>
    <x v="0"/>
    <x v="0"/>
    <x v="4"/>
    <s v="24"/>
    <x v="1"/>
    <x v="1"/>
    <x v="15"/>
    <x v="8"/>
    <n v="22486944.18"/>
  </r>
  <r>
    <x v="7"/>
    <x v="0"/>
    <x v="1"/>
    <x v="0"/>
    <x v="1"/>
    <x v="5"/>
    <x v="0"/>
    <x v="0"/>
    <x v="0"/>
    <x v="0"/>
    <x v="0"/>
    <x v="4"/>
    <s v="24"/>
    <x v="1"/>
    <x v="1"/>
    <x v="15"/>
    <x v="9"/>
    <n v="-460482.98"/>
  </r>
  <r>
    <x v="7"/>
    <x v="0"/>
    <x v="1"/>
    <x v="0"/>
    <x v="1"/>
    <x v="5"/>
    <x v="0"/>
    <x v="0"/>
    <x v="0"/>
    <x v="0"/>
    <x v="0"/>
    <x v="4"/>
    <s v="24"/>
    <x v="1"/>
    <x v="1"/>
    <x v="15"/>
    <x v="10"/>
    <n v="-99866.71"/>
  </r>
  <r>
    <x v="7"/>
    <x v="0"/>
    <x v="1"/>
    <x v="0"/>
    <x v="1"/>
    <x v="5"/>
    <x v="0"/>
    <x v="0"/>
    <x v="0"/>
    <x v="0"/>
    <x v="0"/>
    <x v="4"/>
    <s v="24"/>
    <x v="1"/>
    <x v="1"/>
    <x v="15"/>
    <x v="11"/>
    <n v="-42383.65"/>
  </r>
  <r>
    <x v="7"/>
    <x v="0"/>
    <x v="1"/>
    <x v="0"/>
    <x v="1"/>
    <x v="5"/>
    <x v="0"/>
    <x v="0"/>
    <x v="0"/>
    <x v="0"/>
    <x v="0"/>
    <x v="4"/>
    <s v="24"/>
    <x v="1"/>
    <x v="1"/>
    <x v="15"/>
    <x v="3"/>
    <n v="21301178.149999999"/>
  </r>
  <r>
    <x v="7"/>
    <x v="0"/>
    <x v="1"/>
    <x v="0"/>
    <x v="1"/>
    <x v="5"/>
    <x v="0"/>
    <x v="0"/>
    <x v="0"/>
    <x v="0"/>
    <x v="0"/>
    <x v="4"/>
    <s v="24"/>
    <x v="1"/>
    <x v="1"/>
    <x v="15"/>
    <x v="4"/>
    <n v="-71583.94"/>
  </r>
  <r>
    <x v="7"/>
    <x v="0"/>
    <x v="1"/>
    <x v="0"/>
    <x v="1"/>
    <x v="5"/>
    <x v="0"/>
    <x v="0"/>
    <x v="0"/>
    <x v="0"/>
    <x v="0"/>
    <x v="4"/>
    <s v="99"/>
    <x v="9"/>
    <x v="1"/>
    <x v="14"/>
    <x v="5"/>
    <n v="1468.48"/>
  </r>
  <r>
    <x v="7"/>
    <x v="0"/>
    <x v="1"/>
    <x v="0"/>
    <x v="1"/>
    <x v="5"/>
    <x v="0"/>
    <x v="0"/>
    <x v="0"/>
    <x v="0"/>
    <x v="0"/>
    <x v="4"/>
    <s v="99"/>
    <x v="9"/>
    <x v="1"/>
    <x v="14"/>
    <x v="6"/>
    <n v="89948.38"/>
  </r>
  <r>
    <x v="7"/>
    <x v="0"/>
    <x v="1"/>
    <x v="0"/>
    <x v="1"/>
    <x v="5"/>
    <x v="0"/>
    <x v="0"/>
    <x v="0"/>
    <x v="0"/>
    <x v="0"/>
    <x v="4"/>
    <s v="99"/>
    <x v="9"/>
    <x v="1"/>
    <x v="14"/>
    <x v="1"/>
    <n v="-201345.21"/>
  </r>
  <r>
    <x v="7"/>
    <x v="0"/>
    <x v="1"/>
    <x v="0"/>
    <x v="1"/>
    <x v="5"/>
    <x v="0"/>
    <x v="0"/>
    <x v="0"/>
    <x v="0"/>
    <x v="4"/>
    <x v="5"/>
    <s v="22"/>
    <x v="25"/>
    <x v="1"/>
    <x v="14"/>
    <x v="0"/>
    <n v="-399079.24"/>
  </r>
  <r>
    <x v="7"/>
    <x v="0"/>
    <x v="1"/>
    <x v="0"/>
    <x v="1"/>
    <x v="5"/>
    <x v="0"/>
    <x v="0"/>
    <x v="0"/>
    <x v="0"/>
    <x v="4"/>
    <x v="5"/>
    <s v="22"/>
    <x v="25"/>
    <x v="1"/>
    <x v="14"/>
    <x v="9"/>
    <n v="1900000"/>
  </r>
  <r>
    <x v="7"/>
    <x v="0"/>
    <x v="1"/>
    <x v="0"/>
    <x v="1"/>
    <x v="5"/>
    <x v="0"/>
    <x v="0"/>
    <x v="0"/>
    <x v="0"/>
    <x v="4"/>
    <x v="5"/>
    <s v="22"/>
    <x v="25"/>
    <x v="1"/>
    <x v="14"/>
    <x v="1"/>
    <n v="-3845475"/>
  </r>
  <r>
    <x v="7"/>
    <x v="0"/>
    <x v="1"/>
    <x v="0"/>
    <x v="1"/>
    <x v="6"/>
    <x v="0"/>
    <x v="0"/>
    <x v="0"/>
    <x v="0"/>
    <x v="0"/>
    <x v="4"/>
    <s v="20"/>
    <x v="7"/>
    <x v="1"/>
    <x v="14"/>
    <x v="1"/>
    <n v="11400"/>
  </r>
  <r>
    <x v="7"/>
    <x v="0"/>
    <x v="1"/>
    <x v="0"/>
    <x v="1"/>
    <x v="6"/>
    <x v="0"/>
    <x v="0"/>
    <x v="0"/>
    <x v="0"/>
    <x v="0"/>
    <x v="4"/>
    <s v="24"/>
    <x v="1"/>
    <x v="1"/>
    <x v="14"/>
    <x v="0"/>
    <n v="27510.49"/>
  </r>
  <r>
    <x v="7"/>
    <x v="0"/>
    <x v="1"/>
    <x v="0"/>
    <x v="1"/>
    <x v="6"/>
    <x v="0"/>
    <x v="0"/>
    <x v="0"/>
    <x v="0"/>
    <x v="0"/>
    <x v="4"/>
    <s v="24"/>
    <x v="1"/>
    <x v="1"/>
    <x v="14"/>
    <x v="2"/>
    <n v="8245.6200000000008"/>
  </r>
  <r>
    <x v="7"/>
    <x v="0"/>
    <x v="1"/>
    <x v="0"/>
    <x v="1"/>
    <x v="6"/>
    <x v="0"/>
    <x v="0"/>
    <x v="0"/>
    <x v="0"/>
    <x v="0"/>
    <x v="4"/>
    <s v="24"/>
    <x v="1"/>
    <x v="1"/>
    <x v="14"/>
    <x v="9"/>
    <n v="-35756.11"/>
  </r>
  <r>
    <x v="7"/>
    <x v="0"/>
    <x v="1"/>
    <x v="0"/>
    <x v="1"/>
    <x v="6"/>
    <x v="0"/>
    <x v="0"/>
    <x v="0"/>
    <x v="0"/>
    <x v="0"/>
    <x v="4"/>
    <s v="24"/>
    <x v="1"/>
    <x v="1"/>
    <x v="14"/>
    <x v="10"/>
    <n v="-20995.55"/>
  </r>
  <r>
    <x v="7"/>
    <x v="0"/>
    <x v="1"/>
    <x v="0"/>
    <x v="1"/>
    <x v="6"/>
    <x v="0"/>
    <x v="0"/>
    <x v="0"/>
    <x v="0"/>
    <x v="0"/>
    <x v="4"/>
    <s v="24"/>
    <x v="1"/>
    <x v="1"/>
    <x v="14"/>
    <x v="5"/>
    <n v="-50"/>
  </r>
  <r>
    <x v="7"/>
    <x v="0"/>
    <x v="1"/>
    <x v="0"/>
    <x v="1"/>
    <x v="6"/>
    <x v="0"/>
    <x v="0"/>
    <x v="0"/>
    <x v="0"/>
    <x v="0"/>
    <x v="4"/>
    <s v="24"/>
    <x v="1"/>
    <x v="1"/>
    <x v="14"/>
    <x v="6"/>
    <n v="50"/>
  </r>
  <r>
    <x v="7"/>
    <x v="0"/>
    <x v="1"/>
    <x v="0"/>
    <x v="1"/>
    <x v="6"/>
    <x v="0"/>
    <x v="0"/>
    <x v="0"/>
    <x v="0"/>
    <x v="0"/>
    <x v="4"/>
    <s v="24"/>
    <x v="1"/>
    <x v="1"/>
    <x v="15"/>
    <x v="8"/>
    <n v="11704.45"/>
  </r>
  <r>
    <x v="7"/>
    <x v="0"/>
    <x v="1"/>
    <x v="0"/>
    <x v="1"/>
    <x v="6"/>
    <x v="0"/>
    <x v="0"/>
    <x v="0"/>
    <x v="0"/>
    <x v="0"/>
    <x v="4"/>
    <s v="24"/>
    <x v="1"/>
    <x v="1"/>
    <x v="15"/>
    <x v="3"/>
    <n v="-20"/>
  </r>
  <r>
    <x v="7"/>
    <x v="0"/>
    <x v="1"/>
    <x v="0"/>
    <x v="1"/>
    <x v="6"/>
    <x v="0"/>
    <x v="0"/>
    <x v="0"/>
    <x v="0"/>
    <x v="0"/>
    <x v="4"/>
    <s v="24"/>
    <x v="1"/>
    <x v="1"/>
    <x v="15"/>
    <x v="4"/>
    <n v="1229.53"/>
  </r>
  <r>
    <x v="7"/>
    <x v="0"/>
    <x v="1"/>
    <x v="0"/>
    <x v="1"/>
    <x v="6"/>
    <x v="0"/>
    <x v="0"/>
    <x v="0"/>
    <x v="0"/>
    <x v="4"/>
    <x v="5"/>
    <s v="21"/>
    <x v="27"/>
    <x v="1"/>
    <x v="15"/>
    <x v="9"/>
    <n v="45000"/>
  </r>
  <r>
    <x v="7"/>
    <x v="0"/>
    <x v="1"/>
    <x v="0"/>
    <x v="1"/>
    <x v="6"/>
    <x v="0"/>
    <x v="0"/>
    <x v="0"/>
    <x v="0"/>
    <x v="4"/>
    <x v="5"/>
    <s v="21"/>
    <x v="27"/>
    <x v="1"/>
    <x v="15"/>
    <x v="10"/>
    <n v="-45000"/>
  </r>
  <r>
    <x v="7"/>
    <x v="0"/>
    <x v="1"/>
    <x v="0"/>
    <x v="1"/>
    <x v="6"/>
    <x v="0"/>
    <x v="0"/>
    <x v="0"/>
    <x v="0"/>
    <x v="4"/>
    <x v="5"/>
    <s v="22"/>
    <x v="25"/>
    <x v="1"/>
    <x v="15"/>
    <x v="9"/>
    <n v="-45000"/>
  </r>
  <r>
    <x v="7"/>
    <x v="0"/>
    <x v="1"/>
    <x v="0"/>
    <x v="1"/>
    <x v="6"/>
    <x v="0"/>
    <x v="0"/>
    <x v="0"/>
    <x v="0"/>
    <x v="4"/>
    <x v="5"/>
    <s v="22"/>
    <x v="25"/>
    <x v="1"/>
    <x v="15"/>
    <x v="10"/>
    <n v="45000"/>
  </r>
  <r>
    <x v="7"/>
    <x v="0"/>
    <x v="1"/>
    <x v="0"/>
    <x v="1"/>
    <x v="6"/>
    <x v="0"/>
    <x v="0"/>
    <x v="0"/>
    <x v="0"/>
    <x v="5"/>
    <x v="6"/>
    <s v="40"/>
    <x v="26"/>
    <x v="1"/>
    <x v="14"/>
    <x v="5"/>
    <n v="50"/>
  </r>
  <r>
    <x v="7"/>
    <x v="0"/>
    <x v="1"/>
    <x v="0"/>
    <x v="1"/>
    <x v="6"/>
    <x v="0"/>
    <x v="0"/>
    <x v="0"/>
    <x v="0"/>
    <x v="5"/>
    <x v="6"/>
    <s v="40"/>
    <x v="26"/>
    <x v="1"/>
    <x v="14"/>
    <x v="6"/>
    <n v="-50"/>
  </r>
  <r>
    <x v="7"/>
    <x v="0"/>
    <x v="1"/>
    <x v="0"/>
    <x v="1"/>
    <x v="6"/>
    <x v="1"/>
    <x v="0"/>
    <x v="0"/>
    <x v="0"/>
    <x v="0"/>
    <x v="4"/>
    <s v="02"/>
    <x v="5"/>
    <x v="1"/>
    <x v="15"/>
    <x v="3"/>
    <n v="-136"/>
  </r>
  <r>
    <x v="7"/>
    <x v="0"/>
    <x v="1"/>
    <x v="0"/>
    <x v="1"/>
    <x v="6"/>
    <x v="1"/>
    <x v="0"/>
    <x v="0"/>
    <x v="0"/>
    <x v="0"/>
    <x v="4"/>
    <s v="02"/>
    <x v="5"/>
    <x v="1"/>
    <x v="15"/>
    <x v="4"/>
    <n v="136"/>
  </r>
  <r>
    <x v="7"/>
    <x v="0"/>
    <x v="1"/>
    <x v="0"/>
    <x v="1"/>
    <x v="6"/>
    <x v="1"/>
    <x v="0"/>
    <x v="0"/>
    <x v="0"/>
    <x v="0"/>
    <x v="4"/>
    <s v="24"/>
    <x v="1"/>
    <x v="1"/>
    <x v="15"/>
    <x v="4"/>
    <n v="-40"/>
  </r>
  <r>
    <x v="7"/>
    <x v="0"/>
    <x v="1"/>
    <x v="0"/>
    <x v="1"/>
    <x v="6"/>
    <x v="1"/>
    <x v="0"/>
    <x v="0"/>
    <x v="0"/>
    <x v="0"/>
    <x v="4"/>
    <s v="30"/>
    <x v="3"/>
    <x v="1"/>
    <x v="14"/>
    <x v="3"/>
    <n v="-500"/>
  </r>
  <r>
    <x v="7"/>
    <x v="0"/>
    <x v="1"/>
    <x v="0"/>
    <x v="1"/>
    <x v="6"/>
    <x v="1"/>
    <x v="0"/>
    <x v="0"/>
    <x v="0"/>
    <x v="0"/>
    <x v="4"/>
    <s v="30"/>
    <x v="3"/>
    <x v="1"/>
    <x v="14"/>
    <x v="4"/>
    <n v="500"/>
  </r>
  <r>
    <x v="7"/>
    <x v="0"/>
    <x v="1"/>
    <x v="0"/>
    <x v="1"/>
    <x v="6"/>
    <x v="2"/>
    <x v="0"/>
    <x v="0"/>
    <x v="0"/>
    <x v="0"/>
    <x v="4"/>
    <s v="20"/>
    <x v="7"/>
    <x v="1"/>
    <x v="14"/>
    <x v="8"/>
    <n v="-2812.5"/>
  </r>
  <r>
    <x v="7"/>
    <x v="0"/>
    <x v="1"/>
    <x v="0"/>
    <x v="1"/>
    <x v="6"/>
    <x v="2"/>
    <x v="0"/>
    <x v="0"/>
    <x v="0"/>
    <x v="0"/>
    <x v="4"/>
    <s v="20"/>
    <x v="7"/>
    <x v="1"/>
    <x v="14"/>
    <x v="10"/>
    <n v="2812.5"/>
  </r>
  <r>
    <x v="7"/>
    <x v="0"/>
    <x v="1"/>
    <x v="0"/>
    <x v="1"/>
    <x v="6"/>
    <x v="3"/>
    <x v="0"/>
    <x v="0"/>
    <x v="0"/>
    <x v="0"/>
    <x v="4"/>
    <s v="02"/>
    <x v="5"/>
    <x v="1"/>
    <x v="15"/>
    <x v="3"/>
    <n v="-80"/>
  </r>
  <r>
    <x v="7"/>
    <x v="0"/>
    <x v="1"/>
    <x v="0"/>
    <x v="1"/>
    <x v="6"/>
    <x v="3"/>
    <x v="0"/>
    <x v="0"/>
    <x v="0"/>
    <x v="0"/>
    <x v="4"/>
    <s v="02"/>
    <x v="5"/>
    <x v="1"/>
    <x v="15"/>
    <x v="4"/>
    <n v="80"/>
  </r>
  <r>
    <x v="7"/>
    <x v="0"/>
    <x v="1"/>
    <x v="0"/>
    <x v="1"/>
    <x v="6"/>
    <x v="3"/>
    <x v="0"/>
    <x v="0"/>
    <x v="0"/>
    <x v="0"/>
    <x v="4"/>
    <s v="20"/>
    <x v="7"/>
    <x v="1"/>
    <x v="14"/>
    <x v="1"/>
    <n v="-1675"/>
  </r>
  <r>
    <x v="7"/>
    <x v="0"/>
    <x v="1"/>
    <x v="0"/>
    <x v="1"/>
    <x v="6"/>
    <x v="4"/>
    <x v="0"/>
    <x v="0"/>
    <x v="0"/>
    <x v="0"/>
    <x v="4"/>
    <s v="02"/>
    <x v="5"/>
    <x v="1"/>
    <x v="15"/>
    <x v="3"/>
    <n v="-30"/>
  </r>
  <r>
    <x v="7"/>
    <x v="0"/>
    <x v="1"/>
    <x v="0"/>
    <x v="1"/>
    <x v="6"/>
    <x v="4"/>
    <x v="0"/>
    <x v="0"/>
    <x v="0"/>
    <x v="0"/>
    <x v="4"/>
    <s v="02"/>
    <x v="5"/>
    <x v="1"/>
    <x v="15"/>
    <x v="4"/>
    <n v="30"/>
  </r>
  <r>
    <x v="7"/>
    <x v="0"/>
    <x v="1"/>
    <x v="0"/>
    <x v="1"/>
    <x v="6"/>
    <x v="4"/>
    <x v="0"/>
    <x v="0"/>
    <x v="0"/>
    <x v="0"/>
    <x v="4"/>
    <s v="20"/>
    <x v="7"/>
    <x v="1"/>
    <x v="14"/>
    <x v="8"/>
    <n v="2812.5"/>
  </r>
  <r>
    <x v="7"/>
    <x v="0"/>
    <x v="1"/>
    <x v="0"/>
    <x v="1"/>
    <x v="6"/>
    <x v="4"/>
    <x v="0"/>
    <x v="0"/>
    <x v="0"/>
    <x v="0"/>
    <x v="4"/>
    <s v="20"/>
    <x v="7"/>
    <x v="1"/>
    <x v="14"/>
    <x v="10"/>
    <n v="-2812.5"/>
  </r>
  <r>
    <x v="7"/>
    <x v="0"/>
    <x v="1"/>
    <x v="0"/>
    <x v="1"/>
    <x v="6"/>
    <x v="4"/>
    <x v="0"/>
    <x v="0"/>
    <x v="0"/>
    <x v="0"/>
    <x v="4"/>
    <s v="20"/>
    <x v="7"/>
    <x v="1"/>
    <x v="14"/>
    <x v="1"/>
    <n v="-9725"/>
  </r>
  <r>
    <x v="7"/>
    <x v="0"/>
    <x v="1"/>
    <x v="0"/>
    <x v="1"/>
    <x v="6"/>
    <x v="4"/>
    <x v="0"/>
    <x v="0"/>
    <x v="0"/>
    <x v="0"/>
    <x v="4"/>
    <s v="24"/>
    <x v="1"/>
    <x v="1"/>
    <x v="14"/>
    <x v="0"/>
    <n v="-27510.49"/>
  </r>
  <r>
    <x v="7"/>
    <x v="0"/>
    <x v="1"/>
    <x v="0"/>
    <x v="1"/>
    <x v="6"/>
    <x v="4"/>
    <x v="0"/>
    <x v="0"/>
    <x v="0"/>
    <x v="0"/>
    <x v="4"/>
    <s v="24"/>
    <x v="1"/>
    <x v="1"/>
    <x v="14"/>
    <x v="2"/>
    <n v="-8245.6200000000008"/>
  </r>
  <r>
    <x v="7"/>
    <x v="0"/>
    <x v="1"/>
    <x v="0"/>
    <x v="1"/>
    <x v="6"/>
    <x v="4"/>
    <x v="0"/>
    <x v="0"/>
    <x v="0"/>
    <x v="0"/>
    <x v="4"/>
    <s v="24"/>
    <x v="1"/>
    <x v="1"/>
    <x v="14"/>
    <x v="8"/>
    <n v="11703755.029999999"/>
  </r>
  <r>
    <x v="7"/>
    <x v="0"/>
    <x v="1"/>
    <x v="0"/>
    <x v="1"/>
    <x v="6"/>
    <x v="4"/>
    <x v="0"/>
    <x v="0"/>
    <x v="0"/>
    <x v="0"/>
    <x v="4"/>
    <s v="24"/>
    <x v="1"/>
    <x v="1"/>
    <x v="14"/>
    <x v="9"/>
    <n v="-156306.97"/>
  </r>
  <r>
    <x v="7"/>
    <x v="0"/>
    <x v="1"/>
    <x v="0"/>
    <x v="1"/>
    <x v="6"/>
    <x v="4"/>
    <x v="0"/>
    <x v="0"/>
    <x v="0"/>
    <x v="0"/>
    <x v="4"/>
    <s v="24"/>
    <x v="1"/>
    <x v="1"/>
    <x v="14"/>
    <x v="10"/>
    <n v="-100361.86"/>
  </r>
  <r>
    <x v="7"/>
    <x v="0"/>
    <x v="1"/>
    <x v="0"/>
    <x v="1"/>
    <x v="6"/>
    <x v="4"/>
    <x v="0"/>
    <x v="0"/>
    <x v="0"/>
    <x v="0"/>
    <x v="4"/>
    <s v="24"/>
    <x v="1"/>
    <x v="1"/>
    <x v="14"/>
    <x v="11"/>
    <n v="10441182.98"/>
  </r>
  <r>
    <x v="7"/>
    <x v="0"/>
    <x v="1"/>
    <x v="0"/>
    <x v="1"/>
    <x v="6"/>
    <x v="4"/>
    <x v="0"/>
    <x v="0"/>
    <x v="0"/>
    <x v="0"/>
    <x v="4"/>
    <s v="24"/>
    <x v="1"/>
    <x v="1"/>
    <x v="14"/>
    <x v="3"/>
    <n v="426143.63"/>
  </r>
  <r>
    <x v="7"/>
    <x v="0"/>
    <x v="1"/>
    <x v="0"/>
    <x v="1"/>
    <x v="6"/>
    <x v="4"/>
    <x v="0"/>
    <x v="0"/>
    <x v="0"/>
    <x v="0"/>
    <x v="4"/>
    <s v="24"/>
    <x v="1"/>
    <x v="1"/>
    <x v="14"/>
    <x v="4"/>
    <n v="-68030.7"/>
  </r>
  <r>
    <x v="7"/>
    <x v="0"/>
    <x v="1"/>
    <x v="0"/>
    <x v="1"/>
    <x v="6"/>
    <x v="4"/>
    <x v="0"/>
    <x v="0"/>
    <x v="0"/>
    <x v="0"/>
    <x v="4"/>
    <s v="24"/>
    <x v="1"/>
    <x v="1"/>
    <x v="14"/>
    <x v="7"/>
    <n v="9815332.8300000001"/>
  </r>
  <r>
    <x v="7"/>
    <x v="0"/>
    <x v="1"/>
    <x v="0"/>
    <x v="1"/>
    <x v="6"/>
    <x v="4"/>
    <x v="0"/>
    <x v="0"/>
    <x v="0"/>
    <x v="0"/>
    <x v="4"/>
    <s v="24"/>
    <x v="1"/>
    <x v="1"/>
    <x v="14"/>
    <x v="5"/>
    <n v="466047.43"/>
  </r>
  <r>
    <x v="7"/>
    <x v="0"/>
    <x v="1"/>
    <x v="0"/>
    <x v="1"/>
    <x v="6"/>
    <x v="4"/>
    <x v="0"/>
    <x v="0"/>
    <x v="0"/>
    <x v="0"/>
    <x v="4"/>
    <s v="24"/>
    <x v="1"/>
    <x v="1"/>
    <x v="14"/>
    <x v="6"/>
    <n v="-91211.77"/>
  </r>
  <r>
    <x v="7"/>
    <x v="0"/>
    <x v="1"/>
    <x v="0"/>
    <x v="1"/>
    <x v="6"/>
    <x v="4"/>
    <x v="0"/>
    <x v="0"/>
    <x v="0"/>
    <x v="0"/>
    <x v="4"/>
    <s v="24"/>
    <x v="1"/>
    <x v="1"/>
    <x v="14"/>
    <x v="1"/>
    <n v="-24222.99"/>
  </r>
  <r>
    <x v="7"/>
    <x v="0"/>
    <x v="1"/>
    <x v="0"/>
    <x v="1"/>
    <x v="6"/>
    <x v="4"/>
    <x v="0"/>
    <x v="0"/>
    <x v="0"/>
    <x v="0"/>
    <x v="4"/>
    <s v="24"/>
    <x v="1"/>
    <x v="1"/>
    <x v="15"/>
    <x v="0"/>
    <n v="-23408.9"/>
  </r>
  <r>
    <x v="7"/>
    <x v="0"/>
    <x v="1"/>
    <x v="0"/>
    <x v="1"/>
    <x v="6"/>
    <x v="4"/>
    <x v="0"/>
    <x v="0"/>
    <x v="0"/>
    <x v="0"/>
    <x v="4"/>
    <s v="24"/>
    <x v="1"/>
    <x v="1"/>
    <x v="15"/>
    <x v="2"/>
    <n v="-8595.5"/>
  </r>
  <r>
    <x v="7"/>
    <x v="0"/>
    <x v="1"/>
    <x v="0"/>
    <x v="1"/>
    <x v="6"/>
    <x v="4"/>
    <x v="0"/>
    <x v="0"/>
    <x v="0"/>
    <x v="0"/>
    <x v="4"/>
    <s v="24"/>
    <x v="1"/>
    <x v="1"/>
    <x v="15"/>
    <x v="8"/>
    <n v="11057530.710000001"/>
  </r>
  <r>
    <x v="7"/>
    <x v="0"/>
    <x v="1"/>
    <x v="0"/>
    <x v="1"/>
    <x v="6"/>
    <x v="4"/>
    <x v="0"/>
    <x v="0"/>
    <x v="0"/>
    <x v="0"/>
    <x v="4"/>
    <s v="24"/>
    <x v="1"/>
    <x v="1"/>
    <x v="15"/>
    <x v="9"/>
    <n v="-372833.63"/>
  </r>
  <r>
    <x v="7"/>
    <x v="0"/>
    <x v="1"/>
    <x v="0"/>
    <x v="1"/>
    <x v="6"/>
    <x v="4"/>
    <x v="0"/>
    <x v="0"/>
    <x v="0"/>
    <x v="0"/>
    <x v="4"/>
    <s v="24"/>
    <x v="1"/>
    <x v="1"/>
    <x v="15"/>
    <x v="10"/>
    <n v="-96490.29"/>
  </r>
  <r>
    <x v="7"/>
    <x v="0"/>
    <x v="1"/>
    <x v="0"/>
    <x v="1"/>
    <x v="6"/>
    <x v="4"/>
    <x v="0"/>
    <x v="0"/>
    <x v="0"/>
    <x v="0"/>
    <x v="4"/>
    <s v="24"/>
    <x v="1"/>
    <x v="1"/>
    <x v="15"/>
    <x v="11"/>
    <n v="9738853.8499999996"/>
  </r>
  <r>
    <x v="7"/>
    <x v="0"/>
    <x v="1"/>
    <x v="0"/>
    <x v="1"/>
    <x v="6"/>
    <x v="4"/>
    <x v="0"/>
    <x v="0"/>
    <x v="0"/>
    <x v="0"/>
    <x v="4"/>
    <s v="24"/>
    <x v="1"/>
    <x v="1"/>
    <x v="15"/>
    <x v="3"/>
    <n v="439183.35"/>
  </r>
  <r>
    <x v="7"/>
    <x v="0"/>
    <x v="1"/>
    <x v="0"/>
    <x v="1"/>
    <x v="6"/>
    <x v="4"/>
    <x v="0"/>
    <x v="0"/>
    <x v="0"/>
    <x v="0"/>
    <x v="4"/>
    <s v="24"/>
    <x v="1"/>
    <x v="1"/>
    <x v="15"/>
    <x v="4"/>
    <n v="-73615.429999999993"/>
  </r>
  <r>
    <x v="7"/>
    <x v="0"/>
    <x v="1"/>
    <x v="0"/>
    <x v="1"/>
    <x v="6"/>
    <x v="4"/>
    <x v="0"/>
    <x v="0"/>
    <x v="0"/>
    <x v="5"/>
    <x v="6"/>
    <s v="40"/>
    <x v="26"/>
    <x v="1"/>
    <x v="14"/>
    <x v="5"/>
    <n v="-50"/>
  </r>
  <r>
    <x v="7"/>
    <x v="0"/>
    <x v="1"/>
    <x v="0"/>
    <x v="1"/>
    <x v="6"/>
    <x v="4"/>
    <x v="0"/>
    <x v="0"/>
    <x v="0"/>
    <x v="5"/>
    <x v="6"/>
    <s v="40"/>
    <x v="26"/>
    <x v="1"/>
    <x v="14"/>
    <x v="6"/>
    <n v="50"/>
  </r>
  <r>
    <x v="7"/>
    <x v="0"/>
    <x v="1"/>
    <x v="0"/>
    <x v="1"/>
    <x v="6"/>
    <x v="6"/>
    <x v="0"/>
    <x v="0"/>
    <x v="0"/>
    <x v="0"/>
    <x v="4"/>
    <s v="02"/>
    <x v="5"/>
    <x v="1"/>
    <x v="15"/>
    <x v="3"/>
    <n v="492"/>
  </r>
  <r>
    <x v="7"/>
    <x v="0"/>
    <x v="1"/>
    <x v="0"/>
    <x v="1"/>
    <x v="6"/>
    <x v="6"/>
    <x v="0"/>
    <x v="0"/>
    <x v="0"/>
    <x v="0"/>
    <x v="4"/>
    <s v="02"/>
    <x v="5"/>
    <x v="1"/>
    <x v="15"/>
    <x v="4"/>
    <n v="-492"/>
  </r>
  <r>
    <x v="7"/>
    <x v="0"/>
    <x v="1"/>
    <x v="0"/>
    <x v="1"/>
    <x v="2"/>
    <x v="0"/>
    <x v="0"/>
    <x v="0"/>
    <x v="1"/>
    <x v="1"/>
    <x v="8"/>
    <s v="41"/>
    <x v="4"/>
    <x v="1"/>
    <x v="14"/>
    <x v="11"/>
    <n v="35000"/>
  </r>
  <r>
    <x v="7"/>
    <x v="0"/>
    <x v="1"/>
    <x v="0"/>
    <x v="1"/>
    <x v="2"/>
    <x v="0"/>
    <x v="0"/>
    <x v="0"/>
    <x v="1"/>
    <x v="1"/>
    <x v="8"/>
    <s v="41"/>
    <x v="4"/>
    <x v="1"/>
    <x v="14"/>
    <x v="3"/>
    <n v="-35000"/>
  </r>
  <r>
    <x v="7"/>
    <x v="0"/>
    <x v="1"/>
    <x v="0"/>
    <x v="1"/>
    <x v="2"/>
    <x v="0"/>
    <x v="0"/>
    <x v="0"/>
    <x v="0"/>
    <x v="0"/>
    <x v="4"/>
    <s v="01"/>
    <x v="42"/>
    <x v="1"/>
    <x v="14"/>
    <x v="2"/>
    <n v="6754.87"/>
  </r>
  <r>
    <x v="7"/>
    <x v="0"/>
    <x v="1"/>
    <x v="0"/>
    <x v="1"/>
    <x v="2"/>
    <x v="0"/>
    <x v="0"/>
    <x v="0"/>
    <x v="0"/>
    <x v="0"/>
    <x v="4"/>
    <s v="01"/>
    <x v="42"/>
    <x v="1"/>
    <x v="14"/>
    <x v="8"/>
    <n v="4614.78"/>
  </r>
  <r>
    <x v="7"/>
    <x v="0"/>
    <x v="1"/>
    <x v="0"/>
    <x v="1"/>
    <x v="2"/>
    <x v="0"/>
    <x v="0"/>
    <x v="0"/>
    <x v="0"/>
    <x v="0"/>
    <x v="4"/>
    <s v="01"/>
    <x v="42"/>
    <x v="1"/>
    <x v="14"/>
    <x v="9"/>
    <n v="7236.53"/>
  </r>
  <r>
    <x v="7"/>
    <x v="0"/>
    <x v="1"/>
    <x v="0"/>
    <x v="1"/>
    <x v="2"/>
    <x v="0"/>
    <x v="0"/>
    <x v="0"/>
    <x v="0"/>
    <x v="0"/>
    <x v="4"/>
    <s v="01"/>
    <x v="42"/>
    <x v="1"/>
    <x v="14"/>
    <x v="10"/>
    <n v="9422.3799999999992"/>
  </r>
  <r>
    <x v="7"/>
    <x v="0"/>
    <x v="1"/>
    <x v="0"/>
    <x v="1"/>
    <x v="2"/>
    <x v="0"/>
    <x v="0"/>
    <x v="0"/>
    <x v="0"/>
    <x v="0"/>
    <x v="4"/>
    <s v="01"/>
    <x v="42"/>
    <x v="1"/>
    <x v="14"/>
    <x v="11"/>
    <n v="7594.54"/>
  </r>
  <r>
    <x v="7"/>
    <x v="0"/>
    <x v="1"/>
    <x v="0"/>
    <x v="1"/>
    <x v="2"/>
    <x v="0"/>
    <x v="0"/>
    <x v="0"/>
    <x v="0"/>
    <x v="0"/>
    <x v="4"/>
    <s v="01"/>
    <x v="42"/>
    <x v="1"/>
    <x v="14"/>
    <x v="3"/>
    <n v="8380"/>
  </r>
  <r>
    <x v="7"/>
    <x v="0"/>
    <x v="1"/>
    <x v="0"/>
    <x v="1"/>
    <x v="2"/>
    <x v="0"/>
    <x v="0"/>
    <x v="0"/>
    <x v="0"/>
    <x v="0"/>
    <x v="4"/>
    <s v="01"/>
    <x v="42"/>
    <x v="1"/>
    <x v="14"/>
    <x v="4"/>
    <n v="9276.39"/>
  </r>
  <r>
    <x v="7"/>
    <x v="0"/>
    <x v="1"/>
    <x v="0"/>
    <x v="1"/>
    <x v="2"/>
    <x v="0"/>
    <x v="0"/>
    <x v="0"/>
    <x v="0"/>
    <x v="0"/>
    <x v="4"/>
    <s v="01"/>
    <x v="42"/>
    <x v="1"/>
    <x v="14"/>
    <x v="7"/>
    <n v="7989.41"/>
  </r>
  <r>
    <x v="7"/>
    <x v="0"/>
    <x v="1"/>
    <x v="0"/>
    <x v="1"/>
    <x v="2"/>
    <x v="0"/>
    <x v="0"/>
    <x v="0"/>
    <x v="0"/>
    <x v="0"/>
    <x v="4"/>
    <s v="01"/>
    <x v="42"/>
    <x v="1"/>
    <x v="14"/>
    <x v="5"/>
    <n v="9987.34"/>
  </r>
  <r>
    <x v="7"/>
    <x v="0"/>
    <x v="1"/>
    <x v="0"/>
    <x v="1"/>
    <x v="2"/>
    <x v="0"/>
    <x v="0"/>
    <x v="0"/>
    <x v="0"/>
    <x v="0"/>
    <x v="4"/>
    <s v="01"/>
    <x v="42"/>
    <x v="1"/>
    <x v="14"/>
    <x v="6"/>
    <n v="10134.379999999999"/>
  </r>
  <r>
    <x v="7"/>
    <x v="0"/>
    <x v="1"/>
    <x v="0"/>
    <x v="1"/>
    <x v="2"/>
    <x v="0"/>
    <x v="0"/>
    <x v="0"/>
    <x v="0"/>
    <x v="0"/>
    <x v="4"/>
    <s v="01"/>
    <x v="42"/>
    <x v="1"/>
    <x v="14"/>
    <x v="1"/>
    <n v="18722.060000000001"/>
  </r>
  <r>
    <x v="7"/>
    <x v="0"/>
    <x v="1"/>
    <x v="0"/>
    <x v="1"/>
    <x v="2"/>
    <x v="0"/>
    <x v="0"/>
    <x v="0"/>
    <x v="0"/>
    <x v="0"/>
    <x v="4"/>
    <s v="01"/>
    <x v="42"/>
    <x v="1"/>
    <x v="15"/>
    <x v="2"/>
    <n v="8192.2000000000007"/>
  </r>
  <r>
    <x v="7"/>
    <x v="0"/>
    <x v="1"/>
    <x v="0"/>
    <x v="1"/>
    <x v="2"/>
    <x v="0"/>
    <x v="0"/>
    <x v="0"/>
    <x v="0"/>
    <x v="0"/>
    <x v="4"/>
    <s v="01"/>
    <x v="42"/>
    <x v="1"/>
    <x v="15"/>
    <x v="8"/>
    <n v="24471.34"/>
  </r>
  <r>
    <x v="7"/>
    <x v="0"/>
    <x v="1"/>
    <x v="0"/>
    <x v="1"/>
    <x v="2"/>
    <x v="0"/>
    <x v="0"/>
    <x v="0"/>
    <x v="0"/>
    <x v="0"/>
    <x v="4"/>
    <s v="01"/>
    <x v="42"/>
    <x v="1"/>
    <x v="15"/>
    <x v="9"/>
    <n v="9986.5300000000007"/>
  </r>
  <r>
    <x v="7"/>
    <x v="0"/>
    <x v="1"/>
    <x v="0"/>
    <x v="1"/>
    <x v="2"/>
    <x v="0"/>
    <x v="0"/>
    <x v="0"/>
    <x v="0"/>
    <x v="0"/>
    <x v="4"/>
    <s v="01"/>
    <x v="42"/>
    <x v="1"/>
    <x v="15"/>
    <x v="10"/>
    <n v="12026.04"/>
  </r>
  <r>
    <x v="7"/>
    <x v="0"/>
    <x v="1"/>
    <x v="0"/>
    <x v="1"/>
    <x v="2"/>
    <x v="0"/>
    <x v="0"/>
    <x v="0"/>
    <x v="0"/>
    <x v="0"/>
    <x v="4"/>
    <s v="01"/>
    <x v="42"/>
    <x v="1"/>
    <x v="15"/>
    <x v="11"/>
    <n v="10066.69"/>
  </r>
  <r>
    <x v="7"/>
    <x v="0"/>
    <x v="1"/>
    <x v="0"/>
    <x v="1"/>
    <x v="2"/>
    <x v="0"/>
    <x v="0"/>
    <x v="0"/>
    <x v="0"/>
    <x v="0"/>
    <x v="4"/>
    <s v="01"/>
    <x v="42"/>
    <x v="1"/>
    <x v="15"/>
    <x v="3"/>
    <n v="11658.14"/>
  </r>
  <r>
    <x v="7"/>
    <x v="0"/>
    <x v="1"/>
    <x v="0"/>
    <x v="1"/>
    <x v="2"/>
    <x v="0"/>
    <x v="0"/>
    <x v="0"/>
    <x v="0"/>
    <x v="0"/>
    <x v="4"/>
    <s v="01"/>
    <x v="42"/>
    <x v="1"/>
    <x v="15"/>
    <x v="4"/>
    <n v="13535.83"/>
  </r>
  <r>
    <x v="7"/>
    <x v="0"/>
    <x v="1"/>
    <x v="0"/>
    <x v="1"/>
    <x v="2"/>
    <x v="0"/>
    <x v="0"/>
    <x v="0"/>
    <x v="0"/>
    <x v="0"/>
    <x v="4"/>
    <s v="16"/>
    <x v="20"/>
    <x v="1"/>
    <x v="14"/>
    <x v="6"/>
    <n v="-11.04"/>
  </r>
  <r>
    <x v="7"/>
    <x v="0"/>
    <x v="1"/>
    <x v="0"/>
    <x v="1"/>
    <x v="2"/>
    <x v="0"/>
    <x v="0"/>
    <x v="0"/>
    <x v="0"/>
    <x v="0"/>
    <x v="4"/>
    <s v="16"/>
    <x v="20"/>
    <x v="1"/>
    <x v="14"/>
    <x v="1"/>
    <n v="-6.21"/>
  </r>
  <r>
    <x v="7"/>
    <x v="0"/>
    <x v="1"/>
    <x v="0"/>
    <x v="1"/>
    <x v="2"/>
    <x v="0"/>
    <x v="0"/>
    <x v="0"/>
    <x v="0"/>
    <x v="0"/>
    <x v="4"/>
    <s v="20"/>
    <x v="7"/>
    <x v="1"/>
    <x v="14"/>
    <x v="8"/>
    <n v="66586.429999999993"/>
  </r>
  <r>
    <x v="7"/>
    <x v="0"/>
    <x v="1"/>
    <x v="0"/>
    <x v="1"/>
    <x v="2"/>
    <x v="0"/>
    <x v="0"/>
    <x v="0"/>
    <x v="0"/>
    <x v="0"/>
    <x v="4"/>
    <s v="20"/>
    <x v="7"/>
    <x v="1"/>
    <x v="14"/>
    <x v="11"/>
    <n v="-124000"/>
  </r>
  <r>
    <x v="7"/>
    <x v="0"/>
    <x v="1"/>
    <x v="0"/>
    <x v="1"/>
    <x v="2"/>
    <x v="0"/>
    <x v="0"/>
    <x v="0"/>
    <x v="0"/>
    <x v="0"/>
    <x v="4"/>
    <s v="20"/>
    <x v="7"/>
    <x v="1"/>
    <x v="14"/>
    <x v="1"/>
    <n v="17.25"/>
  </r>
  <r>
    <x v="7"/>
    <x v="0"/>
    <x v="1"/>
    <x v="0"/>
    <x v="1"/>
    <x v="2"/>
    <x v="0"/>
    <x v="0"/>
    <x v="0"/>
    <x v="0"/>
    <x v="0"/>
    <x v="4"/>
    <s v="20"/>
    <x v="7"/>
    <x v="1"/>
    <x v="15"/>
    <x v="9"/>
    <n v="640"/>
  </r>
  <r>
    <x v="7"/>
    <x v="0"/>
    <x v="1"/>
    <x v="0"/>
    <x v="1"/>
    <x v="2"/>
    <x v="0"/>
    <x v="0"/>
    <x v="0"/>
    <x v="0"/>
    <x v="0"/>
    <x v="4"/>
    <s v="20"/>
    <x v="7"/>
    <x v="1"/>
    <x v="15"/>
    <x v="10"/>
    <n v="36"/>
  </r>
  <r>
    <x v="7"/>
    <x v="0"/>
    <x v="1"/>
    <x v="0"/>
    <x v="1"/>
    <x v="2"/>
    <x v="0"/>
    <x v="0"/>
    <x v="0"/>
    <x v="0"/>
    <x v="0"/>
    <x v="4"/>
    <s v="20"/>
    <x v="7"/>
    <x v="1"/>
    <x v="15"/>
    <x v="11"/>
    <n v="-676"/>
  </r>
  <r>
    <x v="7"/>
    <x v="0"/>
    <x v="1"/>
    <x v="0"/>
    <x v="1"/>
    <x v="2"/>
    <x v="0"/>
    <x v="0"/>
    <x v="0"/>
    <x v="0"/>
    <x v="0"/>
    <x v="4"/>
    <s v="24"/>
    <x v="1"/>
    <x v="1"/>
    <x v="14"/>
    <x v="0"/>
    <n v="242039.59"/>
  </r>
  <r>
    <x v="7"/>
    <x v="0"/>
    <x v="1"/>
    <x v="0"/>
    <x v="1"/>
    <x v="2"/>
    <x v="0"/>
    <x v="0"/>
    <x v="0"/>
    <x v="0"/>
    <x v="0"/>
    <x v="4"/>
    <s v="24"/>
    <x v="1"/>
    <x v="1"/>
    <x v="14"/>
    <x v="2"/>
    <n v="35194199.810000002"/>
  </r>
  <r>
    <x v="7"/>
    <x v="0"/>
    <x v="1"/>
    <x v="0"/>
    <x v="1"/>
    <x v="2"/>
    <x v="0"/>
    <x v="0"/>
    <x v="0"/>
    <x v="0"/>
    <x v="0"/>
    <x v="4"/>
    <s v="24"/>
    <x v="1"/>
    <x v="1"/>
    <x v="14"/>
    <x v="8"/>
    <n v="-1838196.4"/>
  </r>
  <r>
    <x v="7"/>
    <x v="0"/>
    <x v="1"/>
    <x v="0"/>
    <x v="1"/>
    <x v="2"/>
    <x v="0"/>
    <x v="0"/>
    <x v="0"/>
    <x v="0"/>
    <x v="0"/>
    <x v="4"/>
    <s v="24"/>
    <x v="1"/>
    <x v="1"/>
    <x v="14"/>
    <x v="9"/>
    <n v="-519580.82"/>
  </r>
  <r>
    <x v="7"/>
    <x v="0"/>
    <x v="1"/>
    <x v="0"/>
    <x v="1"/>
    <x v="2"/>
    <x v="0"/>
    <x v="0"/>
    <x v="0"/>
    <x v="0"/>
    <x v="0"/>
    <x v="4"/>
    <s v="24"/>
    <x v="1"/>
    <x v="1"/>
    <x v="14"/>
    <x v="10"/>
    <n v="33381227.93"/>
  </r>
  <r>
    <x v="7"/>
    <x v="0"/>
    <x v="1"/>
    <x v="0"/>
    <x v="1"/>
    <x v="2"/>
    <x v="0"/>
    <x v="0"/>
    <x v="0"/>
    <x v="0"/>
    <x v="0"/>
    <x v="4"/>
    <s v="24"/>
    <x v="1"/>
    <x v="1"/>
    <x v="14"/>
    <x v="11"/>
    <n v="914620.61"/>
  </r>
  <r>
    <x v="7"/>
    <x v="0"/>
    <x v="1"/>
    <x v="0"/>
    <x v="1"/>
    <x v="2"/>
    <x v="0"/>
    <x v="0"/>
    <x v="0"/>
    <x v="0"/>
    <x v="0"/>
    <x v="4"/>
    <s v="24"/>
    <x v="1"/>
    <x v="1"/>
    <x v="14"/>
    <x v="3"/>
    <n v="-2984010.16"/>
  </r>
  <r>
    <x v="7"/>
    <x v="0"/>
    <x v="1"/>
    <x v="0"/>
    <x v="1"/>
    <x v="2"/>
    <x v="0"/>
    <x v="0"/>
    <x v="0"/>
    <x v="0"/>
    <x v="0"/>
    <x v="4"/>
    <s v="24"/>
    <x v="1"/>
    <x v="1"/>
    <x v="14"/>
    <x v="4"/>
    <n v="22385305.129999999"/>
  </r>
  <r>
    <x v="7"/>
    <x v="0"/>
    <x v="1"/>
    <x v="0"/>
    <x v="1"/>
    <x v="2"/>
    <x v="0"/>
    <x v="0"/>
    <x v="0"/>
    <x v="0"/>
    <x v="0"/>
    <x v="4"/>
    <s v="24"/>
    <x v="1"/>
    <x v="1"/>
    <x v="14"/>
    <x v="7"/>
    <n v="7176979.8799999999"/>
  </r>
  <r>
    <x v="7"/>
    <x v="0"/>
    <x v="1"/>
    <x v="0"/>
    <x v="1"/>
    <x v="2"/>
    <x v="0"/>
    <x v="0"/>
    <x v="0"/>
    <x v="0"/>
    <x v="0"/>
    <x v="4"/>
    <s v="24"/>
    <x v="1"/>
    <x v="1"/>
    <x v="14"/>
    <x v="5"/>
    <n v="-486748.89"/>
  </r>
  <r>
    <x v="7"/>
    <x v="0"/>
    <x v="1"/>
    <x v="0"/>
    <x v="1"/>
    <x v="2"/>
    <x v="0"/>
    <x v="0"/>
    <x v="0"/>
    <x v="0"/>
    <x v="0"/>
    <x v="4"/>
    <s v="24"/>
    <x v="1"/>
    <x v="1"/>
    <x v="14"/>
    <x v="6"/>
    <n v="-289442.13"/>
  </r>
  <r>
    <x v="7"/>
    <x v="0"/>
    <x v="1"/>
    <x v="0"/>
    <x v="1"/>
    <x v="2"/>
    <x v="0"/>
    <x v="0"/>
    <x v="0"/>
    <x v="0"/>
    <x v="0"/>
    <x v="4"/>
    <s v="24"/>
    <x v="1"/>
    <x v="1"/>
    <x v="14"/>
    <x v="1"/>
    <n v="-154879.88"/>
  </r>
  <r>
    <x v="7"/>
    <x v="0"/>
    <x v="1"/>
    <x v="0"/>
    <x v="1"/>
    <x v="2"/>
    <x v="0"/>
    <x v="0"/>
    <x v="0"/>
    <x v="0"/>
    <x v="0"/>
    <x v="4"/>
    <s v="24"/>
    <x v="1"/>
    <x v="1"/>
    <x v="15"/>
    <x v="0"/>
    <n v="213733.2"/>
  </r>
  <r>
    <x v="7"/>
    <x v="0"/>
    <x v="1"/>
    <x v="0"/>
    <x v="1"/>
    <x v="2"/>
    <x v="0"/>
    <x v="0"/>
    <x v="0"/>
    <x v="0"/>
    <x v="0"/>
    <x v="4"/>
    <s v="24"/>
    <x v="1"/>
    <x v="1"/>
    <x v="15"/>
    <x v="2"/>
    <n v="34048982.670000002"/>
  </r>
  <r>
    <x v="7"/>
    <x v="0"/>
    <x v="1"/>
    <x v="0"/>
    <x v="1"/>
    <x v="2"/>
    <x v="0"/>
    <x v="0"/>
    <x v="0"/>
    <x v="0"/>
    <x v="0"/>
    <x v="4"/>
    <s v="24"/>
    <x v="1"/>
    <x v="1"/>
    <x v="15"/>
    <x v="8"/>
    <n v="-471561.61"/>
  </r>
  <r>
    <x v="7"/>
    <x v="0"/>
    <x v="1"/>
    <x v="0"/>
    <x v="1"/>
    <x v="2"/>
    <x v="0"/>
    <x v="0"/>
    <x v="0"/>
    <x v="0"/>
    <x v="0"/>
    <x v="4"/>
    <s v="24"/>
    <x v="1"/>
    <x v="1"/>
    <x v="15"/>
    <x v="9"/>
    <n v="-3683551.48"/>
  </r>
  <r>
    <x v="7"/>
    <x v="0"/>
    <x v="1"/>
    <x v="0"/>
    <x v="1"/>
    <x v="2"/>
    <x v="0"/>
    <x v="0"/>
    <x v="0"/>
    <x v="0"/>
    <x v="0"/>
    <x v="4"/>
    <s v="24"/>
    <x v="1"/>
    <x v="1"/>
    <x v="15"/>
    <x v="10"/>
    <n v="33856009.909999996"/>
  </r>
  <r>
    <x v="7"/>
    <x v="0"/>
    <x v="1"/>
    <x v="0"/>
    <x v="1"/>
    <x v="2"/>
    <x v="0"/>
    <x v="0"/>
    <x v="0"/>
    <x v="0"/>
    <x v="0"/>
    <x v="4"/>
    <s v="24"/>
    <x v="1"/>
    <x v="1"/>
    <x v="15"/>
    <x v="11"/>
    <n v="3333432.35"/>
  </r>
  <r>
    <x v="7"/>
    <x v="0"/>
    <x v="1"/>
    <x v="0"/>
    <x v="1"/>
    <x v="2"/>
    <x v="0"/>
    <x v="0"/>
    <x v="0"/>
    <x v="0"/>
    <x v="0"/>
    <x v="4"/>
    <s v="24"/>
    <x v="1"/>
    <x v="1"/>
    <x v="15"/>
    <x v="3"/>
    <n v="-5941778.3099999996"/>
  </r>
  <r>
    <x v="7"/>
    <x v="0"/>
    <x v="1"/>
    <x v="0"/>
    <x v="1"/>
    <x v="2"/>
    <x v="0"/>
    <x v="0"/>
    <x v="0"/>
    <x v="0"/>
    <x v="0"/>
    <x v="4"/>
    <s v="24"/>
    <x v="1"/>
    <x v="1"/>
    <x v="15"/>
    <x v="4"/>
    <n v="26038630.34"/>
  </r>
  <r>
    <x v="7"/>
    <x v="0"/>
    <x v="1"/>
    <x v="0"/>
    <x v="1"/>
    <x v="2"/>
    <x v="0"/>
    <x v="0"/>
    <x v="0"/>
    <x v="0"/>
    <x v="0"/>
    <x v="4"/>
    <s v="90"/>
    <x v="16"/>
    <x v="1"/>
    <x v="15"/>
    <x v="2"/>
    <n v="-4.9800000000000004"/>
  </r>
  <r>
    <x v="7"/>
    <x v="0"/>
    <x v="1"/>
    <x v="0"/>
    <x v="1"/>
    <x v="2"/>
    <x v="0"/>
    <x v="0"/>
    <x v="0"/>
    <x v="0"/>
    <x v="0"/>
    <x v="4"/>
    <s v="90"/>
    <x v="16"/>
    <x v="1"/>
    <x v="15"/>
    <x v="10"/>
    <n v="4.9800000000000004"/>
  </r>
  <r>
    <x v="7"/>
    <x v="0"/>
    <x v="1"/>
    <x v="0"/>
    <x v="1"/>
    <x v="2"/>
    <x v="0"/>
    <x v="0"/>
    <x v="0"/>
    <x v="0"/>
    <x v="0"/>
    <x v="4"/>
    <s v="99"/>
    <x v="9"/>
    <x v="1"/>
    <x v="15"/>
    <x v="2"/>
    <n v="50"/>
  </r>
  <r>
    <x v="7"/>
    <x v="0"/>
    <x v="1"/>
    <x v="0"/>
    <x v="1"/>
    <x v="2"/>
    <x v="0"/>
    <x v="0"/>
    <x v="0"/>
    <x v="0"/>
    <x v="0"/>
    <x v="4"/>
    <s v="99"/>
    <x v="9"/>
    <x v="1"/>
    <x v="15"/>
    <x v="9"/>
    <n v="-50"/>
  </r>
  <r>
    <x v="7"/>
    <x v="0"/>
    <x v="1"/>
    <x v="0"/>
    <x v="1"/>
    <x v="2"/>
    <x v="0"/>
    <x v="0"/>
    <x v="0"/>
    <x v="0"/>
    <x v="4"/>
    <x v="5"/>
    <s v="21"/>
    <x v="27"/>
    <x v="1"/>
    <x v="14"/>
    <x v="1"/>
    <n v="14501.36"/>
  </r>
  <r>
    <x v="7"/>
    <x v="0"/>
    <x v="1"/>
    <x v="0"/>
    <x v="1"/>
    <x v="2"/>
    <x v="0"/>
    <x v="0"/>
    <x v="0"/>
    <x v="0"/>
    <x v="4"/>
    <x v="5"/>
    <s v="21"/>
    <x v="27"/>
    <x v="1"/>
    <x v="15"/>
    <x v="11"/>
    <n v="-10000"/>
  </r>
  <r>
    <x v="7"/>
    <x v="0"/>
    <x v="1"/>
    <x v="0"/>
    <x v="1"/>
    <x v="2"/>
    <x v="0"/>
    <x v="0"/>
    <x v="0"/>
    <x v="0"/>
    <x v="4"/>
    <x v="5"/>
    <s v="21"/>
    <x v="27"/>
    <x v="1"/>
    <x v="15"/>
    <x v="3"/>
    <n v="20000"/>
  </r>
  <r>
    <x v="7"/>
    <x v="0"/>
    <x v="1"/>
    <x v="0"/>
    <x v="1"/>
    <x v="2"/>
    <x v="0"/>
    <x v="0"/>
    <x v="0"/>
    <x v="0"/>
    <x v="4"/>
    <x v="5"/>
    <s v="22"/>
    <x v="25"/>
    <x v="1"/>
    <x v="14"/>
    <x v="8"/>
    <n v="-115200"/>
  </r>
  <r>
    <x v="7"/>
    <x v="0"/>
    <x v="1"/>
    <x v="0"/>
    <x v="1"/>
    <x v="2"/>
    <x v="0"/>
    <x v="0"/>
    <x v="0"/>
    <x v="0"/>
    <x v="4"/>
    <x v="5"/>
    <s v="22"/>
    <x v="25"/>
    <x v="1"/>
    <x v="14"/>
    <x v="10"/>
    <n v="-36805.51"/>
  </r>
  <r>
    <x v="7"/>
    <x v="0"/>
    <x v="1"/>
    <x v="0"/>
    <x v="1"/>
    <x v="2"/>
    <x v="0"/>
    <x v="0"/>
    <x v="0"/>
    <x v="0"/>
    <x v="4"/>
    <x v="5"/>
    <s v="22"/>
    <x v="25"/>
    <x v="1"/>
    <x v="14"/>
    <x v="11"/>
    <n v="-6033.61"/>
  </r>
  <r>
    <x v="7"/>
    <x v="0"/>
    <x v="1"/>
    <x v="0"/>
    <x v="1"/>
    <x v="2"/>
    <x v="0"/>
    <x v="0"/>
    <x v="0"/>
    <x v="0"/>
    <x v="4"/>
    <x v="5"/>
    <s v="22"/>
    <x v="25"/>
    <x v="1"/>
    <x v="14"/>
    <x v="3"/>
    <n v="-153177.5"/>
  </r>
  <r>
    <x v="7"/>
    <x v="0"/>
    <x v="1"/>
    <x v="0"/>
    <x v="1"/>
    <x v="2"/>
    <x v="0"/>
    <x v="0"/>
    <x v="0"/>
    <x v="0"/>
    <x v="4"/>
    <x v="5"/>
    <s v="22"/>
    <x v="25"/>
    <x v="1"/>
    <x v="14"/>
    <x v="5"/>
    <n v="-79581.009999999995"/>
  </r>
  <r>
    <x v="7"/>
    <x v="0"/>
    <x v="1"/>
    <x v="0"/>
    <x v="1"/>
    <x v="2"/>
    <x v="0"/>
    <x v="0"/>
    <x v="0"/>
    <x v="0"/>
    <x v="4"/>
    <x v="5"/>
    <s v="22"/>
    <x v="25"/>
    <x v="1"/>
    <x v="14"/>
    <x v="1"/>
    <n v="-1008000.39"/>
  </r>
  <r>
    <x v="7"/>
    <x v="0"/>
    <x v="1"/>
    <x v="0"/>
    <x v="1"/>
    <x v="2"/>
    <x v="0"/>
    <x v="0"/>
    <x v="0"/>
    <x v="0"/>
    <x v="4"/>
    <x v="5"/>
    <s v="22"/>
    <x v="25"/>
    <x v="1"/>
    <x v="15"/>
    <x v="9"/>
    <n v="-541000"/>
  </r>
  <r>
    <x v="7"/>
    <x v="0"/>
    <x v="1"/>
    <x v="0"/>
    <x v="1"/>
    <x v="2"/>
    <x v="0"/>
    <x v="0"/>
    <x v="0"/>
    <x v="0"/>
    <x v="4"/>
    <x v="5"/>
    <s v="22"/>
    <x v="25"/>
    <x v="1"/>
    <x v="15"/>
    <x v="10"/>
    <n v="-108366"/>
  </r>
  <r>
    <x v="7"/>
    <x v="0"/>
    <x v="1"/>
    <x v="0"/>
    <x v="1"/>
    <x v="2"/>
    <x v="0"/>
    <x v="0"/>
    <x v="0"/>
    <x v="0"/>
    <x v="4"/>
    <x v="5"/>
    <s v="22"/>
    <x v="25"/>
    <x v="1"/>
    <x v="15"/>
    <x v="11"/>
    <n v="262270.96000000002"/>
  </r>
  <r>
    <x v="7"/>
    <x v="0"/>
    <x v="1"/>
    <x v="0"/>
    <x v="1"/>
    <x v="2"/>
    <x v="0"/>
    <x v="0"/>
    <x v="0"/>
    <x v="0"/>
    <x v="4"/>
    <x v="5"/>
    <s v="22"/>
    <x v="25"/>
    <x v="1"/>
    <x v="15"/>
    <x v="3"/>
    <n v="-524541.92000000004"/>
  </r>
  <r>
    <x v="7"/>
    <x v="0"/>
    <x v="1"/>
    <x v="0"/>
    <x v="1"/>
    <x v="3"/>
    <x v="0"/>
    <x v="0"/>
    <x v="0"/>
    <x v="1"/>
    <x v="1"/>
    <x v="8"/>
    <s v="41"/>
    <x v="4"/>
    <x v="1"/>
    <x v="14"/>
    <x v="7"/>
    <n v="610.42999999999995"/>
  </r>
  <r>
    <x v="7"/>
    <x v="0"/>
    <x v="1"/>
    <x v="0"/>
    <x v="1"/>
    <x v="3"/>
    <x v="0"/>
    <x v="0"/>
    <x v="0"/>
    <x v="1"/>
    <x v="1"/>
    <x v="8"/>
    <s v="41"/>
    <x v="4"/>
    <x v="1"/>
    <x v="14"/>
    <x v="5"/>
    <n v="-610.42999999999995"/>
  </r>
  <r>
    <x v="7"/>
    <x v="0"/>
    <x v="1"/>
    <x v="0"/>
    <x v="1"/>
    <x v="3"/>
    <x v="0"/>
    <x v="0"/>
    <x v="0"/>
    <x v="1"/>
    <x v="1"/>
    <x v="8"/>
    <s v="41"/>
    <x v="4"/>
    <x v="1"/>
    <x v="15"/>
    <x v="9"/>
    <n v="36"/>
  </r>
  <r>
    <x v="7"/>
    <x v="0"/>
    <x v="1"/>
    <x v="0"/>
    <x v="1"/>
    <x v="3"/>
    <x v="0"/>
    <x v="0"/>
    <x v="0"/>
    <x v="1"/>
    <x v="1"/>
    <x v="8"/>
    <s v="41"/>
    <x v="4"/>
    <x v="1"/>
    <x v="15"/>
    <x v="10"/>
    <n v="-36"/>
  </r>
  <r>
    <x v="7"/>
    <x v="0"/>
    <x v="1"/>
    <x v="0"/>
    <x v="1"/>
    <x v="3"/>
    <x v="0"/>
    <x v="0"/>
    <x v="0"/>
    <x v="0"/>
    <x v="0"/>
    <x v="4"/>
    <s v="01"/>
    <x v="42"/>
    <x v="1"/>
    <x v="14"/>
    <x v="0"/>
    <n v="34512.800000000003"/>
  </r>
  <r>
    <x v="7"/>
    <x v="0"/>
    <x v="1"/>
    <x v="0"/>
    <x v="1"/>
    <x v="3"/>
    <x v="0"/>
    <x v="0"/>
    <x v="0"/>
    <x v="0"/>
    <x v="0"/>
    <x v="4"/>
    <s v="01"/>
    <x v="42"/>
    <x v="1"/>
    <x v="14"/>
    <x v="2"/>
    <n v="78458.09"/>
  </r>
  <r>
    <x v="7"/>
    <x v="0"/>
    <x v="1"/>
    <x v="0"/>
    <x v="1"/>
    <x v="3"/>
    <x v="0"/>
    <x v="0"/>
    <x v="0"/>
    <x v="0"/>
    <x v="0"/>
    <x v="4"/>
    <s v="01"/>
    <x v="42"/>
    <x v="1"/>
    <x v="14"/>
    <x v="8"/>
    <n v="27145.31"/>
  </r>
  <r>
    <x v="7"/>
    <x v="0"/>
    <x v="1"/>
    <x v="0"/>
    <x v="1"/>
    <x v="3"/>
    <x v="0"/>
    <x v="0"/>
    <x v="0"/>
    <x v="0"/>
    <x v="0"/>
    <x v="4"/>
    <s v="01"/>
    <x v="42"/>
    <x v="1"/>
    <x v="14"/>
    <x v="9"/>
    <n v="74021.89"/>
  </r>
  <r>
    <x v="7"/>
    <x v="0"/>
    <x v="1"/>
    <x v="0"/>
    <x v="1"/>
    <x v="3"/>
    <x v="0"/>
    <x v="0"/>
    <x v="0"/>
    <x v="0"/>
    <x v="0"/>
    <x v="4"/>
    <s v="01"/>
    <x v="42"/>
    <x v="1"/>
    <x v="14"/>
    <x v="10"/>
    <n v="58709.59"/>
  </r>
  <r>
    <x v="7"/>
    <x v="0"/>
    <x v="1"/>
    <x v="0"/>
    <x v="1"/>
    <x v="3"/>
    <x v="0"/>
    <x v="0"/>
    <x v="0"/>
    <x v="0"/>
    <x v="0"/>
    <x v="4"/>
    <s v="01"/>
    <x v="42"/>
    <x v="1"/>
    <x v="14"/>
    <x v="11"/>
    <n v="53428.480000000003"/>
  </r>
  <r>
    <x v="7"/>
    <x v="0"/>
    <x v="1"/>
    <x v="0"/>
    <x v="1"/>
    <x v="3"/>
    <x v="0"/>
    <x v="0"/>
    <x v="0"/>
    <x v="0"/>
    <x v="0"/>
    <x v="4"/>
    <s v="01"/>
    <x v="42"/>
    <x v="1"/>
    <x v="14"/>
    <x v="3"/>
    <n v="96106.43"/>
  </r>
  <r>
    <x v="7"/>
    <x v="0"/>
    <x v="1"/>
    <x v="0"/>
    <x v="1"/>
    <x v="3"/>
    <x v="0"/>
    <x v="0"/>
    <x v="0"/>
    <x v="0"/>
    <x v="0"/>
    <x v="4"/>
    <s v="01"/>
    <x v="42"/>
    <x v="1"/>
    <x v="14"/>
    <x v="4"/>
    <n v="44989.83"/>
  </r>
  <r>
    <x v="7"/>
    <x v="0"/>
    <x v="1"/>
    <x v="0"/>
    <x v="1"/>
    <x v="3"/>
    <x v="0"/>
    <x v="0"/>
    <x v="0"/>
    <x v="0"/>
    <x v="0"/>
    <x v="4"/>
    <s v="01"/>
    <x v="42"/>
    <x v="1"/>
    <x v="14"/>
    <x v="7"/>
    <n v="75486.759999999995"/>
  </r>
  <r>
    <x v="7"/>
    <x v="0"/>
    <x v="1"/>
    <x v="0"/>
    <x v="1"/>
    <x v="3"/>
    <x v="0"/>
    <x v="0"/>
    <x v="0"/>
    <x v="0"/>
    <x v="0"/>
    <x v="4"/>
    <s v="01"/>
    <x v="42"/>
    <x v="1"/>
    <x v="14"/>
    <x v="5"/>
    <n v="76000.160000000003"/>
  </r>
  <r>
    <x v="7"/>
    <x v="0"/>
    <x v="1"/>
    <x v="0"/>
    <x v="1"/>
    <x v="3"/>
    <x v="0"/>
    <x v="0"/>
    <x v="0"/>
    <x v="0"/>
    <x v="0"/>
    <x v="4"/>
    <s v="01"/>
    <x v="42"/>
    <x v="1"/>
    <x v="14"/>
    <x v="6"/>
    <n v="91549.99"/>
  </r>
  <r>
    <x v="7"/>
    <x v="0"/>
    <x v="1"/>
    <x v="0"/>
    <x v="1"/>
    <x v="3"/>
    <x v="0"/>
    <x v="0"/>
    <x v="0"/>
    <x v="0"/>
    <x v="0"/>
    <x v="4"/>
    <s v="01"/>
    <x v="42"/>
    <x v="1"/>
    <x v="14"/>
    <x v="1"/>
    <n v="136287.63"/>
  </r>
  <r>
    <x v="7"/>
    <x v="0"/>
    <x v="1"/>
    <x v="0"/>
    <x v="1"/>
    <x v="3"/>
    <x v="0"/>
    <x v="0"/>
    <x v="0"/>
    <x v="0"/>
    <x v="0"/>
    <x v="4"/>
    <s v="01"/>
    <x v="42"/>
    <x v="1"/>
    <x v="15"/>
    <x v="0"/>
    <n v="15918.88"/>
  </r>
  <r>
    <x v="7"/>
    <x v="0"/>
    <x v="1"/>
    <x v="0"/>
    <x v="1"/>
    <x v="3"/>
    <x v="0"/>
    <x v="0"/>
    <x v="0"/>
    <x v="0"/>
    <x v="0"/>
    <x v="4"/>
    <s v="01"/>
    <x v="42"/>
    <x v="1"/>
    <x v="15"/>
    <x v="2"/>
    <n v="94477.41"/>
  </r>
  <r>
    <x v="7"/>
    <x v="0"/>
    <x v="1"/>
    <x v="0"/>
    <x v="1"/>
    <x v="3"/>
    <x v="0"/>
    <x v="0"/>
    <x v="0"/>
    <x v="0"/>
    <x v="0"/>
    <x v="4"/>
    <s v="01"/>
    <x v="42"/>
    <x v="1"/>
    <x v="15"/>
    <x v="8"/>
    <n v="82104.539999999994"/>
  </r>
  <r>
    <x v="7"/>
    <x v="0"/>
    <x v="1"/>
    <x v="0"/>
    <x v="1"/>
    <x v="3"/>
    <x v="0"/>
    <x v="0"/>
    <x v="0"/>
    <x v="0"/>
    <x v="0"/>
    <x v="4"/>
    <s v="01"/>
    <x v="42"/>
    <x v="1"/>
    <x v="15"/>
    <x v="9"/>
    <n v="75698.759999999995"/>
  </r>
  <r>
    <x v="7"/>
    <x v="0"/>
    <x v="1"/>
    <x v="0"/>
    <x v="1"/>
    <x v="3"/>
    <x v="0"/>
    <x v="0"/>
    <x v="0"/>
    <x v="0"/>
    <x v="0"/>
    <x v="4"/>
    <s v="01"/>
    <x v="42"/>
    <x v="1"/>
    <x v="15"/>
    <x v="10"/>
    <n v="84189.39"/>
  </r>
  <r>
    <x v="7"/>
    <x v="0"/>
    <x v="1"/>
    <x v="0"/>
    <x v="1"/>
    <x v="3"/>
    <x v="0"/>
    <x v="0"/>
    <x v="0"/>
    <x v="0"/>
    <x v="0"/>
    <x v="4"/>
    <s v="01"/>
    <x v="42"/>
    <x v="1"/>
    <x v="15"/>
    <x v="11"/>
    <n v="-41327.589999999997"/>
  </r>
  <r>
    <x v="7"/>
    <x v="0"/>
    <x v="1"/>
    <x v="0"/>
    <x v="1"/>
    <x v="3"/>
    <x v="0"/>
    <x v="0"/>
    <x v="0"/>
    <x v="0"/>
    <x v="0"/>
    <x v="4"/>
    <s v="01"/>
    <x v="42"/>
    <x v="1"/>
    <x v="15"/>
    <x v="3"/>
    <n v="120973.43"/>
  </r>
  <r>
    <x v="7"/>
    <x v="0"/>
    <x v="1"/>
    <x v="0"/>
    <x v="1"/>
    <x v="3"/>
    <x v="0"/>
    <x v="0"/>
    <x v="0"/>
    <x v="0"/>
    <x v="0"/>
    <x v="4"/>
    <s v="01"/>
    <x v="42"/>
    <x v="1"/>
    <x v="15"/>
    <x v="4"/>
    <n v="43894.98"/>
  </r>
  <r>
    <x v="7"/>
    <x v="0"/>
    <x v="1"/>
    <x v="0"/>
    <x v="1"/>
    <x v="3"/>
    <x v="0"/>
    <x v="0"/>
    <x v="0"/>
    <x v="0"/>
    <x v="0"/>
    <x v="4"/>
    <s v="02"/>
    <x v="5"/>
    <x v="1"/>
    <x v="14"/>
    <x v="0"/>
    <n v="21583.360000000001"/>
  </r>
  <r>
    <x v="7"/>
    <x v="0"/>
    <x v="1"/>
    <x v="0"/>
    <x v="1"/>
    <x v="3"/>
    <x v="0"/>
    <x v="0"/>
    <x v="0"/>
    <x v="0"/>
    <x v="0"/>
    <x v="4"/>
    <s v="02"/>
    <x v="5"/>
    <x v="1"/>
    <x v="14"/>
    <x v="2"/>
    <n v="11613.13"/>
  </r>
  <r>
    <x v="7"/>
    <x v="0"/>
    <x v="1"/>
    <x v="0"/>
    <x v="1"/>
    <x v="3"/>
    <x v="0"/>
    <x v="0"/>
    <x v="0"/>
    <x v="0"/>
    <x v="0"/>
    <x v="4"/>
    <s v="02"/>
    <x v="5"/>
    <x v="1"/>
    <x v="14"/>
    <x v="8"/>
    <n v="-33196.49"/>
  </r>
  <r>
    <x v="7"/>
    <x v="0"/>
    <x v="1"/>
    <x v="0"/>
    <x v="1"/>
    <x v="3"/>
    <x v="0"/>
    <x v="0"/>
    <x v="0"/>
    <x v="0"/>
    <x v="0"/>
    <x v="4"/>
    <s v="02"/>
    <x v="5"/>
    <x v="1"/>
    <x v="15"/>
    <x v="0"/>
    <n v="159"/>
  </r>
  <r>
    <x v="7"/>
    <x v="0"/>
    <x v="1"/>
    <x v="0"/>
    <x v="1"/>
    <x v="3"/>
    <x v="0"/>
    <x v="0"/>
    <x v="0"/>
    <x v="0"/>
    <x v="0"/>
    <x v="4"/>
    <s v="02"/>
    <x v="5"/>
    <x v="1"/>
    <x v="15"/>
    <x v="2"/>
    <n v="-54"/>
  </r>
  <r>
    <x v="7"/>
    <x v="0"/>
    <x v="1"/>
    <x v="0"/>
    <x v="1"/>
    <x v="3"/>
    <x v="0"/>
    <x v="0"/>
    <x v="0"/>
    <x v="0"/>
    <x v="0"/>
    <x v="4"/>
    <s v="02"/>
    <x v="5"/>
    <x v="1"/>
    <x v="15"/>
    <x v="8"/>
    <n v="-105"/>
  </r>
  <r>
    <x v="7"/>
    <x v="0"/>
    <x v="1"/>
    <x v="0"/>
    <x v="1"/>
    <x v="3"/>
    <x v="0"/>
    <x v="0"/>
    <x v="0"/>
    <x v="0"/>
    <x v="0"/>
    <x v="4"/>
    <s v="02"/>
    <x v="5"/>
    <x v="1"/>
    <x v="15"/>
    <x v="3"/>
    <n v="250"/>
  </r>
  <r>
    <x v="7"/>
    <x v="0"/>
    <x v="1"/>
    <x v="0"/>
    <x v="1"/>
    <x v="3"/>
    <x v="0"/>
    <x v="0"/>
    <x v="0"/>
    <x v="0"/>
    <x v="0"/>
    <x v="4"/>
    <s v="09"/>
    <x v="51"/>
    <x v="1"/>
    <x v="14"/>
    <x v="0"/>
    <n v="1868.31"/>
  </r>
  <r>
    <x v="7"/>
    <x v="0"/>
    <x v="1"/>
    <x v="0"/>
    <x v="1"/>
    <x v="3"/>
    <x v="0"/>
    <x v="0"/>
    <x v="0"/>
    <x v="0"/>
    <x v="0"/>
    <x v="4"/>
    <s v="09"/>
    <x v="51"/>
    <x v="1"/>
    <x v="14"/>
    <x v="2"/>
    <n v="4041.95"/>
  </r>
  <r>
    <x v="7"/>
    <x v="0"/>
    <x v="1"/>
    <x v="0"/>
    <x v="1"/>
    <x v="3"/>
    <x v="0"/>
    <x v="0"/>
    <x v="0"/>
    <x v="0"/>
    <x v="0"/>
    <x v="4"/>
    <s v="09"/>
    <x v="51"/>
    <x v="1"/>
    <x v="14"/>
    <x v="8"/>
    <n v="1981.28"/>
  </r>
  <r>
    <x v="7"/>
    <x v="0"/>
    <x v="1"/>
    <x v="0"/>
    <x v="1"/>
    <x v="3"/>
    <x v="0"/>
    <x v="0"/>
    <x v="0"/>
    <x v="0"/>
    <x v="0"/>
    <x v="4"/>
    <s v="09"/>
    <x v="51"/>
    <x v="1"/>
    <x v="14"/>
    <x v="9"/>
    <n v="1357.98"/>
  </r>
  <r>
    <x v="7"/>
    <x v="0"/>
    <x v="1"/>
    <x v="0"/>
    <x v="1"/>
    <x v="3"/>
    <x v="0"/>
    <x v="0"/>
    <x v="0"/>
    <x v="0"/>
    <x v="0"/>
    <x v="4"/>
    <s v="09"/>
    <x v="51"/>
    <x v="1"/>
    <x v="14"/>
    <x v="10"/>
    <n v="6126"/>
  </r>
  <r>
    <x v="7"/>
    <x v="0"/>
    <x v="1"/>
    <x v="0"/>
    <x v="1"/>
    <x v="3"/>
    <x v="0"/>
    <x v="0"/>
    <x v="0"/>
    <x v="0"/>
    <x v="0"/>
    <x v="4"/>
    <s v="09"/>
    <x v="51"/>
    <x v="1"/>
    <x v="14"/>
    <x v="11"/>
    <n v="1290.01"/>
  </r>
  <r>
    <x v="7"/>
    <x v="0"/>
    <x v="1"/>
    <x v="0"/>
    <x v="1"/>
    <x v="3"/>
    <x v="0"/>
    <x v="0"/>
    <x v="0"/>
    <x v="0"/>
    <x v="0"/>
    <x v="4"/>
    <s v="09"/>
    <x v="51"/>
    <x v="1"/>
    <x v="14"/>
    <x v="3"/>
    <n v="2805.98"/>
  </r>
  <r>
    <x v="7"/>
    <x v="0"/>
    <x v="1"/>
    <x v="0"/>
    <x v="1"/>
    <x v="3"/>
    <x v="0"/>
    <x v="0"/>
    <x v="0"/>
    <x v="0"/>
    <x v="0"/>
    <x v="4"/>
    <s v="09"/>
    <x v="51"/>
    <x v="1"/>
    <x v="14"/>
    <x v="4"/>
    <n v="4549.42"/>
  </r>
  <r>
    <x v="7"/>
    <x v="0"/>
    <x v="1"/>
    <x v="0"/>
    <x v="1"/>
    <x v="3"/>
    <x v="0"/>
    <x v="0"/>
    <x v="0"/>
    <x v="0"/>
    <x v="0"/>
    <x v="4"/>
    <s v="09"/>
    <x v="51"/>
    <x v="1"/>
    <x v="14"/>
    <x v="7"/>
    <n v="4878.1000000000004"/>
  </r>
  <r>
    <x v="7"/>
    <x v="0"/>
    <x v="1"/>
    <x v="0"/>
    <x v="1"/>
    <x v="3"/>
    <x v="0"/>
    <x v="0"/>
    <x v="0"/>
    <x v="0"/>
    <x v="0"/>
    <x v="4"/>
    <s v="09"/>
    <x v="51"/>
    <x v="1"/>
    <x v="14"/>
    <x v="5"/>
    <n v="1791.23"/>
  </r>
  <r>
    <x v="7"/>
    <x v="0"/>
    <x v="1"/>
    <x v="0"/>
    <x v="1"/>
    <x v="3"/>
    <x v="0"/>
    <x v="0"/>
    <x v="0"/>
    <x v="0"/>
    <x v="0"/>
    <x v="4"/>
    <s v="09"/>
    <x v="51"/>
    <x v="1"/>
    <x v="14"/>
    <x v="6"/>
    <n v="6097.87"/>
  </r>
  <r>
    <x v="7"/>
    <x v="0"/>
    <x v="1"/>
    <x v="0"/>
    <x v="1"/>
    <x v="3"/>
    <x v="0"/>
    <x v="0"/>
    <x v="0"/>
    <x v="0"/>
    <x v="0"/>
    <x v="4"/>
    <s v="09"/>
    <x v="51"/>
    <x v="1"/>
    <x v="14"/>
    <x v="1"/>
    <n v="60"/>
  </r>
  <r>
    <x v="7"/>
    <x v="0"/>
    <x v="1"/>
    <x v="0"/>
    <x v="1"/>
    <x v="3"/>
    <x v="0"/>
    <x v="0"/>
    <x v="0"/>
    <x v="0"/>
    <x v="0"/>
    <x v="4"/>
    <s v="09"/>
    <x v="51"/>
    <x v="1"/>
    <x v="15"/>
    <x v="0"/>
    <n v="1205.5899999999999"/>
  </r>
  <r>
    <x v="7"/>
    <x v="0"/>
    <x v="1"/>
    <x v="0"/>
    <x v="1"/>
    <x v="3"/>
    <x v="0"/>
    <x v="0"/>
    <x v="0"/>
    <x v="0"/>
    <x v="0"/>
    <x v="4"/>
    <s v="09"/>
    <x v="51"/>
    <x v="1"/>
    <x v="15"/>
    <x v="2"/>
    <n v="1876.76"/>
  </r>
  <r>
    <x v="7"/>
    <x v="0"/>
    <x v="1"/>
    <x v="0"/>
    <x v="1"/>
    <x v="3"/>
    <x v="0"/>
    <x v="0"/>
    <x v="0"/>
    <x v="0"/>
    <x v="0"/>
    <x v="4"/>
    <s v="09"/>
    <x v="51"/>
    <x v="1"/>
    <x v="15"/>
    <x v="8"/>
    <n v="5846.98"/>
  </r>
  <r>
    <x v="7"/>
    <x v="0"/>
    <x v="1"/>
    <x v="0"/>
    <x v="1"/>
    <x v="3"/>
    <x v="0"/>
    <x v="0"/>
    <x v="0"/>
    <x v="0"/>
    <x v="0"/>
    <x v="4"/>
    <s v="09"/>
    <x v="51"/>
    <x v="1"/>
    <x v="15"/>
    <x v="9"/>
    <n v="1496.5"/>
  </r>
  <r>
    <x v="7"/>
    <x v="0"/>
    <x v="1"/>
    <x v="0"/>
    <x v="1"/>
    <x v="3"/>
    <x v="0"/>
    <x v="0"/>
    <x v="0"/>
    <x v="0"/>
    <x v="0"/>
    <x v="4"/>
    <s v="09"/>
    <x v="51"/>
    <x v="1"/>
    <x v="15"/>
    <x v="10"/>
    <n v="2683.93"/>
  </r>
  <r>
    <x v="7"/>
    <x v="0"/>
    <x v="1"/>
    <x v="0"/>
    <x v="1"/>
    <x v="3"/>
    <x v="0"/>
    <x v="0"/>
    <x v="0"/>
    <x v="0"/>
    <x v="0"/>
    <x v="4"/>
    <s v="09"/>
    <x v="51"/>
    <x v="1"/>
    <x v="15"/>
    <x v="11"/>
    <n v="6070.18"/>
  </r>
  <r>
    <x v="7"/>
    <x v="0"/>
    <x v="1"/>
    <x v="0"/>
    <x v="1"/>
    <x v="3"/>
    <x v="0"/>
    <x v="0"/>
    <x v="0"/>
    <x v="0"/>
    <x v="0"/>
    <x v="4"/>
    <s v="09"/>
    <x v="51"/>
    <x v="1"/>
    <x v="15"/>
    <x v="3"/>
    <n v="-545.54"/>
  </r>
  <r>
    <x v="7"/>
    <x v="0"/>
    <x v="1"/>
    <x v="0"/>
    <x v="1"/>
    <x v="3"/>
    <x v="0"/>
    <x v="0"/>
    <x v="0"/>
    <x v="0"/>
    <x v="0"/>
    <x v="4"/>
    <s v="09"/>
    <x v="51"/>
    <x v="1"/>
    <x v="15"/>
    <x v="4"/>
    <n v="643.5"/>
  </r>
  <r>
    <x v="7"/>
    <x v="0"/>
    <x v="1"/>
    <x v="0"/>
    <x v="1"/>
    <x v="3"/>
    <x v="0"/>
    <x v="0"/>
    <x v="0"/>
    <x v="0"/>
    <x v="0"/>
    <x v="4"/>
    <s v="16"/>
    <x v="20"/>
    <x v="1"/>
    <x v="14"/>
    <x v="0"/>
    <n v="5457"/>
  </r>
  <r>
    <x v="7"/>
    <x v="0"/>
    <x v="1"/>
    <x v="0"/>
    <x v="1"/>
    <x v="3"/>
    <x v="0"/>
    <x v="0"/>
    <x v="0"/>
    <x v="0"/>
    <x v="0"/>
    <x v="4"/>
    <s v="16"/>
    <x v="20"/>
    <x v="1"/>
    <x v="14"/>
    <x v="8"/>
    <n v="-5457"/>
  </r>
  <r>
    <x v="7"/>
    <x v="0"/>
    <x v="1"/>
    <x v="0"/>
    <x v="1"/>
    <x v="3"/>
    <x v="0"/>
    <x v="0"/>
    <x v="0"/>
    <x v="0"/>
    <x v="0"/>
    <x v="4"/>
    <s v="20"/>
    <x v="7"/>
    <x v="1"/>
    <x v="14"/>
    <x v="0"/>
    <n v="133.19999999999999"/>
  </r>
  <r>
    <x v="7"/>
    <x v="0"/>
    <x v="1"/>
    <x v="0"/>
    <x v="1"/>
    <x v="3"/>
    <x v="0"/>
    <x v="0"/>
    <x v="0"/>
    <x v="0"/>
    <x v="0"/>
    <x v="4"/>
    <s v="20"/>
    <x v="7"/>
    <x v="1"/>
    <x v="14"/>
    <x v="9"/>
    <n v="98913.75"/>
  </r>
  <r>
    <x v="7"/>
    <x v="0"/>
    <x v="1"/>
    <x v="0"/>
    <x v="1"/>
    <x v="3"/>
    <x v="0"/>
    <x v="0"/>
    <x v="0"/>
    <x v="0"/>
    <x v="0"/>
    <x v="4"/>
    <s v="20"/>
    <x v="7"/>
    <x v="1"/>
    <x v="14"/>
    <x v="10"/>
    <n v="87.73"/>
  </r>
  <r>
    <x v="7"/>
    <x v="0"/>
    <x v="1"/>
    <x v="0"/>
    <x v="1"/>
    <x v="3"/>
    <x v="0"/>
    <x v="0"/>
    <x v="0"/>
    <x v="0"/>
    <x v="0"/>
    <x v="4"/>
    <s v="20"/>
    <x v="7"/>
    <x v="1"/>
    <x v="14"/>
    <x v="11"/>
    <n v="2437.9899999999998"/>
  </r>
  <r>
    <x v="7"/>
    <x v="0"/>
    <x v="1"/>
    <x v="0"/>
    <x v="1"/>
    <x v="3"/>
    <x v="0"/>
    <x v="0"/>
    <x v="0"/>
    <x v="0"/>
    <x v="0"/>
    <x v="4"/>
    <s v="20"/>
    <x v="7"/>
    <x v="1"/>
    <x v="14"/>
    <x v="3"/>
    <n v="131544.01999999999"/>
  </r>
  <r>
    <x v="7"/>
    <x v="0"/>
    <x v="1"/>
    <x v="0"/>
    <x v="1"/>
    <x v="3"/>
    <x v="0"/>
    <x v="0"/>
    <x v="0"/>
    <x v="0"/>
    <x v="0"/>
    <x v="4"/>
    <s v="20"/>
    <x v="7"/>
    <x v="1"/>
    <x v="14"/>
    <x v="4"/>
    <n v="432.12"/>
  </r>
  <r>
    <x v="7"/>
    <x v="0"/>
    <x v="1"/>
    <x v="0"/>
    <x v="1"/>
    <x v="3"/>
    <x v="0"/>
    <x v="0"/>
    <x v="0"/>
    <x v="0"/>
    <x v="0"/>
    <x v="4"/>
    <s v="20"/>
    <x v="7"/>
    <x v="1"/>
    <x v="14"/>
    <x v="7"/>
    <n v="8725.23"/>
  </r>
  <r>
    <x v="7"/>
    <x v="0"/>
    <x v="1"/>
    <x v="0"/>
    <x v="1"/>
    <x v="3"/>
    <x v="0"/>
    <x v="0"/>
    <x v="0"/>
    <x v="0"/>
    <x v="0"/>
    <x v="4"/>
    <s v="20"/>
    <x v="7"/>
    <x v="1"/>
    <x v="14"/>
    <x v="5"/>
    <n v="123113.23"/>
  </r>
  <r>
    <x v="7"/>
    <x v="0"/>
    <x v="1"/>
    <x v="0"/>
    <x v="1"/>
    <x v="3"/>
    <x v="0"/>
    <x v="0"/>
    <x v="0"/>
    <x v="0"/>
    <x v="0"/>
    <x v="4"/>
    <s v="20"/>
    <x v="7"/>
    <x v="1"/>
    <x v="14"/>
    <x v="6"/>
    <n v="220.93"/>
  </r>
  <r>
    <x v="7"/>
    <x v="0"/>
    <x v="1"/>
    <x v="0"/>
    <x v="1"/>
    <x v="3"/>
    <x v="0"/>
    <x v="0"/>
    <x v="0"/>
    <x v="0"/>
    <x v="0"/>
    <x v="4"/>
    <s v="20"/>
    <x v="7"/>
    <x v="1"/>
    <x v="14"/>
    <x v="1"/>
    <n v="-365608.2"/>
  </r>
  <r>
    <x v="7"/>
    <x v="0"/>
    <x v="1"/>
    <x v="0"/>
    <x v="1"/>
    <x v="3"/>
    <x v="0"/>
    <x v="0"/>
    <x v="0"/>
    <x v="0"/>
    <x v="0"/>
    <x v="4"/>
    <s v="20"/>
    <x v="7"/>
    <x v="1"/>
    <x v="15"/>
    <x v="0"/>
    <n v="568.58000000000004"/>
  </r>
  <r>
    <x v="7"/>
    <x v="0"/>
    <x v="1"/>
    <x v="0"/>
    <x v="1"/>
    <x v="3"/>
    <x v="0"/>
    <x v="0"/>
    <x v="0"/>
    <x v="0"/>
    <x v="0"/>
    <x v="4"/>
    <s v="20"/>
    <x v="7"/>
    <x v="1"/>
    <x v="15"/>
    <x v="9"/>
    <n v="5735.95"/>
  </r>
  <r>
    <x v="7"/>
    <x v="0"/>
    <x v="1"/>
    <x v="0"/>
    <x v="1"/>
    <x v="3"/>
    <x v="0"/>
    <x v="0"/>
    <x v="0"/>
    <x v="0"/>
    <x v="0"/>
    <x v="4"/>
    <s v="20"/>
    <x v="7"/>
    <x v="1"/>
    <x v="15"/>
    <x v="10"/>
    <n v="-5651.48"/>
  </r>
  <r>
    <x v="7"/>
    <x v="0"/>
    <x v="1"/>
    <x v="0"/>
    <x v="1"/>
    <x v="3"/>
    <x v="0"/>
    <x v="0"/>
    <x v="0"/>
    <x v="0"/>
    <x v="0"/>
    <x v="4"/>
    <s v="20"/>
    <x v="7"/>
    <x v="1"/>
    <x v="15"/>
    <x v="11"/>
    <n v="666.45"/>
  </r>
  <r>
    <x v="7"/>
    <x v="0"/>
    <x v="1"/>
    <x v="0"/>
    <x v="1"/>
    <x v="3"/>
    <x v="0"/>
    <x v="0"/>
    <x v="0"/>
    <x v="0"/>
    <x v="0"/>
    <x v="4"/>
    <s v="20"/>
    <x v="7"/>
    <x v="1"/>
    <x v="15"/>
    <x v="3"/>
    <n v="261.95999999999998"/>
  </r>
  <r>
    <x v="7"/>
    <x v="0"/>
    <x v="1"/>
    <x v="0"/>
    <x v="1"/>
    <x v="3"/>
    <x v="0"/>
    <x v="0"/>
    <x v="0"/>
    <x v="0"/>
    <x v="0"/>
    <x v="4"/>
    <s v="20"/>
    <x v="7"/>
    <x v="1"/>
    <x v="15"/>
    <x v="4"/>
    <n v="444"/>
  </r>
  <r>
    <x v="7"/>
    <x v="0"/>
    <x v="1"/>
    <x v="0"/>
    <x v="1"/>
    <x v="3"/>
    <x v="0"/>
    <x v="0"/>
    <x v="0"/>
    <x v="0"/>
    <x v="0"/>
    <x v="4"/>
    <s v="21"/>
    <x v="17"/>
    <x v="1"/>
    <x v="15"/>
    <x v="9"/>
    <n v="-1487.7"/>
  </r>
  <r>
    <x v="7"/>
    <x v="0"/>
    <x v="1"/>
    <x v="0"/>
    <x v="1"/>
    <x v="3"/>
    <x v="0"/>
    <x v="0"/>
    <x v="0"/>
    <x v="0"/>
    <x v="0"/>
    <x v="4"/>
    <s v="21"/>
    <x v="17"/>
    <x v="1"/>
    <x v="15"/>
    <x v="10"/>
    <n v="1487.7"/>
  </r>
  <r>
    <x v="7"/>
    <x v="0"/>
    <x v="1"/>
    <x v="0"/>
    <x v="1"/>
    <x v="3"/>
    <x v="0"/>
    <x v="0"/>
    <x v="0"/>
    <x v="0"/>
    <x v="0"/>
    <x v="4"/>
    <s v="24"/>
    <x v="1"/>
    <x v="1"/>
    <x v="14"/>
    <x v="0"/>
    <n v="32345855.100000001"/>
  </r>
  <r>
    <x v="7"/>
    <x v="0"/>
    <x v="1"/>
    <x v="0"/>
    <x v="1"/>
    <x v="3"/>
    <x v="0"/>
    <x v="0"/>
    <x v="0"/>
    <x v="0"/>
    <x v="0"/>
    <x v="4"/>
    <s v="24"/>
    <x v="1"/>
    <x v="1"/>
    <x v="14"/>
    <x v="2"/>
    <n v="51751472.390000001"/>
  </r>
  <r>
    <x v="7"/>
    <x v="0"/>
    <x v="1"/>
    <x v="0"/>
    <x v="1"/>
    <x v="3"/>
    <x v="0"/>
    <x v="0"/>
    <x v="0"/>
    <x v="0"/>
    <x v="0"/>
    <x v="4"/>
    <s v="24"/>
    <x v="1"/>
    <x v="1"/>
    <x v="14"/>
    <x v="8"/>
    <n v="55051648.210000001"/>
  </r>
  <r>
    <x v="7"/>
    <x v="0"/>
    <x v="1"/>
    <x v="0"/>
    <x v="1"/>
    <x v="3"/>
    <x v="0"/>
    <x v="0"/>
    <x v="0"/>
    <x v="0"/>
    <x v="0"/>
    <x v="4"/>
    <s v="24"/>
    <x v="1"/>
    <x v="1"/>
    <x v="14"/>
    <x v="9"/>
    <n v="7748812.5300000003"/>
  </r>
  <r>
    <x v="7"/>
    <x v="0"/>
    <x v="1"/>
    <x v="0"/>
    <x v="1"/>
    <x v="3"/>
    <x v="0"/>
    <x v="0"/>
    <x v="0"/>
    <x v="0"/>
    <x v="0"/>
    <x v="4"/>
    <s v="24"/>
    <x v="1"/>
    <x v="1"/>
    <x v="14"/>
    <x v="10"/>
    <n v="29872842.960000001"/>
  </r>
  <r>
    <x v="7"/>
    <x v="0"/>
    <x v="1"/>
    <x v="0"/>
    <x v="1"/>
    <x v="3"/>
    <x v="0"/>
    <x v="0"/>
    <x v="0"/>
    <x v="0"/>
    <x v="0"/>
    <x v="4"/>
    <s v="24"/>
    <x v="1"/>
    <x v="1"/>
    <x v="14"/>
    <x v="11"/>
    <n v="52954813.579999998"/>
  </r>
  <r>
    <x v="7"/>
    <x v="0"/>
    <x v="1"/>
    <x v="0"/>
    <x v="1"/>
    <x v="3"/>
    <x v="0"/>
    <x v="0"/>
    <x v="0"/>
    <x v="0"/>
    <x v="0"/>
    <x v="4"/>
    <s v="24"/>
    <x v="1"/>
    <x v="1"/>
    <x v="14"/>
    <x v="3"/>
    <n v="21408954.149999999"/>
  </r>
  <r>
    <x v="7"/>
    <x v="0"/>
    <x v="1"/>
    <x v="0"/>
    <x v="1"/>
    <x v="3"/>
    <x v="0"/>
    <x v="0"/>
    <x v="0"/>
    <x v="0"/>
    <x v="0"/>
    <x v="4"/>
    <s v="24"/>
    <x v="1"/>
    <x v="1"/>
    <x v="14"/>
    <x v="4"/>
    <n v="24689528.690000001"/>
  </r>
  <r>
    <x v="7"/>
    <x v="0"/>
    <x v="1"/>
    <x v="0"/>
    <x v="1"/>
    <x v="3"/>
    <x v="0"/>
    <x v="0"/>
    <x v="0"/>
    <x v="0"/>
    <x v="0"/>
    <x v="4"/>
    <s v="24"/>
    <x v="1"/>
    <x v="1"/>
    <x v="14"/>
    <x v="7"/>
    <n v="58717535.380000003"/>
  </r>
  <r>
    <x v="7"/>
    <x v="0"/>
    <x v="1"/>
    <x v="0"/>
    <x v="1"/>
    <x v="3"/>
    <x v="0"/>
    <x v="0"/>
    <x v="0"/>
    <x v="0"/>
    <x v="0"/>
    <x v="4"/>
    <s v="24"/>
    <x v="1"/>
    <x v="1"/>
    <x v="14"/>
    <x v="5"/>
    <n v="18533241.989999998"/>
  </r>
  <r>
    <x v="7"/>
    <x v="0"/>
    <x v="1"/>
    <x v="0"/>
    <x v="1"/>
    <x v="3"/>
    <x v="0"/>
    <x v="0"/>
    <x v="0"/>
    <x v="0"/>
    <x v="0"/>
    <x v="4"/>
    <s v="24"/>
    <x v="1"/>
    <x v="1"/>
    <x v="14"/>
    <x v="6"/>
    <n v="8215582.1900000004"/>
  </r>
  <r>
    <x v="7"/>
    <x v="0"/>
    <x v="1"/>
    <x v="0"/>
    <x v="1"/>
    <x v="3"/>
    <x v="0"/>
    <x v="0"/>
    <x v="0"/>
    <x v="0"/>
    <x v="0"/>
    <x v="4"/>
    <s v="24"/>
    <x v="1"/>
    <x v="1"/>
    <x v="14"/>
    <x v="1"/>
    <n v="1812644.32"/>
  </r>
  <r>
    <x v="7"/>
    <x v="0"/>
    <x v="1"/>
    <x v="0"/>
    <x v="1"/>
    <x v="3"/>
    <x v="0"/>
    <x v="0"/>
    <x v="0"/>
    <x v="0"/>
    <x v="0"/>
    <x v="4"/>
    <s v="24"/>
    <x v="1"/>
    <x v="1"/>
    <x v="15"/>
    <x v="0"/>
    <n v="35666427"/>
  </r>
  <r>
    <x v="7"/>
    <x v="0"/>
    <x v="1"/>
    <x v="0"/>
    <x v="1"/>
    <x v="3"/>
    <x v="0"/>
    <x v="0"/>
    <x v="0"/>
    <x v="0"/>
    <x v="0"/>
    <x v="4"/>
    <s v="24"/>
    <x v="1"/>
    <x v="1"/>
    <x v="15"/>
    <x v="2"/>
    <n v="47271298.32"/>
  </r>
  <r>
    <x v="7"/>
    <x v="0"/>
    <x v="1"/>
    <x v="0"/>
    <x v="1"/>
    <x v="3"/>
    <x v="0"/>
    <x v="0"/>
    <x v="0"/>
    <x v="0"/>
    <x v="0"/>
    <x v="4"/>
    <s v="24"/>
    <x v="1"/>
    <x v="1"/>
    <x v="15"/>
    <x v="8"/>
    <n v="52660261.469999999"/>
  </r>
  <r>
    <x v="7"/>
    <x v="0"/>
    <x v="1"/>
    <x v="0"/>
    <x v="1"/>
    <x v="3"/>
    <x v="0"/>
    <x v="0"/>
    <x v="0"/>
    <x v="0"/>
    <x v="0"/>
    <x v="4"/>
    <s v="24"/>
    <x v="1"/>
    <x v="1"/>
    <x v="15"/>
    <x v="9"/>
    <n v="9132405.6400000006"/>
  </r>
  <r>
    <x v="7"/>
    <x v="0"/>
    <x v="1"/>
    <x v="0"/>
    <x v="1"/>
    <x v="3"/>
    <x v="0"/>
    <x v="0"/>
    <x v="0"/>
    <x v="0"/>
    <x v="0"/>
    <x v="4"/>
    <s v="24"/>
    <x v="1"/>
    <x v="1"/>
    <x v="15"/>
    <x v="10"/>
    <n v="28311092.399999999"/>
  </r>
  <r>
    <x v="7"/>
    <x v="0"/>
    <x v="1"/>
    <x v="0"/>
    <x v="1"/>
    <x v="3"/>
    <x v="0"/>
    <x v="0"/>
    <x v="0"/>
    <x v="0"/>
    <x v="0"/>
    <x v="4"/>
    <s v="24"/>
    <x v="1"/>
    <x v="1"/>
    <x v="15"/>
    <x v="11"/>
    <n v="61199664.039999999"/>
  </r>
  <r>
    <x v="7"/>
    <x v="0"/>
    <x v="1"/>
    <x v="0"/>
    <x v="1"/>
    <x v="3"/>
    <x v="0"/>
    <x v="0"/>
    <x v="0"/>
    <x v="0"/>
    <x v="0"/>
    <x v="4"/>
    <s v="24"/>
    <x v="1"/>
    <x v="1"/>
    <x v="15"/>
    <x v="3"/>
    <n v="16095563.67"/>
  </r>
  <r>
    <x v="7"/>
    <x v="0"/>
    <x v="1"/>
    <x v="0"/>
    <x v="1"/>
    <x v="3"/>
    <x v="0"/>
    <x v="0"/>
    <x v="0"/>
    <x v="0"/>
    <x v="0"/>
    <x v="4"/>
    <s v="24"/>
    <x v="1"/>
    <x v="1"/>
    <x v="15"/>
    <x v="4"/>
    <n v="18253194.920000002"/>
  </r>
  <r>
    <x v="7"/>
    <x v="0"/>
    <x v="1"/>
    <x v="0"/>
    <x v="1"/>
    <x v="3"/>
    <x v="0"/>
    <x v="0"/>
    <x v="0"/>
    <x v="0"/>
    <x v="0"/>
    <x v="4"/>
    <s v="30"/>
    <x v="3"/>
    <x v="1"/>
    <x v="14"/>
    <x v="2"/>
    <n v="1412.5"/>
  </r>
  <r>
    <x v="7"/>
    <x v="0"/>
    <x v="1"/>
    <x v="0"/>
    <x v="1"/>
    <x v="3"/>
    <x v="0"/>
    <x v="0"/>
    <x v="0"/>
    <x v="0"/>
    <x v="0"/>
    <x v="4"/>
    <s v="30"/>
    <x v="3"/>
    <x v="1"/>
    <x v="14"/>
    <x v="8"/>
    <n v="17248.830000000002"/>
  </r>
  <r>
    <x v="7"/>
    <x v="0"/>
    <x v="1"/>
    <x v="0"/>
    <x v="1"/>
    <x v="3"/>
    <x v="0"/>
    <x v="0"/>
    <x v="0"/>
    <x v="0"/>
    <x v="0"/>
    <x v="4"/>
    <s v="30"/>
    <x v="3"/>
    <x v="1"/>
    <x v="14"/>
    <x v="9"/>
    <n v="4150.57"/>
  </r>
  <r>
    <x v="7"/>
    <x v="0"/>
    <x v="1"/>
    <x v="0"/>
    <x v="1"/>
    <x v="3"/>
    <x v="0"/>
    <x v="0"/>
    <x v="0"/>
    <x v="0"/>
    <x v="0"/>
    <x v="4"/>
    <s v="30"/>
    <x v="3"/>
    <x v="1"/>
    <x v="14"/>
    <x v="10"/>
    <n v="2586.1999999999998"/>
  </r>
  <r>
    <x v="7"/>
    <x v="0"/>
    <x v="1"/>
    <x v="0"/>
    <x v="1"/>
    <x v="3"/>
    <x v="0"/>
    <x v="0"/>
    <x v="0"/>
    <x v="0"/>
    <x v="0"/>
    <x v="4"/>
    <s v="30"/>
    <x v="3"/>
    <x v="1"/>
    <x v="14"/>
    <x v="11"/>
    <n v="-25116.18"/>
  </r>
  <r>
    <x v="7"/>
    <x v="0"/>
    <x v="1"/>
    <x v="0"/>
    <x v="1"/>
    <x v="3"/>
    <x v="0"/>
    <x v="0"/>
    <x v="0"/>
    <x v="0"/>
    <x v="0"/>
    <x v="4"/>
    <s v="30"/>
    <x v="3"/>
    <x v="1"/>
    <x v="14"/>
    <x v="3"/>
    <n v="25"/>
  </r>
  <r>
    <x v="7"/>
    <x v="0"/>
    <x v="1"/>
    <x v="0"/>
    <x v="1"/>
    <x v="3"/>
    <x v="0"/>
    <x v="0"/>
    <x v="0"/>
    <x v="0"/>
    <x v="0"/>
    <x v="4"/>
    <s v="30"/>
    <x v="3"/>
    <x v="1"/>
    <x v="14"/>
    <x v="7"/>
    <n v="34.44"/>
  </r>
  <r>
    <x v="7"/>
    <x v="0"/>
    <x v="1"/>
    <x v="0"/>
    <x v="1"/>
    <x v="3"/>
    <x v="0"/>
    <x v="0"/>
    <x v="0"/>
    <x v="0"/>
    <x v="0"/>
    <x v="4"/>
    <s v="30"/>
    <x v="3"/>
    <x v="1"/>
    <x v="14"/>
    <x v="5"/>
    <n v="-193.35"/>
  </r>
  <r>
    <x v="7"/>
    <x v="0"/>
    <x v="1"/>
    <x v="0"/>
    <x v="1"/>
    <x v="3"/>
    <x v="0"/>
    <x v="0"/>
    <x v="0"/>
    <x v="0"/>
    <x v="0"/>
    <x v="4"/>
    <s v="30"/>
    <x v="3"/>
    <x v="1"/>
    <x v="14"/>
    <x v="6"/>
    <n v="265.5"/>
  </r>
  <r>
    <x v="7"/>
    <x v="0"/>
    <x v="1"/>
    <x v="0"/>
    <x v="1"/>
    <x v="3"/>
    <x v="0"/>
    <x v="0"/>
    <x v="0"/>
    <x v="0"/>
    <x v="0"/>
    <x v="4"/>
    <s v="30"/>
    <x v="3"/>
    <x v="1"/>
    <x v="14"/>
    <x v="1"/>
    <n v="80.489999999999995"/>
  </r>
  <r>
    <x v="7"/>
    <x v="0"/>
    <x v="1"/>
    <x v="0"/>
    <x v="1"/>
    <x v="3"/>
    <x v="0"/>
    <x v="0"/>
    <x v="0"/>
    <x v="0"/>
    <x v="0"/>
    <x v="4"/>
    <s v="30"/>
    <x v="3"/>
    <x v="1"/>
    <x v="15"/>
    <x v="2"/>
    <n v="77"/>
  </r>
  <r>
    <x v="7"/>
    <x v="0"/>
    <x v="1"/>
    <x v="0"/>
    <x v="1"/>
    <x v="3"/>
    <x v="0"/>
    <x v="0"/>
    <x v="0"/>
    <x v="0"/>
    <x v="0"/>
    <x v="4"/>
    <s v="30"/>
    <x v="3"/>
    <x v="1"/>
    <x v="15"/>
    <x v="8"/>
    <n v="-79.2"/>
  </r>
  <r>
    <x v="7"/>
    <x v="0"/>
    <x v="1"/>
    <x v="0"/>
    <x v="1"/>
    <x v="3"/>
    <x v="0"/>
    <x v="0"/>
    <x v="0"/>
    <x v="0"/>
    <x v="0"/>
    <x v="4"/>
    <s v="30"/>
    <x v="3"/>
    <x v="1"/>
    <x v="15"/>
    <x v="10"/>
    <n v="2.2000000000000002"/>
  </r>
  <r>
    <x v="7"/>
    <x v="0"/>
    <x v="1"/>
    <x v="0"/>
    <x v="1"/>
    <x v="3"/>
    <x v="0"/>
    <x v="0"/>
    <x v="0"/>
    <x v="0"/>
    <x v="0"/>
    <x v="4"/>
    <s v="41"/>
    <x v="4"/>
    <x v="1"/>
    <x v="15"/>
    <x v="9"/>
    <n v="85400.84"/>
  </r>
  <r>
    <x v="7"/>
    <x v="0"/>
    <x v="1"/>
    <x v="0"/>
    <x v="1"/>
    <x v="3"/>
    <x v="0"/>
    <x v="0"/>
    <x v="0"/>
    <x v="0"/>
    <x v="0"/>
    <x v="4"/>
    <s v="41"/>
    <x v="4"/>
    <x v="1"/>
    <x v="15"/>
    <x v="4"/>
    <n v="104805.67"/>
  </r>
  <r>
    <x v="7"/>
    <x v="0"/>
    <x v="1"/>
    <x v="0"/>
    <x v="1"/>
    <x v="3"/>
    <x v="0"/>
    <x v="0"/>
    <x v="0"/>
    <x v="0"/>
    <x v="0"/>
    <x v="4"/>
    <s v="90"/>
    <x v="16"/>
    <x v="1"/>
    <x v="14"/>
    <x v="11"/>
    <n v="3.53"/>
  </r>
  <r>
    <x v="7"/>
    <x v="0"/>
    <x v="1"/>
    <x v="0"/>
    <x v="1"/>
    <x v="3"/>
    <x v="0"/>
    <x v="0"/>
    <x v="0"/>
    <x v="0"/>
    <x v="0"/>
    <x v="4"/>
    <s v="90"/>
    <x v="16"/>
    <x v="1"/>
    <x v="14"/>
    <x v="3"/>
    <n v="-3.53"/>
  </r>
  <r>
    <x v="7"/>
    <x v="0"/>
    <x v="1"/>
    <x v="0"/>
    <x v="1"/>
    <x v="3"/>
    <x v="0"/>
    <x v="0"/>
    <x v="0"/>
    <x v="0"/>
    <x v="0"/>
    <x v="4"/>
    <s v="90"/>
    <x v="16"/>
    <x v="1"/>
    <x v="14"/>
    <x v="4"/>
    <n v="3"/>
  </r>
  <r>
    <x v="7"/>
    <x v="0"/>
    <x v="1"/>
    <x v="0"/>
    <x v="1"/>
    <x v="3"/>
    <x v="0"/>
    <x v="0"/>
    <x v="0"/>
    <x v="0"/>
    <x v="0"/>
    <x v="4"/>
    <s v="90"/>
    <x v="16"/>
    <x v="1"/>
    <x v="14"/>
    <x v="5"/>
    <n v="-3"/>
  </r>
  <r>
    <x v="7"/>
    <x v="0"/>
    <x v="1"/>
    <x v="0"/>
    <x v="1"/>
    <x v="3"/>
    <x v="0"/>
    <x v="0"/>
    <x v="0"/>
    <x v="0"/>
    <x v="0"/>
    <x v="4"/>
    <s v="90"/>
    <x v="16"/>
    <x v="1"/>
    <x v="15"/>
    <x v="9"/>
    <n v="10"/>
  </r>
  <r>
    <x v="7"/>
    <x v="0"/>
    <x v="1"/>
    <x v="0"/>
    <x v="1"/>
    <x v="3"/>
    <x v="0"/>
    <x v="0"/>
    <x v="0"/>
    <x v="0"/>
    <x v="0"/>
    <x v="4"/>
    <s v="90"/>
    <x v="16"/>
    <x v="1"/>
    <x v="15"/>
    <x v="10"/>
    <n v="-20"/>
  </r>
  <r>
    <x v="7"/>
    <x v="0"/>
    <x v="1"/>
    <x v="0"/>
    <x v="1"/>
    <x v="3"/>
    <x v="0"/>
    <x v="0"/>
    <x v="0"/>
    <x v="0"/>
    <x v="0"/>
    <x v="4"/>
    <s v="99"/>
    <x v="9"/>
    <x v="1"/>
    <x v="14"/>
    <x v="0"/>
    <n v="492.73"/>
  </r>
  <r>
    <x v="7"/>
    <x v="0"/>
    <x v="1"/>
    <x v="0"/>
    <x v="1"/>
    <x v="3"/>
    <x v="0"/>
    <x v="0"/>
    <x v="0"/>
    <x v="0"/>
    <x v="0"/>
    <x v="4"/>
    <s v="99"/>
    <x v="9"/>
    <x v="1"/>
    <x v="14"/>
    <x v="2"/>
    <n v="-6034.07"/>
  </r>
  <r>
    <x v="7"/>
    <x v="0"/>
    <x v="1"/>
    <x v="0"/>
    <x v="1"/>
    <x v="3"/>
    <x v="0"/>
    <x v="0"/>
    <x v="0"/>
    <x v="0"/>
    <x v="0"/>
    <x v="4"/>
    <s v="99"/>
    <x v="9"/>
    <x v="1"/>
    <x v="14"/>
    <x v="8"/>
    <n v="5721.34"/>
  </r>
  <r>
    <x v="7"/>
    <x v="0"/>
    <x v="1"/>
    <x v="0"/>
    <x v="1"/>
    <x v="3"/>
    <x v="0"/>
    <x v="0"/>
    <x v="0"/>
    <x v="0"/>
    <x v="0"/>
    <x v="4"/>
    <s v="99"/>
    <x v="9"/>
    <x v="1"/>
    <x v="14"/>
    <x v="9"/>
    <n v="2197.02"/>
  </r>
  <r>
    <x v="7"/>
    <x v="0"/>
    <x v="1"/>
    <x v="0"/>
    <x v="1"/>
    <x v="3"/>
    <x v="0"/>
    <x v="0"/>
    <x v="0"/>
    <x v="0"/>
    <x v="0"/>
    <x v="4"/>
    <s v="99"/>
    <x v="9"/>
    <x v="1"/>
    <x v="14"/>
    <x v="10"/>
    <n v="4213.2700000000004"/>
  </r>
  <r>
    <x v="7"/>
    <x v="0"/>
    <x v="1"/>
    <x v="0"/>
    <x v="1"/>
    <x v="3"/>
    <x v="0"/>
    <x v="0"/>
    <x v="0"/>
    <x v="0"/>
    <x v="0"/>
    <x v="4"/>
    <s v="99"/>
    <x v="9"/>
    <x v="1"/>
    <x v="14"/>
    <x v="11"/>
    <n v="652.84"/>
  </r>
  <r>
    <x v="7"/>
    <x v="0"/>
    <x v="1"/>
    <x v="0"/>
    <x v="1"/>
    <x v="3"/>
    <x v="0"/>
    <x v="0"/>
    <x v="0"/>
    <x v="0"/>
    <x v="0"/>
    <x v="4"/>
    <s v="99"/>
    <x v="9"/>
    <x v="1"/>
    <x v="14"/>
    <x v="3"/>
    <n v="649.29"/>
  </r>
  <r>
    <x v="7"/>
    <x v="0"/>
    <x v="1"/>
    <x v="0"/>
    <x v="1"/>
    <x v="3"/>
    <x v="0"/>
    <x v="0"/>
    <x v="0"/>
    <x v="0"/>
    <x v="0"/>
    <x v="4"/>
    <s v="99"/>
    <x v="9"/>
    <x v="1"/>
    <x v="14"/>
    <x v="4"/>
    <n v="4055.86"/>
  </r>
  <r>
    <x v="7"/>
    <x v="0"/>
    <x v="1"/>
    <x v="0"/>
    <x v="1"/>
    <x v="3"/>
    <x v="0"/>
    <x v="0"/>
    <x v="0"/>
    <x v="0"/>
    <x v="0"/>
    <x v="4"/>
    <s v="99"/>
    <x v="9"/>
    <x v="1"/>
    <x v="14"/>
    <x v="7"/>
    <n v="4747.7299999999996"/>
  </r>
  <r>
    <x v="7"/>
    <x v="0"/>
    <x v="1"/>
    <x v="0"/>
    <x v="1"/>
    <x v="3"/>
    <x v="0"/>
    <x v="0"/>
    <x v="0"/>
    <x v="0"/>
    <x v="0"/>
    <x v="4"/>
    <s v="99"/>
    <x v="9"/>
    <x v="1"/>
    <x v="14"/>
    <x v="5"/>
    <n v="3905.74"/>
  </r>
  <r>
    <x v="7"/>
    <x v="0"/>
    <x v="1"/>
    <x v="0"/>
    <x v="1"/>
    <x v="3"/>
    <x v="0"/>
    <x v="0"/>
    <x v="0"/>
    <x v="0"/>
    <x v="0"/>
    <x v="4"/>
    <s v="99"/>
    <x v="9"/>
    <x v="1"/>
    <x v="14"/>
    <x v="6"/>
    <n v="2408.1999999999998"/>
  </r>
  <r>
    <x v="7"/>
    <x v="0"/>
    <x v="1"/>
    <x v="0"/>
    <x v="1"/>
    <x v="3"/>
    <x v="0"/>
    <x v="0"/>
    <x v="0"/>
    <x v="0"/>
    <x v="0"/>
    <x v="4"/>
    <s v="99"/>
    <x v="9"/>
    <x v="1"/>
    <x v="14"/>
    <x v="1"/>
    <n v="-49522.18"/>
  </r>
  <r>
    <x v="7"/>
    <x v="0"/>
    <x v="1"/>
    <x v="0"/>
    <x v="1"/>
    <x v="3"/>
    <x v="0"/>
    <x v="0"/>
    <x v="0"/>
    <x v="0"/>
    <x v="0"/>
    <x v="4"/>
    <s v="99"/>
    <x v="9"/>
    <x v="1"/>
    <x v="15"/>
    <x v="0"/>
    <n v="25182.720000000001"/>
  </r>
  <r>
    <x v="7"/>
    <x v="0"/>
    <x v="1"/>
    <x v="0"/>
    <x v="1"/>
    <x v="3"/>
    <x v="0"/>
    <x v="0"/>
    <x v="0"/>
    <x v="0"/>
    <x v="0"/>
    <x v="4"/>
    <s v="99"/>
    <x v="9"/>
    <x v="1"/>
    <x v="15"/>
    <x v="2"/>
    <n v="-22378.17"/>
  </r>
  <r>
    <x v="7"/>
    <x v="0"/>
    <x v="1"/>
    <x v="0"/>
    <x v="1"/>
    <x v="3"/>
    <x v="0"/>
    <x v="0"/>
    <x v="0"/>
    <x v="0"/>
    <x v="0"/>
    <x v="4"/>
    <s v="99"/>
    <x v="9"/>
    <x v="1"/>
    <x v="15"/>
    <x v="8"/>
    <n v="2845.11"/>
  </r>
  <r>
    <x v="7"/>
    <x v="0"/>
    <x v="1"/>
    <x v="0"/>
    <x v="1"/>
    <x v="3"/>
    <x v="0"/>
    <x v="0"/>
    <x v="0"/>
    <x v="0"/>
    <x v="0"/>
    <x v="4"/>
    <s v="99"/>
    <x v="9"/>
    <x v="1"/>
    <x v="15"/>
    <x v="9"/>
    <n v="-310779.67"/>
  </r>
  <r>
    <x v="7"/>
    <x v="0"/>
    <x v="1"/>
    <x v="0"/>
    <x v="1"/>
    <x v="3"/>
    <x v="0"/>
    <x v="0"/>
    <x v="0"/>
    <x v="0"/>
    <x v="0"/>
    <x v="4"/>
    <s v="99"/>
    <x v="9"/>
    <x v="1"/>
    <x v="15"/>
    <x v="10"/>
    <n v="320941.51"/>
  </r>
  <r>
    <x v="7"/>
    <x v="0"/>
    <x v="1"/>
    <x v="0"/>
    <x v="1"/>
    <x v="3"/>
    <x v="0"/>
    <x v="0"/>
    <x v="0"/>
    <x v="0"/>
    <x v="0"/>
    <x v="4"/>
    <s v="99"/>
    <x v="9"/>
    <x v="1"/>
    <x v="15"/>
    <x v="11"/>
    <n v="-4350"/>
  </r>
  <r>
    <x v="7"/>
    <x v="0"/>
    <x v="1"/>
    <x v="0"/>
    <x v="1"/>
    <x v="3"/>
    <x v="0"/>
    <x v="0"/>
    <x v="0"/>
    <x v="0"/>
    <x v="0"/>
    <x v="4"/>
    <s v="99"/>
    <x v="9"/>
    <x v="1"/>
    <x v="15"/>
    <x v="3"/>
    <n v="961.65"/>
  </r>
  <r>
    <x v="7"/>
    <x v="0"/>
    <x v="1"/>
    <x v="0"/>
    <x v="1"/>
    <x v="3"/>
    <x v="0"/>
    <x v="0"/>
    <x v="0"/>
    <x v="0"/>
    <x v="0"/>
    <x v="4"/>
    <s v="99"/>
    <x v="9"/>
    <x v="1"/>
    <x v="15"/>
    <x v="4"/>
    <n v="1434.6"/>
  </r>
  <r>
    <x v="7"/>
    <x v="0"/>
    <x v="1"/>
    <x v="0"/>
    <x v="1"/>
    <x v="3"/>
    <x v="0"/>
    <x v="0"/>
    <x v="0"/>
    <x v="0"/>
    <x v="4"/>
    <x v="5"/>
    <s v="21"/>
    <x v="27"/>
    <x v="1"/>
    <x v="14"/>
    <x v="6"/>
    <n v="32201.57"/>
  </r>
  <r>
    <x v="7"/>
    <x v="0"/>
    <x v="1"/>
    <x v="0"/>
    <x v="1"/>
    <x v="3"/>
    <x v="0"/>
    <x v="0"/>
    <x v="0"/>
    <x v="0"/>
    <x v="4"/>
    <x v="5"/>
    <s v="21"/>
    <x v="27"/>
    <x v="1"/>
    <x v="14"/>
    <x v="1"/>
    <n v="-32201.57"/>
  </r>
  <r>
    <x v="7"/>
    <x v="0"/>
    <x v="1"/>
    <x v="0"/>
    <x v="1"/>
    <x v="3"/>
    <x v="0"/>
    <x v="0"/>
    <x v="0"/>
    <x v="0"/>
    <x v="4"/>
    <x v="5"/>
    <s v="21"/>
    <x v="27"/>
    <x v="1"/>
    <x v="15"/>
    <x v="8"/>
    <n v="-94302.26"/>
  </r>
  <r>
    <x v="7"/>
    <x v="0"/>
    <x v="1"/>
    <x v="0"/>
    <x v="1"/>
    <x v="3"/>
    <x v="0"/>
    <x v="0"/>
    <x v="0"/>
    <x v="0"/>
    <x v="4"/>
    <x v="5"/>
    <s v="21"/>
    <x v="27"/>
    <x v="1"/>
    <x v="15"/>
    <x v="9"/>
    <n v="94302.26"/>
  </r>
  <r>
    <x v="7"/>
    <x v="0"/>
    <x v="1"/>
    <x v="0"/>
    <x v="1"/>
    <x v="3"/>
    <x v="0"/>
    <x v="0"/>
    <x v="0"/>
    <x v="0"/>
    <x v="4"/>
    <x v="5"/>
    <s v="21"/>
    <x v="27"/>
    <x v="1"/>
    <x v="15"/>
    <x v="10"/>
    <n v="-5372.61"/>
  </r>
  <r>
    <x v="7"/>
    <x v="0"/>
    <x v="1"/>
    <x v="0"/>
    <x v="1"/>
    <x v="3"/>
    <x v="0"/>
    <x v="0"/>
    <x v="0"/>
    <x v="0"/>
    <x v="4"/>
    <x v="5"/>
    <s v="22"/>
    <x v="25"/>
    <x v="1"/>
    <x v="14"/>
    <x v="9"/>
    <n v="-285000"/>
  </r>
  <r>
    <x v="7"/>
    <x v="0"/>
    <x v="1"/>
    <x v="0"/>
    <x v="1"/>
    <x v="3"/>
    <x v="0"/>
    <x v="0"/>
    <x v="0"/>
    <x v="0"/>
    <x v="4"/>
    <x v="5"/>
    <s v="22"/>
    <x v="25"/>
    <x v="1"/>
    <x v="15"/>
    <x v="2"/>
    <n v="-105"/>
  </r>
  <r>
    <x v="7"/>
    <x v="0"/>
    <x v="1"/>
    <x v="0"/>
    <x v="1"/>
    <x v="3"/>
    <x v="0"/>
    <x v="0"/>
    <x v="0"/>
    <x v="0"/>
    <x v="4"/>
    <x v="5"/>
    <s v="22"/>
    <x v="25"/>
    <x v="1"/>
    <x v="15"/>
    <x v="8"/>
    <n v="105"/>
  </r>
  <r>
    <x v="7"/>
    <x v="0"/>
    <x v="1"/>
    <x v="0"/>
    <x v="1"/>
    <x v="3"/>
    <x v="0"/>
    <x v="0"/>
    <x v="0"/>
    <x v="0"/>
    <x v="4"/>
    <x v="5"/>
    <s v="22"/>
    <x v="25"/>
    <x v="1"/>
    <x v="15"/>
    <x v="10"/>
    <n v="-300000"/>
  </r>
  <r>
    <x v="7"/>
    <x v="0"/>
    <x v="1"/>
    <x v="0"/>
    <x v="1"/>
    <x v="3"/>
    <x v="0"/>
    <x v="0"/>
    <x v="0"/>
    <x v="0"/>
    <x v="4"/>
    <x v="5"/>
    <s v="78"/>
    <x v="55"/>
    <x v="1"/>
    <x v="14"/>
    <x v="5"/>
    <n v="8590.17"/>
  </r>
  <r>
    <x v="7"/>
    <x v="0"/>
    <x v="1"/>
    <x v="0"/>
    <x v="1"/>
    <x v="3"/>
    <x v="0"/>
    <x v="0"/>
    <x v="0"/>
    <x v="0"/>
    <x v="4"/>
    <x v="5"/>
    <s v="78"/>
    <x v="55"/>
    <x v="1"/>
    <x v="14"/>
    <x v="6"/>
    <n v="-8590.17"/>
  </r>
  <r>
    <x v="7"/>
    <x v="0"/>
    <x v="1"/>
    <x v="0"/>
    <x v="1"/>
    <x v="3"/>
    <x v="0"/>
    <x v="0"/>
    <x v="0"/>
    <x v="0"/>
    <x v="5"/>
    <x v="6"/>
    <s v="20"/>
    <x v="29"/>
    <x v="1"/>
    <x v="14"/>
    <x v="2"/>
    <n v="3"/>
  </r>
  <r>
    <x v="7"/>
    <x v="0"/>
    <x v="1"/>
    <x v="0"/>
    <x v="1"/>
    <x v="3"/>
    <x v="0"/>
    <x v="0"/>
    <x v="0"/>
    <x v="0"/>
    <x v="5"/>
    <x v="6"/>
    <s v="20"/>
    <x v="29"/>
    <x v="1"/>
    <x v="14"/>
    <x v="8"/>
    <n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0">
  <r>
    <x v="0"/>
    <s v="010401"/>
    <x v="0"/>
    <x v="0"/>
    <x v="0"/>
    <x v="0"/>
    <n v="1401902000"/>
    <x v="0"/>
    <x v="0"/>
  </r>
  <r>
    <x v="0"/>
    <s v="010401"/>
    <x v="0"/>
    <x v="0"/>
    <x v="0"/>
    <x v="1"/>
    <n v="1471521000"/>
    <x v="0"/>
    <x v="0"/>
  </r>
  <r>
    <x v="0"/>
    <s v="010401"/>
    <x v="0"/>
    <x v="1"/>
    <x v="0"/>
    <x v="0"/>
    <n v="9106000"/>
    <x v="0"/>
    <x v="0"/>
  </r>
  <r>
    <x v="0"/>
    <s v="010401"/>
    <x v="0"/>
    <x v="1"/>
    <x v="0"/>
    <x v="1"/>
    <n v="11757000"/>
    <x v="0"/>
    <x v="0"/>
  </r>
  <r>
    <x v="0"/>
    <s v="010401"/>
    <x v="0"/>
    <x v="2"/>
    <x v="0"/>
    <x v="0"/>
    <n v="3000"/>
    <x v="0"/>
    <x v="0"/>
  </r>
  <r>
    <x v="0"/>
    <s v="010401"/>
    <x v="0"/>
    <x v="3"/>
    <x v="0"/>
    <x v="0"/>
    <n v="769000"/>
    <x v="0"/>
    <x v="0"/>
  </r>
  <r>
    <x v="0"/>
    <s v="010401"/>
    <x v="0"/>
    <x v="3"/>
    <x v="0"/>
    <x v="1"/>
    <n v="107000"/>
    <x v="0"/>
    <x v="0"/>
  </r>
  <r>
    <x v="0"/>
    <s v="010401"/>
    <x v="0"/>
    <x v="4"/>
    <x v="0"/>
    <x v="0"/>
    <n v="22000"/>
    <x v="0"/>
    <x v="0"/>
  </r>
  <r>
    <x v="0"/>
    <s v="010401"/>
    <x v="0"/>
    <x v="4"/>
    <x v="0"/>
    <x v="1"/>
    <n v="42000"/>
    <x v="0"/>
    <x v="0"/>
  </r>
  <r>
    <x v="0"/>
    <s v="010401"/>
    <x v="0"/>
    <x v="5"/>
    <x v="0"/>
    <x v="0"/>
    <n v="119000"/>
    <x v="0"/>
    <x v="0"/>
  </r>
  <r>
    <x v="0"/>
    <s v="010403"/>
    <x v="0"/>
    <x v="6"/>
    <x v="0"/>
    <x v="0"/>
    <n v="4000"/>
    <x v="0"/>
    <x v="0"/>
  </r>
  <r>
    <x v="0"/>
    <s v="010403"/>
    <x v="0"/>
    <x v="7"/>
    <x v="0"/>
    <x v="0"/>
    <n v="27578000"/>
    <x v="0"/>
    <x v="0"/>
  </r>
  <r>
    <x v="0"/>
    <s v="010403"/>
    <x v="0"/>
    <x v="7"/>
    <x v="0"/>
    <x v="1"/>
    <n v="24183000"/>
    <x v="0"/>
    <x v="0"/>
  </r>
  <r>
    <x v="0"/>
    <s v="010404"/>
    <x v="0"/>
    <x v="8"/>
    <x v="0"/>
    <x v="0"/>
    <n v="141000"/>
    <x v="0"/>
    <x v="1"/>
  </r>
  <r>
    <x v="0"/>
    <s v="010404"/>
    <x v="0"/>
    <x v="8"/>
    <x v="0"/>
    <x v="1"/>
    <n v="80000"/>
    <x v="0"/>
    <x v="1"/>
  </r>
  <r>
    <x v="0"/>
    <s v="010404"/>
    <x v="0"/>
    <x v="9"/>
    <x v="0"/>
    <x v="0"/>
    <n v="880000"/>
    <x v="0"/>
    <x v="1"/>
  </r>
  <r>
    <x v="0"/>
    <s v="010404"/>
    <x v="0"/>
    <x v="9"/>
    <x v="0"/>
    <x v="1"/>
    <n v="3651000"/>
    <x v="0"/>
    <x v="1"/>
  </r>
  <r>
    <x v="0"/>
    <s v="010404"/>
    <x v="0"/>
    <x v="10"/>
    <x v="0"/>
    <x v="0"/>
    <n v="122000"/>
    <x v="0"/>
    <x v="1"/>
  </r>
  <r>
    <x v="0"/>
    <s v="010404"/>
    <x v="0"/>
    <x v="10"/>
    <x v="0"/>
    <x v="1"/>
    <n v="322000"/>
    <x v="0"/>
    <x v="1"/>
  </r>
  <r>
    <x v="0"/>
    <s v="010404"/>
    <x v="0"/>
    <x v="11"/>
    <x v="0"/>
    <x v="0"/>
    <n v="727749000"/>
    <x v="0"/>
    <x v="1"/>
  </r>
  <r>
    <x v="0"/>
    <s v="010404"/>
    <x v="0"/>
    <x v="11"/>
    <x v="0"/>
    <x v="1"/>
    <n v="747469000"/>
    <x v="0"/>
    <x v="1"/>
  </r>
  <r>
    <x v="0"/>
    <s v="010404"/>
    <x v="0"/>
    <x v="12"/>
    <x v="0"/>
    <x v="0"/>
    <n v="2976000"/>
    <x v="0"/>
    <x v="1"/>
  </r>
  <r>
    <x v="0"/>
    <s v="010404"/>
    <x v="0"/>
    <x v="12"/>
    <x v="0"/>
    <x v="1"/>
    <n v="1640000"/>
    <x v="0"/>
    <x v="1"/>
  </r>
  <r>
    <x v="0"/>
    <s v="010404"/>
    <x v="0"/>
    <x v="13"/>
    <x v="0"/>
    <x v="0"/>
    <n v="5319000"/>
    <x v="0"/>
    <x v="1"/>
  </r>
  <r>
    <x v="0"/>
    <s v="010404"/>
    <x v="0"/>
    <x v="13"/>
    <x v="0"/>
    <x v="1"/>
    <n v="4986000"/>
    <x v="0"/>
    <x v="1"/>
  </r>
  <r>
    <x v="0"/>
    <s v="010404"/>
    <x v="0"/>
    <x v="7"/>
    <x v="0"/>
    <x v="0"/>
    <n v="14108000"/>
    <x v="0"/>
    <x v="1"/>
  </r>
  <r>
    <x v="0"/>
    <s v="010404"/>
    <x v="0"/>
    <x v="7"/>
    <x v="0"/>
    <x v="1"/>
    <n v="14154000"/>
    <x v="0"/>
    <x v="1"/>
  </r>
  <r>
    <x v="0"/>
    <s v="010404"/>
    <x v="0"/>
    <x v="14"/>
    <x v="0"/>
    <x v="0"/>
    <n v="38184000"/>
    <x v="0"/>
    <x v="1"/>
  </r>
  <r>
    <x v="0"/>
    <s v="010404"/>
    <x v="0"/>
    <x v="14"/>
    <x v="0"/>
    <x v="1"/>
    <n v="38188000"/>
    <x v="0"/>
    <x v="1"/>
  </r>
  <r>
    <x v="0"/>
    <s v="010405"/>
    <x v="0"/>
    <x v="14"/>
    <x v="0"/>
    <x v="0"/>
    <n v="13876000"/>
    <x v="0"/>
    <x v="1"/>
  </r>
  <r>
    <x v="0"/>
    <s v="010405"/>
    <x v="0"/>
    <x v="14"/>
    <x v="0"/>
    <x v="1"/>
    <n v="12686000"/>
    <x v="0"/>
    <x v="1"/>
  </r>
  <r>
    <x v="0"/>
    <s v="010405"/>
    <x v="0"/>
    <x v="15"/>
    <x v="1"/>
    <x v="0"/>
    <n v="133762000"/>
    <x v="0"/>
    <x v="1"/>
  </r>
  <r>
    <x v="0"/>
    <s v="010405"/>
    <x v="0"/>
    <x v="15"/>
    <x v="1"/>
    <x v="1"/>
    <n v="58728000"/>
    <x v="0"/>
    <x v="1"/>
  </r>
  <r>
    <x v="0"/>
    <s v="010406"/>
    <x v="0"/>
    <x v="0"/>
    <x v="0"/>
    <x v="0"/>
    <n v="1400000"/>
    <x v="0"/>
    <x v="0"/>
  </r>
  <r>
    <x v="0"/>
    <s v="010406"/>
    <x v="0"/>
    <x v="0"/>
    <x v="0"/>
    <x v="1"/>
    <n v="1400000"/>
    <x v="0"/>
    <x v="0"/>
  </r>
  <r>
    <x v="0"/>
    <s v="010406"/>
    <x v="0"/>
    <x v="1"/>
    <x v="0"/>
    <x v="0"/>
    <n v="1823000"/>
    <x v="0"/>
    <x v="0"/>
  </r>
  <r>
    <x v="0"/>
    <s v="010406"/>
    <x v="0"/>
    <x v="1"/>
    <x v="0"/>
    <x v="1"/>
    <n v="2098000"/>
    <x v="0"/>
    <x v="0"/>
  </r>
  <r>
    <x v="0"/>
    <s v="010406"/>
    <x v="0"/>
    <x v="2"/>
    <x v="0"/>
    <x v="0"/>
    <n v="1000"/>
    <x v="0"/>
    <x v="0"/>
  </r>
  <r>
    <x v="0"/>
    <s v="010406"/>
    <x v="0"/>
    <x v="3"/>
    <x v="0"/>
    <x v="0"/>
    <n v="154000"/>
    <x v="0"/>
    <x v="0"/>
  </r>
  <r>
    <x v="0"/>
    <s v="010406"/>
    <x v="0"/>
    <x v="3"/>
    <x v="0"/>
    <x v="1"/>
    <n v="22000"/>
    <x v="0"/>
    <x v="0"/>
  </r>
  <r>
    <x v="0"/>
    <s v="010406"/>
    <x v="0"/>
    <x v="6"/>
    <x v="0"/>
    <x v="0"/>
    <n v="1000"/>
    <x v="0"/>
    <x v="0"/>
  </r>
  <r>
    <x v="0"/>
    <s v="010406"/>
    <x v="0"/>
    <x v="4"/>
    <x v="0"/>
    <x v="0"/>
    <n v="12000"/>
    <x v="0"/>
    <x v="0"/>
  </r>
  <r>
    <x v="0"/>
    <s v="010406"/>
    <x v="0"/>
    <x v="4"/>
    <x v="0"/>
    <x v="1"/>
    <n v="12000"/>
    <x v="0"/>
    <x v="0"/>
  </r>
  <r>
    <x v="0"/>
    <s v="010406"/>
    <x v="0"/>
    <x v="8"/>
    <x v="0"/>
    <x v="0"/>
    <n v="30000"/>
    <x v="0"/>
    <x v="1"/>
  </r>
  <r>
    <x v="0"/>
    <s v="010406"/>
    <x v="0"/>
    <x v="8"/>
    <x v="0"/>
    <x v="1"/>
    <n v="16000"/>
    <x v="0"/>
    <x v="1"/>
  </r>
  <r>
    <x v="0"/>
    <s v="010406"/>
    <x v="0"/>
    <x v="9"/>
    <x v="0"/>
    <x v="0"/>
    <n v="287000"/>
    <x v="0"/>
    <x v="1"/>
  </r>
  <r>
    <x v="0"/>
    <s v="010406"/>
    <x v="0"/>
    <x v="9"/>
    <x v="0"/>
    <x v="1"/>
    <n v="730000"/>
    <x v="0"/>
    <x v="1"/>
  </r>
  <r>
    <x v="0"/>
    <s v="010406"/>
    <x v="0"/>
    <x v="10"/>
    <x v="0"/>
    <x v="0"/>
    <n v="31000"/>
    <x v="0"/>
    <x v="1"/>
  </r>
  <r>
    <x v="0"/>
    <s v="010406"/>
    <x v="0"/>
    <x v="10"/>
    <x v="0"/>
    <x v="1"/>
    <n v="64000"/>
    <x v="0"/>
    <x v="1"/>
  </r>
  <r>
    <x v="0"/>
    <s v="011"/>
    <x v="0"/>
    <x v="0"/>
    <x v="0"/>
    <x v="0"/>
    <n v="60051000"/>
    <x v="1"/>
    <x v="0"/>
  </r>
  <r>
    <x v="0"/>
    <s v="011"/>
    <x v="0"/>
    <x v="0"/>
    <x v="0"/>
    <x v="1"/>
    <n v="62841000"/>
    <x v="1"/>
    <x v="0"/>
  </r>
  <r>
    <x v="0"/>
    <s v="012"/>
    <x v="0"/>
    <x v="0"/>
    <x v="0"/>
    <x v="0"/>
    <n v="44379000"/>
    <x v="2"/>
    <x v="0"/>
  </r>
  <r>
    <x v="0"/>
    <s v="012"/>
    <x v="0"/>
    <x v="0"/>
    <x v="0"/>
    <x v="1"/>
    <n v="48193000"/>
    <x v="2"/>
    <x v="0"/>
  </r>
  <r>
    <x v="0"/>
    <s v="013"/>
    <x v="0"/>
    <x v="16"/>
    <x v="0"/>
    <x v="0"/>
    <n v="2530000"/>
    <x v="3"/>
    <x v="1"/>
  </r>
  <r>
    <x v="0"/>
    <s v="013"/>
    <x v="0"/>
    <x v="16"/>
    <x v="0"/>
    <x v="1"/>
    <n v="2570000"/>
    <x v="3"/>
    <x v="1"/>
  </r>
  <r>
    <x v="0"/>
    <s v="013"/>
    <x v="0"/>
    <x v="17"/>
    <x v="0"/>
    <x v="0"/>
    <n v="50000"/>
    <x v="3"/>
    <x v="1"/>
  </r>
  <r>
    <x v="0"/>
    <s v="013"/>
    <x v="0"/>
    <x v="17"/>
    <x v="0"/>
    <x v="1"/>
    <n v="50000"/>
    <x v="3"/>
    <x v="1"/>
  </r>
  <r>
    <x v="0"/>
    <s v="013"/>
    <x v="0"/>
    <x v="18"/>
    <x v="0"/>
    <x v="0"/>
    <n v="338000"/>
    <x v="3"/>
    <x v="1"/>
  </r>
  <r>
    <x v="0"/>
    <s v="013"/>
    <x v="0"/>
    <x v="18"/>
    <x v="0"/>
    <x v="1"/>
    <n v="214000"/>
    <x v="3"/>
    <x v="1"/>
  </r>
  <r>
    <x v="0"/>
    <s v="013"/>
    <x v="0"/>
    <x v="19"/>
    <x v="0"/>
    <x v="0"/>
    <n v="1738000"/>
    <x v="3"/>
    <x v="1"/>
  </r>
  <r>
    <x v="0"/>
    <s v="013"/>
    <x v="0"/>
    <x v="19"/>
    <x v="0"/>
    <x v="1"/>
    <n v="1739000"/>
    <x v="3"/>
    <x v="1"/>
  </r>
  <r>
    <x v="0"/>
    <s v="014"/>
    <x v="0"/>
    <x v="20"/>
    <x v="0"/>
    <x v="0"/>
    <n v="7904000"/>
    <x v="4"/>
    <x v="0"/>
  </r>
  <r>
    <x v="0"/>
    <s v="014"/>
    <x v="0"/>
    <x v="20"/>
    <x v="0"/>
    <x v="1"/>
    <n v="7546000"/>
    <x v="4"/>
    <x v="0"/>
  </r>
  <r>
    <x v="0"/>
    <s v="014"/>
    <x v="0"/>
    <x v="21"/>
    <x v="0"/>
    <x v="0"/>
    <n v="200000"/>
    <x v="4"/>
    <x v="1"/>
  </r>
  <r>
    <x v="0"/>
    <s v="014"/>
    <x v="0"/>
    <x v="21"/>
    <x v="0"/>
    <x v="1"/>
    <n v="200000"/>
    <x v="4"/>
    <x v="1"/>
  </r>
  <r>
    <x v="0"/>
    <s v="020"/>
    <x v="0"/>
    <x v="20"/>
    <x v="0"/>
    <x v="0"/>
    <n v="2607000"/>
    <x v="5"/>
    <x v="0"/>
  </r>
  <r>
    <x v="0"/>
    <s v="020"/>
    <x v="0"/>
    <x v="20"/>
    <x v="0"/>
    <x v="1"/>
    <n v="2733000"/>
    <x v="5"/>
    <x v="0"/>
  </r>
  <r>
    <x v="0"/>
    <s v="020"/>
    <x v="0"/>
    <x v="16"/>
    <x v="0"/>
    <x v="0"/>
    <n v="364000"/>
    <x v="5"/>
    <x v="1"/>
  </r>
  <r>
    <x v="0"/>
    <s v="020"/>
    <x v="0"/>
    <x v="16"/>
    <x v="0"/>
    <x v="1"/>
    <n v="380000"/>
    <x v="5"/>
    <x v="1"/>
  </r>
  <r>
    <x v="0"/>
    <s v="035"/>
    <x v="0"/>
    <x v="0"/>
    <x v="0"/>
    <x v="0"/>
    <n v="409000"/>
    <x v="6"/>
    <x v="0"/>
  </r>
  <r>
    <x v="0"/>
    <s v="035"/>
    <x v="0"/>
    <x v="0"/>
    <x v="0"/>
    <x v="1"/>
    <n v="423000"/>
    <x v="6"/>
    <x v="0"/>
  </r>
  <r>
    <x v="0"/>
    <s v="035"/>
    <x v="0"/>
    <x v="22"/>
    <x v="0"/>
    <x v="0"/>
    <n v="142000"/>
    <x v="6"/>
    <x v="0"/>
  </r>
  <r>
    <x v="0"/>
    <s v="035"/>
    <x v="0"/>
    <x v="22"/>
    <x v="0"/>
    <x v="1"/>
    <n v="149000"/>
    <x v="6"/>
    <x v="0"/>
  </r>
  <r>
    <x v="0"/>
    <s v="035"/>
    <x v="0"/>
    <x v="23"/>
    <x v="0"/>
    <x v="0"/>
    <n v="128000"/>
    <x v="6"/>
    <x v="0"/>
  </r>
  <r>
    <x v="0"/>
    <s v="035"/>
    <x v="0"/>
    <x v="23"/>
    <x v="0"/>
    <x v="1"/>
    <n v="130000"/>
    <x v="6"/>
    <x v="0"/>
  </r>
  <r>
    <x v="0"/>
    <s v="035"/>
    <x v="0"/>
    <x v="24"/>
    <x v="0"/>
    <x v="0"/>
    <n v="3511000"/>
    <x v="6"/>
    <x v="0"/>
  </r>
  <r>
    <x v="0"/>
    <s v="035"/>
    <x v="0"/>
    <x v="24"/>
    <x v="0"/>
    <x v="1"/>
    <n v="3616000"/>
    <x v="6"/>
    <x v="0"/>
  </r>
  <r>
    <x v="0"/>
    <s v="036"/>
    <x v="0"/>
    <x v="0"/>
    <x v="0"/>
    <x v="0"/>
    <n v="961000"/>
    <x v="7"/>
    <x v="0"/>
  </r>
  <r>
    <x v="0"/>
    <s v="036"/>
    <x v="0"/>
    <x v="0"/>
    <x v="0"/>
    <x v="1"/>
    <n v="965000"/>
    <x v="7"/>
    <x v="0"/>
  </r>
  <r>
    <x v="0"/>
    <s v="037"/>
    <x v="0"/>
    <x v="0"/>
    <x v="0"/>
    <x v="0"/>
    <n v="5887000"/>
    <x v="8"/>
    <x v="0"/>
  </r>
  <r>
    <x v="0"/>
    <s v="037"/>
    <x v="0"/>
    <x v="0"/>
    <x v="0"/>
    <x v="1"/>
    <n v="6702000"/>
    <x v="8"/>
    <x v="0"/>
  </r>
  <r>
    <x v="0"/>
    <s v="037"/>
    <x v="0"/>
    <x v="25"/>
    <x v="2"/>
    <x v="0"/>
    <n v="92000"/>
    <x v="8"/>
    <x v="0"/>
  </r>
  <r>
    <x v="0"/>
    <s v="037"/>
    <x v="0"/>
    <x v="25"/>
    <x v="2"/>
    <x v="1"/>
    <n v="92000"/>
    <x v="8"/>
    <x v="0"/>
  </r>
  <r>
    <x v="0"/>
    <s v="038"/>
    <x v="0"/>
    <x v="0"/>
    <x v="0"/>
    <x v="0"/>
    <n v="21469000"/>
    <x v="9"/>
    <x v="0"/>
  </r>
  <r>
    <x v="0"/>
    <s v="038"/>
    <x v="0"/>
    <x v="0"/>
    <x v="0"/>
    <x v="1"/>
    <n v="20862000"/>
    <x v="9"/>
    <x v="0"/>
  </r>
  <r>
    <x v="0"/>
    <s v="040"/>
    <x v="0"/>
    <x v="0"/>
    <x v="0"/>
    <x v="0"/>
    <n v="6193000"/>
    <x v="10"/>
    <x v="0"/>
  </r>
  <r>
    <x v="0"/>
    <s v="040"/>
    <x v="0"/>
    <x v="0"/>
    <x v="0"/>
    <x v="1"/>
    <n v="6863000"/>
    <x v="10"/>
    <x v="0"/>
  </r>
  <r>
    <x v="0"/>
    <s v="040"/>
    <x v="0"/>
    <x v="26"/>
    <x v="2"/>
    <x v="0"/>
    <n v="203000"/>
    <x v="10"/>
    <x v="0"/>
  </r>
  <r>
    <x v="0"/>
    <s v="040"/>
    <x v="0"/>
    <x v="26"/>
    <x v="2"/>
    <x v="1"/>
    <n v="222000"/>
    <x v="10"/>
    <x v="0"/>
  </r>
  <r>
    <x v="0"/>
    <s v="045"/>
    <x v="0"/>
    <x v="0"/>
    <x v="0"/>
    <x v="0"/>
    <n v="14870000"/>
    <x v="11"/>
    <x v="0"/>
  </r>
  <r>
    <x v="0"/>
    <s v="045"/>
    <x v="0"/>
    <x v="0"/>
    <x v="0"/>
    <x v="1"/>
    <n v="16386000"/>
    <x v="11"/>
    <x v="0"/>
  </r>
  <r>
    <x v="0"/>
    <s v="048"/>
    <x v="0"/>
    <x v="0"/>
    <x v="0"/>
    <x v="0"/>
    <n v="28173000"/>
    <x v="12"/>
    <x v="0"/>
  </r>
  <r>
    <x v="0"/>
    <s v="048"/>
    <x v="0"/>
    <x v="0"/>
    <x v="0"/>
    <x v="1"/>
    <n v="27771000"/>
    <x v="12"/>
    <x v="0"/>
  </r>
  <r>
    <x v="0"/>
    <s v="050"/>
    <x v="0"/>
    <x v="0"/>
    <x v="0"/>
    <x v="0"/>
    <n v="2222000"/>
    <x v="13"/>
    <x v="0"/>
  </r>
  <r>
    <x v="0"/>
    <s v="050"/>
    <x v="0"/>
    <x v="0"/>
    <x v="0"/>
    <x v="1"/>
    <n v="2221000"/>
    <x v="13"/>
    <x v="0"/>
  </r>
  <r>
    <x v="0"/>
    <s v="055"/>
    <x v="0"/>
    <x v="0"/>
    <x v="0"/>
    <x v="0"/>
    <n v="125457000"/>
    <x v="14"/>
    <x v="0"/>
  </r>
  <r>
    <x v="0"/>
    <s v="055"/>
    <x v="0"/>
    <x v="0"/>
    <x v="0"/>
    <x v="1"/>
    <n v="125109000"/>
    <x v="14"/>
    <x v="0"/>
  </r>
  <r>
    <x v="0"/>
    <s v="055"/>
    <x v="0"/>
    <x v="27"/>
    <x v="1"/>
    <x v="0"/>
    <n v="1072000"/>
    <x v="14"/>
    <x v="0"/>
  </r>
  <r>
    <x v="0"/>
    <s v="055"/>
    <x v="0"/>
    <x v="27"/>
    <x v="1"/>
    <x v="1"/>
    <n v="1137000"/>
    <x v="14"/>
    <x v="0"/>
  </r>
  <r>
    <x v="0"/>
    <s v="055"/>
    <x v="0"/>
    <x v="28"/>
    <x v="3"/>
    <x v="0"/>
    <n v="313000"/>
    <x v="14"/>
    <x v="0"/>
  </r>
  <r>
    <x v="0"/>
    <s v="055"/>
    <x v="0"/>
    <x v="28"/>
    <x v="3"/>
    <x v="1"/>
    <n v="368000"/>
    <x v="14"/>
    <x v="0"/>
  </r>
  <r>
    <x v="0"/>
    <s v="055"/>
    <x v="0"/>
    <x v="29"/>
    <x v="0"/>
    <x v="0"/>
    <n v="56705000"/>
    <x v="14"/>
    <x v="0"/>
  </r>
  <r>
    <x v="0"/>
    <s v="055"/>
    <x v="0"/>
    <x v="29"/>
    <x v="0"/>
    <x v="1"/>
    <n v="66112000"/>
    <x v="14"/>
    <x v="0"/>
  </r>
  <r>
    <x v="0"/>
    <s v="055"/>
    <x v="0"/>
    <x v="30"/>
    <x v="0"/>
    <x v="1"/>
    <n v="479000"/>
    <x v="14"/>
    <x v="0"/>
  </r>
  <r>
    <x v="0"/>
    <s v="055"/>
    <x v="0"/>
    <x v="31"/>
    <x v="0"/>
    <x v="0"/>
    <n v="40384000"/>
    <x v="14"/>
    <x v="0"/>
  </r>
  <r>
    <x v="0"/>
    <s v="055"/>
    <x v="0"/>
    <x v="31"/>
    <x v="0"/>
    <x v="1"/>
    <n v="39146000"/>
    <x v="14"/>
    <x v="0"/>
  </r>
  <r>
    <x v="0"/>
    <s v="056"/>
    <x v="0"/>
    <x v="0"/>
    <x v="0"/>
    <x v="0"/>
    <n v="69902000"/>
    <x v="15"/>
    <x v="0"/>
  </r>
  <r>
    <x v="0"/>
    <s v="056"/>
    <x v="0"/>
    <x v="0"/>
    <x v="0"/>
    <x v="1"/>
    <n v="76781000"/>
    <x v="15"/>
    <x v="0"/>
  </r>
  <r>
    <x v="0"/>
    <s v="056"/>
    <x v="0"/>
    <x v="27"/>
    <x v="1"/>
    <x v="0"/>
    <n v="335000"/>
    <x v="15"/>
    <x v="0"/>
  </r>
  <r>
    <x v="0"/>
    <s v="056"/>
    <x v="0"/>
    <x v="27"/>
    <x v="1"/>
    <x v="1"/>
    <n v="50000"/>
    <x v="15"/>
    <x v="0"/>
  </r>
  <r>
    <x v="0"/>
    <s v="056"/>
    <x v="0"/>
    <x v="29"/>
    <x v="0"/>
    <x v="0"/>
    <n v="8036000"/>
    <x v="15"/>
    <x v="0"/>
  </r>
  <r>
    <x v="0"/>
    <s v="056"/>
    <x v="0"/>
    <x v="29"/>
    <x v="0"/>
    <x v="1"/>
    <n v="7782000"/>
    <x v="15"/>
    <x v="0"/>
  </r>
  <r>
    <x v="0"/>
    <s v="057"/>
    <x v="0"/>
    <x v="0"/>
    <x v="0"/>
    <x v="0"/>
    <n v="54376000"/>
    <x v="16"/>
    <x v="0"/>
  </r>
  <r>
    <x v="0"/>
    <s v="057"/>
    <x v="0"/>
    <x v="0"/>
    <x v="0"/>
    <x v="1"/>
    <n v="62001000"/>
    <x v="16"/>
    <x v="0"/>
  </r>
  <r>
    <x v="0"/>
    <s v="057"/>
    <x v="0"/>
    <x v="29"/>
    <x v="0"/>
    <x v="0"/>
    <n v="3119000"/>
    <x v="16"/>
    <x v="0"/>
  </r>
  <r>
    <x v="0"/>
    <s v="057"/>
    <x v="0"/>
    <x v="29"/>
    <x v="0"/>
    <x v="1"/>
    <n v="3579000"/>
    <x v="16"/>
    <x v="0"/>
  </r>
  <r>
    <x v="0"/>
    <s v="057"/>
    <x v="0"/>
    <x v="32"/>
    <x v="2"/>
    <x v="0"/>
    <n v="190000"/>
    <x v="16"/>
    <x v="0"/>
  </r>
  <r>
    <x v="0"/>
    <s v="057"/>
    <x v="0"/>
    <x v="32"/>
    <x v="2"/>
    <x v="1"/>
    <n v="190000"/>
    <x v="16"/>
    <x v="0"/>
  </r>
  <r>
    <x v="0"/>
    <s v="075"/>
    <x v="0"/>
    <x v="0"/>
    <x v="0"/>
    <x v="0"/>
    <n v="24808000"/>
    <x v="17"/>
    <x v="0"/>
  </r>
  <r>
    <x v="0"/>
    <s v="075"/>
    <x v="0"/>
    <x v="0"/>
    <x v="0"/>
    <x v="1"/>
    <n v="30250000"/>
    <x v="17"/>
    <x v="0"/>
  </r>
  <r>
    <x v="0"/>
    <s v="075"/>
    <x v="0"/>
    <x v="33"/>
    <x v="0"/>
    <x v="0"/>
    <n v="3174000"/>
    <x v="17"/>
    <x v="0"/>
  </r>
  <r>
    <x v="0"/>
    <s v="075"/>
    <x v="0"/>
    <x v="33"/>
    <x v="0"/>
    <x v="1"/>
    <n v="7676000"/>
    <x v="17"/>
    <x v="0"/>
  </r>
  <r>
    <x v="0"/>
    <s v="075"/>
    <x v="0"/>
    <x v="34"/>
    <x v="0"/>
    <x v="0"/>
    <n v="50000"/>
    <x v="17"/>
    <x v="0"/>
  </r>
  <r>
    <x v="0"/>
    <s v="075"/>
    <x v="0"/>
    <x v="34"/>
    <x v="0"/>
    <x v="1"/>
    <n v="50000"/>
    <x v="17"/>
    <x v="0"/>
  </r>
  <r>
    <x v="0"/>
    <s v="075"/>
    <x v="0"/>
    <x v="35"/>
    <x v="0"/>
    <x v="0"/>
    <n v="9219000"/>
    <x v="17"/>
    <x v="0"/>
  </r>
  <r>
    <x v="0"/>
    <s v="075"/>
    <x v="0"/>
    <x v="35"/>
    <x v="0"/>
    <x v="1"/>
    <n v="10319000"/>
    <x v="17"/>
    <x v="0"/>
  </r>
  <r>
    <x v="0"/>
    <s v="075"/>
    <x v="0"/>
    <x v="20"/>
    <x v="0"/>
    <x v="0"/>
    <n v="408000"/>
    <x v="17"/>
    <x v="0"/>
  </r>
  <r>
    <x v="0"/>
    <s v="075"/>
    <x v="0"/>
    <x v="20"/>
    <x v="0"/>
    <x v="1"/>
    <n v="419000"/>
    <x v="17"/>
    <x v="0"/>
  </r>
  <r>
    <x v="0"/>
    <s v="075"/>
    <x v="0"/>
    <x v="36"/>
    <x v="0"/>
    <x v="0"/>
    <n v="375000"/>
    <x v="17"/>
    <x v="1"/>
  </r>
  <r>
    <x v="0"/>
    <s v="075"/>
    <x v="0"/>
    <x v="36"/>
    <x v="0"/>
    <x v="1"/>
    <n v="375000"/>
    <x v="17"/>
    <x v="1"/>
  </r>
  <r>
    <x v="0"/>
    <s v="076"/>
    <x v="0"/>
    <x v="0"/>
    <x v="0"/>
    <x v="0"/>
    <n v="345292000"/>
    <x v="18"/>
    <x v="0"/>
  </r>
  <r>
    <x v="0"/>
    <s v="076"/>
    <x v="0"/>
    <x v="0"/>
    <x v="0"/>
    <x v="1"/>
    <n v="346858000"/>
    <x v="18"/>
    <x v="0"/>
  </r>
  <r>
    <x v="0"/>
    <s v="076"/>
    <x v="0"/>
    <x v="28"/>
    <x v="3"/>
    <x v="0"/>
    <n v="43000000"/>
    <x v="18"/>
    <x v="0"/>
  </r>
  <r>
    <x v="0"/>
    <s v="076"/>
    <x v="0"/>
    <x v="37"/>
    <x v="0"/>
    <x v="0"/>
    <n v="8065000"/>
    <x v="18"/>
    <x v="0"/>
  </r>
  <r>
    <x v="0"/>
    <s v="076"/>
    <x v="0"/>
    <x v="37"/>
    <x v="0"/>
    <x v="1"/>
    <n v="6726000"/>
    <x v="18"/>
    <x v="0"/>
  </r>
  <r>
    <x v="0"/>
    <s v="076"/>
    <x v="0"/>
    <x v="38"/>
    <x v="0"/>
    <x v="0"/>
    <n v="72000"/>
    <x v="18"/>
    <x v="0"/>
  </r>
  <r>
    <x v="0"/>
    <s v="076"/>
    <x v="0"/>
    <x v="38"/>
    <x v="0"/>
    <x v="1"/>
    <n v="55000"/>
    <x v="18"/>
    <x v="0"/>
  </r>
  <r>
    <x v="0"/>
    <s v="076"/>
    <x v="0"/>
    <x v="39"/>
    <x v="0"/>
    <x v="1"/>
    <n v="8500000"/>
    <x v="18"/>
    <x v="0"/>
  </r>
  <r>
    <x v="0"/>
    <s v="076"/>
    <x v="0"/>
    <x v="40"/>
    <x v="0"/>
    <x v="0"/>
    <n v="17026000"/>
    <x v="18"/>
    <x v="0"/>
  </r>
  <r>
    <x v="0"/>
    <s v="076"/>
    <x v="0"/>
    <x v="40"/>
    <x v="0"/>
    <x v="1"/>
    <n v="11024000"/>
    <x v="18"/>
    <x v="0"/>
  </r>
  <r>
    <x v="0"/>
    <s v="076"/>
    <x v="0"/>
    <x v="34"/>
    <x v="0"/>
    <x v="0"/>
    <n v="12774000"/>
    <x v="18"/>
    <x v="0"/>
  </r>
  <r>
    <x v="0"/>
    <s v="076"/>
    <x v="0"/>
    <x v="34"/>
    <x v="0"/>
    <x v="1"/>
    <n v="11766000"/>
    <x v="18"/>
    <x v="0"/>
  </r>
  <r>
    <x v="0"/>
    <s v="076"/>
    <x v="0"/>
    <x v="41"/>
    <x v="0"/>
    <x v="0"/>
    <n v="20000000"/>
    <x v="18"/>
    <x v="0"/>
  </r>
  <r>
    <x v="0"/>
    <s v="076"/>
    <x v="0"/>
    <x v="30"/>
    <x v="0"/>
    <x v="1"/>
    <n v="743000"/>
    <x v="18"/>
    <x v="0"/>
  </r>
  <r>
    <x v="0"/>
    <s v="076"/>
    <x v="0"/>
    <x v="42"/>
    <x v="2"/>
    <x v="0"/>
    <n v="8560000"/>
    <x v="18"/>
    <x v="0"/>
  </r>
  <r>
    <x v="0"/>
    <s v="076"/>
    <x v="0"/>
    <x v="42"/>
    <x v="2"/>
    <x v="1"/>
    <n v="7982000"/>
    <x v="18"/>
    <x v="0"/>
  </r>
  <r>
    <x v="0"/>
    <s v="076"/>
    <x v="0"/>
    <x v="43"/>
    <x v="1"/>
    <x v="0"/>
    <n v="251150000"/>
    <x v="18"/>
    <x v="0"/>
  </r>
  <r>
    <x v="0"/>
    <s v="080"/>
    <x v="0"/>
    <x v="0"/>
    <x v="0"/>
    <x v="0"/>
    <n v="1616000"/>
    <x v="19"/>
    <x v="0"/>
  </r>
  <r>
    <x v="0"/>
    <s v="080"/>
    <x v="0"/>
    <x v="0"/>
    <x v="0"/>
    <x v="1"/>
    <n v="1658000"/>
    <x v="19"/>
    <x v="0"/>
  </r>
  <r>
    <x v="0"/>
    <s v="080"/>
    <x v="0"/>
    <x v="28"/>
    <x v="3"/>
    <x v="0"/>
    <n v="45000"/>
    <x v="19"/>
    <x v="0"/>
  </r>
  <r>
    <x v="0"/>
    <s v="080"/>
    <x v="0"/>
    <x v="28"/>
    <x v="3"/>
    <x v="1"/>
    <n v="45000"/>
    <x v="19"/>
    <x v="0"/>
  </r>
  <r>
    <x v="0"/>
    <s v="080"/>
    <x v="0"/>
    <x v="44"/>
    <x v="2"/>
    <x v="0"/>
    <n v="2000"/>
    <x v="19"/>
    <x v="0"/>
  </r>
  <r>
    <x v="0"/>
    <s v="080"/>
    <x v="0"/>
    <x v="44"/>
    <x v="2"/>
    <x v="1"/>
    <n v="3000"/>
    <x v="19"/>
    <x v="0"/>
  </r>
  <r>
    <x v="0"/>
    <s v="082"/>
    <x v="0"/>
    <x v="0"/>
    <x v="0"/>
    <x v="0"/>
    <n v="6108000"/>
    <x v="20"/>
    <x v="0"/>
  </r>
  <r>
    <x v="0"/>
    <s v="082"/>
    <x v="0"/>
    <x v="0"/>
    <x v="0"/>
    <x v="1"/>
    <n v="6186000"/>
    <x v="20"/>
    <x v="0"/>
  </r>
  <r>
    <x v="0"/>
    <s v="082"/>
    <x v="0"/>
    <x v="45"/>
    <x v="0"/>
    <x v="0"/>
    <n v="1087000"/>
    <x v="20"/>
    <x v="0"/>
  </r>
  <r>
    <x v="0"/>
    <s v="082"/>
    <x v="0"/>
    <x v="45"/>
    <x v="0"/>
    <x v="1"/>
    <n v="1113000"/>
    <x v="20"/>
    <x v="0"/>
  </r>
  <r>
    <x v="0"/>
    <s v="083"/>
    <x v="0"/>
    <x v="46"/>
    <x v="0"/>
    <x v="0"/>
    <n v="887000"/>
    <x v="21"/>
    <x v="0"/>
  </r>
  <r>
    <x v="0"/>
    <s v="083"/>
    <x v="0"/>
    <x v="46"/>
    <x v="0"/>
    <x v="1"/>
    <n v="970000"/>
    <x v="21"/>
    <x v="0"/>
  </r>
  <r>
    <x v="0"/>
    <s v="083"/>
    <x v="0"/>
    <x v="47"/>
    <x v="2"/>
    <x v="0"/>
    <n v="140000"/>
    <x v="21"/>
    <x v="0"/>
  </r>
  <r>
    <x v="0"/>
    <s v="083"/>
    <x v="0"/>
    <x v="47"/>
    <x v="2"/>
    <x v="1"/>
    <n v="140000"/>
    <x v="21"/>
    <x v="0"/>
  </r>
  <r>
    <x v="0"/>
    <s v="085"/>
    <x v="0"/>
    <x v="0"/>
    <x v="0"/>
    <x v="0"/>
    <n v="56190000"/>
    <x v="22"/>
    <x v="0"/>
  </r>
  <r>
    <x v="0"/>
    <s v="085"/>
    <x v="0"/>
    <x v="0"/>
    <x v="0"/>
    <x v="1"/>
    <n v="62517000"/>
    <x v="22"/>
    <x v="0"/>
  </r>
  <r>
    <x v="0"/>
    <s v="085"/>
    <x v="0"/>
    <x v="27"/>
    <x v="1"/>
    <x v="0"/>
    <n v="4289000"/>
    <x v="22"/>
    <x v="0"/>
  </r>
  <r>
    <x v="0"/>
    <s v="085"/>
    <x v="0"/>
    <x v="27"/>
    <x v="1"/>
    <x v="1"/>
    <n v="4317000"/>
    <x v="22"/>
    <x v="0"/>
  </r>
  <r>
    <x v="0"/>
    <s v="085"/>
    <x v="0"/>
    <x v="48"/>
    <x v="0"/>
    <x v="0"/>
    <n v="5886000"/>
    <x v="22"/>
    <x v="0"/>
  </r>
  <r>
    <x v="0"/>
    <s v="085"/>
    <x v="0"/>
    <x v="48"/>
    <x v="0"/>
    <x v="1"/>
    <n v="5816000"/>
    <x v="22"/>
    <x v="0"/>
  </r>
  <r>
    <x v="0"/>
    <s v="085"/>
    <x v="0"/>
    <x v="49"/>
    <x v="2"/>
    <x v="0"/>
    <n v="67000"/>
    <x v="22"/>
    <x v="0"/>
  </r>
  <r>
    <x v="0"/>
    <s v="085"/>
    <x v="0"/>
    <x v="49"/>
    <x v="2"/>
    <x v="1"/>
    <n v="66000"/>
    <x v="22"/>
    <x v="0"/>
  </r>
  <r>
    <x v="0"/>
    <s v="085"/>
    <x v="0"/>
    <x v="50"/>
    <x v="0"/>
    <x v="0"/>
    <n v="548000"/>
    <x v="22"/>
    <x v="0"/>
  </r>
  <r>
    <x v="0"/>
    <s v="085"/>
    <x v="0"/>
    <x v="50"/>
    <x v="0"/>
    <x v="1"/>
    <n v="685000"/>
    <x v="22"/>
    <x v="0"/>
  </r>
  <r>
    <x v="0"/>
    <s v="085"/>
    <x v="0"/>
    <x v="51"/>
    <x v="0"/>
    <x v="0"/>
    <n v="7484000"/>
    <x v="22"/>
    <x v="0"/>
  </r>
  <r>
    <x v="0"/>
    <s v="085"/>
    <x v="0"/>
    <x v="51"/>
    <x v="0"/>
    <x v="1"/>
    <n v="7281000"/>
    <x v="22"/>
    <x v="0"/>
  </r>
  <r>
    <x v="0"/>
    <s v="085"/>
    <x v="0"/>
    <x v="52"/>
    <x v="2"/>
    <x v="0"/>
    <n v="372000"/>
    <x v="22"/>
    <x v="0"/>
  </r>
  <r>
    <x v="0"/>
    <s v="085"/>
    <x v="0"/>
    <x v="52"/>
    <x v="2"/>
    <x v="1"/>
    <n v="373000"/>
    <x v="22"/>
    <x v="0"/>
  </r>
  <r>
    <x v="0"/>
    <s v="085"/>
    <x v="0"/>
    <x v="53"/>
    <x v="2"/>
    <x v="0"/>
    <n v="11593000"/>
    <x v="22"/>
    <x v="0"/>
  </r>
  <r>
    <x v="0"/>
    <s v="085"/>
    <x v="0"/>
    <x v="53"/>
    <x v="2"/>
    <x v="1"/>
    <n v="10241000"/>
    <x v="22"/>
    <x v="0"/>
  </r>
  <r>
    <x v="0"/>
    <s v="085"/>
    <x v="0"/>
    <x v="54"/>
    <x v="0"/>
    <x v="0"/>
    <n v="1436000"/>
    <x v="22"/>
    <x v="0"/>
  </r>
  <r>
    <x v="0"/>
    <s v="085"/>
    <x v="0"/>
    <x v="54"/>
    <x v="0"/>
    <x v="1"/>
    <n v="826000"/>
    <x v="22"/>
    <x v="0"/>
  </r>
  <r>
    <x v="0"/>
    <s v="085"/>
    <x v="0"/>
    <x v="55"/>
    <x v="0"/>
    <x v="0"/>
    <n v="7560000"/>
    <x v="22"/>
    <x v="0"/>
  </r>
  <r>
    <x v="0"/>
    <s v="085"/>
    <x v="0"/>
    <x v="55"/>
    <x v="0"/>
    <x v="1"/>
    <n v="4529000"/>
    <x v="22"/>
    <x v="0"/>
  </r>
  <r>
    <x v="0"/>
    <s v="085"/>
    <x v="0"/>
    <x v="56"/>
    <x v="2"/>
    <x v="0"/>
    <n v="499000"/>
    <x v="22"/>
    <x v="0"/>
  </r>
  <r>
    <x v="0"/>
    <s v="085"/>
    <x v="0"/>
    <x v="56"/>
    <x v="2"/>
    <x v="1"/>
    <n v="439000"/>
    <x v="22"/>
    <x v="0"/>
  </r>
  <r>
    <x v="0"/>
    <s v="085"/>
    <x v="0"/>
    <x v="57"/>
    <x v="1"/>
    <x v="0"/>
    <n v="1247000"/>
    <x v="22"/>
    <x v="0"/>
  </r>
  <r>
    <x v="0"/>
    <s v="085"/>
    <x v="0"/>
    <x v="57"/>
    <x v="1"/>
    <x v="1"/>
    <n v="3240000"/>
    <x v="22"/>
    <x v="0"/>
  </r>
  <r>
    <x v="0"/>
    <s v="085900"/>
    <x v="1"/>
    <x v="1"/>
    <x v="0"/>
    <x v="0"/>
    <n v="753500"/>
    <x v="22"/>
    <x v="0"/>
  </r>
  <r>
    <x v="0"/>
    <s v="085900"/>
    <x v="1"/>
    <x v="1"/>
    <x v="0"/>
    <x v="1"/>
    <n v="753500"/>
    <x v="22"/>
    <x v="0"/>
  </r>
  <r>
    <x v="0"/>
    <s v="085900"/>
    <x v="1"/>
    <x v="58"/>
    <x v="0"/>
    <x v="0"/>
    <n v="4000000"/>
    <x v="22"/>
    <x v="0"/>
  </r>
  <r>
    <x v="0"/>
    <s v="085900"/>
    <x v="1"/>
    <x v="58"/>
    <x v="0"/>
    <x v="1"/>
    <n v="4000000"/>
    <x v="22"/>
    <x v="0"/>
  </r>
  <r>
    <x v="0"/>
    <s v="086"/>
    <x v="0"/>
    <x v="0"/>
    <x v="0"/>
    <x v="0"/>
    <n v="802000"/>
    <x v="23"/>
    <x v="0"/>
  </r>
  <r>
    <x v="0"/>
    <s v="086"/>
    <x v="0"/>
    <x v="0"/>
    <x v="0"/>
    <x v="1"/>
    <n v="987000"/>
    <x v="23"/>
    <x v="0"/>
  </r>
  <r>
    <x v="0"/>
    <s v="086"/>
    <x v="0"/>
    <x v="59"/>
    <x v="0"/>
    <x v="0"/>
    <n v="333000"/>
    <x v="23"/>
    <x v="0"/>
  </r>
  <r>
    <x v="0"/>
    <s v="086"/>
    <x v="0"/>
    <x v="59"/>
    <x v="0"/>
    <x v="1"/>
    <n v="325000"/>
    <x v="23"/>
    <x v="0"/>
  </r>
  <r>
    <x v="0"/>
    <s v="087"/>
    <x v="0"/>
    <x v="0"/>
    <x v="0"/>
    <x v="0"/>
    <n v="943000"/>
    <x v="24"/>
    <x v="0"/>
  </r>
  <r>
    <x v="0"/>
    <s v="087"/>
    <x v="0"/>
    <x v="0"/>
    <x v="0"/>
    <x v="1"/>
    <n v="920000"/>
    <x v="24"/>
    <x v="0"/>
  </r>
  <r>
    <x v="0"/>
    <s v="090"/>
    <x v="0"/>
    <x v="60"/>
    <x v="0"/>
    <x v="0"/>
    <n v="12011000"/>
    <x v="25"/>
    <x v="0"/>
  </r>
  <r>
    <x v="0"/>
    <s v="090"/>
    <x v="0"/>
    <x v="60"/>
    <x v="0"/>
    <x v="1"/>
    <n v="12530000"/>
    <x v="25"/>
    <x v="0"/>
  </r>
  <r>
    <x v="0"/>
    <s v="095"/>
    <x v="0"/>
    <x v="0"/>
    <x v="0"/>
    <x v="0"/>
    <n v="1072000"/>
    <x v="26"/>
    <x v="0"/>
  </r>
  <r>
    <x v="0"/>
    <s v="095"/>
    <x v="0"/>
    <x v="0"/>
    <x v="0"/>
    <x v="1"/>
    <n v="1579000"/>
    <x v="26"/>
    <x v="0"/>
  </r>
  <r>
    <x v="0"/>
    <s v="095"/>
    <x v="0"/>
    <x v="61"/>
    <x v="2"/>
    <x v="0"/>
    <n v="35494000"/>
    <x v="26"/>
    <x v="0"/>
  </r>
  <r>
    <x v="0"/>
    <s v="095"/>
    <x v="0"/>
    <x v="61"/>
    <x v="2"/>
    <x v="1"/>
    <n v="37450000"/>
    <x v="26"/>
    <x v="0"/>
  </r>
  <r>
    <x v="0"/>
    <s v="095"/>
    <x v="0"/>
    <x v="62"/>
    <x v="0"/>
    <x v="0"/>
    <n v="9594000"/>
    <x v="26"/>
    <x v="0"/>
  </r>
  <r>
    <x v="0"/>
    <s v="095"/>
    <x v="0"/>
    <x v="62"/>
    <x v="0"/>
    <x v="1"/>
    <n v="9020000"/>
    <x v="26"/>
    <x v="0"/>
  </r>
  <r>
    <x v="0"/>
    <s v="095"/>
    <x v="0"/>
    <x v="20"/>
    <x v="0"/>
    <x v="0"/>
    <n v="931000"/>
    <x v="26"/>
    <x v="0"/>
  </r>
  <r>
    <x v="0"/>
    <s v="095"/>
    <x v="0"/>
    <x v="20"/>
    <x v="0"/>
    <x v="1"/>
    <n v="1753000"/>
    <x v="26"/>
    <x v="0"/>
  </r>
  <r>
    <x v="0"/>
    <s v="095"/>
    <x v="0"/>
    <x v="63"/>
    <x v="2"/>
    <x v="0"/>
    <n v="16024000"/>
    <x v="26"/>
    <x v="0"/>
  </r>
  <r>
    <x v="0"/>
    <s v="095"/>
    <x v="0"/>
    <x v="63"/>
    <x v="2"/>
    <x v="1"/>
    <n v="17201000"/>
    <x v="26"/>
    <x v="0"/>
  </r>
  <r>
    <x v="0"/>
    <s v="099"/>
    <x v="0"/>
    <x v="0"/>
    <x v="0"/>
    <x v="0"/>
    <n v="305000"/>
    <x v="27"/>
    <x v="0"/>
  </r>
  <r>
    <x v="0"/>
    <s v="099"/>
    <x v="0"/>
    <x v="0"/>
    <x v="0"/>
    <x v="1"/>
    <n v="331000"/>
    <x v="27"/>
    <x v="0"/>
  </r>
  <r>
    <x v="0"/>
    <s v="100"/>
    <x v="0"/>
    <x v="0"/>
    <x v="0"/>
    <x v="0"/>
    <n v="48659000"/>
    <x v="28"/>
    <x v="0"/>
  </r>
  <r>
    <x v="0"/>
    <s v="100"/>
    <x v="0"/>
    <x v="0"/>
    <x v="0"/>
    <x v="1"/>
    <n v="42377000"/>
    <x v="28"/>
    <x v="0"/>
  </r>
  <r>
    <x v="0"/>
    <s v="100"/>
    <x v="0"/>
    <x v="27"/>
    <x v="1"/>
    <x v="0"/>
    <n v="12579000"/>
    <x v="28"/>
    <x v="0"/>
  </r>
  <r>
    <x v="0"/>
    <s v="100"/>
    <x v="0"/>
    <x v="27"/>
    <x v="1"/>
    <x v="1"/>
    <n v="12684000"/>
    <x v="28"/>
    <x v="0"/>
  </r>
  <r>
    <x v="0"/>
    <s v="100"/>
    <x v="0"/>
    <x v="64"/>
    <x v="0"/>
    <x v="0"/>
    <n v="2346000"/>
    <x v="28"/>
    <x v="0"/>
  </r>
  <r>
    <x v="0"/>
    <s v="100"/>
    <x v="0"/>
    <x v="64"/>
    <x v="0"/>
    <x v="1"/>
    <n v="2396000"/>
    <x v="28"/>
    <x v="0"/>
  </r>
  <r>
    <x v="0"/>
    <s v="100"/>
    <x v="0"/>
    <x v="65"/>
    <x v="2"/>
    <x v="0"/>
    <n v="1095000"/>
    <x v="28"/>
    <x v="0"/>
  </r>
  <r>
    <x v="0"/>
    <s v="100"/>
    <x v="0"/>
    <x v="65"/>
    <x v="2"/>
    <x v="1"/>
    <n v="1070000"/>
    <x v="28"/>
    <x v="0"/>
  </r>
  <r>
    <x v="0"/>
    <s v="100"/>
    <x v="0"/>
    <x v="66"/>
    <x v="2"/>
    <x v="0"/>
    <n v="1953000"/>
    <x v="28"/>
    <x v="0"/>
  </r>
  <r>
    <x v="0"/>
    <s v="100"/>
    <x v="0"/>
    <x v="66"/>
    <x v="2"/>
    <x v="1"/>
    <n v="1953000"/>
    <x v="28"/>
    <x v="0"/>
  </r>
  <r>
    <x v="0"/>
    <s v="100"/>
    <x v="0"/>
    <x v="67"/>
    <x v="0"/>
    <x v="0"/>
    <n v="941000"/>
    <x v="28"/>
    <x v="0"/>
  </r>
  <r>
    <x v="0"/>
    <s v="100"/>
    <x v="0"/>
    <x v="67"/>
    <x v="0"/>
    <x v="1"/>
    <n v="956000"/>
    <x v="28"/>
    <x v="0"/>
  </r>
  <r>
    <x v="0"/>
    <s v="100"/>
    <x v="0"/>
    <x v="32"/>
    <x v="2"/>
    <x v="0"/>
    <n v="149000"/>
    <x v="28"/>
    <x v="0"/>
  </r>
  <r>
    <x v="0"/>
    <s v="100"/>
    <x v="0"/>
    <x v="32"/>
    <x v="2"/>
    <x v="1"/>
    <n v="152000"/>
    <x v="28"/>
    <x v="0"/>
  </r>
  <r>
    <x v="0"/>
    <s v="100"/>
    <x v="0"/>
    <x v="68"/>
    <x v="0"/>
    <x v="0"/>
    <n v="3275000"/>
    <x v="28"/>
    <x v="0"/>
  </r>
  <r>
    <x v="0"/>
    <s v="100"/>
    <x v="0"/>
    <x v="68"/>
    <x v="0"/>
    <x v="1"/>
    <n v="3309000"/>
    <x v="28"/>
    <x v="0"/>
  </r>
  <r>
    <x v="0"/>
    <s v="100"/>
    <x v="0"/>
    <x v="69"/>
    <x v="0"/>
    <x v="0"/>
    <n v="100000"/>
    <x v="28"/>
    <x v="0"/>
  </r>
  <r>
    <x v="0"/>
    <s v="100"/>
    <x v="0"/>
    <x v="69"/>
    <x v="0"/>
    <x v="1"/>
    <n v="100000"/>
    <x v="28"/>
    <x v="0"/>
  </r>
  <r>
    <x v="0"/>
    <s v="100"/>
    <x v="0"/>
    <x v="70"/>
    <x v="2"/>
    <x v="0"/>
    <n v="672000"/>
    <x v="28"/>
    <x v="0"/>
  </r>
  <r>
    <x v="0"/>
    <s v="100"/>
    <x v="0"/>
    <x v="70"/>
    <x v="2"/>
    <x v="1"/>
    <n v="672000"/>
    <x v="28"/>
    <x v="0"/>
  </r>
  <r>
    <x v="0"/>
    <s v="100"/>
    <x v="0"/>
    <x v="71"/>
    <x v="0"/>
    <x v="0"/>
    <n v="200689000"/>
    <x v="28"/>
    <x v="0"/>
  </r>
  <r>
    <x v="0"/>
    <s v="100"/>
    <x v="0"/>
    <x v="71"/>
    <x v="0"/>
    <x v="1"/>
    <n v="208705000"/>
    <x v="28"/>
    <x v="0"/>
  </r>
  <r>
    <x v="0"/>
    <s v="100"/>
    <x v="0"/>
    <x v="72"/>
    <x v="2"/>
    <x v="0"/>
    <n v="6268000"/>
    <x v="28"/>
    <x v="0"/>
  </r>
  <r>
    <x v="0"/>
    <s v="100"/>
    <x v="0"/>
    <x v="72"/>
    <x v="2"/>
    <x v="1"/>
    <n v="6308000"/>
    <x v="28"/>
    <x v="0"/>
  </r>
  <r>
    <x v="0"/>
    <s v="100"/>
    <x v="0"/>
    <x v="55"/>
    <x v="0"/>
    <x v="0"/>
    <n v="555000"/>
    <x v="28"/>
    <x v="0"/>
  </r>
  <r>
    <x v="0"/>
    <s v="100"/>
    <x v="0"/>
    <x v="55"/>
    <x v="0"/>
    <x v="1"/>
    <n v="568000"/>
    <x v="28"/>
    <x v="0"/>
  </r>
  <r>
    <x v="0"/>
    <s v="100"/>
    <x v="0"/>
    <x v="73"/>
    <x v="0"/>
    <x v="0"/>
    <n v="137000"/>
    <x v="28"/>
    <x v="0"/>
  </r>
  <r>
    <x v="0"/>
    <s v="100"/>
    <x v="0"/>
    <x v="73"/>
    <x v="0"/>
    <x v="1"/>
    <n v="139000"/>
    <x v="28"/>
    <x v="0"/>
  </r>
  <r>
    <x v="0"/>
    <s v="101"/>
    <x v="0"/>
    <x v="0"/>
    <x v="0"/>
    <x v="0"/>
    <n v="2379000"/>
    <x v="29"/>
    <x v="0"/>
  </r>
  <r>
    <x v="0"/>
    <s v="101"/>
    <x v="0"/>
    <x v="0"/>
    <x v="0"/>
    <x v="1"/>
    <n v="2476000"/>
    <x v="29"/>
    <x v="0"/>
  </r>
  <r>
    <x v="0"/>
    <s v="101"/>
    <x v="0"/>
    <x v="34"/>
    <x v="0"/>
    <x v="0"/>
    <n v="176000"/>
    <x v="29"/>
    <x v="0"/>
  </r>
  <r>
    <x v="0"/>
    <s v="101"/>
    <x v="0"/>
    <x v="34"/>
    <x v="0"/>
    <x v="1"/>
    <n v="180000"/>
    <x v="29"/>
    <x v="0"/>
  </r>
  <r>
    <x v="0"/>
    <s v="102"/>
    <x v="0"/>
    <x v="74"/>
    <x v="2"/>
    <x v="0"/>
    <n v="106000"/>
    <x v="30"/>
    <x v="0"/>
  </r>
  <r>
    <x v="0"/>
    <s v="102"/>
    <x v="0"/>
    <x v="74"/>
    <x v="2"/>
    <x v="1"/>
    <n v="105000"/>
    <x v="30"/>
    <x v="0"/>
  </r>
  <r>
    <x v="0"/>
    <s v="102"/>
    <x v="0"/>
    <x v="75"/>
    <x v="2"/>
    <x v="0"/>
    <n v="500000"/>
    <x v="30"/>
    <x v="0"/>
  </r>
  <r>
    <x v="0"/>
    <s v="102"/>
    <x v="0"/>
    <x v="75"/>
    <x v="2"/>
    <x v="1"/>
    <n v="500000"/>
    <x v="30"/>
    <x v="0"/>
  </r>
  <r>
    <x v="0"/>
    <s v="102"/>
    <x v="0"/>
    <x v="76"/>
    <x v="2"/>
    <x v="0"/>
    <n v="38255000"/>
    <x v="30"/>
    <x v="0"/>
  </r>
  <r>
    <x v="0"/>
    <s v="102"/>
    <x v="0"/>
    <x v="76"/>
    <x v="2"/>
    <x v="1"/>
    <n v="41168000"/>
    <x v="30"/>
    <x v="0"/>
  </r>
  <r>
    <x v="0"/>
    <s v="103"/>
    <x v="0"/>
    <x v="0"/>
    <x v="0"/>
    <x v="0"/>
    <n v="518144000"/>
    <x v="31"/>
    <x v="0"/>
  </r>
  <r>
    <x v="0"/>
    <s v="103"/>
    <x v="0"/>
    <x v="0"/>
    <x v="0"/>
    <x v="1"/>
    <n v="623149000"/>
    <x v="31"/>
    <x v="0"/>
  </r>
  <r>
    <x v="0"/>
    <s v="103"/>
    <x v="0"/>
    <x v="27"/>
    <x v="1"/>
    <x v="0"/>
    <n v="440089000"/>
    <x v="31"/>
    <x v="0"/>
  </r>
  <r>
    <x v="0"/>
    <s v="103"/>
    <x v="0"/>
    <x v="27"/>
    <x v="1"/>
    <x v="1"/>
    <n v="154718000"/>
    <x v="31"/>
    <x v="0"/>
  </r>
  <r>
    <x v="0"/>
    <s v="103"/>
    <x v="0"/>
    <x v="28"/>
    <x v="3"/>
    <x v="0"/>
    <n v="7444000"/>
    <x v="31"/>
    <x v="0"/>
  </r>
  <r>
    <x v="0"/>
    <s v="103"/>
    <x v="0"/>
    <x v="28"/>
    <x v="3"/>
    <x v="1"/>
    <n v="2251000"/>
    <x v="31"/>
    <x v="0"/>
  </r>
  <r>
    <x v="0"/>
    <s v="103"/>
    <x v="0"/>
    <x v="77"/>
    <x v="4"/>
    <x v="0"/>
    <n v="173384000"/>
    <x v="31"/>
    <x v="0"/>
  </r>
  <r>
    <x v="0"/>
    <s v="103"/>
    <x v="0"/>
    <x v="78"/>
    <x v="0"/>
    <x v="0"/>
    <n v="4754000"/>
    <x v="31"/>
    <x v="0"/>
  </r>
  <r>
    <x v="0"/>
    <s v="103"/>
    <x v="0"/>
    <x v="78"/>
    <x v="0"/>
    <x v="1"/>
    <n v="4557000"/>
    <x v="31"/>
    <x v="0"/>
  </r>
  <r>
    <x v="0"/>
    <s v="103"/>
    <x v="0"/>
    <x v="79"/>
    <x v="0"/>
    <x v="0"/>
    <n v="138000"/>
    <x v="31"/>
    <x v="0"/>
  </r>
  <r>
    <x v="0"/>
    <s v="103"/>
    <x v="0"/>
    <x v="79"/>
    <x v="0"/>
    <x v="1"/>
    <n v="126000"/>
    <x v="31"/>
    <x v="0"/>
  </r>
  <r>
    <x v="0"/>
    <s v="103"/>
    <x v="0"/>
    <x v="80"/>
    <x v="0"/>
    <x v="0"/>
    <n v="8000"/>
    <x v="31"/>
    <x v="0"/>
  </r>
  <r>
    <x v="0"/>
    <s v="103"/>
    <x v="0"/>
    <x v="80"/>
    <x v="0"/>
    <x v="1"/>
    <n v="9000"/>
    <x v="31"/>
    <x v="0"/>
  </r>
  <r>
    <x v="0"/>
    <s v="103"/>
    <x v="0"/>
    <x v="33"/>
    <x v="0"/>
    <x v="0"/>
    <n v="1414000"/>
    <x v="31"/>
    <x v="0"/>
  </r>
  <r>
    <x v="0"/>
    <s v="103"/>
    <x v="0"/>
    <x v="33"/>
    <x v="0"/>
    <x v="1"/>
    <n v="1419000"/>
    <x v="31"/>
    <x v="0"/>
  </r>
  <r>
    <x v="0"/>
    <s v="103"/>
    <x v="0"/>
    <x v="81"/>
    <x v="0"/>
    <x v="0"/>
    <n v="687000"/>
    <x v="31"/>
    <x v="0"/>
  </r>
  <r>
    <x v="0"/>
    <s v="103"/>
    <x v="0"/>
    <x v="81"/>
    <x v="0"/>
    <x v="1"/>
    <n v="696000"/>
    <x v="31"/>
    <x v="0"/>
  </r>
  <r>
    <x v="0"/>
    <s v="103"/>
    <x v="0"/>
    <x v="82"/>
    <x v="0"/>
    <x v="0"/>
    <n v="143000000"/>
    <x v="31"/>
    <x v="0"/>
  </r>
  <r>
    <x v="0"/>
    <s v="103"/>
    <x v="0"/>
    <x v="82"/>
    <x v="0"/>
    <x v="1"/>
    <n v="148859000"/>
    <x v="31"/>
    <x v="0"/>
  </r>
  <r>
    <x v="0"/>
    <s v="103"/>
    <x v="0"/>
    <x v="83"/>
    <x v="0"/>
    <x v="0"/>
    <n v="54599000"/>
    <x v="31"/>
    <x v="0"/>
  </r>
  <r>
    <x v="0"/>
    <s v="103"/>
    <x v="0"/>
    <x v="83"/>
    <x v="0"/>
    <x v="1"/>
    <n v="54820000"/>
    <x v="31"/>
    <x v="0"/>
  </r>
  <r>
    <x v="0"/>
    <s v="103"/>
    <x v="0"/>
    <x v="84"/>
    <x v="0"/>
    <x v="0"/>
    <n v="2625000"/>
    <x v="31"/>
    <x v="0"/>
  </r>
  <r>
    <x v="0"/>
    <s v="103"/>
    <x v="0"/>
    <x v="84"/>
    <x v="0"/>
    <x v="1"/>
    <n v="2125000"/>
    <x v="31"/>
    <x v="0"/>
  </r>
  <r>
    <x v="0"/>
    <s v="103"/>
    <x v="0"/>
    <x v="85"/>
    <x v="0"/>
    <x v="0"/>
    <n v="1334000"/>
    <x v="31"/>
    <x v="0"/>
  </r>
  <r>
    <x v="0"/>
    <s v="103"/>
    <x v="0"/>
    <x v="85"/>
    <x v="0"/>
    <x v="1"/>
    <n v="1344000"/>
    <x v="31"/>
    <x v="0"/>
  </r>
  <r>
    <x v="0"/>
    <s v="103"/>
    <x v="0"/>
    <x v="86"/>
    <x v="0"/>
    <x v="0"/>
    <n v="456000"/>
    <x v="31"/>
    <x v="0"/>
  </r>
  <r>
    <x v="0"/>
    <s v="103"/>
    <x v="0"/>
    <x v="86"/>
    <x v="0"/>
    <x v="1"/>
    <n v="956000"/>
    <x v="31"/>
    <x v="0"/>
  </r>
  <r>
    <x v="0"/>
    <s v="103"/>
    <x v="0"/>
    <x v="32"/>
    <x v="2"/>
    <x v="0"/>
    <n v="1874000"/>
    <x v="31"/>
    <x v="0"/>
  </r>
  <r>
    <x v="0"/>
    <s v="103"/>
    <x v="0"/>
    <x v="32"/>
    <x v="2"/>
    <x v="1"/>
    <n v="1698000"/>
    <x v="31"/>
    <x v="0"/>
  </r>
  <r>
    <x v="0"/>
    <s v="103"/>
    <x v="0"/>
    <x v="87"/>
    <x v="0"/>
    <x v="0"/>
    <n v="10684000"/>
    <x v="31"/>
    <x v="0"/>
  </r>
  <r>
    <x v="0"/>
    <s v="103"/>
    <x v="0"/>
    <x v="87"/>
    <x v="0"/>
    <x v="1"/>
    <n v="21000000"/>
    <x v="31"/>
    <x v="0"/>
  </r>
  <r>
    <x v="0"/>
    <s v="103"/>
    <x v="0"/>
    <x v="88"/>
    <x v="2"/>
    <x v="0"/>
    <n v="1114000"/>
    <x v="31"/>
    <x v="0"/>
  </r>
  <r>
    <x v="0"/>
    <s v="103"/>
    <x v="0"/>
    <x v="88"/>
    <x v="2"/>
    <x v="1"/>
    <n v="1217000"/>
    <x v="31"/>
    <x v="0"/>
  </r>
  <r>
    <x v="0"/>
    <s v="103"/>
    <x v="0"/>
    <x v="89"/>
    <x v="0"/>
    <x v="0"/>
    <n v="9000"/>
    <x v="31"/>
    <x v="0"/>
  </r>
  <r>
    <x v="0"/>
    <s v="103"/>
    <x v="0"/>
    <x v="89"/>
    <x v="0"/>
    <x v="1"/>
    <n v="10000"/>
    <x v="31"/>
    <x v="0"/>
  </r>
  <r>
    <x v="0"/>
    <s v="103"/>
    <x v="0"/>
    <x v="90"/>
    <x v="2"/>
    <x v="0"/>
    <n v="6242000"/>
    <x v="31"/>
    <x v="0"/>
  </r>
  <r>
    <x v="0"/>
    <s v="103"/>
    <x v="0"/>
    <x v="90"/>
    <x v="2"/>
    <x v="1"/>
    <n v="6242000"/>
    <x v="31"/>
    <x v="0"/>
  </r>
  <r>
    <x v="0"/>
    <s v="103"/>
    <x v="0"/>
    <x v="91"/>
    <x v="0"/>
    <x v="0"/>
    <n v="4500000"/>
    <x v="31"/>
    <x v="0"/>
  </r>
  <r>
    <x v="0"/>
    <s v="103"/>
    <x v="0"/>
    <x v="91"/>
    <x v="0"/>
    <x v="1"/>
    <n v="4500000"/>
    <x v="31"/>
    <x v="0"/>
  </r>
  <r>
    <x v="0"/>
    <s v="103"/>
    <x v="0"/>
    <x v="39"/>
    <x v="0"/>
    <x v="1"/>
    <n v="1000000"/>
    <x v="31"/>
    <x v="0"/>
  </r>
  <r>
    <x v="0"/>
    <s v="103"/>
    <x v="0"/>
    <x v="92"/>
    <x v="0"/>
    <x v="0"/>
    <n v="100000"/>
    <x v="31"/>
    <x v="0"/>
  </r>
  <r>
    <x v="0"/>
    <s v="103"/>
    <x v="0"/>
    <x v="93"/>
    <x v="0"/>
    <x v="0"/>
    <n v="2188000"/>
    <x v="31"/>
    <x v="0"/>
  </r>
  <r>
    <x v="0"/>
    <s v="103"/>
    <x v="0"/>
    <x v="93"/>
    <x v="0"/>
    <x v="1"/>
    <n v="2153000"/>
    <x v="31"/>
    <x v="0"/>
  </r>
  <r>
    <x v="0"/>
    <s v="103"/>
    <x v="0"/>
    <x v="59"/>
    <x v="0"/>
    <x v="0"/>
    <n v="63674000"/>
    <x v="31"/>
    <x v="0"/>
  </r>
  <r>
    <x v="0"/>
    <s v="103"/>
    <x v="0"/>
    <x v="59"/>
    <x v="0"/>
    <x v="1"/>
    <n v="259966000"/>
    <x v="31"/>
    <x v="0"/>
  </r>
  <r>
    <x v="0"/>
    <s v="103"/>
    <x v="0"/>
    <x v="94"/>
    <x v="0"/>
    <x v="0"/>
    <n v="769000"/>
    <x v="31"/>
    <x v="0"/>
  </r>
  <r>
    <x v="0"/>
    <s v="103"/>
    <x v="0"/>
    <x v="94"/>
    <x v="0"/>
    <x v="1"/>
    <n v="3145000"/>
    <x v="31"/>
    <x v="0"/>
  </r>
  <r>
    <x v="0"/>
    <s v="103"/>
    <x v="0"/>
    <x v="95"/>
    <x v="0"/>
    <x v="0"/>
    <n v="14230000"/>
    <x v="31"/>
    <x v="0"/>
  </r>
  <r>
    <x v="0"/>
    <s v="103"/>
    <x v="0"/>
    <x v="95"/>
    <x v="0"/>
    <x v="1"/>
    <n v="14222000"/>
    <x v="31"/>
    <x v="0"/>
  </r>
  <r>
    <x v="0"/>
    <s v="103"/>
    <x v="0"/>
    <x v="96"/>
    <x v="0"/>
    <x v="0"/>
    <n v="25000000"/>
    <x v="31"/>
    <x v="0"/>
  </r>
  <r>
    <x v="0"/>
    <s v="103"/>
    <x v="0"/>
    <x v="96"/>
    <x v="0"/>
    <x v="1"/>
    <n v="25000000"/>
    <x v="31"/>
    <x v="0"/>
  </r>
  <r>
    <x v="0"/>
    <s v="103"/>
    <x v="0"/>
    <x v="97"/>
    <x v="0"/>
    <x v="0"/>
    <n v="100000000"/>
    <x v="31"/>
    <x v="0"/>
  </r>
  <r>
    <x v="0"/>
    <s v="103"/>
    <x v="0"/>
    <x v="97"/>
    <x v="0"/>
    <x v="1"/>
    <n v="100000000"/>
    <x v="31"/>
    <x v="0"/>
  </r>
  <r>
    <x v="0"/>
    <s v="103"/>
    <x v="0"/>
    <x v="98"/>
    <x v="0"/>
    <x v="0"/>
    <n v="2912000"/>
    <x v="31"/>
    <x v="0"/>
  </r>
  <r>
    <x v="0"/>
    <s v="103"/>
    <x v="0"/>
    <x v="98"/>
    <x v="0"/>
    <x v="1"/>
    <n v="2915000"/>
    <x v="31"/>
    <x v="0"/>
  </r>
  <r>
    <x v="0"/>
    <s v="103"/>
    <x v="0"/>
    <x v="99"/>
    <x v="2"/>
    <x v="1"/>
    <n v="250000"/>
    <x v="31"/>
    <x v="0"/>
  </r>
  <r>
    <x v="0"/>
    <s v="103"/>
    <x v="0"/>
    <x v="100"/>
    <x v="0"/>
    <x v="0"/>
    <n v="50000000"/>
    <x v="31"/>
    <x v="0"/>
  </r>
  <r>
    <x v="0"/>
    <s v="103"/>
    <x v="0"/>
    <x v="100"/>
    <x v="0"/>
    <x v="1"/>
    <n v="100000000"/>
    <x v="31"/>
    <x v="0"/>
  </r>
  <r>
    <x v="0"/>
    <s v="103"/>
    <x v="0"/>
    <x v="101"/>
    <x v="0"/>
    <x v="0"/>
    <n v="3451000"/>
    <x v="31"/>
    <x v="0"/>
  </r>
  <r>
    <x v="0"/>
    <s v="103"/>
    <x v="0"/>
    <x v="101"/>
    <x v="0"/>
    <x v="1"/>
    <n v="3598000"/>
    <x v="31"/>
    <x v="0"/>
  </r>
  <r>
    <x v="0"/>
    <s v="103"/>
    <x v="0"/>
    <x v="102"/>
    <x v="0"/>
    <x v="0"/>
    <n v="3424000"/>
    <x v="31"/>
    <x v="0"/>
  </r>
  <r>
    <x v="0"/>
    <s v="103"/>
    <x v="0"/>
    <x v="102"/>
    <x v="0"/>
    <x v="1"/>
    <n v="3421000"/>
    <x v="31"/>
    <x v="0"/>
  </r>
  <r>
    <x v="0"/>
    <s v="103"/>
    <x v="0"/>
    <x v="103"/>
    <x v="0"/>
    <x v="0"/>
    <n v="5313000"/>
    <x v="31"/>
    <x v="0"/>
  </r>
  <r>
    <x v="0"/>
    <s v="103"/>
    <x v="0"/>
    <x v="103"/>
    <x v="0"/>
    <x v="1"/>
    <n v="5748000"/>
    <x v="31"/>
    <x v="0"/>
  </r>
  <r>
    <x v="0"/>
    <s v="103"/>
    <x v="0"/>
    <x v="43"/>
    <x v="1"/>
    <x v="0"/>
    <n v="23325000"/>
    <x v="31"/>
    <x v="0"/>
  </r>
  <r>
    <x v="0"/>
    <s v="103"/>
    <x v="0"/>
    <x v="43"/>
    <x v="1"/>
    <x v="1"/>
    <n v="1125000"/>
    <x v="31"/>
    <x v="0"/>
  </r>
  <r>
    <x v="0"/>
    <s v="103"/>
    <x v="0"/>
    <x v="104"/>
    <x v="2"/>
    <x v="0"/>
    <n v="16000"/>
    <x v="31"/>
    <x v="0"/>
  </r>
  <r>
    <x v="0"/>
    <s v="103"/>
    <x v="0"/>
    <x v="104"/>
    <x v="2"/>
    <x v="1"/>
    <n v="200000"/>
    <x v="31"/>
    <x v="0"/>
  </r>
  <r>
    <x v="0"/>
    <s v="103"/>
    <x v="0"/>
    <x v="105"/>
    <x v="2"/>
    <x v="0"/>
    <n v="10913000"/>
    <x v="31"/>
    <x v="0"/>
  </r>
  <r>
    <x v="0"/>
    <s v="103"/>
    <x v="0"/>
    <x v="105"/>
    <x v="2"/>
    <x v="1"/>
    <n v="1149000"/>
    <x v="31"/>
    <x v="0"/>
  </r>
  <r>
    <x v="0"/>
    <s v="103"/>
    <x v="0"/>
    <x v="106"/>
    <x v="0"/>
    <x v="1"/>
    <n v="26000"/>
    <x v="31"/>
    <x v="0"/>
  </r>
  <r>
    <x v="0"/>
    <s v="103"/>
    <x v="0"/>
    <x v="107"/>
    <x v="0"/>
    <x v="0"/>
    <n v="663000"/>
    <x v="31"/>
    <x v="0"/>
  </r>
  <r>
    <x v="0"/>
    <s v="103"/>
    <x v="0"/>
    <x v="107"/>
    <x v="0"/>
    <x v="1"/>
    <n v="693000"/>
    <x v="31"/>
    <x v="0"/>
  </r>
  <r>
    <x v="0"/>
    <s v="103"/>
    <x v="0"/>
    <x v="108"/>
    <x v="2"/>
    <x v="1"/>
    <n v="1000000"/>
    <x v="31"/>
    <x v="0"/>
  </r>
  <r>
    <x v="0"/>
    <s v="103"/>
    <x v="0"/>
    <x v="109"/>
    <x v="0"/>
    <x v="0"/>
    <n v="110000"/>
    <x v="31"/>
    <x v="1"/>
  </r>
  <r>
    <x v="0"/>
    <s v="103"/>
    <x v="0"/>
    <x v="109"/>
    <x v="0"/>
    <x v="1"/>
    <n v="110000"/>
    <x v="31"/>
    <x v="1"/>
  </r>
  <r>
    <x v="0"/>
    <s v="103"/>
    <x v="0"/>
    <x v="19"/>
    <x v="0"/>
    <x v="0"/>
    <n v="2500000"/>
    <x v="31"/>
    <x v="1"/>
  </r>
  <r>
    <x v="0"/>
    <s v="103"/>
    <x v="0"/>
    <x v="19"/>
    <x v="0"/>
    <x v="1"/>
    <n v="2500000"/>
    <x v="31"/>
    <x v="1"/>
  </r>
  <r>
    <x v="0"/>
    <s v="103900"/>
    <x v="1"/>
    <x v="27"/>
    <x v="1"/>
    <x v="0"/>
    <n v="205880000"/>
    <x v="31"/>
    <x v="0"/>
  </r>
  <r>
    <x v="0"/>
    <s v="103900"/>
    <x v="1"/>
    <x v="27"/>
    <x v="1"/>
    <x v="1"/>
    <n v="205880000"/>
    <x v="31"/>
    <x v="0"/>
  </r>
  <r>
    <x v="0"/>
    <s v="103900"/>
    <x v="1"/>
    <x v="28"/>
    <x v="3"/>
    <x v="0"/>
    <n v="12500000"/>
    <x v="31"/>
    <x v="0"/>
  </r>
  <r>
    <x v="0"/>
    <s v="103900"/>
    <x v="1"/>
    <x v="28"/>
    <x v="3"/>
    <x v="1"/>
    <n v="12500000"/>
    <x v="31"/>
    <x v="0"/>
  </r>
  <r>
    <x v="0"/>
    <s v="103900"/>
    <x v="1"/>
    <x v="1"/>
    <x v="0"/>
    <x v="0"/>
    <n v="506472000"/>
    <x v="31"/>
    <x v="0"/>
  </r>
  <r>
    <x v="0"/>
    <s v="103900"/>
    <x v="1"/>
    <x v="1"/>
    <x v="0"/>
    <x v="1"/>
    <n v="506472000"/>
    <x v="31"/>
    <x v="0"/>
  </r>
  <r>
    <x v="0"/>
    <s v="103900"/>
    <x v="1"/>
    <x v="78"/>
    <x v="0"/>
    <x v="0"/>
    <n v="200150000"/>
    <x v="31"/>
    <x v="0"/>
  </r>
  <r>
    <x v="0"/>
    <s v="103900"/>
    <x v="1"/>
    <x v="78"/>
    <x v="0"/>
    <x v="1"/>
    <n v="200150000"/>
    <x v="31"/>
    <x v="0"/>
  </r>
  <r>
    <x v="0"/>
    <s v="103900"/>
    <x v="1"/>
    <x v="110"/>
    <x v="0"/>
    <x v="0"/>
    <n v="48547000"/>
    <x v="31"/>
    <x v="0"/>
  </r>
  <r>
    <x v="0"/>
    <s v="103900"/>
    <x v="1"/>
    <x v="110"/>
    <x v="0"/>
    <x v="1"/>
    <n v="48547000"/>
    <x v="31"/>
    <x v="0"/>
  </r>
  <r>
    <x v="0"/>
    <s v="103900"/>
    <x v="1"/>
    <x v="111"/>
    <x v="0"/>
    <x v="0"/>
    <n v="5930500"/>
    <x v="31"/>
    <x v="0"/>
  </r>
  <r>
    <x v="0"/>
    <s v="103900"/>
    <x v="1"/>
    <x v="111"/>
    <x v="0"/>
    <x v="1"/>
    <n v="5930500"/>
    <x v="31"/>
    <x v="0"/>
  </r>
  <r>
    <x v="0"/>
    <s v="103900"/>
    <x v="1"/>
    <x v="92"/>
    <x v="0"/>
    <x v="0"/>
    <n v="2561000"/>
    <x v="31"/>
    <x v="0"/>
  </r>
  <r>
    <x v="0"/>
    <s v="103900"/>
    <x v="1"/>
    <x v="92"/>
    <x v="0"/>
    <x v="1"/>
    <n v="2561000"/>
    <x v="31"/>
    <x v="0"/>
  </r>
  <r>
    <x v="0"/>
    <s v="103900"/>
    <x v="1"/>
    <x v="59"/>
    <x v="0"/>
    <x v="0"/>
    <n v="382588500"/>
    <x v="31"/>
    <x v="0"/>
  </r>
  <r>
    <x v="0"/>
    <s v="103900"/>
    <x v="1"/>
    <x v="59"/>
    <x v="0"/>
    <x v="1"/>
    <n v="382588500"/>
    <x v="31"/>
    <x v="0"/>
  </r>
  <r>
    <x v="0"/>
    <s v="103900"/>
    <x v="1"/>
    <x v="94"/>
    <x v="0"/>
    <x v="0"/>
    <n v="3487500"/>
    <x v="31"/>
    <x v="0"/>
  </r>
  <r>
    <x v="0"/>
    <s v="103900"/>
    <x v="1"/>
    <x v="94"/>
    <x v="0"/>
    <x v="1"/>
    <n v="3487500"/>
    <x v="31"/>
    <x v="0"/>
  </r>
  <r>
    <x v="0"/>
    <s v="103900"/>
    <x v="1"/>
    <x v="112"/>
    <x v="0"/>
    <x v="0"/>
    <n v="24935500"/>
    <x v="31"/>
    <x v="0"/>
  </r>
  <r>
    <x v="0"/>
    <s v="103900"/>
    <x v="1"/>
    <x v="112"/>
    <x v="0"/>
    <x v="1"/>
    <n v="24935500"/>
    <x v="31"/>
    <x v="0"/>
  </r>
  <r>
    <x v="0"/>
    <s v="103900"/>
    <x v="1"/>
    <x v="113"/>
    <x v="0"/>
    <x v="0"/>
    <n v="934500"/>
    <x v="31"/>
    <x v="0"/>
  </r>
  <r>
    <x v="0"/>
    <s v="103900"/>
    <x v="1"/>
    <x v="113"/>
    <x v="0"/>
    <x v="1"/>
    <n v="934500"/>
    <x v="31"/>
    <x v="0"/>
  </r>
  <r>
    <x v="0"/>
    <s v="103900"/>
    <x v="1"/>
    <x v="3"/>
    <x v="0"/>
    <x v="0"/>
    <n v="231644500"/>
    <x v="31"/>
    <x v="0"/>
  </r>
  <r>
    <x v="0"/>
    <s v="103900"/>
    <x v="1"/>
    <x v="3"/>
    <x v="0"/>
    <x v="1"/>
    <n v="231644500"/>
    <x v="31"/>
    <x v="0"/>
  </r>
  <r>
    <x v="0"/>
    <s v="103900"/>
    <x v="1"/>
    <x v="103"/>
    <x v="0"/>
    <x v="0"/>
    <n v="4250000"/>
    <x v="31"/>
    <x v="0"/>
  </r>
  <r>
    <x v="0"/>
    <s v="103900"/>
    <x v="1"/>
    <x v="103"/>
    <x v="0"/>
    <x v="1"/>
    <n v="4250000"/>
    <x v="31"/>
    <x v="0"/>
  </r>
  <r>
    <x v="0"/>
    <s v="103900"/>
    <x v="1"/>
    <x v="114"/>
    <x v="0"/>
    <x v="0"/>
    <n v="12000000"/>
    <x v="31"/>
    <x v="0"/>
  </r>
  <r>
    <x v="0"/>
    <s v="103900"/>
    <x v="1"/>
    <x v="114"/>
    <x v="0"/>
    <x v="1"/>
    <n v="12000000"/>
    <x v="31"/>
    <x v="0"/>
  </r>
  <r>
    <x v="0"/>
    <s v="103900"/>
    <x v="1"/>
    <x v="107"/>
    <x v="0"/>
    <x v="0"/>
    <n v="12500000"/>
    <x v="31"/>
    <x v="0"/>
  </r>
  <r>
    <x v="0"/>
    <s v="103900"/>
    <x v="1"/>
    <x v="107"/>
    <x v="0"/>
    <x v="1"/>
    <n v="12500000"/>
    <x v="31"/>
    <x v="0"/>
  </r>
  <r>
    <x v="0"/>
    <s v="103900"/>
    <x v="1"/>
    <x v="115"/>
    <x v="0"/>
    <x v="0"/>
    <n v="5000000"/>
    <x v="31"/>
    <x v="0"/>
  </r>
  <r>
    <x v="0"/>
    <s v="103900"/>
    <x v="1"/>
    <x v="115"/>
    <x v="0"/>
    <x v="1"/>
    <n v="5000000"/>
    <x v="31"/>
    <x v="0"/>
  </r>
  <r>
    <x v="0"/>
    <s v="104"/>
    <x v="0"/>
    <x v="0"/>
    <x v="0"/>
    <x v="0"/>
    <n v="1154000"/>
    <x v="32"/>
    <x v="0"/>
  </r>
  <r>
    <x v="0"/>
    <s v="104"/>
    <x v="0"/>
    <x v="0"/>
    <x v="0"/>
    <x v="1"/>
    <n v="1034000"/>
    <x v="32"/>
    <x v="0"/>
  </r>
  <r>
    <x v="0"/>
    <s v="104"/>
    <x v="0"/>
    <x v="116"/>
    <x v="0"/>
    <x v="0"/>
    <n v="25000"/>
    <x v="32"/>
    <x v="0"/>
  </r>
  <r>
    <x v="0"/>
    <s v="104"/>
    <x v="0"/>
    <x v="116"/>
    <x v="0"/>
    <x v="1"/>
    <n v="25000"/>
    <x v="32"/>
    <x v="0"/>
  </r>
  <r>
    <x v="0"/>
    <s v="104"/>
    <x v="0"/>
    <x v="16"/>
    <x v="0"/>
    <x v="0"/>
    <n v="365000"/>
    <x v="32"/>
    <x v="1"/>
  </r>
  <r>
    <x v="0"/>
    <s v="104"/>
    <x v="0"/>
    <x v="16"/>
    <x v="0"/>
    <x v="1"/>
    <n v="359000"/>
    <x v="32"/>
    <x v="1"/>
  </r>
  <r>
    <x v="0"/>
    <s v="105"/>
    <x v="0"/>
    <x v="0"/>
    <x v="0"/>
    <x v="0"/>
    <n v="20390000"/>
    <x v="33"/>
    <x v="0"/>
  </r>
  <r>
    <x v="0"/>
    <s v="105"/>
    <x v="0"/>
    <x v="0"/>
    <x v="0"/>
    <x v="1"/>
    <n v="24817000"/>
    <x v="33"/>
    <x v="0"/>
  </r>
  <r>
    <x v="0"/>
    <s v="105"/>
    <x v="0"/>
    <x v="27"/>
    <x v="1"/>
    <x v="0"/>
    <n v="18085000"/>
    <x v="33"/>
    <x v="0"/>
  </r>
  <r>
    <x v="0"/>
    <s v="105"/>
    <x v="0"/>
    <x v="27"/>
    <x v="1"/>
    <x v="1"/>
    <n v="20349000"/>
    <x v="33"/>
    <x v="0"/>
  </r>
  <r>
    <x v="0"/>
    <s v="105"/>
    <x v="0"/>
    <x v="28"/>
    <x v="3"/>
    <x v="0"/>
    <n v="2798000"/>
    <x v="33"/>
    <x v="0"/>
  </r>
  <r>
    <x v="0"/>
    <s v="105"/>
    <x v="0"/>
    <x v="28"/>
    <x v="3"/>
    <x v="1"/>
    <n v="1145000"/>
    <x v="33"/>
    <x v="0"/>
  </r>
  <r>
    <x v="0"/>
    <s v="105"/>
    <x v="0"/>
    <x v="117"/>
    <x v="2"/>
    <x v="0"/>
    <n v="1000"/>
    <x v="33"/>
    <x v="0"/>
  </r>
  <r>
    <x v="0"/>
    <s v="105"/>
    <x v="0"/>
    <x v="117"/>
    <x v="2"/>
    <x v="1"/>
    <n v="1000"/>
    <x v="33"/>
    <x v="0"/>
  </r>
  <r>
    <x v="0"/>
    <s v="105"/>
    <x v="0"/>
    <x v="118"/>
    <x v="0"/>
    <x v="0"/>
    <n v="150000"/>
    <x v="33"/>
    <x v="0"/>
  </r>
  <r>
    <x v="0"/>
    <s v="105"/>
    <x v="0"/>
    <x v="118"/>
    <x v="0"/>
    <x v="1"/>
    <n v="150000"/>
    <x v="33"/>
    <x v="0"/>
  </r>
  <r>
    <x v="0"/>
    <s v="105"/>
    <x v="0"/>
    <x v="119"/>
    <x v="0"/>
    <x v="0"/>
    <n v="425000"/>
    <x v="33"/>
    <x v="0"/>
  </r>
  <r>
    <x v="0"/>
    <s v="105"/>
    <x v="0"/>
    <x v="119"/>
    <x v="0"/>
    <x v="1"/>
    <n v="386000"/>
    <x v="33"/>
    <x v="0"/>
  </r>
  <r>
    <x v="0"/>
    <s v="105"/>
    <x v="0"/>
    <x v="59"/>
    <x v="0"/>
    <x v="0"/>
    <n v="1798000"/>
    <x v="33"/>
    <x v="0"/>
  </r>
  <r>
    <x v="0"/>
    <s v="105"/>
    <x v="0"/>
    <x v="59"/>
    <x v="0"/>
    <x v="1"/>
    <n v="4187000"/>
    <x v="33"/>
    <x v="0"/>
  </r>
  <r>
    <x v="0"/>
    <s v="105"/>
    <x v="0"/>
    <x v="54"/>
    <x v="0"/>
    <x v="0"/>
    <n v="13472000"/>
    <x v="33"/>
    <x v="0"/>
  </r>
  <r>
    <x v="0"/>
    <s v="105"/>
    <x v="0"/>
    <x v="54"/>
    <x v="0"/>
    <x v="1"/>
    <n v="13924000"/>
    <x v="33"/>
    <x v="0"/>
  </r>
  <r>
    <x v="0"/>
    <s v="105"/>
    <x v="0"/>
    <x v="120"/>
    <x v="2"/>
    <x v="0"/>
    <n v="12491000"/>
    <x v="33"/>
    <x v="0"/>
  </r>
  <r>
    <x v="0"/>
    <s v="105"/>
    <x v="0"/>
    <x v="120"/>
    <x v="2"/>
    <x v="1"/>
    <n v="12496000"/>
    <x v="33"/>
    <x v="0"/>
  </r>
  <r>
    <x v="0"/>
    <s v="105"/>
    <x v="0"/>
    <x v="121"/>
    <x v="2"/>
    <x v="0"/>
    <n v="5444000"/>
    <x v="33"/>
    <x v="0"/>
  </r>
  <r>
    <x v="0"/>
    <s v="105"/>
    <x v="0"/>
    <x v="121"/>
    <x v="2"/>
    <x v="1"/>
    <n v="5634000"/>
    <x v="33"/>
    <x v="0"/>
  </r>
  <r>
    <x v="0"/>
    <s v="105"/>
    <x v="0"/>
    <x v="122"/>
    <x v="0"/>
    <x v="0"/>
    <n v="748000"/>
    <x v="33"/>
    <x v="0"/>
  </r>
  <r>
    <x v="0"/>
    <s v="105"/>
    <x v="0"/>
    <x v="122"/>
    <x v="0"/>
    <x v="1"/>
    <n v="749000"/>
    <x v="33"/>
    <x v="0"/>
  </r>
  <r>
    <x v="0"/>
    <s v="105"/>
    <x v="0"/>
    <x v="123"/>
    <x v="0"/>
    <x v="0"/>
    <n v="103084000"/>
    <x v="33"/>
    <x v="0"/>
  </r>
  <r>
    <x v="0"/>
    <s v="105"/>
    <x v="0"/>
    <x v="123"/>
    <x v="0"/>
    <x v="1"/>
    <n v="97374000"/>
    <x v="33"/>
    <x v="0"/>
  </r>
  <r>
    <x v="0"/>
    <s v="105"/>
    <x v="0"/>
    <x v="124"/>
    <x v="0"/>
    <x v="0"/>
    <n v="15247000"/>
    <x v="33"/>
    <x v="0"/>
  </r>
  <r>
    <x v="0"/>
    <s v="105"/>
    <x v="0"/>
    <x v="124"/>
    <x v="0"/>
    <x v="1"/>
    <n v="17942000"/>
    <x v="33"/>
    <x v="0"/>
  </r>
  <r>
    <x v="0"/>
    <s v="105"/>
    <x v="0"/>
    <x v="125"/>
    <x v="2"/>
    <x v="0"/>
    <n v="38744000"/>
    <x v="33"/>
    <x v="0"/>
  </r>
  <r>
    <x v="0"/>
    <s v="105"/>
    <x v="0"/>
    <x v="125"/>
    <x v="2"/>
    <x v="1"/>
    <n v="44048000"/>
    <x v="33"/>
    <x v="0"/>
  </r>
  <r>
    <x v="0"/>
    <s v="105"/>
    <x v="0"/>
    <x v="43"/>
    <x v="1"/>
    <x v="0"/>
    <n v="656000"/>
    <x v="33"/>
    <x v="0"/>
  </r>
  <r>
    <x v="0"/>
    <s v="105"/>
    <x v="0"/>
    <x v="16"/>
    <x v="0"/>
    <x v="0"/>
    <n v="107000"/>
    <x v="33"/>
    <x v="1"/>
  </r>
  <r>
    <x v="0"/>
    <s v="105"/>
    <x v="0"/>
    <x v="16"/>
    <x v="0"/>
    <x v="1"/>
    <n v="107000"/>
    <x v="33"/>
    <x v="1"/>
  </r>
  <r>
    <x v="0"/>
    <s v="105"/>
    <x v="0"/>
    <x v="17"/>
    <x v="0"/>
    <x v="0"/>
    <n v="65000"/>
    <x v="33"/>
    <x v="1"/>
  </r>
  <r>
    <x v="0"/>
    <s v="105"/>
    <x v="0"/>
    <x v="17"/>
    <x v="0"/>
    <x v="1"/>
    <n v="66000"/>
    <x v="33"/>
    <x v="1"/>
  </r>
  <r>
    <x v="0"/>
    <s v="105900"/>
    <x v="1"/>
    <x v="1"/>
    <x v="0"/>
    <x v="0"/>
    <n v="2000000"/>
    <x v="33"/>
    <x v="0"/>
  </r>
  <r>
    <x v="0"/>
    <s v="105900"/>
    <x v="1"/>
    <x v="1"/>
    <x v="0"/>
    <x v="1"/>
    <n v="2000000"/>
    <x v="33"/>
    <x v="0"/>
  </r>
  <r>
    <x v="0"/>
    <s v="107CBH"/>
    <x v="0"/>
    <x v="0"/>
    <x v="0"/>
    <x v="0"/>
    <n v="1037566000"/>
    <x v="34"/>
    <x v="0"/>
  </r>
  <r>
    <x v="0"/>
    <s v="107CBH"/>
    <x v="0"/>
    <x v="0"/>
    <x v="0"/>
    <x v="1"/>
    <n v="1238039000"/>
    <x v="34"/>
    <x v="0"/>
  </r>
  <r>
    <x v="0"/>
    <s v="107CBH"/>
    <x v="0"/>
    <x v="27"/>
    <x v="1"/>
    <x v="0"/>
    <n v="1448091000"/>
    <x v="34"/>
    <x v="0"/>
  </r>
  <r>
    <x v="0"/>
    <s v="107CBH"/>
    <x v="0"/>
    <x v="27"/>
    <x v="1"/>
    <x v="1"/>
    <n v="1580264000"/>
    <x v="34"/>
    <x v="0"/>
  </r>
  <r>
    <x v="0"/>
    <s v="107CBH"/>
    <x v="0"/>
    <x v="28"/>
    <x v="3"/>
    <x v="0"/>
    <n v="19381000"/>
    <x v="34"/>
    <x v="0"/>
  </r>
  <r>
    <x v="0"/>
    <s v="107CBH"/>
    <x v="0"/>
    <x v="28"/>
    <x v="3"/>
    <x v="1"/>
    <n v="19523000"/>
    <x v="34"/>
    <x v="0"/>
  </r>
  <r>
    <x v="0"/>
    <s v="107CBH"/>
    <x v="0"/>
    <x v="77"/>
    <x v="4"/>
    <x v="0"/>
    <n v="27060000"/>
    <x v="34"/>
    <x v="0"/>
  </r>
  <r>
    <x v="0"/>
    <s v="107CBH"/>
    <x v="0"/>
    <x v="77"/>
    <x v="4"/>
    <x v="1"/>
    <n v="27059000"/>
    <x v="34"/>
    <x v="0"/>
  </r>
  <r>
    <x v="0"/>
    <s v="107CBH"/>
    <x v="0"/>
    <x v="126"/>
    <x v="0"/>
    <x v="0"/>
    <n v="10998000"/>
    <x v="34"/>
    <x v="0"/>
  </r>
  <r>
    <x v="0"/>
    <s v="107CBH"/>
    <x v="0"/>
    <x v="126"/>
    <x v="0"/>
    <x v="1"/>
    <n v="11003000"/>
    <x v="34"/>
    <x v="0"/>
  </r>
  <r>
    <x v="0"/>
    <s v="107CBH"/>
    <x v="0"/>
    <x v="127"/>
    <x v="0"/>
    <x v="0"/>
    <n v="2115000"/>
    <x v="34"/>
    <x v="0"/>
  </r>
  <r>
    <x v="0"/>
    <s v="107CBH"/>
    <x v="0"/>
    <x v="127"/>
    <x v="0"/>
    <x v="1"/>
    <n v="1623000"/>
    <x v="34"/>
    <x v="0"/>
  </r>
  <r>
    <x v="0"/>
    <s v="107CBH"/>
    <x v="0"/>
    <x v="118"/>
    <x v="0"/>
    <x v="0"/>
    <n v="13984000"/>
    <x v="34"/>
    <x v="0"/>
  </r>
  <r>
    <x v="0"/>
    <s v="107CBH"/>
    <x v="0"/>
    <x v="118"/>
    <x v="0"/>
    <x v="1"/>
    <n v="19515000"/>
    <x v="34"/>
    <x v="0"/>
  </r>
  <r>
    <x v="0"/>
    <s v="107CBH"/>
    <x v="0"/>
    <x v="30"/>
    <x v="0"/>
    <x v="0"/>
    <n v="37985000"/>
    <x v="34"/>
    <x v="0"/>
  </r>
  <r>
    <x v="0"/>
    <s v="107CBH"/>
    <x v="0"/>
    <x v="30"/>
    <x v="0"/>
    <x v="1"/>
    <n v="61652000"/>
    <x v="34"/>
    <x v="0"/>
  </r>
  <r>
    <x v="0"/>
    <s v="107CBH"/>
    <x v="0"/>
    <x v="101"/>
    <x v="0"/>
    <x v="0"/>
    <n v="28498000"/>
    <x v="34"/>
    <x v="0"/>
  </r>
  <r>
    <x v="0"/>
    <s v="107CBH"/>
    <x v="0"/>
    <x v="101"/>
    <x v="0"/>
    <x v="1"/>
    <n v="28501000"/>
    <x v="34"/>
    <x v="0"/>
  </r>
  <r>
    <x v="0"/>
    <s v="107HBE"/>
    <x v="0"/>
    <x v="0"/>
    <x v="0"/>
    <x v="0"/>
    <n v="9671000"/>
    <x v="34"/>
    <x v="0"/>
  </r>
  <r>
    <x v="0"/>
    <s v="107HBE"/>
    <x v="0"/>
    <x v="0"/>
    <x v="0"/>
    <x v="1"/>
    <n v="7156000"/>
    <x v="34"/>
    <x v="0"/>
  </r>
  <r>
    <x v="0"/>
    <s v="107HBE"/>
    <x v="0"/>
    <x v="27"/>
    <x v="1"/>
    <x v="0"/>
    <n v="33222000"/>
    <x v="34"/>
    <x v="0"/>
  </r>
  <r>
    <x v="0"/>
    <s v="107HBE"/>
    <x v="0"/>
    <x v="27"/>
    <x v="1"/>
    <x v="1"/>
    <n v="31624000"/>
    <x v="34"/>
    <x v="0"/>
  </r>
  <r>
    <x v="0"/>
    <s v="107HBE"/>
    <x v="0"/>
    <x v="77"/>
    <x v="4"/>
    <x v="0"/>
    <n v="2550000"/>
    <x v="34"/>
    <x v="0"/>
  </r>
  <r>
    <x v="0"/>
    <s v="107HBE"/>
    <x v="0"/>
    <x v="128"/>
    <x v="0"/>
    <x v="0"/>
    <n v="150000"/>
    <x v="34"/>
    <x v="0"/>
  </r>
  <r>
    <x v="0"/>
    <s v="107HBE"/>
    <x v="0"/>
    <x v="128"/>
    <x v="0"/>
    <x v="1"/>
    <n v="200000"/>
    <x v="34"/>
    <x v="0"/>
  </r>
  <r>
    <x v="0"/>
    <s v="107HBE"/>
    <x v="0"/>
    <x v="129"/>
    <x v="0"/>
    <x v="0"/>
    <n v="40776000"/>
    <x v="34"/>
    <x v="0"/>
  </r>
  <r>
    <x v="0"/>
    <s v="107HBE"/>
    <x v="0"/>
    <x v="129"/>
    <x v="0"/>
    <x v="1"/>
    <n v="42752000"/>
    <x v="34"/>
    <x v="0"/>
  </r>
  <r>
    <x v="0"/>
    <s v="107HBE"/>
    <x v="0"/>
    <x v="130"/>
    <x v="0"/>
    <x v="0"/>
    <n v="55000000"/>
    <x v="34"/>
    <x v="0"/>
  </r>
  <r>
    <x v="0"/>
    <s v="107HBE"/>
    <x v="0"/>
    <x v="130"/>
    <x v="0"/>
    <x v="1"/>
    <n v="70000000"/>
    <x v="34"/>
    <x v="0"/>
  </r>
  <r>
    <x v="0"/>
    <s v="107OTH"/>
    <x v="0"/>
    <x v="0"/>
    <x v="0"/>
    <x v="0"/>
    <n v="2853617000"/>
    <x v="34"/>
    <x v="0"/>
  </r>
  <r>
    <x v="0"/>
    <s v="107OTH"/>
    <x v="0"/>
    <x v="0"/>
    <x v="0"/>
    <x v="1"/>
    <n v="2976729000"/>
    <x v="34"/>
    <x v="0"/>
  </r>
  <r>
    <x v="0"/>
    <s v="107OTH"/>
    <x v="0"/>
    <x v="27"/>
    <x v="1"/>
    <x v="0"/>
    <n v="8166324000"/>
    <x v="34"/>
    <x v="0"/>
  </r>
  <r>
    <x v="0"/>
    <s v="107OTH"/>
    <x v="0"/>
    <x v="27"/>
    <x v="1"/>
    <x v="1"/>
    <n v="8654083000"/>
    <x v="34"/>
    <x v="0"/>
  </r>
  <r>
    <x v="0"/>
    <s v="107OTH"/>
    <x v="0"/>
    <x v="28"/>
    <x v="3"/>
    <x v="0"/>
    <n v="512852000"/>
    <x v="34"/>
    <x v="0"/>
  </r>
  <r>
    <x v="0"/>
    <s v="107OTH"/>
    <x v="0"/>
    <x v="28"/>
    <x v="3"/>
    <x v="1"/>
    <n v="739421000"/>
    <x v="34"/>
    <x v="0"/>
  </r>
  <r>
    <x v="0"/>
    <s v="107OTH"/>
    <x v="0"/>
    <x v="131"/>
    <x v="0"/>
    <x v="0"/>
    <n v="7543000"/>
    <x v="34"/>
    <x v="0"/>
  </r>
  <r>
    <x v="0"/>
    <s v="107OTH"/>
    <x v="0"/>
    <x v="131"/>
    <x v="0"/>
    <x v="1"/>
    <n v="7543000"/>
    <x v="34"/>
    <x v="0"/>
  </r>
  <r>
    <x v="0"/>
    <s v="107OTH"/>
    <x v="0"/>
    <x v="132"/>
    <x v="2"/>
    <x v="0"/>
    <n v="31000"/>
    <x v="34"/>
    <x v="0"/>
  </r>
  <r>
    <x v="0"/>
    <s v="107OTH"/>
    <x v="0"/>
    <x v="132"/>
    <x v="2"/>
    <x v="1"/>
    <n v="31000"/>
    <x v="34"/>
    <x v="0"/>
  </r>
  <r>
    <x v="0"/>
    <s v="107OTH"/>
    <x v="0"/>
    <x v="133"/>
    <x v="0"/>
    <x v="0"/>
    <n v="628099000"/>
    <x v="34"/>
    <x v="0"/>
  </r>
  <r>
    <x v="0"/>
    <s v="107OTH"/>
    <x v="0"/>
    <x v="133"/>
    <x v="0"/>
    <x v="1"/>
    <n v="889394000"/>
    <x v="34"/>
    <x v="0"/>
  </r>
  <r>
    <x v="0"/>
    <s v="107OTH"/>
    <x v="0"/>
    <x v="134"/>
    <x v="2"/>
    <x v="0"/>
    <n v="247647000"/>
    <x v="34"/>
    <x v="0"/>
  </r>
  <r>
    <x v="0"/>
    <s v="107OTH"/>
    <x v="0"/>
    <x v="134"/>
    <x v="2"/>
    <x v="1"/>
    <n v="243398000"/>
    <x v="34"/>
    <x v="0"/>
  </r>
  <r>
    <x v="0"/>
    <s v="107OTH"/>
    <x v="0"/>
    <x v="135"/>
    <x v="2"/>
    <x v="0"/>
    <n v="708000"/>
    <x v="34"/>
    <x v="0"/>
  </r>
  <r>
    <x v="0"/>
    <s v="107OTH"/>
    <x v="0"/>
    <x v="135"/>
    <x v="2"/>
    <x v="1"/>
    <n v="708000"/>
    <x v="34"/>
    <x v="0"/>
  </r>
  <r>
    <x v="0"/>
    <s v="107OTH"/>
    <x v="0"/>
    <x v="136"/>
    <x v="0"/>
    <x v="0"/>
    <n v="7072000"/>
    <x v="34"/>
    <x v="0"/>
  </r>
  <r>
    <x v="0"/>
    <s v="107OTH"/>
    <x v="0"/>
    <x v="136"/>
    <x v="0"/>
    <x v="1"/>
    <n v="7244000"/>
    <x v="34"/>
    <x v="0"/>
  </r>
  <r>
    <x v="0"/>
    <s v="107OTH"/>
    <x v="0"/>
    <x v="137"/>
    <x v="0"/>
    <x v="0"/>
    <n v="4154000"/>
    <x v="34"/>
    <x v="0"/>
  </r>
  <r>
    <x v="0"/>
    <s v="107OTH"/>
    <x v="0"/>
    <x v="137"/>
    <x v="0"/>
    <x v="1"/>
    <n v="4164000"/>
    <x v="34"/>
    <x v="0"/>
  </r>
  <r>
    <x v="0"/>
    <s v="107OTH"/>
    <x v="0"/>
    <x v="118"/>
    <x v="0"/>
    <x v="0"/>
    <n v="1065000"/>
    <x v="34"/>
    <x v="0"/>
  </r>
  <r>
    <x v="0"/>
    <s v="107OTH"/>
    <x v="0"/>
    <x v="118"/>
    <x v="0"/>
    <x v="1"/>
    <n v="10559000"/>
    <x v="34"/>
    <x v="0"/>
  </r>
  <r>
    <x v="0"/>
    <s v="107OTH"/>
    <x v="0"/>
    <x v="101"/>
    <x v="0"/>
    <x v="0"/>
    <n v="24105000"/>
    <x v="34"/>
    <x v="0"/>
  </r>
  <r>
    <x v="0"/>
    <s v="107OTH"/>
    <x v="0"/>
    <x v="101"/>
    <x v="0"/>
    <x v="1"/>
    <n v="23212000"/>
    <x v="34"/>
    <x v="0"/>
  </r>
  <r>
    <x v="0"/>
    <s v="107OTH"/>
    <x v="0"/>
    <x v="138"/>
    <x v="0"/>
    <x v="1"/>
    <n v="314000"/>
    <x v="34"/>
    <x v="0"/>
  </r>
  <r>
    <x v="0"/>
    <s v="107OTH"/>
    <x v="0"/>
    <x v="139"/>
    <x v="0"/>
    <x v="0"/>
    <n v="271000"/>
    <x v="34"/>
    <x v="0"/>
  </r>
  <r>
    <x v="0"/>
    <s v="107OTH"/>
    <x v="0"/>
    <x v="139"/>
    <x v="0"/>
    <x v="1"/>
    <n v="269000"/>
    <x v="34"/>
    <x v="0"/>
  </r>
  <r>
    <x v="0"/>
    <s v="107OTH"/>
    <x v="0"/>
    <x v="140"/>
    <x v="0"/>
    <x v="1"/>
    <n v="7000000"/>
    <x v="34"/>
    <x v="0"/>
  </r>
  <r>
    <x v="0"/>
    <s v="107PEB"/>
    <x v="0"/>
    <x v="141"/>
    <x v="2"/>
    <x v="0"/>
    <n v="1001000"/>
    <x v="34"/>
    <x v="0"/>
  </r>
  <r>
    <x v="0"/>
    <s v="107PEB"/>
    <x v="0"/>
    <x v="141"/>
    <x v="2"/>
    <x v="1"/>
    <n v="1062000"/>
    <x v="34"/>
    <x v="0"/>
  </r>
  <r>
    <x v="0"/>
    <s v="107PEB"/>
    <x v="0"/>
    <x v="22"/>
    <x v="0"/>
    <x v="0"/>
    <n v="21293000"/>
    <x v="34"/>
    <x v="0"/>
  </r>
  <r>
    <x v="0"/>
    <s v="107PEB"/>
    <x v="0"/>
    <x v="22"/>
    <x v="0"/>
    <x v="1"/>
    <n v="23689000"/>
    <x v="34"/>
    <x v="0"/>
  </r>
  <r>
    <x v="0"/>
    <s v="107PEB"/>
    <x v="0"/>
    <x v="142"/>
    <x v="2"/>
    <x v="0"/>
    <n v="7418000"/>
    <x v="34"/>
    <x v="0"/>
  </r>
  <r>
    <x v="0"/>
    <s v="107PEB"/>
    <x v="0"/>
    <x v="142"/>
    <x v="2"/>
    <x v="1"/>
    <n v="8376000"/>
    <x v="34"/>
    <x v="0"/>
  </r>
  <r>
    <x v="0"/>
    <s v="107PEB"/>
    <x v="0"/>
    <x v="143"/>
    <x v="2"/>
    <x v="0"/>
    <n v="69136000"/>
    <x v="34"/>
    <x v="0"/>
  </r>
  <r>
    <x v="0"/>
    <s v="107PEB"/>
    <x v="0"/>
    <x v="143"/>
    <x v="2"/>
    <x v="1"/>
    <n v="71277000"/>
    <x v="34"/>
    <x v="0"/>
  </r>
  <r>
    <x v="0"/>
    <s v="107SEB"/>
    <x v="0"/>
    <x v="144"/>
    <x v="2"/>
    <x v="0"/>
    <n v="625000"/>
    <x v="34"/>
    <x v="0"/>
  </r>
  <r>
    <x v="0"/>
    <s v="107SEB"/>
    <x v="0"/>
    <x v="144"/>
    <x v="2"/>
    <x v="1"/>
    <n v="625000"/>
    <x v="34"/>
    <x v="0"/>
  </r>
  <r>
    <x v="0"/>
    <s v="107SEB"/>
    <x v="0"/>
    <x v="145"/>
    <x v="2"/>
    <x v="0"/>
    <n v="5671000"/>
    <x v="34"/>
    <x v="0"/>
  </r>
  <r>
    <x v="0"/>
    <s v="107SEB"/>
    <x v="0"/>
    <x v="145"/>
    <x v="2"/>
    <x v="1"/>
    <n v="6368000"/>
    <x v="34"/>
    <x v="0"/>
  </r>
  <r>
    <x v="0"/>
    <s v="107SEB"/>
    <x v="0"/>
    <x v="23"/>
    <x v="0"/>
    <x v="0"/>
    <n v="17230000"/>
    <x v="34"/>
    <x v="0"/>
  </r>
  <r>
    <x v="0"/>
    <s v="107SEB"/>
    <x v="0"/>
    <x v="23"/>
    <x v="0"/>
    <x v="1"/>
    <n v="16509000"/>
    <x v="34"/>
    <x v="0"/>
  </r>
  <r>
    <x v="0"/>
    <s v="107SEB"/>
    <x v="0"/>
    <x v="146"/>
    <x v="2"/>
    <x v="0"/>
    <n v="26035000"/>
    <x v="34"/>
    <x v="0"/>
  </r>
  <r>
    <x v="0"/>
    <s v="107SEB"/>
    <x v="0"/>
    <x v="146"/>
    <x v="2"/>
    <x v="1"/>
    <n v="28985000"/>
    <x v="34"/>
    <x v="0"/>
  </r>
  <r>
    <x v="0"/>
    <s v="110"/>
    <x v="0"/>
    <x v="147"/>
    <x v="2"/>
    <x v="0"/>
    <n v="25000"/>
    <x v="35"/>
    <x v="0"/>
  </r>
  <r>
    <x v="0"/>
    <s v="110"/>
    <x v="0"/>
    <x v="147"/>
    <x v="2"/>
    <x v="1"/>
    <n v="25000"/>
    <x v="35"/>
    <x v="0"/>
  </r>
  <r>
    <x v="0"/>
    <s v="110"/>
    <x v="0"/>
    <x v="148"/>
    <x v="0"/>
    <x v="0"/>
    <n v="40741000"/>
    <x v="35"/>
    <x v="0"/>
  </r>
  <r>
    <x v="0"/>
    <s v="110"/>
    <x v="0"/>
    <x v="148"/>
    <x v="0"/>
    <x v="1"/>
    <n v="35733000"/>
    <x v="35"/>
    <x v="0"/>
  </r>
  <r>
    <x v="0"/>
    <s v="110"/>
    <x v="0"/>
    <x v="149"/>
    <x v="3"/>
    <x v="0"/>
    <n v="6000"/>
    <x v="35"/>
    <x v="0"/>
  </r>
  <r>
    <x v="0"/>
    <s v="110"/>
    <x v="0"/>
    <x v="149"/>
    <x v="3"/>
    <x v="1"/>
    <n v="6000"/>
    <x v="35"/>
    <x v="0"/>
  </r>
  <r>
    <x v="0"/>
    <s v="116"/>
    <x v="0"/>
    <x v="150"/>
    <x v="2"/>
    <x v="0"/>
    <n v="73933000"/>
    <x v="36"/>
    <x v="0"/>
  </r>
  <r>
    <x v="0"/>
    <s v="116"/>
    <x v="0"/>
    <x v="150"/>
    <x v="2"/>
    <x v="1"/>
    <n v="74491000"/>
    <x v="36"/>
    <x v="0"/>
  </r>
  <r>
    <x v="0"/>
    <s v="116"/>
    <x v="0"/>
    <x v="151"/>
    <x v="2"/>
    <x v="0"/>
    <n v="622574000"/>
    <x v="36"/>
    <x v="0"/>
  </r>
  <r>
    <x v="0"/>
    <s v="116"/>
    <x v="0"/>
    <x v="151"/>
    <x v="2"/>
    <x v="1"/>
    <n v="624805000"/>
    <x v="36"/>
    <x v="0"/>
  </r>
  <r>
    <x v="0"/>
    <s v="116"/>
    <x v="0"/>
    <x v="116"/>
    <x v="0"/>
    <x v="0"/>
    <n v="16333000"/>
    <x v="36"/>
    <x v="0"/>
  </r>
  <r>
    <x v="0"/>
    <s v="116"/>
    <x v="0"/>
    <x v="116"/>
    <x v="0"/>
    <x v="1"/>
    <n v="16615000"/>
    <x v="36"/>
    <x v="0"/>
  </r>
  <r>
    <x v="0"/>
    <s v="117"/>
    <x v="0"/>
    <x v="66"/>
    <x v="2"/>
    <x v="0"/>
    <n v="154000"/>
    <x v="37"/>
    <x v="0"/>
  </r>
  <r>
    <x v="0"/>
    <s v="117"/>
    <x v="0"/>
    <x v="152"/>
    <x v="2"/>
    <x v="0"/>
    <n v="602000"/>
    <x v="37"/>
    <x v="0"/>
  </r>
  <r>
    <x v="0"/>
    <s v="117"/>
    <x v="0"/>
    <x v="153"/>
    <x v="2"/>
    <x v="0"/>
    <n v="20656000"/>
    <x v="37"/>
    <x v="0"/>
  </r>
  <r>
    <x v="0"/>
    <s v="117"/>
    <x v="0"/>
    <x v="153"/>
    <x v="2"/>
    <x v="1"/>
    <n v="21724000"/>
    <x v="37"/>
    <x v="0"/>
  </r>
  <r>
    <x v="0"/>
    <s v="118"/>
    <x v="0"/>
    <x v="0"/>
    <x v="0"/>
    <x v="0"/>
    <n v="1493000"/>
    <x v="38"/>
    <x v="0"/>
  </r>
  <r>
    <x v="0"/>
    <s v="118"/>
    <x v="0"/>
    <x v="0"/>
    <x v="0"/>
    <x v="1"/>
    <n v="1389000"/>
    <x v="38"/>
    <x v="0"/>
  </r>
  <r>
    <x v="0"/>
    <s v="119"/>
    <x v="0"/>
    <x v="0"/>
    <x v="0"/>
    <x v="0"/>
    <n v="660000"/>
    <x v="39"/>
    <x v="0"/>
  </r>
  <r>
    <x v="0"/>
    <s v="119"/>
    <x v="0"/>
    <x v="0"/>
    <x v="0"/>
    <x v="1"/>
    <n v="679000"/>
    <x v="39"/>
    <x v="0"/>
  </r>
  <r>
    <x v="0"/>
    <s v="120"/>
    <x v="0"/>
    <x v="0"/>
    <x v="0"/>
    <x v="0"/>
    <n v="4948000"/>
    <x v="40"/>
    <x v="0"/>
  </r>
  <r>
    <x v="0"/>
    <s v="120"/>
    <x v="0"/>
    <x v="0"/>
    <x v="0"/>
    <x v="1"/>
    <n v="5321000"/>
    <x v="40"/>
    <x v="0"/>
  </r>
  <r>
    <x v="0"/>
    <s v="120"/>
    <x v="0"/>
    <x v="27"/>
    <x v="1"/>
    <x v="0"/>
    <n v="1504000"/>
    <x v="40"/>
    <x v="0"/>
  </r>
  <r>
    <x v="0"/>
    <s v="120"/>
    <x v="0"/>
    <x v="27"/>
    <x v="1"/>
    <x v="1"/>
    <n v="1471000"/>
    <x v="40"/>
    <x v="0"/>
  </r>
  <r>
    <x v="0"/>
    <s v="124"/>
    <x v="0"/>
    <x v="0"/>
    <x v="0"/>
    <x v="0"/>
    <n v="387000"/>
    <x v="41"/>
    <x v="0"/>
  </r>
  <r>
    <x v="0"/>
    <s v="124"/>
    <x v="0"/>
    <x v="24"/>
    <x v="0"/>
    <x v="0"/>
    <n v="58789000"/>
    <x v="41"/>
    <x v="0"/>
  </r>
  <r>
    <x v="0"/>
    <s v="124"/>
    <x v="0"/>
    <x v="24"/>
    <x v="0"/>
    <x v="1"/>
    <n v="58420000"/>
    <x v="41"/>
    <x v="0"/>
  </r>
  <r>
    <x v="0"/>
    <s v="124"/>
    <x v="0"/>
    <x v="154"/>
    <x v="2"/>
    <x v="0"/>
    <n v="3457000"/>
    <x v="41"/>
    <x v="0"/>
  </r>
  <r>
    <x v="0"/>
    <s v="124"/>
    <x v="0"/>
    <x v="154"/>
    <x v="2"/>
    <x v="1"/>
    <n v="3455000"/>
    <x v="41"/>
    <x v="0"/>
  </r>
  <r>
    <x v="0"/>
    <s v="124"/>
    <x v="0"/>
    <x v="155"/>
    <x v="2"/>
    <x v="0"/>
    <n v="183000"/>
    <x v="41"/>
    <x v="0"/>
  </r>
  <r>
    <x v="0"/>
    <s v="124"/>
    <x v="0"/>
    <x v="155"/>
    <x v="2"/>
    <x v="1"/>
    <n v="189000"/>
    <x v="41"/>
    <x v="0"/>
  </r>
  <r>
    <x v="0"/>
    <s v="124"/>
    <x v="0"/>
    <x v="156"/>
    <x v="2"/>
    <x v="0"/>
    <n v="2812000"/>
    <x v="41"/>
    <x v="0"/>
  </r>
  <r>
    <x v="0"/>
    <s v="124"/>
    <x v="0"/>
    <x v="156"/>
    <x v="2"/>
    <x v="1"/>
    <n v="2528000"/>
    <x v="41"/>
    <x v="0"/>
  </r>
  <r>
    <x v="0"/>
    <s v="126"/>
    <x v="0"/>
    <x v="157"/>
    <x v="0"/>
    <x v="0"/>
    <n v="41071000"/>
    <x v="42"/>
    <x v="0"/>
  </r>
  <r>
    <x v="0"/>
    <s v="126"/>
    <x v="0"/>
    <x v="157"/>
    <x v="0"/>
    <x v="1"/>
    <n v="42542000"/>
    <x v="42"/>
    <x v="0"/>
  </r>
  <r>
    <x v="0"/>
    <s v="140"/>
    <x v="0"/>
    <x v="0"/>
    <x v="0"/>
    <x v="0"/>
    <n v="358735000"/>
    <x v="43"/>
    <x v="0"/>
  </r>
  <r>
    <x v="0"/>
    <s v="140"/>
    <x v="0"/>
    <x v="0"/>
    <x v="0"/>
    <x v="1"/>
    <n v="399005000"/>
    <x v="43"/>
    <x v="0"/>
  </r>
  <r>
    <x v="0"/>
    <s v="140"/>
    <x v="0"/>
    <x v="158"/>
    <x v="0"/>
    <x v="0"/>
    <n v="4019000"/>
    <x v="43"/>
    <x v="0"/>
  </r>
  <r>
    <x v="0"/>
    <s v="140"/>
    <x v="0"/>
    <x v="158"/>
    <x v="0"/>
    <x v="1"/>
    <n v="4117000"/>
    <x v="43"/>
    <x v="0"/>
  </r>
  <r>
    <x v="0"/>
    <s v="140"/>
    <x v="0"/>
    <x v="159"/>
    <x v="0"/>
    <x v="0"/>
    <n v="9871000"/>
    <x v="43"/>
    <x v="0"/>
  </r>
  <r>
    <x v="0"/>
    <s v="140"/>
    <x v="0"/>
    <x v="159"/>
    <x v="0"/>
    <x v="1"/>
    <n v="10015000"/>
    <x v="43"/>
    <x v="0"/>
  </r>
  <r>
    <x v="0"/>
    <s v="140"/>
    <x v="0"/>
    <x v="160"/>
    <x v="0"/>
    <x v="0"/>
    <n v="90000"/>
    <x v="43"/>
    <x v="0"/>
  </r>
  <r>
    <x v="0"/>
    <s v="140"/>
    <x v="0"/>
    <x v="160"/>
    <x v="0"/>
    <x v="1"/>
    <n v="93000"/>
    <x v="43"/>
    <x v="0"/>
  </r>
  <r>
    <x v="0"/>
    <s v="140"/>
    <x v="0"/>
    <x v="161"/>
    <x v="2"/>
    <x v="0"/>
    <n v="9854000"/>
    <x v="43"/>
    <x v="0"/>
  </r>
  <r>
    <x v="0"/>
    <s v="140"/>
    <x v="0"/>
    <x v="161"/>
    <x v="2"/>
    <x v="1"/>
    <n v="9951000"/>
    <x v="43"/>
    <x v="0"/>
  </r>
  <r>
    <x v="0"/>
    <s v="140"/>
    <x v="0"/>
    <x v="39"/>
    <x v="0"/>
    <x v="0"/>
    <n v="63000"/>
    <x v="43"/>
    <x v="0"/>
  </r>
  <r>
    <x v="0"/>
    <s v="140"/>
    <x v="0"/>
    <x v="39"/>
    <x v="0"/>
    <x v="1"/>
    <n v="64000"/>
    <x v="43"/>
    <x v="0"/>
  </r>
  <r>
    <x v="0"/>
    <s v="140"/>
    <x v="0"/>
    <x v="59"/>
    <x v="0"/>
    <x v="0"/>
    <n v="415000"/>
    <x v="43"/>
    <x v="0"/>
  </r>
  <r>
    <x v="0"/>
    <s v="140"/>
    <x v="0"/>
    <x v="59"/>
    <x v="0"/>
    <x v="1"/>
    <n v="480000"/>
    <x v="43"/>
    <x v="0"/>
  </r>
  <r>
    <x v="0"/>
    <s v="140"/>
    <x v="0"/>
    <x v="162"/>
    <x v="0"/>
    <x v="0"/>
    <n v="2500000"/>
    <x v="43"/>
    <x v="0"/>
  </r>
  <r>
    <x v="0"/>
    <s v="140"/>
    <x v="0"/>
    <x v="162"/>
    <x v="0"/>
    <x v="1"/>
    <n v="2500000"/>
    <x v="43"/>
    <x v="0"/>
  </r>
  <r>
    <x v="0"/>
    <s v="142"/>
    <x v="0"/>
    <x v="0"/>
    <x v="0"/>
    <x v="0"/>
    <n v="2809000"/>
    <x v="44"/>
    <x v="0"/>
  </r>
  <r>
    <x v="0"/>
    <s v="142"/>
    <x v="0"/>
    <x v="0"/>
    <x v="0"/>
    <x v="1"/>
    <n v="2908000"/>
    <x v="44"/>
    <x v="0"/>
  </r>
  <r>
    <x v="0"/>
    <s v="147"/>
    <x v="0"/>
    <x v="0"/>
    <x v="0"/>
    <x v="0"/>
    <n v="3837000"/>
    <x v="45"/>
    <x v="0"/>
  </r>
  <r>
    <x v="0"/>
    <s v="147"/>
    <x v="0"/>
    <x v="0"/>
    <x v="0"/>
    <x v="1"/>
    <n v="6382000"/>
    <x v="45"/>
    <x v="0"/>
  </r>
  <r>
    <x v="0"/>
    <s v="147"/>
    <x v="0"/>
    <x v="163"/>
    <x v="0"/>
    <x v="0"/>
    <n v="3003000"/>
    <x v="45"/>
    <x v="0"/>
  </r>
  <r>
    <x v="0"/>
    <s v="147"/>
    <x v="0"/>
    <x v="163"/>
    <x v="0"/>
    <x v="1"/>
    <n v="3110000"/>
    <x v="45"/>
    <x v="0"/>
  </r>
  <r>
    <x v="0"/>
    <s v="147"/>
    <x v="0"/>
    <x v="18"/>
    <x v="0"/>
    <x v="0"/>
    <n v="75000"/>
    <x v="45"/>
    <x v="1"/>
  </r>
  <r>
    <x v="0"/>
    <s v="147"/>
    <x v="0"/>
    <x v="18"/>
    <x v="0"/>
    <x v="1"/>
    <n v="75000"/>
    <x v="45"/>
    <x v="1"/>
  </r>
  <r>
    <x v="0"/>
    <s v="147"/>
    <x v="0"/>
    <x v="164"/>
    <x v="0"/>
    <x v="0"/>
    <n v="2275000"/>
    <x v="45"/>
    <x v="1"/>
  </r>
  <r>
    <x v="0"/>
    <s v="147"/>
    <x v="0"/>
    <x v="164"/>
    <x v="0"/>
    <x v="1"/>
    <n v="2275000"/>
    <x v="45"/>
    <x v="1"/>
  </r>
  <r>
    <x v="0"/>
    <s v="160"/>
    <x v="0"/>
    <x v="27"/>
    <x v="1"/>
    <x v="0"/>
    <n v="2280000"/>
    <x v="46"/>
    <x v="0"/>
  </r>
  <r>
    <x v="0"/>
    <s v="160"/>
    <x v="0"/>
    <x v="27"/>
    <x v="1"/>
    <x v="1"/>
    <n v="2443000"/>
    <x v="46"/>
    <x v="0"/>
  </r>
  <r>
    <x v="0"/>
    <s v="160"/>
    <x v="0"/>
    <x v="165"/>
    <x v="0"/>
    <x v="0"/>
    <n v="40397000"/>
    <x v="46"/>
    <x v="0"/>
  </r>
  <r>
    <x v="0"/>
    <s v="160"/>
    <x v="0"/>
    <x v="165"/>
    <x v="0"/>
    <x v="1"/>
    <n v="42433000"/>
    <x v="46"/>
    <x v="0"/>
  </r>
  <r>
    <x v="0"/>
    <s v="160"/>
    <x v="0"/>
    <x v="166"/>
    <x v="0"/>
    <x v="0"/>
    <n v="2172000"/>
    <x v="46"/>
    <x v="0"/>
  </r>
  <r>
    <x v="0"/>
    <s v="160"/>
    <x v="0"/>
    <x v="166"/>
    <x v="0"/>
    <x v="1"/>
    <n v="2112000"/>
    <x v="46"/>
    <x v="0"/>
  </r>
  <r>
    <x v="0"/>
    <s v="163"/>
    <x v="0"/>
    <x v="0"/>
    <x v="0"/>
    <x v="0"/>
    <n v="7623000"/>
    <x v="47"/>
    <x v="0"/>
  </r>
  <r>
    <x v="0"/>
    <s v="163"/>
    <x v="0"/>
    <x v="0"/>
    <x v="0"/>
    <x v="1"/>
    <n v="30310000"/>
    <x v="47"/>
    <x v="0"/>
  </r>
  <r>
    <x v="0"/>
    <s v="163"/>
    <x v="0"/>
    <x v="27"/>
    <x v="1"/>
    <x v="1"/>
    <n v="134292000"/>
    <x v="47"/>
    <x v="0"/>
  </r>
  <r>
    <x v="0"/>
    <s v="163"/>
    <x v="0"/>
    <x v="167"/>
    <x v="0"/>
    <x v="0"/>
    <n v="65802000"/>
    <x v="47"/>
    <x v="0"/>
  </r>
  <r>
    <x v="0"/>
    <s v="163"/>
    <x v="0"/>
    <x v="167"/>
    <x v="0"/>
    <x v="1"/>
    <n v="70506000"/>
    <x v="47"/>
    <x v="0"/>
  </r>
  <r>
    <x v="0"/>
    <s v="163"/>
    <x v="0"/>
    <x v="168"/>
    <x v="2"/>
    <x v="0"/>
    <n v="136210000"/>
    <x v="47"/>
    <x v="0"/>
  </r>
  <r>
    <x v="0"/>
    <s v="163"/>
    <x v="0"/>
    <x v="168"/>
    <x v="2"/>
    <x v="1"/>
    <n v="138960000"/>
    <x v="47"/>
    <x v="0"/>
  </r>
  <r>
    <x v="0"/>
    <s v="165"/>
    <x v="0"/>
    <x v="169"/>
    <x v="0"/>
    <x v="0"/>
    <n v="2477000"/>
    <x v="48"/>
    <x v="0"/>
  </r>
  <r>
    <x v="0"/>
    <s v="165"/>
    <x v="0"/>
    <x v="169"/>
    <x v="0"/>
    <x v="1"/>
    <n v="2711000"/>
    <x v="48"/>
    <x v="0"/>
  </r>
  <r>
    <x v="0"/>
    <s v="166"/>
    <x v="0"/>
    <x v="170"/>
    <x v="0"/>
    <x v="0"/>
    <n v="2291000"/>
    <x v="49"/>
    <x v="0"/>
  </r>
  <r>
    <x v="0"/>
    <s v="166"/>
    <x v="0"/>
    <x v="170"/>
    <x v="0"/>
    <x v="1"/>
    <n v="2393000"/>
    <x v="49"/>
    <x v="0"/>
  </r>
  <r>
    <x v="0"/>
    <s v="167"/>
    <x v="0"/>
    <x v="171"/>
    <x v="0"/>
    <x v="0"/>
    <n v="392000"/>
    <x v="50"/>
    <x v="0"/>
  </r>
  <r>
    <x v="0"/>
    <s v="167"/>
    <x v="0"/>
    <x v="171"/>
    <x v="0"/>
    <x v="1"/>
    <n v="429000"/>
    <x v="50"/>
    <x v="0"/>
  </r>
  <r>
    <x v="0"/>
    <s v="179"/>
    <x v="0"/>
    <x v="0"/>
    <x v="0"/>
    <x v="0"/>
    <n v="15236000"/>
    <x v="51"/>
    <x v="0"/>
  </r>
  <r>
    <x v="0"/>
    <s v="179"/>
    <x v="0"/>
    <x v="0"/>
    <x v="0"/>
    <x v="1"/>
    <n v="14748000"/>
    <x v="51"/>
    <x v="0"/>
  </r>
  <r>
    <x v="0"/>
    <s v="179"/>
    <x v="0"/>
    <x v="28"/>
    <x v="3"/>
    <x v="0"/>
    <n v="51000"/>
    <x v="51"/>
    <x v="0"/>
  </r>
  <r>
    <x v="0"/>
    <s v="179"/>
    <x v="0"/>
    <x v="28"/>
    <x v="3"/>
    <x v="1"/>
    <n v="51000"/>
    <x v="51"/>
    <x v="0"/>
  </r>
  <r>
    <x v="0"/>
    <s v="179"/>
    <x v="0"/>
    <x v="172"/>
    <x v="2"/>
    <x v="0"/>
    <n v="3340000"/>
    <x v="51"/>
    <x v="0"/>
  </r>
  <r>
    <x v="0"/>
    <s v="179"/>
    <x v="0"/>
    <x v="172"/>
    <x v="2"/>
    <x v="1"/>
    <n v="3348000"/>
    <x v="51"/>
    <x v="0"/>
  </r>
  <r>
    <x v="0"/>
    <s v="179"/>
    <x v="0"/>
    <x v="80"/>
    <x v="0"/>
    <x v="0"/>
    <n v="1297000"/>
    <x v="51"/>
    <x v="0"/>
  </r>
  <r>
    <x v="0"/>
    <s v="179"/>
    <x v="0"/>
    <x v="80"/>
    <x v="0"/>
    <x v="1"/>
    <n v="1288000"/>
    <x v="51"/>
    <x v="0"/>
  </r>
  <r>
    <x v="0"/>
    <s v="179"/>
    <x v="0"/>
    <x v="59"/>
    <x v="0"/>
    <x v="1"/>
    <n v="750000"/>
    <x v="51"/>
    <x v="0"/>
  </r>
  <r>
    <x v="0"/>
    <s v="179"/>
    <x v="0"/>
    <x v="94"/>
    <x v="0"/>
    <x v="0"/>
    <n v="3500000"/>
    <x v="51"/>
    <x v="0"/>
  </r>
  <r>
    <x v="0"/>
    <s v="179"/>
    <x v="0"/>
    <x v="94"/>
    <x v="0"/>
    <x v="1"/>
    <n v="3500000"/>
    <x v="51"/>
    <x v="0"/>
  </r>
  <r>
    <x v="0"/>
    <s v="179"/>
    <x v="0"/>
    <x v="96"/>
    <x v="0"/>
    <x v="0"/>
    <n v="861000"/>
    <x v="51"/>
    <x v="0"/>
  </r>
  <r>
    <x v="0"/>
    <s v="179"/>
    <x v="0"/>
    <x v="96"/>
    <x v="0"/>
    <x v="1"/>
    <n v="861000"/>
    <x v="51"/>
    <x v="0"/>
  </r>
  <r>
    <x v="0"/>
    <s v="179"/>
    <x v="0"/>
    <x v="173"/>
    <x v="2"/>
    <x v="0"/>
    <n v="184567000"/>
    <x v="51"/>
    <x v="0"/>
  </r>
  <r>
    <x v="0"/>
    <s v="179"/>
    <x v="0"/>
    <x v="173"/>
    <x v="2"/>
    <x v="1"/>
    <n v="186273000"/>
    <x v="51"/>
    <x v="0"/>
  </r>
  <r>
    <x v="0"/>
    <s v="179"/>
    <x v="0"/>
    <x v="174"/>
    <x v="2"/>
    <x v="0"/>
    <n v="16137000"/>
    <x v="51"/>
    <x v="0"/>
  </r>
  <r>
    <x v="0"/>
    <s v="179"/>
    <x v="0"/>
    <x v="174"/>
    <x v="2"/>
    <x v="1"/>
    <n v="16182000"/>
    <x v="51"/>
    <x v="0"/>
  </r>
  <r>
    <x v="0"/>
    <s v="179"/>
    <x v="0"/>
    <x v="175"/>
    <x v="2"/>
    <x v="0"/>
    <n v="15430000"/>
    <x v="51"/>
    <x v="0"/>
  </r>
  <r>
    <x v="0"/>
    <s v="179"/>
    <x v="0"/>
    <x v="175"/>
    <x v="2"/>
    <x v="1"/>
    <n v="15430000"/>
    <x v="51"/>
    <x v="0"/>
  </r>
  <r>
    <x v="0"/>
    <s v="179"/>
    <x v="0"/>
    <x v="19"/>
    <x v="0"/>
    <x v="0"/>
    <n v="9000000"/>
    <x v="51"/>
    <x v="1"/>
  </r>
  <r>
    <x v="0"/>
    <s v="179"/>
    <x v="0"/>
    <x v="19"/>
    <x v="0"/>
    <x v="1"/>
    <n v="9000000"/>
    <x v="51"/>
    <x v="1"/>
  </r>
  <r>
    <x v="0"/>
    <s v="179900"/>
    <x v="1"/>
    <x v="176"/>
    <x v="0"/>
    <x v="0"/>
    <n v="8644000"/>
    <x v="51"/>
    <x v="0"/>
  </r>
  <r>
    <x v="0"/>
    <s v="179900"/>
    <x v="1"/>
    <x v="176"/>
    <x v="0"/>
    <x v="1"/>
    <n v="8644000"/>
    <x v="51"/>
    <x v="0"/>
  </r>
  <r>
    <x v="0"/>
    <s v="179900"/>
    <x v="1"/>
    <x v="1"/>
    <x v="0"/>
    <x v="0"/>
    <n v="86674000"/>
    <x v="51"/>
    <x v="0"/>
  </r>
  <r>
    <x v="0"/>
    <s v="179900"/>
    <x v="1"/>
    <x v="1"/>
    <x v="0"/>
    <x v="1"/>
    <n v="86674000"/>
    <x v="51"/>
    <x v="0"/>
  </r>
  <r>
    <x v="0"/>
    <s v="179900"/>
    <x v="1"/>
    <x v="111"/>
    <x v="0"/>
    <x v="0"/>
    <n v="500000"/>
    <x v="51"/>
    <x v="0"/>
  </r>
  <r>
    <x v="0"/>
    <s v="179900"/>
    <x v="1"/>
    <x v="111"/>
    <x v="0"/>
    <x v="1"/>
    <n v="500000"/>
    <x v="51"/>
    <x v="0"/>
  </r>
  <r>
    <x v="0"/>
    <s v="179900"/>
    <x v="1"/>
    <x v="59"/>
    <x v="0"/>
    <x v="0"/>
    <n v="725000"/>
    <x v="51"/>
    <x v="0"/>
  </r>
  <r>
    <x v="0"/>
    <s v="179900"/>
    <x v="1"/>
    <x v="59"/>
    <x v="0"/>
    <x v="1"/>
    <n v="725000"/>
    <x v="51"/>
    <x v="0"/>
  </r>
  <r>
    <x v="0"/>
    <s v="179900"/>
    <x v="1"/>
    <x v="177"/>
    <x v="0"/>
    <x v="0"/>
    <n v="5353500"/>
    <x v="51"/>
    <x v="0"/>
  </r>
  <r>
    <x v="0"/>
    <s v="179900"/>
    <x v="1"/>
    <x v="177"/>
    <x v="0"/>
    <x v="1"/>
    <n v="5353500"/>
    <x v="51"/>
    <x v="0"/>
  </r>
  <r>
    <x v="0"/>
    <s v="185"/>
    <x v="0"/>
    <x v="178"/>
    <x v="2"/>
    <x v="0"/>
    <n v="2938000"/>
    <x v="52"/>
    <x v="0"/>
  </r>
  <r>
    <x v="0"/>
    <s v="185"/>
    <x v="0"/>
    <x v="178"/>
    <x v="2"/>
    <x v="1"/>
    <n v="1747000"/>
    <x v="52"/>
    <x v="0"/>
  </r>
  <r>
    <x v="0"/>
    <s v="185"/>
    <x v="0"/>
    <x v="179"/>
    <x v="2"/>
    <x v="0"/>
    <n v="600000"/>
    <x v="52"/>
    <x v="0"/>
  </r>
  <r>
    <x v="0"/>
    <s v="185"/>
    <x v="0"/>
    <x v="179"/>
    <x v="2"/>
    <x v="1"/>
    <n v="600000"/>
    <x v="52"/>
    <x v="0"/>
  </r>
  <r>
    <x v="0"/>
    <s v="185"/>
    <x v="0"/>
    <x v="180"/>
    <x v="2"/>
    <x v="0"/>
    <n v="67000"/>
    <x v="52"/>
    <x v="0"/>
  </r>
  <r>
    <x v="0"/>
    <s v="185"/>
    <x v="0"/>
    <x v="180"/>
    <x v="2"/>
    <x v="1"/>
    <n v="67000"/>
    <x v="52"/>
    <x v="0"/>
  </r>
  <r>
    <x v="0"/>
    <s v="190"/>
    <x v="0"/>
    <x v="181"/>
    <x v="0"/>
    <x v="0"/>
    <n v="5000"/>
    <x v="53"/>
    <x v="0"/>
  </r>
  <r>
    <x v="0"/>
    <s v="190"/>
    <x v="0"/>
    <x v="181"/>
    <x v="0"/>
    <x v="1"/>
    <n v="5000"/>
    <x v="53"/>
    <x v="0"/>
  </r>
  <r>
    <x v="0"/>
    <s v="190"/>
    <x v="0"/>
    <x v="182"/>
    <x v="0"/>
    <x v="0"/>
    <n v="13692000"/>
    <x v="53"/>
    <x v="0"/>
  </r>
  <r>
    <x v="0"/>
    <s v="190"/>
    <x v="0"/>
    <x v="182"/>
    <x v="0"/>
    <x v="1"/>
    <n v="13949000"/>
    <x v="53"/>
    <x v="0"/>
  </r>
  <r>
    <x v="0"/>
    <s v="190"/>
    <x v="0"/>
    <x v="139"/>
    <x v="0"/>
    <x v="0"/>
    <n v="13694000"/>
    <x v="53"/>
    <x v="0"/>
  </r>
  <r>
    <x v="0"/>
    <s v="190"/>
    <x v="0"/>
    <x v="139"/>
    <x v="0"/>
    <x v="1"/>
    <n v="13941000"/>
    <x v="53"/>
    <x v="0"/>
  </r>
  <r>
    <x v="0"/>
    <s v="195"/>
    <x v="0"/>
    <x v="0"/>
    <x v="0"/>
    <x v="0"/>
    <n v="2501000"/>
    <x v="54"/>
    <x v="0"/>
  </r>
  <r>
    <x v="0"/>
    <s v="195"/>
    <x v="0"/>
    <x v="0"/>
    <x v="0"/>
    <x v="1"/>
    <n v="1545000"/>
    <x v="54"/>
    <x v="0"/>
  </r>
  <r>
    <x v="0"/>
    <s v="195"/>
    <x v="0"/>
    <x v="27"/>
    <x v="1"/>
    <x v="0"/>
    <n v="1591000"/>
    <x v="54"/>
    <x v="0"/>
  </r>
  <r>
    <x v="0"/>
    <s v="195"/>
    <x v="0"/>
    <x v="27"/>
    <x v="1"/>
    <x v="1"/>
    <n v="1596000"/>
    <x v="54"/>
    <x v="0"/>
  </r>
  <r>
    <x v="0"/>
    <s v="195"/>
    <x v="0"/>
    <x v="28"/>
    <x v="3"/>
    <x v="0"/>
    <n v="50000"/>
    <x v="54"/>
    <x v="0"/>
  </r>
  <r>
    <x v="0"/>
    <s v="195"/>
    <x v="0"/>
    <x v="28"/>
    <x v="3"/>
    <x v="1"/>
    <n v="25000"/>
    <x v="54"/>
    <x v="0"/>
  </r>
  <r>
    <x v="0"/>
    <s v="195"/>
    <x v="0"/>
    <x v="66"/>
    <x v="2"/>
    <x v="0"/>
    <n v="554000"/>
    <x v="54"/>
    <x v="0"/>
  </r>
  <r>
    <x v="0"/>
    <s v="195"/>
    <x v="0"/>
    <x v="66"/>
    <x v="2"/>
    <x v="1"/>
    <n v="328000"/>
    <x v="54"/>
    <x v="0"/>
  </r>
  <r>
    <x v="0"/>
    <s v="195"/>
    <x v="0"/>
    <x v="101"/>
    <x v="0"/>
    <x v="0"/>
    <n v="13481000"/>
    <x v="54"/>
    <x v="0"/>
  </r>
  <r>
    <x v="0"/>
    <s v="195"/>
    <x v="0"/>
    <x v="101"/>
    <x v="0"/>
    <x v="1"/>
    <n v="14055000"/>
    <x v="54"/>
    <x v="0"/>
  </r>
  <r>
    <x v="0"/>
    <s v="195"/>
    <x v="0"/>
    <x v="102"/>
    <x v="0"/>
    <x v="0"/>
    <n v="62618000"/>
    <x v="54"/>
    <x v="0"/>
  </r>
  <r>
    <x v="0"/>
    <s v="195"/>
    <x v="0"/>
    <x v="102"/>
    <x v="0"/>
    <x v="1"/>
    <n v="63663000"/>
    <x v="54"/>
    <x v="0"/>
  </r>
  <r>
    <x v="0"/>
    <s v="205"/>
    <x v="0"/>
    <x v="183"/>
    <x v="0"/>
    <x v="0"/>
    <n v="1668000"/>
    <x v="55"/>
    <x v="1"/>
  </r>
  <r>
    <x v="0"/>
    <s v="205"/>
    <x v="0"/>
    <x v="183"/>
    <x v="0"/>
    <x v="1"/>
    <n v="1698000"/>
    <x v="55"/>
    <x v="1"/>
  </r>
  <r>
    <x v="0"/>
    <s v="205"/>
    <x v="0"/>
    <x v="18"/>
    <x v="0"/>
    <x v="0"/>
    <n v="106000"/>
    <x v="55"/>
    <x v="1"/>
  </r>
  <r>
    <x v="0"/>
    <s v="205"/>
    <x v="0"/>
    <x v="18"/>
    <x v="0"/>
    <x v="1"/>
    <n v="105000"/>
    <x v="55"/>
    <x v="1"/>
  </r>
  <r>
    <x v="0"/>
    <s v="215"/>
    <x v="0"/>
    <x v="0"/>
    <x v="0"/>
    <x v="0"/>
    <n v="1201000"/>
    <x v="56"/>
    <x v="0"/>
  </r>
  <r>
    <x v="0"/>
    <s v="215"/>
    <x v="0"/>
    <x v="0"/>
    <x v="0"/>
    <x v="1"/>
    <n v="1276000"/>
    <x v="56"/>
    <x v="0"/>
  </r>
  <r>
    <x v="0"/>
    <s v="215"/>
    <x v="0"/>
    <x v="64"/>
    <x v="0"/>
    <x v="0"/>
    <n v="31360000"/>
    <x v="56"/>
    <x v="0"/>
  </r>
  <r>
    <x v="0"/>
    <s v="215"/>
    <x v="0"/>
    <x v="64"/>
    <x v="0"/>
    <x v="1"/>
    <n v="35085000"/>
    <x v="56"/>
    <x v="0"/>
  </r>
  <r>
    <x v="0"/>
    <s v="215"/>
    <x v="0"/>
    <x v="184"/>
    <x v="1"/>
    <x v="0"/>
    <n v="40000"/>
    <x v="56"/>
    <x v="0"/>
  </r>
  <r>
    <x v="0"/>
    <s v="215"/>
    <x v="0"/>
    <x v="184"/>
    <x v="1"/>
    <x v="1"/>
    <n v="60000"/>
    <x v="56"/>
    <x v="0"/>
  </r>
  <r>
    <x v="0"/>
    <s v="215"/>
    <x v="0"/>
    <x v="185"/>
    <x v="2"/>
    <x v="0"/>
    <n v="5000000"/>
    <x v="56"/>
    <x v="0"/>
  </r>
  <r>
    <x v="0"/>
    <s v="215"/>
    <x v="0"/>
    <x v="186"/>
    <x v="0"/>
    <x v="0"/>
    <n v="1946000"/>
    <x v="56"/>
    <x v="0"/>
  </r>
  <r>
    <x v="0"/>
    <s v="215"/>
    <x v="0"/>
    <x v="186"/>
    <x v="0"/>
    <x v="1"/>
    <n v="1843000"/>
    <x v="56"/>
    <x v="0"/>
  </r>
  <r>
    <x v="0"/>
    <s v="215"/>
    <x v="0"/>
    <x v="187"/>
    <x v="1"/>
    <x v="0"/>
    <n v="1693000"/>
    <x v="56"/>
    <x v="0"/>
  </r>
  <r>
    <x v="0"/>
    <s v="215"/>
    <x v="0"/>
    <x v="187"/>
    <x v="1"/>
    <x v="1"/>
    <n v="1711000"/>
    <x v="56"/>
    <x v="0"/>
  </r>
  <r>
    <x v="0"/>
    <s v="215"/>
    <x v="0"/>
    <x v="183"/>
    <x v="0"/>
    <x v="0"/>
    <n v="75000"/>
    <x v="56"/>
    <x v="1"/>
  </r>
  <r>
    <x v="0"/>
    <s v="215"/>
    <x v="0"/>
    <x v="183"/>
    <x v="0"/>
    <x v="1"/>
    <n v="75000"/>
    <x v="56"/>
    <x v="1"/>
  </r>
  <r>
    <x v="0"/>
    <s v="215"/>
    <x v="0"/>
    <x v="188"/>
    <x v="0"/>
    <x v="0"/>
    <n v="252000"/>
    <x v="56"/>
    <x v="1"/>
  </r>
  <r>
    <x v="0"/>
    <s v="215"/>
    <x v="0"/>
    <x v="188"/>
    <x v="0"/>
    <x v="1"/>
    <n v="252000"/>
    <x v="56"/>
    <x v="1"/>
  </r>
  <r>
    <x v="0"/>
    <s v="220"/>
    <x v="0"/>
    <x v="189"/>
    <x v="0"/>
    <x v="0"/>
    <n v="2975000"/>
    <x v="57"/>
    <x v="0"/>
  </r>
  <r>
    <x v="0"/>
    <s v="220"/>
    <x v="0"/>
    <x v="189"/>
    <x v="0"/>
    <x v="1"/>
    <n v="704000"/>
    <x v="57"/>
    <x v="0"/>
  </r>
  <r>
    <x v="0"/>
    <s v="225"/>
    <x v="0"/>
    <x v="0"/>
    <x v="0"/>
    <x v="0"/>
    <n v="77989000"/>
    <x v="58"/>
    <x v="0"/>
  </r>
  <r>
    <x v="0"/>
    <s v="225"/>
    <x v="0"/>
    <x v="0"/>
    <x v="0"/>
    <x v="1"/>
    <n v="85745000"/>
    <x v="58"/>
    <x v="0"/>
  </r>
  <r>
    <x v="0"/>
    <s v="225"/>
    <x v="0"/>
    <x v="27"/>
    <x v="1"/>
    <x v="0"/>
    <n v="9368000"/>
    <x v="58"/>
    <x v="0"/>
  </r>
  <r>
    <x v="0"/>
    <s v="225"/>
    <x v="0"/>
    <x v="27"/>
    <x v="1"/>
    <x v="1"/>
    <n v="7604000"/>
    <x v="58"/>
    <x v="0"/>
  </r>
  <r>
    <x v="0"/>
    <s v="225"/>
    <x v="0"/>
    <x v="28"/>
    <x v="3"/>
    <x v="0"/>
    <n v="1660000"/>
    <x v="58"/>
    <x v="0"/>
  </r>
  <r>
    <x v="0"/>
    <s v="225"/>
    <x v="0"/>
    <x v="28"/>
    <x v="3"/>
    <x v="1"/>
    <n v="1431000"/>
    <x v="58"/>
    <x v="0"/>
  </r>
  <r>
    <x v="0"/>
    <s v="225"/>
    <x v="0"/>
    <x v="171"/>
    <x v="0"/>
    <x v="0"/>
    <n v="5024000"/>
    <x v="58"/>
    <x v="0"/>
  </r>
  <r>
    <x v="0"/>
    <s v="225"/>
    <x v="0"/>
    <x v="171"/>
    <x v="0"/>
    <x v="1"/>
    <n v="4569000"/>
    <x v="58"/>
    <x v="0"/>
  </r>
  <r>
    <x v="0"/>
    <s v="225"/>
    <x v="0"/>
    <x v="190"/>
    <x v="0"/>
    <x v="0"/>
    <n v="2140000"/>
    <x v="58"/>
    <x v="0"/>
  </r>
  <r>
    <x v="0"/>
    <s v="225"/>
    <x v="0"/>
    <x v="190"/>
    <x v="0"/>
    <x v="1"/>
    <n v="2753000"/>
    <x v="58"/>
    <x v="0"/>
  </r>
  <r>
    <x v="0"/>
    <s v="225"/>
    <x v="0"/>
    <x v="191"/>
    <x v="0"/>
    <x v="0"/>
    <n v="765000"/>
    <x v="58"/>
    <x v="0"/>
  </r>
  <r>
    <x v="0"/>
    <s v="225"/>
    <x v="0"/>
    <x v="191"/>
    <x v="0"/>
    <x v="1"/>
    <n v="1035000"/>
    <x v="58"/>
    <x v="0"/>
  </r>
  <r>
    <x v="0"/>
    <s v="225"/>
    <x v="0"/>
    <x v="192"/>
    <x v="0"/>
    <x v="0"/>
    <n v="66000"/>
    <x v="58"/>
    <x v="0"/>
  </r>
  <r>
    <x v="0"/>
    <s v="225"/>
    <x v="0"/>
    <x v="192"/>
    <x v="0"/>
    <x v="1"/>
    <n v="65000"/>
    <x v="58"/>
    <x v="0"/>
  </r>
  <r>
    <x v="0"/>
    <s v="225"/>
    <x v="0"/>
    <x v="193"/>
    <x v="0"/>
    <x v="0"/>
    <n v="62000"/>
    <x v="58"/>
    <x v="0"/>
  </r>
  <r>
    <x v="0"/>
    <s v="225"/>
    <x v="0"/>
    <x v="193"/>
    <x v="0"/>
    <x v="1"/>
    <n v="57000"/>
    <x v="58"/>
    <x v="0"/>
  </r>
  <r>
    <x v="0"/>
    <s v="225"/>
    <x v="0"/>
    <x v="194"/>
    <x v="0"/>
    <x v="0"/>
    <n v="3850000"/>
    <x v="58"/>
    <x v="0"/>
  </r>
  <r>
    <x v="0"/>
    <s v="225"/>
    <x v="0"/>
    <x v="194"/>
    <x v="0"/>
    <x v="1"/>
    <n v="19650000"/>
    <x v="58"/>
    <x v="0"/>
  </r>
  <r>
    <x v="0"/>
    <s v="225"/>
    <x v="0"/>
    <x v="195"/>
    <x v="0"/>
    <x v="0"/>
    <n v="6884000"/>
    <x v="58"/>
    <x v="0"/>
  </r>
  <r>
    <x v="0"/>
    <s v="225"/>
    <x v="0"/>
    <x v="195"/>
    <x v="0"/>
    <x v="1"/>
    <n v="6573000"/>
    <x v="58"/>
    <x v="0"/>
  </r>
  <r>
    <x v="0"/>
    <s v="225"/>
    <x v="0"/>
    <x v="66"/>
    <x v="2"/>
    <x v="0"/>
    <n v="548000"/>
    <x v="58"/>
    <x v="0"/>
  </r>
  <r>
    <x v="0"/>
    <s v="225"/>
    <x v="0"/>
    <x v="66"/>
    <x v="2"/>
    <x v="1"/>
    <n v="287000"/>
    <x v="58"/>
    <x v="0"/>
  </r>
  <r>
    <x v="0"/>
    <s v="225"/>
    <x v="0"/>
    <x v="196"/>
    <x v="2"/>
    <x v="0"/>
    <n v="103000"/>
    <x v="58"/>
    <x v="0"/>
  </r>
  <r>
    <x v="0"/>
    <s v="225"/>
    <x v="0"/>
    <x v="196"/>
    <x v="2"/>
    <x v="1"/>
    <n v="102000"/>
    <x v="58"/>
    <x v="0"/>
  </r>
  <r>
    <x v="0"/>
    <s v="225"/>
    <x v="0"/>
    <x v="197"/>
    <x v="2"/>
    <x v="0"/>
    <n v="1095000"/>
    <x v="58"/>
    <x v="0"/>
  </r>
  <r>
    <x v="0"/>
    <s v="225"/>
    <x v="0"/>
    <x v="197"/>
    <x v="2"/>
    <x v="1"/>
    <n v="1144000"/>
    <x v="58"/>
    <x v="0"/>
  </r>
  <r>
    <x v="0"/>
    <s v="225"/>
    <x v="0"/>
    <x v="198"/>
    <x v="0"/>
    <x v="0"/>
    <n v="8821000"/>
    <x v="58"/>
    <x v="0"/>
  </r>
  <r>
    <x v="0"/>
    <s v="225"/>
    <x v="0"/>
    <x v="198"/>
    <x v="0"/>
    <x v="1"/>
    <n v="6379000"/>
    <x v="58"/>
    <x v="0"/>
  </r>
  <r>
    <x v="0"/>
    <s v="225"/>
    <x v="0"/>
    <x v="152"/>
    <x v="2"/>
    <x v="0"/>
    <n v="710000"/>
    <x v="58"/>
    <x v="0"/>
  </r>
  <r>
    <x v="0"/>
    <s v="225"/>
    <x v="0"/>
    <x v="152"/>
    <x v="2"/>
    <x v="1"/>
    <n v="120000"/>
    <x v="58"/>
    <x v="0"/>
  </r>
  <r>
    <x v="0"/>
    <s v="225"/>
    <x v="0"/>
    <x v="39"/>
    <x v="0"/>
    <x v="0"/>
    <n v="298000"/>
    <x v="58"/>
    <x v="0"/>
  </r>
  <r>
    <x v="0"/>
    <s v="225"/>
    <x v="0"/>
    <x v="39"/>
    <x v="0"/>
    <x v="1"/>
    <n v="298000"/>
    <x v="58"/>
    <x v="0"/>
  </r>
  <r>
    <x v="0"/>
    <s v="225"/>
    <x v="0"/>
    <x v="199"/>
    <x v="2"/>
    <x v="0"/>
    <n v="3338000"/>
    <x v="58"/>
    <x v="0"/>
  </r>
  <r>
    <x v="0"/>
    <s v="225"/>
    <x v="0"/>
    <x v="199"/>
    <x v="2"/>
    <x v="1"/>
    <n v="9784000"/>
    <x v="58"/>
    <x v="0"/>
  </r>
  <r>
    <x v="0"/>
    <s v="225"/>
    <x v="0"/>
    <x v="200"/>
    <x v="2"/>
    <x v="0"/>
    <n v="599000"/>
    <x v="58"/>
    <x v="0"/>
  </r>
  <r>
    <x v="0"/>
    <s v="225"/>
    <x v="0"/>
    <x v="200"/>
    <x v="2"/>
    <x v="1"/>
    <n v="603000"/>
    <x v="58"/>
    <x v="0"/>
  </r>
  <r>
    <x v="0"/>
    <s v="225"/>
    <x v="0"/>
    <x v="36"/>
    <x v="0"/>
    <x v="0"/>
    <n v="299110000"/>
    <x v="58"/>
    <x v="1"/>
  </r>
  <r>
    <x v="0"/>
    <s v="225"/>
    <x v="0"/>
    <x v="36"/>
    <x v="0"/>
    <x v="1"/>
    <n v="330366000"/>
    <x v="58"/>
    <x v="1"/>
  </r>
  <r>
    <x v="0"/>
    <s v="225"/>
    <x v="0"/>
    <x v="201"/>
    <x v="1"/>
    <x v="0"/>
    <n v="10130000"/>
    <x v="58"/>
    <x v="1"/>
  </r>
  <r>
    <x v="0"/>
    <s v="225"/>
    <x v="0"/>
    <x v="201"/>
    <x v="1"/>
    <x v="1"/>
    <n v="9230000"/>
    <x v="58"/>
    <x v="1"/>
  </r>
  <r>
    <x v="0"/>
    <s v="225"/>
    <x v="0"/>
    <x v="202"/>
    <x v="3"/>
    <x v="0"/>
    <n v="2284000"/>
    <x v="58"/>
    <x v="1"/>
  </r>
  <r>
    <x v="0"/>
    <s v="225"/>
    <x v="0"/>
    <x v="202"/>
    <x v="3"/>
    <x v="1"/>
    <n v="2310000"/>
    <x v="58"/>
    <x v="1"/>
  </r>
  <r>
    <x v="0"/>
    <s v="225"/>
    <x v="0"/>
    <x v="203"/>
    <x v="0"/>
    <x v="0"/>
    <n v="849000"/>
    <x v="58"/>
    <x v="1"/>
  </r>
  <r>
    <x v="0"/>
    <s v="225"/>
    <x v="0"/>
    <x v="203"/>
    <x v="0"/>
    <x v="1"/>
    <n v="887000"/>
    <x v="58"/>
    <x v="1"/>
  </r>
  <r>
    <x v="0"/>
    <s v="225"/>
    <x v="0"/>
    <x v="21"/>
    <x v="0"/>
    <x v="0"/>
    <n v="945000"/>
    <x v="58"/>
    <x v="1"/>
  </r>
  <r>
    <x v="0"/>
    <s v="225"/>
    <x v="0"/>
    <x v="21"/>
    <x v="0"/>
    <x v="1"/>
    <n v="1263000"/>
    <x v="58"/>
    <x v="1"/>
  </r>
  <r>
    <x v="0"/>
    <s v="225"/>
    <x v="0"/>
    <x v="204"/>
    <x v="0"/>
    <x v="0"/>
    <n v="44000"/>
    <x v="58"/>
    <x v="1"/>
  </r>
  <r>
    <x v="0"/>
    <s v="225"/>
    <x v="0"/>
    <x v="204"/>
    <x v="0"/>
    <x v="1"/>
    <n v="45000"/>
    <x v="58"/>
    <x v="1"/>
  </r>
  <r>
    <x v="0"/>
    <s v="225"/>
    <x v="0"/>
    <x v="18"/>
    <x v="0"/>
    <x v="0"/>
    <n v="156000"/>
    <x v="58"/>
    <x v="1"/>
  </r>
  <r>
    <x v="0"/>
    <s v="225"/>
    <x v="0"/>
    <x v="18"/>
    <x v="0"/>
    <x v="1"/>
    <n v="160000"/>
    <x v="58"/>
    <x v="1"/>
  </r>
  <r>
    <x v="0"/>
    <s v="225"/>
    <x v="0"/>
    <x v="205"/>
    <x v="2"/>
    <x v="0"/>
    <n v="704000"/>
    <x v="58"/>
    <x v="1"/>
  </r>
  <r>
    <x v="0"/>
    <s v="225"/>
    <x v="0"/>
    <x v="205"/>
    <x v="2"/>
    <x v="1"/>
    <n v="687000"/>
    <x v="58"/>
    <x v="1"/>
  </r>
  <r>
    <x v="0"/>
    <s v="225"/>
    <x v="0"/>
    <x v="206"/>
    <x v="0"/>
    <x v="0"/>
    <n v="138000"/>
    <x v="58"/>
    <x v="1"/>
  </r>
  <r>
    <x v="0"/>
    <s v="225"/>
    <x v="0"/>
    <x v="206"/>
    <x v="0"/>
    <x v="1"/>
    <n v="137000"/>
    <x v="58"/>
    <x v="1"/>
  </r>
  <r>
    <x v="0"/>
    <s v="225"/>
    <x v="0"/>
    <x v="207"/>
    <x v="0"/>
    <x v="0"/>
    <n v="22000"/>
    <x v="58"/>
    <x v="1"/>
  </r>
  <r>
    <x v="0"/>
    <s v="225"/>
    <x v="0"/>
    <x v="207"/>
    <x v="0"/>
    <x v="1"/>
    <n v="21000"/>
    <x v="58"/>
    <x v="1"/>
  </r>
  <r>
    <x v="0"/>
    <s v="225"/>
    <x v="0"/>
    <x v="208"/>
    <x v="0"/>
    <x v="0"/>
    <n v="1448000"/>
    <x v="58"/>
    <x v="1"/>
  </r>
  <r>
    <x v="0"/>
    <s v="225"/>
    <x v="0"/>
    <x v="208"/>
    <x v="0"/>
    <x v="1"/>
    <n v="1447000"/>
    <x v="58"/>
    <x v="1"/>
  </r>
  <r>
    <x v="0"/>
    <s v="225900"/>
    <x v="1"/>
    <x v="1"/>
    <x v="0"/>
    <x v="0"/>
    <n v="9326500"/>
    <x v="58"/>
    <x v="0"/>
  </r>
  <r>
    <x v="0"/>
    <s v="225900"/>
    <x v="1"/>
    <x v="1"/>
    <x v="0"/>
    <x v="1"/>
    <n v="9326500"/>
    <x v="58"/>
    <x v="0"/>
  </r>
  <r>
    <x v="0"/>
    <s v="225900"/>
    <x v="1"/>
    <x v="36"/>
    <x v="0"/>
    <x v="0"/>
    <n v="4038000"/>
    <x v="58"/>
    <x v="1"/>
  </r>
  <r>
    <x v="0"/>
    <s v="225900"/>
    <x v="1"/>
    <x v="36"/>
    <x v="0"/>
    <x v="1"/>
    <n v="3850000"/>
    <x v="58"/>
    <x v="1"/>
  </r>
  <r>
    <x v="0"/>
    <s v="227"/>
    <x v="0"/>
    <x v="0"/>
    <x v="0"/>
    <x v="0"/>
    <n v="55098000"/>
    <x v="59"/>
    <x v="0"/>
  </r>
  <r>
    <x v="0"/>
    <s v="227"/>
    <x v="0"/>
    <x v="0"/>
    <x v="0"/>
    <x v="1"/>
    <n v="66092000"/>
    <x v="59"/>
    <x v="0"/>
  </r>
  <r>
    <x v="0"/>
    <s v="227"/>
    <x v="0"/>
    <x v="28"/>
    <x v="3"/>
    <x v="0"/>
    <n v="5763000"/>
    <x v="59"/>
    <x v="0"/>
  </r>
  <r>
    <x v="0"/>
    <s v="227"/>
    <x v="0"/>
    <x v="28"/>
    <x v="3"/>
    <x v="1"/>
    <n v="2565000"/>
    <x v="59"/>
    <x v="0"/>
  </r>
  <r>
    <x v="0"/>
    <s v="227"/>
    <x v="0"/>
    <x v="171"/>
    <x v="0"/>
    <x v="0"/>
    <n v="854000"/>
    <x v="59"/>
    <x v="0"/>
  </r>
  <r>
    <x v="0"/>
    <s v="227"/>
    <x v="0"/>
    <x v="171"/>
    <x v="0"/>
    <x v="1"/>
    <n v="854000"/>
    <x v="59"/>
    <x v="0"/>
  </r>
  <r>
    <x v="0"/>
    <s v="227"/>
    <x v="0"/>
    <x v="191"/>
    <x v="0"/>
    <x v="0"/>
    <n v="230000"/>
    <x v="59"/>
    <x v="0"/>
  </r>
  <r>
    <x v="0"/>
    <s v="227"/>
    <x v="0"/>
    <x v="191"/>
    <x v="0"/>
    <x v="1"/>
    <n v="230000"/>
    <x v="59"/>
    <x v="0"/>
  </r>
  <r>
    <x v="0"/>
    <s v="227"/>
    <x v="0"/>
    <x v="209"/>
    <x v="0"/>
    <x v="0"/>
    <n v="3583000"/>
    <x v="59"/>
    <x v="0"/>
  </r>
  <r>
    <x v="0"/>
    <s v="227"/>
    <x v="0"/>
    <x v="209"/>
    <x v="0"/>
    <x v="1"/>
    <n v="6884000"/>
    <x v="59"/>
    <x v="0"/>
  </r>
  <r>
    <x v="0"/>
    <s v="227"/>
    <x v="0"/>
    <x v="210"/>
    <x v="0"/>
    <x v="0"/>
    <n v="10000"/>
    <x v="59"/>
    <x v="0"/>
  </r>
  <r>
    <x v="0"/>
    <s v="227"/>
    <x v="0"/>
    <x v="210"/>
    <x v="0"/>
    <x v="1"/>
    <n v="10000"/>
    <x v="59"/>
    <x v="0"/>
  </r>
  <r>
    <x v="0"/>
    <s v="227"/>
    <x v="0"/>
    <x v="211"/>
    <x v="0"/>
    <x v="0"/>
    <n v="1135000"/>
    <x v="59"/>
    <x v="0"/>
  </r>
  <r>
    <x v="0"/>
    <s v="227"/>
    <x v="0"/>
    <x v="211"/>
    <x v="0"/>
    <x v="1"/>
    <n v="1135000"/>
    <x v="59"/>
    <x v="0"/>
  </r>
  <r>
    <x v="0"/>
    <s v="227900"/>
    <x v="1"/>
    <x v="1"/>
    <x v="0"/>
    <x v="0"/>
    <n v="1808000"/>
    <x v="59"/>
    <x v="0"/>
  </r>
  <r>
    <x v="0"/>
    <s v="227900"/>
    <x v="1"/>
    <x v="1"/>
    <x v="0"/>
    <x v="1"/>
    <n v="1808000"/>
    <x v="59"/>
    <x v="0"/>
  </r>
  <r>
    <x v="0"/>
    <s v="228"/>
    <x v="0"/>
    <x v="203"/>
    <x v="0"/>
    <x v="0"/>
    <n v="2878000"/>
    <x v="60"/>
    <x v="1"/>
  </r>
  <r>
    <x v="0"/>
    <s v="228"/>
    <x v="0"/>
    <x v="203"/>
    <x v="0"/>
    <x v="1"/>
    <n v="4964000"/>
    <x v="60"/>
    <x v="1"/>
  </r>
  <r>
    <x v="0"/>
    <s v="228"/>
    <x v="0"/>
    <x v="212"/>
    <x v="1"/>
    <x v="0"/>
    <n v="17841000"/>
    <x v="60"/>
    <x v="1"/>
  </r>
  <r>
    <x v="0"/>
    <s v="228"/>
    <x v="0"/>
    <x v="212"/>
    <x v="1"/>
    <x v="1"/>
    <n v="17904000"/>
    <x v="60"/>
    <x v="1"/>
  </r>
  <r>
    <x v="0"/>
    <s v="228"/>
    <x v="0"/>
    <x v="213"/>
    <x v="3"/>
    <x v="0"/>
    <n v="30000"/>
    <x v="60"/>
    <x v="1"/>
  </r>
  <r>
    <x v="0"/>
    <s v="228"/>
    <x v="0"/>
    <x v="213"/>
    <x v="3"/>
    <x v="1"/>
    <n v="30000"/>
    <x v="60"/>
    <x v="1"/>
  </r>
  <r>
    <x v="0"/>
    <s v="228"/>
    <x v="0"/>
    <x v="214"/>
    <x v="0"/>
    <x v="0"/>
    <n v="418000"/>
    <x v="60"/>
    <x v="1"/>
  </r>
  <r>
    <x v="0"/>
    <s v="228"/>
    <x v="0"/>
    <x v="214"/>
    <x v="0"/>
    <x v="1"/>
    <n v="418000"/>
    <x v="60"/>
    <x v="1"/>
  </r>
  <r>
    <x v="0"/>
    <s v="228"/>
    <x v="0"/>
    <x v="215"/>
    <x v="0"/>
    <x v="0"/>
    <n v="425000"/>
    <x v="60"/>
    <x v="1"/>
  </r>
  <r>
    <x v="0"/>
    <s v="228"/>
    <x v="0"/>
    <x v="215"/>
    <x v="0"/>
    <x v="1"/>
    <n v="425000"/>
    <x v="60"/>
    <x v="1"/>
  </r>
  <r>
    <x v="0"/>
    <s v="229"/>
    <x v="0"/>
    <x v="0"/>
    <x v="0"/>
    <x v="0"/>
    <n v="17014000"/>
    <x v="61"/>
    <x v="0"/>
  </r>
  <r>
    <x v="0"/>
    <s v="229"/>
    <x v="0"/>
    <x v="0"/>
    <x v="0"/>
    <x v="1"/>
    <n v="20196000"/>
    <x v="61"/>
    <x v="0"/>
  </r>
  <r>
    <x v="0"/>
    <s v="235"/>
    <x v="0"/>
    <x v="0"/>
    <x v="0"/>
    <x v="0"/>
    <n v="17526000"/>
    <x v="62"/>
    <x v="0"/>
  </r>
  <r>
    <x v="0"/>
    <s v="235"/>
    <x v="0"/>
    <x v="0"/>
    <x v="0"/>
    <x v="1"/>
    <n v="25305000"/>
    <x v="62"/>
    <x v="0"/>
  </r>
  <r>
    <x v="0"/>
    <s v="235"/>
    <x v="0"/>
    <x v="27"/>
    <x v="1"/>
    <x v="0"/>
    <n v="8036000"/>
    <x v="62"/>
    <x v="0"/>
  </r>
  <r>
    <x v="0"/>
    <s v="235"/>
    <x v="0"/>
    <x v="27"/>
    <x v="1"/>
    <x v="1"/>
    <n v="3485000"/>
    <x v="62"/>
    <x v="0"/>
  </r>
  <r>
    <x v="0"/>
    <s v="235"/>
    <x v="0"/>
    <x v="216"/>
    <x v="2"/>
    <x v="0"/>
    <n v="2400000"/>
    <x v="62"/>
    <x v="0"/>
  </r>
  <r>
    <x v="0"/>
    <s v="235"/>
    <x v="0"/>
    <x v="216"/>
    <x v="2"/>
    <x v="1"/>
    <n v="2500000"/>
    <x v="62"/>
    <x v="0"/>
  </r>
  <r>
    <x v="0"/>
    <s v="235"/>
    <x v="0"/>
    <x v="217"/>
    <x v="0"/>
    <x v="0"/>
    <n v="343000"/>
    <x v="62"/>
    <x v="0"/>
  </r>
  <r>
    <x v="0"/>
    <s v="235"/>
    <x v="0"/>
    <x v="217"/>
    <x v="0"/>
    <x v="1"/>
    <n v="285000"/>
    <x v="62"/>
    <x v="0"/>
  </r>
  <r>
    <x v="0"/>
    <s v="235"/>
    <x v="0"/>
    <x v="218"/>
    <x v="0"/>
    <x v="0"/>
    <n v="36273000"/>
    <x v="62"/>
    <x v="0"/>
  </r>
  <r>
    <x v="0"/>
    <s v="235"/>
    <x v="0"/>
    <x v="218"/>
    <x v="0"/>
    <x v="1"/>
    <n v="37799000"/>
    <x v="62"/>
    <x v="0"/>
  </r>
  <r>
    <x v="0"/>
    <s v="235"/>
    <x v="0"/>
    <x v="219"/>
    <x v="0"/>
    <x v="0"/>
    <n v="14000"/>
    <x v="62"/>
    <x v="0"/>
  </r>
  <r>
    <x v="0"/>
    <s v="235"/>
    <x v="0"/>
    <x v="219"/>
    <x v="0"/>
    <x v="1"/>
    <n v="14000"/>
    <x v="62"/>
    <x v="0"/>
  </r>
  <r>
    <x v="0"/>
    <s v="235"/>
    <x v="0"/>
    <x v="181"/>
    <x v="0"/>
    <x v="0"/>
    <n v="566000"/>
    <x v="62"/>
    <x v="0"/>
  </r>
  <r>
    <x v="0"/>
    <s v="235"/>
    <x v="0"/>
    <x v="181"/>
    <x v="0"/>
    <x v="1"/>
    <n v="572000"/>
    <x v="62"/>
    <x v="0"/>
  </r>
  <r>
    <x v="0"/>
    <s v="235"/>
    <x v="0"/>
    <x v="220"/>
    <x v="0"/>
    <x v="0"/>
    <n v="16077000"/>
    <x v="62"/>
    <x v="0"/>
  </r>
  <r>
    <x v="0"/>
    <s v="235"/>
    <x v="0"/>
    <x v="220"/>
    <x v="0"/>
    <x v="1"/>
    <n v="15341000"/>
    <x v="62"/>
    <x v="0"/>
  </r>
  <r>
    <x v="0"/>
    <s v="235"/>
    <x v="0"/>
    <x v="221"/>
    <x v="0"/>
    <x v="0"/>
    <n v="9950000"/>
    <x v="62"/>
    <x v="0"/>
  </r>
  <r>
    <x v="0"/>
    <s v="235"/>
    <x v="0"/>
    <x v="221"/>
    <x v="0"/>
    <x v="1"/>
    <n v="8061000"/>
    <x v="62"/>
    <x v="0"/>
  </r>
  <r>
    <x v="0"/>
    <s v="235"/>
    <x v="0"/>
    <x v="34"/>
    <x v="0"/>
    <x v="0"/>
    <n v="7110000"/>
    <x v="62"/>
    <x v="0"/>
  </r>
  <r>
    <x v="0"/>
    <s v="235"/>
    <x v="0"/>
    <x v="34"/>
    <x v="0"/>
    <x v="1"/>
    <n v="13390000"/>
    <x v="62"/>
    <x v="0"/>
  </r>
  <r>
    <x v="0"/>
    <s v="235"/>
    <x v="0"/>
    <x v="222"/>
    <x v="0"/>
    <x v="0"/>
    <n v="218000"/>
    <x v="62"/>
    <x v="0"/>
  </r>
  <r>
    <x v="0"/>
    <s v="235"/>
    <x v="0"/>
    <x v="222"/>
    <x v="0"/>
    <x v="1"/>
    <n v="236000"/>
    <x v="62"/>
    <x v="0"/>
  </r>
  <r>
    <x v="0"/>
    <s v="235"/>
    <x v="0"/>
    <x v="223"/>
    <x v="2"/>
    <x v="0"/>
    <n v="4321000"/>
    <x v="62"/>
    <x v="0"/>
  </r>
  <r>
    <x v="0"/>
    <s v="235"/>
    <x v="0"/>
    <x v="223"/>
    <x v="2"/>
    <x v="1"/>
    <n v="3900000"/>
    <x v="62"/>
    <x v="0"/>
  </r>
  <r>
    <x v="0"/>
    <s v="235"/>
    <x v="0"/>
    <x v="30"/>
    <x v="0"/>
    <x v="0"/>
    <n v="125000"/>
    <x v="62"/>
    <x v="0"/>
  </r>
  <r>
    <x v="0"/>
    <s v="235"/>
    <x v="0"/>
    <x v="30"/>
    <x v="0"/>
    <x v="1"/>
    <n v="125000"/>
    <x v="62"/>
    <x v="0"/>
  </r>
  <r>
    <x v="0"/>
    <s v="235"/>
    <x v="0"/>
    <x v="224"/>
    <x v="2"/>
    <x v="1"/>
    <n v="300000"/>
    <x v="62"/>
    <x v="0"/>
  </r>
  <r>
    <x v="0"/>
    <s v="235"/>
    <x v="0"/>
    <x v="225"/>
    <x v="2"/>
    <x v="0"/>
    <n v="375000"/>
    <x v="62"/>
    <x v="0"/>
  </r>
  <r>
    <x v="0"/>
    <s v="235"/>
    <x v="0"/>
    <x v="225"/>
    <x v="2"/>
    <x v="1"/>
    <n v="375000"/>
    <x v="62"/>
    <x v="0"/>
  </r>
  <r>
    <x v="0"/>
    <s v="235"/>
    <x v="0"/>
    <x v="182"/>
    <x v="0"/>
    <x v="0"/>
    <n v="216743000"/>
    <x v="62"/>
    <x v="0"/>
  </r>
  <r>
    <x v="0"/>
    <s v="235"/>
    <x v="0"/>
    <x v="182"/>
    <x v="0"/>
    <x v="1"/>
    <n v="220847000"/>
    <x v="62"/>
    <x v="0"/>
  </r>
  <r>
    <x v="0"/>
    <s v="235"/>
    <x v="0"/>
    <x v="226"/>
    <x v="1"/>
    <x v="0"/>
    <n v="9937000"/>
    <x v="62"/>
    <x v="0"/>
  </r>
  <r>
    <x v="0"/>
    <s v="235"/>
    <x v="0"/>
    <x v="226"/>
    <x v="1"/>
    <x v="1"/>
    <n v="10016000"/>
    <x v="62"/>
    <x v="0"/>
  </r>
  <r>
    <x v="0"/>
    <s v="235"/>
    <x v="0"/>
    <x v="227"/>
    <x v="2"/>
    <x v="0"/>
    <n v="520000"/>
    <x v="62"/>
    <x v="0"/>
  </r>
  <r>
    <x v="0"/>
    <s v="235"/>
    <x v="0"/>
    <x v="227"/>
    <x v="2"/>
    <x v="1"/>
    <n v="716000"/>
    <x v="62"/>
    <x v="0"/>
  </r>
  <r>
    <x v="0"/>
    <s v="235"/>
    <x v="0"/>
    <x v="139"/>
    <x v="0"/>
    <x v="0"/>
    <n v="206510000"/>
    <x v="62"/>
    <x v="0"/>
  </r>
  <r>
    <x v="0"/>
    <s v="235"/>
    <x v="0"/>
    <x v="139"/>
    <x v="0"/>
    <x v="1"/>
    <n v="214539000"/>
    <x v="62"/>
    <x v="0"/>
  </r>
  <r>
    <x v="0"/>
    <s v="235"/>
    <x v="0"/>
    <x v="228"/>
    <x v="1"/>
    <x v="0"/>
    <n v="1953000"/>
    <x v="62"/>
    <x v="0"/>
  </r>
  <r>
    <x v="0"/>
    <s v="235"/>
    <x v="0"/>
    <x v="228"/>
    <x v="1"/>
    <x v="1"/>
    <n v="1967000"/>
    <x v="62"/>
    <x v="0"/>
  </r>
  <r>
    <x v="0"/>
    <s v="235"/>
    <x v="0"/>
    <x v="229"/>
    <x v="2"/>
    <x v="0"/>
    <n v="516000"/>
    <x v="62"/>
    <x v="0"/>
  </r>
  <r>
    <x v="0"/>
    <s v="235"/>
    <x v="0"/>
    <x v="229"/>
    <x v="2"/>
    <x v="1"/>
    <n v="720000"/>
    <x v="62"/>
    <x v="0"/>
  </r>
  <r>
    <x v="0"/>
    <s v="235"/>
    <x v="0"/>
    <x v="230"/>
    <x v="0"/>
    <x v="0"/>
    <n v="1829000"/>
    <x v="62"/>
    <x v="0"/>
  </r>
  <r>
    <x v="0"/>
    <s v="235"/>
    <x v="0"/>
    <x v="230"/>
    <x v="0"/>
    <x v="1"/>
    <n v="1820000"/>
    <x v="62"/>
    <x v="0"/>
  </r>
  <r>
    <x v="0"/>
    <s v="235"/>
    <x v="0"/>
    <x v="231"/>
    <x v="0"/>
    <x v="0"/>
    <n v="2546000"/>
    <x v="62"/>
    <x v="0"/>
  </r>
  <r>
    <x v="0"/>
    <s v="235"/>
    <x v="0"/>
    <x v="231"/>
    <x v="0"/>
    <x v="1"/>
    <n v="2570000"/>
    <x v="62"/>
    <x v="0"/>
  </r>
  <r>
    <x v="0"/>
    <s v="235900"/>
    <x v="1"/>
    <x v="59"/>
    <x v="0"/>
    <x v="0"/>
    <n v="2829500"/>
    <x v="62"/>
    <x v="0"/>
  </r>
  <r>
    <x v="0"/>
    <s v="235900"/>
    <x v="1"/>
    <x v="59"/>
    <x v="0"/>
    <x v="1"/>
    <n v="2829500"/>
    <x v="62"/>
    <x v="0"/>
  </r>
  <r>
    <x v="0"/>
    <s v="235900"/>
    <x v="1"/>
    <x v="182"/>
    <x v="0"/>
    <x v="0"/>
    <n v="499500"/>
    <x v="62"/>
    <x v="0"/>
  </r>
  <r>
    <x v="0"/>
    <s v="235900"/>
    <x v="1"/>
    <x v="182"/>
    <x v="0"/>
    <x v="1"/>
    <n v="499500"/>
    <x v="62"/>
    <x v="0"/>
  </r>
  <r>
    <x v="0"/>
    <s v="235900"/>
    <x v="1"/>
    <x v="139"/>
    <x v="0"/>
    <x v="0"/>
    <n v="498500"/>
    <x v="62"/>
    <x v="0"/>
  </r>
  <r>
    <x v="0"/>
    <s v="235900"/>
    <x v="1"/>
    <x v="139"/>
    <x v="0"/>
    <x v="1"/>
    <n v="498500"/>
    <x v="62"/>
    <x v="0"/>
  </r>
  <r>
    <x v="0"/>
    <s v="240"/>
    <x v="0"/>
    <x v="0"/>
    <x v="0"/>
    <x v="0"/>
    <n v="4042000"/>
    <x v="63"/>
    <x v="0"/>
  </r>
  <r>
    <x v="0"/>
    <s v="240"/>
    <x v="0"/>
    <x v="0"/>
    <x v="0"/>
    <x v="1"/>
    <n v="3670000"/>
    <x v="63"/>
    <x v="0"/>
  </r>
  <r>
    <x v="0"/>
    <s v="240"/>
    <x v="0"/>
    <x v="232"/>
    <x v="0"/>
    <x v="0"/>
    <n v="979000"/>
    <x v="63"/>
    <x v="0"/>
  </r>
  <r>
    <x v="0"/>
    <s v="240"/>
    <x v="0"/>
    <x v="232"/>
    <x v="0"/>
    <x v="1"/>
    <n v="846000"/>
    <x v="63"/>
    <x v="0"/>
  </r>
  <r>
    <x v="0"/>
    <s v="240"/>
    <x v="0"/>
    <x v="233"/>
    <x v="0"/>
    <x v="0"/>
    <n v="8078000"/>
    <x v="63"/>
    <x v="0"/>
  </r>
  <r>
    <x v="0"/>
    <s v="240"/>
    <x v="0"/>
    <x v="233"/>
    <x v="0"/>
    <x v="1"/>
    <n v="7693000"/>
    <x v="63"/>
    <x v="0"/>
  </r>
  <r>
    <x v="0"/>
    <s v="240"/>
    <x v="0"/>
    <x v="234"/>
    <x v="0"/>
    <x v="0"/>
    <n v="1026000"/>
    <x v="63"/>
    <x v="0"/>
  </r>
  <r>
    <x v="0"/>
    <s v="240"/>
    <x v="0"/>
    <x v="234"/>
    <x v="0"/>
    <x v="1"/>
    <n v="2508000"/>
    <x v="63"/>
    <x v="0"/>
  </r>
  <r>
    <x v="0"/>
    <s v="240"/>
    <x v="0"/>
    <x v="235"/>
    <x v="0"/>
    <x v="0"/>
    <n v="157000"/>
    <x v="63"/>
    <x v="0"/>
  </r>
  <r>
    <x v="0"/>
    <s v="240"/>
    <x v="0"/>
    <x v="235"/>
    <x v="0"/>
    <x v="1"/>
    <n v="151000"/>
    <x v="63"/>
    <x v="0"/>
  </r>
  <r>
    <x v="0"/>
    <s v="240"/>
    <x v="0"/>
    <x v="236"/>
    <x v="0"/>
    <x v="0"/>
    <n v="1268000"/>
    <x v="63"/>
    <x v="0"/>
  </r>
  <r>
    <x v="0"/>
    <s v="240"/>
    <x v="0"/>
    <x v="236"/>
    <x v="0"/>
    <x v="1"/>
    <n v="1130000"/>
    <x v="63"/>
    <x v="0"/>
  </r>
  <r>
    <x v="0"/>
    <s v="240"/>
    <x v="0"/>
    <x v="237"/>
    <x v="0"/>
    <x v="0"/>
    <n v="16547000"/>
    <x v="63"/>
    <x v="0"/>
  </r>
  <r>
    <x v="0"/>
    <s v="240"/>
    <x v="0"/>
    <x v="237"/>
    <x v="0"/>
    <x v="1"/>
    <n v="14830000"/>
    <x v="63"/>
    <x v="0"/>
  </r>
  <r>
    <x v="0"/>
    <s v="240"/>
    <x v="0"/>
    <x v="238"/>
    <x v="0"/>
    <x v="0"/>
    <n v="231000"/>
    <x v="63"/>
    <x v="0"/>
  </r>
  <r>
    <x v="0"/>
    <s v="240"/>
    <x v="0"/>
    <x v="238"/>
    <x v="0"/>
    <x v="1"/>
    <n v="230000"/>
    <x v="63"/>
    <x v="0"/>
  </r>
  <r>
    <x v="0"/>
    <s v="240"/>
    <x v="0"/>
    <x v="239"/>
    <x v="0"/>
    <x v="0"/>
    <n v="31000"/>
    <x v="63"/>
    <x v="0"/>
  </r>
  <r>
    <x v="0"/>
    <s v="240"/>
    <x v="0"/>
    <x v="239"/>
    <x v="0"/>
    <x v="1"/>
    <n v="43000"/>
    <x v="63"/>
    <x v="0"/>
  </r>
  <r>
    <x v="0"/>
    <s v="240"/>
    <x v="0"/>
    <x v="240"/>
    <x v="0"/>
    <x v="0"/>
    <n v="68000"/>
    <x v="63"/>
    <x v="0"/>
  </r>
  <r>
    <x v="0"/>
    <s v="240"/>
    <x v="0"/>
    <x v="240"/>
    <x v="0"/>
    <x v="1"/>
    <n v="57000"/>
    <x v="63"/>
    <x v="0"/>
  </r>
  <r>
    <x v="0"/>
    <s v="240"/>
    <x v="0"/>
    <x v="241"/>
    <x v="2"/>
    <x v="0"/>
    <n v="1012000"/>
    <x v="63"/>
    <x v="0"/>
  </r>
  <r>
    <x v="0"/>
    <s v="240"/>
    <x v="0"/>
    <x v="241"/>
    <x v="2"/>
    <x v="1"/>
    <n v="1063000"/>
    <x v="63"/>
    <x v="0"/>
  </r>
  <r>
    <x v="0"/>
    <s v="240"/>
    <x v="0"/>
    <x v="242"/>
    <x v="0"/>
    <x v="0"/>
    <n v="40000"/>
    <x v="63"/>
    <x v="0"/>
  </r>
  <r>
    <x v="0"/>
    <s v="240"/>
    <x v="0"/>
    <x v="242"/>
    <x v="0"/>
    <x v="1"/>
    <n v="55000"/>
    <x v="63"/>
    <x v="0"/>
  </r>
  <r>
    <x v="0"/>
    <s v="240"/>
    <x v="0"/>
    <x v="243"/>
    <x v="2"/>
    <x v="0"/>
    <n v="186000"/>
    <x v="63"/>
    <x v="0"/>
  </r>
  <r>
    <x v="0"/>
    <s v="240"/>
    <x v="0"/>
    <x v="243"/>
    <x v="2"/>
    <x v="1"/>
    <n v="203000"/>
    <x v="63"/>
    <x v="0"/>
  </r>
  <r>
    <x v="0"/>
    <s v="240"/>
    <x v="0"/>
    <x v="244"/>
    <x v="0"/>
    <x v="0"/>
    <n v="124000"/>
    <x v="63"/>
    <x v="0"/>
  </r>
  <r>
    <x v="0"/>
    <s v="240"/>
    <x v="0"/>
    <x v="244"/>
    <x v="0"/>
    <x v="1"/>
    <n v="134000"/>
    <x v="63"/>
    <x v="0"/>
  </r>
  <r>
    <x v="0"/>
    <s v="240"/>
    <x v="0"/>
    <x v="245"/>
    <x v="2"/>
    <x v="0"/>
    <n v="16000"/>
    <x v="63"/>
    <x v="0"/>
  </r>
  <r>
    <x v="0"/>
    <s v="240"/>
    <x v="0"/>
    <x v="245"/>
    <x v="2"/>
    <x v="1"/>
    <n v="2000"/>
    <x v="63"/>
    <x v="0"/>
  </r>
  <r>
    <x v="0"/>
    <s v="240"/>
    <x v="0"/>
    <x v="246"/>
    <x v="0"/>
    <x v="0"/>
    <n v="134000"/>
    <x v="63"/>
    <x v="0"/>
  </r>
  <r>
    <x v="0"/>
    <s v="240"/>
    <x v="0"/>
    <x v="246"/>
    <x v="0"/>
    <x v="1"/>
    <n v="8000"/>
    <x v="63"/>
    <x v="0"/>
  </r>
  <r>
    <x v="0"/>
    <s v="240"/>
    <x v="0"/>
    <x v="119"/>
    <x v="0"/>
    <x v="1"/>
    <n v="30000000"/>
    <x v="63"/>
    <x v="0"/>
  </r>
  <r>
    <x v="0"/>
    <s v="240"/>
    <x v="0"/>
    <x v="247"/>
    <x v="0"/>
    <x v="0"/>
    <n v="17000"/>
    <x v="63"/>
    <x v="0"/>
  </r>
  <r>
    <x v="0"/>
    <s v="240"/>
    <x v="0"/>
    <x v="247"/>
    <x v="0"/>
    <x v="1"/>
    <n v="38000"/>
    <x v="63"/>
    <x v="0"/>
  </r>
  <r>
    <x v="0"/>
    <s v="240"/>
    <x v="0"/>
    <x v="248"/>
    <x v="2"/>
    <x v="0"/>
    <n v="408000"/>
    <x v="63"/>
    <x v="0"/>
  </r>
  <r>
    <x v="0"/>
    <s v="240"/>
    <x v="0"/>
    <x v="248"/>
    <x v="2"/>
    <x v="1"/>
    <n v="408000"/>
    <x v="63"/>
    <x v="0"/>
  </r>
  <r>
    <x v="0"/>
    <s v="240"/>
    <x v="0"/>
    <x v="249"/>
    <x v="0"/>
    <x v="0"/>
    <n v="18000"/>
    <x v="63"/>
    <x v="0"/>
  </r>
  <r>
    <x v="0"/>
    <s v="240"/>
    <x v="0"/>
    <x v="249"/>
    <x v="0"/>
    <x v="1"/>
    <n v="19000"/>
    <x v="63"/>
    <x v="0"/>
  </r>
  <r>
    <x v="0"/>
    <s v="240"/>
    <x v="0"/>
    <x v="250"/>
    <x v="0"/>
    <x v="0"/>
    <n v="17000"/>
    <x v="63"/>
    <x v="1"/>
  </r>
  <r>
    <x v="0"/>
    <s v="240"/>
    <x v="0"/>
    <x v="250"/>
    <x v="0"/>
    <x v="1"/>
    <n v="17000"/>
    <x v="63"/>
    <x v="1"/>
  </r>
  <r>
    <x v="0"/>
    <s v="240"/>
    <x v="0"/>
    <x v="251"/>
    <x v="0"/>
    <x v="0"/>
    <n v="2075000"/>
    <x v="63"/>
    <x v="1"/>
  </r>
  <r>
    <x v="0"/>
    <s v="240"/>
    <x v="0"/>
    <x v="251"/>
    <x v="0"/>
    <x v="1"/>
    <n v="2323000"/>
    <x v="63"/>
    <x v="1"/>
  </r>
  <r>
    <x v="0"/>
    <s v="240"/>
    <x v="0"/>
    <x v="252"/>
    <x v="0"/>
    <x v="0"/>
    <n v="2646000"/>
    <x v="63"/>
    <x v="1"/>
  </r>
  <r>
    <x v="0"/>
    <s v="240"/>
    <x v="0"/>
    <x v="252"/>
    <x v="0"/>
    <x v="1"/>
    <n v="2673000"/>
    <x v="63"/>
    <x v="1"/>
  </r>
  <r>
    <x v="0"/>
    <s v="240"/>
    <x v="0"/>
    <x v="253"/>
    <x v="0"/>
    <x v="0"/>
    <n v="384000"/>
    <x v="63"/>
    <x v="1"/>
  </r>
  <r>
    <x v="0"/>
    <s v="240"/>
    <x v="0"/>
    <x v="253"/>
    <x v="0"/>
    <x v="1"/>
    <n v="384000"/>
    <x v="63"/>
    <x v="1"/>
  </r>
  <r>
    <x v="0"/>
    <s v="240"/>
    <x v="0"/>
    <x v="203"/>
    <x v="0"/>
    <x v="0"/>
    <n v="139946000"/>
    <x v="63"/>
    <x v="1"/>
  </r>
  <r>
    <x v="0"/>
    <s v="240"/>
    <x v="0"/>
    <x v="203"/>
    <x v="0"/>
    <x v="1"/>
    <n v="143163000"/>
    <x v="63"/>
    <x v="1"/>
  </r>
  <r>
    <x v="0"/>
    <s v="240"/>
    <x v="0"/>
    <x v="212"/>
    <x v="1"/>
    <x v="0"/>
    <n v="1724000"/>
    <x v="63"/>
    <x v="1"/>
  </r>
  <r>
    <x v="0"/>
    <s v="240"/>
    <x v="0"/>
    <x v="212"/>
    <x v="1"/>
    <x v="1"/>
    <n v="647000"/>
    <x v="63"/>
    <x v="1"/>
  </r>
  <r>
    <x v="0"/>
    <s v="240"/>
    <x v="0"/>
    <x v="16"/>
    <x v="0"/>
    <x v="0"/>
    <n v="50732000"/>
    <x v="63"/>
    <x v="1"/>
  </r>
  <r>
    <x v="0"/>
    <s v="240"/>
    <x v="0"/>
    <x v="16"/>
    <x v="0"/>
    <x v="1"/>
    <n v="51091000"/>
    <x v="63"/>
    <x v="1"/>
  </r>
  <r>
    <x v="0"/>
    <s v="240"/>
    <x v="0"/>
    <x v="254"/>
    <x v="3"/>
    <x v="0"/>
    <n v="668000"/>
    <x v="63"/>
    <x v="1"/>
  </r>
  <r>
    <x v="0"/>
    <s v="240"/>
    <x v="0"/>
    <x v="254"/>
    <x v="3"/>
    <x v="1"/>
    <n v="668000"/>
    <x v="63"/>
    <x v="1"/>
  </r>
  <r>
    <x v="0"/>
    <s v="240"/>
    <x v="0"/>
    <x v="21"/>
    <x v="0"/>
    <x v="0"/>
    <n v="3202000"/>
    <x v="63"/>
    <x v="1"/>
  </r>
  <r>
    <x v="0"/>
    <s v="240"/>
    <x v="0"/>
    <x v="21"/>
    <x v="0"/>
    <x v="1"/>
    <n v="3213000"/>
    <x v="63"/>
    <x v="1"/>
  </r>
  <r>
    <x v="0"/>
    <s v="240"/>
    <x v="0"/>
    <x v="255"/>
    <x v="0"/>
    <x v="0"/>
    <n v="63000"/>
    <x v="63"/>
    <x v="1"/>
  </r>
  <r>
    <x v="0"/>
    <s v="240"/>
    <x v="0"/>
    <x v="255"/>
    <x v="0"/>
    <x v="1"/>
    <n v="63000"/>
    <x v="63"/>
    <x v="1"/>
  </r>
  <r>
    <x v="0"/>
    <s v="240"/>
    <x v="0"/>
    <x v="256"/>
    <x v="0"/>
    <x v="0"/>
    <n v="571000"/>
    <x v="63"/>
    <x v="1"/>
  </r>
  <r>
    <x v="0"/>
    <s v="240"/>
    <x v="0"/>
    <x v="256"/>
    <x v="0"/>
    <x v="1"/>
    <n v="372000"/>
    <x v="63"/>
    <x v="1"/>
  </r>
  <r>
    <x v="0"/>
    <s v="240"/>
    <x v="0"/>
    <x v="257"/>
    <x v="0"/>
    <x v="0"/>
    <n v="4494000"/>
    <x v="63"/>
    <x v="1"/>
  </r>
  <r>
    <x v="0"/>
    <s v="240"/>
    <x v="0"/>
    <x v="257"/>
    <x v="0"/>
    <x v="1"/>
    <n v="4656000"/>
    <x v="63"/>
    <x v="1"/>
  </r>
  <r>
    <x v="0"/>
    <s v="240"/>
    <x v="0"/>
    <x v="109"/>
    <x v="0"/>
    <x v="0"/>
    <n v="220000"/>
    <x v="63"/>
    <x v="1"/>
  </r>
  <r>
    <x v="0"/>
    <s v="240"/>
    <x v="0"/>
    <x v="109"/>
    <x v="0"/>
    <x v="1"/>
    <n v="223000"/>
    <x v="63"/>
    <x v="1"/>
  </r>
  <r>
    <x v="0"/>
    <s v="240"/>
    <x v="0"/>
    <x v="258"/>
    <x v="0"/>
    <x v="0"/>
    <n v="1545000"/>
    <x v="63"/>
    <x v="1"/>
  </r>
  <r>
    <x v="0"/>
    <s v="240"/>
    <x v="0"/>
    <x v="258"/>
    <x v="0"/>
    <x v="1"/>
    <n v="1546000"/>
    <x v="63"/>
    <x v="1"/>
  </r>
  <r>
    <x v="0"/>
    <s v="240"/>
    <x v="0"/>
    <x v="259"/>
    <x v="0"/>
    <x v="0"/>
    <n v="8434000"/>
    <x v="63"/>
    <x v="1"/>
  </r>
  <r>
    <x v="0"/>
    <s v="240"/>
    <x v="0"/>
    <x v="259"/>
    <x v="0"/>
    <x v="1"/>
    <n v="8564000"/>
    <x v="63"/>
    <x v="1"/>
  </r>
  <r>
    <x v="0"/>
    <s v="240"/>
    <x v="0"/>
    <x v="260"/>
    <x v="0"/>
    <x v="0"/>
    <n v="981000"/>
    <x v="63"/>
    <x v="1"/>
  </r>
  <r>
    <x v="0"/>
    <s v="240"/>
    <x v="0"/>
    <x v="260"/>
    <x v="0"/>
    <x v="1"/>
    <n v="762000"/>
    <x v="63"/>
    <x v="1"/>
  </r>
  <r>
    <x v="0"/>
    <s v="240"/>
    <x v="0"/>
    <x v="164"/>
    <x v="0"/>
    <x v="0"/>
    <n v="1048000"/>
    <x v="63"/>
    <x v="1"/>
  </r>
  <r>
    <x v="0"/>
    <s v="240"/>
    <x v="0"/>
    <x v="164"/>
    <x v="0"/>
    <x v="1"/>
    <n v="1048000"/>
    <x v="63"/>
    <x v="1"/>
  </r>
  <r>
    <x v="0"/>
    <s v="245"/>
    <x v="0"/>
    <x v="0"/>
    <x v="0"/>
    <x v="0"/>
    <n v="16720000"/>
    <x v="64"/>
    <x v="0"/>
  </r>
  <r>
    <x v="0"/>
    <s v="245"/>
    <x v="0"/>
    <x v="0"/>
    <x v="0"/>
    <x v="1"/>
    <n v="19489000"/>
    <x v="64"/>
    <x v="0"/>
  </r>
  <r>
    <x v="0"/>
    <s v="245"/>
    <x v="0"/>
    <x v="27"/>
    <x v="1"/>
    <x v="0"/>
    <n v="73138000"/>
    <x v="64"/>
    <x v="0"/>
  </r>
  <r>
    <x v="0"/>
    <s v="245"/>
    <x v="0"/>
    <x v="27"/>
    <x v="1"/>
    <x v="1"/>
    <n v="73152000"/>
    <x v="64"/>
    <x v="0"/>
  </r>
  <r>
    <x v="0"/>
    <s v="245"/>
    <x v="0"/>
    <x v="261"/>
    <x v="0"/>
    <x v="0"/>
    <n v="27145000"/>
    <x v="64"/>
    <x v="0"/>
  </r>
  <r>
    <x v="0"/>
    <s v="245"/>
    <x v="0"/>
    <x v="261"/>
    <x v="0"/>
    <x v="1"/>
    <n v="27161000"/>
    <x v="64"/>
    <x v="0"/>
  </r>
  <r>
    <x v="0"/>
    <s v="245"/>
    <x v="0"/>
    <x v="194"/>
    <x v="0"/>
    <x v="0"/>
    <n v="36623000"/>
    <x v="64"/>
    <x v="0"/>
  </r>
  <r>
    <x v="0"/>
    <s v="245"/>
    <x v="0"/>
    <x v="194"/>
    <x v="0"/>
    <x v="1"/>
    <n v="25556000"/>
    <x v="64"/>
    <x v="0"/>
  </r>
  <r>
    <x v="0"/>
    <s v="245"/>
    <x v="0"/>
    <x v="262"/>
    <x v="1"/>
    <x v="0"/>
    <n v="1169176000"/>
    <x v="64"/>
    <x v="0"/>
  </r>
  <r>
    <x v="0"/>
    <s v="245"/>
    <x v="0"/>
    <x v="262"/>
    <x v="1"/>
    <x v="1"/>
    <n v="736277000"/>
    <x v="64"/>
    <x v="0"/>
  </r>
  <r>
    <x v="0"/>
    <s v="245"/>
    <x v="0"/>
    <x v="263"/>
    <x v="0"/>
    <x v="0"/>
    <n v="505000"/>
    <x v="64"/>
    <x v="0"/>
  </r>
  <r>
    <x v="0"/>
    <s v="245"/>
    <x v="0"/>
    <x v="263"/>
    <x v="0"/>
    <x v="1"/>
    <n v="504000"/>
    <x v="64"/>
    <x v="0"/>
  </r>
  <r>
    <x v="0"/>
    <s v="245"/>
    <x v="0"/>
    <x v="264"/>
    <x v="0"/>
    <x v="0"/>
    <n v="200000"/>
    <x v="64"/>
    <x v="0"/>
  </r>
  <r>
    <x v="0"/>
    <s v="245"/>
    <x v="0"/>
    <x v="264"/>
    <x v="0"/>
    <x v="1"/>
    <n v="200000"/>
    <x v="64"/>
    <x v="0"/>
  </r>
  <r>
    <x v="0"/>
    <s v="245"/>
    <x v="0"/>
    <x v="181"/>
    <x v="0"/>
    <x v="0"/>
    <n v="1017000"/>
    <x v="64"/>
    <x v="0"/>
  </r>
  <r>
    <x v="0"/>
    <s v="245"/>
    <x v="0"/>
    <x v="181"/>
    <x v="0"/>
    <x v="1"/>
    <n v="1024000"/>
    <x v="64"/>
    <x v="0"/>
  </r>
  <r>
    <x v="0"/>
    <s v="245"/>
    <x v="0"/>
    <x v="265"/>
    <x v="0"/>
    <x v="0"/>
    <n v="521000"/>
    <x v="64"/>
    <x v="0"/>
  </r>
  <r>
    <x v="0"/>
    <s v="245"/>
    <x v="0"/>
    <x v="265"/>
    <x v="0"/>
    <x v="1"/>
    <n v="519000"/>
    <x v="64"/>
    <x v="0"/>
  </r>
  <r>
    <x v="0"/>
    <s v="245"/>
    <x v="0"/>
    <x v="94"/>
    <x v="0"/>
    <x v="0"/>
    <n v="71000"/>
    <x v="64"/>
    <x v="0"/>
  </r>
  <r>
    <x v="0"/>
    <s v="245"/>
    <x v="0"/>
    <x v="94"/>
    <x v="0"/>
    <x v="1"/>
    <n v="42000"/>
    <x v="64"/>
    <x v="0"/>
  </r>
  <r>
    <x v="0"/>
    <s v="245900"/>
    <x v="1"/>
    <x v="27"/>
    <x v="1"/>
    <x v="0"/>
    <n v="44923500"/>
    <x v="64"/>
    <x v="0"/>
  </r>
  <r>
    <x v="0"/>
    <s v="245900"/>
    <x v="1"/>
    <x v="27"/>
    <x v="1"/>
    <x v="1"/>
    <n v="44923500"/>
    <x v="64"/>
    <x v="0"/>
  </r>
  <r>
    <x v="0"/>
    <s v="245900"/>
    <x v="1"/>
    <x v="1"/>
    <x v="0"/>
    <x v="0"/>
    <n v="18915000"/>
    <x v="64"/>
    <x v="0"/>
  </r>
  <r>
    <x v="0"/>
    <s v="245900"/>
    <x v="1"/>
    <x v="1"/>
    <x v="0"/>
    <x v="1"/>
    <n v="18915000"/>
    <x v="64"/>
    <x v="0"/>
  </r>
  <r>
    <x v="0"/>
    <s v="245900"/>
    <x v="1"/>
    <x v="266"/>
    <x v="0"/>
    <x v="0"/>
    <n v="1750000"/>
    <x v="64"/>
    <x v="0"/>
  </r>
  <r>
    <x v="0"/>
    <s v="245900"/>
    <x v="1"/>
    <x v="266"/>
    <x v="0"/>
    <x v="1"/>
    <n v="1750000"/>
    <x v="64"/>
    <x v="0"/>
  </r>
  <r>
    <x v="0"/>
    <s v="275"/>
    <x v="0"/>
    <x v="0"/>
    <x v="0"/>
    <x v="0"/>
    <n v="2592000"/>
    <x v="65"/>
    <x v="0"/>
  </r>
  <r>
    <x v="0"/>
    <s v="275"/>
    <x v="0"/>
    <x v="0"/>
    <x v="0"/>
    <x v="1"/>
    <n v="2796000"/>
    <x v="65"/>
    <x v="0"/>
  </r>
  <r>
    <x v="0"/>
    <s v="275"/>
    <x v="0"/>
    <x v="54"/>
    <x v="0"/>
    <x v="0"/>
    <n v="2400000"/>
    <x v="65"/>
    <x v="0"/>
  </r>
  <r>
    <x v="0"/>
    <s v="275"/>
    <x v="0"/>
    <x v="54"/>
    <x v="0"/>
    <x v="1"/>
    <n v="2450000"/>
    <x v="65"/>
    <x v="0"/>
  </r>
  <r>
    <x v="0"/>
    <s v="275"/>
    <x v="0"/>
    <x v="122"/>
    <x v="0"/>
    <x v="0"/>
    <n v="834000"/>
    <x v="65"/>
    <x v="0"/>
  </r>
  <r>
    <x v="0"/>
    <s v="275"/>
    <x v="0"/>
    <x v="122"/>
    <x v="0"/>
    <x v="1"/>
    <n v="798000"/>
    <x v="65"/>
    <x v="0"/>
  </r>
  <r>
    <x v="0"/>
    <s v="3000302000"/>
    <x v="0"/>
    <x v="0"/>
    <x v="0"/>
    <x v="0"/>
    <n v="808569000"/>
    <x v="66"/>
    <x v="0"/>
  </r>
  <r>
    <x v="0"/>
    <s v="3000302000"/>
    <x v="0"/>
    <x v="0"/>
    <x v="0"/>
    <x v="1"/>
    <n v="781230000"/>
    <x v="66"/>
    <x v="0"/>
  </r>
  <r>
    <x v="0"/>
    <s v="3000302000"/>
    <x v="0"/>
    <x v="27"/>
    <x v="1"/>
    <x v="0"/>
    <n v="95844000"/>
    <x v="66"/>
    <x v="0"/>
  </r>
  <r>
    <x v="0"/>
    <s v="3000302000"/>
    <x v="0"/>
    <x v="27"/>
    <x v="1"/>
    <x v="1"/>
    <n v="72757000"/>
    <x v="66"/>
    <x v="0"/>
  </r>
  <r>
    <x v="0"/>
    <s v="3000302000"/>
    <x v="0"/>
    <x v="28"/>
    <x v="3"/>
    <x v="0"/>
    <n v="3250000"/>
    <x v="66"/>
    <x v="0"/>
  </r>
  <r>
    <x v="0"/>
    <s v="3000302000"/>
    <x v="0"/>
    <x v="28"/>
    <x v="3"/>
    <x v="1"/>
    <n v="3250000"/>
    <x v="66"/>
    <x v="0"/>
  </r>
  <r>
    <x v="0"/>
    <s v="3000401000"/>
    <x v="0"/>
    <x v="0"/>
    <x v="0"/>
    <x v="0"/>
    <n v="1130054000"/>
    <x v="66"/>
    <x v="0"/>
  </r>
  <r>
    <x v="0"/>
    <s v="3000401000"/>
    <x v="0"/>
    <x v="0"/>
    <x v="0"/>
    <x v="1"/>
    <n v="1210591000"/>
    <x v="66"/>
    <x v="0"/>
  </r>
  <r>
    <x v="0"/>
    <s v="3000401000"/>
    <x v="0"/>
    <x v="27"/>
    <x v="1"/>
    <x v="0"/>
    <n v="1201908000"/>
    <x v="66"/>
    <x v="0"/>
  </r>
  <r>
    <x v="0"/>
    <s v="3000401000"/>
    <x v="0"/>
    <x v="27"/>
    <x v="1"/>
    <x v="1"/>
    <n v="1234859000"/>
    <x v="66"/>
    <x v="0"/>
  </r>
  <r>
    <x v="0"/>
    <s v="3000401000"/>
    <x v="0"/>
    <x v="28"/>
    <x v="3"/>
    <x v="0"/>
    <n v="2029000"/>
    <x v="66"/>
    <x v="0"/>
  </r>
  <r>
    <x v="0"/>
    <s v="3000401000"/>
    <x v="0"/>
    <x v="28"/>
    <x v="3"/>
    <x v="1"/>
    <n v="2029000"/>
    <x v="66"/>
    <x v="0"/>
  </r>
  <r>
    <x v="0"/>
    <s v="3000401000"/>
    <x v="0"/>
    <x v="267"/>
    <x v="0"/>
    <x v="0"/>
    <n v="31120000"/>
    <x v="66"/>
    <x v="0"/>
  </r>
  <r>
    <x v="0"/>
    <s v="3000401000"/>
    <x v="0"/>
    <x v="267"/>
    <x v="0"/>
    <x v="1"/>
    <n v="1000000"/>
    <x v="66"/>
    <x v="0"/>
  </r>
  <r>
    <x v="0"/>
    <s v="3000402000"/>
    <x v="0"/>
    <x v="0"/>
    <x v="0"/>
    <x v="0"/>
    <n v="138715000"/>
    <x v="66"/>
    <x v="0"/>
  </r>
  <r>
    <x v="0"/>
    <s v="3000402000"/>
    <x v="0"/>
    <x v="0"/>
    <x v="0"/>
    <x v="1"/>
    <n v="141014000"/>
    <x v="66"/>
    <x v="0"/>
  </r>
  <r>
    <x v="0"/>
    <s v="3000402000"/>
    <x v="0"/>
    <x v="27"/>
    <x v="1"/>
    <x v="0"/>
    <n v="127988000"/>
    <x v="66"/>
    <x v="0"/>
  </r>
  <r>
    <x v="0"/>
    <s v="3000402000"/>
    <x v="0"/>
    <x v="27"/>
    <x v="1"/>
    <x v="1"/>
    <n v="127130000"/>
    <x v="66"/>
    <x v="0"/>
  </r>
  <r>
    <x v="0"/>
    <s v="3000402000"/>
    <x v="0"/>
    <x v="28"/>
    <x v="3"/>
    <x v="0"/>
    <n v="9760000"/>
    <x v="66"/>
    <x v="0"/>
  </r>
  <r>
    <x v="0"/>
    <s v="3000402000"/>
    <x v="0"/>
    <x v="28"/>
    <x v="3"/>
    <x v="1"/>
    <n v="9728000"/>
    <x v="66"/>
    <x v="0"/>
  </r>
  <r>
    <x v="0"/>
    <s v="3000408000"/>
    <x v="0"/>
    <x v="0"/>
    <x v="0"/>
    <x v="0"/>
    <n v="66000"/>
    <x v="66"/>
    <x v="0"/>
  </r>
  <r>
    <x v="0"/>
    <s v="3000408000"/>
    <x v="0"/>
    <x v="0"/>
    <x v="0"/>
    <x v="1"/>
    <n v="66000"/>
    <x v="66"/>
    <x v="0"/>
  </r>
  <r>
    <x v="0"/>
    <s v="3000408000"/>
    <x v="0"/>
    <x v="27"/>
    <x v="1"/>
    <x v="0"/>
    <n v="547000"/>
    <x v="66"/>
    <x v="0"/>
  </r>
  <r>
    <x v="0"/>
    <s v="3000408000"/>
    <x v="0"/>
    <x v="27"/>
    <x v="1"/>
    <x v="1"/>
    <n v="547000"/>
    <x v="66"/>
    <x v="0"/>
  </r>
  <r>
    <x v="0"/>
    <s v="3000409000"/>
    <x v="0"/>
    <x v="0"/>
    <x v="0"/>
    <x v="0"/>
    <n v="3582000"/>
    <x v="66"/>
    <x v="0"/>
  </r>
  <r>
    <x v="0"/>
    <s v="3000409000"/>
    <x v="0"/>
    <x v="0"/>
    <x v="0"/>
    <x v="1"/>
    <n v="3660000"/>
    <x v="66"/>
    <x v="0"/>
  </r>
  <r>
    <x v="0"/>
    <s v="3000409000"/>
    <x v="0"/>
    <x v="27"/>
    <x v="1"/>
    <x v="0"/>
    <n v="2113000"/>
    <x v="66"/>
    <x v="0"/>
  </r>
  <r>
    <x v="0"/>
    <s v="3000409000"/>
    <x v="0"/>
    <x v="27"/>
    <x v="1"/>
    <x v="1"/>
    <n v="2136000"/>
    <x v="66"/>
    <x v="0"/>
  </r>
  <r>
    <x v="0"/>
    <s v="300050"/>
    <x v="0"/>
    <x v="0"/>
    <x v="0"/>
    <x v="0"/>
    <n v="2168094000"/>
    <x v="66"/>
    <x v="0"/>
  </r>
  <r>
    <x v="0"/>
    <s v="300050"/>
    <x v="0"/>
    <x v="0"/>
    <x v="0"/>
    <x v="1"/>
    <n v="2415596000"/>
    <x v="66"/>
    <x v="0"/>
  </r>
  <r>
    <x v="0"/>
    <s v="300050"/>
    <x v="0"/>
    <x v="27"/>
    <x v="1"/>
    <x v="0"/>
    <n v="2765217000"/>
    <x v="66"/>
    <x v="0"/>
  </r>
  <r>
    <x v="0"/>
    <s v="300050"/>
    <x v="0"/>
    <x v="27"/>
    <x v="1"/>
    <x v="1"/>
    <n v="2906916000"/>
    <x v="66"/>
    <x v="0"/>
  </r>
  <r>
    <x v="0"/>
    <s v="300050"/>
    <x v="0"/>
    <x v="28"/>
    <x v="3"/>
    <x v="0"/>
    <n v="25886000"/>
    <x v="66"/>
    <x v="0"/>
  </r>
  <r>
    <x v="0"/>
    <s v="300050"/>
    <x v="0"/>
    <x v="28"/>
    <x v="3"/>
    <x v="1"/>
    <n v="27833000"/>
    <x v="66"/>
    <x v="0"/>
  </r>
  <r>
    <x v="0"/>
    <s v="300050"/>
    <x v="0"/>
    <x v="268"/>
    <x v="0"/>
    <x v="0"/>
    <n v="2792000"/>
    <x v="66"/>
    <x v="0"/>
  </r>
  <r>
    <x v="0"/>
    <s v="300050"/>
    <x v="0"/>
    <x v="268"/>
    <x v="0"/>
    <x v="1"/>
    <n v="1694000"/>
    <x v="66"/>
    <x v="0"/>
  </r>
  <r>
    <x v="0"/>
    <s v="300050"/>
    <x v="0"/>
    <x v="269"/>
    <x v="0"/>
    <x v="0"/>
    <n v="66680000"/>
    <x v="66"/>
    <x v="0"/>
  </r>
  <r>
    <x v="0"/>
    <s v="300050"/>
    <x v="0"/>
    <x v="269"/>
    <x v="0"/>
    <x v="1"/>
    <n v="66680000"/>
    <x v="66"/>
    <x v="0"/>
  </r>
  <r>
    <x v="0"/>
    <s v="300050"/>
    <x v="0"/>
    <x v="138"/>
    <x v="0"/>
    <x v="0"/>
    <n v="19111000"/>
    <x v="66"/>
    <x v="0"/>
  </r>
  <r>
    <x v="0"/>
    <s v="300050"/>
    <x v="0"/>
    <x v="138"/>
    <x v="0"/>
    <x v="1"/>
    <n v="34590000"/>
    <x v="66"/>
    <x v="0"/>
  </r>
  <r>
    <x v="0"/>
    <s v="300060"/>
    <x v="0"/>
    <x v="0"/>
    <x v="0"/>
    <x v="0"/>
    <n v="679581000"/>
    <x v="66"/>
    <x v="0"/>
  </r>
  <r>
    <x v="0"/>
    <s v="300060"/>
    <x v="0"/>
    <x v="0"/>
    <x v="0"/>
    <x v="1"/>
    <n v="771647000"/>
    <x v="66"/>
    <x v="0"/>
  </r>
  <r>
    <x v="0"/>
    <s v="300060"/>
    <x v="0"/>
    <x v="27"/>
    <x v="1"/>
    <x v="0"/>
    <n v="855788000"/>
    <x v="66"/>
    <x v="0"/>
  </r>
  <r>
    <x v="0"/>
    <s v="300060"/>
    <x v="0"/>
    <x v="27"/>
    <x v="1"/>
    <x v="1"/>
    <n v="829210000"/>
    <x v="66"/>
    <x v="0"/>
  </r>
  <r>
    <x v="0"/>
    <s v="300060"/>
    <x v="0"/>
    <x v="28"/>
    <x v="3"/>
    <x v="0"/>
    <n v="2637000"/>
    <x v="66"/>
    <x v="0"/>
  </r>
  <r>
    <x v="0"/>
    <s v="300060"/>
    <x v="0"/>
    <x v="28"/>
    <x v="3"/>
    <x v="1"/>
    <n v="2637000"/>
    <x v="66"/>
    <x v="0"/>
  </r>
  <r>
    <x v="0"/>
    <s v="300060"/>
    <x v="0"/>
    <x v="77"/>
    <x v="4"/>
    <x v="0"/>
    <n v="5941000"/>
    <x v="66"/>
    <x v="0"/>
  </r>
  <r>
    <x v="0"/>
    <s v="300060"/>
    <x v="0"/>
    <x v="77"/>
    <x v="4"/>
    <x v="1"/>
    <n v="3367000"/>
    <x v="66"/>
    <x v="0"/>
  </r>
  <r>
    <x v="0"/>
    <s v="300060"/>
    <x v="0"/>
    <x v="270"/>
    <x v="0"/>
    <x v="0"/>
    <n v="1202000"/>
    <x v="66"/>
    <x v="0"/>
  </r>
  <r>
    <x v="0"/>
    <s v="300060"/>
    <x v="0"/>
    <x v="270"/>
    <x v="0"/>
    <x v="1"/>
    <n v="1202000"/>
    <x v="66"/>
    <x v="0"/>
  </r>
  <r>
    <x v="0"/>
    <s v="300100"/>
    <x v="0"/>
    <x v="0"/>
    <x v="0"/>
    <x v="0"/>
    <n v="26677000"/>
    <x v="66"/>
    <x v="0"/>
  </r>
  <r>
    <x v="0"/>
    <s v="300100"/>
    <x v="0"/>
    <x v="0"/>
    <x v="0"/>
    <x v="1"/>
    <n v="26976000"/>
    <x v="66"/>
    <x v="0"/>
  </r>
  <r>
    <x v="0"/>
    <s v="300100"/>
    <x v="0"/>
    <x v="27"/>
    <x v="1"/>
    <x v="0"/>
    <n v="54330000"/>
    <x v="66"/>
    <x v="0"/>
  </r>
  <r>
    <x v="0"/>
    <s v="300100"/>
    <x v="0"/>
    <x v="27"/>
    <x v="1"/>
    <x v="1"/>
    <n v="55717000"/>
    <x v="66"/>
    <x v="0"/>
  </r>
  <r>
    <x v="0"/>
    <s v="300110"/>
    <x v="0"/>
    <x v="0"/>
    <x v="0"/>
    <x v="0"/>
    <n v="50946000"/>
    <x v="66"/>
    <x v="0"/>
  </r>
  <r>
    <x v="0"/>
    <s v="300110"/>
    <x v="0"/>
    <x v="0"/>
    <x v="0"/>
    <x v="1"/>
    <n v="62924000"/>
    <x v="66"/>
    <x v="0"/>
  </r>
  <r>
    <x v="0"/>
    <s v="300110"/>
    <x v="0"/>
    <x v="27"/>
    <x v="1"/>
    <x v="0"/>
    <n v="30413000"/>
    <x v="66"/>
    <x v="0"/>
  </r>
  <r>
    <x v="0"/>
    <s v="300110"/>
    <x v="0"/>
    <x v="27"/>
    <x v="1"/>
    <x v="1"/>
    <n v="32180000"/>
    <x v="66"/>
    <x v="0"/>
  </r>
  <r>
    <x v="0"/>
    <s v="300110"/>
    <x v="0"/>
    <x v="59"/>
    <x v="0"/>
    <x v="1"/>
    <n v="2000000"/>
    <x v="66"/>
    <x v="0"/>
  </r>
  <r>
    <x v="0"/>
    <s v="300135"/>
    <x v="0"/>
    <x v="0"/>
    <x v="0"/>
    <x v="0"/>
    <n v="81273000"/>
    <x v="66"/>
    <x v="0"/>
  </r>
  <r>
    <x v="0"/>
    <s v="300135"/>
    <x v="0"/>
    <x v="0"/>
    <x v="0"/>
    <x v="1"/>
    <n v="80519000"/>
    <x v="66"/>
    <x v="0"/>
  </r>
  <r>
    <x v="0"/>
    <s v="300145"/>
    <x v="0"/>
    <x v="0"/>
    <x v="0"/>
    <x v="0"/>
    <n v="66435000"/>
    <x v="66"/>
    <x v="0"/>
  </r>
  <r>
    <x v="0"/>
    <s v="300145"/>
    <x v="0"/>
    <x v="0"/>
    <x v="0"/>
    <x v="1"/>
    <n v="85489000"/>
    <x v="66"/>
    <x v="0"/>
  </r>
  <r>
    <x v="0"/>
    <s v="300145"/>
    <x v="0"/>
    <x v="27"/>
    <x v="1"/>
    <x v="0"/>
    <n v="28820000"/>
    <x v="66"/>
    <x v="0"/>
  </r>
  <r>
    <x v="0"/>
    <s v="300145"/>
    <x v="0"/>
    <x v="27"/>
    <x v="1"/>
    <x v="1"/>
    <n v="34149000"/>
    <x v="66"/>
    <x v="0"/>
  </r>
  <r>
    <x v="0"/>
    <s v="300900"/>
    <x v="1"/>
    <x v="271"/>
    <x v="0"/>
    <x v="0"/>
    <n v="6418000"/>
    <x v="66"/>
    <x v="0"/>
  </r>
  <r>
    <x v="0"/>
    <s v="300900"/>
    <x v="1"/>
    <x v="271"/>
    <x v="0"/>
    <x v="1"/>
    <n v="6418000"/>
    <x v="66"/>
    <x v="0"/>
  </r>
  <r>
    <x v="0"/>
    <s v="300900"/>
    <x v="1"/>
    <x v="1"/>
    <x v="0"/>
    <x v="0"/>
    <n v="373534000"/>
    <x v="66"/>
    <x v="0"/>
  </r>
  <r>
    <x v="0"/>
    <s v="300900"/>
    <x v="1"/>
    <x v="1"/>
    <x v="0"/>
    <x v="1"/>
    <n v="373534000"/>
    <x v="66"/>
    <x v="0"/>
  </r>
  <r>
    <x v="0"/>
    <s v="300900"/>
    <x v="1"/>
    <x v="111"/>
    <x v="0"/>
    <x v="0"/>
    <n v="2270000"/>
    <x v="66"/>
    <x v="0"/>
  </r>
  <r>
    <x v="0"/>
    <s v="300900"/>
    <x v="1"/>
    <x v="111"/>
    <x v="0"/>
    <x v="1"/>
    <n v="2270000"/>
    <x v="66"/>
    <x v="0"/>
  </r>
  <r>
    <x v="0"/>
    <s v="300900"/>
    <x v="1"/>
    <x v="59"/>
    <x v="0"/>
    <x v="0"/>
    <n v="5078500"/>
    <x v="66"/>
    <x v="0"/>
  </r>
  <r>
    <x v="0"/>
    <s v="300900"/>
    <x v="1"/>
    <x v="59"/>
    <x v="0"/>
    <x v="1"/>
    <n v="5078500"/>
    <x v="66"/>
    <x v="0"/>
  </r>
  <r>
    <x v="0"/>
    <s v="300900"/>
    <x v="1"/>
    <x v="112"/>
    <x v="0"/>
    <x v="0"/>
    <n v="6850000"/>
    <x v="66"/>
    <x v="0"/>
  </r>
  <r>
    <x v="0"/>
    <s v="300900"/>
    <x v="1"/>
    <x v="112"/>
    <x v="0"/>
    <x v="1"/>
    <n v="6850000"/>
    <x v="66"/>
    <x v="0"/>
  </r>
  <r>
    <x v="0"/>
    <s v="303"/>
    <x v="0"/>
    <x v="0"/>
    <x v="0"/>
    <x v="0"/>
    <n v="190116000"/>
    <x v="67"/>
    <x v="0"/>
  </r>
  <r>
    <x v="0"/>
    <s v="303"/>
    <x v="0"/>
    <x v="0"/>
    <x v="0"/>
    <x v="1"/>
    <n v="184729000"/>
    <x v="67"/>
    <x v="0"/>
  </r>
  <r>
    <x v="0"/>
    <s v="303"/>
    <x v="0"/>
    <x v="27"/>
    <x v="1"/>
    <x v="0"/>
    <n v="288352000"/>
    <x v="67"/>
    <x v="0"/>
  </r>
  <r>
    <x v="0"/>
    <s v="303"/>
    <x v="0"/>
    <x v="27"/>
    <x v="1"/>
    <x v="1"/>
    <n v="301260000"/>
    <x v="67"/>
    <x v="0"/>
  </r>
  <r>
    <x v="0"/>
    <s v="303"/>
    <x v="0"/>
    <x v="28"/>
    <x v="3"/>
    <x v="0"/>
    <n v="90339000"/>
    <x v="67"/>
    <x v="0"/>
  </r>
  <r>
    <x v="0"/>
    <s v="303"/>
    <x v="0"/>
    <x v="28"/>
    <x v="3"/>
    <x v="1"/>
    <n v="98963000"/>
    <x v="67"/>
    <x v="0"/>
  </r>
  <r>
    <x v="0"/>
    <s v="303"/>
    <x v="0"/>
    <x v="272"/>
    <x v="0"/>
    <x v="0"/>
    <n v="258000"/>
    <x v="67"/>
    <x v="0"/>
  </r>
  <r>
    <x v="0"/>
    <s v="303"/>
    <x v="0"/>
    <x v="272"/>
    <x v="0"/>
    <x v="1"/>
    <n v="334000"/>
    <x v="67"/>
    <x v="0"/>
  </r>
  <r>
    <x v="0"/>
    <s v="303"/>
    <x v="0"/>
    <x v="37"/>
    <x v="0"/>
    <x v="0"/>
    <n v="95971000"/>
    <x v="67"/>
    <x v="0"/>
  </r>
  <r>
    <x v="0"/>
    <s v="303"/>
    <x v="0"/>
    <x v="37"/>
    <x v="0"/>
    <x v="1"/>
    <n v="101157000"/>
    <x v="67"/>
    <x v="0"/>
  </r>
  <r>
    <x v="0"/>
    <s v="303"/>
    <x v="0"/>
    <x v="273"/>
    <x v="0"/>
    <x v="0"/>
    <n v="214000"/>
    <x v="67"/>
    <x v="0"/>
  </r>
  <r>
    <x v="0"/>
    <s v="303"/>
    <x v="0"/>
    <x v="273"/>
    <x v="0"/>
    <x v="1"/>
    <n v="428000"/>
    <x v="67"/>
    <x v="0"/>
  </r>
  <r>
    <x v="0"/>
    <s v="303"/>
    <x v="0"/>
    <x v="131"/>
    <x v="0"/>
    <x v="0"/>
    <n v="5260000"/>
    <x v="67"/>
    <x v="0"/>
  </r>
  <r>
    <x v="0"/>
    <s v="303"/>
    <x v="0"/>
    <x v="131"/>
    <x v="0"/>
    <x v="1"/>
    <n v="4915000"/>
    <x v="67"/>
    <x v="0"/>
  </r>
  <r>
    <x v="0"/>
    <s v="303"/>
    <x v="0"/>
    <x v="274"/>
    <x v="0"/>
    <x v="0"/>
    <n v="4874000"/>
    <x v="67"/>
    <x v="0"/>
  </r>
  <r>
    <x v="0"/>
    <s v="303"/>
    <x v="0"/>
    <x v="274"/>
    <x v="0"/>
    <x v="1"/>
    <n v="4090000"/>
    <x v="67"/>
    <x v="0"/>
  </r>
  <r>
    <x v="0"/>
    <s v="303"/>
    <x v="0"/>
    <x v="275"/>
    <x v="1"/>
    <x v="0"/>
    <n v="13143000"/>
    <x v="67"/>
    <x v="0"/>
  </r>
  <r>
    <x v="0"/>
    <s v="303"/>
    <x v="0"/>
    <x v="275"/>
    <x v="1"/>
    <x v="1"/>
    <n v="12758000"/>
    <x v="67"/>
    <x v="0"/>
  </r>
  <r>
    <x v="0"/>
    <s v="303"/>
    <x v="0"/>
    <x v="276"/>
    <x v="0"/>
    <x v="0"/>
    <n v="1066000"/>
    <x v="67"/>
    <x v="0"/>
  </r>
  <r>
    <x v="0"/>
    <s v="303"/>
    <x v="0"/>
    <x v="276"/>
    <x v="0"/>
    <x v="1"/>
    <n v="1023000"/>
    <x v="67"/>
    <x v="0"/>
  </r>
  <r>
    <x v="0"/>
    <s v="303"/>
    <x v="0"/>
    <x v="277"/>
    <x v="0"/>
    <x v="0"/>
    <n v="1238000"/>
    <x v="67"/>
    <x v="0"/>
  </r>
  <r>
    <x v="0"/>
    <s v="303"/>
    <x v="0"/>
    <x v="277"/>
    <x v="0"/>
    <x v="1"/>
    <n v="1241000"/>
    <x v="67"/>
    <x v="0"/>
  </r>
  <r>
    <x v="0"/>
    <s v="303"/>
    <x v="0"/>
    <x v="278"/>
    <x v="2"/>
    <x v="0"/>
    <n v="556000"/>
    <x v="67"/>
    <x v="0"/>
  </r>
  <r>
    <x v="0"/>
    <s v="303"/>
    <x v="0"/>
    <x v="278"/>
    <x v="2"/>
    <x v="1"/>
    <n v="558000"/>
    <x v="67"/>
    <x v="0"/>
  </r>
  <r>
    <x v="0"/>
    <s v="303"/>
    <x v="0"/>
    <x v="279"/>
    <x v="0"/>
    <x v="0"/>
    <n v="76000"/>
    <x v="67"/>
    <x v="0"/>
  </r>
  <r>
    <x v="0"/>
    <s v="303"/>
    <x v="0"/>
    <x v="279"/>
    <x v="0"/>
    <x v="1"/>
    <n v="121000"/>
    <x v="67"/>
    <x v="0"/>
  </r>
  <r>
    <x v="0"/>
    <s v="303"/>
    <x v="0"/>
    <x v="280"/>
    <x v="0"/>
    <x v="0"/>
    <n v="872000"/>
    <x v="67"/>
    <x v="0"/>
  </r>
  <r>
    <x v="0"/>
    <s v="303"/>
    <x v="0"/>
    <x v="280"/>
    <x v="0"/>
    <x v="1"/>
    <n v="900000"/>
    <x v="67"/>
    <x v="0"/>
  </r>
  <r>
    <x v="0"/>
    <s v="303"/>
    <x v="0"/>
    <x v="281"/>
    <x v="2"/>
    <x v="0"/>
    <n v="57307000"/>
    <x v="67"/>
    <x v="0"/>
  </r>
  <r>
    <x v="0"/>
    <s v="303"/>
    <x v="0"/>
    <x v="281"/>
    <x v="2"/>
    <x v="1"/>
    <n v="84090000"/>
    <x v="67"/>
    <x v="0"/>
  </r>
  <r>
    <x v="0"/>
    <s v="303"/>
    <x v="0"/>
    <x v="68"/>
    <x v="0"/>
    <x v="0"/>
    <n v="1500000"/>
    <x v="67"/>
    <x v="0"/>
  </r>
  <r>
    <x v="0"/>
    <s v="303"/>
    <x v="0"/>
    <x v="68"/>
    <x v="0"/>
    <x v="1"/>
    <n v="1527000"/>
    <x v="67"/>
    <x v="0"/>
  </r>
  <r>
    <x v="0"/>
    <s v="303"/>
    <x v="0"/>
    <x v="38"/>
    <x v="0"/>
    <x v="0"/>
    <n v="2608000"/>
    <x v="67"/>
    <x v="0"/>
  </r>
  <r>
    <x v="0"/>
    <s v="303"/>
    <x v="0"/>
    <x v="38"/>
    <x v="0"/>
    <x v="1"/>
    <n v="2630000"/>
    <x v="67"/>
    <x v="0"/>
  </r>
  <r>
    <x v="0"/>
    <s v="303"/>
    <x v="0"/>
    <x v="282"/>
    <x v="2"/>
    <x v="0"/>
    <n v="174000"/>
    <x v="67"/>
    <x v="0"/>
  </r>
  <r>
    <x v="0"/>
    <s v="303"/>
    <x v="0"/>
    <x v="282"/>
    <x v="2"/>
    <x v="1"/>
    <n v="583000"/>
    <x v="67"/>
    <x v="0"/>
  </r>
  <r>
    <x v="0"/>
    <s v="303"/>
    <x v="0"/>
    <x v="283"/>
    <x v="0"/>
    <x v="0"/>
    <n v="734000"/>
    <x v="67"/>
    <x v="0"/>
  </r>
  <r>
    <x v="0"/>
    <s v="303"/>
    <x v="0"/>
    <x v="283"/>
    <x v="0"/>
    <x v="1"/>
    <n v="740000"/>
    <x v="67"/>
    <x v="0"/>
  </r>
  <r>
    <x v="0"/>
    <s v="303"/>
    <x v="0"/>
    <x v="284"/>
    <x v="0"/>
    <x v="0"/>
    <n v="1360000"/>
    <x v="67"/>
    <x v="0"/>
  </r>
  <r>
    <x v="0"/>
    <s v="303"/>
    <x v="0"/>
    <x v="284"/>
    <x v="0"/>
    <x v="1"/>
    <n v="1912000"/>
    <x v="67"/>
    <x v="0"/>
  </r>
  <r>
    <x v="0"/>
    <s v="303"/>
    <x v="0"/>
    <x v="39"/>
    <x v="0"/>
    <x v="0"/>
    <n v="4691000"/>
    <x v="67"/>
    <x v="0"/>
  </r>
  <r>
    <x v="0"/>
    <s v="303"/>
    <x v="0"/>
    <x v="39"/>
    <x v="0"/>
    <x v="1"/>
    <n v="5691000"/>
    <x v="67"/>
    <x v="0"/>
  </r>
  <r>
    <x v="0"/>
    <s v="303"/>
    <x v="0"/>
    <x v="40"/>
    <x v="0"/>
    <x v="0"/>
    <n v="23066000"/>
    <x v="67"/>
    <x v="0"/>
  </r>
  <r>
    <x v="0"/>
    <s v="303"/>
    <x v="0"/>
    <x v="118"/>
    <x v="0"/>
    <x v="0"/>
    <n v="21926000"/>
    <x v="67"/>
    <x v="0"/>
  </r>
  <r>
    <x v="0"/>
    <s v="303"/>
    <x v="0"/>
    <x v="118"/>
    <x v="0"/>
    <x v="1"/>
    <n v="33140000"/>
    <x v="67"/>
    <x v="0"/>
  </r>
  <r>
    <x v="0"/>
    <s v="303"/>
    <x v="0"/>
    <x v="119"/>
    <x v="0"/>
    <x v="0"/>
    <n v="453000"/>
    <x v="67"/>
    <x v="0"/>
  </r>
  <r>
    <x v="0"/>
    <s v="303"/>
    <x v="0"/>
    <x v="119"/>
    <x v="0"/>
    <x v="1"/>
    <n v="449000"/>
    <x v="67"/>
    <x v="0"/>
  </r>
  <r>
    <x v="0"/>
    <s v="303"/>
    <x v="0"/>
    <x v="59"/>
    <x v="0"/>
    <x v="0"/>
    <n v="34012000"/>
    <x v="67"/>
    <x v="0"/>
  </r>
  <r>
    <x v="0"/>
    <s v="303"/>
    <x v="0"/>
    <x v="59"/>
    <x v="0"/>
    <x v="1"/>
    <n v="55810000"/>
    <x v="67"/>
    <x v="0"/>
  </r>
  <r>
    <x v="0"/>
    <s v="303"/>
    <x v="0"/>
    <x v="94"/>
    <x v="0"/>
    <x v="0"/>
    <n v="36000"/>
    <x v="67"/>
    <x v="0"/>
  </r>
  <r>
    <x v="0"/>
    <s v="303"/>
    <x v="0"/>
    <x v="94"/>
    <x v="0"/>
    <x v="1"/>
    <n v="36000"/>
    <x v="67"/>
    <x v="0"/>
  </r>
  <r>
    <x v="0"/>
    <s v="303"/>
    <x v="0"/>
    <x v="285"/>
    <x v="2"/>
    <x v="0"/>
    <n v="89000000"/>
    <x v="67"/>
    <x v="0"/>
  </r>
  <r>
    <x v="0"/>
    <s v="303"/>
    <x v="0"/>
    <x v="285"/>
    <x v="2"/>
    <x v="1"/>
    <n v="46000000"/>
    <x v="67"/>
    <x v="0"/>
  </r>
  <r>
    <x v="0"/>
    <s v="303"/>
    <x v="0"/>
    <x v="30"/>
    <x v="0"/>
    <x v="0"/>
    <n v="4150000"/>
    <x v="67"/>
    <x v="0"/>
  </r>
  <r>
    <x v="0"/>
    <s v="303"/>
    <x v="0"/>
    <x v="30"/>
    <x v="0"/>
    <x v="1"/>
    <n v="15635000"/>
    <x v="67"/>
    <x v="0"/>
  </r>
  <r>
    <x v="0"/>
    <s v="303"/>
    <x v="0"/>
    <x v="101"/>
    <x v="0"/>
    <x v="0"/>
    <n v="11863000"/>
    <x v="67"/>
    <x v="0"/>
  </r>
  <r>
    <x v="0"/>
    <s v="303"/>
    <x v="0"/>
    <x v="101"/>
    <x v="0"/>
    <x v="1"/>
    <n v="12368000"/>
    <x v="67"/>
    <x v="0"/>
  </r>
  <r>
    <x v="0"/>
    <s v="303"/>
    <x v="0"/>
    <x v="286"/>
    <x v="3"/>
    <x v="0"/>
    <n v="2417000"/>
    <x v="67"/>
    <x v="0"/>
  </r>
  <r>
    <x v="0"/>
    <s v="303"/>
    <x v="0"/>
    <x v="286"/>
    <x v="3"/>
    <x v="1"/>
    <n v="1700000"/>
    <x v="67"/>
    <x v="0"/>
  </r>
  <r>
    <x v="0"/>
    <s v="303"/>
    <x v="0"/>
    <x v="182"/>
    <x v="0"/>
    <x v="0"/>
    <n v="193000"/>
    <x v="67"/>
    <x v="0"/>
  </r>
  <r>
    <x v="0"/>
    <s v="303"/>
    <x v="0"/>
    <x v="182"/>
    <x v="0"/>
    <x v="1"/>
    <n v="194000"/>
    <x v="67"/>
    <x v="0"/>
  </r>
  <r>
    <x v="0"/>
    <s v="303"/>
    <x v="0"/>
    <x v="139"/>
    <x v="0"/>
    <x v="0"/>
    <n v="29000"/>
    <x v="67"/>
    <x v="0"/>
  </r>
  <r>
    <x v="0"/>
    <s v="303"/>
    <x v="0"/>
    <x v="139"/>
    <x v="0"/>
    <x v="1"/>
    <n v="29000"/>
    <x v="67"/>
    <x v="0"/>
  </r>
  <r>
    <x v="0"/>
    <s v="303"/>
    <x v="0"/>
    <x v="287"/>
    <x v="2"/>
    <x v="0"/>
    <n v="9058000"/>
    <x v="67"/>
    <x v="0"/>
  </r>
  <r>
    <x v="0"/>
    <s v="303"/>
    <x v="0"/>
    <x v="287"/>
    <x v="2"/>
    <x v="1"/>
    <n v="22058000"/>
    <x v="67"/>
    <x v="0"/>
  </r>
  <r>
    <x v="0"/>
    <s v="303"/>
    <x v="0"/>
    <x v="43"/>
    <x v="1"/>
    <x v="0"/>
    <n v="3222000"/>
    <x v="67"/>
    <x v="0"/>
  </r>
  <r>
    <x v="0"/>
    <s v="303900"/>
    <x v="1"/>
    <x v="288"/>
    <x v="0"/>
    <x v="0"/>
    <n v="1750000"/>
    <x v="67"/>
    <x v="0"/>
  </r>
  <r>
    <x v="0"/>
    <s v="303900"/>
    <x v="1"/>
    <x v="288"/>
    <x v="0"/>
    <x v="1"/>
    <n v="1750000"/>
    <x v="67"/>
    <x v="0"/>
  </r>
  <r>
    <x v="0"/>
    <s v="303900"/>
    <x v="1"/>
    <x v="275"/>
    <x v="1"/>
    <x v="0"/>
    <n v="65500000"/>
    <x v="67"/>
    <x v="0"/>
  </r>
  <r>
    <x v="0"/>
    <s v="303900"/>
    <x v="1"/>
    <x v="275"/>
    <x v="1"/>
    <x v="1"/>
    <n v="65500000"/>
    <x v="67"/>
    <x v="0"/>
  </r>
  <r>
    <x v="0"/>
    <s v="303900"/>
    <x v="1"/>
    <x v="1"/>
    <x v="0"/>
    <x v="0"/>
    <n v="32190000"/>
    <x v="67"/>
    <x v="0"/>
  </r>
  <r>
    <x v="0"/>
    <s v="303900"/>
    <x v="1"/>
    <x v="1"/>
    <x v="0"/>
    <x v="1"/>
    <n v="32190000"/>
    <x v="67"/>
    <x v="0"/>
  </r>
  <r>
    <x v="0"/>
    <s v="303900"/>
    <x v="1"/>
    <x v="111"/>
    <x v="0"/>
    <x v="0"/>
    <n v="1100000"/>
    <x v="67"/>
    <x v="0"/>
  </r>
  <r>
    <x v="0"/>
    <s v="303900"/>
    <x v="1"/>
    <x v="111"/>
    <x v="0"/>
    <x v="1"/>
    <n v="1100000"/>
    <x v="67"/>
    <x v="0"/>
  </r>
  <r>
    <x v="0"/>
    <s v="305010"/>
    <x v="0"/>
    <x v="0"/>
    <x v="0"/>
    <x v="0"/>
    <n v="5029000"/>
    <x v="68"/>
    <x v="0"/>
  </r>
  <r>
    <x v="0"/>
    <s v="305010"/>
    <x v="0"/>
    <x v="0"/>
    <x v="0"/>
    <x v="1"/>
    <n v="5324000"/>
    <x v="68"/>
    <x v="0"/>
  </r>
  <r>
    <x v="0"/>
    <s v="305010"/>
    <x v="0"/>
    <x v="271"/>
    <x v="0"/>
    <x v="0"/>
    <n v="5000"/>
    <x v="68"/>
    <x v="0"/>
  </r>
  <r>
    <x v="0"/>
    <s v="305010"/>
    <x v="0"/>
    <x v="271"/>
    <x v="0"/>
    <x v="1"/>
    <n v="5000"/>
    <x v="68"/>
    <x v="0"/>
  </r>
  <r>
    <x v="0"/>
    <s v="305010"/>
    <x v="0"/>
    <x v="289"/>
    <x v="2"/>
    <x v="0"/>
    <n v="8000"/>
    <x v="68"/>
    <x v="0"/>
  </r>
  <r>
    <x v="0"/>
    <s v="305010"/>
    <x v="0"/>
    <x v="289"/>
    <x v="2"/>
    <x v="1"/>
    <n v="8000"/>
    <x v="68"/>
    <x v="0"/>
  </r>
  <r>
    <x v="0"/>
    <s v="305020"/>
    <x v="0"/>
    <x v="0"/>
    <x v="0"/>
    <x v="0"/>
    <n v="11113000"/>
    <x v="68"/>
    <x v="0"/>
  </r>
  <r>
    <x v="0"/>
    <s v="305020"/>
    <x v="0"/>
    <x v="0"/>
    <x v="0"/>
    <x v="1"/>
    <n v="12007000"/>
    <x v="68"/>
    <x v="0"/>
  </r>
  <r>
    <x v="0"/>
    <s v="305020"/>
    <x v="0"/>
    <x v="27"/>
    <x v="1"/>
    <x v="0"/>
    <n v="5165000"/>
    <x v="68"/>
    <x v="0"/>
  </r>
  <r>
    <x v="0"/>
    <s v="305020"/>
    <x v="0"/>
    <x v="27"/>
    <x v="1"/>
    <x v="1"/>
    <n v="5163000"/>
    <x v="68"/>
    <x v="0"/>
  </r>
  <r>
    <x v="0"/>
    <s v="305020"/>
    <x v="0"/>
    <x v="28"/>
    <x v="3"/>
    <x v="0"/>
    <n v="3242000"/>
    <x v="68"/>
    <x v="0"/>
  </r>
  <r>
    <x v="0"/>
    <s v="305020"/>
    <x v="0"/>
    <x v="28"/>
    <x v="3"/>
    <x v="1"/>
    <n v="3300000"/>
    <x v="68"/>
    <x v="0"/>
  </r>
  <r>
    <x v="0"/>
    <s v="305020"/>
    <x v="0"/>
    <x v="290"/>
    <x v="2"/>
    <x v="0"/>
    <n v="52000"/>
    <x v="68"/>
    <x v="0"/>
  </r>
  <r>
    <x v="0"/>
    <s v="305020"/>
    <x v="0"/>
    <x v="290"/>
    <x v="2"/>
    <x v="1"/>
    <n v="56000"/>
    <x v="68"/>
    <x v="0"/>
  </r>
  <r>
    <x v="0"/>
    <s v="305020"/>
    <x v="0"/>
    <x v="291"/>
    <x v="3"/>
    <x v="0"/>
    <n v="360000"/>
    <x v="68"/>
    <x v="0"/>
  </r>
  <r>
    <x v="0"/>
    <s v="305020"/>
    <x v="0"/>
    <x v="291"/>
    <x v="3"/>
    <x v="1"/>
    <n v="358000"/>
    <x v="68"/>
    <x v="0"/>
  </r>
  <r>
    <x v="0"/>
    <s v="305035"/>
    <x v="0"/>
    <x v="0"/>
    <x v="0"/>
    <x v="0"/>
    <n v="26775000"/>
    <x v="68"/>
    <x v="0"/>
  </r>
  <r>
    <x v="0"/>
    <s v="305035"/>
    <x v="0"/>
    <x v="0"/>
    <x v="0"/>
    <x v="1"/>
    <n v="19507000"/>
    <x v="68"/>
    <x v="0"/>
  </r>
  <r>
    <x v="0"/>
    <s v="305035"/>
    <x v="0"/>
    <x v="27"/>
    <x v="1"/>
    <x v="0"/>
    <n v="65605000"/>
    <x v="68"/>
    <x v="0"/>
  </r>
  <r>
    <x v="0"/>
    <s v="305035"/>
    <x v="0"/>
    <x v="27"/>
    <x v="1"/>
    <x v="1"/>
    <n v="70591000"/>
    <x v="68"/>
    <x v="0"/>
  </r>
  <r>
    <x v="0"/>
    <s v="305035"/>
    <x v="0"/>
    <x v="28"/>
    <x v="3"/>
    <x v="0"/>
    <n v="5736000"/>
    <x v="68"/>
    <x v="0"/>
  </r>
  <r>
    <x v="0"/>
    <s v="305035"/>
    <x v="0"/>
    <x v="28"/>
    <x v="3"/>
    <x v="1"/>
    <n v="6246000"/>
    <x v="68"/>
    <x v="0"/>
  </r>
  <r>
    <x v="0"/>
    <s v="305045"/>
    <x v="0"/>
    <x v="0"/>
    <x v="0"/>
    <x v="0"/>
    <n v="167000"/>
    <x v="68"/>
    <x v="0"/>
  </r>
  <r>
    <x v="0"/>
    <s v="305045"/>
    <x v="0"/>
    <x v="0"/>
    <x v="0"/>
    <x v="1"/>
    <n v="169000"/>
    <x v="68"/>
    <x v="0"/>
  </r>
  <r>
    <x v="0"/>
    <s v="305045"/>
    <x v="0"/>
    <x v="27"/>
    <x v="1"/>
    <x v="0"/>
    <n v="534000"/>
    <x v="68"/>
    <x v="0"/>
  </r>
  <r>
    <x v="0"/>
    <s v="305045"/>
    <x v="0"/>
    <x v="27"/>
    <x v="1"/>
    <x v="1"/>
    <n v="521000"/>
    <x v="68"/>
    <x v="0"/>
  </r>
  <r>
    <x v="0"/>
    <s v="305045"/>
    <x v="0"/>
    <x v="290"/>
    <x v="2"/>
    <x v="0"/>
    <n v="368000"/>
    <x v="68"/>
    <x v="0"/>
  </r>
  <r>
    <x v="0"/>
    <s v="305045"/>
    <x v="0"/>
    <x v="290"/>
    <x v="2"/>
    <x v="1"/>
    <n v="359000"/>
    <x v="68"/>
    <x v="0"/>
  </r>
  <r>
    <x v="0"/>
    <s v="305900"/>
    <x v="1"/>
    <x v="27"/>
    <x v="1"/>
    <x v="0"/>
    <n v="4334000"/>
    <x v="68"/>
    <x v="0"/>
  </r>
  <r>
    <x v="0"/>
    <s v="305900"/>
    <x v="1"/>
    <x v="27"/>
    <x v="1"/>
    <x v="1"/>
    <n v="4334000"/>
    <x v="68"/>
    <x v="0"/>
  </r>
  <r>
    <x v="0"/>
    <s v="305900"/>
    <x v="1"/>
    <x v="271"/>
    <x v="0"/>
    <x v="0"/>
    <n v="300000"/>
    <x v="68"/>
    <x v="0"/>
  </r>
  <r>
    <x v="0"/>
    <s v="305900"/>
    <x v="1"/>
    <x v="271"/>
    <x v="0"/>
    <x v="1"/>
    <n v="300000"/>
    <x v="68"/>
    <x v="0"/>
  </r>
  <r>
    <x v="0"/>
    <s v="305900"/>
    <x v="1"/>
    <x v="1"/>
    <x v="0"/>
    <x v="0"/>
    <n v="5870500"/>
    <x v="68"/>
    <x v="0"/>
  </r>
  <r>
    <x v="0"/>
    <s v="305900"/>
    <x v="1"/>
    <x v="1"/>
    <x v="0"/>
    <x v="1"/>
    <n v="5870500"/>
    <x v="68"/>
    <x v="0"/>
  </r>
  <r>
    <x v="0"/>
    <s v="305900"/>
    <x v="1"/>
    <x v="59"/>
    <x v="0"/>
    <x v="0"/>
    <n v="200000"/>
    <x v="68"/>
    <x v="0"/>
  </r>
  <r>
    <x v="0"/>
    <s v="305900"/>
    <x v="1"/>
    <x v="59"/>
    <x v="0"/>
    <x v="1"/>
    <n v="200000"/>
    <x v="68"/>
    <x v="0"/>
  </r>
  <r>
    <x v="0"/>
    <s v="307010"/>
    <x v="0"/>
    <x v="0"/>
    <x v="0"/>
    <x v="0"/>
    <n v="488871000"/>
    <x v="69"/>
    <x v="0"/>
  </r>
  <r>
    <x v="0"/>
    <s v="307010"/>
    <x v="0"/>
    <x v="0"/>
    <x v="0"/>
    <x v="1"/>
    <n v="527084000"/>
    <x v="69"/>
    <x v="0"/>
  </r>
  <r>
    <x v="0"/>
    <s v="307010"/>
    <x v="0"/>
    <x v="27"/>
    <x v="1"/>
    <x v="0"/>
    <n v="259133000"/>
    <x v="69"/>
    <x v="0"/>
  </r>
  <r>
    <x v="0"/>
    <s v="307010"/>
    <x v="0"/>
    <x v="27"/>
    <x v="1"/>
    <x v="1"/>
    <n v="259516000"/>
    <x v="69"/>
    <x v="0"/>
  </r>
  <r>
    <x v="0"/>
    <s v="307010"/>
    <x v="0"/>
    <x v="28"/>
    <x v="3"/>
    <x v="0"/>
    <n v="1412000"/>
    <x v="69"/>
    <x v="0"/>
  </r>
  <r>
    <x v="0"/>
    <s v="307010"/>
    <x v="0"/>
    <x v="28"/>
    <x v="3"/>
    <x v="1"/>
    <n v="1412000"/>
    <x v="69"/>
    <x v="0"/>
  </r>
  <r>
    <x v="0"/>
    <s v="307010"/>
    <x v="0"/>
    <x v="30"/>
    <x v="0"/>
    <x v="0"/>
    <n v="1152000"/>
    <x v="69"/>
    <x v="0"/>
  </r>
  <r>
    <x v="0"/>
    <s v="307010"/>
    <x v="0"/>
    <x v="30"/>
    <x v="0"/>
    <x v="1"/>
    <n v="5655000"/>
    <x v="69"/>
    <x v="0"/>
  </r>
  <r>
    <x v="0"/>
    <s v="307020"/>
    <x v="0"/>
    <x v="0"/>
    <x v="0"/>
    <x v="0"/>
    <n v="152459000"/>
    <x v="69"/>
    <x v="0"/>
  </r>
  <r>
    <x v="0"/>
    <s v="307020"/>
    <x v="0"/>
    <x v="0"/>
    <x v="0"/>
    <x v="1"/>
    <n v="154077000"/>
    <x v="69"/>
    <x v="0"/>
  </r>
  <r>
    <x v="0"/>
    <s v="307020"/>
    <x v="0"/>
    <x v="27"/>
    <x v="1"/>
    <x v="0"/>
    <n v="342000"/>
    <x v="69"/>
    <x v="0"/>
  </r>
  <r>
    <x v="0"/>
    <s v="307020"/>
    <x v="0"/>
    <x v="27"/>
    <x v="1"/>
    <x v="1"/>
    <n v="352000"/>
    <x v="69"/>
    <x v="0"/>
  </r>
  <r>
    <x v="0"/>
    <s v="307020"/>
    <x v="0"/>
    <x v="28"/>
    <x v="3"/>
    <x v="0"/>
    <n v="102000"/>
    <x v="69"/>
    <x v="0"/>
  </r>
  <r>
    <x v="0"/>
    <s v="307020"/>
    <x v="0"/>
    <x v="28"/>
    <x v="3"/>
    <x v="1"/>
    <n v="103000"/>
    <x v="69"/>
    <x v="0"/>
  </r>
  <r>
    <x v="0"/>
    <s v="307020"/>
    <x v="0"/>
    <x v="209"/>
    <x v="0"/>
    <x v="0"/>
    <n v="98000"/>
    <x v="69"/>
    <x v="0"/>
  </r>
  <r>
    <x v="0"/>
    <s v="307020"/>
    <x v="0"/>
    <x v="209"/>
    <x v="0"/>
    <x v="1"/>
    <n v="98000"/>
    <x v="69"/>
    <x v="0"/>
  </r>
  <r>
    <x v="0"/>
    <s v="307030"/>
    <x v="0"/>
    <x v="0"/>
    <x v="0"/>
    <x v="0"/>
    <n v="586784000"/>
    <x v="69"/>
    <x v="0"/>
  </r>
  <r>
    <x v="0"/>
    <s v="307030"/>
    <x v="0"/>
    <x v="0"/>
    <x v="0"/>
    <x v="1"/>
    <n v="756322000"/>
    <x v="69"/>
    <x v="0"/>
  </r>
  <r>
    <x v="0"/>
    <s v="307030"/>
    <x v="0"/>
    <x v="27"/>
    <x v="1"/>
    <x v="0"/>
    <n v="264086000"/>
    <x v="69"/>
    <x v="0"/>
  </r>
  <r>
    <x v="0"/>
    <s v="307030"/>
    <x v="0"/>
    <x v="27"/>
    <x v="1"/>
    <x v="1"/>
    <n v="228980000"/>
    <x v="69"/>
    <x v="0"/>
  </r>
  <r>
    <x v="0"/>
    <s v="307030"/>
    <x v="0"/>
    <x v="28"/>
    <x v="3"/>
    <x v="0"/>
    <n v="52000"/>
    <x v="69"/>
    <x v="0"/>
  </r>
  <r>
    <x v="0"/>
    <s v="307030"/>
    <x v="0"/>
    <x v="28"/>
    <x v="3"/>
    <x v="1"/>
    <n v="52000"/>
    <x v="69"/>
    <x v="0"/>
  </r>
  <r>
    <x v="0"/>
    <s v="307030"/>
    <x v="0"/>
    <x v="77"/>
    <x v="4"/>
    <x v="0"/>
    <n v="156726000"/>
    <x v="69"/>
    <x v="0"/>
  </r>
  <r>
    <x v="0"/>
    <s v="307030"/>
    <x v="0"/>
    <x v="292"/>
    <x v="5"/>
    <x v="0"/>
    <n v="11025000"/>
    <x v="69"/>
    <x v="0"/>
  </r>
  <r>
    <x v="0"/>
    <s v="307030"/>
    <x v="0"/>
    <x v="128"/>
    <x v="0"/>
    <x v="0"/>
    <n v="171277000"/>
    <x v="69"/>
    <x v="0"/>
  </r>
  <r>
    <x v="0"/>
    <s v="307030"/>
    <x v="0"/>
    <x v="128"/>
    <x v="0"/>
    <x v="1"/>
    <n v="214124000"/>
    <x v="69"/>
    <x v="0"/>
  </r>
  <r>
    <x v="0"/>
    <s v="307030"/>
    <x v="0"/>
    <x v="293"/>
    <x v="2"/>
    <x v="0"/>
    <n v="239000"/>
    <x v="69"/>
    <x v="0"/>
  </r>
  <r>
    <x v="0"/>
    <s v="307030"/>
    <x v="0"/>
    <x v="293"/>
    <x v="2"/>
    <x v="1"/>
    <n v="58000"/>
    <x v="69"/>
    <x v="0"/>
  </r>
  <r>
    <x v="0"/>
    <s v="307030"/>
    <x v="0"/>
    <x v="294"/>
    <x v="0"/>
    <x v="0"/>
    <n v="17055000"/>
    <x v="69"/>
    <x v="0"/>
  </r>
  <r>
    <x v="0"/>
    <s v="307030"/>
    <x v="0"/>
    <x v="294"/>
    <x v="0"/>
    <x v="1"/>
    <n v="18739000"/>
    <x v="69"/>
    <x v="0"/>
  </r>
  <r>
    <x v="0"/>
    <s v="307030"/>
    <x v="0"/>
    <x v="295"/>
    <x v="1"/>
    <x v="0"/>
    <n v="18928000"/>
    <x v="69"/>
    <x v="0"/>
  </r>
  <r>
    <x v="0"/>
    <s v="307030"/>
    <x v="0"/>
    <x v="295"/>
    <x v="1"/>
    <x v="1"/>
    <n v="18328000"/>
    <x v="69"/>
    <x v="0"/>
  </r>
  <r>
    <x v="0"/>
    <s v="307030"/>
    <x v="0"/>
    <x v="296"/>
    <x v="0"/>
    <x v="0"/>
    <n v="40000000"/>
    <x v="69"/>
    <x v="0"/>
  </r>
  <r>
    <x v="0"/>
    <s v="307030"/>
    <x v="0"/>
    <x v="296"/>
    <x v="0"/>
    <x v="1"/>
    <n v="40000000"/>
    <x v="69"/>
    <x v="0"/>
  </r>
  <r>
    <x v="0"/>
    <s v="307030"/>
    <x v="0"/>
    <x v="297"/>
    <x v="2"/>
    <x v="0"/>
    <n v="414000"/>
    <x v="69"/>
    <x v="0"/>
  </r>
  <r>
    <x v="0"/>
    <s v="307030"/>
    <x v="0"/>
    <x v="297"/>
    <x v="2"/>
    <x v="1"/>
    <n v="127000"/>
    <x v="69"/>
    <x v="0"/>
  </r>
  <r>
    <x v="0"/>
    <s v="307030"/>
    <x v="0"/>
    <x v="34"/>
    <x v="0"/>
    <x v="0"/>
    <n v="10035000"/>
    <x v="69"/>
    <x v="0"/>
  </r>
  <r>
    <x v="0"/>
    <s v="307030"/>
    <x v="0"/>
    <x v="34"/>
    <x v="0"/>
    <x v="1"/>
    <n v="12729000"/>
    <x v="69"/>
    <x v="0"/>
  </r>
  <r>
    <x v="0"/>
    <s v="307030"/>
    <x v="0"/>
    <x v="30"/>
    <x v="0"/>
    <x v="1"/>
    <n v="3179000"/>
    <x v="69"/>
    <x v="0"/>
  </r>
  <r>
    <x v="0"/>
    <s v="307090"/>
    <x v="0"/>
    <x v="0"/>
    <x v="0"/>
    <x v="0"/>
    <n v="371994000"/>
    <x v="69"/>
    <x v="0"/>
  </r>
  <r>
    <x v="0"/>
    <s v="307090"/>
    <x v="0"/>
    <x v="0"/>
    <x v="0"/>
    <x v="1"/>
    <n v="293151000"/>
    <x v="69"/>
    <x v="0"/>
  </r>
  <r>
    <x v="0"/>
    <s v="307090"/>
    <x v="0"/>
    <x v="27"/>
    <x v="1"/>
    <x v="0"/>
    <n v="84102000"/>
    <x v="69"/>
    <x v="0"/>
  </r>
  <r>
    <x v="0"/>
    <s v="307090"/>
    <x v="0"/>
    <x v="27"/>
    <x v="1"/>
    <x v="1"/>
    <n v="87840000"/>
    <x v="69"/>
    <x v="0"/>
  </r>
  <r>
    <x v="0"/>
    <s v="307090"/>
    <x v="0"/>
    <x v="28"/>
    <x v="3"/>
    <x v="0"/>
    <n v="1007000"/>
    <x v="69"/>
    <x v="0"/>
  </r>
  <r>
    <x v="0"/>
    <s v="307090"/>
    <x v="0"/>
    <x v="28"/>
    <x v="3"/>
    <x v="1"/>
    <n v="1124000"/>
    <x v="69"/>
    <x v="0"/>
  </r>
  <r>
    <x v="0"/>
    <s v="307090"/>
    <x v="0"/>
    <x v="128"/>
    <x v="0"/>
    <x v="0"/>
    <n v="366000"/>
    <x v="69"/>
    <x v="0"/>
  </r>
  <r>
    <x v="0"/>
    <s v="307090"/>
    <x v="0"/>
    <x v="128"/>
    <x v="0"/>
    <x v="1"/>
    <n v="378000"/>
    <x v="69"/>
    <x v="0"/>
  </r>
  <r>
    <x v="0"/>
    <s v="307090"/>
    <x v="0"/>
    <x v="294"/>
    <x v="0"/>
    <x v="0"/>
    <n v="240000"/>
    <x v="69"/>
    <x v="0"/>
  </r>
  <r>
    <x v="0"/>
    <s v="307090"/>
    <x v="0"/>
    <x v="294"/>
    <x v="0"/>
    <x v="1"/>
    <n v="242000"/>
    <x v="69"/>
    <x v="0"/>
  </r>
  <r>
    <x v="0"/>
    <s v="307090"/>
    <x v="0"/>
    <x v="295"/>
    <x v="1"/>
    <x v="0"/>
    <n v="190000"/>
    <x v="69"/>
    <x v="0"/>
  </r>
  <r>
    <x v="0"/>
    <s v="307090"/>
    <x v="0"/>
    <x v="295"/>
    <x v="1"/>
    <x v="1"/>
    <n v="190000"/>
    <x v="69"/>
    <x v="0"/>
  </r>
  <r>
    <x v="0"/>
    <s v="307090"/>
    <x v="0"/>
    <x v="297"/>
    <x v="2"/>
    <x v="0"/>
    <n v="125000"/>
    <x v="69"/>
    <x v="0"/>
  </r>
  <r>
    <x v="0"/>
    <s v="307090"/>
    <x v="0"/>
    <x v="297"/>
    <x v="2"/>
    <x v="1"/>
    <n v="125000"/>
    <x v="69"/>
    <x v="0"/>
  </r>
  <r>
    <x v="0"/>
    <s v="307900"/>
    <x v="1"/>
    <x v="1"/>
    <x v="0"/>
    <x v="0"/>
    <n v="10955000"/>
    <x v="69"/>
    <x v="0"/>
  </r>
  <r>
    <x v="0"/>
    <s v="307900"/>
    <x v="1"/>
    <x v="1"/>
    <x v="0"/>
    <x v="1"/>
    <n v="10955000"/>
    <x v="69"/>
    <x v="0"/>
  </r>
  <r>
    <x v="0"/>
    <s v="307900"/>
    <x v="1"/>
    <x v="59"/>
    <x v="0"/>
    <x v="0"/>
    <n v="1724500"/>
    <x v="69"/>
    <x v="0"/>
  </r>
  <r>
    <x v="0"/>
    <s v="307900"/>
    <x v="1"/>
    <x v="59"/>
    <x v="0"/>
    <x v="1"/>
    <n v="1724500"/>
    <x v="69"/>
    <x v="0"/>
  </r>
  <r>
    <x v="0"/>
    <s v="310100"/>
    <x v="0"/>
    <x v="0"/>
    <x v="0"/>
    <x v="0"/>
    <n v="100954000"/>
    <x v="70"/>
    <x v="0"/>
  </r>
  <r>
    <x v="0"/>
    <s v="310100"/>
    <x v="0"/>
    <x v="0"/>
    <x v="0"/>
    <x v="1"/>
    <n v="101424000"/>
    <x v="70"/>
    <x v="0"/>
  </r>
  <r>
    <x v="0"/>
    <s v="310100"/>
    <x v="0"/>
    <x v="27"/>
    <x v="1"/>
    <x v="0"/>
    <n v="200000"/>
    <x v="70"/>
    <x v="0"/>
  </r>
  <r>
    <x v="0"/>
    <s v="310100"/>
    <x v="0"/>
    <x v="27"/>
    <x v="1"/>
    <x v="1"/>
    <n v="200000"/>
    <x v="70"/>
    <x v="0"/>
  </r>
  <r>
    <x v="0"/>
    <s v="310100"/>
    <x v="0"/>
    <x v="28"/>
    <x v="3"/>
    <x v="0"/>
    <n v="84000"/>
    <x v="70"/>
    <x v="0"/>
  </r>
  <r>
    <x v="0"/>
    <s v="310100"/>
    <x v="0"/>
    <x v="28"/>
    <x v="3"/>
    <x v="1"/>
    <n v="84000"/>
    <x v="70"/>
    <x v="0"/>
  </r>
  <r>
    <x v="0"/>
    <s v="310200"/>
    <x v="0"/>
    <x v="0"/>
    <x v="0"/>
    <x v="0"/>
    <n v="480993000"/>
    <x v="70"/>
    <x v="0"/>
  </r>
  <r>
    <x v="0"/>
    <s v="310200"/>
    <x v="0"/>
    <x v="0"/>
    <x v="0"/>
    <x v="1"/>
    <n v="766311000"/>
    <x v="70"/>
    <x v="0"/>
  </r>
  <r>
    <x v="0"/>
    <s v="310200"/>
    <x v="0"/>
    <x v="27"/>
    <x v="1"/>
    <x v="0"/>
    <n v="2272000"/>
    <x v="70"/>
    <x v="0"/>
  </r>
  <r>
    <x v="0"/>
    <s v="310200"/>
    <x v="0"/>
    <x v="27"/>
    <x v="1"/>
    <x v="1"/>
    <n v="2054000"/>
    <x v="70"/>
    <x v="0"/>
  </r>
  <r>
    <x v="0"/>
    <s v="310200"/>
    <x v="0"/>
    <x v="28"/>
    <x v="3"/>
    <x v="0"/>
    <n v="167000"/>
    <x v="70"/>
    <x v="0"/>
  </r>
  <r>
    <x v="0"/>
    <s v="310200"/>
    <x v="0"/>
    <x v="28"/>
    <x v="3"/>
    <x v="1"/>
    <n v="167000"/>
    <x v="70"/>
    <x v="0"/>
  </r>
  <r>
    <x v="0"/>
    <s v="310200"/>
    <x v="0"/>
    <x v="209"/>
    <x v="0"/>
    <x v="0"/>
    <n v="2418000"/>
    <x v="70"/>
    <x v="0"/>
  </r>
  <r>
    <x v="0"/>
    <s v="310200"/>
    <x v="0"/>
    <x v="209"/>
    <x v="0"/>
    <x v="1"/>
    <n v="2419000"/>
    <x v="70"/>
    <x v="0"/>
  </r>
  <r>
    <x v="0"/>
    <s v="310200"/>
    <x v="0"/>
    <x v="30"/>
    <x v="0"/>
    <x v="1"/>
    <n v="217000"/>
    <x v="70"/>
    <x v="0"/>
  </r>
  <r>
    <x v="0"/>
    <s v="310200"/>
    <x v="0"/>
    <x v="43"/>
    <x v="1"/>
    <x v="0"/>
    <n v="262300000"/>
    <x v="70"/>
    <x v="0"/>
  </r>
  <r>
    <x v="0"/>
    <s v="310300"/>
    <x v="0"/>
    <x v="0"/>
    <x v="0"/>
    <x v="0"/>
    <n v="252551000"/>
    <x v="70"/>
    <x v="0"/>
  </r>
  <r>
    <x v="0"/>
    <s v="310300"/>
    <x v="0"/>
    <x v="0"/>
    <x v="0"/>
    <x v="1"/>
    <n v="259315000"/>
    <x v="70"/>
    <x v="0"/>
  </r>
  <r>
    <x v="0"/>
    <s v="310300"/>
    <x v="0"/>
    <x v="27"/>
    <x v="1"/>
    <x v="0"/>
    <n v="2494000"/>
    <x v="70"/>
    <x v="0"/>
  </r>
  <r>
    <x v="0"/>
    <s v="310300"/>
    <x v="0"/>
    <x v="27"/>
    <x v="1"/>
    <x v="1"/>
    <n v="1648000"/>
    <x v="70"/>
    <x v="0"/>
  </r>
  <r>
    <x v="0"/>
    <s v="310300"/>
    <x v="0"/>
    <x v="28"/>
    <x v="3"/>
    <x v="0"/>
    <n v="5000"/>
    <x v="70"/>
    <x v="0"/>
  </r>
  <r>
    <x v="0"/>
    <s v="310300"/>
    <x v="0"/>
    <x v="28"/>
    <x v="3"/>
    <x v="1"/>
    <n v="5000"/>
    <x v="70"/>
    <x v="0"/>
  </r>
  <r>
    <x v="0"/>
    <s v="310300"/>
    <x v="0"/>
    <x v="66"/>
    <x v="2"/>
    <x v="0"/>
    <n v="186000"/>
    <x v="70"/>
    <x v="0"/>
  </r>
  <r>
    <x v="0"/>
    <s v="310300"/>
    <x v="0"/>
    <x v="66"/>
    <x v="2"/>
    <x v="1"/>
    <n v="186000"/>
    <x v="70"/>
    <x v="0"/>
  </r>
  <r>
    <x v="0"/>
    <s v="310300"/>
    <x v="0"/>
    <x v="152"/>
    <x v="2"/>
    <x v="0"/>
    <n v="32000"/>
    <x v="70"/>
    <x v="0"/>
  </r>
  <r>
    <x v="0"/>
    <s v="310300"/>
    <x v="0"/>
    <x v="152"/>
    <x v="2"/>
    <x v="1"/>
    <n v="32000"/>
    <x v="70"/>
    <x v="0"/>
  </r>
  <r>
    <x v="0"/>
    <s v="310400"/>
    <x v="0"/>
    <x v="0"/>
    <x v="0"/>
    <x v="0"/>
    <n v="9348000"/>
    <x v="70"/>
    <x v="0"/>
  </r>
  <r>
    <x v="0"/>
    <s v="310400"/>
    <x v="0"/>
    <x v="0"/>
    <x v="0"/>
    <x v="1"/>
    <n v="9100000"/>
    <x v="70"/>
    <x v="0"/>
  </r>
  <r>
    <x v="0"/>
    <s v="310400"/>
    <x v="0"/>
    <x v="27"/>
    <x v="1"/>
    <x v="0"/>
    <n v="300000"/>
    <x v="70"/>
    <x v="0"/>
  </r>
  <r>
    <x v="0"/>
    <s v="310400"/>
    <x v="0"/>
    <x v="27"/>
    <x v="1"/>
    <x v="1"/>
    <n v="300000"/>
    <x v="70"/>
    <x v="0"/>
  </r>
  <r>
    <x v="0"/>
    <s v="310400"/>
    <x v="0"/>
    <x v="28"/>
    <x v="3"/>
    <x v="0"/>
    <n v="1317000"/>
    <x v="70"/>
    <x v="0"/>
  </r>
  <r>
    <x v="0"/>
    <s v="310400"/>
    <x v="0"/>
    <x v="28"/>
    <x v="3"/>
    <x v="1"/>
    <n v="1317000"/>
    <x v="70"/>
    <x v="0"/>
  </r>
  <r>
    <x v="0"/>
    <s v="310400"/>
    <x v="0"/>
    <x v="298"/>
    <x v="2"/>
    <x v="0"/>
    <n v="1000000"/>
    <x v="70"/>
    <x v="0"/>
  </r>
  <r>
    <x v="0"/>
    <s v="310400"/>
    <x v="0"/>
    <x v="298"/>
    <x v="2"/>
    <x v="1"/>
    <n v="1000000"/>
    <x v="70"/>
    <x v="0"/>
  </r>
  <r>
    <x v="0"/>
    <s v="310500"/>
    <x v="0"/>
    <x v="0"/>
    <x v="0"/>
    <x v="0"/>
    <n v="251239000"/>
    <x v="70"/>
    <x v="0"/>
  </r>
  <r>
    <x v="0"/>
    <s v="310500"/>
    <x v="0"/>
    <x v="0"/>
    <x v="0"/>
    <x v="1"/>
    <n v="262391000"/>
    <x v="70"/>
    <x v="0"/>
  </r>
  <r>
    <x v="0"/>
    <s v="310500"/>
    <x v="0"/>
    <x v="27"/>
    <x v="1"/>
    <x v="0"/>
    <n v="3360000"/>
    <x v="70"/>
    <x v="0"/>
  </r>
  <r>
    <x v="0"/>
    <s v="310500"/>
    <x v="0"/>
    <x v="27"/>
    <x v="1"/>
    <x v="1"/>
    <n v="3360000"/>
    <x v="70"/>
    <x v="0"/>
  </r>
  <r>
    <x v="0"/>
    <s v="310500"/>
    <x v="0"/>
    <x v="28"/>
    <x v="3"/>
    <x v="0"/>
    <n v="1000"/>
    <x v="70"/>
    <x v="0"/>
  </r>
  <r>
    <x v="0"/>
    <s v="310500"/>
    <x v="0"/>
    <x v="28"/>
    <x v="3"/>
    <x v="1"/>
    <n v="1000"/>
    <x v="70"/>
    <x v="0"/>
  </r>
  <r>
    <x v="0"/>
    <s v="310500"/>
    <x v="0"/>
    <x v="30"/>
    <x v="0"/>
    <x v="1"/>
    <n v="4458000"/>
    <x v="70"/>
    <x v="0"/>
  </r>
  <r>
    <x v="0"/>
    <s v="310600"/>
    <x v="0"/>
    <x v="0"/>
    <x v="0"/>
    <x v="0"/>
    <n v="67877000"/>
    <x v="70"/>
    <x v="0"/>
  </r>
  <r>
    <x v="0"/>
    <s v="310600"/>
    <x v="0"/>
    <x v="0"/>
    <x v="0"/>
    <x v="1"/>
    <n v="79185000"/>
    <x v="70"/>
    <x v="0"/>
  </r>
  <r>
    <x v="0"/>
    <s v="310600"/>
    <x v="0"/>
    <x v="30"/>
    <x v="0"/>
    <x v="1"/>
    <n v="25000"/>
    <x v="70"/>
    <x v="0"/>
  </r>
  <r>
    <x v="0"/>
    <s v="310700"/>
    <x v="0"/>
    <x v="0"/>
    <x v="0"/>
    <x v="0"/>
    <n v="85926000"/>
    <x v="70"/>
    <x v="0"/>
  </r>
  <r>
    <x v="0"/>
    <s v="310700"/>
    <x v="0"/>
    <x v="0"/>
    <x v="0"/>
    <x v="1"/>
    <n v="90206000"/>
    <x v="70"/>
    <x v="0"/>
  </r>
  <r>
    <x v="0"/>
    <s v="310700"/>
    <x v="0"/>
    <x v="27"/>
    <x v="1"/>
    <x v="0"/>
    <n v="718000"/>
    <x v="70"/>
    <x v="0"/>
  </r>
  <r>
    <x v="0"/>
    <s v="310700"/>
    <x v="0"/>
    <x v="27"/>
    <x v="1"/>
    <x v="1"/>
    <n v="718000"/>
    <x v="70"/>
    <x v="0"/>
  </r>
  <r>
    <x v="0"/>
    <s v="310900"/>
    <x v="1"/>
    <x v="1"/>
    <x v="0"/>
    <x v="0"/>
    <n v="39671500"/>
    <x v="70"/>
    <x v="0"/>
  </r>
  <r>
    <x v="0"/>
    <s v="310900"/>
    <x v="1"/>
    <x v="1"/>
    <x v="0"/>
    <x v="1"/>
    <n v="39671500"/>
    <x v="70"/>
    <x v="0"/>
  </r>
  <r>
    <x v="0"/>
    <s v="310900"/>
    <x v="1"/>
    <x v="111"/>
    <x v="0"/>
    <x v="0"/>
    <n v="300000"/>
    <x v="70"/>
    <x v="0"/>
  </r>
  <r>
    <x v="0"/>
    <s v="310900"/>
    <x v="1"/>
    <x v="111"/>
    <x v="0"/>
    <x v="1"/>
    <n v="300000"/>
    <x v="70"/>
    <x v="0"/>
  </r>
  <r>
    <x v="0"/>
    <s v="310900"/>
    <x v="1"/>
    <x v="59"/>
    <x v="0"/>
    <x v="0"/>
    <n v="1100000"/>
    <x v="70"/>
    <x v="0"/>
  </r>
  <r>
    <x v="0"/>
    <s v="310900"/>
    <x v="1"/>
    <x v="59"/>
    <x v="0"/>
    <x v="1"/>
    <n v="1100000"/>
    <x v="70"/>
    <x v="0"/>
  </r>
  <r>
    <x v="0"/>
    <s v="315"/>
    <x v="0"/>
    <x v="0"/>
    <x v="0"/>
    <x v="0"/>
    <n v="7065000"/>
    <x v="71"/>
    <x v="0"/>
  </r>
  <r>
    <x v="0"/>
    <s v="315"/>
    <x v="0"/>
    <x v="0"/>
    <x v="0"/>
    <x v="1"/>
    <n v="9370000"/>
    <x v="71"/>
    <x v="0"/>
  </r>
  <r>
    <x v="0"/>
    <s v="315"/>
    <x v="0"/>
    <x v="27"/>
    <x v="1"/>
    <x v="0"/>
    <n v="17804000"/>
    <x v="71"/>
    <x v="0"/>
  </r>
  <r>
    <x v="0"/>
    <s v="315"/>
    <x v="0"/>
    <x v="27"/>
    <x v="1"/>
    <x v="1"/>
    <n v="15020000"/>
    <x v="71"/>
    <x v="0"/>
  </r>
  <r>
    <x v="0"/>
    <s v="315"/>
    <x v="0"/>
    <x v="28"/>
    <x v="3"/>
    <x v="0"/>
    <n v="33000"/>
    <x v="71"/>
    <x v="0"/>
  </r>
  <r>
    <x v="0"/>
    <s v="315"/>
    <x v="0"/>
    <x v="28"/>
    <x v="3"/>
    <x v="1"/>
    <n v="34000"/>
    <x v="71"/>
    <x v="0"/>
  </r>
  <r>
    <x v="0"/>
    <s v="315"/>
    <x v="0"/>
    <x v="299"/>
    <x v="2"/>
    <x v="0"/>
    <n v="1110000"/>
    <x v="71"/>
    <x v="0"/>
  </r>
  <r>
    <x v="0"/>
    <s v="315"/>
    <x v="0"/>
    <x v="299"/>
    <x v="2"/>
    <x v="1"/>
    <n v="1110000"/>
    <x v="71"/>
    <x v="0"/>
  </r>
  <r>
    <x v="0"/>
    <s v="340PCA"/>
    <x v="0"/>
    <x v="0"/>
    <x v="0"/>
    <x v="0"/>
    <n v="9891000"/>
    <x v="72"/>
    <x v="0"/>
  </r>
  <r>
    <x v="0"/>
    <s v="340PCA"/>
    <x v="0"/>
    <x v="0"/>
    <x v="0"/>
    <x v="1"/>
    <n v="10294000"/>
    <x v="72"/>
    <x v="0"/>
  </r>
  <r>
    <x v="0"/>
    <s v="340PCA"/>
    <x v="0"/>
    <x v="27"/>
    <x v="1"/>
    <x v="0"/>
    <n v="11992000"/>
    <x v="72"/>
    <x v="0"/>
  </r>
  <r>
    <x v="0"/>
    <s v="340PCA"/>
    <x v="0"/>
    <x v="27"/>
    <x v="1"/>
    <x v="1"/>
    <n v="9006000"/>
    <x v="72"/>
    <x v="0"/>
  </r>
  <r>
    <x v="0"/>
    <s v="340PCA"/>
    <x v="0"/>
    <x v="300"/>
    <x v="2"/>
    <x v="0"/>
    <n v="175000"/>
    <x v="72"/>
    <x v="0"/>
  </r>
  <r>
    <x v="0"/>
    <s v="340PCA"/>
    <x v="0"/>
    <x v="300"/>
    <x v="2"/>
    <x v="1"/>
    <n v="175000"/>
    <x v="72"/>
    <x v="0"/>
  </r>
  <r>
    <x v="0"/>
    <s v="340PCA"/>
    <x v="0"/>
    <x v="301"/>
    <x v="2"/>
    <x v="0"/>
    <n v="225000"/>
    <x v="72"/>
    <x v="0"/>
  </r>
  <r>
    <x v="0"/>
    <s v="340PCA"/>
    <x v="0"/>
    <x v="301"/>
    <x v="2"/>
    <x v="1"/>
    <n v="225000"/>
    <x v="72"/>
    <x v="0"/>
  </r>
  <r>
    <x v="0"/>
    <s v="340PCA"/>
    <x v="0"/>
    <x v="34"/>
    <x v="0"/>
    <x v="0"/>
    <n v="7790000"/>
    <x v="72"/>
    <x v="0"/>
  </r>
  <r>
    <x v="0"/>
    <s v="340PCA"/>
    <x v="0"/>
    <x v="34"/>
    <x v="0"/>
    <x v="1"/>
    <n v="8771000"/>
    <x v="72"/>
    <x v="0"/>
  </r>
  <r>
    <x v="0"/>
    <s v="340PCA"/>
    <x v="0"/>
    <x v="41"/>
    <x v="0"/>
    <x v="1"/>
    <n v="80000000"/>
    <x v="72"/>
    <x v="0"/>
  </r>
  <r>
    <x v="0"/>
    <s v="340PCA"/>
    <x v="0"/>
    <x v="302"/>
    <x v="2"/>
    <x v="0"/>
    <n v="8021000"/>
    <x v="72"/>
    <x v="0"/>
  </r>
  <r>
    <x v="0"/>
    <s v="340PCA"/>
    <x v="0"/>
    <x v="302"/>
    <x v="2"/>
    <x v="1"/>
    <n v="8025000"/>
    <x v="72"/>
    <x v="0"/>
  </r>
  <r>
    <x v="0"/>
    <s v="340SFA"/>
    <x v="0"/>
    <x v="0"/>
    <x v="0"/>
    <x v="0"/>
    <n v="302031000"/>
    <x v="72"/>
    <x v="0"/>
  </r>
  <r>
    <x v="0"/>
    <s v="340SFA"/>
    <x v="0"/>
    <x v="0"/>
    <x v="0"/>
    <x v="1"/>
    <n v="301988000"/>
    <x v="72"/>
    <x v="0"/>
  </r>
  <r>
    <x v="0"/>
    <s v="340SFA"/>
    <x v="0"/>
    <x v="27"/>
    <x v="1"/>
    <x v="0"/>
    <n v="6121000"/>
    <x v="72"/>
    <x v="0"/>
  </r>
  <r>
    <x v="0"/>
    <s v="340SFA"/>
    <x v="0"/>
    <x v="27"/>
    <x v="1"/>
    <x v="1"/>
    <n v="6143000"/>
    <x v="72"/>
    <x v="0"/>
  </r>
  <r>
    <x v="0"/>
    <s v="340SFA"/>
    <x v="0"/>
    <x v="28"/>
    <x v="3"/>
    <x v="0"/>
    <n v="150000"/>
    <x v="72"/>
    <x v="0"/>
  </r>
  <r>
    <x v="0"/>
    <s v="340SFA"/>
    <x v="0"/>
    <x v="28"/>
    <x v="3"/>
    <x v="1"/>
    <n v="150000"/>
    <x v="72"/>
    <x v="0"/>
  </r>
  <r>
    <x v="0"/>
    <s v="340SFA"/>
    <x v="0"/>
    <x v="128"/>
    <x v="0"/>
    <x v="0"/>
    <n v="42828000"/>
    <x v="72"/>
    <x v="0"/>
  </r>
  <r>
    <x v="0"/>
    <s v="340SFA"/>
    <x v="0"/>
    <x v="128"/>
    <x v="0"/>
    <x v="1"/>
    <n v="42660000"/>
    <x v="72"/>
    <x v="0"/>
  </r>
  <r>
    <x v="0"/>
    <s v="340SFA"/>
    <x v="0"/>
    <x v="296"/>
    <x v="0"/>
    <x v="0"/>
    <n v="34587000"/>
    <x v="72"/>
    <x v="0"/>
  </r>
  <r>
    <x v="0"/>
    <s v="340SFA"/>
    <x v="0"/>
    <x v="296"/>
    <x v="0"/>
    <x v="1"/>
    <n v="42016000"/>
    <x v="72"/>
    <x v="0"/>
  </r>
  <r>
    <x v="0"/>
    <s v="340SFA"/>
    <x v="0"/>
    <x v="303"/>
    <x v="0"/>
    <x v="0"/>
    <n v="110000"/>
    <x v="72"/>
    <x v="0"/>
  </r>
  <r>
    <x v="0"/>
    <s v="340SFA"/>
    <x v="0"/>
    <x v="303"/>
    <x v="0"/>
    <x v="1"/>
    <n v="110000"/>
    <x v="72"/>
    <x v="0"/>
  </r>
  <r>
    <x v="0"/>
    <s v="340SFA"/>
    <x v="0"/>
    <x v="304"/>
    <x v="2"/>
    <x v="0"/>
    <n v="366000"/>
    <x v="72"/>
    <x v="0"/>
  </r>
  <r>
    <x v="0"/>
    <s v="340SFA"/>
    <x v="0"/>
    <x v="304"/>
    <x v="2"/>
    <x v="1"/>
    <n v="366000"/>
    <x v="72"/>
    <x v="0"/>
  </r>
  <r>
    <x v="0"/>
    <s v="340SFA"/>
    <x v="0"/>
    <x v="305"/>
    <x v="2"/>
    <x v="0"/>
    <n v="6350000"/>
    <x v="72"/>
    <x v="0"/>
  </r>
  <r>
    <x v="0"/>
    <s v="340SFA"/>
    <x v="0"/>
    <x v="305"/>
    <x v="2"/>
    <x v="1"/>
    <n v="6350000"/>
    <x v="72"/>
    <x v="0"/>
  </r>
  <r>
    <x v="0"/>
    <s v="340SFA"/>
    <x v="0"/>
    <x v="34"/>
    <x v="0"/>
    <x v="0"/>
    <n v="151132000"/>
    <x v="72"/>
    <x v="0"/>
  </r>
  <r>
    <x v="0"/>
    <s v="340SFA"/>
    <x v="0"/>
    <x v="34"/>
    <x v="0"/>
    <x v="1"/>
    <n v="172401000"/>
    <x v="72"/>
    <x v="0"/>
  </r>
  <r>
    <x v="0"/>
    <s v="340SFA"/>
    <x v="0"/>
    <x v="306"/>
    <x v="2"/>
    <x v="0"/>
    <n v="1049000"/>
    <x v="72"/>
    <x v="0"/>
  </r>
  <r>
    <x v="0"/>
    <s v="340SFA"/>
    <x v="0"/>
    <x v="306"/>
    <x v="2"/>
    <x v="1"/>
    <n v="1048000"/>
    <x v="72"/>
    <x v="0"/>
  </r>
  <r>
    <x v="0"/>
    <s v="340SFA"/>
    <x v="0"/>
    <x v="307"/>
    <x v="2"/>
    <x v="0"/>
    <n v="578000"/>
    <x v="72"/>
    <x v="0"/>
  </r>
  <r>
    <x v="0"/>
    <s v="340SFA"/>
    <x v="0"/>
    <x v="307"/>
    <x v="2"/>
    <x v="1"/>
    <n v="588000"/>
    <x v="72"/>
    <x v="0"/>
  </r>
  <r>
    <x v="0"/>
    <s v="340SFA"/>
    <x v="0"/>
    <x v="308"/>
    <x v="0"/>
    <x v="0"/>
    <n v="5860000"/>
    <x v="72"/>
    <x v="0"/>
  </r>
  <r>
    <x v="0"/>
    <s v="340SFA"/>
    <x v="0"/>
    <x v="308"/>
    <x v="0"/>
    <x v="1"/>
    <n v="5860000"/>
    <x v="72"/>
    <x v="0"/>
  </r>
  <r>
    <x v="0"/>
    <s v="340SFA"/>
    <x v="0"/>
    <x v="309"/>
    <x v="2"/>
    <x v="0"/>
    <n v="9515000"/>
    <x v="72"/>
    <x v="0"/>
  </r>
  <r>
    <x v="0"/>
    <s v="340SFA"/>
    <x v="0"/>
    <x v="309"/>
    <x v="2"/>
    <x v="1"/>
    <n v="14015000"/>
    <x v="72"/>
    <x v="0"/>
  </r>
  <r>
    <x v="0"/>
    <s v="340SFA"/>
    <x v="0"/>
    <x v="310"/>
    <x v="2"/>
    <x v="0"/>
    <n v="646000"/>
    <x v="72"/>
    <x v="0"/>
  </r>
  <r>
    <x v="0"/>
    <s v="340SFA"/>
    <x v="0"/>
    <x v="310"/>
    <x v="2"/>
    <x v="1"/>
    <n v="646000"/>
    <x v="72"/>
    <x v="0"/>
  </r>
  <r>
    <x v="0"/>
    <s v="340SFA"/>
    <x v="0"/>
    <x v="311"/>
    <x v="2"/>
    <x v="0"/>
    <n v="7465000"/>
    <x v="72"/>
    <x v="0"/>
  </r>
  <r>
    <x v="0"/>
    <s v="340SFA"/>
    <x v="0"/>
    <x v="311"/>
    <x v="2"/>
    <x v="1"/>
    <n v="7402000"/>
    <x v="72"/>
    <x v="0"/>
  </r>
  <r>
    <x v="0"/>
    <s v="340SFA"/>
    <x v="0"/>
    <x v="312"/>
    <x v="2"/>
    <x v="0"/>
    <n v="75000"/>
    <x v="72"/>
    <x v="0"/>
  </r>
  <r>
    <x v="0"/>
    <s v="340SFA"/>
    <x v="0"/>
    <x v="312"/>
    <x v="2"/>
    <x v="1"/>
    <n v="75000"/>
    <x v="72"/>
    <x v="0"/>
  </r>
  <r>
    <x v="0"/>
    <s v="341"/>
    <x v="0"/>
    <x v="313"/>
    <x v="2"/>
    <x v="0"/>
    <n v="1900000"/>
    <x v="73"/>
    <x v="0"/>
  </r>
  <r>
    <x v="0"/>
    <s v="341"/>
    <x v="0"/>
    <x v="313"/>
    <x v="2"/>
    <x v="1"/>
    <n v="1988000"/>
    <x v="73"/>
    <x v="0"/>
  </r>
  <r>
    <x v="0"/>
    <s v="350010"/>
    <x v="0"/>
    <x v="0"/>
    <x v="0"/>
    <x v="0"/>
    <n v="46161000"/>
    <x v="74"/>
    <x v="0"/>
  </r>
  <r>
    <x v="0"/>
    <s v="350010"/>
    <x v="0"/>
    <x v="0"/>
    <x v="0"/>
    <x v="1"/>
    <n v="61189000"/>
    <x v="74"/>
    <x v="0"/>
  </r>
  <r>
    <x v="0"/>
    <s v="350010"/>
    <x v="0"/>
    <x v="27"/>
    <x v="1"/>
    <x v="0"/>
    <n v="72064000"/>
    <x v="74"/>
    <x v="0"/>
  </r>
  <r>
    <x v="0"/>
    <s v="350010"/>
    <x v="0"/>
    <x v="27"/>
    <x v="1"/>
    <x v="1"/>
    <n v="76506000"/>
    <x v="74"/>
    <x v="0"/>
  </r>
  <r>
    <x v="0"/>
    <s v="350010"/>
    <x v="0"/>
    <x v="28"/>
    <x v="3"/>
    <x v="0"/>
    <n v="4037000"/>
    <x v="74"/>
    <x v="0"/>
  </r>
  <r>
    <x v="0"/>
    <s v="350010"/>
    <x v="0"/>
    <x v="28"/>
    <x v="3"/>
    <x v="1"/>
    <n v="4042000"/>
    <x v="74"/>
    <x v="0"/>
  </r>
  <r>
    <x v="0"/>
    <s v="350010"/>
    <x v="0"/>
    <x v="296"/>
    <x v="0"/>
    <x v="0"/>
    <n v="8285000"/>
    <x v="74"/>
    <x v="0"/>
  </r>
  <r>
    <x v="0"/>
    <s v="350010"/>
    <x v="0"/>
    <x v="296"/>
    <x v="0"/>
    <x v="1"/>
    <n v="354000"/>
    <x v="74"/>
    <x v="0"/>
  </r>
  <r>
    <x v="0"/>
    <s v="350010"/>
    <x v="0"/>
    <x v="314"/>
    <x v="2"/>
    <x v="0"/>
    <n v="1161000"/>
    <x v="74"/>
    <x v="0"/>
  </r>
  <r>
    <x v="0"/>
    <s v="350010"/>
    <x v="0"/>
    <x v="314"/>
    <x v="2"/>
    <x v="1"/>
    <n v="1249000"/>
    <x v="74"/>
    <x v="0"/>
  </r>
  <r>
    <x v="0"/>
    <s v="350010"/>
    <x v="0"/>
    <x v="34"/>
    <x v="0"/>
    <x v="0"/>
    <n v="4736000"/>
    <x v="74"/>
    <x v="0"/>
  </r>
  <r>
    <x v="0"/>
    <s v="350010"/>
    <x v="0"/>
    <x v="34"/>
    <x v="0"/>
    <x v="1"/>
    <n v="8243000"/>
    <x v="74"/>
    <x v="0"/>
  </r>
  <r>
    <x v="0"/>
    <s v="350010"/>
    <x v="0"/>
    <x v="315"/>
    <x v="1"/>
    <x v="0"/>
    <n v="2430000"/>
    <x v="74"/>
    <x v="0"/>
  </r>
  <r>
    <x v="0"/>
    <s v="350010"/>
    <x v="0"/>
    <x v="315"/>
    <x v="1"/>
    <x v="1"/>
    <n v="1094000"/>
    <x v="74"/>
    <x v="0"/>
  </r>
  <r>
    <x v="0"/>
    <s v="350010"/>
    <x v="0"/>
    <x v="101"/>
    <x v="0"/>
    <x v="0"/>
    <n v="593000"/>
    <x v="74"/>
    <x v="0"/>
  </r>
  <r>
    <x v="0"/>
    <s v="350010"/>
    <x v="0"/>
    <x v="101"/>
    <x v="0"/>
    <x v="1"/>
    <n v="618000"/>
    <x v="74"/>
    <x v="0"/>
  </r>
  <r>
    <x v="0"/>
    <s v="350010"/>
    <x v="0"/>
    <x v="316"/>
    <x v="2"/>
    <x v="0"/>
    <n v="50000"/>
    <x v="74"/>
    <x v="0"/>
  </r>
  <r>
    <x v="0"/>
    <s v="350010"/>
    <x v="0"/>
    <x v="316"/>
    <x v="2"/>
    <x v="1"/>
    <n v="50000"/>
    <x v="74"/>
    <x v="0"/>
  </r>
  <r>
    <x v="0"/>
    <s v="350010"/>
    <x v="0"/>
    <x v="317"/>
    <x v="2"/>
    <x v="0"/>
    <n v="1506000"/>
    <x v="74"/>
    <x v="0"/>
  </r>
  <r>
    <x v="0"/>
    <s v="350010"/>
    <x v="0"/>
    <x v="317"/>
    <x v="2"/>
    <x v="1"/>
    <n v="1626000"/>
    <x v="74"/>
    <x v="0"/>
  </r>
  <r>
    <x v="0"/>
    <s v="350010"/>
    <x v="0"/>
    <x v="20"/>
    <x v="0"/>
    <x v="0"/>
    <n v="108000"/>
    <x v="74"/>
    <x v="0"/>
  </r>
  <r>
    <x v="0"/>
    <s v="350010"/>
    <x v="0"/>
    <x v="20"/>
    <x v="0"/>
    <x v="1"/>
    <n v="105000"/>
    <x v="74"/>
    <x v="0"/>
  </r>
  <r>
    <x v="0"/>
    <s v="350010"/>
    <x v="0"/>
    <x v="105"/>
    <x v="2"/>
    <x v="0"/>
    <n v="375000"/>
    <x v="74"/>
    <x v="0"/>
  </r>
  <r>
    <x v="0"/>
    <s v="350010"/>
    <x v="0"/>
    <x v="105"/>
    <x v="2"/>
    <x v="1"/>
    <n v="1673000"/>
    <x v="74"/>
    <x v="0"/>
  </r>
  <r>
    <x v="0"/>
    <s v="35001X"/>
    <x v="0"/>
    <x v="0"/>
    <x v="0"/>
    <x v="0"/>
    <n v="2155000"/>
    <x v="74"/>
    <x v="0"/>
  </r>
  <r>
    <x v="0"/>
    <s v="35001X"/>
    <x v="0"/>
    <x v="0"/>
    <x v="0"/>
    <x v="1"/>
    <n v="6785000"/>
    <x v="74"/>
    <x v="0"/>
  </r>
  <r>
    <x v="0"/>
    <s v="35001X"/>
    <x v="0"/>
    <x v="296"/>
    <x v="0"/>
    <x v="0"/>
    <n v="175000"/>
    <x v="74"/>
    <x v="0"/>
  </r>
  <r>
    <x v="0"/>
    <s v="35001X"/>
    <x v="0"/>
    <x v="296"/>
    <x v="0"/>
    <x v="1"/>
    <n v="177000"/>
    <x v="74"/>
    <x v="0"/>
  </r>
  <r>
    <x v="0"/>
    <s v="35001X"/>
    <x v="0"/>
    <x v="315"/>
    <x v="1"/>
    <x v="0"/>
    <n v="1779000"/>
    <x v="74"/>
    <x v="0"/>
  </r>
  <r>
    <x v="0"/>
    <s v="35001Y"/>
    <x v="0"/>
    <x v="0"/>
    <x v="0"/>
    <x v="0"/>
    <n v="17246000"/>
    <x v="74"/>
    <x v="0"/>
  </r>
  <r>
    <x v="0"/>
    <s v="35001Y"/>
    <x v="0"/>
    <x v="0"/>
    <x v="0"/>
    <x v="1"/>
    <n v="22279000"/>
    <x v="74"/>
    <x v="0"/>
  </r>
  <r>
    <x v="0"/>
    <s v="35001Y"/>
    <x v="0"/>
    <x v="314"/>
    <x v="2"/>
    <x v="0"/>
    <n v="1000"/>
    <x v="74"/>
    <x v="0"/>
  </r>
  <r>
    <x v="0"/>
    <s v="35001Y"/>
    <x v="0"/>
    <x v="314"/>
    <x v="2"/>
    <x v="1"/>
    <n v="3000"/>
    <x v="74"/>
    <x v="0"/>
  </r>
  <r>
    <x v="0"/>
    <s v="350021"/>
    <x v="0"/>
    <x v="0"/>
    <x v="0"/>
    <x v="0"/>
    <n v="9784078000"/>
    <x v="74"/>
    <x v="0"/>
  </r>
  <r>
    <x v="0"/>
    <s v="350021"/>
    <x v="0"/>
    <x v="0"/>
    <x v="0"/>
    <x v="1"/>
    <n v="9813885000"/>
    <x v="74"/>
    <x v="0"/>
  </r>
  <r>
    <x v="0"/>
    <s v="350021"/>
    <x v="0"/>
    <x v="128"/>
    <x v="0"/>
    <x v="0"/>
    <n v="869865000"/>
    <x v="74"/>
    <x v="0"/>
  </r>
  <r>
    <x v="0"/>
    <s v="350021"/>
    <x v="0"/>
    <x v="128"/>
    <x v="0"/>
    <x v="1"/>
    <n v="903865000"/>
    <x v="74"/>
    <x v="0"/>
  </r>
  <r>
    <x v="0"/>
    <s v="350022"/>
    <x v="0"/>
    <x v="0"/>
    <x v="0"/>
    <x v="0"/>
    <n v="803792000"/>
    <x v="74"/>
    <x v="0"/>
  </r>
  <r>
    <x v="0"/>
    <s v="350022"/>
    <x v="0"/>
    <x v="0"/>
    <x v="0"/>
    <x v="1"/>
    <n v="809877000"/>
    <x v="74"/>
    <x v="0"/>
  </r>
  <r>
    <x v="0"/>
    <s v="350025"/>
    <x v="0"/>
    <x v="0"/>
    <x v="0"/>
    <x v="0"/>
    <n v="55834000"/>
    <x v="74"/>
    <x v="0"/>
  </r>
  <r>
    <x v="0"/>
    <s v="350025"/>
    <x v="0"/>
    <x v="0"/>
    <x v="0"/>
    <x v="1"/>
    <n v="102357000"/>
    <x v="74"/>
    <x v="0"/>
  </r>
  <r>
    <x v="0"/>
    <s v="350025"/>
    <x v="0"/>
    <x v="27"/>
    <x v="1"/>
    <x v="0"/>
    <n v="474819000"/>
    <x v="74"/>
    <x v="0"/>
  </r>
  <r>
    <x v="0"/>
    <s v="350025"/>
    <x v="0"/>
    <x v="27"/>
    <x v="1"/>
    <x v="1"/>
    <n v="416480000"/>
    <x v="74"/>
    <x v="0"/>
  </r>
  <r>
    <x v="0"/>
    <s v="350025"/>
    <x v="0"/>
    <x v="292"/>
    <x v="5"/>
    <x v="0"/>
    <n v="34500000"/>
    <x v="74"/>
    <x v="0"/>
  </r>
  <r>
    <x v="0"/>
    <s v="350025"/>
    <x v="0"/>
    <x v="317"/>
    <x v="2"/>
    <x v="0"/>
    <n v="72506000"/>
    <x v="74"/>
    <x v="0"/>
  </r>
  <r>
    <x v="0"/>
    <s v="350025"/>
    <x v="0"/>
    <x v="317"/>
    <x v="2"/>
    <x v="1"/>
    <n v="72506000"/>
    <x v="74"/>
    <x v="0"/>
  </r>
  <r>
    <x v="0"/>
    <s v="350026"/>
    <x v="0"/>
    <x v="0"/>
    <x v="0"/>
    <x v="0"/>
    <n v="1811444000"/>
    <x v="74"/>
    <x v="0"/>
  </r>
  <r>
    <x v="0"/>
    <s v="350026"/>
    <x v="0"/>
    <x v="0"/>
    <x v="0"/>
    <x v="1"/>
    <n v="1925849000"/>
    <x v="74"/>
    <x v="0"/>
  </r>
  <r>
    <x v="0"/>
    <s v="350026"/>
    <x v="0"/>
    <x v="27"/>
    <x v="1"/>
    <x v="0"/>
    <n v="329127000"/>
    <x v="74"/>
    <x v="0"/>
  </r>
  <r>
    <x v="0"/>
    <s v="350026"/>
    <x v="0"/>
    <x v="27"/>
    <x v="1"/>
    <x v="1"/>
    <n v="317393000"/>
    <x v="74"/>
    <x v="0"/>
  </r>
  <r>
    <x v="0"/>
    <s v="350026"/>
    <x v="0"/>
    <x v="77"/>
    <x v="4"/>
    <x v="0"/>
    <n v="17852000"/>
    <x v="74"/>
    <x v="0"/>
  </r>
  <r>
    <x v="0"/>
    <s v="350026"/>
    <x v="0"/>
    <x v="128"/>
    <x v="0"/>
    <x v="0"/>
    <n v="27347000"/>
    <x v="74"/>
    <x v="0"/>
  </r>
  <r>
    <x v="0"/>
    <s v="350026"/>
    <x v="0"/>
    <x v="128"/>
    <x v="0"/>
    <x v="1"/>
    <n v="27347000"/>
    <x v="74"/>
    <x v="0"/>
  </r>
  <r>
    <x v="0"/>
    <s v="350028"/>
    <x v="0"/>
    <x v="0"/>
    <x v="0"/>
    <x v="0"/>
    <n v="41625000"/>
    <x v="74"/>
    <x v="0"/>
  </r>
  <r>
    <x v="0"/>
    <s v="350028"/>
    <x v="0"/>
    <x v="0"/>
    <x v="0"/>
    <x v="1"/>
    <n v="39138000"/>
    <x v="74"/>
    <x v="0"/>
  </r>
  <r>
    <x v="0"/>
    <s v="350028"/>
    <x v="0"/>
    <x v="34"/>
    <x v="0"/>
    <x v="0"/>
    <n v="1350000"/>
    <x v="74"/>
    <x v="0"/>
  </r>
  <r>
    <x v="0"/>
    <s v="350028"/>
    <x v="0"/>
    <x v="34"/>
    <x v="0"/>
    <x v="1"/>
    <n v="1350000"/>
    <x v="74"/>
    <x v="0"/>
  </r>
  <r>
    <x v="0"/>
    <s v="350029"/>
    <x v="0"/>
    <x v="0"/>
    <x v="0"/>
    <x v="0"/>
    <n v="213689000"/>
    <x v="74"/>
    <x v="0"/>
  </r>
  <r>
    <x v="0"/>
    <s v="350029"/>
    <x v="0"/>
    <x v="0"/>
    <x v="0"/>
    <x v="1"/>
    <n v="211467000"/>
    <x v="74"/>
    <x v="0"/>
  </r>
  <r>
    <x v="0"/>
    <s v="350032"/>
    <x v="0"/>
    <x v="27"/>
    <x v="1"/>
    <x v="0"/>
    <n v="5658000"/>
    <x v="74"/>
    <x v="0"/>
  </r>
  <r>
    <x v="0"/>
    <s v="350032"/>
    <x v="0"/>
    <x v="27"/>
    <x v="1"/>
    <x v="1"/>
    <n v="5758000"/>
    <x v="74"/>
    <x v="0"/>
  </r>
  <r>
    <x v="0"/>
    <s v="350035"/>
    <x v="0"/>
    <x v="0"/>
    <x v="0"/>
    <x v="0"/>
    <n v="16148000"/>
    <x v="74"/>
    <x v="0"/>
  </r>
  <r>
    <x v="0"/>
    <s v="350035"/>
    <x v="0"/>
    <x v="0"/>
    <x v="0"/>
    <x v="1"/>
    <n v="16754000"/>
    <x v="74"/>
    <x v="0"/>
  </r>
  <r>
    <x v="0"/>
    <s v="350045"/>
    <x v="0"/>
    <x v="0"/>
    <x v="0"/>
    <x v="0"/>
    <n v="33171000"/>
    <x v="74"/>
    <x v="0"/>
  </r>
  <r>
    <x v="0"/>
    <s v="350045"/>
    <x v="0"/>
    <x v="0"/>
    <x v="0"/>
    <x v="1"/>
    <n v="32995000"/>
    <x v="74"/>
    <x v="0"/>
  </r>
  <r>
    <x v="0"/>
    <s v="350055"/>
    <x v="0"/>
    <x v="0"/>
    <x v="0"/>
    <x v="0"/>
    <n v="132050000"/>
    <x v="74"/>
    <x v="0"/>
  </r>
  <r>
    <x v="0"/>
    <s v="350055"/>
    <x v="0"/>
    <x v="0"/>
    <x v="0"/>
    <x v="1"/>
    <n v="146775000"/>
    <x v="74"/>
    <x v="0"/>
  </r>
  <r>
    <x v="0"/>
    <s v="350055"/>
    <x v="0"/>
    <x v="27"/>
    <x v="1"/>
    <x v="0"/>
    <n v="48624000"/>
    <x v="74"/>
    <x v="0"/>
  </r>
  <r>
    <x v="0"/>
    <s v="350055"/>
    <x v="0"/>
    <x v="27"/>
    <x v="1"/>
    <x v="1"/>
    <n v="48550000"/>
    <x v="74"/>
    <x v="0"/>
  </r>
  <r>
    <x v="0"/>
    <s v="350055"/>
    <x v="0"/>
    <x v="28"/>
    <x v="3"/>
    <x v="0"/>
    <n v="723000"/>
    <x v="74"/>
    <x v="0"/>
  </r>
  <r>
    <x v="0"/>
    <s v="350055"/>
    <x v="0"/>
    <x v="28"/>
    <x v="3"/>
    <x v="1"/>
    <n v="727000"/>
    <x v="74"/>
    <x v="0"/>
  </r>
  <r>
    <x v="0"/>
    <s v="350055"/>
    <x v="0"/>
    <x v="128"/>
    <x v="0"/>
    <x v="0"/>
    <n v="831000"/>
    <x v="74"/>
    <x v="0"/>
  </r>
  <r>
    <x v="0"/>
    <s v="350055"/>
    <x v="0"/>
    <x v="128"/>
    <x v="0"/>
    <x v="1"/>
    <n v="833000"/>
    <x v="74"/>
    <x v="0"/>
  </r>
  <r>
    <x v="0"/>
    <s v="35005T"/>
    <x v="0"/>
    <x v="0"/>
    <x v="0"/>
    <x v="0"/>
    <n v="6870000"/>
    <x v="74"/>
    <x v="0"/>
  </r>
  <r>
    <x v="0"/>
    <s v="35005T"/>
    <x v="0"/>
    <x v="0"/>
    <x v="0"/>
    <x v="1"/>
    <n v="69959000"/>
    <x v="74"/>
    <x v="0"/>
  </r>
  <r>
    <x v="0"/>
    <s v="35005T"/>
    <x v="0"/>
    <x v="292"/>
    <x v="5"/>
    <x v="0"/>
    <n v="41848000"/>
    <x v="74"/>
    <x v="0"/>
  </r>
  <r>
    <x v="0"/>
    <s v="35005X"/>
    <x v="0"/>
    <x v="0"/>
    <x v="0"/>
    <x v="0"/>
    <n v="85525000"/>
    <x v="74"/>
    <x v="0"/>
  </r>
  <r>
    <x v="0"/>
    <s v="35005X"/>
    <x v="0"/>
    <x v="0"/>
    <x v="0"/>
    <x v="1"/>
    <n v="91324000"/>
    <x v="74"/>
    <x v="0"/>
  </r>
  <r>
    <x v="0"/>
    <s v="35005X"/>
    <x v="0"/>
    <x v="27"/>
    <x v="1"/>
    <x v="0"/>
    <n v="2092000"/>
    <x v="74"/>
    <x v="0"/>
  </r>
  <r>
    <x v="0"/>
    <s v="35005X"/>
    <x v="0"/>
    <x v="292"/>
    <x v="5"/>
    <x v="0"/>
    <n v="111255000"/>
    <x v="74"/>
    <x v="0"/>
  </r>
  <r>
    <x v="0"/>
    <s v="35005X"/>
    <x v="0"/>
    <x v="34"/>
    <x v="0"/>
    <x v="0"/>
    <n v="200000"/>
    <x v="74"/>
    <x v="0"/>
  </r>
  <r>
    <x v="0"/>
    <s v="35005X"/>
    <x v="0"/>
    <x v="34"/>
    <x v="0"/>
    <x v="1"/>
    <n v="200000"/>
    <x v="74"/>
    <x v="0"/>
  </r>
  <r>
    <x v="0"/>
    <s v="35005X"/>
    <x v="0"/>
    <x v="315"/>
    <x v="1"/>
    <x v="0"/>
    <n v="897895000"/>
    <x v="74"/>
    <x v="0"/>
  </r>
  <r>
    <x v="0"/>
    <s v="35005X"/>
    <x v="0"/>
    <x v="30"/>
    <x v="0"/>
    <x v="1"/>
    <n v="900000"/>
    <x v="74"/>
    <x v="0"/>
  </r>
  <r>
    <x v="0"/>
    <s v="35005X"/>
    <x v="0"/>
    <x v="43"/>
    <x v="1"/>
    <x v="0"/>
    <n v="1354000"/>
    <x v="74"/>
    <x v="0"/>
  </r>
  <r>
    <x v="0"/>
    <s v="350060"/>
    <x v="0"/>
    <x v="0"/>
    <x v="0"/>
    <x v="0"/>
    <n v="249957000"/>
    <x v="74"/>
    <x v="0"/>
  </r>
  <r>
    <x v="0"/>
    <s v="350060"/>
    <x v="0"/>
    <x v="0"/>
    <x v="0"/>
    <x v="1"/>
    <n v="260599000"/>
    <x v="74"/>
    <x v="0"/>
  </r>
  <r>
    <x v="0"/>
    <s v="350060"/>
    <x v="0"/>
    <x v="27"/>
    <x v="1"/>
    <x v="0"/>
    <n v="73500000"/>
    <x v="74"/>
    <x v="0"/>
  </r>
  <r>
    <x v="0"/>
    <s v="350060"/>
    <x v="0"/>
    <x v="27"/>
    <x v="1"/>
    <x v="1"/>
    <n v="63617000"/>
    <x v="74"/>
    <x v="0"/>
  </r>
  <r>
    <x v="0"/>
    <s v="350061"/>
    <x v="0"/>
    <x v="0"/>
    <x v="0"/>
    <x v="0"/>
    <n v="484953000"/>
    <x v="74"/>
    <x v="0"/>
  </r>
  <r>
    <x v="0"/>
    <s v="350061"/>
    <x v="0"/>
    <x v="0"/>
    <x v="0"/>
    <x v="1"/>
    <n v="491565000"/>
    <x v="74"/>
    <x v="0"/>
  </r>
  <r>
    <x v="0"/>
    <s v="350061"/>
    <x v="0"/>
    <x v="27"/>
    <x v="1"/>
    <x v="0"/>
    <n v="312276000"/>
    <x v="74"/>
    <x v="0"/>
  </r>
  <r>
    <x v="0"/>
    <s v="350061"/>
    <x v="0"/>
    <x v="27"/>
    <x v="1"/>
    <x v="1"/>
    <n v="324267000"/>
    <x v="74"/>
    <x v="0"/>
  </r>
  <r>
    <x v="0"/>
    <s v="350068"/>
    <x v="0"/>
    <x v="296"/>
    <x v="0"/>
    <x v="0"/>
    <n v="79401000"/>
    <x v="74"/>
    <x v="0"/>
  </r>
  <r>
    <x v="0"/>
    <s v="350068"/>
    <x v="0"/>
    <x v="296"/>
    <x v="0"/>
    <x v="1"/>
    <n v="99253000"/>
    <x v="74"/>
    <x v="0"/>
  </r>
  <r>
    <x v="0"/>
    <s v="350359"/>
    <x v="0"/>
    <x v="296"/>
    <x v="0"/>
    <x v="0"/>
    <n v="329000"/>
    <x v="74"/>
    <x v="0"/>
  </r>
  <r>
    <x v="0"/>
    <s v="350359"/>
    <x v="0"/>
    <x v="296"/>
    <x v="0"/>
    <x v="1"/>
    <n v="311000"/>
    <x v="74"/>
    <x v="0"/>
  </r>
  <r>
    <x v="0"/>
    <s v="350359"/>
    <x v="0"/>
    <x v="318"/>
    <x v="0"/>
    <x v="0"/>
    <n v="2082000"/>
    <x v="74"/>
    <x v="0"/>
  </r>
  <r>
    <x v="0"/>
    <s v="350359"/>
    <x v="0"/>
    <x v="318"/>
    <x v="0"/>
    <x v="1"/>
    <n v="2490000"/>
    <x v="74"/>
    <x v="0"/>
  </r>
  <r>
    <x v="0"/>
    <s v="350714"/>
    <x v="0"/>
    <x v="0"/>
    <x v="0"/>
    <x v="0"/>
    <n v="391520000"/>
    <x v="74"/>
    <x v="0"/>
  </r>
  <r>
    <x v="0"/>
    <s v="350714"/>
    <x v="0"/>
    <x v="0"/>
    <x v="0"/>
    <x v="1"/>
    <n v="888496000"/>
    <x v="74"/>
    <x v="0"/>
  </r>
  <r>
    <x v="0"/>
    <s v="350900"/>
    <x v="1"/>
    <x v="1"/>
    <x v="0"/>
    <x v="0"/>
    <n v="134985500"/>
    <x v="74"/>
    <x v="0"/>
  </r>
  <r>
    <x v="0"/>
    <s v="350900"/>
    <x v="1"/>
    <x v="1"/>
    <x v="0"/>
    <x v="1"/>
    <n v="134985500"/>
    <x v="74"/>
    <x v="0"/>
  </r>
  <r>
    <x v="0"/>
    <s v="350900"/>
    <x v="1"/>
    <x v="319"/>
    <x v="0"/>
    <x v="0"/>
    <n v="291906000"/>
    <x v="74"/>
    <x v="0"/>
  </r>
  <r>
    <x v="0"/>
    <s v="350900"/>
    <x v="1"/>
    <x v="319"/>
    <x v="0"/>
    <x v="1"/>
    <n v="291906000"/>
    <x v="74"/>
    <x v="0"/>
  </r>
  <r>
    <x v="0"/>
    <s v="350900"/>
    <x v="1"/>
    <x v="320"/>
    <x v="1"/>
    <x v="0"/>
    <n v="750000"/>
    <x v="74"/>
    <x v="0"/>
  </r>
  <r>
    <x v="0"/>
    <s v="350900"/>
    <x v="1"/>
    <x v="320"/>
    <x v="1"/>
    <x v="1"/>
    <n v="750000"/>
    <x v="74"/>
    <x v="0"/>
  </r>
  <r>
    <x v="0"/>
    <s v="350900"/>
    <x v="1"/>
    <x v="92"/>
    <x v="0"/>
    <x v="0"/>
    <n v="287500"/>
    <x v="74"/>
    <x v="0"/>
  </r>
  <r>
    <x v="0"/>
    <s v="350900"/>
    <x v="1"/>
    <x v="92"/>
    <x v="0"/>
    <x v="1"/>
    <n v="287500"/>
    <x v="74"/>
    <x v="0"/>
  </r>
  <r>
    <x v="0"/>
    <s v="350900"/>
    <x v="1"/>
    <x v="59"/>
    <x v="0"/>
    <x v="0"/>
    <n v="25850000"/>
    <x v="74"/>
    <x v="0"/>
  </r>
  <r>
    <x v="0"/>
    <s v="350900"/>
    <x v="1"/>
    <x v="59"/>
    <x v="0"/>
    <x v="1"/>
    <n v="25850000"/>
    <x v="74"/>
    <x v="0"/>
  </r>
  <r>
    <x v="0"/>
    <s v="350900"/>
    <x v="1"/>
    <x v="6"/>
    <x v="0"/>
    <x v="0"/>
    <n v="377500"/>
    <x v="74"/>
    <x v="0"/>
  </r>
  <r>
    <x v="0"/>
    <s v="350900"/>
    <x v="1"/>
    <x v="6"/>
    <x v="0"/>
    <x v="1"/>
    <n v="377500"/>
    <x v="74"/>
    <x v="0"/>
  </r>
  <r>
    <x v="0"/>
    <s v="351"/>
    <x v="0"/>
    <x v="0"/>
    <x v="0"/>
    <x v="0"/>
    <n v="11072000"/>
    <x v="75"/>
    <x v="0"/>
  </r>
  <r>
    <x v="0"/>
    <s v="351"/>
    <x v="0"/>
    <x v="0"/>
    <x v="0"/>
    <x v="1"/>
    <n v="11356000"/>
    <x v="75"/>
    <x v="0"/>
  </r>
  <r>
    <x v="0"/>
    <s v="351"/>
    <x v="0"/>
    <x v="28"/>
    <x v="3"/>
    <x v="0"/>
    <n v="17000"/>
    <x v="75"/>
    <x v="0"/>
  </r>
  <r>
    <x v="0"/>
    <s v="351"/>
    <x v="0"/>
    <x v="28"/>
    <x v="3"/>
    <x v="1"/>
    <n v="17000"/>
    <x v="75"/>
    <x v="0"/>
  </r>
  <r>
    <x v="0"/>
    <s v="351"/>
    <x v="0"/>
    <x v="321"/>
    <x v="2"/>
    <x v="0"/>
    <n v="4192000"/>
    <x v="75"/>
    <x v="0"/>
  </r>
  <r>
    <x v="0"/>
    <s v="351"/>
    <x v="0"/>
    <x v="321"/>
    <x v="2"/>
    <x v="1"/>
    <n v="2365000"/>
    <x v="75"/>
    <x v="0"/>
  </r>
  <r>
    <x v="0"/>
    <s v="351900"/>
    <x v="1"/>
    <x v="1"/>
    <x v="0"/>
    <x v="0"/>
    <n v="1300000"/>
    <x v="75"/>
    <x v="0"/>
  </r>
  <r>
    <x v="0"/>
    <s v="351900"/>
    <x v="1"/>
    <x v="1"/>
    <x v="0"/>
    <x v="1"/>
    <n v="1300000"/>
    <x v="75"/>
    <x v="0"/>
  </r>
  <r>
    <x v="0"/>
    <s v="353"/>
    <x v="0"/>
    <x v="0"/>
    <x v="0"/>
    <x v="0"/>
    <n v="18505000"/>
    <x v="76"/>
    <x v="0"/>
  </r>
  <r>
    <x v="0"/>
    <s v="353"/>
    <x v="0"/>
    <x v="0"/>
    <x v="0"/>
    <x v="1"/>
    <n v="18774000"/>
    <x v="76"/>
    <x v="0"/>
  </r>
  <r>
    <x v="0"/>
    <s v="353"/>
    <x v="0"/>
    <x v="28"/>
    <x v="3"/>
    <x v="0"/>
    <n v="2000000"/>
    <x v="76"/>
    <x v="0"/>
  </r>
  <r>
    <x v="0"/>
    <s v="353"/>
    <x v="0"/>
    <x v="28"/>
    <x v="3"/>
    <x v="1"/>
    <n v="2052000"/>
    <x v="76"/>
    <x v="0"/>
  </r>
  <r>
    <x v="0"/>
    <s v="353"/>
    <x v="0"/>
    <x v="322"/>
    <x v="2"/>
    <x v="0"/>
    <n v="198000"/>
    <x v="76"/>
    <x v="0"/>
  </r>
  <r>
    <x v="0"/>
    <s v="353"/>
    <x v="0"/>
    <x v="322"/>
    <x v="2"/>
    <x v="1"/>
    <n v="198000"/>
    <x v="76"/>
    <x v="0"/>
  </r>
  <r>
    <x v="0"/>
    <s v="353900"/>
    <x v="1"/>
    <x v="1"/>
    <x v="0"/>
    <x v="0"/>
    <n v="7691500"/>
    <x v="76"/>
    <x v="0"/>
  </r>
  <r>
    <x v="0"/>
    <s v="353900"/>
    <x v="1"/>
    <x v="1"/>
    <x v="0"/>
    <x v="1"/>
    <n v="7691500"/>
    <x v="76"/>
    <x v="0"/>
  </r>
  <r>
    <x v="0"/>
    <s v="354"/>
    <x v="0"/>
    <x v="0"/>
    <x v="0"/>
    <x v="0"/>
    <n v="4898000"/>
    <x v="77"/>
    <x v="0"/>
  </r>
  <r>
    <x v="0"/>
    <s v="354"/>
    <x v="0"/>
    <x v="0"/>
    <x v="0"/>
    <x v="1"/>
    <n v="4879000"/>
    <x v="77"/>
    <x v="0"/>
  </r>
  <r>
    <x v="0"/>
    <s v="354"/>
    <x v="0"/>
    <x v="27"/>
    <x v="1"/>
    <x v="0"/>
    <n v="26408000"/>
    <x v="77"/>
    <x v="0"/>
  </r>
  <r>
    <x v="0"/>
    <s v="354"/>
    <x v="0"/>
    <x v="27"/>
    <x v="1"/>
    <x v="1"/>
    <n v="29622000"/>
    <x v="77"/>
    <x v="0"/>
  </r>
  <r>
    <x v="0"/>
    <s v="354"/>
    <x v="0"/>
    <x v="28"/>
    <x v="3"/>
    <x v="0"/>
    <n v="106000"/>
    <x v="77"/>
    <x v="0"/>
  </r>
  <r>
    <x v="0"/>
    <s v="354"/>
    <x v="0"/>
    <x v="28"/>
    <x v="3"/>
    <x v="1"/>
    <n v="106000"/>
    <x v="77"/>
    <x v="0"/>
  </r>
  <r>
    <x v="0"/>
    <s v="354"/>
    <x v="0"/>
    <x v="34"/>
    <x v="0"/>
    <x v="0"/>
    <n v="1134000"/>
    <x v="77"/>
    <x v="0"/>
  </r>
  <r>
    <x v="0"/>
    <s v="354"/>
    <x v="0"/>
    <x v="34"/>
    <x v="0"/>
    <x v="1"/>
    <n v="2291000"/>
    <x v="77"/>
    <x v="0"/>
  </r>
  <r>
    <x v="0"/>
    <s v="354"/>
    <x v="0"/>
    <x v="59"/>
    <x v="0"/>
    <x v="0"/>
    <n v="407000"/>
    <x v="77"/>
    <x v="0"/>
  </r>
  <r>
    <x v="0"/>
    <s v="354"/>
    <x v="0"/>
    <x v="59"/>
    <x v="0"/>
    <x v="1"/>
    <n v="497000"/>
    <x v="77"/>
    <x v="0"/>
  </r>
  <r>
    <x v="0"/>
    <s v="354"/>
    <x v="0"/>
    <x v="323"/>
    <x v="2"/>
    <x v="0"/>
    <n v="290000"/>
    <x v="77"/>
    <x v="0"/>
  </r>
  <r>
    <x v="0"/>
    <s v="354"/>
    <x v="0"/>
    <x v="323"/>
    <x v="2"/>
    <x v="1"/>
    <n v="314000"/>
    <x v="77"/>
    <x v="0"/>
  </r>
  <r>
    <x v="0"/>
    <s v="354"/>
    <x v="0"/>
    <x v="43"/>
    <x v="1"/>
    <x v="0"/>
    <n v="250000"/>
    <x v="77"/>
    <x v="0"/>
  </r>
  <r>
    <x v="0"/>
    <s v="355"/>
    <x v="0"/>
    <x v="0"/>
    <x v="0"/>
    <x v="0"/>
    <n v="4048000"/>
    <x v="78"/>
    <x v="0"/>
  </r>
  <r>
    <x v="0"/>
    <s v="355"/>
    <x v="0"/>
    <x v="0"/>
    <x v="0"/>
    <x v="1"/>
    <n v="4527000"/>
    <x v="78"/>
    <x v="0"/>
  </r>
  <r>
    <x v="0"/>
    <s v="355"/>
    <x v="0"/>
    <x v="27"/>
    <x v="1"/>
    <x v="0"/>
    <n v="1621000"/>
    <x v="78"/>
    <x v="0"/>
  </r>
  <r>
    <x v="0"/>
    <s v="355"/>
    <x v="0"/>
    <x v="27"/>
    <x v="1"/>
    <x v="1"/>
    <n v="1628000"/>
    <x v="78"/>
    <x v="0"/>
  </r>
  <r>
    <x v="0"/>
    <s v="355"/>
    <x v="0"/>
    <x v="28"/>
    <x v="3"/>
    <x v="0"/>
    <n v="7000"/>
    <x v="78"/>
    <x v="0"/>
  </r>
  <r>
    <x v="0"/>
    <s v="355"/>
    <x v="0"/>
    <x v="28"/>
    <x v="3"/>
    <x v="1"/>
    <n v="7000"/>
    <x v="78"/>
    <x v="0"/>
  </r>
  <r>
    <x v="0"/>
    <s v="355"/>
    <x v="0"/>
    <x v="324"/>
    <x v="2"/>
    <x v="0"/>
    <n v="100000"/>
    <x v="78"/>
    <x v="0"/>
  </r>
  <r>
    <x v="0"/>
    <s v="355"/>
    <x v="0"/>
    <x v="324"/>
    <x v="2"/>
    <x v="1"/>
    <n v="100000"/>
    <x v="78"/>
    <x v="0"/>
  </r>
  <r>
    <x v="0"/>
    <s v="355"/>
    <x v="0"/>
    <x v="59"/>
    <x v="0"/>
    <x v="0"/>
    <n v="640000"/>
    <x v="78"/>
    <x v="0"/>
  </r>
  <r>
    <x v="0"/>
    <s v="355"/>
    <x v="0"/>
    <x v="59"/>
    <x v="0"/>
    <x v="1"/>
    <n v="337000"/>
    <x v="78"/>
    <x v="0"/>
  </r>
  <r>
    <x v="0"/>
    <s v="355"/>
    <x v="0"/>
    <x v="16"/>
    <x v="0"/>
    <x v="0"/>
    <n v="293000"/>
    <x v="78"/>
    <x v="1"/>
  </r>
  <r>
    <x v="0"/>
    <s v="355"/>
    <x v="0"/>
    <x v="16"/>
    <x v="0"/>
    <x v="1"/>
    <n v="294000"/>
    <x v="78"/>
    <x v="1"/>
  </r>
  <r>
    <x v="0"/>
    <s v="355900"/>
    <x v="1"/>
    <x v="1"/>
    <x v="0"/>
    <x v="0"/>
    <n v="2596000"/>
    <x v="78"/>
    <x v="0"/>
  </r>
  <r>
    <x v="0"/>
    <s v="355900"/>
    <x v="1"/>
    <x v="1"/>
    <x v="0"/>
    <x v="1"/>
    <n v="2596000"/>
    <x v="78"/>
    <x v="0"/>
  </r>
  <r>
    <x v="0"/>
    <s v="360"/>
    <x v="0"/>
    <x v="0"/>
    <x v="0"/>
    <x v="0"/>
    <n v="523332000"/>
    <x v="79"/>
    <x v="0"/>
  </r>
  <r>
    <x v="0"/>
    <s v="360"/>
    <x v="0"/>
    <x v="0"/>
    <x v="0"/>
    <x v="1"/>
    <n v="540966000"/>
    <x v="79"/>
    <x v="0"/>
  </r>
  <r>
    <x v="0"/>
    <s v="360"/>
    <x v="0"/>
    <x v="273"/>
    <x v="0"/>
    <x v="0"/>
    <n v="812000"/>
    <x v="79"/>
    <x v="0"/>
  </r>
  <r>
    <x v="0"/>
    <s v="360"/>
    <x v="0"/>
    <x v="273"/>
    <x v="0"/>
    <x v="1"/>
    <n v="834000"/>
    <x v="79"/>
    <x v="0"/>
  </r>
  <r>
    <x v="0"/>
    <s v="360"/>
    <x v="0"/>
    <x v="325"/>
    <x v="0"/>
    <x v="0"/>
    <n v="773000"/>
    <x v="79"/>
    <x v="0"/>
  </r>
  <r>
    <x v="0"/>
    <s v="360"/>
    <x v="0"/>
    <x v="325"/>
    <x v="0"/>
    <x v="1"/>
    <n v="773000"/>
    <x v="79"/>
    <x v="0"/>
  </r>
  <r>
    <x v="0"/>
    <s v="360"/>
    <x v="0"/>
    <x v="128"/>
    <x v="0"/>
    <x v="0"/>
    <n v="19793000"/>
    <x v="79"/>
    <x v="0"/>
  </r>
  <r>
    <x v="0"/>
    <s v="360"/>
    <x v="0"/>
    <x v="128"/>
    <x v="0"/>
    <x v="1"/>
    <n v="19850000"/>
    <x v="79"/>
    <x v="0"/>
  </r>
  <r>
    <x v="0"/>
    <s v="360"/>
    <x v="0"/>
    <x v="33"/>
    <x v="0"/>
    <x v="0"/>
    <n v="1555000"/>
    <x v="79"/>
    <x v="0"/>
  </r>
  <r>
    <x v="0"/>
    <s v="360"/>
    <x v="0"/>
    <x v="33"/>
    <x v="0"/>
    <x v="1"/>
    <n v="1572000"/>
    <x v="79"/>
    <x v="0"/>
  </r>
  <r>
    <x v="0"/>
    <s v="360"/>
    <x v="0"/>
    <x v="326"/>
    <x v="0"/>
    <x v="0"/>
    <n v="207000"/>
    <x v="79"/>
    <x v="0"/>
  </r>
  <r>
    <x v="0"/>
    <s v="360"/>
    <x v="0"/>
    <x v="326"/>
    <x v="0"/>
    <x v="1"/>
    <n v="207000"/>
    <x v="79"/>
    <x v="0"/>
  </r>
  <r>
    <x v="0"/>
    <s v="360"/>
    <x v="0"/>
    <x v="327"/>
    <x v="2"/>
    <x v="0"/>
    <n v="1436504000"/>
    <x v="79"/>
    <x v="0"/>
  </r>
  <r>
    <x v="0"/>
    <s v="360"/>
    <x v="0"/>
    <x v="327"/>
    <x v="2"/>
    <x v="1"/>
    <n v="1461954000"/>
    <x v="79"/>
    <x v="0"/>
  </r>
  <r>
    <x v="0"/>
    <s v="360"/>
    <x v="0"/>
    <x v="328"/>
    <x v="2"/>
    <x v="0"/>
    <n v="692540000"/>
    <x v="79"/>
    <x v="0"/>
  </r>
  <r>
    <x v="0"/>
    <s v="360"/>
    <x v="0"/>
    <x v="328"/>
    <x v="2"/>
    <x v="1"/>
    <n v="726727000"/>
    <x v="79"/>
    <x v="0"/>
  </r>
  <r>
    <x v="0"/>
    <s v="360"/>
    <x v="0"/>
    <x v="329"/>
    <x v="2"/>
    <x v="0"/>
    <n v="698777000"/>
    <x v="79"/>
    <x v="0"/>
  </r>
  <r>
    <x v="0"/>
    <s v="360"/>
    <x v="0"/>
    <x v="329"/>
    <x v="2"/>
    <x v="1"/>
    <n v="717648000"/>
    <x v="79"/>
    <x v="0"/>
  </r>
  <r>
    <x v="0"/>
    <s v="360"/>
    <x v="0"/>
    <x v="280"/>
    <x v="0"/>
    <x v="0"/>
    <n v="314000"/>
    <x v="79"/>
    <x v="0"/>
  </r>
  <r>
    <x v="0"/>
    <s v="360"/>
    <x v="0"/>
    <x v="280"/>
    <x v="0"/>
    <x v="1"/>
    <n v="318000"/>
    <x v="79"/>
    <x v="0"/>
  </r>
  <r>
    <x v="0"/>
    <s v="360"/>
    <x v="0"/>
    <x v="39"/>
    <x v="0"/>
    <x v="1"/>
    <n v="500000"/>
    <x v="79"/>
    <x v="0"/>
  </r>
  <r>
    <x v="0"/>
    <s v="360"/>
    <x v="0"/>
    <x v="34"/>
    <x v="0"/>
    <x v="0"/>
    <n v="42090000"/>
    <x v="79"/>
    <x v="0"/>
  </r>
  <r>
    <x v="0"/>
    <s v="360"/>
    <x v="0"/>
    <x v="34"/>
    <x v="0"/>
    <x v="1"/>
    <n v="49106000"/>
    <x v="79"/>
    <x v="0"/>
  </r>
  <r>
    <x v="0"/>
    <s v="360"/>
    <x v="0"/>
    <x v="118"/>
    <x v="0"/>
    <x v="0"/>
    <n v="250000"/>
    <x v="79"/>
    <x v="0"/>
  </r>
  <r>
    <x v="0"/>
    <s v="360"/>
    <x v="0"/>
    <x v="118"/>
    <x v="0"/>
    <x v="1"/>
    <n v="30000"/>
    <x v="79"/>
    <x v="0"/>
  </r>
  <r>
    <x v="0"/>
    <s v="360"/>
    <x v="0"/>
    <x v="59"/>
    <x v="0"/>
    <x v="0"/>
    <n v="3075000"/>
    <x v="79"/>
    <x v="0"/>
  </r>
  <r>
    <x v="0"/>
    <s v="360"/>
    <x v="0"/>
    <x v="59"/>
    <x v="0"/>
    <x v="1"/>
    <n v="338000"/>
    <x v="79"/>
    <x v="0"/>
  </r>
  <r>
    <x v="0"/>
    <s v="360"/>
    <x v="0"/>
    <x v="94"/>
    <x v="0"/>
    <x v="0"/>
    <n v="416000"/>
    <x v="79"/>
    <x v="0"/>
  </r>
  <r>
    <x v="0"/>
    <s v="360"/>
    <x v="0"/>
    <x v="94"/>
    <x v="0"/>
    <x v="1"/>
    <n v="420000"/>
    <x v="79"/>
    <x v="0"/>
  </r>
  <r>
    <x v="0"/>
    <s v="360"/>
    <x v="0"/>
    <x v="30"/>
    <x v="0"/>
    <x v="1"/>
    <n v="250000"/>
    <x v="79"/>
    <x v="0"/>
  </r>
  <r>
    <x v="0"/>
    <s v="360"/>
    <x v="0"/>
    <x v="101"/>
    <x v="0"/>
    <x v="0"/>
    <n v="351000"/>
    <x v="79"/>
    <x v="0"/>
  </r>
  <r>
    <x v="0"/>
    <s v="360"/>
    <x v="0"/>
    <x v="101"/>
    <x v="0"/>
    <x v="1"/>
    <n v="366000"/>
    <x v="79"/>
    <x v="0"/>
  </r>
  <r>
    <x v="0"/>
    <s v="360"/>
    <x v="0"/>
    <x v="330"/>
    <x v="2"/>
    <x v="0"/>
    <n v="1131485000"/>
    <x v="79"/>
    <x v="0"/>
  </r>
  <r>
    <x v="0"/>
    <s v="360"/>
    <x v="0"/>
    <x v="330"/>
    <x v="2"/>
    <x v="1"/>
    <n v="1188172000"/>
    <x v="79"/>
    <x v="0"/>
  </r>
  <r>
    <x v="0"/>
    <s v="360"/>
    <x v="0"/>
    <x v="182"/>
    <x v="0"/>
    <x v="0"/>
    <n v="4200000"/>
    <x v="79"/>
    <x v="0"/>
  </r>
  <r>
    <x v="0"/>
    <s v="360"/>
    <x v="0"/>
    <x v="182"/>
    <x v="0"/>
    <x v="1"/>
    <n v="4385000"/>
    <x v="79"/>
    <x v="0"/>
  </r>
  <r>
    <x v="0"/>
    <s v="360"/>
    <x v="0"/>
    <x v="139"/>
    <x v="0"/>
    <x v="0"/>
    <n v="3947000"/>
    <x v="79"/>
    <x v="0"/>
  </r>
  <r>
    <x v="0"/>
    <s v="360"/>
    <x v="0"/>
    <x v="139"/>
    <x v="0"/>
    <x v="1"/>
    <n v="4077000"/>
    <x v="79"/>
    <x v="0"/>
  </r>
  <r>
    <x v="0"/>
    <s v="360"/>
    <x v="0"/>
    <x v="43"/>
    <x v="1"/>
    <x v="0"/>
    <n v="20000000"/>
    <x v="79"/>
    <x v="0"/>
  </r>
  <r>
    <x v="0"/>
    <s v="360"/>
    <x v="0"/>
    <x v="16"/>
    <x v="0"/>
    <x v="0"/>
    <n v="500000"/>
    <x v="79"/>
    <x v="1"/>
  </r>
  <r>
    <x v="0"/>
    <s v="360"/>
    <x v="0"/>
    <x v="16"/>
    <x v="0"/>
    <x v="1"/>
    <n v="500000"/>
    <x v="79"/>
    <x v="1"/>
  </r>
  <r>
    <x v="0"/>
    <s v="360"/>
    <x v="0"/>
    <x v="18"/>
    <x v="0"/>
    <x v="0"/>
    <n v="2500000"/>
    <x v="79"/>
    <x v="1"/>
  </r>
  <r>
    <x v="0"/>
    <s v="360"/>
    <x v="0"/>
    <x v="18"/>
    <x v="0"/>
    <x v="1"/>
    <n v="2500000"/>
    <x v="79"/>
    <x v="1"/>
  </r>
  <r>
    <x v="0"/>
    <s v="360900"/>
    <x v="1"/>
    <x v="1"/>
    <x v="0"/>
    <x v="0"/>
    <n v="60675000"/>
    <x v="79"/>
    <x v="0"/>
  </r>
  <r>
    <x v="0"/>
    <s v="360900"/>
    <x v="1"/>
    <x v="1"/>
    <x v="0"/>
    <x v="1"/>
    <n v="60675000"/>
    <x v="79"/>
    <x v="0"/>
  </r>
  <r>
    <x v="0"/>
    <s v="360900"/>
    <x v="1"/>
    <x v="325"/>
    <x v="0"/>
    <x v="0"/>
    <n v="46912500"/>
    <x v="79"/>
    <x v="0"/>
  </r>
  <r>
    <x v="0"/>
    <s v="360900"/>
    <x v="1"/>
    <x v="325"/>
    <x v="0"/>
    <x v="1"/>
    <n v="46912500"/>
    <x v="79"/>
    <x v="0"/>
  </r>
  <r>
    <x v="0"/>
    <s v="360900"/>
    <x v="1"/>
    <x v="328"/>
    <x v="2"/>
    <x v="0"/>
    <n v="158017500"/>
    <x v="79"/>
    <x v="0"/>
  </r>
  <r>
    <x v="0"/>
    <s v="360900"/>
    <x v="1"/>
    <x v="328"/>
    <x v="2"/>
    <x v="1"/>
    <n v="158017500"/>
    <x v="79"/>
    <x v="0"/>
  </r>
  <r>
    <x v="0"/>
    <s v="360900"/>
    <x v="1"/>
    <x v="111"/>
    <x v="0"/>
    <x v="0"/>
    <n v="1000000"/>
    <x v="79"/>
    <x v="0"/>
  </r>
  <r>
    <x v="0"/>
    <s v="360900"/>
    <x v="1"/>
    <x v="111"/>
    <x v="0"/>
    <x v="1"/>
    <n v="1000000"/>
    <x v="79"/>
    <x v="0"/>
  </r>
  <r>
    <x v="0"/>
    <s v="360900"/>
    <x v="1"/>
    <x v="59"/>
    <x v="0"/>
    <x v="0"/>
    <n v="30700000"/>
    <x v="79"/>
    <x v="0"/>
  </r>
  <r>
    <x v="0"/>
    <s v="360900"/>
    <x v="1"/>
    <x v="59"/>
    <x v="0"/>
    <x v="1"/>
    <n v="30700000"/>
    <x v="79"/>
    <x v="0"/>
  </r>
  <r>
    <x v="0"/>
    <s v="365"/>
    <x v="0"/>
    <x v="0"/>
    <x v="0"/>
    <x v="0"/>
    <n v="282829000"/>
    <x v="80"/>
    <x v="0"/>
  </r>
  <r>
    <x v="0"/>
    <s v="365"/>
    <x v="0"/>
    <x v="0"/>
    <x v="0"/>
    <x v="1"/>
    <n v="293782000"/>
    <x v="80"/>
    <x v="0"/>
  </r>
  <r>
    <x v="0"/>
    <s v="365"/>
    <x v="0"/>
    <x v="331"/>
    <x v="0"/>
    <x v="0"/>
    <n v="396000"/>
    <x v="80"/>
    <x v="0"/>
  </r>
  <r>
    <x v="0"/>
    <s v="365"/>
    <x v="0"/>
    <x v="331"/>
    <x v="0"/>
    <x v="1"/>
    <n v="396000"/>
    <x v="80"/>
    <x v="0"/>
  </r>
  <r>
    <x v="0"/>
    <s v="365"/>
    <x v="0"/>
    <x v="128"/>
    <x v="0"/>
    <x v="0"/>
    <n v="16998000"/>
    <x v="80"/>
    <x v="0"/>
  </r>
  <r>
    <x v="0"/>
    <s v="365"/>
    <x v="0"/>
    <x v="128"/>
    <x v="0"/>
    <x v="1"/>
    <n v="16997000"/>
    <x v="80"/>
    <x v="0"/>
  </r>
  <r>
    <x v="0"/>
    <s v="365"/>
    <x v="0"/>
    <x v="332"/>
    <x v="2"/>
    <x v="0"/>
    <n v="11308000"/>
    <x v="80"/>
    <x v="0"/>
  </r>
  <r>
    <x v="0"/>
    <s v="365"/>
    <x v="0"/>
    <x v="332"/>
    <x v="2"/>
    <x v="1"/>
    <n v="11308000"/>
    <x v="80"/>
    <x v="0"/>
  </r>
  <r>
    <x v="0"/>
    <s v="365"/>
    <x v="0"/>
    <x v="327"/>
    <x v="2"/>
    <x v="0"/>
    <n v="231487000"/>
    <x v="80"/>
    <x v="0"/>
  </r>
  <r>
    <x v="0"/>
    <s v="365"/>
    <x v="0"/>
    <x v="327"/>
    <x v="2"/>
    <x v="1"/>
    <n v="233308000"/>
    <x v="80"/>
    <x v="0"/>
  </r>
  <r>
    <x v="0"/>
    <s v="365"/>
    <x v="0"/>
    <x v="328"/>
    <x v="2"/>
    <x v="0"/>
    <n v="169093000"/>
    <x v="80"/>
    <x v="0"/>
  </r>
  <r>
    <x v="0"/>
    <s v="365"/>
    <x v="0"/>
    <x v="328"/>
    <x v="2"/>
    <x v="1"/>
    <n v="170810000"/>
    <x v="80"/>
    <x v="0"/>
  </r>
  <r>
    <x v="0"/>
    <s v="365"/>
    <x v="0"/>
    <x v="329"/>
    <x v="2"/>
    <x v="0"/>
    <n v="254376000"/>
    <x v="80"/>
    <x v="0"/>
  </r>
  <r>
    <x v="0"/>
    <s v="365"/>
    <x v="0"/>
    <x v="329"/>
    <x v="2"/>
    <x v="1"/>
    <n v="260648000"/>
    <x v="80"/>
    <x v="0"/>
  </r>
  <r>
    <x v="0"/>
    <s v="365"/>
    <x v="0"/>
    <x v="39"/>
    <x v="0"/>
    <x v="0"/>
    <n v="1385000"/>
    <x v="80"/>
    <x v="0"/>
  </r>
  <r>
    <x v="0"/>
    <s v="365"/>
    <x v="0"/>
    <x v="39"/>
    <x v="0"/>
    <x v="1"/>
    <n v="1386000"/>
    <x v="80"/>
    <x v="0"/>
  </r>
  <r>
    <x v="0"/>
    <s v="365"/>
    <x v="0"/>
    <x v="34"/>
    <x v="0"/>
    <x v="0"/>
    <n v="23121000"/>
    <x v="80"/>
    <x v="0"/>
  </r>
  <r>
    <x v="0"/>
    <s v="365"/>
    <x v="0"/>
    <x v="34"/>
    <x v="0"/>
    <x v="1"/>
    <n v="25911000"/>
    <x v="80"/>
    <x v="0"/>
  </r>
  <r>
    <x v="0"/>
    <s v="365"/>
    <x v="0"/>
    <x v="59"/>
    <x v="0"/>
    <x v="0"/>
    <n v="4160000"/>
    <x v="80"/>
    <x v="0"/>
  </r>
  <r>
    <x v="0"/>
    <s v="365"/>
    <x v="0"/>
    <x v="59"/>
    <x v="0"/>
    <x v="1"/>
    <n v="4161000"/>
    <x v="80"/>
    <x v="0"/>
  </r>
  <r>
    <x v="0"/>
    <s v="365"/>
    <x v="0"/>
    <x v="101"/>
    <x v="0"/>
    <x v="0"/>
    <n v="189000"/>
    <x v="80"/>
    <x v="0"/>
  </r>
  <r>
    <x v="0"/>
    <s v="365"/>
    <x v="0"/>
    <x v="101"/>
    <x v="0"/>
    <x v="1"/>
    <n v="197000"/>
    <x v="80"/>
    <x v="0"/>
  </r>
  <r>
    <x v="0"/>
    <s v="365"/>
    <x v="0"/>
    <x v="18"/>
    <x v="0"/>
    <x v="0"/>
    <n v="50000"/>
    <x v="80"/>
    <x v="1"/>
  </r>
  <r>
    <x v="0"/>
    <s v="365"/>
    <x v="0"/>
    <x v="18"/>
    <x v="0"/>
    <x v="1"/>
    <n v="50000"/>
    <x v="80"/>
    <x v="1"/>
  </r>
  <r>
    <x v="0"/>
    <s v="365900"/>
    <x v="1"/>
    <x v="1"/>
    <x v="0"/>
    <x v="0"/>
    <n v="47750000"/>
    <x v="80"/>
    <x v="0"/>
  </r>
  <r>
    <x v="0"/>
    <s v="365900"/>
    <x v="1"/>
    <x v="1"/>
    <x v="0"/>
    <x v="1"/>
    <n v="47750000"/>
    <x v="80"/>
    <x v="0"/>
  </r>
  <r>
    <x v="0"/>
    <s v="365900"/>
    <x v="1"/>
    <x v="331"/>
    <x v="0"/>
    <x v="0"/>
    <n v="28307500"/>
    <x v="80"/>
    <x v="0"/>
  </r>
  <r>
    <x v="0"/>
    <s v="365900"/>
    <x v="1"/>
    <x v="331"/>
    <x v="0"/>
    <x v="1"/>
    <n v="28307500"/>
    <x v="80"/>
    <x v="0"/>
  </r>
  <r>
    <x v="0"/>
    <s v="365900"/>
    <x v="1"/>
    <x v="59"/>
    <x v="0"/>
    <x v="0"/>
    <n v="9000000"/>
    <x v="80"/>
    <x v="0"/>
  </r>
  <r>
    <x v="0"/>
    <s v="365900"/>
    <x v="1"/>
    <x v="59"/>
    <x v="0"/>
    <x v="1"/>
    <n v="9000000"/>
    <x v="80"/>
    <x v="0"/>
  </r>
  <r>
    <x v="0"/>
    <s v="370"/>
    <x v="0"/>
    <x v="0"/>
    <x v="0"/>
    <x v="0"/>
    <n v="65664000"/>
    <x v="81"/>
    <x v="0"/>
  </r>
  <r>
    <x v="0"/>
    <s v="370"/>
    <x v="0"/>
    <x v="0"/>
    <x v="0"/>
    <x v="1"/>
    <n v="68260000"/>
    <x v="81"/>
    <x v="0"/>
  </r>
  <r>
    <x v="0"/>
    <s v="370"/>
    <x v="0"/>
    <x v="128"/>
    <x v="0"/>
    <x v="0"/>
    <n v="8424000"/>
    <x v="81"/>
    <x v="0"/>
  </r>
  <r>
    <x v="0"/>
    <s v="370"/>
    <x v="0"/>
    <x v="128"/>
    <x v="0"/>
    <x v="1"/>
    <n v="8414000"/>
    <x v="81"/>
    <x v="0"/>
  </r>
  <r>
    <x v="0"/>
    <s v="370"/>
    <x v="0"/>
    <x v="327"/>
    <x v="2"/>
    <x v="0"/>
    <n v="11326000"/>
    <x v="81"/>
    <x v="0"/>
  </r>
  <r>
    <x v="0"/>
    <s v="370"/>
    <x v="0"/>
    <x v="327"/>
    <x v="2"/>
    <x v="1"/>
    <n v="11491000"/>
    <x v="81"/>
    <x v="0"/>
  </r>
  <r>
    <x v="0"/>
    <s v="370"/>
    <x v="0"/>
    <x v="328"/>
    <x v="2"/>
    <x v="0"/>
    <n v="35191000"/>
    <x v="81"/>
    <x v="0"/>
  </r>
  <r>
    <x v="0"/>
    <s v="370"/>
    <x v="0"/>
    <x v="328"/>
    <x v="2"/>
    <x v="1"/>
    <n v="35559000"/>
    <x v="81"/>
    <x v="0"/>
  </r>
  <r>
    <x v="0"/>
    <s v="370"/>
    <x v="0"/>
    <x v="329"/>
    <x v="2"/>
    <x v="0"/>
    <n v="65286000"/>
    <x v="81"/>
    <x v="0"/>
  </r>
  <r>
    <x v="0"/>
    <s v="370"/>
    <x v="0"/>
    <x v="329"/>
    <x v="2"/>
    <x v="1"/>
    <n v="65136000"/>
    <x v="81"/>
    <x v="0"/>
  </r>
  <r>
    <x v="0"/>
    <s v="370"/>
    <x v="0"/>
    <x v="34"/>
    <x v="0"/>
    <x v="0"/>
    <n v="12374000"/>
    <x v="81"/>
    <x v="0"/>
  </r>
  <r>
    <x v="0"/>
    <s v="370"/>
    <x v="0"/>
    <x v="34"/>
    <x v="0"/>
    <x v="1"/>
    <n v="12535000"/>
    <x v="81"/>
    <x v="0"/>
  </r>
  <r>
    <x v="0"/>
    <s v="370900"/>
    <x v="1"/>
    <x v="1"/>
    <x v="0"/>
    <x v="0"/>
    <n v="37862500"/>
    <x v="81"/>
    <x v="0"/>
  </r>
  <r>
    <x v="0"/>
    <s v="370900"/>
    <x v="1"/>
    <x v="1"/>
    <x v="0"/>
    <x v="1"/>
    <n v="37862500"/>
    <x v="81"/>
    <x v="0"/>
  </r>
  <r>
    <x v="0"/>
    <s v="370900"/>
    <x v="1"/>
    <x v="333"/>
    <x v="0"/>
    <x v="0"/>
    <n v="4108500"/>
    <x v="81"/>
    <x v="0"/>
  </r>
  <r>
    <x v="0"/>
    <s v="370900"/>
    <x v="1"/>
    <x v="333"/>
    <x v="0"/>
    <x v="1"/>
    <n v="4108500"/>
    <x v="81"/>
    <x v="0"/>
  </r>
  <r>
    <x v="0"/>
    <s v="370900"/>
    <x v="1"/>
    <x v="59"/>
    <x v="0"/>
    <x v="0"/>
    <n v="5099000"/>
    <x v="81"/>
    <x v="0"/>
  </r>
  <r>
    <x v="0"/>
    <s v="370900"/>
    <x v="1"/>
    <x v="59"/>
    <x v="0"/>
    <x v="1"/>
    <n v="5099000"/>
    <x v="81"/>
    <x v="0"/>
  </r>
  <r>
    <x v="0"/>
    <s v="375"/>
    <x v="0"/>
    <x v="0"/>
    <x v="0"/>
    <x v="0"/>
    <n v="68904000"/>
    <x v="82"/>
    <x v="0"/>
  </r>
  <r>
    <x v="0"/>
    <s v="375"/>
    <x v="0"/>
    <x v="0"/>
    <x v="0"/>
    <x v="1"/>
    <n v="72120000"/>
    <x v="82"/>
    <x v="0"/>
  </r>
  <r>
    <x v="0"/>
    <s v="375"/>
    <x v="0"/>
    <x v="334"/>
    <x v="0"/>
    <x v="0"/>
    <n v="38000"/>
    <x v="82"/>
    <x v="0"/>
  </r>
  <r>
    <x v="0"/>
    <s v="375"/>
    <x v="0"/>
    <x v="334"/>
    <x v="0"/>
    <x v="1"/>
    <n v="38000"/>
    <x v="82"/>
    <x v="0"/>
  </r>
  <r>
    <x v="0"/>
    <s v="375"/>
    <x v="0"/>
    <x v="128"/>
    <x v="0"/>
    <x v="0"/>
    <n v="9538000"/>
    <x v="82"/>
    <x v="0"/>
  </r>
  <r>
    <x v="0"/>
    <s v="375"/>
    <x v="0"/>
    <x v="128"/>
    <x v="0"/>
    <x v="1"/>
    <n v="9538000"/>
    <x v="82"/>
    <x v="0"/>
  </r>
  <r>
    <x v="0"/>
    <s v="375"/>
    <x v="0"/>
    <x v="327"/>
    <x v="2"/>
    <x v="0"/>
    <n v="51951000"/>
    <x v="82"/>
    <x v="0"/>
  </r>
  <r>
    <x v="0"/>
    <s v="375"/>
    <x v="0"/>
    <x v="327"/>
    <x v="2"/>
    <x v="1"/>
    <n v="51965000"/>
    <x v="82"/>
    <x v="0"/>
  </r>
  <r>
    <x v="0"/>
    <s v="375"/>
    <x v="0"/>
    <x v="328"/>
    <x v="2"/>
    <x v="0"/>
    <n v="30400000"/>
    <x v="82"/>
    <x v="0"/>
  </r>
  <r>
    <x v="0"/>
    <s v="375"/>
    <x v="0"/>
    <x v="328"/>
    <x v="2"/>
    <x v="1"/>
    <n v="27539000"/>
    <x v="82"/>
    <x v="0"/>
  </r>
  <r>
    <x v="0"/>
    <s v="375"/>
    <x v="0"/>
    <x v="329"/>
    <x v="2"/>
    <x v="0"/>
    <n v="60577000"/>
    <x v="82"/>
    <x v="0"/>
  </r>
  <r>
    <x v="0"/>
    <s v="375"/>
    <x v="0"/>
    <x v="329"/>
    <x v="2"/>
    <x v="1"/>
    <n v="64491000"/>
    <x v="82"/>
    <x v="0"/>
  </r>
  <r>
    <x v="0"/>
    <s v="375"/>
    <x v="0"/>
    <x v="34"/>
    <x v="0"/>
    <x v="0"/>
    <n v="7933000"/>
    <x v="82"/>
    <x v="0"/>
  </r>
  <r>
    <x v="0"/>
    <s v="375"/>
    <x v="0"/>
    <x v="34"/>
    <x v="0"/>
    <x v="1"/>
    <n v="7881000"/>
    <x v="82"/>
    <x v="0"/>
  </r>
  <r>
    <x v="0"/>
    <s v="375900"/>
    <x v="1"/>
    <x v="1"/>
    <x v="0"/>
    <x v="0"/>
    <n v="46467500"/>
    <x v="82"/>
    <x v="0"/>
  </r>
  <r>
    <x v="0"/>
    <s v="375900"/>
    <x v="1"/>
    <x v="1"/>
    <x v="0"/>
    <x v="1"/>
    <n v="46467500"/>
    <x v="82"/>
    <x v="0"/>
  </r>
  <r>
    <x v="0"/>
    <s v="375900"/>
    <x v="1"/>
    <x v="334"/>
    <x v="0"/>
    <x v="0"/>
    <n v="5508000"/>
    <x v="82"/>
    <x v="0"/>
  </r>
  <r>
    <x v="0"/>
    <s v="375900"/>
    <x v="1"/>
    <x v="334"/>
    <x v="0"/>
    <x v="1"/>
    <n v="5508000"/>
    <x v="82"/>
    <x v="0"/>
  </r>
  <r>
    <x v="0"/>
    <s v="375900"/>
    <x v="1"/>
    <x v="59"/>
    <x v="0"/>
    <x v="0"/>
    <n v="12386500"/>
    <x v="82"/>
    <x v="0"/>
  </r>
  <r>
    <x v="0"/>
    <s v="375900"/>
    <x v="1"/>
    <x v="59"/>
    <x v="0"/>
    <x v="1"/>
    <n v="12386500"/>
    <x v="82"/>
    <x v="0"/>
  </r>
  <r>
    <x v="0"/>
    <s v="376"/>
    <x v="0"/>
    <x v="0"/>
    <x v="0"/>
    <x v="0"/>
    <n v="38770000"/>
    <x v="83"/>
    <x v="0"/>
  </r>
  <r>
    <x v="0"/>
    <s v="376"/>
    <x v="0"/>
    <x v="0"/>
    <x v="0"/>
    <x v="1"/>
    <n v="39723000"/>
    <x v="83"/>
    <x v="0"/>
  </r>
  <r>
    <x v="0"/>
    <s v="376"/>
    <x v="0"/>
    <x v="335"/>
    <x v="0"/>
    <x v="0"/>
    <n v="40000"/>
    <x v="83"/>
    <x v="0"/>
  </r>
  <r>
    <x v="0"/>
    <s v="376"/>
    <x v="0"/>
    <x v="335"/>
    <x v="0"/>
    <x v="1"/>
    <n v="40000"/>
    <x v="83"/>
    <x v="0"/>
  </r>
  <r>
    <x v="0"/>
    <s v="376"/>
    <x v="0"/>
    <x v="128"/>
    <x v="0"/>
    <x v="0"/>
    <n v="2725000"/>
    <x v="83"/>
    <x v="0"/>
  </r>
  <r>
    <x v="0"/>
    <s v="376"/>
    <x v="0"/>
    <x v="128"/>
    <x v="0"/>
    <x v="1"/>
    <n v="2725000"/>
    <x v="83"/>
    <x v="0"/>
  </r>
  <r>
    <x v="0"/>
    <s v="376"/>
    <x v="0"/>
    <x v="327"/>
    <x v="2"/>
    <x v="0"/>
    <n v="5135000"/>
    <x v="83"/>
    <x v="0"/>
  </r>
  <r>
    <x v="0"/>
    <s v="376"/>
    <x v="0"/>
    <x v="327"/>
    <x v="2"/>
    <x v="1"/>
    <n v="5208000"/>
    <x v="83"/>
    <x v="0"/>
  </r>
  <r>
    <x v="0"/>
    <s v="376"/>
    <x v="0"/>
    <x v="328"/>
    <x v="2"/>
    <x v="0"/>
    <n v="7602000"/>
    <x v="83"/>
    <x v="0"/>
  </r>
  <r>
    <x v="0"/>
    <s v="376"/>
    <x v="0"/>
    <x v="328"/>
    <x v="2"/>
    <x v="1"/>
    <n v="7597000"/>
    <x v="83"/>
    <x v="0"/>
  </r>
  <r>
    <x v="0"/>
    <s v="376"/>
    <x v="0"/>
    <x v="329"/>
    <x v="2"/>
    <x v="0"/>
    <n v="37717000"/>
    <x v="83"/>
    <x v="0"/>
  </r>
  <r>
    <x v="0"/>
    <s v="376"/>
    <x v="0"/>
    <x v="329"/>
    <x v="2"/>
    <x v="1"/>
    <n v="37937000"/>
    <x v="83"/>
    <x v="0"/>
  </r>
  <r>
    <x v="0"/>
    <s v="376"/>
    <x v="0"/>
    <x v="34"/>
    <x v="0"/>
    <x v="0"/>
    <n v="2771000"/>
    <x v="83"/>
    <x v="0"/>
  </r>
  <r>
    <x v="0"/>
    <s v="376"/>
    <x v="0"/>
    <x v="34"/>
    <x v="0"/>
    <x v="1"/>
    <n v="3024000"/>
    <x v="83"/>
    <x v="0"/>
  </r>
  <r>
    <x v="0"/>
    <s v="376"/>
    <x v="0"/>
    <x v="336"/>
    <x v="0"/>
    <x v="1"/>
    <n v="188000"/>
    <x v="83"/>
    <x v="1"/>
  </r>
  <r>
    <x v="0"/>
    <s v="376900"/>
    <x v="1"/>
    <x v="1"/>
    <x v="0"/>
    <x v="0"/>
    <n v="13763500"/>
    <x v="83"/>
    <x v="0"/>
  </r>
  <r>
    <x v="0"/>
    <s v="376900"/>
    <x v="1"/>
    <x v="1"/>
    <x v="0"/>
    <x v="1"/>
    <n v="13763500"/>
    <x v="83"/>
    <x v="0"/>
  </r>
  <r>
    <x v="0"/>
    <s v="376900"/>
    <x v="1"/>
    <x v="335"/>
    <x v="0"/>
    <x v="0"/>
    <n v="3585000"/>
    <x v="83"/>
    <x v="0"/>
  </r>
  <r>
    <x v="0"/>
    <s v="376900"/>
    <x v="1"/>
    <x v="335"/>
    <x v="0"/>
    <x v="1"/>
    <n v="3585000"/>
    <x v="83"/>
    <x v="0"/>
  </r>
  <r>
    <x v="0"/>
    <s v="376900"/>
    <x v="1"/>
    <x v="59"/>
    <x v="0"/>
    <x v="0"/>
    <n v="12500"/>
    <x v="83"/>
    <x v="0"/>
  </r>
  <r>
    <x v="0"/>
    <s v="376900"/>
    <x v="1"/>
    <x v="59"/>
    <x v="0"/>
    <x v="1"/>
    <n v="12500"/>
    <x v="83"/>
    <x v="0"/>
  </r>
  <r>
    <x v="0"/>
    <s v="380"/>
    <x v="0"/>
    <x v="0"/>
    <x v="0"/>
    <x v="0"/>
    <n v="99066000"/>
    <x v="84"/>
    <x v="0"/>
  </r>
  <r>
    <x v="0"/>
    <s v="380"/>
    <x v="0"/>
    <x v="0"/>
    <x v="0"/>
    <x v="1"/>
    <n v="104923000"/>
    <x v="84"/>
    <x v="0"/>
  </r>
  <r>
    <x v="0"/>
    <s v="380"/>
    <x v="0"/>
    <x v="337"/>
    <x v="0"/>
    <x v="0"/>
    <n v="712000"/>
    <x v="84"/>
    <x v="0"/>
  </r>
  <r>
    <x v="0"/>
    <s v="380"/>
    <x v="0"/>
    <x v="337"/>
    <x v="0"/>
    <x v="1"/>
    <n v="712000"/>
    <x v="84"/>
    <x v="0"/>
  </r>
  <r>
    <x v="0"/>
    <s v="380"/>
    <x v="0"/>
    <x v="128"/>
    <x v="0"/>
    <x v="0"/>
    <n v="6919000"/>
    <x v="84"/>
    <x v="0"/>
  </r>
  <r>
    <x v="0"/>
    <s v="380"/>
    <x v="0"/>
    <x v="128"/>
    <x v="0"/>
    <x v="1"/>
    <n v="6912000"/>
    <x v="84"/>
    <x v="0"/>
  </r>
  <r>
    <x v="0"/>
    <s v="380"/>
    <x v="0"/>
    <x v="327"/>
    <x v="2"/>
    <x v="0"/>
    <n v="10718000"/>
    <x v="84"/>
    <x v="0"/>
  </r>
  <r>
    <x v="0"/>
    <s v="380"/>
    <x v="0"/>
    <x v="327"/>
    <x v="2"/>
    <x v="1"/>
    <n v="12026000"/>
    <x v="84"/>
    <x v="0"/>
  </r>
  <r>
    <x v="0"/>
    <s v="380"/>
    <x v="0"/>
    <x v="328"/>
    <x v="2"/>
    <x v="0"/>
    <n v="34170000"/>
    <x v="84"/>
    <x v="0"/>
  </r>
  <r>
    <x v="0"/>
    <s v="380"/>
    <x v="0"/>
    <x v="328"/>
    <x v="2"/>
    <x v="1"/>
    <n v="35243000"/>
    <x v="84"/>
    <x v="0"/>
  </r>
  <r>
    <x v="0"/>
    <s v="380"/>
    <x v="0"/>
    <x v="329"/>
    <x v="2"/>
    <x v="0"/>
    <n v="86886000"/>
    <x v="84"/>
    <x v="0"/>
  </r>
  <r>
    <x v="0"/>
    <s v="380"/>
    <x v="0"/>
    <x v="329"/>
    <x v="2"/>
    <x v="1"/>
    <n v="90415000"/>
    <x v="84"/>
    <x v="0"/>
  </r>
  <r>
    <x v="0"/>
    <s v="380"/>
    <x v="0"/>
    <x v="34"/>
    <x v="0"/>
    <x v="0"/>
    <n v="9711000"/>
    <x v="84"/>
    <x v="0"/>
  </r>
  <r>
    <x v="0"/>
    <s v="380"/>
    <x v="0"/>
    <x v="34"/>
    <x v="0"/>
    <x v="1"/>
    <n v="12553000"/>
    <x v="84"/>
    <x v="0"/>
  </r>
  <r>
    <x v="0"/>
    <s v="380"/>
    <x v="0"/>
    <x v="18"/>
    <x v="0"/>
    <x v="0"/>
    <n v="70000"/>
    <x v="84"/>
    <x v="1"/>
  </r>
  <r>
    <x v="0"/>
    <s v="380"/>
    <x v="0"/>
    <x v="18"/>
    <x v="0"/>
    <x v="1"/>
    <n v="70000"/>
    <x v="84"/>
    <x v="1"/>
  </r>
  <r>
    <x v="0"/>
    <s v="380900"/>
    <x v="1"/>
    <x v="1"/>
    <x v="0"/>
    <x v="0"/>
    <n v="28100000"/>
    <x v="84"/>
    <x v="0"/>
  </r>
  <r>
    <x v="0"/>
    <s v="380900"/>
    <x v="1"/>
    <x v="1"/>
    <x v="0"/>
    <x v="1"/>
    <n v="28100000"/>
    <x v="84"/>
    <x v="0"/>
  </r>
  <r>
    <x v="0"/>
    <s v="380900"/>
    <x v="1"/>
    <x v="337"/>
    <x v="0"/>
    <x v="0"/>
    <n v="6001000"/>
    <x v="84"/>
    <x v="0"/>
  </r>
  <r>
    <x v="0"/>
    <s v="380900"/>
    <x v="1"/>
    <x v="337"/>
    <x v="0"/>
    <x v="1"/>
    <n v="6001000"/>
    <x v="84"/>
    <x v="0"/>
  </r>
  <r>
    <x v="0"/>
    <s v="380900"/>
    <x v="1"/>
    <x v="59"/>
    <x v="0"/>
    <x v="0"/>
    <n v="5000000"/>
    <x v="84"/>
    <x v="0"/>
  </r>
  <r>
    <x v="0"/>
    <s v="380900"/>
    <x v="1"/>
    <x v="59"/>
    <x v="0"/>
    <x v="1"/>
    <n v="5000000"/>
    <x v="84"/>
    <x v="0"/>
  </r>
  <r>
    <x v="0"/>
    <s v="387"/>
    <x v="0"/>
    <x v="0"/>
    <x v="0"/>
    <x v="0"/>
    <n v="6329000"/>
    <x v="85"/>
    <x v="0"/>
  </r>
  <r>
    <x v="0"/>
    <s v="387"/>
    <x v="0"/>
    <x v="0"/>
    <x v="0"/>
    <x v="1"/>
    <n v="7595000"/>
    <x v="85"/>
    <x v="0"/>
  </r>
  <r>
    <x v="0"/>
    <s v="387"/>
    <x v="0"/>
    <x v="27"/>
    <x v="1"/>
    <x v="0"/>
    <n v="1632000"/>
    <x v="85"/>
    <x v="0"/>
  </r>
  <r>
    <x v="0"/>
    <s v="387"/>
    <x v="0"/>
    <x v="27"/>
    <x v="1"/>
    <x v="1"/>
    <n v="1198000"/>
    <x v="85"/>
    <x v="0"/>
  </r>
  <r>
    <x v="0"/>
    <s v="387"/>
    <x v="0"/>
    <x v="28"/>
    <x v="3"/>
    <x v="0"/>
    <n v="87000"/>
    <x v="85"/>
    <x v="0"/>
  </r>
  <r>
    <x v="0"/>
    <s v="387"/>
    <x v="0"/>
    <x v="28"/>
    <x v="3"/>
    <x v="1"/>
    <n v="97000"/>
    <x v="85"/>
    <x v="0"/>
  </r>
  <r>
    <x v="0"/>
    <s v="387900"/>
    <x v="1"/>
    <x v="1"/>
    <x v="0"/>
    <x v="0"/>
    <n v="575500"/>
    <x v="85"/>
    <x v="0"/>
  </r>
  <r>
    <x v="0"/>
    <s v="387900"/>
    <x v="1"/>
    <x v="1"/>
    <x v="0"/>
    <x v="1"/>
    <n v="575500"/>
    <x v="85"/>
    <x v="0"/>
  </r>
  <r>
    <x v="0"/>
    <s v="390"/>
    <x v="0"/>
    <x v="0"/>
    <x v="0"/>
    <x v="0"/>
    <n v="5424000"/>
    <x v="86"/>
    <x v="0"/>
  </r>
  <r>
    <x v="0"/>
    <s v="390"/>
    <x v="0"/>
    <x v="0"/>
    <x v="0"/>
    <x v="1"/>
    <n v="6715000"/>
    <x v="86"/>
    <x v="0"/>
  </r>
  <r>
    <x v="0"/>
    <s v="390"/>
    <x v="0"/>
    <x v="338"/>
    <x v="2"/>
    <x v="0"/>
    <n v="1439000"/>
    <x v="86"/>
    <x v="0"/>
  </r>
  <r>
    <x v="0"/>
    <s v="390"/>
    <x v="0"/>
    <x v="338"/>
    <x v="2"/>
    <x v="1"/>
    <n v="1140000"/>
    <x v="86"/>
    <x v="0"/>
  </r>
  <r>
    <x v="0"/>
    <s v="390"/>
    <x v="0"/>
    <x v="339"/>
    <x v="3"/>
    <x v="0"/>
    <n v="35000"/>
    <x v="86"/>
    <x v="0"/>
  </r>
  <r>
    <x v="0"/>
    <s v="390"/>
    <x v="0"/>
    <x v="339"/>
    <x v="3"/>
    <x v="1"/>
    <n v="35000"/>
    <x v="86"/>
    <x v="0"/>
  </r>
  <r>
    <x v="0"/>
    <s v="390900"/>
    <x v="1"/>
    <x v="1"/>
    <x v="0"/>
    <x v="0"/>
    <n v="7655000"/>
    <x v="86"/>
    <x v="0"/>
  </r>
  <r>
    <x v="0"/>
    <s v="390900"/>
    <x v="1"/>
    <x v="1"/>
    <x v="0"/>
    <x v="1"/>
    <n v="7655000"/>
    <x v="86"/>
    <x v="0"/>
  </r>
  <r>
    <x v="0"/>
    <s v="390900"/>
    <x v="1"/>
    <x v="3"/>
    <x v="0"/>
    <x v="0"/>
    <n v="15000"/>
    <x v="86"/>
    <x v="0"/>
  </r>
  <r>
    <x v="0"/>
    <s v="390900"/>
    <x v="1"/>
    <x v="3"/>
    <x v="0"/>
    <x v="1"/>
    <n v="15000"/>
    <x v="86"/>
    <x v="0"/>
  </r>
  <r>
    <x v="0"/>
    <s v="395"/>
    <x v="0"/>
    <x v="0"/>
    <x v="0"/>
    <x v="0"/>
    <n v="4794000"/>
    <x v="87"/>
    <x v="0"/>
  </r>
  <r>
    <x v="0"/>
    <s v="395"/>
    <x v="0"/>
    <x v="0"/>
    <x v="0"/>
    <x v="1"/>
    <n v="4712000"/>
    <x v="87"/>
    <x v="0"/>
  </r>
  <r>
    <x v="0"/>
    <s v="395"/>
    <x v="0"/>
    <x v="340"/>
    <x v="2"/>
    <x v="0"/>
    <n v="1335000"/>
    <x v="87"/>
    <x v="0"/>
  </r>
  <r>
    <x v="0"/>
    <s v="395"/>
    <x v="0"/>
    <x v="340"/>
    <x v="2"/>
    <x v="1"/>
    <n v="737000"/>
    <x v="87"/>
    <x v="0"/>
  </r>
  <r>
    <x v="0"/>
    <s v="395900"/>
    <x v="1"/>
    <x v="1"/>
    <x v="0"/>
    <x v="0"/>
    <n v="1979500"/>
    <x v="87"/>
    <x v="0"/>
  </r>
  <r>
    <x v="0"/>
    <s v="395900"/>
    <x v="1"/>
    <x v="1"/>
    <x v="0"/>
    <x v="1"/>
    <n v="1979500"/>
    <x v="87"/>
    <x v="0"/>
  </r>
  <r>
    <x v="0"/>
    <s v="405"/>
    <x v="1"/>
    <x v="78"/>
    <x v="0"/>
    <x v="0"/>
    <n v="2500000"/>
    <x v="88"/>
    <x v="0"/>
  </r>
  <r>
    <x v="0"/>
    <s v="405"/>
    <x v="1"/>
    <x v="78"/>
    <x v="0"/>
    <x v="1"/>
    <n v="2500000"/>
    <x v="88"/>
    <x v="0"/>
  </r>
  <r>
    <x v="0"/>
    <s v="405B00"/>
    <x v="0"/>
    <x v="204"/>
    <x v="0"/>
    <x v="0"/>
    <n v="33837000"/>
    <x v="88"/>
    <x v="1"/>
  </r>
  <r>
    <x v="0"/>
    <s v="405B00"/>
    <x v="0"/>
    <x v="204"/>
    <x v="0"/>
    <x v="1"/>
    <n v="33362000"/>
    <x v="88"/>
    <x v="1"/>
  </r>
  <r>
    <x v="0"/>
    <s v="405B00"/>
    <x v="0"/>
    <x v="341"/>
    <x v="0"/>
    <x v="0"/>
    <n v="2096000"/>
    <x v="88"/>
    <x v="1"/>
  </r>
  <r>
    <x v="0"/>
    <s v="405B00"/>
    <x v="0"/>
    <x v="341"/>
    <x v="0"/>
    <x v="1"/>
    <n v="2082000"/>
    <x v="88"/>
    <x v="1"/>
  </r>
  <r>
    <x v="0"/>
    <s v="405B00"/>
    <x v="0"/>
    <x v="206"/>
    <x v="0"/>
    <x v="0"/>
    <n v="17255000"/>
    <x v="88"/>
    <x v="1"/>
  </r>
  <r>
    <x v="0"/>
    <s v="405B00"/>
    <x v="0"/>
    <x v="206"/>
    <x v="0"/>
    <x v="1"/>
    <n v="17143000"/>
    <x v="88"/>
    <x v="1"/>
  </r>
  <r>
    <x v="0"/>
    <s v="405B00"/>
    <x v="0"/>
    <x v="207"/>
    <x v="0"/>
    <x v="0"/>
    <n v="11376000"/>
    <x v="88"/>
    <x v="1"/>
  </r>
  <r>
    <x v="0"/>
    <s v="405B00"/>
    <x v="0"/>
    <x v="207"/>
    <x v="0"/>
    <x v="1"/>
    <n v="11165000"/>
    <x v="88"/>
    <x v="1"/>
  </r>
  <r>
    <x v="0"/>
    <s v="405B00"/>
    <x v="0"/>
    <x v="208"/>
    <x v="0"/>
    <x v="0"/>
    <n v="12853000"/>
    <x v="88"/>
    <x v="1"/>
  </r>
  <r>
    <x v="0"/>
    <s v="405B00"/>
    <x v="0"/>
    <x v="208"/>
    <x v="0"/>
    <x v="1"/>
    <n v="12670000"/>
    <x v="88"/>
    <x v="1"/>
  </r>
  <r>
    <x v="0"/>
    <s v="405C00"/>
    <x v="0"/>
    <x v="8"/>
    <x v="0"/>
    <x v="0"/>
    <n v="747000"/>
    <x v="88"/>
    <x v="1"/>
  </r>
  <r>
    <x v="0"/>
    <s v="405C00"/>
    <x v="0"/>
    <x v="8"/>
    <x v="0"/>
    <x v="1"/>
    <n v="747000"/>
    <x v="88"/>
    <x v="1"/>
  </r>
  <r>
    <x v="0"/>
    <s v="405C00"/>
    <x v="0"/>
    <x v="16"/>
    <x v="0"/>
    <x v="0"/>
    <n v="60584000"/>
    <x v="88"/>
    <x v="1"/>
  </r>
  <r>
    <x v="0"/>
    <s v="405C00"/>
    <x v="0"/>
    <x v="16"/>
    <x v="0"/>
    <x v="1"/>
    <n v="62148000"/>
    <x v="88"/>
    <x v="1"/>
  </r>
  <r>
    <x v="0"/>
    <s v="405C00"/>
    <x v="0"/>
    <x v="17"/>
    <x v="0"/>
    <x v="0"/>
    <n v="153000"/>
    <x v="88"/>
    <x v="1"/>
  </r>
  <r>
    <x v="0"/>
    <s v="405C00"/>
    <x v="0"/>
    <x v="17"/>
    <x v="0"/>
    <x v="1"/>
    <n v="154000"/>
    <x v="88"/>
    <x v="1"/>
  </r>
  <r>
    <x v="0"/>
    <s v="405C00"/>
    <x v="0"/>
    <x v="18"/>
    <x v="0"/>
    <x v="0"/>
    <n v="1494000"/>
    <x v="88"/>
    <x v="1"/>
  </r>
  <r>
    <x v="0"/>
    <s v="405C00"/>
    <x v="0"/>
    <x v="18"/>
    <x v="0"/>
    <x v="1"/>
    <n v="1494000"/>
    <x v="88"/>
    <x v="1"/>
  </r>
  <r>
    <x v="0"/>
    <s v="405C00"/>
    <x v="0"/>
    <x v="342"/>
    <x v="0"/>
    <x v="0"/>
    <n v="744000"/>
    <x v="88"/>
    <x v="1"/>
  </r>
  <r>
    <x v="0"/>
    <s v="405C00"/>
    <x v="0"/>
    <x v="342"/>
    <x v="0"/>
    <x v="1"/>
    <n v="744000"/>
    <x v="88"/>
    <x v="1"/>
  </r>
  <r>
    <x v="0"/>
    <s v="405D00"/>
    <x v="0"/>
    <x v="16"/>
    <x v="0"/>
    <x v="0"/>
    <n v="20323000"/>
    <x v="88"/>
    <x v="1"/>
  </r>
  <r>
    <x v="0"/>
    <s v="405D00"/>
    <x v="0"/>
    <x v="16"/>
    <x v="0"/>
    <x v="1"/>
    <n v="20039000"/>
    <x v="88"/>
    <x v="1"/>
  </r>
  <r>
    <x v="0"/>
    <s v="405D00"/>
    <x v="0"/>
    <x v="204"/>
    <x v="0"/>
    <x v="0"/>
    <n v="17000"/>
    <x v="88"/>
    <x v="1"/>
  </r>
  <r>
    <x v="0"/>
    <s v="405D00"/>
    <x v="0"/>
    <x v="204"/>
    <x v="0"/>
    <x v="1"/>
    <n v="17000"/>
    <x v="88"/>
    <x v="1"/>
  </r>
  <r>
    <x v="0"/>
    <s v="405D00"/>
    <x v="0"/>
    <x v="343"/>
    <x v="0"/>
    <x v="0"/>
    <n v="1260000"/>
    <x v="88"/>
    <x v="1"/>
  </r>
  <r>
    <x v="0"/>
    <s v="405D00"/>
    <x v="0"/>
    <x v="343"/>
    <x v="0"/>
    <x v="1"/>
    <n v="1272000"/>
    <x v="88"/>
    <x v="1"/>
  </r>
  <r>
    <x v="0"/>
    <s v="405D0C"/>
    <x v="1"/>
    <x v="16"/>
    <x v="0"/>
    <x v="0"/>
    <n v="14905000"/>
    <x v="88"/>
    <x v="1"/>
  </r>
  <r>
    <x v="0"/>
    <s v="405D0C"/>
    <x v="1"/>
    <x v="16"/>
    <x v="0"/>
    <x v="1"/>
    <n v="14905000"/>
    <x v="88"/>
    <x v="1"/>
  </r>
  <r>
    <x v="0"/>
    <s v="405D0C"/>
    <x v="1"/>
    <x v="9"/>
    <x v="0"/>
    <x v="0"/>
    <n v="2000"/>
    <x v="88"/>
    <x v="1"/>
  </r>
  <r>
    <x v="0"/>
    <s v="405D0C"/>
    <x v="1"/>
    <x v="9"/>
    <x v="0"/>
    <x v="1"/>
    <n v="1000"/>
    <x v="88"/>
    <x v="1"/>
  </r>
  <r>
    <x v="0"/>
    <s v="405D0C"/>
    <x v="1"/>
    <x v="18"/>
    <x v="0"/>
    <x v="0"/>
    <n v="600000"/>
    <x v="88"/>
    <x v="1"/>
  </r>
  <r>
    <x v="0"/>
    <s v="405D0C"/>
    <x v="1"/>
    <x v="18"/>
    <x v="0"/>
    <x v="1"/>
    <n v="600000"/>
    <x v="88"/>
    <x v="1"/>
  </r>
  <r>
    <x v="0"/>
    <s v="405D0C"/>
    <x v="1"/>
    <x v="343"/>
    <x v="0"/>
    <x v="0"/>
    <n v="6006000"/>
    <x v="88"/>
    <x v="1"/>
  </r>
  <r>
    <x v="0"/>
    <s v="405D0C"/>
    <x v="1"/>
    <x v="343"/>
    <x v="0"/>
    <x v="1"/>
    <n v="6005000"/>
    <x v="88"/>
    <x v="1"/>
  </r>
  <r>
    <x v="0"/>
    <s v="405E00"/>
    <x v="0"/>
    <x v="16"/>
    <x v="0"/>
    <x v="0"/>
    <n v="350000"/>
    <x v="88"/>
    <x v="1"/>
  </r>
  <r>
    <x v="0"/>
    <s v="405E00"/>
    <x v="0"/>
    <x v="16"/>
    <x v="0"/>
    <x v="1"/>
    <n v="350000"/>
    <x v="88"/>
    <x v="1"/>
  </r>
  <r>
    <x v="0"/>
    <s v="405E00"/>
    <x v="0"/>
    <x v="18"/>
    <x v="0"/>
    <x v="0"/>
    <n v="216000"/>
    <x v="88"/>
    <x v="1"/>
  </r>
  <r>
    <x v="0"/>
    <s v="405E00"/>
    <x v="0"/>
    <x v="18"/>
    <x v="0"/>
    <x v="1"/>
    <n v="217000"/>
    <x v="88"/>
    <x v="1"/>
  </r>
  <r>
    <x v="0"/>
    <s v="405E00"/>
    <x v="0"/>
    <x v="343"/>
    <x v="0"/>
    <x v="0"/>
    <n v="10000000"/>
    <x v="88"/>
    <x v="1"/>
  </r>
  <r>
    <x v="0"/>
    <s v="405E00"/>
    <x v="0"/>
    <x v="343"/>
    <x v="0"/>
    <x v="1"/>
    <n v="10000000"/>
    <x v="88"/>
    <x v="1"/>
  </r>
  <r>
    <x v="0"/>
    <s v="405E00"/>
    <x v="0"/>
    <x v="344"/>
    <x v="2"/>
    <x v="0"/>
    <n v="78982000"/>
    <x v="88"/>
    <x v="1"/>
  </r>
  <r>
    <x v="0"/>
    <s v="405E00"/>
    <x v="0"/>
    <x v="344"/>
    <x v="2"/>
    <x v="1"/>
    <n v="78980000"/>
    <x v="88"/>
    <x v="1"/>
  </r>
  <r>
    <x v="0"/>
    <s v="405F00"/>
    <x v="0"/>
    <x v="336"/>
    <x v="0"/>
    <x v="0"/>
    <n v="8645000"/>
    <x v="88"/>
    <x v="1"/>
  </r>
  <r>
    <x v="0"/>
    <s v="405F00"/>
    <x v="0"/>
    <x v="336"/>
    <x v="0"/>
    <x v="1"/>
    <n v="8803000"/>
    <x v="88"/>
    <x v="1"/>
  </r>
  <r>
    <x v="0"/>
    <s v="405F00"/>
    <x v="0"/>
    <x v="345"/>
    <x v="1"/>
    <x v="0"/>
    <n v="4148000"/>
    <x v="88"/>
    <x v="1"/>
  </r>
  <r>
    <x v="0"/>
    <s v="405F00"/>
    <x v="0"/>
    <x v="345"/>
    <x v="1"/>
    <x v="1"/>
    <n v="1431000"/>
    <x v="88"/>
    <x v="1"/>
  </r>
  <r>
    <x v="0"/>
    <s v="405F00"/>
    <x v="0"/>
    <x v="346"/>
    <x v="3"/>
    <x v="0"/>
    <n v="30000"/>
    <x v="88"/>
    <x v="1"/>
  </r>
  <r>
    <x v="0"/>
    <s v="405F00"/>
    <x v="0"/>
    <x v="346"/>
    <x v="3"/>
    <x v="1"/>
    <n v="30000"/>
    <x v="88"/>
    <x v="1"/>
  </r>
  <r>
    <x v="0"/>
    <s v="405H00"/>
    <x v="0"/>
    <x v="16"/>
    <x v="0"/>
    <x v="0"/>
    <n v="31221000"/>
    <x v="88"/>
    <x v="1"/>
  </r>
  <r>
    <x v="0"/>
    <s v="405H00"/>
    <x v="0"/>
    <x v="16"/>
    <x v="0"/>
    <x v="1"/>
    <n v="32340000"/>
    <x v="88"/>
    <x v="1"/>
  </r>
  <r>
    <x v="0"/>
    <s v="405H00"/>
    <x v="0"/>
    <x v="347"/>
    <x v="1"/>
    <x v="0"/>
    <n v="250000"/>
    <x v="88"/>
    <x v="1"/>
  </r>
  <r>
    <x v="0"/>
    <s v="405H00"/>
    <x v="0"/>
    <x v="347"/>
    <x v="1"/>
    <x v="1"/>
    <n v="250000"/>
    <x v="88"/>
    <x v="1"/>
  </r>
  <r>
    <x v="0"/>
    <s v="405H00"/>
    <x v="0"/>
    <x v="18"/>
    <x v="0"/>
    <x v="0"/>
    <n v="691000"/>
    <x v="88"/>
    <x v="1"/>
  </r>
  <r>
    <x v="0"/>
    <s v="405H00"/>
    <x v="0"/>
    <x v="18"/>
    <x v="0"/>
    <x v="1"/>
    <n v="660000"/>
    <x v="88"/>
    <x v="1"/>
  </r>
  <r>
    <x v="0"/>
    <s v="405H00"/>
    <x v="0"/>
    <x v="164"/>
    <x v="0"/>
    <x v="0"/>
    <n v="286000"/>
    <x v="88"/>
    <x v="1"/>
  </r>
  <r>
    <x v="0"/>
    <s v="405H00"/>
    <x v="0"/>
    <x v="164"/>
    <x v="0"/>
    <x v="1"/>
    <n v="286000"/>
    <x v="88"/>
    <x v="1"/>
  </r>
  <r>
    <x v="0"/>
    <s v="405I0C"/>
    <x v="1"/>
    <x v="8"/>
    <x v="0"/>
    <x v="0"/>
    <n v="23450000"/>
    <x v="88"/>
    <x v="1"/>
  </r>
  <r>
    <x v="0"/>
    <s v="405I0C"/>
    <x v="1"/>
    <x v="8"/>
    <x v="0"/>
    <x v="1"/>
    <n v="23449000"/>
    <x v="88"/>
    <x v="1"/>
  </r>
  <r>
    <x v="0"/>
    <s v="405I0C"/>
    <x v="1"/>
    <x v="16"/>
    <x v="0"/>
    <x v="0"/>
    <n v="50183000"/>
    <x v="88"/>
    <x v="1"/>
  </r>
  <r>
    <x v="0"/>
    <s v="405I0C"/>
    <x v="1"/>
    <x v="16"/>
    <x v="0"/>
    <x v="1"/>
    <n v="50183000"/>
    <x v="88"/>
    <x v="1"/>
  </r>
  <r>
    <x v="0"/>
    <s v="405I0C"/>
    <x v="1"/>
    <x v="347"/>
    <x v="1"/>
    <x v="0"/>
    <n v="240141000"/>
    <x v="88"/>
    <x v="1"/>
  </r>
  <r>
    <x v="0"/>
    <s v="405I0C"/>
    <x v="1"/>
    <x v="347"/>
    <x v="1"/>
    <x v="1"/>
    <n v="240141000"/>
    <x v="88"/>
    <x v="1"/>
  </r>
  <r>
    <x v="0"/>
    <s v="405I0C"/>
    <x v="1"/>
    <x v="254"/>
    <x v="3"/>
    <x v="0"/>
    <n v="37058000"/>
    <x v="88"/>
    <x v="1"/>
  </r>
  <r>
    <x v="0"/>
    <s v="405I0C"/>
    <x v="1"/>
    <x v="254"/>
    <x v="3"/>
    <x v="1"/>
    <n v="37057000"/>
    <x v="88"/>
    <x v="1"/>
  </r>
  <r>
    <x v="0"/>
    <s v="405I0C"/>
    <x v="1"/>
    <x v="204"/>
    <x v="0"/>
    <x v="0"/>
    <n v="250000"/>
    <x v="88"/>
    <x v="1"/>
  </r>
  <r>
    <x v="0"/>
    <s v="405I0C"/>
    <x v="1"/>
    <x v="204"/>
    <x v="0"/>
    <x v="1"/>
    <n v="250000"/>
    <x v="88"/>
    <x v="1"/>
  </r>
  <r>
    <x v="0"/>
    <s v="405I0C"/>
    <x v="1"/>
    <x v="341"/>
    <x v="0"/>
    <x v="0"/>
    <n v="5000000"/>
    <x v="88"/>
    <x v="1"/>
  </r>
  <r>
    <x v="0"/>
    <s v="405I0C"/>
    <x v="1"/>
    <x v="341"/>
    <x v="0"/>
    <x v="1"/>
    <n v="5000000"/>
    <x v="88"/>
    <x v="1"/>
  </r>
  <r>
    <x v="0"/>
    <s v="405I0C"/>
    <x v="1"/>
    <x v="9"/>
    <x v="0"/>
    <x v="0"/>
    <n v="980188000"/>
    <x v="88"/>
    <x v="1"/>
  </r>
  <r>
    <x v="0"/>
    <s v="405I0C"/>
    <x v="1"/>
    <x v="9"/>
    <x v="0"/>
    <x v="1"/>
    <n v="980186000"/>
    <x v="88"/>
    <x v="1"/>
  </r>
  <r>
    <x v="0"/>
    <s v="405I0C"/>
    <x v="1"/>
    <x v="348"/>
    <x v="0"/>
    <x v="0"/>
    <n v="26000000"/>
    <x v="88"/>
    <x v="1"/>
  </r>
  <r>
    <x v="0"/>
    <s v="405I0C"/>
    <x v="1"/>
    <x v="348"/>
    <x v="0"/>
    <x v="1"/>
    <n v="26000000"/>
    <x v="88"/>
    <x v="1"/>
  </r>
  <r>
    <x v="0"/>
    <s v="405I0C"/>
    <x v="1"/>
    <x v="10"/>
    <x v="0"/>
    <x v="0"/>
    <n v="71959000"/>
    <x v="88"/>
    <x v="1"/>
  </r>
  <r>
    <x v="0"/>
    <s v="405I0C"/>
    <x v="1"/>
    <x v="10"/>
    <x v="0"/>
    <x v="1"/>
    <n v="71958000"/>
    <x v="88"/>
    <x v="1"/>
  </r>
  <r>
    <x v="0"/>
    <s v="405I0C"/>
    <x v="1"/>
    <x v="18"/>
    <x v="0"/>
    <x v="0"/>
    <n v="7156000"/>
    <x v="88"/>
    <x v="1"/>
  </r>
  <r>
    <x v="0"/>
    <s v="405I0C"/>
    <x v="1"/>
    <x v="18"/>
    <x v="0"/>
    <x v="1"/>
    <n v="7155000"/>
    <x v="88"/>
    <x v="1"/>
  </r>
  <r>
    <x v="0"/>
    <s v="405I0C"/>
    <x v="1"/>
    <x v="349"/>
    <x v="1"/>
    <x v="0"/>
    <n v="6144000"/>
    <x v="88"/>
    <x v="1"/>
  </r>
  <r>
    <x v="0"/>
    <s v="405I0C"/>
    <x v="1"/>
    <x v="349"/>
    <x v="1"/>
    <x v="1"/>
    <n v="6143000"/>
    <x v="88"/>
    <x v="1"/>
  </r>
  <r>
    <x v="0"/>
    <s v="405I0C"/>
    <x v="1"/>
    <x v="92"/>
    <x v="0"/>
    <x v="0"/>
    <n v="7500000"/>
    <x v="88"/>
    <x v="1"/>
  </r>
  <r>
    <x v="0"/>
    <s v="405I0C"/>
    <x v="1"/>
    <x v="92"/>
    <x v="0"/>
    <x v="1"/>
    <n v="7500000"/>
    <x v="88"/>
    <x v="1"/>
  </r>
  <r>
    <x v="0"/>
    <s v="405I0C"/>
    <x v="1"/>
    <x v="350"/>
    <x v="0"/>
    <x v="0"/>
    <n v="1000000"/>
    <x v="88"/>
    <x v="1"/>
  </r>
  <r>
    <x v="0"/>
    <s v="405I0C"/>
    <x v="1"/>
    <x v="350"/>
    <x v="0"/>
    <x v="1"/>
    <n v="1000000"/>
    <x v="88"/>
    <x v="1"/>
  </r>
  <r>
    <x v="0"/>
    <s v="405I0C"/>
    <x v="1"/>
    <x v="343"/>
    <x v="0"/>
    <x v="0"/>
    <n v="368983000"/>
    <x v="88"/>
    <x v="1"/>
  </r>
  <r>
    <x v="0"/>
    <s v="405I0C"/>
    <x v="1"/>
    <x v="343"/>
    <x v="0"/>
    <x v="1"/>
    <n v="368978000"/>
    <x v="88"/>
    <x v="1"/>
  </r>
  <r>
    <x v="0"/>
    <s v="405I0C"/>
    <x v="1"/>
    <x v="351"/>
    <x v="1"/>
    <x v="0"/>
    <n v="186577000"/>
    <x v="88"/>
    <x v="1"/>
  </r>
  <r>
    <x v="0"/>
    <s v="405I0C"/>
    <x v="1"/>
    <x v="351"/>
    <x v="1"/>
    <x v="1"/>
    <n v="186578000"/>
    <x v="88"/>
    <x v="1"/>
  </r>
  <r>
    <x v="0"/>
    <s v="405I0C"/>
    <x v="1"/>
    <x v="352"/>
    <x v="3"/>
    <x v="0"/>
    <n v="68750000"/>
    <x v="88"/>
    <x v="1"/>
  </r>
  <r>
    <x v="0"/>
    <s v="405I0C"/>
    <x v="1"/>
    <x v="352"/>
    <x v="3"/>
    <x v="1"/>
    <n v="68750000"/>
    <x v="88"/>
    <x v="1"/>
  </r>
  <r>
    <x v="0"/>
    <s v="405I0C"/>
    <x v="1"/>
    <x v="207"/>
    <x v="0"/>
    <x v="0"/>
    <n v="11897000"/>
    <x v="88"/>
    <x v="1"/>
  </r>
  <r>
    <x v="0"/>
    <s v="405I0C"/>
    <x v="1"/>
    <x v="207"/>
    <x v="0"/>
    <x v="1"/>
    <n v="11897000"/>
    <x v="88"/>
    <x v="1"/>
  </r>
  <r>
    <x v="0"/>
    <s v="405I0C"/>
    <x v="1"/>
    <x v="342"/>
    <x v="0"/>
    <x v="0"/>
    <n v="317000"/>
    <x v="88"/>
    <x v="1"/>
  </r>
  <r>
    <x v="0"/>
    <s v="405I0C"/>
    <x v="1"/>
    <x v="342"/>
    <x v="0"/>
    <x v="1"/>
    <n v="317000"/>
    <x v="88"/>
    <x v="1"/>
  </r>
  <r>
    <x v="0"/>
    <s v="405I0C"/>
    <x v="1"/>
    <x v="208"/>
    <x v="0"/>
    <x v="0"/>
    <n v="159732000"/>
    <x v="88"/>
    <x v="1"/>
  </r>
  <r>
    <x v="0"/>
    <s v="405I0C"/>
    <x v="1"/>
    <x v="208"/>
    <x v="0"/>
    <x v="1"/>
    <n v="159732000"/>
    <x v="88"/>
    <x v="1"/>
  </r>
  <r>
    <x v="0"/>
    <s v="405I0C"/>
    <x v="1"/>
    <x v="43"/>
    <x v="1"/>
    <x v="0"/>
    <n v="168571000"/>
    <x v="88"/>
    <x v="1"/>
  </r>
  <r>
    <x v="0"/>
    <s v="405I0C"/>
    <x v="1"/>
    <x v="43"/>
    <x v="1"/>
    <x v="1"/>
    <n v="168573000"/>
    <x v="88"/>
    <x v="1"/>
  </r>
  <r>
    <x v="0"/>
    <s v="405K00"/>
    <x v="0"/>
    <x v="16"/>
    <x v="0"/>
    <x v="0"/>
    <n v="349000"/>
    <x v="88"/>
    <x v="1"/>
  </r>
  <r>
    <x v="0"/>
    <s v="405K00"/>
    <x v="0"/>
    <x v="16"/>
    <x v="0"/>
    <x v="1"/>
    <n v="354000"/>
    <x v="88"/>
    <x v="1"/>
  </r>
  <r>
    <x v="0"/>
    <s v="405K00"/>
    <x v="0"/>
    <x v="109"/>
    <x v="0"/>
    <x v="0"/>
    <n v="2373000"/>
    <x v="88"/>
    <x v="1"/>
  </r>
  <r>
    <x v="0"/>
    <s v="405K00"/>
    <x v="0"/>
    <x v="109"/>
    <x v="0"/>
    <x v="1"/>
    <n v="2373000"/>
    <x v="88"/>
    <x v="1"/>
  </r>
  <r>
    <x v="0"/>
    <s v="405K00"/>
    <x v="0"/>
    <x v="18"/>
    <x v="0"/>
    <x v="0"/>
    <n v="2200000"/>
    <x v="88"/>
    <x v="1"/>
  </r>
  <r>
    <x v="0"/>
    <s v="405K00"/>
    <x v="0"/>
    <x v="18"/>
    <x v="0"/>
    <x v="1"/>
    <n v="2200000"/>
    <x v="88"/>
    <x v="1"/>
  </r>
  <r>
    <x v="0"/>
    <s v="405K00"/>
    <x v="0"/>
    <x v="349"/>
    <x v="1"/>
    <x v="0"/>
    <n v="12500000"/>
    <x v="88"/>
    <x v="1"/>
  </r>
  <r>
    <x v="0"/>
    <s v="405K00"/>
    <x v="0"/>
    <x v="349"/>
    <x v="1"/>
    <x v="1"/>
    <n v="12500000"/>
    <x v="88"/>
    <x v="1"/>
  </r>
  <r>
    <x v="0"/>
    <s v="405K00"/>
    <x v="0"/>
    <x v="19"/>
    <x v="0"/>
    <x v="0"/>
    <n v="97512000"/>
    <x v="88"/>
    <x v="1"/>
  </r>
  <r>
    <x v="0"/>
    <s v="405K00"/>
    <x v="0"/>
    <x v="19"/>
    <x v="0"/>
    <x v="1"/>
    <n v="97513000"/>
    <x v="88"/>
    <x v="1"/>
  </r>
  <r>
    <x v="0"/>
    <s v="405M00"/>
    <x v="0"/>
    <x v="353"/>
    <x v="0"/>
    <x v="0"/>
    <n v="550000"/>
    <x v="88"/>
    <x v="1"/>
  </r>
  <r>
    <x v="0"/>
    <s v="405M00"/>
    <x v="0"/>
    <x v="353"/>
    <x v="0"/>
    <x v="1"/>
    <n v="550000"/>
    <x v="88"/>
    <x v="1"/>
  </r>
  <r>
    <x v="0"/>
    <s v="405M00"/>
    <x v="0"/>
    <x v="16"/>
    <x v="0"/>
    <x v="0"/>
    <n v="272534000"/>
    <x v="88"/>
    <x v="1"/>
  </r>
  <r>
    <x v="0"/>
    <s v="405M00"/>
    <x v="0"/>
    <x v="16"/>
    <x v="0"/>
    <x v="1"/>
    <n v="272966000"/>
    <x v="88"/>
    <x v="1"/>
  </r>
  <r>
    <x v="0"/>
    <s v="405M00"/>
    <x v="0"/>
    <x v="347"/>
    <x v="1"/>
    <x v="0"/>
    <n v="3500000"/>
    <x v="88"/>
    <x v="1"/>
  </r>
  <r>
    <x v="0"/>
    <s v="405M00"/>
    <x v="0"/>
    <x v="347"/>
    <x v="1"/>
    <x v="1"/>
    <n v="3500000"/>
    <x v="88"/>
    <x v="1"/>
  </r>
  <r>
    <x v="0"/>
    <s v="405M00"/>
    <x v="0"/>
    <x v="204"/>
    <x v="0"/>
    <x v="0"/>
    <n v="2420000"/>
    <x v="88"/>
    <x v="1"/>
  </r>
  <r>
    <x v="0"/>
    <s v="405M00"/>
    <x v="0"/>
    <x v="204"/>
    <x v="0"/>
    <x v="1"/>
    <n v="2421000"/>
    <x v="88"/>
    <x v="1"/>
  </r>
  <r>
    <x v="0"/>
    <s v="405M00"/>
    <x v="0"/>
    <x v="343"/>
    <x v="0"/>
    <x v="0"/>
    <n v="25000000"/>
    <x v="88"/>
    <x v="1"/>
  </r>
  <r>
    <x v="0"/>
    <s v="405M00"/>
    <x v="0"/>
    <x v="343"/>
    <x v="0"/>
    <x v="1"/>
    <n v="25000000"/>
    <x v="88"/>
    <x v="1"/>
  </r>
  <r>
    <x v="0"/>
    <s v="405M00"/>
    <x v="0"/>
    <x v="206"/>
    <x v="0"/>
    <x v="0"/>
    <n v="792000"/>
    <x v="88"/>
    <x v="1"/>
  </r>
  <r>
    <x v="0"/>
    <s v="405M00"/>
    <x v="0"/>
    <x v="206"/>
    <x v="0"/>
    <x v="1"/>
    <n v="793000"/>
    <x v="88"/>
    <x v="1"/>
  </r>
  <r>
    <x v="0"/>
    <s v="405M00"/>
    <x v="0"/>
    <x v="207"/>
    <x v="0"/>
    <x v="0"/>
    <n v="4376000"/>
    <x v="88"/>
    <x v="1"/>
  </r>
  <r>
    <x v="0"/>
    <s v="405M00"/>
    <x v="0"/>
    <x v="207"/>
    <x v="0"/>
    <x v="1"/>
    <n v="4376000"/>
    <x v="88"/>
    <x v="1"/>
  </r>
  <r>
    <x v="0"/>
    <s v="405M00"/>
    <x v="0"/>
    <x v="208"/>
    <x v="0"/>
    <x v="0"/>
    <n v="1312000"/>
    <x v="88"/>
    <x v="1"/>
  </r>
  <r>
    <x v="0"/>
    <s v="405M00"/>
    <x v="0"/>
    <x v="208"/>
    <x v="0"/>
    <x v="1"/>
    <n v="1312000"/>
    <x v="88"/>
    <x v="1"/>
  </r>
  <r>
    <x v="0"/>
    <s v="405P0C"/>
    <x v="1"/>
    <x v="353"/>
    <x v="0"/>
    <x v="0"/>
    <n v="385000"/>
    <x v="88"/>
    <x v="1"/>
  </r>
  <r>
    <x v="0"/>
    <s v="405P0C"/>
    <x v="1"/>
    <x v="353"/>
    <x v="0"/>
    <x v="1"/>
    <n v="384000"/>
    <x v="88"/>
    <x v="1"/>
  </r>
  <r>
    <x v="0"/>
    <s v="405P0C"/>
    <x v="1"/>
    <x v="8"/>
    <x v="0"/>
    <x v="0"/>
    <n v="6018000"/>
    <x v="88"/>
    <x v="1"/>
  </r>
  <r>
    <x v="0"/>
    <s v="405P0C"/>
    <x v="1"/>
    <x v="8"/>
    <x v="0"/>
    <x v="1"/>
    <n v="6018000"/>
    <x v="88"/>
    <x v="1"/>
  </r>
  <r>
    <x v="0"/>
    <s v="405P0C"/>
    <x v="1"/>
    <x v="16"/>
    <x v="0"/>
    <x v="0"/>
    <n v="77482000"/>
    <x v="88"/>
    <x v="1"/>
  </r>
  <r>
    <x v="0"/>
    <s v="405P0C"/>
    <x v="1"/>
    <x v="16"/>
    <x v="0"/>
    <x v="1"/>
    <n v="77478000"/>
    <x v="88"/>
    <x v="1"/>
  </r>
  <r>
    <x v="0"/>
    <s v="405P0C"/>
    <x v="1"/>
    <x v="347"/>
    <x v="1"/>
    <x v="0"/>
    <n v="280051000"/>
    <x v="88"/>
    <x v="1"/>
  </r>
  <r>
    <x v="0"/>
    <s v="405P0C"/>
    <x v="1"/>
    <x v="347"/>
    <x v="1"/>
    <x v="1"/>
    <n v="280051000"/>
    <x v="88"/>
    <x v="1"/>
  </r>
  <r>
    <x v="0"/>
    <s v="405P0C"/>
    <x v="1"/>
    <x v="254"/>
    <x v="3"/>
    <x v="0"/>
    <n v="8504000"/>
    <x v="88"/>
    <x v="1"/>
  </r>
  <r>
    <x v="0"/>
    <s v="405P0C"/>
    <x v="1"/>
    <x v="254"/>
    <x v="3"/>
    <x v="1"/>
    <n v="8506000"/>
    <x v="88"/>
    <x v="1"/>
  </r>
  <r>
    <x v="0"/>
    <s v="405P0C"/>
    <x v="1"/>
    <x v="204"/>
    <x v="0"/>
    <x v="0"/>
    <n v="3718000"/>
    <x v="88"/>
    <x v="1"/>
  </r>
  <r>
    <x v="0"/>
    <s v="405P0C"/>
    <x v="1"/>
    <x v="204"/>
    <x v="0"/>
    <x v="1"/>
    <n v="3716000"/>
    <x v="88"/>
    <x v="1"/>
  </r>
  <r>
    <x v="0"/>
    <s v="405P0C"/>
    <x v="1"/>
    <x v="9"/>
    <x v="0"/>
    <x v="0"/>
    <n v="24363000"/>
    <x v="88"/>
    <x v="1"/>
  </r>
  <r>
    <x v="0"/>
    <s v="405P0C"/>
    <x v="1"/>
    <x v="9"/>
    <x v="0"/>
    <x v="1"/>
    <n v="24363000"/>
    <x v="88"/>
    <x v="1"/>
  </r>
  <r>
    <x v="0"/>
    <s v="405P0C"/>
    <x v="1"/>
    <x v="343"/>
    <x v="0"/>
    <x v="0"/>
    <n v="52610000"/>
    <x v="88"/>
    <x v="1"/>
  </r>
  <r>
    <x v="0"/>
    <s v="405P0C"/>
    <x v="1"/>
    <x v="343"/>
    <x v="0"/>
    <x v="1"/>
    <n v="52609000"/>
    <x v="88"/>
    <x v="1"/>
  </r>
  <r>
    <x v="0"/>
    <s v="405P0C"/>
    <x v="1"/>
    <x v="206"/>
    <x v="0"/>
    <x v="0"/>
    <n v="6101000"/>
    <x v="88"/>
    <x v="1"/>
  </r>
  <r>
    <x v="0"/>
    <s v="405P0C"/>
    <x v="1"/>
    <x v="206"/>
    <x v="0"/>
    <x v="1"/>
    <n v="6101000"/>
    <x v="88"/>
    <x v="1"/>
  </r>
  <r>
    <x v="0"/>
    <s v="405P0C"/>
    <x v="1"/>
    <x v="207"/>
    <x v="0"/>
    <x v="0"/>
    <n v="831000"/>
    <x v="88"/>
    <x v="1"/>
  </r>
  <r>
    <x v="0"/>
    <s v="405P0C"/>
    <x v="1"/>
    <x v="207"/>
    <x v="0"/>
    <x v="1"/>
    <n v="831000"/>
    <x v="88"/>
    <x v="1"/>
  </r>
  <r>
    <x v="0"/>
    <s v="405P0C"/>
    <x v="1"/>
    <x v="342"/>
    <x v="0"/>
    <x v="0"/>
    <n v="35206000"/>
    <x v="88"/>
    <x v="1"/>
  </r>
  <r>
    <x v="0"/>
    <s v="405P0C"/>
    <x v="1"/>
    <x v="342"/>
    <x v="0"/>
    <x v="1"/>
    <n v="35205000"/>
    <x v="88"/>
    <x v="1"/>
  </r>
  <r>
    <x v="0"/>
    <s v="405P0C"/>
    <x v="1"/>
    <x v="208"/>
    <x v="0"/>
    <x v="0"/>
    <n v="7591000"/>
    <x v="88"/>
    <x v="1"/>
  </r>
  <r>
    <x v="0"/>
    <s v="405P0C"/>
    <x v="1"/>
    <x v="208"/>
    <x v="0"/>
    <x v="1"/>
    <n v="7592000"/>
    <x v="88"/>
    <x v="1"/>
  </r>
  <r>
    <x v="0"/>
    <s v="405Q00"/>
    <x v="0"/>
    <x v="203"/>
    <x v="0"/>
    <x v="0"/>
    <n v="1213000"/>
    <x v="88"/>
    <x v="1"/>
  </r>
  <r>
    <x v="0"/>
    <s v="405Q00"/>
    <x v="0"/>
    <x v="203"/>
    <x v="0"/>
    <x v="1"/>
    <n v="4316000"/>
    <x v="88"/>
    <x v="1"/>
  </r>
  <r>
    <x v="0"/>
    <s v="405Q00"/>
    <x v="0"/>
    <x v="16"/>
    <x v="0"/>
    <x v="0"/>
    <n v="44207000"/>
    <x v="88"/>
    <x v="1"/>
  </r>
  <r>
    <x v="0"/>
    <s v="405Q00"/>
    <x v="0"/>
    <x v="16"/>
    <x v="0"/>
    <x v="1"/>
    <n v="44359000"/>
    <x v="88"/>
    <x v="1"/>
  </r>
  <r>
    <x v="0"/>
    <s v="405Q00"/>
    <x v="0"/>
    <x v="347"/>
    <x v="1"/>
    <x v="0"/>
    <n v="1025000"/>
    <x v="88"/>
    <x v="1"/>
  </r>
  <r>
    <x v="0"/>
    <s v="405Q00"/>
    <x v="0"/>
    <x v="347"/>
    <x v="1"/>
    <x v="1"/>
    <n v="1025000"/>
    <x v="88"/>
    <x v="1"/>
  </r>
  <r>
    <x v="0"/>
    <s v="405Q00"/>
    <x v="0"/>
    <x v="254"/>
    <x v="3"/>
    <x v="0"/>
    <n v="147000"/>
    <x v="88"/>
    <x v="1"/>
  </r>
  <r>
    <x v="0"/>
    <s v="405Q00"/>
    <x v="0"/>
    <x v="254"/>
    <x v="3"/>
    <x v="1"/>
    <n v="147000"/>
    <x v="88"/>
    <x v="1"/>
  </r>
  <r>
    <x v="0"/>
    <s v="405Q00"/>
    <x v="0"/>
    <x v="204"/>
    <x v="0"/>
    <x v="0"/>
    <n v="124000"/>
    <x v="88"/>
    <x v="1"/>
  </r>
  <r>
    <x v="0"/>
    <s v="405Q00"/>
    <x v="0"/>
    <x v="204"/>
    <x v="0"/>
    <x v="1"/>
    <n v="123000"/>
    <x v="88"/>
    <x v="1"/>
  </r>
  <r>
    <x v="0"/>
    <s v="405Q00"/>
    <x v="0"/>
    <x v="18"/>
    <x v="0"/>
    <x v="0"/>
    <n v="2500000"/>
    <x v="88"/>
    <x v="1"/>
  </r>
  <r>
    <x v="0"/>
    <s v="405Q00"/>
    <x v="0"/>
    <x v="18"/>
    <x v="0"/>
    <x v="1"/>
    <n v="2500000"/>
    <x v="88"/>
    <x v="1"/>
  </r>
  <r>
    <x v="0"/>
    <s v="405Q00"/>
    <x v="0"/>
    <x v="343"/>
    <x v="0"/>
    <x v="0"/>
    <n v="1553000"/>
    <x v="88"/>
    <x v="1"/>
  </r>
  <r>
    <x v="0"/>
    <s v="405Q00"/>
    <x v="0"/>
    <x v="343"/>
    <x v="0"/>
    <x v="1"/>
    <n v="1537000"/>
    <x v="88"/>
    <x v="1"/>
  </r>
  <r>
    <x v="0"/>
    <s v="405Q00"/>
    <x v="0"/>
    <x v="206"/>
    <x v="0"/>
    <x v="0"/>
    <n v="22000"/>
    <x v="88"/>
    <x v="1"/>
  </r>
  <r>
    <x v="0"/>
    <s v="405Q00"/>
    <x v="0"/>
    <x v="206"/>
    <x v="0"/>
    <x v="1"/>
    <n v="22000"/>
    <x v="88"/>
    <x v="1"/>
  </r>
  <r>
    <x v="0"/>
    <s v="405Q00"/>
    <x v="0"/>
    <x v="207"/>
    <x v="0"/>
    <x v="0"/>
    <n v="561000"/>
    <x v="88"/>
    <x v="1"/>
  </r>
  <r>
    <x v="0"/>
    <s v="405Q00"/>
    <x v="0"/>
    <x v="207"/>
    <x v="0"/>
    <x v="1"/>
    <n v="561000"/>
    <x v="88"/>
    <x v="1"/>
  </r>
  <r>
    <x v="0"/>
    <s v="405Q00"/>
    <x v="0"/>
    <x v="208"/>
    <x v="0"/>
    <x v="0"/>
    <n v="18000"/>
    <x v="88"/>
    <x v="1"/>
  </r>
  <r>
    <x v="0"/>
    <s v="405Q00"/>
    <x v="0"/>
    <x v="208"/>
    <x v="0"/>
    <x v="1"/>
    <n v="19000"/>
    <x v="88"/>
    <x v="1"/>
  </r>
  <r>
    <x v="0"/>
    <s v="405Q0C"/>
    <x v="1"/>
    <x v="16"/>
    <x v="0"/>
    <x v="0"/>
    <n v="5303000"/>
    <x v="88"/>
    <x v="1"/>
  </r>
  <r>
    <x v="0"/>
    <s v="405Q0C"/>
    <x v="1"/>
    <x v="16"/>
    <x v="0"/>
    <x v="1"/>
    <n v="5303000"/>
    <x v="88"/>
    <x v="1"/>
  </r>
  <r>
    <x v="0"/>
    <s v="405Q0C"/>
    <x v="1"/>
    <x v="347"/>
    <x v="1"/>
    <x v="0"/>
    <n v="6113000"/>
    <x v="88"/>
    <x v="1"/>
  </r>
  <r>
    <x v="0"/>
    <s v="405Q0C"/>
    <x v="1"/>
    <x v="347"/>
    <x v="1"/>
    <x v="1"/>
    <n v="6113000"/>
    <x v="88"/>
    <x v="1"/>
  </r>
  <r>
    <x v="0"/>
    <s v="405Q0C"/>
    <x v="1"/>
    <x v="254"/>
    <x v="3"/>
    <x v="0"/>
    <n v="250000"/>
    <x v="88"/>
    <x v="1"/>
  </r>
  <r>
    <x v="0"/>
    <s v="405Q0C"/>
    <x v="1"/>
    <x v="254"/>
    <x v="3"/>
    <x v="1"/>
    <n v="250000"/>
    <x v="88"/>
    <x v="1"/>
  </r>
  <r>
    <x v="0"/>
    <s v="405Q0C"/>
    <x v="1"/>
    <x v="343"/>
    <x v="0"/>
    <x v="0"/>
    <n v="305000"/>
    <x v="88"/>
    <x v="1"/>
  </r>
  <r>
    <x v="0"/>
    <s v="405Q0C"/>
    <x v="1"/>
    <x v="343"/>
    <x v="0"/>
    <x v="1"/>
    <n v="306000"/>
    <x v="88"/>
    <x v="1"/>
  </r>
  <r>
    <x v="0"/>
    <s v="405S00"/>
    <x v="0"/>
    <x v="16"/>
    <x v="0"/>
    <x v="0"/>
    <n v="31760000"/>
    <x v="88"/>
    <x v="1"/>
  </r>
  <r>
    <x v="0"/>
    <s v="405S00"/>
    <x v="0"/>
    <x v="16"/>
    <x v="0"/>
    <x v="1"/>
    <n v="31737000"/>
    <x v="88"/>
    <x v="1"/>
  </r>
  <r>
    <x v="0"/>
    <s v="405S00"/>
    <x v="0"/>
    <x v="347"/>
    <x v="1"/>
    <x v="0"/>
    <n v="390000"/>
    <x v="88"/>
    <x v="1"/>
  </r>
  <r>
    <x v="0"/>
    <s v="405S00"/>
    <x v="0"/>
    <x v="347"/>
    <x v="1"/>
    <x v="1"/>
    <n v="390000"/>
    <x v="88"/>
    <x v="1"/>
  </r>
  <r>
    <x v="0"/>
    <s v="405S00"/>
    <x v="0"/>
    <x v="254"/>
    <x v="3"/>
    <x v="0"/>
    <n v="250000"/>
    <x v="88"/>
    <x v="1"/>
  </r>
  <r>
    <x v="0"/>
    <s v="405S00"/>
    <x v="0"/>
    <x v="254"/>
    <x v="3"/>
    <x v="1"/>
    <n v="250000"/>
    <x v="88"/>
    <x v="1"/>
  </r>
  <r>
    <x v="0"/>
    <s v="405S00"/>
    <x v="0"/>
    <x v="17"/>
    <x v="0"/>
    <x v="0"/>
    <n v="121000"/>
    <x v="88"/>
    <x v="1"/>
  </r>
  <r>
    <x v="0"/>
    <s v="405S00"/>
    <x v="0"/>
    <x v="17"/>
    <x v="0"/>
    <x v="1"/>
    <n v="388000"/>
    <x v="88"/>
    <x v="1"/>
  </r>
  <r>
    <x v="0"/>
    <s v="405S00"/>
    <x v="0"/>
    <x v="204"/>
    <x v="0"/>
    <x v="0"/>
    <n v="110000"/>
    <x v="88"/>
    <x v="1"/>
  </r>
  <r>
    <x v="0"/>
    <s v="405S00"/>
    <x v="0"/>
    <x v="204"/>
    <x v="0"/>
    <x v="1"/>
    <n v="110000"/>
    <x v="88"/>
    <x v="1"/>
  </r>
  <r>
    <x v="0"/>
    <s v="405S00"/>
    <x v="0"/>
    <x v="18"/>
    <x v="0"/>
    <x v="0"/>
    <n v="11750000"/>
    <x v="88"/>
    <x v="1"/>
  </r>
  <r>
    <x v="0"/>
    <s v="405S00"/>
    <x v="0"/>
    <x v="18"/>
    <x v="0"/>
    <x v="1"/>
    <n v="10973000"/>
    <x v="88"/>
    <x v="1"/>
  </r>
  <r>
    <x v="0"/>
    <s v="405S00"/>
    <x v="0"/>
    <x v="164"/>
    <x v="0"/>
    <x v="0"/>
    <n v="2700000"/>
    <x v="88"/>
    <x v="1"/>
  </r>
  <r>
    <x v="0"/>
    <s v="405S00"/>
    <x v="0"/>
    <x v="164"/>
    <x v="0"/>
    <x v="1"/>
    <n v="2700000"/>
    <x v="88"/>
    <x v="1"/>
  </r>
  <r>
    <x v="0"/>
    <s v="405S00"/>
    <x v="0"/>
    <x v="206"/>
    <x v="0"/>
    <x v="0"/>
    <n v="68000"/>
    <x v="88"/>
    <x v="1"/>
  </r>
  <r>
    <x v="0"/>
    <s v="405S00"/>
    <x v="0"/>
    <x v="206"/>
    <x v="0"/>
    <x v="1"/>
    <n v="68000"/>
    <x v="88"/>
    <x v="1"/>
  </r>
  <r>
    <x v="0"/>
    <s v="405S00"/>
    <x v="0"/>
    <x v="207"/>
    <x v="0"/>
    <x v="0"/>
    <n v="64000"/>
    <x v="88"/>
    <x v="1"/>
  </r>
  <r>
    <x v="0"/>
    <s v="405S00"/>
    <x v="0"/>
    <x v="207"/>
    <x v="0"/>
    <x v="1"/>
    <n v="63000"/>
    <x v="88"/>
    <x v="1"/>
  </r>
  <r>
    <x v="0"/>
    <s v="405S00"/>
    <x v="0"/>
    <x v="208"/>
    <x v="0"/>
    <x v="0"/>
    <n v="57000"/>
    <x v="88"/>
    <x v="1"/>
  </r>
  <r>
    <x v="0"/>
    <s v="405S00"/>
    <x v="0"/>
    <x v="208"/>
    <x v="0"/>
    <x v="1"/>
    <n v="57000"/>
    <x v="88"/>
    <x v="1"/>
  </r>
  <r>
    <x v="0"/>
    <s v="405T00"/>
    <x v="0"/>
    <x v="16"/>
    <x v="0"/>
    <x v="0"/>
    <n v="15927000"/>
    <x v="88"/>
    <x v="1"/>
  </r>
  <r>
    <x v="0"/>
    <s v="405T00"/>
    <x v="0"/>
    <x v="16"/>
    <x v="0"/>
    <x v="1"/>
    <n v="16117000"/>
    <x v="88"/>
    <x v="1"/>
  </r>
  <r>
    <x v="0"/>
    <s v="405T00"/>
    <x v="0"/>
    <x v="347"/>
    <x v="1"/>
    <x v="0"/>
    <n v="16019000"/>
    <x v="88"/>
    <x v="1"/>
  </r>
  <r>
    <x v="0"/>
    <s v="405T00"/>
    <x v="0"/>
    <x v="347"/>
    <x v="1"/>
    <x v="1"/>
    <n v="15508000"/>
    <x v="88"/>
    <x v="1"/>
  </r>
  <r>
    <x v="0"/>
    <s v="405T00"/>
    <x v="0"/>
    <x v="254"/>
    <x v="3"/>
    <x v="0"/>
    <n v="200000"/>
    <x v="88"/>
    <x v="1"/>
  </r>
  <r>
    <x v="0"/>
    <s v="405T00"/>
    <x v="0"/>
    <x v="254"/>
    <x v="3"/>
    <x v="1"/>
    <n v="200000"/>
    <x v="88"/>
    <x v="1"/>
  </r>
  <r>
    <x v="0"/>
    <s v="405T00"/>
    <x v="0"/>
    <x v="18"/>
    <x v="0"/>
    <x v="0"/>
    <n v="1557000"/>
    <x v="88"/>
    <x v="1"/>
  </r>
  <r>
    <x v="0"/>
    <s v="405T00"/>
    <x v="0"/>
    <x v="18"/>
    <x v="0"/>
    <x v="1"/>
    <n v="1157000"/>
    <x v="88"/>
    <x v="1"/>
  </r>
  <r>
    <x v="0"/>
    <s v="405T00"/>
    <x v="0"/>
    <x v="349"/>
    <x v="1"/>
    <x v="0"/>
    <n v="1404000"/>
    <x v="88"/>
    <x v="1"/>
  </r>
  <r>
    <x v="0"/>
    <s v="405T00"/>
    <x v="0"/>
    <x v="349"/>
    <x v="1"/>
    <x v="1"/>
    <n v="1405000"/>
    <x v="88"/>
    <x v="1"/>
  </r>
  <r>
    <x v="0"/>
    <s v="405T00"/>
    <x v="0"/>
    <x v="354"/>
    <x v="3"/>
    <x v="0"/>
    <n v="50000"/>
    <x v="88"/>
    <x v="1"/>
  </r>
  <r>
    <x v="0"/>
    <s v="405T00"/>
    <x v="0"/>
    <x v="354"/>
    <x v="3"/>
    <x v="1"/>
    <n v="50000"/>
    <x v="88"/>
    <x v="1"/>
  </r>
  <r>
    <x v="0"/>
    <s v="405T00"/>
    <x v="0"/>
    <x v="19"/>
    <x v="0"/>
    <x v="0"/>
    <n v="1500000"/>
    <x v="88"/>
    <x v="1"/>
  </r>
  <r>
    <x v="0"/>
    <s v="405T00"/>
    <x v="0"/>
    <x v="19"/>
    <x v="0"/>
    <x v="1"/>
    <n v="2500000"/>
    <x v="88"/>
    <x v="1"/>
  </r>
  <r>
    <x v="0"/>
    <s v="405T00"/>
    <x v="0"/>
    <x v="164"/>
    <x v="0"/>
    <x v="0"/>
    <n v="5044000"/>
    <x v="88"/>
    <x v="1"/>
  </r>
  <r>
    <x v="0"/>
    <s v="405T00"/>
    <x v="0"/>
    <x v="164"/>
    <x v="0"/>
    <x v="1"/>
    <n v="6878000"/>
    <x v="88"/>
    <x v="1"/>
  </r>
  <r>
    <x v="0"/>
    <s v="405U00"/>
    <x v="0"/>
    <x v="336"/>
    <x v="0"/>
    <x v="1"/>
    <n v="1000"/>
    <x v="88"/>
    <x v="1"/>
  </r>
  <r>
    <x v="0"/>
    <s v="405U00"/>
    <x v="0"/>
    <x v="8"/>
    <x v="0"/>
    <x v="0"/>
    <n v="27000"/>
    <x v="88"/>
    <x v="1"/>
  </r>
  <r>
    <x v="0"/>
    <s v="405U00"/>
    <x v="0"/>
    <x v="8"/>
    <x v="0"/>
    <x v="1"/>
    <n v="29000"/>
    <x v="88"/>
    <x v="1"/>
  </r>
  <r>
    <x v="0"/>
    <s v="405U00"/>
    <x v="0"/>
    <x v="16"/>
    <x v="0"/>
    <x v="0"/>
    <n v="52606000"/>
    <x v="88"/>
    <x v="1"/>
  </r>
  <r>
    <x v="0"/>
    <s v="405U00"/>
    <x v="0"/>
    <x v="16"/>
    <x v="0"/>
    <x v="1"/>
    <n v="59813000"/>
    <x v="88"/>
    <x v="1"/>
  </r>
  <r>
    <x v="0"/>
    <s v="405U00"/>
    <x v="0"/>
    <x v="17"/>
    <x v="0"/>
    <x v="0"/>
    <n v="122000"/>
    <x v="88"/>
    <x v="1"/>
  </r>
  <r>
    <x v="0"/>
    <s v="405U00"/>
    <x v="0"/>
    <x v="17"/>
    <x v="0"/>
    <x v="1"/>
    <n v="122000"/>
    <x v="88"/>
    <x v="1"/>
  </r>
  <r>
    <x v="0"/>
    <s v="405U00"/>
    <x v="0"/>
    <x v="204"/>
    <x v="0"/>
    <x v="0"/>
    <n v="34000"/>
    <x v="88"/>
    <x v="1"/>
  </r>
  <r>
    <x v="0"/>
    <s v="405U00"/>
    <x v="0"/>
    <x v="204"/>
    <x v="0"/>
    <x v="1"/>
    <n v="35000"/>
    <x v="88"/>
    <x v="1"/>
  </r>
  <r>
    <x v="0"/>
    <s v="405U00"/>
    <x v="0"/>
    <x v="9"/>
    <x v="0"/>
    <x v="0"/>
    <n v="226000"/>
    <x v="88"/>
    <x v="1"/>
  </r>
  <r>
    <x v="0"/>
    <s v="405U00"/>
    <x v="0"/>
    <x v="9"/>
    <x v="0"/>
    <x v="1"/>
    <n v="226000"/>
    <x v="88"/>
    <x v="1"/>
  </r>
  <r>
    <x v="0"/>
    <s v="405U00"/>
    <x v="0"/>
    <x v="18"/>
    <x v="0"/>
    <x v="0"/>
    <n v="2782000"/>
    <x v="88"/>
    <x v="1"/>
  </r>
  <r>
    <x v="0"/>
    <s v="405U00"/>
    <x v="0"/>
    <x v="18"/>
    <x v="0"/>
    <x v="1"/>
    <n v="3553000"/>
    <x v="88"/>
    <x v="1"/>
  </r>
  <r>
    <x v="0"/>
    <s v="405U00"/>
    <x v="0"/>
    <x v="206"/>
    <x v="0"/>
    <x v="0"/>
    <n v="21000"/>
    <x v="88"/>
    <x v="1"/>
  </r>
  <r>
    <x v="0"/>
    <s v="405U00"/>
    <x v="0"/>
    <x v="206"/>
    <x v="0"/>
    <x v="1"/>
    <n v="22000"/>
    <x v="88"/>
    <x v="1"/>
  </r>
  <r>
    <x v="0"/>
    <s v="405U00"/>
    <x v="0"/>
    <x v="207"/>
    <x v="0"/>
    <x v="0"/>
    <n v="19000"/>
    <x v="88"/>
    <x v="1"/>
  </r>
  <r>
    <x v="0"/>
    <s v="405U00"/>
    <x v="0"/>
    <x v="207"/>
    <x v="0"/>
    <x v="1"/>
    <n v="19000"/>
    <x v="88"/>
    <x v="1"/>
  </r>
  <r>
    <x v="0"/>
    <s v="405U00"/>
    <x v="0"/>
    <x v="208"/>
    <x v="0"/>
    <x v="0"/>
    <n v="22000"/>
    <x v="88"/>
    <x v="1"/>
  </r>
  <r>
    <x v="0"/>
    <s v="405U00"/>
    <x v="0"/>
    <x v="208"/>
    <x v="0"/>
    <x v="1"/>
    <n v="21000"/>
    <x v="88"/>
    <x v="1"/>
  </r>
  <r>
    <x v="0"/>
    <s v="405V00"/>
    <x v="0"/>
    <x v="355"/>
    <x v="0"/>
    <x v="0"/>
    <n v="392000"/>
    <x v="88"/>
    <x v="1"/>
  </r>
  <r>
    <x v="0"/>
    <s v="405V00"/>
    <x v="0"/>
    <x v="355"/>
    <x v="0"/>
    <x v="1"/>
    <n v="392000"/>
    <x v="88"/>
    <x v="1"/>
  </r>
  <r>
    <x v="0"/>
    <s v="405V00"/>
    <x v="0"/>
    <x v="356"/>
    <x v="0"/>
    <x v="0"/>
    <n v="60088000"/>
    <x v="88"/>
    <x v="1"/>
  </r>
  <r>
    <x v="0"/>
    <s v="405V00"/>
    <x v="0"/>
    <x v="356"/>
    <x v="0"/>
    <x v="1"/>
    <n v="60089000"/>
    <x v="88"/>
    <x v="1"/>
  </r>
  <r>
    <x v="0"/>
    <s v="405V00"/>
    <x v="0"/>
    <x v="357"/>
    <x v="0"/>
    <x v="0"/>
    <n v="16538000"/>
    <x v="88"/>
    <x v="1"/>
  </r>
  <r>
    <x v="0"/>
    <s v="405V00"/>
    <x v="0"/>
    <x v="357"/>
    <x v="0"/>
    <x v="1"/>
    <n v="16539000"/>
    <x v="88"/>
    <x v="1"/>
  </r>
  <r>
    <x v="0"/>
    <s v="405V00"/>
    <x v="0"/>
    <x v="18"/>
    <x v="0"/>
    <x v="0"/>
    <n v="63081000"/>
    <x v="88"/>
    <x v="1"/>
  </r>
  <r>
    <x v="0"/>
    <s v="405V00"/>
    <x v="0"/>
    <x v="18"/>
    <x v="0"/>
    <x v="1"/>
    <n v="63157000"/>
    <x v="88"/>
    <x v="1"/>
  </r>
  <r>
    <x v="0"/>
    <s v="405V00"/>
    <x v="0"/>
    <x v="349"/>
    <x v="1"/>
    <x v="0"/>
    <n v="2187000"/>
    <x v="88"/>
    <x v="1"/>
  </r>
  <r>
    <x v="0"/>
    <s v="405V00"/>
    <x v="0"/>
    <x v="349"/>
    <x v="1"/>
    <x v="1"/>
    <n v="2187000"/>
    <x v="88"/>
    <x v="1"/>
  </r>
  <r>
    <x v="0"/>
    <s v="405V00"/>
    <x v="0"/>
    <x v="354"/>
    <x v="3"/>
    <x v="0"/>
    <n v="50000"/>
    <x v="88"/>
    <x v="1"/>
  </r>
  <r>
    <x v="0"/>
    <s v="405V00"/>
    <x v="0"/>
    <x v="354"/>
    <x v="3"/>
    <x v="1"/>
    <n v="50000"/>
    <x v="88"/>
    <x v="1"/>
  </r>
  <r>
    <x v="0"/>
    <s v="405V00"/>
    <x v="0"/>
    <x v="19"/>
    <x v="0"/>
    <x v="0"/>
    <n v="14750000"/>
    <x v="88"/>
    <x v="1"/>
  </r>
  <r>
    <x v="0"/>
    <s v="405V00"/>
    <x v="0"/>
    <x v="19"/>
    <x v="0"/>
    <x v="1"/>
    <n v="15650000"/>
    <x v="88"/>
    <x v="1"/>
  </r>
  <r>
    <x v="0"/>
    <s v="405V00"/>
    <x v="0"/>
    <x v="358"/>
    <x v="0"/>
    <x v="0"/>
    <n v="201363000"/>
    <x v="88"/>
    <x v="1"/>
  </r>
  <r>
    <x v="0"/>
    <s v="405V00"/>
    <x v="0"/>
    <x v="358"/>
    <x v="0"/>
    <x v="1"/>
    <n v="209282000"/>
    <x v="88"/>
    <x v="1"/>
  </r>
  <r>
    <x v="0"/>
    <s v="405W0C"/>
    <x v="1"/>
    <x v="359"/>
    <x v="0"/>
    <x v="0"/>
    <n v="194153000"/>
    <x v="88"/>
    <x v="1"/>
  </r>
  <r>
    <x v="0"/>
    <s v="405W0C"/>
    <x v="1"/>
    <x v="359"/>
    <x v="0"/>
    <x v="1"/>
    <n v="194151000"/>
    <x v="88"/>
    <x v="1"/>
  </r>
  <r>
    <x v="0"/>
    <s v="405W0C"/>
    <x v="1"/>
    <x v="360"/>
    <x v="1"/>
    <x v="0"/>
    <n v="43524000"/>
    <x v="88"/>
    <x v="1"/>
  </r>
  <r>
    <x v="0"/>
    <s v="405W0C"/>
    <x v="1"/>
    <x v="360"/>
    <x v="1"/>
    <x v="1"/>
    <n v="43523000"/>
    <x v="88"/>
    <x v="1"/>
  </r>
  <r>
    <x v="0"/>
    <s v="405W0C"/>
    <x v="1"/>
    <x v="361"/>
    <x v="3"/>
    <x v="0"/>
    <n v="1075000"/>
    <x v="88"/>
    <x v="1"/>
  </r>
  <r>
    <x v="0"/>
    <s v="405W0C"/>
    <x v="1"/>
    <x v="361"/>
    <x v="3"/>
    <x v="1"/>
    <n v="1075000"/>
    <x v="88"/>
    <x v="1"/>
  </r>
  <r>
    <x v="0"/>
    <s v="405W0C"/>
    <x v="1"/>
    <x v="8"/>
    <x v="0"/>
    <x v="0"/>
    <n v="4853000"/>
    <x v="88"/>
    <x v="1"/>
  </r>
  <r>
    <x v="0"/>
    <s v="405W0C"/>
    <x v="1"/>
    <x v="8"/>
    <x v="0"/>
    <x v="1"/>
    <n v="4852000"/>
    <x v="88"/>
    <x v="1"/>
  </r>
  <r>
    <x v="0"/>
    <s v="405W0C"/>
    <x v="1"/>
    <x v="362"/>
    <x v="0"/>
    <x v="0"/>
    <n v="10844000"/>
    <x v="88"/>
    <x v="1"/>
  </r>
  <r>
    <x v="0"/>
    <s v="405W0C"/>
    <x v="1"/>
    <x v="362"/>
    <x v="0"/>
    <x v="1"/>
    <n v="10844000"/>
    <x v="88"/>
    <x v="1"/>
  </r>
  <r>
    <x v="0"/>
    <s v="405W0C"/>
    <x v="1"/>
    <x v="9"/>
    <x v="0"/>
    <x v="0"/>
    <n v="10942000"/>
    <x v="88"/>
    <x v="1"/>
  </r>
  <r>
    <x v="0"/>
    <s v="405W0C"/>
    <x v="1"/>
    <x v="9"/>
    <x v="0"/>
    <x v="1"/>
    <n v="10941000"/>
    <x v="88"/>
    <x v="1"/>
  </r>
  <r>
    <x v="0"/>
    <s v="405W0C"/>
    <x v="1"/>
    <x v="19"/>
    <x v="0"/>
    <x v="0"/>
    <n v="58011000"/>
    <x v="88"/>
    <x v="1"/>
  </r>
  <r>
    <x v="0"/>
    <s v="405W0C"/>
    <x v="1"/>
    <x v="19"/>
    <x v="0"/>
    <x v="1"/>
    <n v="58010000"/>
    <x v="88"/>
    <x v="1"/>
  </r>
  <r>
    <x v="0"/>
    <s v="405W0C"/>
    <x v="1"/>
    <x v="343"/>
    <x v="0"/>
    <x v="0"/>
    <n v="24914000"/>
    <x v="88"/>
    <x v="1"/>
  </r>
  <r>
    <x v="0"/>
    <s v="405W0C"/>
    <x v="1"/>
    <x v="343"/>
    <x v="0"/>
    <x v="1"/>
    <n v="24914000"/>
    <x v="88"/>
    <x v="1"/>
  </r>
  <r>
    <x v="0"/>
    <s v="405W0C"/>
    <x v="1"/>
    <x v="342"/>
    <x v="0"/>
    <x v="0"/>
    <n v="236000"/>
    <x v="88"/>
    <x v="1"/>
  </r>
  <r>
    <x v="0"/>
    <s v="405W0C"/>
    <x v="1"/>
    <x v="342"/>
    <x v="0"/>
    <x v="1"/>
    <n v="236000"/>
    <x v="88"/>
    <x v="1"/>
  </r>
  <r>
    <x v="0"/>
    <s v="405X00"/>
    <x v="0"/>
    <x v="17"/>
    <x v="0"/>
    <x v="0"/>
    <n v="277578000"/>
    <x v="88"/>
    <x v="1"/>
  </r>
  <r>
    <x v="0"/>
    <s v="405X00"/>
    <x v="0"/>
    <x v="17"/>
    <x v="0"/>
    <x v="1"/>
    <n v="294016000"/>
    <x v="88"/>
    <x v="1"/>
  </r>
  <r>
    <x v="0"/>
    <s v="405X00"/>
    <x v="0"/>
    <x v="363"/>
    <x v="1"/>
    <x v="0"/>
    <n v="99324000"/>
    <x v="88"/>
    <x v="1"/>
  </r>
  <r>
    <x v="0"/>
    <s v="405X00"/>
    <x v="0"/>
    <x v="363"/>
    <x v="1"/>
    <x v="1"/>
    <n v="99326000"/>
    <x v="88"/>
    <x v="1"/>
  </r>
  <r>
    <x v="0"/>
    <s v="405X00"/>
    <x v="0"/>
    <x v="364"/>
    <x v="3"/>
    <x v="0"/>
    <n v="60000"/>
    <x v="88"/>
    <x v="1"/>
  </r>
  <r>
    <x v="0"/>
    <s v="405X00"/>
    <x v="0"/>
    <x v="364"/>
    <x v="3"/>
    <x v="1"/>
    <n v="61000"/>
    <x v="88"/>
    <x v="1"/>
  </r>
  <r>
    <x v="0"/>
    <s v="405Y00"/>
    <x v="0"/>
    <x v="18"/>
    <x v="0"/>
    <x v="0"/>
    <n v="41502000"/>
    <x v="88"/>
    <x v="1"/>
  </r>
  <r>
    <x v="0"/>
    <s v="405Y00"/>
    <x v="0"/>
    <x v="18"/>
    <x v="0"/>
    <x v="1"/>
    <n v="41541000"/>
    <x v="88"/>
    <x v="1"/>
  </r>
  <r>
    <x v="0"/>
    <s v="405Y00"/>
    <x v="0"/>
    <x v="349"/>
    <x v="1"/>
    <x v="0"/>
    <n v="835000"/>
    <x v="88"/>
    <x v="1"/>
  </r>
  <r>
    <x v="0"/>
    <s v="405Y00"/>
    <x v="0"/>
    <x v="349"/>
    <x v="1"/>
    <x v="1"/>
    <n v="500000"/>
    <x v="88"/>
    <x v="1"/>
  </r>
  <r>
    <x v="0"/>
    <s v="405Y00"/>
    <x v="0"/>
    <x v="354"/>
    <x v="3"/>
    <x v="0"/>
    <n v="23000"/>
    <x v="88"/>
    <x v="1"/>
  </r>
  <r>
    <x v="0"/>
    <s v="405Y00"/>
    <x v="0"/>
    <x v="354"/>
    <x v="3"/>
    <x v="1"/>
    <n v="23000"/>
    <x v="88"/>
    <x v="1"/>
  </r>
  <r>
    <x v="0"/>
    <s v="405Y00"/>
    <x v="0"/>
    <x v="19"/>
    <x v="0"/>
    <x v="0"/>
    <n v="1250000"/>
    <x v="88"/>
    <x v="1"/>
  </r>
  <r>
    <x v="0"/>
    <s v="405Y00"/>
    <x v="0"/>
    <x v="19"/>
    <x v="0"/>
    <x v="1"/>
    <n v="1000000"/>
    <x v="88"/>
    <x v="1"/>
  </r>
  <r>
    <x v="0"/>
    <s v="405Y0C"/>
    <x v="1"/>
    <x v="365"/>
    <x v="0"/>
    <x v="0"/>
    <n v="706000"/>
    <x v="88"/>
    <x v="1"/>
  </r>
  <r>
    <x v="0"/>
    <s v="405Y0C"/>
    <x v="1"/>
    <x v="365"/>
    <x v="0"/>
    <x v="1"/>
    <n v="706000"/>
    <x v="88"/>
    <x v="1"/>
  </r>
  <r>
    <x v="0"/>
    <s v="405Y0C"/>
    <x v="1"/>
    <x v="366"/>
    <x v="0"/>
    <x v="0"/>
    <n v="8311000"/>
    <x v="88"/>
    <x v="1"/>
  </r>
  <r>
    <x v="0"/>
    <s v="405Y0C"/>
    <x v="1"/>
    <x v="366"/>
    <x v="0"/>
    <x v="1"/>
    <n v="8310000"/>
    <x v="88"/>
    <x v="1"/>
  </r>
  <r>
    <x v="0"/>
    <s v="405Y0C"/>
    <x v="1"/>
    <x v="16"/>
    <x v="0"/>
    <x v="0"/>
    <n v="348000"/>
    <x v="88"/>
    <x v="1"/>
  </r>
  <r>
    <x v="0"/>
    <s v="405Y0C"/>
    <x v="1"/>
    <x v="16"/>
    <x v="0"/>
    <x v="1"/>
    <n v="349000"/>
    <x v="88"/>
    <x v="1"/>
  </r>
  <r>
    <x v="0"/>
    <s v="405Y0C"/>
    <x v="1"/>
    <x v="18"/>
    <x v="0"/>
    <x v="0"/>
    <n v="50702000"/>
    <x v="88"/>
    <x v="1"/>
  </r>
  <r>
    <x v="0"/>
    <s v="405Y0C"/>
    <x v="1"/>
    <x v="18"/>
    <x v="0"/>
    <x v="1"/>
    <n v="50701000"/>
    <x v="88"/>
    <x v="1"/>
  </r>
  <r>
    <x v="0"/>
    <s v="405Y0C"/>
    <x v="1"/>
    <x v="349"/>
    <x v="1"/>
    <x v="0"/>
    <n v="12952000"/>
    <x v="88"/>
    <x v="1"/>
  </r>
  <r>
    <x v="0"/>
    <s v="405Y0C"/>
    <x v="1"/>
    <x v="349"/>
    <x v="1"/>
    <x v="1"/>
    <n v="12951000"/>
    <x v="88"/>
    <x v="1"/>
  </r>
  <r>
    <x v="0"/>
    <s v="405Y0C"/>
    <x v="1"/>
    <x v="354"/>
    <x v="3"/>
    <x v="0"/>
    <n v="6000"/>
    <x v="88"/>
    <x v="1"/>
  </r>
  <r>
    <x v="0"/>
    <s v="405Y0C"/>
    <x v="1"/>
    <x v="354"/>
    <x v="3"/>
    <x v="1"/>
    <n v="6000"/>
    <x v="88"/>
    <x v="1"/>
  </r>
  <r>
    <x v="0"/>
    <s v="405Y0C"/>
    <x v="1"/>
    <x v="19"/>
    <x v="0"/>
    <x v="0"/>
    <n v="57400000"/>
    <x v="88"/>
    <x v="1"/>
  </r>
  <r>
    <x v="0"/>
    <s v="405Y0C"/>
    <x v="1"/>
    <x v="19"/>
    <x v="0"/>
    <x v="1"/>
    <n v="57400000"/>
    <x v="88"/>
    <x v="1"/>
  </r>
  <r>
    <x v="0"/>
    <s v="405Y0C"/>
    <x v="1"/>
    <x v="343"/>
    <x v="0"/>
    <x v="0"/>
    <n v="750000"/>
    <x v="88"/>
    <x v="1"/>
  </r>
  <r>
    <x v="0"/>
    <s v="405Y0C"/>
    <x v="1"/>
    <x v="343"/>
    <x v="0"/>
    <x v="1"/>
    <n v="750000"/>
    <x v="88"/>
    <x v="1"/>
  </r>
  <r>
    <x v="0"/>
    <s v="405Y0C"/>
    <x v="1"/>
    <x v="164"/>
    <x v="0"/>
    <x v="0"/>
    <n v="16750000"/>
    <x v="88"/>
    <x v="1"/>
  </r>
  <r>
    <x v="0"/>
    <s v="405Y0C"/>
    <x v="1"/>
    <x v="164"/>
    <x v="0"/>
    <x v="1"/>
    <n v="16750000"/>
    <x v="88"/>
    <x v="1"/>
  </r>
  <r>
    <x v="0"/>
    <s v="405Z00"/>
    <x v="0"/>
    <x v="16"/>
    <x v="0"/>
    <x v="0"/>
    <n v="7071000"/>
    <x v="88"/>
    <x v="1"/>
  </r>
  <r>
    <x v="0"/>
    <s v="405Z00"/>
    <x v="0"/>
    <x v="16"/>
    <x v="0"/>
    <x v="1"/>
    <n v="7211000"/>
    <x v="88"/>
    <x v="1"/>
  </r>
  <r>
    <x v="0"/>
    <s v="405Z00"/>
    <x v="0"/>
    <x v="347"/>
    <x v="1"/>
    <x v="0"/>
    <n v="1283000"/>
    <x v="88"/>
    <x v="1"/>
  </r>
  <r>
    <x v="0"/>
    <s v="405Z00"/>
    <x v="0"/>
    <x v="347"/>
    <x v="1"/>
    <x v="1"/>
    <n v="1284000"/>
    <x v="88"/>
    <x v="1"/>
  </r>
  <r>
    <x v="0"/>
    <s v="405Z00"/>
    <x v="0"/>
    <x v="18"/>
    <x v="0"/>
    <x v="0"/>
    <n v="750000"/>
    <x v="88"/>
    <x v="1"/>
  </r>
  <r>
    <x v="0"/>
    <s v="405Z00"/>
    <x v="0"/>
    <x v="18"/>
    <x v="0"/>
    <x v="1"/>
    <n v="1250000"/>
    <x v="88"/>
    <x v="1"/>
  </r>
  <r>
    <x v="0"/>
    <s v="405Z00"/>
    <x v="0"/>
    <x v="19"/>
    <x v="0"/>
    <x v="0"/>
    <n v="138000"/>
    <x v="88"/>
    <x v="1"/>
  </r>
  <r>
    <x v="0"/>
    <s v="405Z00"/>
    <x v="0"/>
    <x v="19"/>
    <x v="0"/>
    <x v="1"/>
    <n v="137000"/>
    <x v="88"/>
    <x v="1"/>
  </r>
  <r>
    <x v="0"/>
    <s v="405Z00"/>
    <x v="0"/>
    <x v="367"/>
    <x v="0"/>
    <x v="0"/>
    <n v="630000"/>
    <x v="88"/>
    <x v="1"/>
  </r>
  <r>
    <x v="0"/>
    <s v="405Z00"/>
    <x v="0"/>
    <x v="367"/>
    <x v="0"/>
    <x v="1"/>
    <n v="600000"/>
    <x v="88"/>
    <x v="1"/>
  </r>
  <r>
    <x v="0"/>
    <s v="405Z0C"/>
    <x v="1"/>
    <x v="368"/>
    <x v="0"/>
    <x v="0"/>
    <n v="530000"/>
    <x v="88"/>
    <x v="1"/>
  </r>
  <r>
    <x v="0"/>
    <s v="405Z0C"/>
    <x v="1"/>
    <x v="368"/>
    <x v="0"/>
    <x v="1"/>
    <n v="530000"/>
    <x v="88"/>
    <x v="1"/>
  </r>
  <r>
    <x v="0"/>
    <s v="405Z0C"/>
    <x v="1"/>
    <x v="369"/>
    <x v="1"/>
    <x v="0"/>
    <n v="750000"/>
    <x v="88"/>
    <x v="1"/>
  </r>
  <r>
    <x v="0"/>
    <s v="405Z0C"/>
    <x v="1"/>
    <x v="369"/>
    <x v="1"/>
    <x v="1"/>
    <n v="750000"/>
    <x v="88"/>
    <x v="1"/>
  </r>
  <r>
    <x v="0"/>
    <s v="405Z0C"/>
    <x v="1"/>
    <x v="370"/>
    <x v="0"/>
    <x v="0"/>
    <n v="10923000"/>
    <x v="88"/>
    <x v="1"/>
  </r>
  <r>
    <x v="0"/>
    <s v="405Z0C"/>
    <x v="1"/>
    <x v="370"/>
    <x v="0"/>
    <x v="1"/>
    <n v="10924000"/>
    <x v="88"/>
    <x v="1"/>
  </r>
  <r>
    <x v="0"/>
    <s v="405Z0C"/>
    <x v="1"/>
    <x v="16"/>
    <x v="0"/>
    <x v="0"/>
    <n v="15893000"/>
    <x v="88"/>
    <x v="1"/>
  </r>
  <r>
    <x v="0"/>
    <s v="405Z0C"/>
    <x v="1"/>
    <x v="16"/>
    <x v="0"/>
    <x v="1"/>
    <n v="15892000"/>
    <x v="88"/>
    <x v="1"/>
  </r>
  <r>
    <x v="0"/>
    <s v="405Z0C"/>
    <x v="1"/>
    <x v="347"/>
    <x v="1"/>
    <x v="0"/>
    <n v="64849000"/>
    <x v="88"/>
    <x v="1"/>
  </r>
  <r>
    <x v="0"/>
    <s v="405Z0C"/>
    <x v="1"/>
    <x v="347"/>
    <x v="1"/>
    <x v="1"/>
    <n v="64849000"/>
    <x v="88"/>
    <x v="1"/>
  </r>
  <r>
    <x v="0"/>
    <s v="405Z0C"/>
    <x v="1"/>
    <x v="254"/>
    <x v="3"/>
    <x v="0"/>
    <n v="17500000"/>
    <x v="88"/>
    <x v="1"/>
  </r>
  <r>
    <x v="0"/>
    <s v="405Z0C"/>
    <x v="1"/>
    <x v="254"/>
    <x v="3"/>
    <x v="1"/>
    <n v="17500000"/>
    <x v="88"/>
    <x v="1"/>
  </r>
  <r>
    <x v="0"/>
    <s v="405Z0C"/>
    <x v="1"/>
    <x v="371"/>
    <x v="0"/>
    <x v="0"/>
    <n v="13608000"/>
    <x v="88"/>
    <x v="1"/>
  </r>
  <r>
    <x v="0"/>
    <s v="405Z0C"/>
    <x v="1"/>
    <x v="371"/>
    <x v="0"/>
    <x v="1"/>
    <n v="13608000"/>
    <x v="88"/>
    <x v="1"/>
  </r>
  <r>
    <x v="0"/>
    <s v="405Z0C"/>
    <x v="1"/>
    <x v="9"/>
    <x v="0"/>
    <x v="0"/>
    <n v="58704000"/>
    <x v="88"/>
    <x v="1"/>
  </r>
  <r>
    <x v="0"/>
    <s v="405Z0C"/>
    <x v="1"/>
    <x v="9"/>
    <x v="0"/>
    <x v="1"/>
    <n v="58706000"/>
    <x v="88"/>
    <x v="1"/>
  </r>
  <r>
    <x v="0"/>
    <s v="405Z0C"/>
    <x v="1"/>
    <x v="18"/>
    <x v="0"/>
    <x v="0"/>
    <n v="71186000"/>
    <x v="88"/>
    <x v="1"/>
  </r>
  <r>
    <x v="0"/>
    <s v="405Z0C"/>
    <x v="1"/>
    <x v="18"/>
    <x v="0"/>
    <x v="1"/>
    <n v="71186000"/>
    <x v="88"/>
    <x v="1"/>
  </r>
  <r>
    <x v="0"/>
    <s v="405Z0C"/>
    <x v="1"/>
    <x v="19"/>
    <x v="0"/>
    <x v="0"/>
    <n v="26972000"/>
    <x v="88"/>
    <x v="1"/>
  </r>
  <r>
    <x v="0"/>
    <s v="405Z0C"/>
    <x v="1"/>
    <x v="19"/>
    <x v="0"/>
    <x v="1"/>
    <n v="26972000"/>
    <x v="88"/>
    <x v="1"/>
  </r>
  <r>
    <x v="0"/>
    <s v="405Z0C"/>
    <x v="1"/>
    <x v="350"/>
    <x v="0"/>
    <x v="0"/>
    <n v="84721000"/>
    <x v="88"/>
    <x v="1"/>
  </r>
  <r>
    <x v="0"/>
    <s v="405Z0C"/>
    <x v="1"/>
    <x v="350"/>
    <x v="0"/>
    <x v="1"/>
    <n v="84721000"/>
    <x v="88"/>
    <x v="1"/>
  </r>
  <r>
    <x v="0"/>
    <s v="405Z0C"/>
    <x v="1"/>
    <x v="343"/>
    <x v="0"/>
    <x v="0"/>
    <n v="58516000"/>
    <x v="88"/>
    <x v="1"/>
  </r>
  <r>
    <x v="0"/>
    <s v="405Z0C"/>
    <x v="1"/>
    <x v="343"/>
    <x v="0"/>
    <x v="1"/>
    <n v="58517000"/>
    <x v="88"/>
    <x v="1"/>
  </r>
  <r>
    <x v="0"/>
    <s v="405Z0C"/>
    <x v="1"/>
    <x v="164"/>
    <x v="0"/>
    <x v="0"/>
    <n v="17250000"/>
    <x v="88"/>
    <x v="1"/>
  </r>
  <r>
    <x v="0"/>
    <s v="405Z0C"/>
    <x v="1"/>
    <x v="164"/>
    <x v="0"/>
    <x v="1"/>
    <n v="17250000"/>
    <x v="88"/>
    <x v="1"/>
  </r>
  <r>
    <x v="0"/>
    <s v="406010"/>
    <x v="0"/>
    <x v="372"/>
    <x v="0"/>
    <x v="0"/>
    <n v="803000"/>
    <x v="89"/>
    <x v="1"/>
  </r>
  <r>
    <x v="0"/>
    <s v="406010"/>
    <x v="0"/>
    <x v="372"/>
    <x v="0"/>
    <x v="1"/>
    <n v="812000"/>
    <x v="89"/>
    <x v="1"/>
  </r>
  <r>
    <x v="0"/>
    <s v="406010"/>
    <x v="0"/>
    <x v="16"/>
    <x v="0"/>
    <x v="0"/>
    <n v="1687000"/>
    <x v="89"/>
    <x v="1"/>
  </r>
  <r>
    <x v="0"/>
    <s v="406010"/>
    <x v="0"/>
    <x v="16"/>
    <x v="0"/>
    <x v="1"/>
    <n v="1837000"/>
    <x v="89"/>
    <x v="1"/>
  </r>
  <r>
    <x v="0"/>
    <s v="406010"/>
    <x v="0"/>
    <x v="373"/>
    <x v="0"/>
    <x v="0"/>
    <n v="916000"/>
    <x v="89"/>
    <x v="1"/>
  </r>
  <r>
    <x v="0"/>
    <s v="406010"/>
    <x v="0"/>
    <x v="373"/>
    <x v="0"/>
    <x v="1"/>
    <n v="923000"/>
    <x v="89"/>
    <x v="1"/>
  </r>
  <r>
    <x v="0"/>
    <s v="40601C"/>
    <x v="1"/>
    <x v="372"/>
    <x v="0"/>
    <x v="0"/>
    <n v="29000000"/>
    <x v="89"/>
    <x v="1"/>
  </r>
  <r>
    <x v="0"/>
    <s v="40601C"/>
    <x v="1"/>
    <x v="372"/>
    <x v="0"/>
    <x v="1"/>
    <n v="33487000"/>
    <x v="89"/>
    <x v="1"/>
  </r>
  <r>
    <x v="0"/>
    <s v="40601C"/>
    <x v="1"/>
    <x v="16"/>
    <x v="0"/>
    <x v="0"/>
    <n v="1228000"/>
    <x v="89"/>
    <x v="1"/>
  </r>
  <r>
    <x v="0"/>
    <s v="40601C"/>
    <x v="1"/>
    <x v="16"/>
    <x v="0"/>
    <x v="1"/>
    <n v="1228000"/>
    <x v="89"/>
    <x v="1"/>
  </r>
  <r>
    <x v="0"/>
    <s v="40601C"/>
    <x v="1"/>
    <x v="373"/>
    <x v="0"/>
    <x v="0"/>
    <n v="17661000"/>
    <x v="89"/>
    <x v="1"/>
  </r>
  <r>
    <x v="0"/>
    <s v="40601C"/>
    <x v="1"/>
    <x v="373"/>
    <x v="0"/>
    <x v="1"/>
    <n v="17839000"/>
    <x v="89"/>
    <x v="1"/>
  </r>
  <r>
    <x v="0"/>
    <s v="40601C"/>
    <x v="1"/>
    <x v="343"/>
    <x v="0"/>
    <x v="0"/>
    <n v="4666000"/>
    <x v="89"/>
    <x v="1"/>
  </r>
  <r>
    <x v="0"/>
    <s v="40601C"/>
    <x v="1"/>
    <x v="343"/>
    <x v="0"/>
    <x v="1"/>
    <n v="4667000"/>
    <x v="89"/>
    <x v="1"/>
  </r>
  <r>
    <x v="0"/>
    <s v="407010"/>
    <x v="0"/>
    <x v="374"/>
    <x v="0"/>
    <x v="0"/>
    <n v="2388000"/>
    <x v="90"/>
    <x v="1"/>
  </r>
  <r>
    <x v="0"/>
    <s v="407010"/>
    <x v="0"/>
    <x v="374"/>
    <x v="0"/>
    <x v="1"/>
    <n v="2432000"/>
    <x v="90"/>
    <x v="1"/>
  </r>
  <r>
    <x v="0"/>
    <s v="40701C"/>
    <x v="1"/>
    <x v="375"/>
    <x v="0"/>
    <x v="0"/>
    <n v="1988000"/>
    <x v="90"/>
    <x v="1"/>
  </r>
  <r>
    <x v="0"/>
    <s v="40701C"/>
    <x v="1"/>
    <x v="375"/>
    <x v="0"/>
    <x v="1"/>
    <n v="1987000"/>
    <x v="90"/>
    <x v="1"/>
  </r>
  <r>
    <x v="0"/>
    <s v="40701C"/>
    <x v="1"/>
    <x v="374"/>
    <x v="0"/>
    <x v="0"/>
    <n v="120001000"/>
    <x v="90"/>
    <x v="1"/>
  </r>
  <r>
    <x v="0"/>
    <s v="40701C"/>
    <x v="1"/>
    <x v="374"/>
    <x v="0"/>
    <x v="1"/>
    <n v="119999000"/>
    <x v="90"/>
    <x v="1"/>
  </r>
  <r>
    <x v="0"/>
    <s v="40701C"/>
    <x v="1"/>
    <x v="376"/>
    <x v="0"/>
    <x v="0"/>
    <n v="8015000"/>
    <x v="90"/>
    <x v="1"/>
  </r>
  <r>
    <x v="0"/>
    <s v="40701C"/>
    <x v="1"/>
    <x v="376"/>
    <x v="0"/>
    <x v="1"/>
    <n v="6655000"/>
    <x v="90"/>
    <x v="1"/>
  </r>
  <r>
    <x v="0"/>
    <s v="40701C"/>
    <x v="1"/>
    <x v="350"/>
    <x v="0"/>
    <x v="0"/>
    <n v="9534000"/>
    <x v="90"/>
    <x v="1"/>
  </r>
  <r>
    <x v="0"/>
    <s v="40701C"/>
    <x v="1"/>
    <x v="350"/>
    <x v="0"/>
    <x v="1"/>
    <n v="9533000"/>
    <x v="90"/>
    <x v="1"/>
  </r>
  <r>
    <x v="0"/>
    <s v="40701C"/>
    <x v="1"/>
    <x v="343"/>
    <x v="0"/>
    <x v="0"/>
    <n v="4666000"/>
    <x v="90"/>
    <x v="1"/>
  </r>
  <r>
    <x v="0"/>
    <s v="40701C"/>
    <x v="1"/>
    <x v="343"/>
    <x v="0"/>
    <x v="1"/>
    <n v="4667000"/>
    <x v="90"/>
    <x v="1"/>
  </r>
  <r>
    <x v="0"/>
    <s v="410"/>
    <x v="0"/>
    <x v="16"/>
    <x v="0"/>
    <x v="0"/>
    <n v="1667000"/>
    <x v="91"/>
    <x v="1"/>
  </r>
  <r>
    <x v="0"/>
    <s v="410"/>
    <x v="0"/>
    <x v="16"/>
    <x v="0"/>
    <x v="1"/>
    <n v="1622000"/>
    <x v="91"/>
    <x v="1"/>
  </r>
  <r>
    <x v="0"/>
    <s v="410"/>
    <x v="0"/>
    <x v="204"/>
    <x v="0"/>
    <x v="0"/>
    <n v="144000"/>
    <x v="91"/>
    <x v="1"/>
  </r>
  <r>
    <x v="0"/>
    <s v="410"/>
    <x v="0"/>
    <x v="204"/>
    <x v="0"/>
    <x v="1"/>
    <n v="144000"/>
    <x v="91"/>
    <x v="1"/>
  </r>
  <r>
    <x v="0"/>
    <s v="410"/>
    <x v="0"/>
    <x v="18"/>
    <x v="0"/>
    <x v="0"/>
    <n v="100000"/>
    <x v="91"/>
    <x v="1"/>
  </r>
  <r>
    <x v="0"/>
    <s v="410"/>
    <x v="0"/>
    <x v="18"/>
    <x v="0"/>
    <x v="1"/>
    <n v="100000"/>
    <x v="91"/>
    <x v="1"/>
  </r>
  <r>
    <x v="0"/>
    <s v="410"/>
    <x v="0"/>
    <x v="206"/>
    <x v="0"/>
    <x v="0"/>
    <n v="90000"/>
    <x v="91"/>
    <x v="1"/>
  </r>
  <r>
    <x v="0"/>
    <s v="410"/>
    <x v="0"/>
    <x v="206"/>
    <x v="0"/>
    <x v="1"/>
    <n v="89000"/>
    <x v="91"/>
    <x v="1"/>
  </r>
  <r>
    <x v="0"/>
    <s v="410"/>
    <x v="0"/>
    <x v="207"/>
    <x v="0"/>
    <x v="0"/>
    <n v="84000"/>
    <x v="91"/>
    <x v="1"/>
  </r>
  <r>
    <x v="0"/>
    <s v="410"/>
    <x v="0"/>
    <x v="207"/>
    <x v="0"/>
    <x v="1"/>
    <n v="83000"/>
    <x v="91"/>
    <x v="1"/>
  </r>
  <r>
    <x v="0"/>
    <s v="410"/>
    <x v="0"/>
    <x v="208"/>
    <x v="0"/>
    <x v="0"/>
    <n v="75000"/>
    <x v="91"/>
    <x v="1"/>
  </r>
  <r>
    <x v="0"/>
    <s v="410"/>
    <x v="0"/>
    <x v="208"/>
    <x v="0"/>
    <x v="1"/>
    <n v="75000"/>
    <x v="91"/>
    <x v="1"/>
  </r>
  <r>
    <x v="0"/>
    <s v="411010"/>
    <x v="0"/>
    <x v="370"/>
    <x v="0"/>
    <x v="0"/>
    <n v="798000"/>
    <x v="92"/>
    <x v="1"/>
  </r>
  <r>
    <x v="0"/>
    <s v="411010"/>
    <x v="0"/>
    <x v="370"/>
    <x v="0"/>
    <x v="1"/>
    <n v="797000"/>
    <x v="92"/>
    <x v="1"/>
  </r>
  <r>
    <x v="0"/>
    <s v="411010"/>
    <x v="0"/>
    <x v="18"/>
    <x v="0"/>
    <x v="0"/>
    <n v="200000"/>
    <x v="92"/>
    <x v="1"/>
  </r>
  <r>
    <x v="0"/>
    <s v="411010"/>
    <x v="0"/>
    <x v="18"/>
    <x v="0"/>
    <x v="1"/>
    <n v="200000"/>
    <x v="92"/>
    <x v="1"/>
  </r>
  <r>
    <x v="0"/>
    <s v="460"/>
    <x v="0"/>
    <x v="0"/>
    <x v="0"/>
    <x v="0"/>
    <n v="1727000"/>
    <x v="93"/>
    <x v="0"/>
  </r>
  <r>
    <x v="0"/>
    <s v="460"/>
    <x v="0"/>
    <x v="0"/>
    <x v="0"/>
    <x v="1"/>
    <n v="1294000"/>
    <x v="93"/>
    <x v="0"/>
  </r>
  <r>
    <x v="0"/>
    <s v="460"/>
    <x v="0"/>
    <x v="27"/>
    <x v="1"/>
    <x v="0"/>
    <n v="16000"/>
    <x v="93"/>
    <x v="0"/>
  </r>
  <r>
    <x v="0"/>
    <s v="460"/>
    <x v="0"/>
    <x v="27"/>
    <x v="1"/>
    <x v="1"/>
    <n v="16000"/>
    <x v="93"/>
    <x v="0"/>
  </r>
  <r>
    <x v="0"/>
    <s v="460"/>
    <x v="0"/>
    <x v="28"/>
    <x v="3"/>
    <x v="0"/>
    <n v="1417000"/>
    <x v="93"/>
    <x v="0"/>
  </r>
  <r>
    <x v="0"/>
    <s v="460"/>
    <x v="0"/>
    <x v="28"/>
    <x v="3"/>
    <x v="1"/>
    <n v="1177000"/>
    <x v="93"/>
    <x v="0"/>
  </r>
  <r>
    <x v="0"/>
    <s v="460"/>
    <x v="0"/>
    <x v="59"/>
    <x v="0"/>
    <x v="0"/>
    <n v="69000"/>
    <x v="93"/>
    <x v="0"/>
  </r>
  <r>
    <x v="0"/>
    <s v="460"/>
    <x v="0"/>
    <x v="59"/>
    <x v="0"/>
    <x v="1"/>
    <n v="69000"/>
    <x v="93"/>
    <x v="0"/>
  </r>
  <r>
    <x v="0"/>
    <s v="461"/>
    <x v="0"/>
    <x v="0"/>
    <x v="0"/>
    <x v="0"/>
    <n v="39429000"/>
    <x v="94"/>
    <x v="0"/>
  </r>
  <r>
    <x v="0"/>
    <s v="461"/>
    <x v="0"/>
    <x v="0"/>
    <x v="0"/>
    <x v="1"/>
    <n v="39352000"/>
    <x v="94"/>
    <x v="0"/>
  </r>
  <r>
    <x v="0"/>
    <s v="461"/>
    <x v="0"/>
    <x v="27"/>
    <x v="1"/>
    <x v="0"/>
    <n v="69674000"/>
    <x v="94"/>
    <x v="0"/>
  </r>
  <r>
    <x v="0"/>
    <s v="461"/>
    <x v="0"/>
    <x v="27"/>
    <x v="1"/>
    <x v="1"/>
    <n v="75767000"/>
    <x v="94"/>
    <x v="0"/>
  </r>
  <r>
    <x v="0"/>
    <s v="461"/>
    <x v="0"/>
    <x v="28"/>
    <x v="3"/>
    <x v="0"/>
    <n v="14354000"/>
    <x v="94"/>
    <x v="0"/>
  </r>
  <r>
    <x v="0"/>
    <s v="461"/>
    <x v="0"/>
    <x v="28"/>
    <x v="3"/>
    <x v="1"/>
    <n v="15190000"/>
    <x v="94"/>
    <x v="0"/>
  </r>
  <r>
    <x v="0"/>
    <s v="461"/>
    <x v="0"/>
    <x v="377"/>
    <x v="0"/>
    <x v="0"/>
    <n v="2378000"/>
    <x v="94"/>
    <x v="0"/>
  </r>
  <r>
    <x v="0"/>
    <s v="461"/>
    <x v="0"/>
    <x v="377"/>
    <x v="0"/>
    <x v="1"/>
    <n v="2407000"/>
    <x v="94"/>
    <x v="0"/>
  </r>
  <r>
    <x v="0"/>
    <s v="461"/>
    <x v="0"/>
    <x v="378"/>
    <x v="0"/>
    <x v="0"/>
    <n v="2985000"/>
    <x v="94"/>
    <x v="0"/>
  </r>
  <r>
    <x v="0"/>
    <s v="461"/>
    <x v="0"/>
    <x v="378"/>
    <x v="0"/>
    <x v="1"/>
    <n v="2267000"/>
    <x v="94"/>
    <x v="0"/>
  </r>
  <r>
    <x v="0"/>
    <s v="461"/>
    <x v="0"/>
    <x v="273"/>
    <x v="0"/>
    <x v="0"/>
    <n v="75000"/>
    <x v="94"/>
    <x v="0"/>
  </r>
  <r>
    <x v="0"/>
    <s v="461"/>
    <x v="0"/>
    <x v="273"/>
    <x v="0"/>
    <x v="1"/>
    <n v="75000"/>
    <x v="94"/>
    <x v="0"/>
  </r>
  <r>
    <x v="0"/>
    <s v="461"/>
    <x v="0"/>
    <x v="379"/>
    <x v="0"/>
    <x v="0"/>
    <n v="15000"/>
    <x v="94"/>
    <x v="0"/>
  </r>
  <r>
    <x v="0"/>
    <s v="461"/>
    <x v="0"/>
    <x v="379"/>
    <x v="0"/>
    <x v="1"/>
    <n v="25000"/>
    <x v="94"/>
    <x v="0"/>
  </r>
  <r>
    <x v="0"/>
    <s v="461"/>
    <x v="0"/>
    <x v="160"/>
    <x v="0"/>
    <x v="0"/>
    <n v="16931000"/>
    <x v="94"/>
    <x v="0"/>
  </r>
  <r>
    <x v="0"/>
    <s v="461"/>
    <x v="0"/>
    <x v="160"/>
    <x v="0"/>
    <x v="1"/>
    <n v="17068000"/>
    <x v="94"/>
    <x v="0"/>
  </r>
  <r>
    <x v="0"/>
    <s v="461"/>
    <x v="0"/>
    <x v="380"/>
    <x v="0"/>
    <x v="0"/>
    <n v="1125000"/>
    <x v="94"/>
    <x v="0"/>
  </r>
  <r>
    <x v="0"/>
    <s v="461"/>
    <x v="0"/>
    <x v="380"/>
    <x v="0"/>
    <x v="1"/>
    <n v="1094000"/>
    <x v="94"/>
    <x v="0"/>
  </r>
  <r>
    <x v="0"/>
    <s v="461"/>
    <x v="0"/>
    <x v="381"/>
    <x v="0"/>
    <x v="0"/>
    <n v="96000"/>
    <x v="94"/>
    <x v="0"/>
  </r>
  <r>
    <x v="0"/>
    <s v="461"/>
    <x v="0"/>
    <x v="381"/>
    <x v="0"/>
    <x v="1"/>
    <n v="90000"/>
    <x v="94"/>
    <x v="0"/>
  </r>
  <r>
    <x v="0"/>
    <s v="461"/>
    <x v="0"/>
    <x v="382"/>
    <x v="0"/>
    <x v="0"/>
    <n v="21000"/>
    <x v="94"/>
    <x v="0"/>
  </r>
  <r>
    <x v="0"/>
    <s v="461"/>
    <x v="0"/>
    <x v="382"/>
    <x v="0"/>
    <x v="1"/>
    <n v="27000"/>
    <x v="94"/>
    <x v="0"/>
  </r>
  <r>
    <x v="0"/>
    <s v="461"/>
    <x v="0"/>
    <x v="383"/>
    <x v="2"/>
    <x v="0"/>
    <n v="85000"/>
    <x v="94"/>
    <x v="0"/>
  </r>
  <r>
    <x v="0"/>
    <s v="461"/>
    <x v="0"/>
    <x v="383"/>
    <x v="2"/>
    <x v="1"/>
    <n v="85000"/>
    <x v="94"/>
    <x v="0"/>
  </r>
  <r>
    <x v="0"/>
    <s v="461"/>
    <x v="0"/>
    <x v="384"/>
    <x v="2"/>
    <x v="0"/>
    <n v="442000"/>
    <x v="94"/>
    <x v="0"/>
  </r>
  <r>
    <x v="0"/>
    <s v="461"/>
    <x v="0"/>
    <x v="384"/>
    <x v="2"/>
    <x v="1"/>
    <n v="456000"/>
    <x v="94"/>
    <x v="0"/>
  </r>
  <r>
    <x v="0"/>
    <s v="461"/>
    <x v="0"/>
    <x v="279"/>
    <x v="0"/>
    <x v="0"/>
    <n v="290000"/>
    <x v="94"/>
    <x v="0"/>
  </r>
  <r>
    <x v="0"/>
    <s v="461"/>
    <x v="0"/>
    <x v="279"/>
    <x v="0"/>
    <x v="1"/>
    <n v="292000"/>
    <x v="94"/>
    <x v="0"/>
  </r>
  <r>
    <x v="0"/>
    <s v="461"/>
    <x v="0"/>
    <x v="385"/>
    <x v="0"/>
    <x v="0"/>
    <n v="303000"/>
    <x v="94"/>
    <x v="0"/>
  </r>
  <r>
    <x v="0"/>
    <s v="461"/>
    <x v="0"/>
    <x v="385"/>
    <x v="0"/>
    <x v="1"/>
    <n v="302000"/>
    <x v="94"/>
    <x v="0"/>
  </r>
  <r>
    <x v="0"/>
    <s v="461"/>
    <x v="0"/>
    <x v="181"/>
    <x v="0"/>
    <x v="0"/>
    <n v="1104000"/>
    <x v="94"/>
    <x v="0"/>
  </r>
  <r>
    <x v="0"/>
    <s v="461"/>
    <x v="0"/>
    <x v="181"/>
    <x v="0"/>
    <x v="1"/>
    <n v="1118000"/>
    <x v="94"/>
    <x v="0"/>
  </r>
  <r>
    <x v="0"/>
    <s v="461"/>
    <x v="0"/>
    <x v="386"/>
    <x v="2"/>
    <x v="0"/>
    <n v="128000"/>
    <x v="94"/>
    <x v="0"/>
  </r>
  <r>
    <x v="0"/>
    <s v="461"/>
    <x v="0"/>
    <x v="386"/>
    <x v="2"/>
    <x v="1"/>
    <n v="124000"/>
    <x v="94"/>
    <x v="0"/>
  </r>
  <r>
    <x v="0"/>
    <s v="461"/>
    <x v="0"/>
    <x v="387"/>
    <x v="0"/>
    <x v="0"/>
    <n v="19000"/>
    <x v="94"/>
    <x v="0"/>
  </r>
  <r>
    <x v="0"/>
    <s v="461"/>
    <x v="0"/>
    <x v="387"/>
    <x v="0"/>
    <x v="1"/>
    <n v="20000"/>
    <x v="94"/>
    <x v="0"/>
  </r>
  <r>
    <x v="0"/>
    <s v="461"/>
    <x v="0"/>
    <x v="388"/>
    <x v="0"/>
    <x v="0"/>
    <n v="33827000"/>
    <x v="94"/>
    <x v="0"/>
  </r>
  <r>
    <x v="0"/>
    <s v="461"/>
    <x v="0"/>
    <x v="388"/>
    <x v="0"/>
    <x v="1"/>
    <n v="33389000"/>
    <x v="94"/>
    <x v="0"/>
  </r>
  <r>
    <x v="0"/>
    <s v="461"/>
    <x v="0"/>
    <x v="389"/>
    <x v="0"/>
    <x v="0"/>
    <n v="2511000"/>
    <x v="94"/>
    <x v="0"/>
  </r>
  <r>
    <x v="0"/>
    <s v="461"/>
    <x v="0"/>
    <x v="389"/>
    <x v="0"/>
    <x v="1"/>
    <n v="2521000"/>
    <x v="94"/>
    <x v="0"/>
  </r>
  <r>
    <x v="0"/>
    <s v="461"/>
    <x v="0"/>
    <x v="390"/>
    <x v="0"/>
    <x v="0"/>
    <n v="1538000"/>
    <x v="94"/>
    <x v="0"/>
  </r>
  <r>
    <x v="0"/>
    <s v="461"/>
    <x v="0"/>
    <x v="390"/>
    <x v="0"/>
    <x v="1"/>
    <n v="1530000"/>
    <x v="94"/>
    <x v="0"/>
  </r>
  <r>
    <x v="0"/>
    <s v="461"/>
    <x v="0"/>
    <x v="391"/>
    <x v="0"/>
    <x v="0"/>
    <n v="4708000"/>
    <x v="94"/>
    <x v="0"/>
  </r>
  <r>
    <x v="0"/>
    <s v="461"/>
    <x v="0"/>
    <x v="391"/>
    <x v="0"/>
    <x v="1"/>
    <n v="4768000"/>
    <x v="94"/>
    <x v="0"/>
  </r>
  <r>
    <x v="0"/>
    <s v="461"/>
    <x v="0"/>
    <x v="392"/>
    <x v="0"/>
    <x v="0"/>
    <n v="12038000"/>
    <x v="94"/>
    <x v="0"/>
  </r>
  <r>
    <x v="0"/>
    <s v="461"/>
    <x v="0"/>
    <x v="392"/>
    <x v="0"/>
    <x v="1"/>
    <n v="12417000"/>
    <x v="94"/>
    <x v="0"/>
  </r>
  <r>
    <x v="0"/>
    <s v="461"/>
    <x v="0"/>
    <x v="393"/>
    <x v="0"/>
    <x v="0"/>
    <n v="2453000"/>
    <x v="94"/>
    <x v="0"/>
  </r>
  <r>
    <x v="0"/>
    <s v="461"/>
    <x v="0"/>
    <x v="393"/>
    <x v="0"/>
    <x v="1"/>
    <n v="2473000"/>
    <x v="94"/>
    <x v="0"/>
  </r>
  <r>
    <x v="0"/>
    <s v="461"/>
    <x v="0"/>
    <x v="265"/>
    <x v="0"/>
    <x v="0"/>
    <n v="4339000"/>
    <x v="94"/>
    <x v="0"/>
  </r>
  <r>
    <x v="0"/>
    <s v="461"/>
    <x v="0"/>
    <x v="265"/>
    <x v="0"/>
    <x v="1"/>
    <n v="4793000"/>
    <x v="94"/>
    <x v="0"/>
  </r>
  <r>
    <x v="0"/>
    <s v="461"/>
    <x v="0"/>
    <x v="394"/>
    <x v="0"/>
    <x v="0"/>
    <n v="2800000"/>
    <x v="94"/>
    <x v="0"/>
  </r>
  <r>
    <x v="0"/>
    <s v="461"/>
    <x v="0"/>
    <x v="394"/>
    <x v="0"/>
    <x v="1"/>
    <n v="2793000"/>
    <x v="94"/>
    <x v="0"/>
  </r>
  <r>
    <x v="0"/>
    <s v="461"/>
    <x v="0"/>
    <x v="395"/>
    <x v="0"/>
    <x v="0"/>
    <n v="399000"/>
    <x v="94"/>
    <x v="0"/>
  </r>
  <r>
    <x v="0"/>
    <s v="461"/>
    <x v="0"/>
    <x v="395"/>
    <x v="0"/>
    <x v="1"/>
    <n v="405000"/>
    <x v="94"/>
    <x v="0"/>
  </r>
  <r>
    <x v="0"/>
    <s v="461"/>
    <x v="0"/>
    <x v="396"/>
    <x v="0"/>
    <x v="0"/>
    <n v="3538000"/>
    <x v="94"/>
    <x v="0"/>
  </r>
  <r>
    <x v="0"/>
    <s v="461"/>
    <x v="0"/>
    <x v="396"/>
    <x v="0"/>
    <x v="1"/>
    <n v="3538000"/>
    <x v="94"/>
    <x v="0"/>
  </r>
  <r>
    <x v="0"/>
    <s v="461"/>
    <x v="0"/>
    <x v="397"/>
    <x v="2"/>
    <x v="0"/>
    <n v="47000"/>
    <x v="94"/>
    <x v="0"/>
  </r>
  <r>
    <x v="0"/>
    <s v="461"/>
    <x v="0"/>
    <x v="397"/>
    <x v="2"/>
    <x v="1"/>
    <n v="29000"/>
    <x v="94"/>
    <x v="0"/>
  </r>
  <r>
    <x v="0"/>
    <s v="461"/>
    <x v="0"/>
    <x v="39"/>
    <x v="0"/>
    <x v="0"/>
    <n v="171220000"/>
    <x v="94"/>
    <x v="0"/>
  </r>
  <r>
    <x v="0"/>
    <s v="461"/>
    <x v="0"/>
    <x v="39"/>
    <x v="0"/>
    <x v="1"/>
    <n v="179510000"/>
    <x v="94"/>
    <x v="0"/>
  </r>
  <r>
    <x v="0"/>
    <s v="461"/>
    <x v="0"/>
    <x v="398"/>
    <x v="3"/>
    <x v="0"/>
    <n v="499000"/>
    <x v="94"/>
    <x v="0"/>
  </r>
  <r>
    <x v="0"/>
    <s v="461"/>
    <x v="0"/>
    <x v="398"/>
    <x v="3"/>
    <x v="1"/>
    <n v="501000"/>
    <x v="94"/>
    <x v="0"/>
  </r>
  <r>
    <x v="0"/>
    <s v="461"/>
    <x v="0"/>
    <x v="92"/>
    <x v="0"/>
    <x v="0"/>
    <n v="8499000"/>
    <x v="94"/>
    <x v="0"/>
  </r>
  <r>
    <x v="0"/>
    <s v="461"/>
    <x v="0"/>
    <x v="92"/>
    <x v="0"/>
    <x v="1"/>
    <n v="8493000"/>
    <x v="94"/>
    <x v="0"/>
  </r>
  <r>
    <x v="0"/>
    <s v="461"/>
    <x v="0"/>
    <x v="399"/>
    <x v="0"/>
    <x v="0"/>
    <n v="172000"/>
    <x v="94"/>
    <x v="0"/>
  </r>
  <r>
    <x v="0"/>
    <s v="461"/>
    <x v="0"/>
    <x v="399"/>
    <x v="0"/>
    <x v="1"/>
    <n v="172000"/>
    <x v="94"/>
    <x v="0"/>
  </r>
  <r>
    <x v="0"/>
    <s v="461"/>
    <x v="0"/>
    <x v="400"/>
    <x v="0"/>
    <x v="0"/>
    <n v="75000"/>
    <x v="94"/>
    <x v="0"/>
  </r>
  <r>
    <x v="0"/>
    <s v="461"/>
    <x v="0"/>
    <x v="400"/>
    <x v="0"/>
    <x v="1"/>
    <n v="76000"/>
    <x v="94"/>
    <x v="0"/>
  </r>
  <r>
    <x v="0"/>
    <s v="461"/>
    <x v="0"/>
    <x v="401"/>
    <x v="0"/>
    <x v="0"/>
    <n v="2101000"/>
    <x v="94"/>
    <x v="0"/>
  </r>
  <r>
    <x v="0"/>
    <s v="461"/>
    <x v="0"/>
    <x v="401"/>
    <x v="0"/>
    <x v="1"/>
    <n v="2902000"/>
    <x v="94"/>
    <x v="0"/>
  </r>
  <r>
    <x v="0"/>
    <s v="461"/>
    <x v="0"/>
    <x v="402"/>
    <x v="2"/>
    <x v="0"/>
    <n v="561000"/>
    <x v="94"/>
    <x v="0"/>
  </r>
  <r>
    <x v="0"/>
    <s v="461"/>
    <x v="0"/>
    <x v="402"/>
    <x v="2"/>
    <x v="1"/>
    <n v="564000"/>
    <x v="94"/>
    <x v="0"/>
  </r>
  <r>
    <x v="0"/>
    <s v="461"/>
    <x v="0"/>
    <x v="403"/>
    <x v="0"/>
    <x v="0"/>
    <n v="661000"/>
    <x v="94"/>
    <x v="0"/>
  </r>
  <r>
    <x v="0"/>
    <s v="461"/>
    <x v="0"/>
    <x v="403"/>
    <x v="0"/>
    <x v="1"/>
    <n v="2460000"/>
    <x v="94"/>
    <x v="0"/>
  </r>
  <r>
    <x v="0"/>
    <s v="461"/>
    <x v="0"/>
    <x v="119"/>
    <x v="0"/>
    <x v="0"/>
    <n v="25120000"/>
    <x v="94"/>
    <x v="0"/>
  </r>
  <r>
    <x v="0"/>
    <s v="461"/>
    <x v="0"/>
    <x v="119"/>
    <x v="0"/>
    <x v="1"/>
    <n v="35757000"/>
    <x v="94"/>
    <x v="0"/>
  </r>
  <r>
    <x v="0"/>
    <s v="461"/>
    <x v="0"/>
    <x v="59"/>
    <x v="0"/>
    <x v="0"/>
    <n v="7285000"/>
    <x v="94"/>
    <x v="0"/>
  </r>
  <r>
    <x v="0"/>
    <s v="461"/>
    <x v="0"/>
    <x v="59"/>
    <x v="0"/>
    <x v="1"/>
    <n v="17867000"/>
    <x v="94"/>
    <x v="0"/>
  </r>
  <r>
    <x v="0"/>
    <s v="461"/>
    <x v="0"/>
    <x v="94"/>
    <x v="0"/>
    <x v="0"/>
    <n v="7285000"/>
    <x v="94"/>
    <x v="0"/>
  </r>
  <r>
    <x v="0"/>
    <s v="461"/>
    <x v="0"/>
    <x v="94"/>
    <x v="0"/>
    <x v="1"/>
    <n v="9123000"/>
    <x v="94"/>
    <x v="0"/>
  </r>
  <r>
    <x v="0"/>
    <s v="461"/>
    <x v="0"/>
    <x v="404"/>
    <x v="0"/>
    <x v="0"/>
    <n v="3000000"/>
    <x v="94"/>
    <x v="0"/>
  </r>
  <r>
    <x v="0"/>
    <s v="461"/>
    <x v="0"/>
    <x v="404"/>
    <x v="0"/>
    <x v="1"/>
    <n v="3000000"/>
    <x v="94"/>
    <x v="0"/>
  </r>
  <r>
    <x v="0"/>
    <s v="461"/>
    <x v="0"/>
    <x v="405"/>
    <x v="2"/>
    <x v="0"/>
    <n v="532000"/>
    <x v="94"/>
    <x v="0"/>
  </r>
  <r>
    <x v="0"/>
    <s v="461"/>
    <x v="0"/>
    <x v="405"/>
    <x v="2"/>
    <x v="1"/>
    <n v="532000"/>
    <x v="94"/>
    <x v="0"/>
  </r>
  <r>
    <x v="0"/>
    <s v="461"/>
    <x v="0"/>
    <x v="406"/>
    <x v="0"/>
    <x v="0"/>
    <n v="4292000"/>
    <x v="94"/>
    <x v="0"/>
  </r>
  <r>
    <x v="0"/>
    <s v="461"/>
    <x v="0"/>
    <x v="406"/>
    <x v="0"/>
    <x v="1"/>
    <n v="4349000"/>
    <x v="94"/>
    <x v="0"/>
  </r>
  <r>
    <x v="0"/>
    <s v="461"/>
    <x v="0"/>
    <x v="111"/>
    <x v="0"/>
    <x v="0"/>
    <n v="7858000"/>
    <x v="94"/>
    <x v="1"/>
  </r>
  <r>
    <x v="0"/>
    <s v="461"/>
    <x v="0"/>
    <x v="111"/>
    <x v="0"/>
    <x v="1"/>
    <n v="7857000"/>
    <x v="94"/>
    <x v="1"/>
  </r>
  <r>
    <x v="0"/>
    <s v="461"/>
    <x v="0"/>
    <x v="19"/>
    <x v="0"/>
    <x v="0"/>
    <n v="2000000"/>
    <x v="94"/>
    <x v="1"/>
  </r>
  <r>
    <x v="0"/>
    <s v="461"/>
    <x v="0"/>
    <x v="19"/>
    <x v="0"/>
    <x v="1"/>
    <n v="2000000"/>
    <x v="94"/>
    <x v="1"/>
  </r>
  <r>
    <x v="0"/>
    <s v="461900"/>
    <x v="1"/>
    <x v="27"/>
    <x v="1"/>
    <x v="0"/>
    <n v="16516500"/>
    <x v="94"/>
    <x v="0"/>
  </r>
  <r>
    <x v="0"/>
    <s v="461900"/>
    <x v="1"/>
    <x v="27"/>
    <x v="1"/>
    <x v="1"/>
    <n v="16516500"/>
    <x v="94"/>
    <x v="0"/>
  </r>
  <r>
    <x v="0"/>
    <s v="461900"/>
    <x v="1"/>
    <x v="1"/>
    <x v="0"/>
    <x v="0"/>
    <n v="135690000"/>
    <x v="94"/>
    <x v="0"/>
  </r>
  <r>
    <x v="0"/>
    <s v="461900"/>
    <x v="1"/>
    <x v="1"/>
    <x v="0"/>
    <x v="1"/>
    <n v="135690000"/>
    <x v="94"/>
    <x v="0"/>
  </r>
  <r>
    <x v="0"/>
    <s v="461900"/>
    <x v="1"/>
    <x v="407"/>
    <x v="0"/>
    <x v="0"/>
    <n v="500000"/>
    <x v="94"/>
    <x v="0"/>
  </r>
  <r>
    <x v="0"/>
    <s v="461900"/>
    <x v="1"/>
    <x v="407"/>
    <x v="0"/>
    <x v="1"/>
    <n v="500000"/>
    <x v="94"/>
    <x v="0"/>
  </r>
  <r>
    <x v="0"/>
    <s v="461900"/>
    <x v="1"/>
    <x v="408"/>
    <x v="0"/>
    <x v="0"/>
    <n v="355000"/>
    <x v="94"/>
    <x v="0"/>
  </r>
  <r>
    <x v="0"/>
    <s v="461900"/>
    <x v="1"/>
    <x v="408"/>
    <x v="0"/>
    <x v="1"/>
    <n v="355000"/>
    <x v="94"/>
    <x v="0"/>
  </r>
  <r>
    <x v="0"/>
    <s v="461900"/>
    <x v="1"/>
    <x v="409"/>
    <x v="0"/>
    <x v="0"/>
    <n v="1100000"/>
    <x v="94"/>
    <x v="0"/>
  </r>
  <r>
    <x v="0"/>
    <s v="461900"/>
    <x v="1"/>
    <x v="409"/>
    <x v="0"/>
    <x v="1"/>
    <n v="1100000"/>
    <x v="94"/>
    <x v="0"/>
  </r>
  <r>
    <x v="0"/>
    <s v="461900"/>
    <x v="1"/>
    <x v="410"/>
    <x v="0"/>
    <x v="0"/>
    <n v="850000"/>
    <x v="94"/>
    <x v="0"/>
  </r>
  <r>
    <x v="0"/>
    <s v="461900"/>
    <x v="1"/>
    <x v="410"/>
    <x v="0"/>
    <x v="1"/>
    <n v="850000"/>
    <x v="94"/>
    <x v="0"/>
  </r>
  <r>
    <x v="0"/>
    <s v="461900"/>
    <x v="1"/>
    <x v="111"/>
    <x v="0"/>
    <x v="0"/>
    <n v="115273000"/>
    <x v="94"/>
    <x v="0"/>
  </r>
  <r>
    <x v="0"/>
    <s v="461900"/>
    <x v="1"/>
    <x v="111"/>
    <x v="0"/>
    <x v="1"/>
    <n v="115273000"/>
    <x v="94"/>
    <x v="0"/>
  </r>
  <r>
    <x v="0"/>
    <s v="461900"/>
    <x v="1"/>
    <x v="92"/>
    <x v="0"/>
    <x v="0"/>
    <n v="35500000"/>
    <x v="94"/>
    <x v="0"/>
  </r>
  <r>
    <x v="0"/>
    <s v="461900"/>
    <x v="1"/>
    <x v="92"/>
    <x v="0"/>
    <x v="1"/>
    <n v="35500000"/>
    <x v="94"/>
    <x v="0"/>
  </r>
  <r>
    <x v="0"/>
    <s v="461900"/>
    <x v="1"/>
    <x v="59"/>
    <x v="0"/>
    <x v="0"/>
    <n v="7500000"/>
    <x v="94"/>
    <x v="0"/>
  </r>
  <r>
    <x v="0"/>
    <s v="461900"/>
    <x v="1"/>
    <x v="59"/>
    <x v="0"/>
    <x v="1"/>
    <n v="7500000"/>
    <x v="94"/>
    <x v="0"/>
  </r>
  <r>
    <x v="0"/>
    <s v="461900"/>
    <x v="1"/>
    <x v="94"/>
    <x v="0"/>
    <x v="0"/>
    <n v="8796000"/>
    <x v="94"/>
    <x v="0"/>
  </r>
  <r>
    <x v="0"/>
    <s v="461900"/>
    <x v="1"/>
    <x v="94"/>
    <x v="0"/>
    <x v="1"/>
    <n v="8796000"/>
    <x v="94"/>
    <x v="0"/>
  </r>
  <r>
    <x v="0"/>
    <s v="461900"/>
    <x v="1"/>
    <x v="411"/>
    <x v="0"/>
    <x v="0"/>
    <n v="10900000"/>
    <x v="94"/>
    <x v="0"/>
  </r>
  <r>
    <x v="0"/>
    <s v="461900"/>
    <x v="1"/>
    <x v="411"/>
    <x v="0"/>
    <x v="1"/>
    <n v="10900000"/>
    <x v="94"/>
    <x v="0"/>
  </r>
  <r>
    <x v="0"/>
    <s v="461900"/>
    <x v="1"/>
    <x v="412"/>
    <x v="0"/>
    <x v="0"/>
    <n v="750000"/>
    <x v="94"/>
    <x v="0"/>
  </r>
  <r>
    <x v="0"/>
    <s v="461900"/>
    <x v="1"/>
    <x v="412"/>
    <x v="0"/>
    <x v="1"/>
    <n v="750000"/>
    <x v="94"/>
    <x v="0"/>
  </r>
  <r>
    <x v="0"/>
    <s v="461900"/>
    <x v="1"/>
    <x v="4"/>
    <x v="0"/>
    <x v="0"/>
    <n v="20000000"/>
    <x v="94"/>
    <x v="0"/>
  </r>
  <r>
    <x v="0"/>
    <s v="461900"/>
    <x v="1"/>
    <x v="4"/>
    <x v="0"/>
    <x v="1"/>
    <n v="20000000"/>
    <x v="94"/>
    <x v="0"/>
  </r>
  <r>
    <x v="0"/>
    <s v="461900"/>
    <x v="1"/>
    <x v="413"/>
    <x v="0"/>
    <x v="0"/>
    <n v="235000000"/>
    <x v="94"/>
    <x v="0"/>
  </r>
  <r>
    <x v="0"/>
    <s v="461900"/>
    <x v="1"/>
    <x v="413"/>
    <x v="0"/>
    <x v="1"/>
    <n v="235000000"/>
    <x v="94"/>
    <x v="0"/>
  </r>
  <r>
    <x v="0"/>
    <s v="461900"/>
    <x v="1"/>
    <x v="414"/>
    <x v="1"/>
    <x v="0"/>
    <n v="100000000"/>
    <x v="94"/>
    <x v="0"/>
  </r>
  <r>
    <x v="0"/>
    <s v="461900"/>
    <x v="1"/>
    <x v="414"/>
    <x v="1"/>
    <x v="1"/>
    <n v="100000000"/>
    <x v="94"/>
    <x v="0"/>
  </r>
  <r>
    <x v="0"/>
    <s v="462"/>
    <x v="0"/>
    <x v="27"/>
    <x v="1"/>
    <x v="0"/>
    <n v="682000"/>
    <x v="95"/>
    <x v="0"/>
  </r>
  <r>
    <x v="0"/>
    <s v="462"/>
    <x v="0"/>
    <x v="27"/>
    <x v="1"/>
    <x v="1"/>
    <n v="555000"/>
    <x v="95"/>
    <x v="0"/>
  </r>
  <r>
    <x v="0"/>
    <s v="462"/>
    <x v="0"/>
    <x v="415"/>
    <x v="0"/>
    <x v="0"/>
    <n v="519000"/>
    <x v="95"/>
    <x v="0"/>
  </r>
  <r>
    <x v="0"/>
    <s v="462"/>
    <x v="0"/>
    <x v="415"/>
    <x v="0"/>
    <x v="1"/>
    <n v="438000"/>
    <x v="95"/>
    <x v="0"/>
  </r>
  <r>
    <x v="0"/>
    <s v="462"/>
    <x v="0"/>
    <x v="416"/>
    <x v="0"/>
    <x v="0"/>
    <n v="5144000"/>
    <x v="95"/>
    <x v="0"/>
  </r>
  <r>
    <x v="0"/>
    <s v="462"/>
    <x v="0"/>
    <x v="416"/>
    <x v="0"/>
    <x v="1"/>
    <n v="5091000"/>
    <x v="95"/>
    <x v="0"/>
  </r>
  <r>
    <x v="0"/>
    <s v="462"/>
    <x v="0"/>
    <x v="417"/>
    <x v="2"/>
    <x v="0"/>
    <n v="1367000"/>
    <x v="95"/>
    <x v="0"/>
  </r>
  <r>
    <x v="0"/>
    <s v="462"/>
    <x v="0"/>
    <x v="417"/>
    <x v="2"/>
    <x v="1"/>
    <n v="1389000"/>
    <x v="95"/>
    <x v="0"/>
  </r>
  <r>
    <x v="0"/>
    <s v="462900"/>
    <x v="1"/>
    <x v="415"/>
    <x v="0"/>
    <x v="0"/>
    <n v="10000000"/>
    <x v="95"/>
    <x v="0"/>
  </r>
  <r>
    <x v="0"/>
    <s v="462900"/>
    <x v="1"/>
    <x v="415"/>
    <x v="0"/>
    <x v="1"/>
    <n v="10000000"/>
    <x v="95"/>
    <x v="0"/>
  </r>
  <r>
    <x v="0"/>
    <s v="463"/>
    <x v="0"/>
    <x v="0"/>
    <x v="0"/>
    <x v="0"/>
    <n v="1109000"/>
    <x v="96"/>
    <x v="0"/>
  </r>
  <r>
    <x v="0"/>
    <s v="463"/>
    <x v="0"/>
    <x v="0"/>
    <x v="0"/>
    <x v="1"/>
    <n v="1524000"/>
    <x v="96"/>
    <x v="0"/>
  </r>
  <r>
    <x v="0"/>
    <s v="463"/>
    <x v="0"/>
    <x v="59"/>
    <x v="0"/>
    <x v="0"/>
    <n v="3631000"/>
    <x v="96"/>
    <x v="0"/>
  </r>
  <r>
    <x v="0"/>
    <s v="463"/>
    <x v="0"/>
    <x v="59"/>
    <x v="0"/>
    <x v="1"/>
    <n v="3806000"/>
    <x v="96"/>
    <x v="0"/>
  </r>
  <r>
    <x v="0"/>
    <s v="463"/>
    <x v="0"/>
    <x v="418"/>
    <x v="3"/>
    <x v="0"/>
    <n v="13211000"/>
    <x v="96"/>
    <x v="0"/>
  </r>
  <r>
    <x v="0"/>
    <s v="463"/>
    <x v="0"/>
    <x v="418"/>
    <x v="3"/>
    <x v="1"/>
    <n v="13686000"/>
    <x v="96"/>
    <x v="0"/>
  </r>
  <r>
    <x v="0"/>
    <s v="465"/>
    <x v="0"/>
    <x v="0"/>
    <x v="0"/>
    <x v="0"/>
    <n v="41197000"/>
    <x v="97"/>
    <x v="0"/>
  </r>
  <r>
    <x v="0"/>
    <s v="465"/>
    <x v="0"/>
    <x v="0"/>
    <x v="0"/>
    <x v="1"/>
    <n v="45091000"/>
    <x v="97"/>
    <x v="0"/>
  </r>
  <r>
    <x v="0"/>
    <s v="465"/>
    <x v="0"/>
    <x v="27"/>
    <x v="1"/>
    <x v="0"/>
    <n v="3916000"/>
    <x v="97"/>
    <x v="0"/>
  </r>
  <r>
    <x v="0"/>
    <s v="465"/>
    <x v="0"/>
    <x v="27"/>
    <x v="1"/>
    <x v="1"/>
    <n v="3315000"/>
    <x v="97"/>
    <x v="0"/>
  </r>
  <r>
    <x v="0"/>
    <s v="465"/>
    <x v="0"/>
    <x v="419"/>
    <x v="0"/>
    <x v="0"/>
    <n v="2368000"/>
    <x v="97"/>
    <x v="0"/>
  </r>
  <r>
    <x v="0"/>
    <s v="465"/>
    <x v="0"/>
    <x v="419"/>
    <x v="0"/>
    <x v="1"/>
    <n v="2560000"/>
    <x v="97"/>
    <x v="0"/>
  </r>
  <r>
    <x v="0"/>
    <s v="465"/>
    <x v="0"/>
    <x v="420"/>
    <x v="0"/>
    <x v="0"/>
    <n v="198000"/>
    <x v="97"/>
    <x v="0"/>
  </r>
  <r>
    <x v="0"/>
    <s v="465"/>
    <x v="0"/>
    <x v="420"/>
    <x v="0"/>
    <x v="1"/>
    <n v="198000"/>
    <x v="97"/>
    <x v="0"/>
  </r>
  <r>
    <x v="0"/>
    <s v="465"/>
    <x v="0"/>
    <x v="421"/>
    <x v="0"/>
    <x v="0"/>
    <n v="2780000"/>
    <x v="97"/>
    <x v="0"/>
  </r>
  <r>
    <x v="0"/>
    <s v="465"/>
    <x v="0"/>
    <x v="421"/>
    <x v="0"/>
    <x v="1"/>
    <n v="2935000"/>
    <x v="97"/>
    <x v="0"/>
  </r>
  <r>
    <x v="0"/>
    <s v="465"/>
    <x v="0"/>
    <x v="273"/>
    <x v="0"/>
    <x v="0"/>
    <n v="172000"/>
    <x v="97"/>
    <x v="0"/>
  </r>
  <r>
    <x v="0"/>
    <s v="465"/>
    <x v="0"/>
    <x v="273"/>
    <x v="0"/>
    <x v="1"/>
    <n v="195000"/>
    <x v="97"/>
    <x v="0"/>
  </r>
  <r>
    <x v="0"/>
    <s v="465"/>
    <x v="0"/>
    <x v="422"/>
    <x v="2"/>
    <x v="0"/>
    <n v="193000"/>
    <x v="97"/>
    <x v="0"/>
  </r>
  <r>
    <x v="0"/>
    <s v="465"/>
    <x v="0"/>
    <x v="422"/>
    <x v="2"/>
    <x v="1"/>
    <n v="186000"/>
    <x v="97"/>
    <x v="0"/>
  </r>
  <r>
    <x v="0"/>
    <s v="465"/>
    <x v="0"/>
    <x v="423"/>
    <x v="2"/>
    <x v="0"/>
    <n v="379000"/>
    <x v="97"/>
    <x v="0"/>
  </r>
  <r>
    <x v="0"/>
    <s v="465"/>
    <x v="0"/>
    <x v="423"/>
    <x v="2"/>
    <x v="1"/>
    <n v="430000"/>
    <x v="97"/>
    <x v="0"/>
  </r>
  <r>
    <x v="0"/>
    <s v="465"/>
    <x v="0"/>
    <x v="424"/>
    <x v="2"/>
    <x v="0"/>
    <n v="2250000"/>
    <x v="97"/>
    <x v="0"/>
  </r>
  <r>
    <x v="0"/>
    <s v="465"/>
    <x v="0"/>
    <x v="424"/>
    <x v="2"/>
    <x v="1"/>
    <n v="2250000"/>
    <x v="97"/>
    <x v="0"/>
  </r>
  <r>
    <x v="0"/>
    <s v="465"/>
    <x v="0"/>
    <x v="425"/>
    <x v="2"/>
    <x v="0"/>
    <n v="600000"/>
    <x v="97"/>
    <x v="0"/>
  </r>
  <r>
    <x v="0"/>
    <s v="465"/>
    <x v="0"/>
    <x v="425"/>
    <x v="2"/>
    <x v="1"/>
    <n v="600000"/>
    <x v="97"/>
    <x v="0"/>
  </r>
  <r>
    <x v="0"/>
    <s v="465"/>
    <x v="0"/>
    <x v="426"/>
    <x v="0"/>
    <x v="0"/>
    <n v="75115000"/>
    <x v="97"/>
    <x v="0"/>
  </r>
  <r>
    <x v="0"/>
    <s v="465"/>
    <x v="0"/>
    <x v="426"/>
    <x v="0"/>
    <x v="1"/>
    <n v="77958000"/>
    <x v="97"/>
    <x v="0"/>
  </r>
  <r>
    <x v="0"/>
    <s v="465"/>
    <x v="0"/>
    <x v="427"/>
    <x v="3"/>
    <x v="0"/>
    <n v="309000"/>
    <x v="97"/>
    <x v="0"/>
  </r>
  <r>
    <x v="0"/>
    <s v="465"/>
    <x v="0"/>
    <x v="427"/>
    <x v="3"/>
    <x v="1"/>
    <n v="411000"/>
    <x v="97"/>
    <x v="0"/>
  </r>
  <r>
    <x v="0"/>
    <s v="465"/>
    <x v="0"/>
    <x v="59"/>
    <x v="0"/>
    <x v="0"/>
    <n v="865000"/>
    <x v="97"/>
    <x v="0"/>
  </r>
  <r>
    <x v="0"/>
    <s v="465"/>
    <x v="0"/>
    <x v="59"/>
    <x v="0"/>
    <x v="1"/>
    <n v="2018000"/>
    <x v="97"/>
    <x v="0"/>
  </r>
  <r>
    <x v="0"/>
    <s v="465"/>
    <x v="0"/>
    <x v="94"/>
    <x v="0"/>
    <x v="0"/>
    <n v="55000"/>
    <x v="97"/>
    <x v="0"/>
  </r>
  <r>
    <x v="0"/>
    <s v="465"/>
    <x v="0"/>
    <x v="94"/>
    <x v="0"/>
    <x v="1"/>
    <n v="595000"/>
    <x v="97"/>
    <x v="0"/>
  </r>
  <r>
    <x v="0"/>
    <s v="465"/>
    <x v="0"/>
    <x v="16"/>
    <x v="0"/>
    <x v="0"/>
    <n v="593000"/>
    <x v="97"/>
    <x v="1"/>
  </r>
  <r>
    <x v="0"/>
    <s v="465"/>
    <x v="0"/>
    <x v="16"/>
    <x v="0"/>
    <x v="1"/>
    <n v="593000"/>
    <x v="97"/>
    <x v="1"/>
  </r>
  <r>
    <x v="0"/>
    <s v="465"/>
    <x v="0"/>
    <x v="18"/>
    <x v="0"/>
    <x v="0"/>
    <n v="1000"/>
    <x v="97"/>
    <x v="1"/>
  </r>
  <r>
    <x v="0"/>
    <s v="465"/>
    <x v="0"/>
    <x v="19"/>
    <x v="0"/>
    <x v="0"/>
    <n v="1000000"/>
    <x v="97"/>
    <x v="1"/>
  </r>
  <r>
    <x v="0"/>
    <s v="465"/>
    <x v="0"/>
    <x v="19"/>
    <x v="0"/>
    <x v="1"/>
    <n v="1000000"/>
    <x v="97"/>
    <x v="1"/>
  </r>
  <r>
    <x v="0"/>
    <s v="465900"/>
    <x v="1"/>
    <x v="27"/>
    <x v="1"/>
    <x v="0"/>
    <n v="1675000"/>
    <x v="97"/>
    <x v="0"/>
  </r>
  <r>
    <x v="0"/>
    <s v="465900"/>
    <x v="1"/>
    <x v="27"/>
    <x v="1"/>
    <x v="1"/>
    <n v="1675000"/>
    <x v="97"/>
    <x v="0"/>
  </r>
  <r>
    <x v="0"/>
    <s v="465900"/>
    <x v="1"/>
    <x v="428"/>
    <x v="0"/>
    <x v="0"/>
    <n v="1250000"/>
    <x v="97"/>
    <x v="0"/>
  </r>
  <r>
    <x v="0"/>
    <s v="465900"/>
    <x v="1"/>
    <x v="428"/>
    <x v="0"/>
    <x v="1"/>
    <n v="1250000"/>
    <x v="97"/>
    <x v="0"/>
  </r>
  <r>
    <x v="0"/>
    <s v="465900"/>
    <x v="1"/>
    <x v="1"/>
    <x v="0"/>
    <x v="0"/>
    <n v="38448500"/>
    <x v="97"/>
    <x v="0"/>
  </r>
  <r>
    <x v="0"/>
    <s v="465900"/>
    <x v="1"/>
    <x v="1"/>
    <x v="0"/>
    <x v="1"/>
    <n v="38448500"/>
    <x v="97"/>
    <x v="0"/>
  </r>
  <r>
    <x v="0"/>
    <s v="465900"/>
    <x v="1"/>
    <x v="39"/>
    <x v="0"/>
    <x v="0"/>
    <n v="25000"/>
    <x v="97"/>
    <x v="0"/>
  </r>
  <r>
    <x v="0"/>
    <s v="465900"/>
    <x v="1"/>
    <x v="39"/>
    <x v="0"/>
    <x v="1"/>
    <n v="25000"/>
    <x v="97"/>
    <x v="0"/>
  </r>
  <r>
    <x v="0"/>
    <s v="465900"/>
    <x v="1"/>
    <x v="427"/>
    <x v="3"/>
    <x v="0"/>
    <n v="1000000"/>
    <x v="97"/>
    <x v="0"/>
  </r>
  <r>
    <x v="0"/>
    <s v="465900"/>
    <x v="1"/>
    <x v="427"/>
    <x v="3"/>
    <x v="1"/>
    <n v="1000000"/>
    <x v="97"/>
    <x v="0"/>
  </r>
  <r>
    <x v="0"/>
    <s v="465900"/>
    <x v="1"/>
    <x v="59"/>
    <x v="0"/>
    <x v="0"/>
    <n v="500000"/>
    <x v="97"/>
    <x v="0"/>
  </r>
  <r>
    <x v="0"/>
    <s v="465900"/>
    <x v="1"/>
    <x v="59"/>
    <x v="0"/>
    <x v="1"/>
    <n v="500000"/>
    <x v="97"/>
    <x v="0"/>
  </r>
  <r>
    <x v="0"/>
    <s v="465900"/>
    <x v="1"/>
    <x v="94"/>
    <x v="0"/>
    <x v="0"/>
    <n v="687500"/>
    <x v="97"/>
    <x v="0"/>
  </r>
  <r>
    <x v="0"/>
    <s v="465900"/>
    <x v="1"/>
    <x v="94"/>
    <x v="0"/>
    <x v="1"/>
    <n v="687500"/>
    <x v="97"/>
    <x v="0"/>
  </r>
  <r>
    <x v="0"/>
    <s v="467"/>
    <x v="0"/>
    <x v="0"/>
    <x v="0"/>
    <x v="0"/>
    <n v="10572000"/>
    <x v="98"/>
    <x v="0"/>
  </r>
  <r>
    <x v="0"/>
    <s v="467"/>
    <x v="0"/>
    <x v="0"/>
    <x v="0"/>
    <x v="1"/>
    <n v="7370000"/>
    <x v="98"/>
    <x v="0"/>
  </r>
  <r>
    <x v="0"/>
    <s v="467"/>
    <x v="0"/>
    <x v="27"/>
    <x v="1"/>
    <x v="0"/>
    <n v="3100000"/>
    <x v="98"/>
    <x v="0"/>
  </r>
  <r>
    <x v="0"/>
    <s v="467"/>
    <x v="0"/>
    <x v="27"/>
    <x v="1"/>
    <x v="1"/>
    <n v="3097000"/>
    <x v="98"/>
    <x v="0"/>
  </r>
  <r>
    <x v="0"/>
    <s v="467"/>
    <x v="0"/>
    <x v="28"/>
    <x v="3"/>
    <x v="0"/>
    <n v="12000"/>
    <x v="98"/>
    <x v="0"/>
  </r>
  <r>
    <x v="0"/>
    <s v="467"/>
    <x v="0"/>
    <x v="28"/>
    <x v="3"/>
    <x v="1"/>
    <n v="12000"/>
    <x v="98"/>
    <x v="0"/>
  </r>
  <r>
    <x v="0"/>
    <s v="467"/>
    <x v="0"/>
    <x v="273"/>
    <x v="0"/>
    <x v="0"/>
    <n v="229000"/>
    <x v="98"/>
    <x v="0"/>
  </r>
  <r>
    <x v="0"/>
    <s v="467"/>
    <x v="0"/>
    <x v="273"/>
    <x v="0"/>
    <x v="1"/>
    <n v="234000"/>
    <x v="98"/>
    <x v="0"/>
  </r>
  <r>
    <x v="0"/>
    <s v="467"/>
    <x v="0"/>
    <x v="239"/>
    <x v="0"/>
    <x v="0"/>
    <n v="19000"/>
    <x v="98"/>
    <x v="0"/>
  </r>
  <r>
    <x v="0"/>
    <s v="467"/>
    <x v="0"/>
    <x v="239"/>
    <x v="0"/>
    <x v="1"/>
    <n v="18000"/>
    <x v="98"/>
    <x v="0"/>
  </r>
  <r>
    <x v="0"/>
    <s v="467"/>
    <x v="0"/>
    <x v="429"/>
    <x v="0"/>
    <x v="0"/>
    <n v="2527000"/>
    <x v="98"/>
    <x v="0"/>
  </r>
  <r>
    <x v="0"/>
    <s v="467"/>
    <x v="0"/>
    <x v="429"/>
    <x v="0"/>
    <x v="1"/>
    <n v="2597000"/>
    <x v="98"/>
    <x v="0"/>
  </r>
  <r>
    <x v="0"/>
    <s v="467"/>
    <x v="0"/>
    <x v="430"/>
    <x v="0"/>
    <x v="0"/>
    <n v="781000"/>
    <x v="98"/>
    <x v="0"/>
  </r>
  <r>
    <x v="0"/>
    <s v="467"/>
    <x v="0"/>
    <x v="430"/>
    <x v="0"/>
    <x v="1"/>
    <n v="783000"/>
    <x v="98"/>
    <x v="0"/>
  </r>
  <r>
    <x v="0"/>
    <s v="467"/>
    <x v="0"/>
    <x v="119"/>
    <x v="0"/>
    <x v="0"/>
    <n v="200000"/>
    <x v="98"/>
    <x v="0"/>
  </r>
  <r>
    <x v="0"/>
    <s v="467"/>
    <x v="0"/>
    <x v="94"/>
    <x v="0"/>
    <x v="0"/>
    <n v="201000"/>
    <x v="98"/>
    <x v="0"/>
  </r>
  <r>
    <x v="0"/>
    <s v="467"/>
    <x v="0"/>
    <x v="94"/>
    <x v="0"/>
    <x v="1"/>
    <n v="197000"/>
    <x v="98"/>
    <x v="0"/>
  </r>
  <r>
    <x v="0"/>
    <s v="467900"/>
    <x v="1"/>
    <x v="27"/>
    <x v="1"/>
    <x v="0"/>
    <n v="52500000"/>
    <x v="98"/>
    <x v="0"/>
  </r>
  <r>
    <x v="0"/>
    <s v="467900"/>
    <x v="1"/>
    <x v="27"/>
    <x v="1"/>
    <x v="1"/>
    <n v="52500000"/>
    <x v="98"/>
    <x v="0"/>
  </r>
  <r>
    <x v="0"/>
    <s v="467900"/>
    <x v="1"/>
    <x v="273"/>
    <x v="0"/>
    <x v="0"/>
    <n v="1750000"/>
    <x v="98"/>
    <x v="0"/>
  </r>
  <r>
    <x v="0"/>
    <s v="467900"/>
    <x v="1"/>
    <x v="273"/>
    <x v="0"/>
    <x v="1"/>
    <n v="1750000"/>
    <x v="98"/>
    <x v="0"/>
  </r>
  <r>
    <x v="0"/>
    <s v="467900"/>
    <x v="1"/>
    <x v="1"/>
    <x v="0"/>
    <x v="0"/>
    <n v="78736500"/>
    <x v="98"/>
    <x v="0"/>
  </r>
  <r>
    <x v="0"/>
    <s v="467900"/>
    <x v="1"/>
    <x v="1"/>
    <x v="0"/>
    <x v="1"/>
    <n v="78736500"/>
    <x v="98"/>
    <x v="0"/>
  </r>
  <r>
    <x v="0"/>
    <s v="467900"/>
    <x v="1"/>
    <x v="431"/>
    <x v="0"/>
    <x v="0"/>
    <n v="27000000"/>
    <x v="98"/>
    <x v="0"/>
  </r>
  <r>
    <x v="0"/>
    <s v="467900"/>
    <x v="1"/>
    <x v="431"/>
    <x v="0"/>
    <x v="1"/>
    <n v="27000000"/>
    <x v="98"/>
    <x v="0"/>
  </r>
  <r>
    <x v="0"/>
    <s v="467900"/>
    <x v="1"/>
    <x v="432"/>
    <x v="0"/>
    <x v="0"/>
    <n v="6000000"/>
    <x v="98"/>
    <x v="0"/>
  </r>
  <r>
    <x v="0"/>
    <s v="467900"/>
    <x v="1"/>
    <x v="432"/>
    <x v="0"/>
    <x v="1"/>
    <n v="6000000"/>
    <x v="98"/>
    <x v="0"/>
  </r>
  <r>
    <x v="0"/>
    <s v="467900"/>
    <x v="1"/>
    <x v="239"/>
    <x v="0"/>
    <x v="0"/>
    <n v="420000"/>
    <x v="98"/>
    <x v="0"/>
  </r>
  <r>
    <x v="0"/>
    <s v="467900"/>
    <x v="1"/>
    <x v="239"/>
    <x v="0"/>
    <x v="1"/>
    <n v="420000"/>
    <x v="98"/>
    <x v="0"/>
  </r>
  <r>
    <x v="0"/>
    <s v="467900"/>
    <x v="1"/>
    <x v="433"/>
    <x v="0"/>
    <x v="0"/>
    <n v="27000000"/>
    <x v="98"/>
    <x v="0"/>
  </r>
  <r>
    <x v="0"/>
    <s v="467900"/>
    <x v="1"/>
    <x v="433"/>
    <x v="0"/>
    <x v="1"/>
    <n v="27000000"/>
    <x v="98"/>
    <x v="0"/>
  </r>
  <r>
    <x v="0"/>
    <s v="467900"/>
    <x v="1"/>
    <x v="429"/>
    <x v="0"/>
    <x v="0"/>
    <n v="6900000"/>
    <x v="98"/>
    <x v="0"/>
  </r>
  <r>
    <x v="0"/>
    <s v="467900"/>
    <x v="1"/>
    <x v="429"/>
    <x v="0"/>
    <x v="1"/>
    <n v="6900000"/>
    <x v="98"/>
    <x v="0"/>
  </r>
  <r>
    <x v="0"/>
    <s v="467900"/>
    <x v="1"/>
    <x v="430"/>
    <x v="0"/>
    <x v="0"/>
    <n v="6031500"/>
    <x v="98"/>
    <x v="0"/>
  </r>
  <r>
    <x v="0"/>
    <s v="467900"/>
    <x v="1"/>
    <x v="430"/>
    <x v="0"/>
    <x v="1"/>
    <n v="6031500"/>
    <x v="98"/>
    <x v="0"/>
  </r>
  <r>
    <x v="0"/>
    <s v="467900"/>
    <x v="1"/>
    <x v="94"/>
    <x v="0"/>
    <x v="0"/>
    <n v="67996500"/>
    <x v="98"/>
    <x v="0"/>
  </r>
  <r>
    <x v="0"/>
    <s v="467900"/>
    <x v="1"/>
    <x v="94"/>
    <x v="0"/>
    <x v="1"/>
    <n v="67996500"/>
    <x v="98"/>
    <x v="0"/>
  </r>
  <r>
    <x v="0"/>
    <s v="467900"/>
    <x v="1"/>
    <x v="3"/>
    <x v="0"/>
    <x v="0"/>
    <n v="1200000"/>
    <x v="98"/>
    <x v="0"/>
  </r>
  <r>
    <x v="0"/>
    <s v="467900"/>
    <x v="1"/>
    <x v="3"/>
    <x v="0"/>
    <x v="1"/>
    <n v="1200000"/>
    <x v="98"/>
    <x v="0"/>
  </r>
  <r>
    <x v="0"/>
    <s v="467900"/>
    <x v="1"/>
    <x v="114"/>
    <x v="0"/>
    <x v="0"/>
    <n v="8520000"/>
    <x v="98"/>
    <x v="0"/>
  </r>
  <r>
    <x v="0"/>
    <s v="467900"/>
    <x v="1"/>
    <x v="114"/>
    <x v="0"/>
    <x v="1"/>
    <n v="8520000"/>
    <x v="98"/>
    <x v="0"/>
  </r>
  <r>
    <x v="0"/>
    <s v="468"/>
    <x v="0"/>
    <x v="0"/>
    <x v="0"/>
    <x v="0"/>
    <n v="3483000"/>
    <x v="99"/>
    <x v="0"/>
  </r>
  <r>
    <x v="0"/>
    <s v="468"/>
    <x v="0"/>
    <x v="0"/>
    <x v="0"/>
    <x v="1"/>
    <n v="4308000"/>
    <x v="99"/>
    <x v="0"/>
  </r>
  <r>
    <x v="0"/>
    <s v="468"/>
    <x v="0"/>
    <x v="119"/>
    <x v="0"/>
    <x v="0"/>
    <n v="449000"/>
    <x v="99"/>
    <x v="0"/>
  </r>
  <r>
    <x v="0"/>
    <s v="468"/>
    <x v="0"/>
    <x v="119"/>
    <x v="0"/>
    <x v="1"/>
    <n v="449000"/>
    <x v="99"/>
    <x v="0"/>
  </r>
  <r>
    <x v="0"/>
    <s v="471"/>
    <x v="0"/>
    <x v="0"/>
    <x v="0"/>
    <x v="0"/>
    <n v="16459000"/>
    <x v="100"/>
    <x v="0"/>
  </r>
  <r>
    <x v="0"/>
    <s v="471"/>
    <x v="0"/>
    <x v="0"/>
    <x v="0"/>
    <x v="1"/>
    <n v="20692000"/>
    <x v="100"/>
    <x v="0"/>
  </r>
  <r>
    <x v="0"/>
    <s v="471"/>
    <x v="0"/>
    <x v="27"/>
    <x v="1"/>
    <x v="0"/>
    <n v="941000"/>
    <x v="100"/>
    <x v="0"/>
  </r>
  <r>
    <x v="0"/>
    <s v="471"/>
    <x v="0"/>
    <x v="27"/>
    <x v="1"/>
    <x v="1"/>
    <n v="1541000"/>
    <x v="100"/>
    <x v="0"/>
  </r>
  <r>
    <x v="0"/>
    <s v="471"/>
    <x v="0"/>
    <x v="78"/>
    <x v="0"/>
    <x v="0"/>
    <n v="4989000"/>
    <x v="100"/>
    <x v="0"/>
  </r>
  <r>
    <x v="0"/>
    <s v="471"/>
    <x v="0"/>
    <x v="78"/>
    <x v="0"/>
    <x v="1"/>
    <n v="5343000"/>
    <x v="100"/>
    <x v="0"/>
  </r>
  <r>
    <x v="0"/>
    <s v="471"/>
    <x v="0"/>
    <x v="39"/>
    <x v="0"/>
    <x v="0"/>
    <n v="555000"/>
    <x v="100"/>
    <x v="0"/>
  </r>
  <r>
    <x v="0"/>
    <s v="471"/>
    <x v="0"/>
    <x v="39"/>
    <x v="0"/>
    <x v="1"/>
    <n v="555000"/>
    <x v="100"/>
    <x v="0"/>
  </r>
  <r>
    <x v="0"/>
    <s v="471"/>
    <x v="0"/>
    <x v="119"/>
    <x v="0"/>
    <x v="0"/>
    <n v="250000"/>
    <x v="100"/>
    <x v="0"/>
  </r>
  <r>
    <x v="0"/>
    <s v="471"/>
    <x v="0"/>
    <x v="59"/>
    <x v="0"/>
    <x v="0"/>
    <n v="5300000"/>
    <x v="100"/>
    <x v="0"/>
  </r>
  <r>
    <x v="0"/>
    <s v="471"/>
    <x v="0"/>
    <x v="94"/>
    <x v="0"/>
    <x v="0"/>
    <n v="9417000"/>
    <x v="100"/>
    <x v="0"/>
  </r>
  <r>
    <x v="0"/>
    <s v="471"/>
    <x v="0"/>
    <x v="94"/>
    <x v="0"/>
    <x v="1"/>
    <n v="10606000"/>
    <x v="100"/>
    <x v="0"/>
  </r>
  <r>
    <x v="0"/>
    <s v="471900"/>
    <x v="1"/>
    <x v="1"/>
    <x v="0"/>
    <x v="0"/>
    <n v="13730500"/>
    <x v="100"/>
    <x v="0"/>
  </r>
  <r>
    <x v="0"/>
    <s v="471900"/>
    <x v="1"/>
    <x v="1"/>
    <x v="0"/>
    <x v="1"/>
    <n v="13730500"/>
    <x v="100"/>
    <x v="0"/>
  </r>
  <r>
    <x v="0"/>
    <s v="471900"/>
    <x v="1"/>
    <x v="59"/>
    <x v="0"/>
    <x v="0"/>
    <n v="12450000"/>
    <x v="100"/>
    <x v="0"/>
  </r>
  <r>
    <x v="0"/>
    <s v="471900"/>
    <x v="1"/>
    <x v="59"/>
    <x v="0"/>
    <x v="1"/>
    <n v="12450000"/>
    <x v="100"/>
    <x v="0"/>
  </r>
  <r>
    <x v="0"/>
    <s v="471900"/>
    <x v="1"/>
    <x v="94"/>
    <x v="0"/>
    <x v="0"/>
    <n v="18000000"/>
    <x v="100"/>
    <x v="0"/>
  </r>
  <r>
    <x v="0"/>
    <s v="471900"/>
    <x v="1"/>
    <x v="94"/>
    <x v="0"/>
    <x v="1"/>
    <n v="18000000"/>
    <x v="100"/>
    <x v="0"/>
  </r>
  <r>
    <x v="0"/>
    <s v="471900"/>
    <x v="1"/>
    <x v="434"/>
    <x v="0"/>
    <x v="0"/>
    <n v="50000"/>
    <x v="100"/>
    <x v="0"/>
  </r>
  <r>
    <x v="0"/>
    <s v="471900"/>
    <x v="1"/>
    <x v="434"/>
    <x v="0"/>
    <x v="1"/>
    <n v="50000"/>
    <x v="100"/>
    <x v="0"/>
  </r>
  <r>
    <x v="0"/>
    <s v="477"/>
    <x v="0"/>
    <x v="0"/>
    <x v="0"/>
    <x v="0"/>
    <n v="162299000"/>
    <x v="101"/>
    <x v="0"/>
  </r>
  <r>
    <x v="0"/>
    <s v="477"/>
    <x v="0"/>
    <x v="0"/>
    <x v="0"/>
    <x v="1"/>
    <n v="183753000"/>
    <x v="101"/>
    <x v="0"/>
  </r>
  <r>
    <x v="0"/>
    <s v="477"/>
    <x v="0"/>
    <x v="27"/>
    <x v="1"/>
    <x v="0"/>
    <n v="69758000"/>
    <x v="101"/>
    <x v="0"/>
  </r>
  <r>
    <x v="0"/>
    <s v="477"/>
    <x v="0"/>
    <x v="27"/>
    <x v="1"/>
    <x v="1"/>
    <n v="90253000"/>
    <x v="101"/>
    <x v="0"/>
  </r>
  <r>
    <x v="0"/>
    <s v="477"/>
    <x v="0"/>
    <x v="28"/>
    <x v="3"/>
    <x v="0"/>
    <n v="35218000"/>
    <x v="101"/>
    <x v="0"/>
  </r>
  <r>
    <x v="0"/>
    <s v="477"/>
    <x v="0"/>
    <x v="28"/>
    <x v="3"/>
    <x v="1"/>
    <n v="34802000"/>
    <x v="101"/>
    <x v="0"/>
  </r>
  <r>
    <x v="0"/>
    <s v="477"/>
    <x v="0"/>
    <x v="420"/>
    <x v="0"/>
    <x v="0"/>
    <n v="353000"/>
    <x v="101"/>
    <x v="0"/>
  </r>
  <r>
    <x v="0"/>
    <s v="477"/>
    <x v="0"/>
    <x v="420"/>
    <x v="0"/>
    <x v="1"/>
    <n v="343000"/>
    <x v="101"/>
    <x v="0"/>
  </r>
  <r>
    <x v="0"/>
    <s v="477"/>
    <x v="0"/>
    <x v="273"/>
    <x v="0"/>
    <x v="0"/>
    <n v="6893000"/>
    <x v="101"/>
    <x v="0"/>
  </r>
  <r>
    <x v="0"/>
    <s v="477"/>
    <x v="0"/>
    <x v="273"/>
    <x v="0"/>
    <x v="1"/>
    <n v="7231000"/>
    <x v="101"/>
    <x v="0"/>
  </r>
  <r>
    <x v="0"/>
    <s v="477"/>
    <x v="0"/>
    <x v="435"/>
    <x v="0"/>
    <x v="0"/>
    <n v="2018000"/>
    <x v="101"/>
    <x v="0"/>
  </r>
  <r>
    <x v="0"/>
    <s v="477"/>
    <x v="0"/>
    <x v="435"/>
    <x v="0"/>
    <x v="1"/>
    <n v="1738000"/>
    <x v="101"/>
    <x v="0"/>
  </r>
  <r>
    <x v="0"/>
    <s v="477"/>
    <x v="0"/>
    <x v="436"/>
    <x v="0"/>
    <x v="0"/>
    <n v="1500000"/>
    <x v="101"/>
    <x v="0"/>
  </r>
  <r>
    <x v="0"/>
    <s v="477"/>
    <x v="0"/>
    <x v="436"/>
    <x v="0"/>
    <x v="1"/>
    <n v="1500000"/>
    <x v="101"/>
    <x v="0"/>
  </r>
  <r>
    <x v="0"/>
    <s v="477"/>
    <x v="0"/>
    <x v="437"/>
    <x v="0"/>
    <x v="0"/>
    <n v="1541000"/>
    <x v="101"/>
    <x v="0"/>
  </r>
  <r>
    <x v="0"/>
    <s v="477"/>
    <x v="0"/>
    <x v="437"/>
    <x v="0"/>
    <x v="1"/>
    <n v="1547000"/>
    <x v="101"/>
    <x v="0"/>
  </r>
  <r>
    <x v="0"/>
    <s v="477"/>
    <x v="0"/>
    <x v="438"/>
    <x v="2"/>
    <x v="0"/>
    <n v="215000"/>
    <x v="101"/>
    <x v="0"/>
  </r>
  <r>
    <x v="0"/>
    <s v="477"/>
    <x v="0"/>
    <x v="438"/>
    <x v="2"/>
    <x v="1"/>
    <n v="215000"/>
    <x v="101"/>
    <x v="0"/>
  </r>
  <r>
    <x v="0"/>
    <s v="477"/>
    <x v="0"/>
    <x v="439"/>
    <x v="0"/>
    <x v="0"/>
    <n v="251000"/>
    <x v="101"/>
    <x v="0"/>
  </r>
  <r>
    <x v="0"/>
    <s v="477"/>
    <x v="0"/>
    <x v="439"/>
    <x v="0"/>
    <x v="1"/>
    <n v="424000"/>
    <x v="101"/>
    <x v="0"/>
  </r>
  <r>
    <x v="0"/>
    <s v="477"/>
    <x v="0"/>
    <x v="440"/>
    <x v="2"/>
    <x v="0"/>
    <n v="66000"/>
    <x v="101"/>
    <x v="0"/>
  </r>
  <r>
    <x v="0"/>
    <s v="477"/>
    <x v="0"/>
    <x v="440"/>
    <x v="2"/>
    <x v="1"/>
    <n v="68000"/>
    <x v="101"/>
    <x v="0"/>
  </r>
  <r>
    <x v="0"/>
    <s v="477"/>
    <x v="0"/>
    <x v="253"/>
    <x v="0"/>
    <x v="0"/>
    <n v="15737000"/>
    <x v="101"/>
    <x v="0"/>
  </r>
  <r>
    <x v="0"/>
    <s v="477"/>
    <x v="0"/>
    <x v="253"/>
    <x v="0"/>
    <x v="1"/>
    <n v="21210000"/>
    <x v="101"/>
    <x v="0"/>
  </r>
  <r>
    <x v="0"/>
    <s v="477"/>
    <x v="0"/>
    <x v="441"/>
    <x v="0"/>
    <x v="0"/>
    <n v="1480000"/>
    <x v="101"/>
    <x v="0"/>
  </r>
  <r>
    <x v="0"/>
    <s v="477"/>
    <x v="0"/>
    <x v="441"/>
    <x v="0"/>
    <x v="1"/>
    <n v="1445000"/>
    <x v="101"/>
    <x v="0"/>
  </r>
  <r>
    <x v="0"/>
    <s v="477"/>
    <x v="0"/>
    <x v="442"/>
    <x v="1"/>
    <x v="0"/>
    <n v="266000"/>
    <x v="101"/>
    <x v="0"/>
  </r>
  <r>
    <x v="0"/>
    <s v="477"/>
    <x v="0"/>
    <x v="442"/>
    <x v="1"/>
    <x v="1"/>
    <n v="265000"/>
    <x v="101"/>
    <x v="0"/>
  </r>
  <r>
    <x v="0"/>
    <s v="477"/>
    <x v="0"/>
    <x v="443"/>
    <x v="3"/>
    <x v="0"/>
    <n v="1743000"/>
    <x v="101"/>
    <x v="0"/>
  </r>
  <r>
    <x v="0"/>
    <s v="477"/>
    <x v="0"/>
    <x v="443"/>
    <x v="3"/>
    <x v="1"/>
    <n v="2099000"/>
    <x v="101"/>
    <x v="0"/>
  </r>
  <r>
    <x v="0"/>
    <s v="477"/>
    <x v="0"/>
    <x v="444"/>
    <x v="2"/>
    <x v="0"/>
    <n v="267000"/>
    <x v="101"/>
    <x v="0"/>
  </r>
  <r>
    <x v="0"/>
    <s v="477"/>
    <x v="0"/>
    <x v="444"/>
    <x v="2"/>
    <x v="1"/>
    <n v="258000"/>
    <x v="101"/>
    <x v="0"/>
  </r>
  <r>
    <x v="0"/>
    <s v="477"/>
    <x v="0"/>
    <x v="445"/>
    <x v="0"/>
    <x v="0"/>
    <n v="331000"/>
    <x v="101"/>
    <x v="0"/>
  </r>
  <r>
    <x v="0"/>
    <s v="477"/>
    <x v="0"/>
    <x v="445"/>
    <x v="0"/>
    <x v="1"/>
    <n v="330000"/>
    <x v="101"/>
    <x v="0"/>
  </r>
  <r>
    <x v="0"/>
    <s v="477"/>
    <x v="0"/>
    <x v="446"/>
    <x v="0"/>
    <x v="0"/>
    <n v="5000"/>
    <x v="101"/>
    <x v="0"/>
  </r>
  <r>
    <x v="0"/>
    <s v="477"/>
    <x v="0"/>
    <x v="446"/>
    <x v="0"/>
    <x v="1"/>
    <n v="5000"/>
    <x v="101"/>
    <x v="0"/>
  </r>
  <r>
    <x v="0"/>
    <s v="477"/>
    <x v="0"/>
    <x v="447"/>
    <x v="2"/>
    <x v="0"/>
    <n v="50000"/>
    <x v="101"/>
    <x v="0"/>
  </r>
  <r>
    <x v="0"/>
    <s v="477"/>
    <x v="0"/>
    <x v="447"/>
    <x v="2"/>
    <x v="1"/>
    <n v="50000"/>
    <x v="101"/>
    <x v="0"/>
  </r>
  <r>
    <x v="0"/>
    <s v="477"/>
    <x v="0"/>
    <x v="448"/>
    <x v="1"/>
    <x v="0"/>
    <n v="2377000"/>
    <x v="101"/>
    <x v="0"/>
  </r>
  <r>
    <x v="0"/>
    <s v="477"/>
    <x v="0"/>
    <x v="448"/>
    <x v="1"/>
    <x v="1"/>
    <n v="2624000"/>
    <x v="101"/>
    <x v="0"/>
  </r>
  <r>
    <x v="0"/>
    <s v="477"/>
    <x v="0"/>
    <x v="449"/>
    <x v="2"/>
    <x v="0"/>
    <n v="1232000"/>
    <x v="101"/>
    <x v="0"/>
  </r>
  <r>
    <x v="0"/>
    <s v="477"/>
    <x v="0"/>
    <x v="449"/>
    <x v="2"/>
    <x v="1"/>
    <n v="1045000"/>
    <x v="101"/>
    <x v="0"/>
  </r>
  <r>
    <x v="0"/>
    <s v="477"/>
    <x v="0"/>
    <x v="265"/>
    <x v="0"/>
    <x v="0"/>
    <n v="580000"/>
    <x v="101"/>
    <x v="0"/>
  </r>
  <r>
    <x v="0"/>
    <s v="477"/>
    <x v="0"/>
    <x v="265"/>
    <x v="0"/>
    <x v="1"/>
    <n v="704000"/>
    <x v="101"/>
    <x v="0"/>
  </r>
  <r>
    <x v="0"/>
    <s v="477"/>
    <x v="0"/>
    <x v="450"/>
    <x v="0"/>
    <x v="0"/>
    <n v="523000"/>
    <x v="101"/>
    <x v="0"/>
  </r>
  <r>
    <x v="0"/>
    <s v="477"/>
    <x v="0"/>
    <x v="450"/>
    <x v="0"/>
    <x v="1"/>
    <n v="634000"/>
    <x v="101"/>
    <x v="0"/>
  </r>
  <r>
    <x v="0"/>
    <s v="477"/>
    <x v="0"/>
    <x v="451"/>
    <x v="2"/>
    <x v="0"/>
    <n v="50000"/>
    <x v="101"/>
    <x v="0"/>
  </r>
  <r>
    <x v="0"/>
    <s v="477"/>
    <x v="0"/>
    <x v="451"/>
    <x v="2"/>
    <x v="1"/>
    <n v="50000"/>
    <x v="101"/>
    <x v="0"/>
  </r>
  <r>
    <x v="0"/>
    <s v="477"/>
    <x v="0"/>
    <x v="39"/>
    <x v="0"/>
    <x v="0"/>
    <n v="3881000"/>
    <x v="101"/>
    <x v="0"/>
  </r>
  <r>
    <x v="0"/>
    <s v="477"/>
    <x v="0"/>
    <x v="39"/>
    <x v="0"/>
    <x v="1"/>
    <n v="3843000"/>
    <x v="101"/>
    <x v="0"/>
  </r>
  <r>
    <x v="0"/>
    <s v="477"/>
    <x v="0"/>
    <x v="452"/>
    <x v="0"/>
    <x v="0"/>
    <n v="41715000"/>
    <x v="101"/>
    <x v="0"/>
  </r>
  <r>
    <x v="0"/>
    <s v="477"/>
    <x v="0"/>
    <x v="452"/>
    <x v="0"/>
    <x v="1"/>
    <n v="42260000"/>
    <x v="101"/>
    <x v="0"/>
  </r>
  <r>
    <x v="0"/>
    <s v="477"/>
    <x v="0"/>
    <x v="453"/>
    <x v="2"/>
    <x v="0"/>
    <n v="50000"/>
    <x v="101"/>
    <x v="0"/>
  </r>
  <r>
    <x v="0"/>
    <s v="477"/>
    <x v="0"/>
    <x v="453"/>
    <x v="2"/>
    <x v="1"/>
    <n v="49000"/>
    <x v="101"/>
    <x v="0"/>
  </r>
  <r>
    <x v="0"/>
    <s v="477"/>
    <x v="0"/>
    <x v="454"/>
    <x v="0"/>
    <x v="0"/>
    <n v="2000000"/>
    <x v="101"/>
    <x v="0"/>
  </r>
  <r>
    <x v="0"/>
    <s v="477"/>
    <x v="0"/>
    <x v="454"/>
    <x v="0"/>
    <x v="1"/>
    <n v="2000000"/>
    <x v="101"/>
    <x v="0"/>
  </r>
  <r>
    <x v="0"/>
    <s v="477"/>
    <x v="0"/>
    <x v="59"/>
    <x v="0"/>
    <x v="0"/>
    <n v="1761000"/>
    <x v="101"/>
    <x v="0"/>
  </r>
  <r>
    <x v="0"/>
    <s v="477"/>
    <x v="0"/>
    <x v="59"/>
    <x v="0"/>
    <x v="1"/>
    <n v="1637000"/>
    <x v="101"/>
    <x v="0"/>
  </r>
  <r>
    <x v="0"/>
    <s v="477"/>
    <x v="0"/>
    <x v="94"/>
    <x v="0"/>
    <x v="0"/>
    <n v="2050000"/>
    <x v="101"/>
    <x v="0"/>
  </r>
  <r>
    <x v="0"/>
    <s v="477"/>
    <x v="0"/>
    <x v="94"/>
    <x v="0"/>
    <x v="1"/>
    <n v="3698000"/>
    <x v="101"/>
    <x v="0"/>
  </r>
  <r>
    <x v="0"/>
    <s v="477"/>
    <x v="0"/>
    <x v="455"/>
    <x v="2"/>
    <x v="0"/>
    <n v="24000"/>
    <x v="101"/>
    <x v="0"/>
  </r>
  <r>
    <x v="0"/>
    <s v="477"/>
    <x v="0"/>
    <x v="455"/>
    <x v="2"/>
    <x v="1"/>
    <n v="18000"/>
    <x v="101"/>
    <x v="0"/>
  </r>
  <r>
    <x v="0"/>
    <s v="477"/>
    <x v="0"/>
    <x v="456"/>
    <x v="2"/>
    <x v="0"/>
    <n v="947000"/>
    <x v="101"/>
    <x v="0"/>
  </r>
  <r>
    <x v="0"/>
    <s v="477"/>
    <x v="0"/>
    <x v="456"/>
    <x v="2"/>
    <x v="1"/>
    <n v="949000"/>
    <x v="101"/>
    <x v="0"/>
  </r>
  <r>
    <x v="0"/>
    <s v="477"/>
    <x v="0"/>
    <x v="457"/>
    <x v="0"/>
    <x v="0"/>
    <n v="423000"/>
    <x v="101"/>
    <x v="0"/>
  </r>
  <r>
    <x v="0"/>
    <s v="477"/>
    <x v="0"/>
    <x v="457"/>
    <x v="0"/>
    <x v="1"/>
    <n v="101000"/>
    <x v="101"/>
    <x v="0"/>
  </r>
  <r>
    <x v="0"/>
    <s v="477900"/>
    <x v="1"/>
    <x v="27"/>
    <x v="1"/>
    <x v="0"/>
    <n v="32822000"/>
    <x v="101"/>
    <x v="0"/>
  </r>
  <r>
    <x v="0"/>
    <s v="477900"/>
    <x v="1"/>
    <x v="27"/>
    <x v="1"/>
    <x v="1"/>
    <n v="32822000"/>
    <x v="101"/>
    <x v="0"/>
  </r>
  <r>
    <x v="0"/>
    <s v="477900"/>
    <x v="1"/>
    <x v="28"/>
    <x v="3"/>
    <x v="0"/>
    <n v="500000"/>
    <x v="101"/>
    <x v="0"/>
  </r>
  <r>
    <x v="0"/>
    <s v="477900"/>
    <x v="1"/>
    <x v="28"/>
    <x v="3"/>
    <x v="1"/>
    <n v="500000"/>
    <x v="101"/>
    <x v="0"/>
  </r>
  <r>
    <x v="0"/>
    <s v="477900"/>
    <x v="1"/>
    <x v="1"/>
    <x v="0"/>
    <x v="0"/>
    <n v="39762500"/>
    <x v="101"/>
    <x v="0"/>
  </r>
  <r>
    <x v="0"/>
    <s v="477900"/>
    <x v="1"/>
    <x v="1"/>
    <x v="0"/>
    <x v="1"/>
    <n v="39762500"/>
    <x v="101"/>
    <x v="0"/>
  </r>
  <r>
    <x v="0"/>
    <s v="477900"/>
    <x v="1"/>
    <x v="253"/>
    <x v="0"/>
    <x v="0"/>
    <n v="300000"/>
    <x v="101"/>
    <x v="0"/>
  </r>
  <r>
    <x v="0"/>
    <s v="477900"/>
    <x v="1"/>
    <x v="253"/>
    <x v="0"/>
    <x v="1"/>
    <n v="300000"/>
    <x v="101"/>
    <x v="0"/>
  </r>
  <r>
    <x v="0"/>
    <s v="477900"/>
    <x v="1"/>
    <x v="442"/>
    <x v="1"/>
    <x v="0"/>
    <n v="500000"/>
    <x v="101"/>
    <x v="0"/>
  </r>
  <r>
    <x v="0"/>
    <s v="477900"/>
    <x v="1"/>
    <x v="442"/>
    <x v="1"/>
    <x v="1"/>
    <n v="500000"/>
    <x v="101"/>
    <x v="0"/>
  </r>
  <r>
    <x v="0"/>
    <s v="477900"/>
    <x v="1"/>
    <x v="443"/>
    <x v="3"/>
    <x v="0"/>
    <n v="500000"/>
    <x v="101"/>
    <x v="0"/>
  </r>
  <r>
    <x v="0"/>
    <s v="477900"/>
    <x v="1"/>
    <x v="443"/>
    <x v="3"/>
    <x v="1"/>
    <n v="500000"/>
    <x v="101"/>
    <x v="0"/>
  </r>
  <r>
    <x v="0"/>
    <s v="477900"/>
    <x v="1"/>
    <x v="111"/>
    <x v="0"/>
    <x v="0"/>
    <n v="4323500"/>
    <x v="101"/>
    <x v="0"/>
  </r>
  <r>
    <x v="0"/>
    <s v="477900"/>
    <x v="1"/>
    <x v="111"/>
    <x v="0"/>
    <x v="1"/>
    <n v="4323500"/>
    <x v="101"/>
    <x v="0"/>
  </r>
  <r>
    <x v="0"/>
    <s v="477900"/>
    <x v="1"/>
    <x v="452"/>
    <x v="0"/>
    <x v="0"/>
    <n v="250000"/>
    <x v="101"/>
    <x v="0"/>
  </r>
  <r>
    <x v="0"/>
    <s v="477900"/>
    <x v="1"/>
    <x v="452"/>
    <x v="0"/>
    <x v="1"/>
    <n v="250000"/>
    <x v="101"/>
    <x v="0"/>
  </r>
  <r>
    <x v="0"/>
    <s v="477900"/>
    <x v="1"/>
    <x v="3"/>
    <x v="0"/>
    <x v="0"/>
    <n v="1741500"/>
    <x v="101"/>
    <x v="0"/>
  </r>
  <r>
    <x v="0"/>
    <s v="477900"/>
    <x v="1"/>
    <x v="3"/>
    <x v="0"/>
    <x v="1"/>
    <n v="1741500"/>
    <x v="101"/>
    <x v="0"/>
  </r>
  <r>
    <x v="0"/>
    <s v="478"/>
    <x v="0"/>
    <x v="0"/>
    <x v="0"/>
    <x v="0"/>
    <n v="9217000"/>
    <x v="102"/>
    <x v="0"/>
  </r>
  <r>
    <x v="0"/>
    <s v="478"/>
    <x v="0"/>
    <x v="0"/>
    <x v="0"/>
    <x v="1"/>
    <n v="9288000"/>
    <x v="102"/>
    <x v="0"/>
  </r>
  <r>
    <x v="0"/>
    <s v="478"/>
    <x v="0"/>
    <x v="27"/>
    <x v="1"/>
    <x v="0"/>
    <n v="17483000"/>
    <x v="102"/>
    <x v="0"/>
  </r>
  <r>
    <x v="0"/>
    <s v="478"/>
    <x v="0"/>
    <x v="27"/>
    <x v="1"/>
    <x v="1"/>
    <n v="14560000"/>
    <x v="102"/>
    <x v="0"/>
  </r>
  <r>
    <x v="0"/>
    <s v="478"/>
    <x v="0"/>
    <x v="273"/>
    <x v="0"/>
    <x v="0"/>
    <n v="752000"/>
    <x v="102"/>
    <x v="0"/>
  </r>
  <r>
    <x v="0"/>
    <s v="478"/>
    <x v="0"/>
    <x v="273"/>
    <x v="0"/>
    <x v="1"/>
    <n v="752000"/>
    <x v="102"/>
    <x v="0"/>
  </r>
  <r>
    <x v="0"/>
    <s v="478"/>
    <x v="0"/>
    <x v="39"/>
    <x v="0"/>
    <x v="0"/>
    <n v="675000"/>
    <x v="102"/>
    <x v="0"/>
  </r>
  <r>
    <x v="0"/>
    <s v="478"/>
    <x v="0"/>
    <x v="39"/>
    <x v="0"/>
    <x v="1"/>
    <n v="676000"/>
    <x v="102"/>
    <x v="0"/>
  </r>
  <r>
    <x v="0"/>
    <s v="490"/>
    <x v="0"/>
    <x v="0"/>
    <x v="0"/>
    <x v="0"/>
    <n v="180560000"/>
    <x v="103"/>
    <x v="0"/>
  </r>
  <r>
    <x v="0"/>
    <s v="490"/>
    <x v="0"/>
    <x v="0"/>
    <x v="0"/>
    <x v="1"/>
    <n v="159163000"/>
    <x v="103"/>
    <x v="0"/>
  </r>
  <r>
    <x v="0"/>
    <s v="490"/>
    <x v="0"/>
    <x v="27"/>
    <x v="1"/>
    <x v="0"/>
    <n v="47402000"/>
    <x v="103"/>
    <x v="0"/>
  </r>
  <r>
    <x v="0"/>
    <s v="490"/>
    <x v="0"/>
    <x v="27"/>
    <x v="1"/>
    <x v="1"/>
    <n v="50749000"/>
    <x v="103"/>
    <x v="0"/>
  </r>
  <r>
    <x v="0"/>
    <s v="490"/>
    <x v="0"/>
    <x v="28"/>
    <x v="3"/>
    <x v="0"/>
    <n v="4028000"/>
    <x v="103"/>
    <x v="0"/>
  </r>
  <r>
    <x v="0"/>
    <s v="490"/>
    <x v="0"/>
    <x v="28"/>
    <x v="3"/>
    <x v="1"/>
    <n v="2026000"/>
    <x v="103"/>
    <x v="0"/>
  </r>
  <r>
    <x v="0"/>
    <s v="490"/>
    <x v="0"/>
    <x v="458"/>
    <x v="0"/>
    <x v="0"/>
    <n v="28363000"/>
    <x v="103"/>
    <x v="0"/>
  </r>
  <r>
    <x v="0"/>
    <s v="490"/>
    <x v="0"/>
    <x v="458"/>
    <x v="0"/>
    <x v="1"/>
    <n v="30237000"/>
    <x v="103"/>
    <x v="0"/>
  </r>
  <r>
    <x v="0"/>
    <s v="490"/>
    <x v="0"/>
    <x v="420"/>
    <x v="0"/>
    <x v="0"/>
    <n v="3885000"/>
    <x v="103"/>
    <x v="0"/>
  </r>
  <r>
    <x v="0"/>
    <s v="490"/>
    <x v="0"/>
    <x v="420"/>
    <x v="0"/>
    <x v="1"/>
    <n v="4110000"/>
    <x v="103"/>
    <x v="0"/>
  </r>
  <r>
    <x v="0"/>
    <s v="490"/>
    <x v="0"/>
    <x v="459"/>
    <x v="0"/>
    <x v="0"/>
    <n v="1327000"/>
    <x v="103"/>
    <x v="0"/>
  </r>
  <r>
    <x v="0"/>
    <s v="490"/>
    <x v="0"/>
    <x v="459"/>
    <x v="0"/>
    <x v="1"/>
    <n v="1054000"/>
    <x v="103"/>
    <x v="0"/>
  </r>
  <r>
    <x v="0"/>
    <s v="490"/>
    <x v="0"/>
    <x v="273"/>
    <x v="0"/>
    <x v="0"/>
    <n v="9875000"/>
    <x v="103"/>
    <x v="0"/>
  </r>
  <r>
    <x v="0"/>
    <s v="490"/>
    <x v="0"/>
    <x v="273"/>
    <x v="0"/>
    <x v="1"/>
    <n v="12058000"/>
    <x v="103"/>
    <x v="0"/>
  </r>
  <r>
    <x v="0"/>
    <s v="490"/>
    <x v="0"/>
    <x v="460"/>
    <x v="2"/>
    <x v="0"/>
    <n v="2388000"/>
    <x v="103"/>
    <x v="0"/>
  </r>
  <r>
    <x v="0"/>
    <s v="490"/>
    <x v="0"/>
    <x v="460"/>
    <x v="2"/>
    <x v="1"/>
    <n v="2388000"/>
    <x v="103"/>
    <x v="0"/>
  </r>
  <r>
    <x v="0"/>
    <s v="490"/>
    <x v="0"/>
    <x v="461"/>
    <x v="0"/>
    <x v="0"/>
    <n v="61664000"/>
    <x v="103"/>
    <x v="0"/>
  </r>
  <r>
    <x v="0"/>
    <s v="490"/>
    <x v="0"/>
    <x v="461"/>
    <x v="0"/>
    <x v="1"/>
    <n v="61633000"/>
    <x v="103"/>
    <x v="0"/>
  </r>
  <r>
    <x v="0"/>
    <s v="490"/>
    <x v="0"/>
    <x v="462"/>
    <x v="0"/>
    <x v="0"/>
    <n v="2396000"/>
    <x v="103"/>
    <x v="0"/>
  </r>
  <r>
    <x v="0"/>
    <s v="490"/>
    <x v="0"/>
    <x v="462"/>
    <x v="0"/>
    <x v="1"/>
    <n v="2321000"/>
    <x v="103"/>
    <x v="0"/>
  </r>
  <r>
    <x v="0"/>
    <s v="490"/>
    <x v="0"/>
    <x v="194"/>
    <x v="0"/>
    <x v="0"/>
    <n v="11816000"/>
    <x v="103"/>
    <x v="0"/>
  </r>
  <r>
    <x v="0"/>
    <s v="490"/>
    <x v="0"/>
    <x v="194"/>
    <x v="0"/>
    <x v="1"/>
    <n v="11826000"/>
    <x v="103"/>
    <x v="0"/>
  </r>
  <r>
    <x v="0"/>
    <s v="490"/>
    <x v="0"/>
    <x v="463"/>
    <x v="2"/>
    <x v="0"/>
    <n v="12000000"/>
    <x v="103"/>
    <x v="0"/>
  </r>
  <r>
    <x v="0"/>
    <s v="490"/>
    <x v="0"/>
    <x v="463"/>
    <x v="2"/>
    <x v="1"/>
    <n v="12000000"/>
    <x v="103"/>
    <x v="0"/>
  </r>
  <r>
    <x v="0"/>
    <s v="490"/>
    <x v="0"/>
    <x v="464"/>
    <x v="2"/>
    <x v="0"/>
    <n v="2689000"/>
    <x v="103"/>
    <x v="0"/>
  </r>
  <r>
    <x v="0"/>
    <s v="490"/>
    <x v="0"/>
    <x v="464"/>
    <x v="2"/>
    <x v="1"/>
    <n v="2754000"/>
    <x v="103"/>
    <x v="0"/>
  </r>
  <r>
    <x v="0"/>
    <s v="490"/>
    <x v="0"/>
    <x v="465"/>
    <x v="0"/>
    <x v="0"/>
    <n v="6802000"/>
    <x v="103"/>
    <x v="0"/>
  </r>
  <r>
    <x v="0"/>
    <s v="490"/>
    <x v="0"/>
    <x v="465"/>
    <x v="0"/>
    <x v="1"/>
    <n v="5885000"/>
    <x v="103"/>
    <x v="0"/>
  </r>
  <r>
    <x v="0"/>
    <s v="490"/>
    <x v="0"/>
    <x v="466"/>
    <x v="0"/>
    <x v="0"/>
    <n v="21143000"/>
    <x v="103"/>
    <x v="0"/>
  </r>
  <r>
    <x v="0"/>
    <s v="490"/>
    <x v="0"/>
    <x v="467"/>
    <x v="0"/>
    <x v="0"/>
    <n v="387000"/>
    <x v="103"/>
    <x v="0"/>
  </r>
  <r>
    <x v="0"/>
    <s v="490"/>
    <x v="0"/>
    <x v="467"/>
    <x v="0"/>
    <x v="1"/>
    <n v="18000"/>
    <x v="103"/>
    <x v="0"/>
  </r>
  <r>
    <x v="0"/>
    <s v="490"/>
    <x v="0"/>
    <x v="468"/>
    <x v="0"/>
    <x v="0"/>
    <n v="88000"/>
    <x v="103"/>
    <x v="0"/>
  </r>
  <r>
    <x v="0"/>
    <s v="490"/>
    <x v="0"/>
    <x v="468"/>
    <x v="0"/>
    <x v="1"/>
    <n v="124000"/>
    <x v="103"/>
    <x v="0"/>
  </r>
  <r>
    <x v="0"/>
    <s v="490"/>
    <x v="0"/>
    <x v="469"/>
    <x v="0"/>
    <x v="0"/>
    <n v="44000"/>
    <x v="103"/>
    <x v="0"/>
  </r>
  <r>
    <x v="0"/>
    <s v="490"/>
    <x v="0"/>
    <x v="469"/>
    <x v="0"/>
    <x v="1"/>
    <n v="44000"/>
    <x v="103"/>
    <x v="0"/>
  </r>
  <r>
    <x v="0"/>
    <s v="490"/>
    <x v="0"/>
    <x v="470"/>
    <x v="2"/>
    <x v="0"/>
    <n v="14311000"/>
    <x v="103"/>
    <x v="0"/>
  </r>
  <r>
    <x v="0"/>
    <s v="490"/>
    <x v="0"/>
    <x v="470"/>
    <x v="2"/>
    <x v="1"/>
    <n v="14483000"/>
    <x v="103"/>
    <x v="0"/>
  </r>
  <r>
    <x v="0"/>
    <s v="490"/>
    <x v="0"/>
    <x v="471"/>
    <x v="0"/>
    <x v="0"/>
    <n v="17000"/>
    <x v="103"/>
    <x v="0"/>
  </r>
  <r>
    <x v="0"/>
    <s v="490"/>
    <x v="0"/>
    <x v="471"/>
    <x v="0"/>
    <x v="1"/>
    <n v="17000"/>
    <x v="103"/>
    <x v="0"/>
  </r>
  <r>
    <x v="0"/>
    <s v="490"/>
    <x v="0"/>
    <x v="472"/>
    <x v="2"/>
    <x v="0"/>
    <n v="5233000"/>
    <x v="103"/>
    <x v="0"/>
  </r>
  <r>
    <x v="0"/>
    <s v="490"/>
    <x v="0"/>
    <x v="472"/>
    <x v="2"/>
    <x v="1"/>
    <n v="5296000"/>
    <x v="103"/>
    <x v="0"/>
  </r>
  <r>
    <x v="0"/>
    <s v="490"/>
    <x v="0"/>
    <x v="473"/>
    <x v="0"/>
    <x v="0"/>
    <n v="54000"/>
    <x v="103"/>
    <x v="0"/>
  </r>
  <r>
    <x v="0"/>
    <s v="490"/>
    <x v="0"/>
    <x v="473"/>
    <x v="0"/>
    <x v="1"/>
    <n v="54000"/>
    <x v="103"/>
    <x v="0"/>
  </r>
  <r>
    <x v="0"/>
    <s v="490"/>
    <x v="0"/>
    <x v="474"/>
    <x v="2"/>
    <x v="0"/>
    <n v="15818000"/>
    <x v="103"/>
    <x v="0"/>
  </r>
  <r>
    <x v="0"/>
    <s v="490"/>
    <x v="0"/>
    <x v="474"/>
    <x v="2"/>
    <x v="1"/>
    <n v="16053000"/>
    <x v="103"/>
    <x v="0"/>
  </r>
  <r>
    <x v="0"/>
    <s v="490"/>
    <x v="0"/>
    <x v="475"/>
    <x v="0"/>
    <x v="0"/>
    <n v="1093000"/>
    <x v="103"/>
    <x v="0"/>
  </r>
  <r>
    <x v="0"/>
    <s v="490"/>
    <x v="0"/>
    <x v="475"/>
    <x v="0"/>
    <x v="1"/>
    <n v="1096000"/>
    <x v="103"/>
    <x v="0"/>
  </r>
  <r>
    <x v="0"/>
    <s v="490"/>
    <x v="0"/>
    <x v="393"/>
    <x v="0"/>
    <x v="0"/>
    <n v="357000"/>
    <x v="103"/>
    <x v="0"/>
  </r>
  <r>
    <x v="0"/>
    <s v="490"/>
    <x v="0"/>
    <x v="393"/>
    <x v="0"/>
    <x v="1"/>
    <n v="565000"/>
    <x v="103"/>
    <x v="0"/>
  </r>
  <r>
    <x v="0"/>
    <s v="490"/>
    <x v="0"/>
    <x v="476"/>
    <x v="0"/>
    <x v="0"/>
    <n v="53000"/>
    <x v="103"/>
    <x v="0"/>
  </r>
  <r>
    <x v="0"/>
    <s v="490"/>
    <x v="0"/>
    <x v="476"/>
    <x v="0"/>
    <x v="1"/>
    <n v="53000"/>
    <x v="103"/>
    <x v="0"/>
  </r>
  <r>
    <x v="0"/>
    <s v="490"/>
    <x v="0"/>
    <x v="477"/>
    <x v="2"/>
    <x v="0"/>
    <n v="16877000"/>
    <x v="103"/>
    <x v="0"/>
  </r>
  <r>
    <x v="0"/>
    <s v="490"/>
    <x v="0"/>
    <x v="477"/>
    <x v="2"/>
    <x v="1"/>
    <n v="17038000"/>
    <x v="103"/>
    <x v="0"/>
  </r>
  <r>
    <x v="0"/>
    <s v="490"/>
    <x v="0"/>
    <x v="478"/>
    <x v="0"/>
    <x v="0"/>
    <n v="3000"/>
    <x v="103"/>
    <x v="0"/>
  </r>
  <r>
    <x v="0"/>
    <s v="490"/>
    <x v="0"/>
    <x v="478"/>
    <x v="0"/>
    <x v="1"/>
    <n v="3000"/>
    <x v="103"/>
    <x v="0"/>
  </r>
  <r>
    <x v="0"/>
    <s v="490"/>
    <x v="0"/>
    <x v="479"/>
    <x v="2"/>
    <x v="0"/>
    <n v="9482000"/>
    <x v="103"/>
    <x v="0"/>
  </r>
  <r>
    <x v="0"/>
    <s v="490"/>
    <x v="0"/>
    <x v="479"/>
    <x v="2"/>
    <x v="1"/>
    <n v="9678000"/>
    <x v="103"/>
    <x v="0"/>
  </r>
  <r>
    <x v="0"/>
    <s v="490"/>
    <x v="0"/>
    <x v="39"/>
    <x v="0"/>
    <x v="0"/>
    <n v="1134000"/>
    <x v="103"/>
    <x v="0"/>
  </r>
  <r>
    <x v="0"/>
    <s v="490"/>
    <x v="0"/>
    <x v="39"/>
    <x v="0"/>
    <x v="1"/>
    <n v="1640000"/>
    <x v="103"/>
    <x v="0"/>
  </r>
  <r>
    <x v="0"/>
    <s v="490"/>
    <x v="0"/>
    <x v="480"/>
    <x v="0"/>
    <x v="0"/>
    <n v="58957000"/>
    <x v="103"/>
    <x v="0"/>
  </r>
  <r>
    <x v="0"/>
    <s v="490"/>
    <x v="0"/>
    <x v="480"/>
    <x v="0"/>
    <x v="1"/>
    <n v="61320000"/>
    <x v="103"/>
    <x v="0"/>
  </r>
  <r>
    <x v="0"/>
    <s v="490"/>
    <x v="0"/>
    <x v="59"/>
    <x v="0"/>
    <x v="0"/>
    <n v="5902000"/>
    <x v="103"/>
    <x v="0"/>
  </r>
  <r>
    <x v="0"/>
    <s v="490"/>
    <x v="0"/>
    <x v="59"/>
    <x v="0"/>
    <x v="1"/>
    <n v="6780000"/>
    <x v="103"/>
    <x v="0"/>
  </r>
  <r>
    <x v="0"/>
    <s v="490"/>
    <x v="0"/>
    <x v="94"/>
    <x v="0"/>
    <x v="0"/>
    <n v="12881000"/>
    <x v="103"/>
    <x v="0"/>
  </r>
  <r>
    <x v="0"/>
    <s v="490"/>
    <x v="0"/>
    <x v="94"/>
    <x v="0"/>
    <x v="1"/>
    <n v="27283000"/>
    <x v="103"/>
    <x v="0"/>
  </r>
  <r>
    <x v="0"/>
    <s v="490"/>
    <x v="0"/>
    <x v="481"/>
    <x v="0"/>
    <x v="0"/>
    <n v="75000"/>
    <x v="103"/>
    <x v="0"/>
  </r>
  <r>
    <x v="0"/>
    <s v="490"/>
    <x v="0"/>
    <x v="481"/>
    <x v="0"/>
    <x v="1"/>
    <n v="250000"/>
    <x v="103"/>
    <x v="0"/>
  </r>
  <r>
    <x v="0"/>
    <s v="490"/>
    <x v="0"/>
    <x v="249"/>
    <x v="0"/>
    <x v="0"/>
    <n v="5276000"/>
    <x v="103"/>
    <x v="0"/>
  </r>
  <r>
    <x v="0"/>
    <s v="490"/>
    <x v="0"/>
    <x v="249"/>
    <x v="0"/>
    <x v="1"/>
    <n v="5373000"/>
    <x v="103"/>
    <x v="0"/>
  </r>
  <r>
    <x v="0"/>
    <s v="490"/>
    <x v="0"/>
    <x v="482"/>
    <x v="0"/>
    <x v="0"/>
    <n v="26000"/>
    <x v="103"/>
    <x v="0"/>
  </r>
  <r>
    <x v="0"/>
    <s v="490"/>
    <x v="0"/>
    <x v="482"/>
    <x v="0"/>
    <x v="1"/>
    <n v="26000"/>
    <x v="103"/>
    <x v="0"/>
  </r>
  <r>
    <x v="0"/>
    <s v="490"/>
    <x v="0"/>
    <x v="483"/>
    <x v="0"/>
    <x v="0"/>
    <n v="2232000"/>
    <x v="103"/>
    <x v="0"/>
  </r>
  <r>
    <x v="0"/>
    <s v="490"/>
    <x v="0"/>
    <x v="483"/>
    <x v="0"/>
    <x v="1"/>
    <n v="2200000"/>
    <x v="103"/>
    <x v="0"/>
  </r>
  <r>
    <x v="0"/>
    <s v="490"/>
    <x v="0"/>
    <x v="19"/>
    <x v="0"/>
    <x v="0"/>
    <n v="1100000"/>
    <x v="103"/>
    <x v="1"/>
  </r>
  <r>
    <x v="0"/>
    <s v="490"/>
    <x v="0"/>
    <x v="19"/>
    <x v="0"/>
    <x v="1"/>
    <n v="1100000"/>
    <x v="103"/>
    <x v="1"/>
  </r>
  <r>
    <x v="0"/>
    <s v="490900"/>
    <x v="1"/>
    <x v="27"/>
    <x v="1"/>
    <x v="0"/>
    <n v="9500000"/>
    <x v="103"/>
    <x v="0"/>
  </r>
  <r>
    <x v="0"/>
    <s v="490900"/>
    <x v="1"/>
    <x v="27"/>
    <x v="1"/>
    <x v="1"/>
    <n v="9500000"/>
    <x v="103"/>
    <x v="0"/>
  </r>
  <r>
    <x v="0"/>
    <s v="490900"/>
    <x v="1"/>
    <x v="461"/>
    <x v="0"/>
    <x v="0"/>
    <n v="2500000"/>
    <x v="103"/>
    <x v="0"/>
  </r>
  <r>
    <x v="0"/>
    <s v="490900"/>
    <x v="1"/>
    <x v="461"/>
    <x v="0"/>
    <x v="1"/>
    <n v="2500000"/>
    <x v="103"/>
    <x v="0"/>
  </r>
  <r>
    <x v="0"/>
    <s v="490900"/>
    <x v="1"/>
    <x v="484"/>
    <x v="0"/>
    <x v="0"/>
    <n v="24785500"/>
    <x v="103"/>
    <x v="0"/>
  </r>
  <r>
    <x v="0"/>
    <s v="490900"/>
    <x v="1"/>
    <x v="484"/>
    <x v="0"/>
    <x v="1"/>
    <n v="24785500"/>
    <x v="103"/>
    <x v="0"/>
  </r>
  <r>
    <x v="0"/>
    <s v="490900"/>
    <x v="1"/>
    <x v="1"/>
    <x v="0"/>
    <x v="0"/>
    <n v="33758500"/>
    <x v="103"/>
    <x v="0"/>
  </r>
  <r>
    <x v="0"/>
    <s v="490900"/>
    <x v="1"/>
    <x v="1"/>
    <x v="0"/>
    <x v="1"/>
    <n v="33758500"/>
    <x v="103"/>
    <x v="0"/>
  </r>
  <r>
    <x v="0"/>
    <s v="490900"/>
    <x v="1"/>
    <x v="239"/>
    <x v="0"/>
    <x v="0"/>
    <n v="450000"/>
    <x v="103"/>
    <x v="0"/>
  </r>
  <r>
    <x v="0"/>
    <s v="490900"/>
    <x v="1"/>
    <x v="239"/>
    <x v="0"/>
    <x v="1"/>
    <n v="450000"/>
    <x v="103"/>
    <x v="0"/>
  </r>
  <r>
    <x v="0"/>
    <s v="490900"/>
    <x v="1"/>
    <x v="111"/>
    <x v="0"/>
    <x v="0"/>
    <n v="6101500"/>
    <x v="103"/>
    <x v="0"/>
  </r>
  <r>
    <x v="0"/>
    <s v="490900"/>
    <x v="1"/>
    <x v="111"/>
    <x v="0"/>
    <x v="1"/>
    <n v="6101500"/>
    <x v="103"/>
    <x v="0"/>
  </r>
  <r>
    <x v="0"/>
    <s v="490900"/>
    <x v="1"/>
    <x v="485"/>
    <x v="0"/>
    <x v="0"/>
    <n v="500000"/>
    <x v="103"/>
    <x v="0"/>
  </r>
  <r>
    <x v="0"/>
    <s v="490900"/>
    <x v="1"/>
    <x v="485"/>
    <x v="0"/>
    <x v="1"/>
    <n v="500000"/>
    <x v="103"/>
    <x v="0"/>
  </r>
  <r>
    <x v="0"/>
    <s v="490900"/>
    <x v="1"/>
    <x v="94"/>
    <x v="0"/>
    <x v="0"/>
    <n v="81982000"/>
    <x v="103"/>
    <x v="0"/>
  </r>
  <r>
    <x v="0"/>
    <s v="490900"/>
    <x v="1"/>
    <x v="94"/>
    <x v="0"/>
    <x v="1"/>
    <n v="81982000"/>
    <x v="103"/>
    <x v="0"/>
  </r>
  <r>
    <x v="0"/>
    <s v="490900"/>
    <x v="1"/>
    <x v="486"/>
    <x v="0"/>
    <x v="0"/>
    <n v="10000000"/>
    <x v="103"/>
    <x v="0"/>
  </r>
  <r>
    <x v="0"/>
    <s v="490900"/>
    <x v="1"/>
    <x v="486"/>
    <x v="0"/>
    <x v="1"/>
    <n v="10000000"/>
    <x v="103"/>
    <x v="0"/>
  </r>
  <r>
    <x v="0"/>
    <s v="495"/>
    <x v="0"/>
    <x v="0"/>
    <x v="0"/>
    <x v="0"/>
    <n v="60747000"/>
    <x v="104"/>
    <x v="0"/>
  </r>
  <r>
    <x v="0"/>
    <s v="495"/>
    <x v="0"/>
    <x v="0"/>
    <x v="0"/>
    <x v="1"/>
    <n v="79698000"/>
    <x v="104"/>
    <x v="0"/>
  </r>
  <r>
    <x v="0"/>
    <s v="495"/>
    <x v="0"/>
    <x v="27"/>
    <x v="1"/>
    <x v="0"/>
    <n v="24315000"/>
    <x v="104"/>
    <x v="0"/>
  </r>
  <r>
    <x v="0"/>
    <s v="495"/>
    <x v="0"/>
    <x v="27"/>
    <x v="1"/>
    <x v="1"/>
    <n v="23967000"/>
    <x v="104"/>
    <x v="0"/>
  </r>
  <r>
    <x v="0"/>
    <s v="495"/>
    <x v="0"/>
    <x v="28"/>
    <x v="3"/>
    <x v="0"/>
    <n v="96000"/>
    <x v="104"/>
    <x v="0"/>
  </r>
  <r>
    <x v="0"/>
    <s v="495"/>
    <x v="0"/>
    <x v="28"/>
    <x v="3"/>
    <x v="1"/>
    <n v="97000"/>
    <x v="104"/>
    <x v="0"/>
  </r>
  <r>
    <x v="0"/>
    <s v="495"/>
    <x v="0"/>
    <x v="273"/>
    <x v="0"/>
    <x v="0"/>
    <n v="1417000"/>
    <x v="104"/>
    <x v="0"/>
  </r>
  <r>
    <x v="0"/>
    <s v="495"/>
    <x v="0"/>
    <x v="273"/>
    <x v="0"/>
    <x v="1"/>
    <n v="1446000"/>
    <x v="104"/>
    <x v="0"/>
  </r>
  <r>
    <x v="0"/>
    <s v="495"/>
    <x v="0"/>
    <x v="487"/>
    <x v="2"/>
    <x v="0"/>
    <n v="40815000"/>
    <x v="104"/>
    <x v="0"/>
  </r>
  <r>
    <x v="0"/>
    <s v="495"/>
    <x v="0"/>
    <x v="487"/>
    <x v="2"/>
    <x v="1"/>
    <n v="40713000"/>
    <x v="104"/>
    <x v="0"/>
  </r>
  <r>
    <x v="0"/>
    <s v="495"/>
    <x v="0"/>
    <x v="488"/>
    <x v="2"/>
    <x v="0"/>
    <n v="14443000"/>
    <x v="104"/>
    <x v="0"/>
  </r>
  <r>
    <x v="0"/>
    <s v="495"/>
    <x v="0"/>
    <x v="488"/>
    <x v="2"/>
    <x v="1"/>
    <n v="14332000"/>
    <x v="104"/>
    <x v="0"/>
  </r>
  <r>
    <x v="0"/>
    <s v="495"/>
    <x v="0"/>
    <x v="489"/>
    <x v="2"/>
    <x v="0"/>
    <n v="2802000"/>
    <x v="104"/>
    <x v="0"/>
  </r>
  <r>
    <x v="0"/>
    <s v="495"/>
    <x v="0"/>
    <x v="489"/>
    <x v="2"/>
    <x v="1"/>
    <n v="2802000"/>
    <x v="104"/>
    <x v="0"/>
  </r>
  <r>
    <x v="0"/>
    <s v="495"/>
    <x v="0"/>
    <x v="388"/>
    <x v="0"/>
    <x v="0"/>
    <n v="39000"/>
    <x v="104"/>
    <x v="0"/>
  </r>
  <r>
    <x v="0"/>
    <s v="495"/>
    <x v="0"/>
    <x v="388"/>
    <x v="0"/>
    <x v="1"/>
    <n v="34000"/>
    <x v="104"/>
    <x v="0"/>
  </r>
  <r>
    <x v="0"/>
    <s v="495"/>
    <x v="0"/>
    <x v="490"/>
    <x v="0"/>
    <x v="0"/>
    <n v="800000"/>
    <x v="104"/>
    <x v="0"/>
  </r>
  <r>
    <x v="0"/>
    <s v="495"/>
    <x v="0"/>
    <x v="490"/>
    <x v="0"/>
    <x v="1"/>
    <n v="800000"/>
    <x v="104"/>
    <x v="0"/>
  </r>
  <r>
    <x v="0"/>
    <s v="495"/>
    <x v="0"/>
    <x v="39"/>
    <x v="0"/>
    <x v="0"/>
    <n v="6736000"/>
    <x v="104"/>
    <x v="0"/>
  </r>
  <r>
    <x v="0"/>
    <s v="495"/>
    <x v="0"/>
    <x v="39"/>
    <x v="0"/>
    <x v="1"/>
    <n v="7086000"/>
    <x v="104"/>
    <x v="0"/>
  </r>
  <r>
    <x v="0"/>
    <s v="495"/>
    <x v="0"/>
    <x v="491"/>
    <x v="2"/>
    <x v="0"/>
    <n v="206000"/>
    <x v="104"/>
    <x v="0"/>
  </r>
  <r>
    <x v="0"/>
    <s v="495"/>
    <x v="0"/>
    <x v="491"/>
    <x v="2"/>
    <x v="1"/>
    <n v="206000"/>
    <x v="104"/>
    <x v="0"/>
  </r>
  <r>
    <x v="0"/>
    <s v="495"/>
    <x v="0"/>
    <x v="59"/>
    <x v="0"/>
    <x v="0"/>
    <n v="1978000"/>
    <x v="104"/>
    <x v="0"/>
  </r>
  <r>
    <x v="0"/>
    <s v="495"/>
    <x v="0"/>
    <x v="59"/>
    <x v="0"/>
    <x v="1"/>
    <n v="5398000"/>
    <x v="104"/>
    <x v="0"/>
  </r>
  <r>
    <x v="0"/>
    <s v="495"/>
    <x v="0"/>
    <x v="94"/>
    <x v="0"/>
    <x v="0"/>
    <n v="174000"/>
    <x v="104"/>
    <x v="0"/>
  </r>
  <r>
    <x v="0"/>
    <s v="495"/>
    <x v="0"/>
    <x v="94"/>
    <x v="0"/>
    <x v="1"/>
    <n v="87000"/>
    <x v="104"/>
    <x v="0"/>
  </r>
  <r>
    <x v="0"/>
    <s v="495"/>
    <x v="0"/>
    <x v="492"/>
    <x v="2"/>
    <x v="0"/>
    <n v="23268000"/>
    <x v="104"/>
    <x v="0"/>
  </r>
  <r>
    <x v="0"/>
    <s v="495"/>
    <x v="0"/>
    <x v="492"/>
    <x v="2"/>
    <x v="1"/>
    <n v="23264000"/>
    <x v="104"/>
    <x v="0"/>
  </r>
  <r>
    <x v="0"/>
    <s v="495"/>
    <x v="0"/>
    <x v="43"/>
    <x v="1"/>
    <x v="0"/>
    <n v="33450000"/>
    <x v="104"/>
    <x v="0"/>
  </r>
  <r>
    <x v="0"/>
    <s v="495"/>
    <x v="0"/>
    <x v="43"/>
    <x v="1"/>
    <x v="1"/>
    <n v="3425000"/>
    <x v="104"/>
    <x v="0"/>
  </r>
  <r>
    <x v="0"/>
    <s v="495"/>
    <x v="0"/>
    <x v="493"/>
    <x v="2"/>
    <x v="0"/>
    <n v="14000"/>
    <x v="104"/>
    <x v="0"/>
  </r>
  <r>
    <x v="0"/>
    <s v="495"/>
    <x v="0"/>
    <x v="493"/>
    <x v="2"/>
    <x v="1"/>
    <n v="14000"/>
    <x v="104"/>
    <x v="0"/>
  </r>
  <r>
    <x v="0"/>
    <s v="495"/>
    <x v="0"/>
    <x v="494"/>
    <x v="0"/>
    <x v="1"/>
    <n v="1000000"/>
    <x v="104"/>
    <x v="0"/>
  </r>
  <r>
    <x v="0"/>
    <s v="495"/>
    <x v="0"/>
    <x v="16"/>
    <x v="0"/>
    <x v="0"/>
    <n v="731000"/>
    <x v="104"/>
    <x v="1"/>
  </r>
  <r>
    <x v="0"/>
    <s v="495"/>
    <x v="0"/>
    <x v="16"/>
    <x v="0"/>
    <x v="1"/>
    <n v="742000"/>
    <x v="104"/>
    <x v="1"/>
  </r>
  <r>
    <x v="0"/>
    <s v="495900"/>
    <x v="1"/>
    <x v="1"/>
    <x v="0"/>
    <x v="0"/>
    <n v="4000000"/>
    <x v="104"/>
    <x v="0"/>
  </r>
  <r>
    <x v="0"/>
    <s v="495900"/>
    <x v="1"/>
    <x v="1"/>
    <x v="0"/>
    <x v="1"/>
    <n v="4000000"/>
    <x v="104"/>
    <x v="0"/>
  </r>
  <r>
    <x v="0"/>
    <s v="495900"/>
    <x v="1"/>
    <x v="59"/>
    <x v="0"/>
    <x v="0"/>
    <n v="50000"/>
    <x v="104"/>
    <x v="0"/>
  </r>
  <r>
    <x v="0"/>
    <s v="495900"/>
    <x v="1"/>
    <x v="59"/>
    <x v="0"/>
    <x v="1"/>
    <n v="50000"/>
    <x v="104"/>
    <x v="0"/>
  </r>
  <r>
    <x v="0"/>
    <s v="495900"/>
    <x v="1"/>
    <x v="94"/>
    <x v="0"/>
    <x v="0"/>
    <n v="2500000"/>
    <x v="104"/>
    <x v="0"/>
  </r>
  <r>
    <x v="0"/>
    <s v="495900"/>
    <x v="1"/>
    <x v="94"/>
    <x v="0"/>
    <x v="1"/>
    <n v="2500000"/>
    <x v="104"/>
    <x v="0"/>
  </r>
  <r>
    <x v="0"/>
    <s v="495900"/>
    <x v="1"/>
    <x v="3"/>
    <x v="0"/>
    <x v="0"/>
    <n v="100000"/>
    <x v="104"/>
    <x v="0"/>
  </r>
  <r>
    <x v="0"/>
    <s v="495900"/>
    <x v="1"/>
    <x v="3"/>
    <x v="0"/>
    <x v="1"/>
    <n v="100000"/>
    <x v="104"/>
    <x v="0"/>
  </r>
  <r>
    <x v="0"/>
    <s v="540"/>
    <x v="0"/>
    <x v="0"/>
    <x v="0"/>
    <x v="0"/>
    <n v="29354000"/>
    <x v="105"/>
    <x v="0"/>
  </r>
  <r>
    <x v="0"/>
    <s v="540"/>
    <x v="0"/>
    <x v="0"/>
    <x v="0"/>
    <x v="1"/>
    <n v="28800000"/>
    <x v="105"/>
    <x v="0"/>
  </r>
  <r>
    <x v="0"/>
    <s v="540"/>
    <x v="0"/>
    <x v="27"/>
    <x v="1"/>
    <x v="0"/>
    <n v="98336000"/>
    <x v="105"/>
    <x v="0"/>
  </r>
  <r>
    <x v="0"/>
    <s v="540"/>
    <x v="0"/>
    <x v="27"/>
    <x v="1"/>
    <x v="1"/>
    <n v="79243000"/>
    <x v="105"/>
    <x v="0"/>
  </r>
  <r>
    <x v="0"/>
    <s v="540"/>
    <x v="0"/>
    <x v="28"/>
    <x v="3"/>
    <x v="0"/>
    <n v="19224000"/>
    <x v="105"/>
    <x v="0"/>
  </r>
  <r>
    <x v="0"/>
    <s v="540"/>
    <x v="0"/>
    <x v="28"/>
    <x v="3"/>
    <x v="1"/>
    <n v="19305000"/>
    <x v="105"/>
    <x v="0"/>
  </r>
  <r>
    <x v="0"/>
    <s v="540"/>
    <x v="0"/>
    <x v="495"/>
    <x v="1"/>
    <x v="0"/>
    <n v="170945000"/>
    <x v="105"/>
    <x v="0"/>
  </r>
  <r>
    <x v="0"/>
    <s v="540"/>
    <x v="0"/>
    <x v="495"/>
    <x v="1"/>
    <x v="1"/>
    <n v="138509000"/>
    <x v="105"/>
    <x v="0"/>
  </r>
  <r>
    <x v="0"/>
    <s v="540"/>
    <x v="0"/>
    <x v="496"/>
    <x v="0"/>
    <x v="0"/>
    <n v="21713000"/>
    <x v="105"/>
    <x v="0"/>
  </r>
  <r>
    <x v="0"/>
    <s v="540"/>
    <x v="0"/>
    <x v="496"/>
    <x v="0"/>
    <x v="1"/>
    <n v="20939000"/>
    <x v="105"/>
    <x v="0"/>
  </r>
  <r>
    <x v="0"/>
    <s v="540"/>
    <x v="0"/>
    <x v="497"/>
    <x v="0"/>
    <x v="0"/>
    <n v="46100000"/>
    <x v="105"/>
    <x v="0"/>
  </r>
  <r>
    <x v="0"/>
    <s v="540"/>
    <x v="0"/>
    <x v="497"/>
    <x v="0"/>
    <x v="1"/>
    <n v="51314000"/>
    <x v="105"/>
    <x v="0"/>
  </r>
  <r>
    <x v="0"/>
    <s v="540"/>
    <x v="0"/>
    <x v="498"/>
    <x v="2"/>
    <x v="0"/>
    <n v="215000"/>
    <x v="105"/>
    <x v="0"/>
  </r>
  <r>
    <x v="0"/>
    <s v="540"/>
    <x v="0"/>
    <x v="498"/>
    <x v="2"/>
    <x v="1"/>
    <n v="217000"/>
    <x v="105"/>
    <x v="0"/>
  </r>
  <r>
    <x v="0"/>
    <s v="540"/>
    <x v="0"/>
    <x v="499"/>
    <x v="0"/>
    <x v="0"/>
    <n v="72049000"/>
    <x v="105"/>
    <x v="0"/>
  </r>
  <r>
    <x v="0"/>
    <s v="540"/>
    <x v="0"/>
    <x v="499"/>
    <x v="0"/>
    <x v="1"/>
    <n v="88156000"/>
    <x v="105"/>
    <x v="0"/>
  </r>
  <r>
    <x v="0"/>
    <s v="540"/>
    <x v="0"/>
    <x v="34"/>
    <x v="0"/>
    <x v="0"/>
    <n v="7278000"/>
    <x v="105"/>
    <x v="0"/>
  </r>
  <r>
    <x v="0"/>
    <s v="540"/>
    <x v="0"/>
    <x v="34"/>
    <x v="0"/>
    <x v="1"/>
    <n v="8279000"/>
    <x v="105"/>
    <x v="0"/>
  </r>
  <r>
    <x v="0"/>
    <s v="540"/>
    <x v="0"/>
    <x v="59"/>
    <x v="0"/>
    <x v="0"/>
    <n v="202000"/>
    <x v="105"/>
    <x v="0"/>
  </r>
  <r>
    <x v="0"/>
    <s v="540"/>
    <x v="0"/>
    <x v="59"/>
    <x v="0"/>
    <x v="1"/>
    <n v="202000"/>
    <x v="105"/>
    <x v="0"/>
  </r>
  <r>
    <x v="0"/>
    <s v="540"/>
    <x v="0"/>
    <x v="138"/>
    <x v="0"/>
    <x v="0"/>
    <n v="20961000"/>
    <x v="105"/>
    <x v="0"/>
  </r>
  <r>
    <x v="0"/>
    <s v="540"/>
    <x v="0"/>
    <x v="138"/>
    <x v="0"/>
    <x v="1"/>
    <n v="24480000"/>
    <x v="105"/>
    <x v="0"/>
  </r>
  <r>
    <x v="0"/>
    <s v="699"/>
    <x v="0"/>
    <x v="0"/>
    <x v="0"/>
    <x v="0"/>
    <n v="920130000"/>
    <x v="106"/>
    <x v="0"/>
  </r>
  <r>
    <x v="0"/>
    <s v="699"/>
    <x v="0"/>
    <x v="0"/>
    <x v="0"/>
    <x v="1"/>
    <n v="988064000"/>
    <x v="106"/>
    <x v="0"/>
  </r>
  <r>
    <x v="0"/>
    <s v="699"/>
    <x v="0"/>
    <x v="500"/>
    <x v="0"/>
    <x v="0"/>
    <n v="10684000"/>
    <x v="106"/>
    <x v="0"/>
  </r>
  <r>
    <x v="0"/>
    <s v="699"/>
    <x v="0"/>
    <x v="500"/>
    <x v="0"/>
    <x v="1"/>
    <n v="10684000"/>
    <x v="106"/>
    <x v="0"/>
  </r>
  <r>
    <x v="0"/>
    <s v="699"/>
    <x v="0"/>
    <x v="128"/>
    <x v="0"/>
    <x v="0"/>
    <n v="81633000"/>
    <x v="106"/>
    <x v="0"/>
  </r>
  <r>
    <x v="0"/>
    <s v="699"/>
    <x v="0"/>
    <x v="128"/>
    <x v="0"/>
    <x v="1"/>
    <n v="82430000"/>
    <x v="106"/>
    <x v="0"/>
  </r>
  <r>
    <x v="0"/>
    <s v="699"/>
    <x v="0"/>
    <x v="501"/>
    <x v="2"/>
    <x v="0"/>
    <n v="250000"/>
    <x v="106"/>
    <x v="0"/>
  </r>
  <r>
    <x v="0"/>
    <s v="699"/>
    <x v="0"/>
    <x v="501"/>
    <x v="2"/>
    <x v="1"/>
    <n v="250000"/>
    <x v="106"/>
    <x v="0"/>
  </r>
  <r>
    <x v="0"/>
    <s v="699"/>
    <x v="0"/>
    <x v="327"/>
    <x v="2"/>
    <x v="0"/>
    <n v="365469000"/>
    <x v="106"/>
    <x v="0"/>
  </r>
  <r>
    <x v="0"/>
    <s v="699"/>
    <x v="0"/>
    <x v="327"/>
    <x v="2"/>
    <x v="1"/>
    <n v="372186000"/>
    <x v="106"/>
    <x v="0"/>
  </r>
  <r>
    <x v="0"/>
    <s v="699"/>
    <x v="0"/>
    <x v="328"/>
    <x v="2"/>
    <x v="0"/>
    <n v="158887000"/>
    <x v="106"/>
    <x v="0"/>
  </r>
  <r>
    <x v="0"/>
    <s v="699"/>
    <x v="0"/>
    <x v="328"/>
    <x v="2"/>
    <x v="1"/>
    <n v="158936000"/>
    <x v="106"/>
    <x v="0"/>
  </r>
  <r>
    <x v="0"/>
    <s v="699"/>
    <x v="0"/>
    <x v="329"/>
    <x v="2"/>
    <x v="0"/>
    <n v="365273000"/>
    <x v="106"/>
    <x v="0"/>
  </r>
  <r>
    <x v="0"/>
    <s v="699"/>
    <x v="0"/>
    <x v="329"/>
    <x v="2"/>
    <x v="1"/>
    <n v="365529000"/>
    <x v="106"/>
    <x v="0"/>
  </r>
  <r>
    <x v="0"/>
    <s v="699"/>
    <x v="0"/>
    <x v="502"/>
    <x v="0"/>
    <x v="1"/>
    <n v="92000"/>
    <x v="106"/>
    <x v="0"/>
  </r>
  <r>
    <x v="0"/>
    <s v="699"/>
    <x v="0"/>
    <x v="34"/>
    <x v="0"/>
    <x v="0"/>
    <n v="147019000"/>
    <x v="106"/>
    <x v="0"/>
  </r>
  <r>
    <x v="0"/>
    <s v="699"/>
    <x v="0"/>
    <x v="34"/>
    <x v="0"/>
    <x v="1"/>
    <n v="157232000"/>
    <x v="106"/>
    <x v="0"/>
  </r>
  <r>
    <x v="0"/>
    <s v="699"/>
    <x v="0"/>
    <x v="59"/>
    <x v="0"/>
    <x v="1"/>
    <n v="475000"/>
    <x v="106"/>
    <x v="0"/>
  </r>
  <r>
    <x v="0"/>
    <s v="699"/>
    <x v="0"/>
    <x v="503"/>
    <x v="2"/>
    <x v="0"/>
    <n v="12179000"/>
    <x v="106"/>
    <x v="0"/>
  </r>
  <r>
    <x v="0"/>
    <s v="699"/>
    <x v="0"/>
    <x v="503"/>
    <x v="2"/>
    <x v="1"/>
    <n v="12213000"/>
    <x v="106"/>
    <x v="0"/>
  </r>
  <r>
    <x v="0"/>
    <s v="699"/>
    <x v="0"/>
    <x v="504"/>
    <x v="2"/>
    <x v="0"/>
    <n v="11353000"/>
    <x v="106"/>
    <x v="0"/>
  </r>
  <r>
    <x v="0"/>
    <s v="699"/>
    <x v="0"/>
    <x v="504"/>
    <x v="2"/>
    <x v="1"/>
    <n v="11535000"/>
    <x v="106"/>
    <x v="0"/>
  </r>
  <r>
    <x v="0"/>
    <s v="699900"/>
    <x v="1"/>
    <x v="1"/>
    <x v="0"/>
    <x v="0"/>
    <n v="210326000"/>
    <x v="106"/>
    <x v="0"/>
  </r>
  <r>
    <x v="0"/>
    <s v="699900"/>
    <x v="1"/>
    <x v="1"/>
    <x v="0"/>
    <x v="1"/>
    <n v="210326000"/>
    <x v="106"/>
    <x v="0"/>
  </r>
  <r>
    <x v="0"/>
    <s v="699900"/>
    <x v="1"/>
    <x v="500"/>
    <x v="0"/>
    <x v="0"/>
    <n v="22253500"/>
    <x v="106"/>
    <x v="0"/>
  </r>
  <r>
    <x v="0"/>
    <s v="699900"/>
    <x v="1"/>
    <x v="500"/>
    <x v="0"/>
    <x v="1"/>
    <n v="22253500"/>
    <x v="106"/>
    <x v="0"/>
  </r>
  <r>
    <x v="0"/>
    <s v="699900"/>
    <x v="1"/>
    <x v="505"/>
    <x v="2"/>
    <x v="0"/>
    <n v="750000"/>
    <x v="106"/>
    <x v="0"/>
  </r>
  <r>
    <x v="0"/>
    <s v="699900"/>
    <x v="1"/>
    <x v="505"/>
    <x v="2"/>
    <x v="1"/>
    <n v="750000"/>
    <x v="106"/>
    <x v="0"/>
  </r>
  <r>
    <x v="0"/>
    <s v="699900"/>
    <x v="1"/>
    <x v="111"/>
    <x v="0"/>
    <x v="0"/>
    <n v="1000000"/>
    <x v="106"/>
    <x v="0"/>
  </r>
  <r>
    <x v="0"/>
    <s v="699900"/>
    <x v="1"/>
    <x v="111"/>
    <x v="0"/>
    <x v="1"/>
    <n v="1000000"/>
    <x v="106"/>
    <x v="0"/>
  </r>
  <r>
    <x v="0"/>
    <s v="699900"/>
    <x v="1"/>
    <x v="59"/>
    <x v="0"/>
    <x v="0"/>
    <n v="5640500"/>
    <x v="106"/>
    <x v="0"/>
  </r>
  <r>
    <x v="0"/>
    <s v="699900"/>
    <x v="1"/>
    <x v="59"/>
    <x v="0"/>
    <x v="1"/>
    <n v="5640500"/>
    <x v="106"/>
    <x v="0"/>
  </r>
  <r>
    <x v="0"/>
    <s v="707"/>
    <x v="0"/>
    <x v="0"/>
    <x v="0"/>
    <x v="0"/>
    <n v="982000"/>
    <x v="107"/>
    <x v="0"/>
  </r>
  <r>
    <x v="0"/>
    <s v="740040"/>
    <x v="0"/>
    <x v="0"/>
    <x v="0"/>
    <x v="0"/>
    <n v="94400000"/>
    <x v="108"/>
    <x v="0"/>
  </r>
  <r>
    <x v="0"/>
    <s v="740040"/>
    <x v="0"/>
    <x v="0"/>
    <x v="0"/>
    <x v="1"/>
    <n v="98600000"/>
    <x v="108"/>
    <x v="0"/>
  </r>
  <r>
    <x v="0"/>
    <s v="740060"/>
    <x v="0"/>
    <x v="0"/>
    <x v="0"/>
    <x v="0"/>
    <n v="6300000"/>
    <x v="108"/>
    <x v="0"/>
  </r>
  <r>
    <x v="0"/>
    <s v="740060"/>
    <x v="0"/>
    <x v="0"/>
    <x v="0"/>
    <x v="1"/>
    <n v="6000000"/>
    <x v="108"/>
    <x v="0"/>
  </r>
  <r>
    <x v="0"/>
    <s v="740070"/>
    <x v="0"/>
    <x v="0"/>
    <x v="0"/>
    <x v="0"/>
    <n v="300000"/>
    <x v="108"/>
    <x v="0"/>
  </r>
  <r>
    <x v="0"/>
    <s v="740070"/>
    <x v="0"/>
    <x v="0"/>
    <x v="0"/>
    <x v="1"/>
    <n v="300000"/>
    <x v="108"/>
    <x v="0"/>
  </r>
  <r>
    <x v="0"/>
    <s v="740VFF"/>
    <x v="0"/>
    <x v="189"/>
    <x v="0"/>
    <x v="0"/>
    <n v="10217000"/>
    <x v="108"/>
    <x v="0"/>
  </r>
  <r>
    <x v="0"/>
    <s v="740VFF"/>
    <x v="0"/>
    <x v="189"/>
    <x v="0"/>
    <x v="1"/>
    <n v="8487000"/>
    <x v="108"/>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x v="0"/>
    <x v="0"/>
    <x v="0"/>
    <x v="0"/>
    <x v="0"/>
    <x v="0"/>
    <x v="0"/>
    <x v="0"/>
  </r>
  <r>
    <x v="0"/>
    <x v="0"/>
    <x v="1"/>
    <x v="1"/>
    <x v="0"/>
    <x v="0"/>
    <x v="1"/>
    <x v="1"/>
  </r>
  <r>
    <x v="0"/>
    <x v="0"/>
    <x v="2"/>
    <x v="2"/>
    <x v="1"/>
    <x v="0"/>
    <x v="2"/>
    <x v="2"/>
  </r>
  <r>
    <x v="0"/>
    <x v="0"/>
    <x v="2"/>
    <x v="3"/>
    <x v="2"/>
    <x v="0"/>
    <x v="2"/>
    <x v="3"/>
  </r>
  <r>
    <x v="0"/>
    <x v="0"/>
    <x v="3"/>
    <x v="4"/>
    <x v="0"/>
    <x v="0"/>
    <x v="3"/>
    <x v="4"/>
  </r>
  <r>
    <x v="0"/>
    <x v="0"/>
    <x v="4"/>
    <x v="5"/>
    <x v="3"/>
    <x v="0"/>
    <x v="4"/>
    <x v="5"/>
  </r>
  <r>
    <x v="0"/>
    <x v="0"/>
    <x v="5"/>
    <x v="6"/>
    <x v="3"/>
    <x v="0"/>
    <x v="5"/>
    <x v="6"/>
  </r>
  <r>
    <x v="0"/>
    <x v="0"/>
    <x v="6"/>
    <x v="7"/>
    <x v="4"/>
    <x v="0"/>
    <x v="6"/>
    <x v="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x v="0"/>
    <x v="0"/>
    <x v="0"/>
    <x v="0"/>
    <n v="7790000"/>
  </r>
  <r>
    <x v="0"/>
    <x v="0"/>
    <x v="0"/>
    <x v="0"/>
    <x v="0"/>
    <x v="1"/>
    <n v="8771000"/>
  </r>
  <r>
    <x v="0"/>
    <x v="0"/>
    <x v="0"/>
    <x v="0"/>
    <x v="1"/>
    <x v="0"/>
    <n v="110000"/>
  </r>
  <r>
    <x v="0"/>
    <x v="0"/>
    <x v="0"/>
    <x v="0"/>
    <x v="1"/>
    <x v="1"/>
    <n v="110000"/>
  </r>
  <r>
    <x v="0"/>
    <x v="0"/>
    <x v="0"/>
    <x v="0"/>
    <x v="0"/>
    <x v="0"/>
    <n v="151132000"/>
  </r>
  <r>
    <x v="0"/>
    <x v="0"/>
    <x v="0"/>
    <x v="0"/>
    <x v="0"/>
    <x v="1"/>
    <n v="172401000"/>
  </r>
  <r>
    <x v="0"/>
    <x v="0"/>
    <x v="0"/>
    <x v="0"/>
    <x v="2"/>
    <x v="0"/>
    <n v="5860000"/>
  </r>
  <r>
    <x v="0"/>
    <x v="0"/>
    <x v="0"/>
    <x v="0"/>
    <x v="2"/>
    <x v="1"/>
    <n v="5860000"/>
  </r>
  <r>
    <x v="0"/>
    <x v="1"/>
    <x v="0"/>
    <x v="0"/>
    <x v="3"/>
    <x v="0"/>
    <n v="812000"/>
  </r>
  <r>
    <x v="0"/>
    <x v="1"/>
    <x v="0"/>
    <x v="0"/>
    <x v="3"/>
    <x v="1"/>
    <n v="834000"/>
  </r>
  <r>
    <x v="0"/>
    <x v="1"/>
    <x v="0"/>
    <x v="0"/>
    <x v="4"/>
    <x v="0"/>
    <n v="773000"/>
  </r>
  <r>
    <x v="0"/>
    <x v="1"/>
    <x v="0"/>
    <x v="0"/>
    <x v="4"/>
    <x v="1"/>
    <n v="773000"/>
  </r>
  <r>
    <x v="0"/>
    <x v="1"/>
    <x v="0"/>
    <x v="0"/>
    <x v="5"/>
    <x v="0"/>
    <n v="1555000"/>
  </r>
  <r>
    <x v="0"/>
    <x v="1"/>
    <x v="0"/>
    <x v="0"/>
    <x v="5"/>
    <x v="1"/>
    <n v="1572000"/>
  </r>
  <r>
    <x v="0"/>
    <x v="1"/>
    <x v="0"/>
    <x v="0"/>
    <x v="6"/>
    <x v="0"/>
    <n v="207000"/>
  </r>
  <r>
    <x v="0"/>
    <x v="1"/>
    <x v="0"/>
    <x v="0"/>
    <x v="6"/>
    <x v="1"/>
    <n v="207000"/>
  </r>
  <r>
    <x v="0"/>
    <x v="1"/>
    <x v="0"/>
    <x v="0"/>
    <x v="7"/>
    <x v="0"/>
    <n v="314000"/>
  </r>
  <r>
    <x v="0"/>
    <x v="1"/>
    <x v="0"/>
    <x v="0"/>
    <x v="7"/>
    <x v="1"/>
    <n v="318000"/>
  </r>
  <r>
    <x v="0"/>
    <x v="1"/>
    <x v="0"/>
    <x v="0"/>
    <x v="0"/>
    <x v="0"/>
    <n v="42090000"/>
  </r>
  <r>
    <x v="0"/>
    <x v="1"/>
    <x v="0"/>
    <x v="0"/>
    <x v="0"/>
    <x v="1"/>
    <n v="49106000"/>
  </r>
  <r>
    <x v="0"/>
    <x v="1"/>
    <x v="0"/>
    <x v="0"/>
    <x v="8"/>
    <x v="0"/>
    <n v="351000"/>
  </r>
  <r>
    <x v="0"/>
    <x v="1"/>
    <x v="0"/>
    <x v="0"/>
    <x v="8"/>
    <x v="1"/>
    <n v="366000"/>
  </r>
  <r>
    <x v="0"/>
    <x v="1"/>
    <x v="0"/>
    <x v="0"/>
    <x v="9"/>
    <x v="0"/>
    <n v="4200000"/>
  </r>
  <r>
    <x v="0"/>
    <x v="1"/>
    <x v="0"/>
    <x v="0"/>
    <x v="9"/>
    <x v="1"/>
    <n v="4385000"/>
  </r>
  <r>
    <x v="0"/>
    <x v="1"/>
    <x v="0"/>
    <x v="0"/>
    <x v="10"/>
    <x v="0"/>
    <n v="3947000"/>
  </r>
  <r>
    <x v="0"/>
    <x v="1"/>
    <x v="0"/>
    <x v="0"/>
    <x v="10"/>
    <x v="1"/>
    <n v="4077000"/>
  </r>
  <r>
    <x v="0"/>
    <x v="2"/>
    <x v="0"/>
    <x v="0"/>
    <x v="11"/>
    <x v="0"/>
    <n v="396000"/>
  </r>
  <r>
    <x v="0"/>
    <x v="2"/>
    <x v="0"/>
    <x v="0"/>
    <x v="11"/>
    <x v="1"/>
    <n v="396000"/>
  </r>
  <r>
    <x v="0"/>
    <x v="2"/>
    <x v="0"/>
    <x v="0"/>
    <x v="0"/>
    <x v="0"/>
    <n v="23121000"/>
  </r>
  <r>
    <x v="0"/>
    <x v="2"/>
    <x v="0"/>
    <x v="0"/>
    <x v="0"/>
    <x v="1"/>
    <n v="25911000"/>
  </r>
  <r>
    <x v="0"/>
    <x v="2"/>
    <x v="0"/>
    <x v="0"/>
    <x v="8"/>
    <x v="0"/>
    <n v="189000"/>
  </r>
  <r>
    <x v="0"/>
    <x v="2"/>
    <x v="0"/>
    <x v="0"/>
    <x v="8"/>
    <x v="1"/>
    <n v="197000"/>
  </r>
  <r>
    <x v="0"/>
    <x v="3"/>
    <x v="0"/>
    <x v="0"/>
    <x v="0"/>
    <x v="0"/>
    <n v="12374000"/>
  </r>
  <r>
    <x v="0"/>
    <x v="3"/>
    <x v="0"/>
    <x v="0"/>
    <x v="0"/>
    <x v="1"/>
    <n v="12535000"/>
  </r>
  <r>
    <x v="0"/>
    <x v="4"/>
    <x v="0"/>
    <x v="0"/>
    <x v="12"/>
    <x v="0"/>
    <n v="38000"/>
  </r>
  <r>
    <x v="0"/>
    <x v="4"/>
    <x v="0"/>
    <x v="0"/>
    <x v="12"/>
    <x v="1"/>
    <n v="38000"/>
  </r>
  <r>
    <x v="0"/>
    <x v="4"/>
    <x v="0"/>
    <x v="0"/>
    <x v="0"/>
    <x v="0"/>
    <n v="7933000"/>
  </r>
  <r>
    <x v="0"/>
    <x v="4"/>
    <x v="0"/>
    <x v="0"/>
    <x v="0"/>
    <x v="1"/>
    <n v="7881000"/>
  </r>
  <r>
    <x v="0"/>
    <x v="5"/>
    <x v="0"/>
    <x v="0"/>
    <x v="13"/>
    <x v="0"/>
    <n v="40000"/>
  </r>
  <r>
    <x v="0"/>
    <x v="5"/>
    <x v="0"/>
    <x v="0"/>
    <x v="13"/>
    <x v="1"/>
    <n v="40000"/>
  </r>
  <r>
    <x v="0"/>
    <x v="5"/>
    <x v="0"/>
    <x v="0"/>
    <x v="0"/>
    <x v="0"/>
    <n v="2771000"/>
  </r>
  <r>
    <x v="0"/>
    <x v="5"/>
    <x v="0"/>
    <x v="0"/>
    <x v="0"/>
    <x v="1"/>
    <n v="3024000"/>
  </r>
  <r>
    <x v="0"/>
    <x v="6"/>
    <x v="0"/>
    <x v="0"/>
    <x v="14"/>
    <x v="0"/>
    <n v="712000"/>
  </r>
  <r>
    <x v="0"/>
    <x v="6"/>
    <x v="0"/>
    <x v="0"/>
    <x v="14"/>
    <x v="1"/>
    <n v="712000"/>
  </r>
  <r>
    <x v="0"/>
    <x v="6"/>
    <x v="0"/>
    <x v="0"/>
    <x v="0"/>
    <x v="0"/>
    <n v="9711000"/>
  </r>
  <r>
    <x v="0"/>
    <x v="6"/>
    <x v="0"/>
    <x v="0"/>
    <x v="0"/>
    <x v="1"/>
    <n v="12553000"/>
  </r>
  <r>
    <x v="0"/>
    <x v="7"/>
    <x v="0"/>
    <x v="0"/>
    <x v="15"/>
    <x v="0"/>
    <n v="10684000"/>
  </r>
  <r>
    <x v="0"/>
    <x v="7"/>
    <x v="0"/>
    <x v="0"/>
    <x v="15"/>
    <x v="1"/>
    <n v="10684000"/>
  </r>
  <r>
    <x v="0"/>
    <x v="7"/>
    <x v="0"/>
    <x v="0"/>
    <x v="0"/>
    <x v="0"/>
    <n v="147019000"/>
  </r>
  <r>
    <x v="0"/>
    <x v="7"/>
    <x v="0"/>
    <x v="0"/>
    <x v="0"/>
    <x v="1"/>
    <n v="15723200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x v="0"/>
    <x v="0"/>
    <x v="0"/>
    <x v="0"/>
    <n v="7790000"/>
  </r>
  <r>
    <x v="0"/>
    <x v="0"/>
    <x v="0"/>
    <x v="0"/>
    <x v="0"/>
    <x v="1"/>
    <n v="8771000"/>
  </r>
  <r>
    <x v="0"/>
    <x v="0"/>
    <x v="0"/>
    <x v="0"/>
    <x v="1"/>
    <x v="0"/>
    <n v="110000"/>
  </r>
  <r>
    <x v="0"/>
    <x v="0"/>
    <x v="0"/>
    <x v="0"/>
    <x v="1"/>
    <x v="1"/>
    <n v="110000"/>
  </r>
  <r>
    <x v="0"/>
    <x v="0"/>
    <x v="0"/>
    <x v="0"/>
    <x v="0"/>
    <x v="0"/>
    <n v="151132000"/>
  </r>
  <r>
    <x v="0"/>
    <x v="0"/>
    <x v="0"/>
    <x v="0"/>
    <x v="0"/>
    <x v="1"/>
    <n v="172401000"/>
  </r>
  <r>
    <x v="0"/>
    <x v="0"/>
    <x v="0"/>
    <x v="0"/>
    <x v="2"/>
    <x v="0"/>
    <n v="5860000"/>
  </r>
  <r>
    <x v="0"/>
    <x v="0"/>
    <x v="0"/>
    <x v="0"/>
    <x v="2"/>
    <x v="1"/>
    <n v="5860000"/>
  </r>
  <r>
    <x v="0"/>
    <x v="1"/>
    <x v="0"/>
    <x v="0"/>
    <x v="3"/>
    <x v="0"/>
    <n v="812000"/>
  </r>
  <r>
    <x v="0"/>
    <x v="1"/>
    <x v="0"/>
    <x v="0"/>
    <x v="3"/>
    <x v="1"/>
    <n v="834000"/>
  </r>
  <r>
    <x v="0"/>
    <x v="1"/>
    <x v="0"/>
    <x v="0"/>
    <x v="4"/>
    <x v="0"/>
    <n v="773000"/>
  </r>
  <r>
    <x v="0"/>
    <x v="1"/>
    <x v="0"/>
    <x v="0"/>
    <x v="4"/>
    <x v="1"/>
    <n v="773000"/>
  </r>
  <r>
    <x v="0"/>
    <x v="1"/>
    <x v="0"/>
    <x v="0"/>
    <x v="5"/>
    <x v="0"/>
    <n v="1555000"/>
  </r>
  <r>
    <x v="0"/>
    <x v="1"/>
    <x v="0"/>
    <x v="0"/>
    <x v="5"/>
    <x v="1"/>
    <n v="1572000"/>
  </r>
  <r>
    <x v="0"/>
    <x v="1"/>
    <x v="0"/>
    <x v="0"/>
    <x v="6"/>
    <x v="0"/>
    <n v="207000"/>
  </r>
  <r>
    <x v="0"/>
    <x v="1"/>
    <x v="0"/>
    <x v="0"/>
    <x v="6"/>
    <x v="1"/>
    <n v="207000"/>
  </r>
  <r>
    <x v="0"/>
    <x v="1"/>
    <x v="0"/>
    <x v="0"/>
    <x v="7"/>
    <x v="0"/>
    <n v="314000"/>
  </r>
  <r>
    <x v="0"/>
    <x v="1"/>
    <x v="0"/>
    <x v="0"/>
    <x v="7"/>
    <x v="1"/>
    <n v="318000"/>
  </r>
  <r>
    <x v="0"/>
    <x v="1"/>
    <x v="0"/>
    <x v="0"/>
    <x v="0"/>
    <x v="0"/>
    <n v="42090000"/>
  </r>
  <r>
    <x v="0"/>
    <x v="1"/>
    <x v="0"/>
    <x v="0"/>
    <x v="0"/>
    <x v="1"/>
    <n v="49106000"/>
  </r>
  <r>
    <x v="0"/>
    <x v="1"/>
    <x v="0"/>
    <x v="0"/>
    <x v="8"/>
    <x v="0"/>
    <n v="351000"/>
  </r>
  <r>
    <x v="0"/>
    <x v="1"/>
    <x v="0"/>
    <x v="0"/>
    <x v="8"/>
    <x v="1"/>
    <n v="366000"/>
  </r>
  <r>
    <x v="0"/>
    <x v="1"/>
    <x v="0"/>
    <x v="0"/>
    <x v="9"/>
    <x v="0"/>
    <n v="4200000"/>
  </r>
  <r>
    <x v="0"/>
    <x v="1"/>
    <x v="0"/>
    <x v="0"/>
    <x v="9"/>
    <x v="1"/>
    <n v="4385000"/>
  </r>
  <r>
    <x v="0"/>
    <x v="1"/>
    <x v="0"/>
    <x v="0"/>
    <x v="10"/>
    <x v="0"/>
    <n v="3947000"/>
  </r>
  <r>
    <x v="0"/>
    <x v="1"/>
    <x v="0"/>
    <x v="0"/>
    <x v="10"/>
    <x v="1"/>
    <n v="4077000"/>
  </r>
  <r>
    <x v="0"/>
    <x v="2"/>
    <x v="0"/>
    <x v="0"/>
    <x v="11"/>
    <x v="0"/>
    <n v="396000"/>
  </r>
  <r>
    <x v="0"/>
    <x v="2"/>
    <x v="0"/>
    <x v="0"/>
    <x v="11"/>
    <x v="1"/>
    <n v="396000"/>
  </r>
  <r>
    <x v="0"/>
    <x v="2"/>
    <x v="0"/>
    <x v="0"/>
    <x v="0"/>
    <x v="0"/>
    <n v="23121000"/>
  </r>
  <r>
    <x v="0"/>
    <x v="2"/>
    <x v="0"/>
    <x v="0"/>
    <x v="0"/>
    <x v="1"/>
    <n v="25911000"/>
  </r>
  <r>
    <x v="0"/>
    <x v="2"/>
    <x v="0"/>
    <x v="0"/>
    <x v="8"/>
    <x v="0"/>
    <n v="189000"/>
  </r>
  <r>
    <x v="0"/>
    <x v="2"/>
    <x v="0"/>
    <x v="0"/>
    <x v="8"/>
    <x v="1"/>
    <n v="197000"/>
  </r>
  <r>
    <x v="0"/>
    <x v="3"/>
    <x v="0"/>
    <x v="0"/>
    <x v="0"/>
    <x v="0"/>
    <n v="12374000"/>
  </r>
  <r>
    <x v="0"/>
    <x v="3"/>
    <x v="0"/>
    <x v="0"/>
    <x v="0"/>
    <x v="1"/>
    <n v="12535000"/>
  </r>
  <r>
    <x v="0"/>
    <x v="4"/>
    <x v="0"/>
    <x v="0"/>
    <x v="12"/>
    <x v="0"/>
    <n v="38000"/>
  </r>
  <r>
    <x v="0"/>
    <x v="4"/>
    <x v="0"/>
    <x v="0"/>
    <x v="12"/>
    <x v="1"/>
    <n v="38000"/>
  </r>
  <r>
    <x v="0"/>
    <x v="4"/>
    <x v="0"/>
    <x v="0"/>
    <x v="0"/>
    <x v="0"/>
    <n v="7933000"/>
  </r>
  <r>
    <x v="0"/>
    <x v="4"/>
    <x v="0"/>
    <x v="0"/>
    <x v="0"/>
    <x v="1"/>
    <n v="7881000"/>
  </r>
  <r>
    <x v="0"/>
    <x v="5"/>
    <x v="0"/>
    <x v="0"/>
    <x v="13"/>
    <x v="0"/>
    <n v="40000"/>
  </r>
  <r>
    <x v="0"/>
    <x v="5"/>
    <x v="0"/>
    <x v="0"/>
    <x v="13"/>
    <x v="1"/>
    <n v="40000"/>
  </r>
  <r>
    <x v="0"/>
    <x v="5"/>
    <x v="0"/>
    <x v="0"/>
    <x v="0"/>
    <x v="0"/>
    <n v="2771000"/>
  </r>
  <r>
    <x v="0"/>
    <x v="5"/>
    <x v="0"/>
    <x v="0"/>
    <x v="0"/>
    <x v="1"/>
    <n v="3024000"/>
  </r>
  <r>
    <x v="0"/>
    <x v="6"/>
    <x v="0"/>
    <x v="0"/>
    <x v="14"/>
    <x v="0"/>
    <n v="712000"/>
  </r>
  <r>
    <x v="0"/>
    <x v="6"/>
    <x v="0"/>
    <x v="0"/>
    <x v="14"/>
    <x v="1"/>
    <n v="712000"/>
  </r>
  <r>
    <x v="0"/>
    <x v="6"/>
    <x v="0"/>
    <x v="0"/>
    <x v="0"/>
    <x v="0"/>
    <n v="9711000"/>
  </r>
  <r>
    <x v="0"/>
    <x v="6"/>
    <x v="0"/>
    <x v="0"/>
    <x v="0"/>
    <x v="1"/>
    <n v="12553000"/>
  </r>
  <r>
    <x v="0"/>
    <x v="7"/>
    <x v="0"/>
    <x v="0"/>
    <x v="15"/>
    <x v="0"/>
    <n v="10684000"/>
  </r>
  <r>
    <x v="0"/>
    <x v="7"/>
    <x v="0"/>
    <x v="0"/>
    <x v="15"/>
    <x v="1"/>
    <n v="10684000"/>
  </r>
  <r>
    <x v="0"/>
    <x v="7"/>
    <x v="0"/>
    <x v="0"/>
    <x v="0"/>
    <x v="0"/>
    <n v="147019000"/>
  </r>
  <r>
    <x v="0"/>
    <x v="7"/>
    <x v="0"/>
    <x v="0"/>
    <x v="0"/>
    <x v="1"/>
    <n v="15723200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2">
  <r>
    <x v="0"/>
    <x v="0"/>
    <x v="0"/>
    <x v="0"/>
    <x v="0"/>
    <n v="24204730"/>
  </r>
  <r>
    <x v="0"/>
    <x v="1"/>
    <x v="0"/>
    <x v="1"/>
    <x v="1"/>
    <n v="92830753.079999998"/>
  </r>
  <r>
    <x v="1"/>
    <x v="2"/>
    <x v="0"/>
    <x v="0"/>
    <x v="2"/>
    <n v="125041.18"/>
  </r>
  <r>
    <x v="0"/>
    <x v="3"/>
    <x v="1"/>
    <x v="2"/>
    <x v="3"/>
    <n v="247128803.44999999"/>
  </r>
  <r>
    <x v="0"/>
    <x v="4"/>
    <x v="1"/>
    <x v="2"/>
    <x v="2"/>
    <n v="73810311"/>
  </r>
  <r>
    <x v="1"/>
    <x v="5"/>
    <x v="0"/>
    <x v="0"/>
    <x v="4"/>
    <n v="3134422.63"/>
  </r>
  <r>
    <x v="1"/>
    <x v="2"/>
    <x v="0"/>
    <x v="2"/>
    <x v="5"/>
    <n v="5195228.1399999997"/>
  </r>
  <r>
    <x v="0"/>
    <x v="3"/>
    <x v="0"/>
    <x v="2"/>
    <x v="5"/>
    <n v="355267370.24000001"/>
  </r>
  <r>
    <x v="1"/>
    <x v="1"/>
    <x v="0"/>
    <x v="3"/>
    <x v="1"/>
    <n v="-2064400.91"/>
  </r>
  <r>
    <x v="0"/>
    <x v="0"/>
    <x v="1"/>
    <x v="2"/>
    <x v="4"/>
    <n v="7425000.4400000004"/>
  </r>
  <r>
    <x v="1"/>
    <x v="5"/>
    <x v="0"/>
    <x v="0"/>
    <x v="6"/>
    <n v="0"/>
  </r>
  <r>
    <x v="0"/>
    <x v="6"/>
    <x v="0"/>
    <x v="2"/>
    <x v="7"/>
    <n v="55493248.630000003"/>
  </r>
  <r>
    <x v="0"/>
    <x v="3"/>
    <x v="1"/>
    <x v="2"/>
    <x v="8"/>
    <n v="137637287.66"/>
  </r>
  <r>
    <x v="0"/>
    <x v="3"/>
    <x v="0"/>
    <x v="2"/>
    <x v="7"/>
    <n v="331214252.95999998"/>
  </r>
  <r>
    <x v="0"/>
    <x v="5"/>
    <x v="0"/>
    <x v="2"/>
    <x v="6"/>
    <n v="59883024.719999999"/>
  </r>
  <r>
    <x v="0"/>
    <x v="3"/>
    <x v="0"/>
    <x v="3"/>
    <x v="9"/>
    <n v="23674944.510000002"/>
  </r>
  <r>
    <x v="0"/>
    <x v="5"/>
    <x v="0"/>
    <x v="0"/>
    <x v="10"/>
    <n v="31386000"/>
  </r>
  <r>
    <x v="0"/>
    <x v="4"/>
    <x v="1"/>
    <x v="2"/>
    <x v="11"/>
    <n v="131620231.66"/>
  </r>
  <r>
    <x v="1"/>
    <x v="7"/>
    <x v="0"/>
    <x v="3"/>
    <x v="10"/>
    <n v="824268.05"/>
  </r>
  <r>
    <x v="0"/>
    <x v="6"/>
    <x v="0"/>
    <x v="2"/>
    <x v="5"/>
    <n v="51286149.630000003"/>
  </r>
  <r>
    <x v="1"/>
    <x v="8"/>
    <x v="0"/>
    <x v="3"/>
    <x v="11"/>
    <n v="525788.26"/>
  </r>
  <r>
    <x v="0"/>
    <x v="5"/>
    <x v="0"/>
    <x v="0"/>
    <x v="12"/>
    <n v="38992671.810000002"/>
  </r>
  <r>
    <x v="0"/>
    <x v="5"/>
    <x v="0"/>
    <x v="3"/>
    <x v="13"/>
    <n v="8294000"/>
  </r>
  <r>
    <x v="0"/>
    <x v="7"/>
    <x v="0"/>
    <x v="0"/>
    <x v="14"/>
    <n v="92157630.010000005"/>
  </r>
  <r>
    <x v="0"/>
    <x v="1"/>
    <x v="0"/>
    <x v="1"/>
    <x v="14"/>
    <n v="141821467.83000001"/>
  </r>
  <r>
    <x v="0"/>
    <x v="8"/>
    <x v="0"/>
    <x v="0"/>
    <x v="15"/>
    <n v="123264350.94"/>
  </r>
  <r>
    <x v="1"/>
    <x v="1"/>
    <x v="0"/>
    <x v="3"/>
    <x v="5"/>
    <n v="2064400.91"/>
  </r>
  <r>
    <x v="0"/>
    <x v="2"/>
    <x v="0"/>
    <x v="0"/>
    <x v="6"/>
    <n v="310221913.61000001"/>
  </r>
  <r>
    <x v="0"/>
    <x v="0"/>
    <x v="0"/>
    <x v="0"/>
    <x v="15"/>
    <n v="25413818"/>
  </r>
  <r>
    <x v="0"/>
    <x v="1"/>
    <x v="0"/>
    <x v="0"/>
    <x v="16"/>
    <n v="316475666.79000002"/>
  </r>
  <r>
    <x v="0"/>
    <x v="2"/>
    <x v="1"/>
    <x v="2"/>
    <x v="4"/>
    <n v="165068362.28999999"/>
  </r>
  <r>
    <x v="0"/>
    <x v="7"/>
    <x v="0"/>
    <x v="3"/>
    <x v="1"/>
    <n v="6803000"/>
  </r>
  <r>
    <x v="0"/>
    <x v="2"/>
    <x v="0"/>
    <x v="0"/>
    <x v="15"/>
    <n v="345332423.19"/>
  </r>
  <r>
    <x v="0"/>
    <x v="0"/>
    <x v="1"/>
    <x v="2"/>
    <x v="17"/>
    <n v="16339015.99"/>
  </r>
  <r>
    <x v="0"/>
    <x v="7"/>
    <x v="1"/>
    <x v="2"/>
    <x v="2"/>
    <n v="22496626.140000001"/>
  </r>
  <r>
    <x v="1"/>
    <x v="4"/>
    <x v="0"/>
    <x v="3"/>
    <x v="18"/>
    <n v="1885000"/>
  </r>
  <r>
    <x v="0"/>
    <x v="5"/>
    <x v="0"/>
    <x v="0"/>
    <x v="15"/>
    <n v="42491625.350000001"/>
  </r>
  <r>
    <x v="0"/>
    <x v="2"/>
    <x v="1"/>
    <x v="2"/>
    <x v="19"/>
    <n v="250106254.94"/>
  </r>
  <r>
    <x v="0"/>
    <x v="1"/>
    <x v="0"/>
    <x v="1"/>
    <x v="5"/>
    <n v="74553961.650000006"/>
  </r>
  <r>
    <x v="0"/>
    <x v="5"/>
    <x v="0"/>
    <x v="2"/>
    <x v="13"/>
    <n v="65102322.75"/>
  </r>
  <r>
    <x v="0"/>
    <x v="6"/>
    <x v="1"/>
    <x v="2"/>
    <x v="19"/>
    <n v="33594240.030000001"/>
  </r>
  <r>
    <x v="1"/>
    <x v="7"/>
    <x v="1"/>
    <x v="2"/>
    <x v="12"/>
    <n v="10652404.16"/>
  </r>
  <r>
    <x v="0"/>
    <x v="4"/>
    <x v="1"/>
    <x v="2"/>
    <x v="15"/>
    <n v="71835198.790000007"/>
  </r>
  <r>
    <x v="1"/>
    <x v="6"/>
    <x v="0"/>
    <x v="0"/>
    <x v="19"/>
    <n v="1779193.71"/>
  </r>
  <r>
    <x v="0"/>
    <x v="6"/>
    <x v="0"/>
    <x v="3"/>
    <x v="7"/>
    <n v="9538000"/>
  </r>
  <r>
    <x v="0"/>
    <x v="2"/>
    <x v="0"/>
    <x v="3"/>
    <x v="6"/>
    <n v="16060229.550000001"/>
  </r>
  <r>
    <x v="1"/>
    <x v="1"/>
    <x v="0"/>
    <x v="0"/>
    <x v="9"/>
    <n v="555511.74"/>
  </r>
  <r>
    <x v="1"/>
    <x v="2"/>
    <x v="1"/>
    <x v="2"/>
    <x v="8"/>
    <n v="9327801.9700000007"/>
  </r>
  <r>
    <x v="1"/>
    <x v="5"/>
    <x v="1"/>
    <x v="2"/>
    <x v="19"/>
    <n v="1569603.57"/>
  </r>
  <r>
    <x v="0"/>
    <x v="6"/>
    <x v="0"/>
    <x v="3"/>
    <x v="5"/>
    <n v="9666000"/>
  </r>
  <r>
    <x v="0"/>
    <x v="3"/>
    <x v="0"/>
    <x v="0"/>
    <x v="9"/>
    <n v="366791929.83999997"/>
  </r>
  <r>
    <x v="0"/>
    <x v="4"/>
    <x v="1"/>
    <x v="2"/>
    <x v="0"/>
    <n v="96905549.939999998"/>
  </r>
  <r>
    <x v="0"/>
    <x v="2"/>
    <x v="0"/>
    <x v="3"/>
    <x v="9"/>
    <n v="8282723.1399999997"/>
  </r>
  <r>
    <x v="0"/>
    <x v="0"/>
    <x v="0"/>
    <x v="0"/>
    <x v="2"/>
    <n v="24342161"/>
  </r>
  <r>
    <x v="1"/>
    <x v="7"/>
    <x v="0"/>
    <x v="0"/>
    <x v="8"/>
    <n v="10499.11"/>
  </r>
  <r>
    <x v="0"/>
    <x v="2"/>
    <x v="1"/>
    <x v="2"/>
    <x v="20"/>
    <n v="429960653.74000001"/>
  </r>
  <r>
    <x v="1"/>
    <x v="5"/>
    <x v="0"/>
    <x v="0"/>
    <x v="21"/>
    <n v="2332893.48"/>
  </r>
  <r>
    <x v="1"/>
    <x v="2"/>
    <x v="0"/>
    <x v="0"/>
    <x v="7"/>
    <n v="1003129.36"/>
  </r>
  <r>
    <x v="1"/>
    <x v="1"/>
    <x v="0"/>
    <x v="1"/>
    <x v="22"/>
    <n v="3057.03"/>
  </r>
  <r>
    <x v="1"/>
    <x v="4"/>
    <x v="0"/>
    <x v="0"/>
    <x v="8"/>
    <n v="-3650278.18"/>
  </r>
  <r>
    <x v="0"/>
    <x v="0"/>
    <x v="1"/>
    <x v="2"/>
    <x v="3"/>
    <n v="22056321.449999999"/>
  </r>
  <r>
    <x v="1"/>
    <x v="2"/>
    <x v="0"/>
    <x v="3"/>
    <x v="5"/>
    <n v="30012.61"/>
  </r>
  <r>
    <x v="1"/>
    <x v="5"/>
    <x v="0"/>
    <x v="2"/>
    <x v="5"/>
    <n v="1987266.51"/>
  </r>
  <r>
    <x v="0"/>
    <x v="3"/>
    <x v="0"/>
    <x v="3"/>
    <x v="23"/>
    <n v="37561621.469999999"/>
  </r>
  <r>
    <x v="0"/>
    <x v="2"/>
    <x v="0"/>
    <x v="2"/>
    <x v="23"/>
    <n v="436574041.49000001"/>
  </r>
  <r>
    <x v="0"/>
    <x v="0"/>
    <x v="0"/>
    <x v="2"/>
    <x v="24"/>
    <n v="29445851.91"/>
  </r>
  <r>
    <x v="1"/>
    <x v="5"/>
    <x v="0"/>
    <x v="2"/>
    <x v="7"/>
    <n v="2020190.92"/>
  </r>
  <r>
    <x v="0"/>
    <x v="5"/>
    <x v="0"/>
    <x v="2"/>
    <x v="23"/>
    <n v="53597942"/>
  </r>
  <r>
    <x v="0"/>
    <x v="6"/>
    <x v="1"/>
    <x v="2"/>
    <x v="8"/>
    <n v="17162812.77"/>
  </r>
  <r>
    <x v="1"/>
    <x v="3"/>
    <x v="0"/>
    <x v="0"/>
    <x v="20"/>
    <n v="-8877709.25"/>
  </r>
  <r>
    <x v="0"/>
    <x v="3"/>
    <x v="0"/>
    <x v="3"/>
    <x v="11"/>
    <n v="41278560.789999999"/>
  </r>
  <r>
    <x v="1"/>
    <x v="2"/>
    <x v="0"/>
    <x v="3"/>
    <x v="7"/>
    <n v="23655.77"/>
  </r>
  <r>
    <x v="1"/>
    <x v="3"/>
    <x v="0"/>
    <x v="0"/>
    <x v="3"/>
    <n v="-30796690.460000001"/>
  </r>
  <r>
    <x v="0"/>
    <x v="3"/>
    <x v="0"/>
    <x v="3"/>
    <x v="21"/>
    <n v="12838261.85"/>
  </r>
  <r>
    <x v="1"/>
    <x v="3"/>
    <x v="0"/>
    <x v="0"/>
    <x v="1"/>
    <n v="22844173.129999999"/>
  </r>
  <r>
    <x v="0"/>
    <x v="4"/>
    <x v="0"/>
    <x v="0"/>
    <x v="14"/>
    <n v="264611000"/>
  </r>
  <r>
    <x v="1"/>
    <x v="1"/>
    <x v="0"/>
    <x v="0"/>
    <x v="24"/>
    <n v="-33079210.960000001"/>
  </r>
  <r>
    <x v="0"/>
    <x v="4"/>
    <x v="0"/>
    <x v="0"/>
    <x v="22"/>
    <n v="220429191.22999999"/>
  </r>
  <r>
    <x v="0"/>
    <x v="7"/>
    <x v="0"/>
    <x v="3"/>
    <x v="3"/>
    <n v="6518000"/>
  </r>
  <r>
    <x v="1"/>
    <x v="7"/>
    <x v="0"/>
    <x v="2"/>
    <x v="10"/>
    <n v="8797389"/>
  </r>
  <r>
    <x v="1"/>
    <x v="6"/>
    <x v="0"/>
    <x v="2"/>
    <x v="14"/>
    <n v="235569.87"/>
  </r>
  <r>
    <x v="1"/>
    <x v="0"/>
    <x v="1"/>
    <x v="2"/>
    <x v="20"/>
    <n v="3324097.26"/>
  </r>
  <r>
    <x v="1"/>
    <x v="1"/>
    <x v="0"/>
    <x v="1"/>
    <x v="1"/>
    <n v="2230246.92"/>
  </r>
  <r>
    <x v="0"/>
    <x v="6"/>
    <x v="0"/>
    <x v="0"/>
    <x v="9"/>
    <n v="27405600"/>
  </r>
  <r>
    <x v="0"/>
    <x v="3"/>
    <x v="0"/>
    <x v="0"/>
    <x v="11"/>
    <n v="630193131.58000004"/>
  </r>
  <r>
    <x v="0"/>
    <x v="0"/>
    <x v="0"/>
    <x v="3"/>
    <x v="24"/>
    <n v="2725000"/>
  </r>
  <r>
    <x v="0"/>
    <x v="2"/>
    <x v="0"/>
    <x v="3"/>
    <x v="7"/>
    <n v="18331436.050000001"/>
  </r>
  <r>
    <x v="0"/>
    <x v="5"/>
    <x v="0"/>
    <x v="3"/>
    <x v="18"/>
    <n v="8414000"/>
  </r>
  <r>
    <x v="0"/>
    <x v="2"/>
    <x v="0"/>
    <x v="2"/>
    <x v="9"/>
    <n v="329903760.13999999"/>
  </r>
  <r>
    <x v="1"/>
    <x v="3"/>
    <x v="1"/>
    <x v="2"/>
    <x v="8"/>
    <n v="-2879502.22"/>
  </r>
  <r>
    <x v="0"/>
    <x v="2"/>
    <x v="0"/>
    <x v="0"/>
    <x v="0"/>
    <n v="323768475.88"/>
  </r>
  <r>
    <x v="0"/>
    <x v="7"/>
    <x v="0"/>
    <x v="0"/>
    <x v="22"/>
    <n v="78664000"/>
  </r>
  <r>
    <x v="0"/>
    <x v="6"/>
    <x v="0"/>
    <x v="0"/>
    <x v="6"/>
    <n v="48136000"/>
  </r>
  <r>
    <x v="1"/>
    <x v="2"/>
    <x v="0"/>
    <x v="2"/>
    <x v="1"/>
    <n v="19971875.550000001"/>
  </r>
  <r>
    <x v="1"/>
    <x v="8"/>
    <x v="0"/>
    <x v="0"/>
    <x v="23"/>
    <n v="2102183.7200000002"/>
  </r>
  <r>
    <x v="1"/>
    <x v="3"/>
    <x v="0"/>
    <x v="3"/>
    <x v="17"/>
    <n v="7992435.9800000004"/>
  </r>
  <r>
    <x v="0"/>
    <x v="6"/>
    <x v="0"/>
    <x v="0"/>
    <x v="24"/>
    <n v="19965660.57"/>
  </r>
  <r>
    <x v="1"/>
    <x v="1"/>
    <x v="0"/>
    <x v="0"/>
    <x v="7"/>
    <n v="2617152.38"/>
  </r>
  <r>
    <x v="0"/>
    <x v="4"/>
    <x v="1"/>
    <x v="2"/>
    <x v="12"/>
    <n v="59138262.600000001"/>
  </r>
  <r>
    <x v="1"/>
    <x v="0"/>
    <x v="1"/>
    <x v="2"/>
    <x v="8"/>
    <n v="699130.5"/>
  </r>
  <r>
    <x v="0"/>
    <x v="6"/>
    <x v="0"/>
    <x v="3"/>
    <x v="11"/>
    <n v="9538000"/>
  </r>
  <r>
    <x v="0"/>
    <x v="5"/>
    <x v="0"/>
    <x v="2"/>
    <x v="9"/>
    <n v="11492198.51"/>
  </r>
  <r>
    <x v="1"/>
    <x v="2"/>
    <x v="0"/>
    <x v="0"/>
    <x v="6"/>
    <n v="694301.91"/>
  </r>
  <r>
    <x v="0"/>
    <x v="1"/>
    <x v="0"/>
    <x v="0"/>
    <x v="6"/>
    <n v="241627728.72"/>
  </r>
  <r>
    <x v="0"/>
    <x v="2"/>
    <x v="1"/>
    <x v="2"/>
    <x v="3"/>
    <n v="280760265.86000001"/>
  </r>
  <r>
    <x v="1"/>
    <x v="3"/>
    <x v="0"/>
    <x v="0"/>
    <x v="4"/>
    <n v="2877858.8"/>
  </r>
  <r>
    <x v="0"/>
    <x v="4"/>
    <x v="0"/>
    <x v="3"/>
    <x v="10"/>
    <n v="16998000"/>
  </r>
  <r>
    <x v="0"/>
    <x v="0"/>
    <x v="0"/>
    <x v="0"/>
    <x v="16"/>
    <n v="38495577.710000001"/>
  </r>
  <r>
    <x v="0"/>
    <x v="0"/>
    <x v="1"/>
    <x v="2"/>
    <x v="20"/>
    <n v="26696231.920000002"/>
  </r>
  <r>
    <x v="1"/>
    <x v="7"/>
    <x v="1"/>
    <x v="2"/>
    <x v="11"/>
    <n v="14503636.24"/>
  </r>
  <r>
    <x v="0"/>
    <x v="7"/>
    <x v="0"/>
    <x v="3"/>
    <x v="14"/>
    <n v="6912000"/>
  </r>
  <r>
    <x v="0"/>
    <x v="6"/>
    <x v="0"/>
    <x v="0"/>
    <x v="23"/>
    <n v="21441632.57"/>
  </r>
  <r>
    <x v="1"/>
    <x v="4"/>
    <x v="1"/>
    <x v="2"/>
    <x v="17"/>
    <n v="5654419.8799999999"/>
  </r>
  <r>
    <x v="1"/>
    <x v="6"/>
    <x v="0"/>
    <x v="2"/>
    <x v="1"/>
    <n v="2328936.25"/>
  </r>
  <r>
    <x v="0"/>
    <x v="7"/>
    <x v="1"/>
    <x v="2"/>
    <x v="0"/>
    <n v="27659937.609999999"/>
  </r>
  <r>
    <x v="1"/>
    <x v="1"/>
    <x v="0"/>
    <x v="1"/>
    <x v="14"/>
    <n v="82001.22"/>
  </r>
  <r>
    <x v="1"/>
    <x v="8"/>
    <x v="0"/>
    <x v="0"/>
    <x v="11"/>
    <n v="2292451.5299999998"/>
  </r>
  <r>
    <x v="0"/>
    <x v="0"/>
    <x v="0"/>
    <x v="0"/>
    <x v="25"/>
    <n v="17229003"/>
  </r>
  <r>
    <x v="0"/>
    <x v="8"/>
    <x v="0"/>
    <x v="3"/>
    <x v="11"/>
    <n v="42482297.060000002"/>
  </r>
  <r>
    <x v="1"/>
    <x v="3"/>
    <x v="1"/>
    <x v="2"/>
    <x v="20"/>
    <n v="4979895.24"/>
  </r>
  <r>
    <x v="0"/>
    <x v="0"/>
    <x v="0"/>
    <x v="3"/>
    <x v="11"/>
    <n v="2692000"/>
  </r>
  <r>
    <x v="1"/>
    <x v="4"/>
    <x v="0"/>
    <x v="2"/>
    <x v="7"/>
    <n v="-4423724"/>
  </r>
  <r>
    <x v="0"/>
    <x v="0"/>
    <x v="0"/>
    <x v="0"/>
    <x v="3"/>
    <n v="20514000"/>
  </r>
  <r>
    <x v="1"/>
    <x v="0"/>
    <x v="0"/>
    <x v="2"/>
    <x v="13"/>
    <n v="3113411.98"/>
  </r>
  <r>
    <x v="1"/>
    <x v="1"/>
    <x v="0"/>
    <x v="3"/>
    <x v="22"/>
    <n v="216296.95999999999"/>
  </r>
  <r>
    <x v="1"/>
    <x v="2"/>
    <x v="1"/>
    <x v="2"/>
    <x v="0"/>
    <n v="6212684.0899999999"/>
  </r>
  <r>
    <x v="1"/>
    <x v="3"/>
    <x v="0"/>
    <x v="4"/>
    <x v="3"/>
    <n v="1009091.86"/>
  </r>
  <r>
    <x v="1"/>
    <x v="6"/>
    <x v="0"/>
    <x v="2"/>
    <x v="7"/>
    <n v="-1281992.1100000001"/>
  </r>
  <r>
    <x v="1"/>
    <x v="3"/>
    <x v="0"/>
    <x v="3"/>
    <x v="24"/>
    <n v="11845804.869999999"/>
  </r>
  <r>
    <x v="1"/>
    <x v="3"/>
    <x v="0"/>
    <x v="4"/>
    <x v="20"/>
    <n v="-12316.31"/>
  </r>
  <r>
    <x v="1"/>
    <x v="1"/>
    <x v="0"/>
    <x v="3"/>
    <x v="14"/>
    <n v="0"/>
  </r>
  <r>
    <x v="0"/>
    <x v="7"/>
    <x v="0"/>
    <x v="2"/>
    <x v="10"/>
    <n v="75706773.890000001"/>
  </r>
  <r>
    <x v="1"/>
    <x v="4"/>
    <x v="1"/>
    <x v="2"/>
    <x v="3"/>
    <n v="2591094.92"/>
  </r>
  <r>
    <x v="0"/>
    <x v="4"/>
    <x v="0"/>
    <x v="0"/>
    <x v="10"/>
    <n v="153149449.88999999"/>
  </r>
  <r>
    <x v="1"/>
    <x v="7"/>
    <x v="1"/>
    <x v="2"/>
    <x v="0"/>
    <n v="12453264.140000001"/>
  </r>
  <r>
    <x v="0"/>
    <x v="3"/>
    <x v="0"/>
    <x v="0"/>
    <x v="18"/>
    <n v="677451140.76999998"/>
  </r>
  <r>
    <x v="0"/>
    <x v="6"/>
    <x v="0"/>
    <x v="0"/>
    <x v="16"/>
    <n v="68904000"/>
  </r>
  <r>
    <x v="1"/>
    <x v="5"/>
    <x v="1"/>
    <x v="2"/>
    <x v="20"/>
    <n v="1428689.08"/>
  </r>
  <r>
    <x v="0"/>
    <x v="5"/>
    <x v="0"/>
    <x v="3"/>
    <x v="11"/>
    <n v="8046000"/>
  </r>
  <r>
    <x v="0"/>
    <x v="2"/>
    <x v="0"/>
    <x v="2"/>
    <x v="18"/>
    <n v="617725599.34000003"/>
  </r>
  <r>
    <x v="1"/>
    <x v="4"/>
    <x v="0"/>
    <x v="2"/>
    <x v="6"/>
    <n v="-1018312.2"/>
  </r>
  <r>
    <x v="0"/>
    <x v="5"/>
    <x v="1"/>
    <x v="2"/>
    <x v="8"/>
    <n v="19951349.68"/>
  </r>
  <r>
    <x v="1"/>
    <x v="5"/>
    <x v="0"/>
    <x v="2"/>
    <x v="18"/>
    <n v="1795651.95"/>
  </r>
  <r>
    <x v="0"/>
    <x v="7"/>
    <x v="0"/>
    <x v="0"/>
    <x v="21"/>
    <n v="58963110.109999999"/>
  </r>
  <r>
    <x v="0"/>
    <x v="8"/>
    <x v="0"/>
    <x v="0"/>
    <x v="12"/>
    <n v="102418287.41"/>
  </r>
  <r>
    <x v="0"/>
    <x v="6"/>
    <x v="0"/>
    <x v="3"/>
    <x v="19"/>
    <n v="6681000"/>
  </r>
  <r>
    <x v="0"/>
    <x v="2"/>
    <x v="0"/>
    <x v="0"/>
    <x v="2"/>
    <n v="333637458.41000003"/>
  </r>
  <r>
    <x v="1"/>
    <x v="0"/>
    <x v="1"/>
    <x v="2"/>
    <x v="4"/>
    <n v="5849209.0800000001"/>
  </r>
  <r>
    <x v="1"/>
    <x v="6"/>
    <x v="0"/>
    <x v="0"/>
    <x v="8"/>
    <n v="1197111.5"/>
  </r>
  <r>
    <x v="1"/>
    <x v="3"/>
    <x v="0"/>
    <x v="3"/>
    <x v="11"/>
    <n v="7065062.75"/>
  </r>
  <r>
    <x v="0"/>
    <x v="8"/>
    <x v="0"/>
    <x v="0"/>
    <x v="2"/>
    <n v="135837209.53999999"/>
  </r>
  <r>
    <x v="0"/>
    <x v="1"/>
    <x v="0"/>
    <x v="1"/>
    <x v="22"/>
    <n v="51564942.969999999"/>
  </r>
  <r>
    <x v="0"/>
    <x v="2"/>
    <x v="0"/>
    <x v="2"/>
    <x v="16"/>
    <n v="772500654.22000003"/>
  </r>
  <r>
    <x v="1"/>
    <x v="5"/>
    <x v="0"/>
    <x v="2"/>
    <x v="6"/>
    <n v="2057384.12"/>
  </r>
  <r>
    <x v="0"/>
    <x v="3"/>
    <x v="0"/>
    <x v="2"/>
    <x v="14"/>
    <n v="293255221.13999999"/>
  </r>
  <r>
    <x v="0"/>
    <x v="2"/>
    <x v="0"/>
    <x v="0"/>
    <x v="24"/>
    <n v="201628003.91999999"/>
  </r>
  <r>
    <x v="0"/>
    <x v="7"/>
    <x v="0"/>
    <x v="0"/>
    <x v="7"/>
    <n v="84528000"/>
  </r>
  <r>
    <x v="0"/>
    <x v="0"/>
    <x v="0"/>
    <x v="2"/>
    <x v="5"/>
    <n v="26627604.620000001"/>
  </r>
  <r>
    <x v="0"/>
    <x v="7"/>
    <x v="0"/>
    <x v="3"/>
    <x v="10"/>
    <n v="7067014.9299999997"/>
  </r>
  <r>
    <x v="0"/>
    <x v="5"/>
    <x v="0"/>
    <x v="3"/>
    <x v="23"/>
    <n v="8046000"/>
  </r>
  <r>
    <x v="1"/>
    <x v="4"/>
    <x v="1"/>
    <x v="2"/>
    <x v="19"/>
    <n v="-8144783.8600000003"/>
  </r>
  <r>
    <x v="1"/>
    <x v="0"/>
    <x v="0"/>
    <x v="2"/>
    <x v="6"/>
    <n v="2994680.65"/>
  </r>
  <r>
    <x v="0"/>
    <x v="5"/>
    <x v="0"/>
    <x v="3"/>
    <x v="9"/>
    <n v="3418000"/>
  </r>
  <r>
    <x v="0"/>
    <x v="5"/>
    <x v="0"/>
    <x v="2"/>
    <x v="1"/>
    <n v="64503736.759999998"/>
  </r>
  <r>
    <x v="1"/>
    <x v="3"/>
    <x v="0"/>
    <x v="0"/>
    <x v="19"/>
    <n v="4338134.57"/>
  </r>
  <r>
    <x v="0"/>
    <x v="8"/>
    <x v="0"/>
    <x v="0"/>
    <x v="21"/>
    <n v="161776263.84"/>
  </r>
  <r>
    <x v="1"/>
    <x v="2"/>
    <x v="0"/>
    <x v="0"/>
    <x v="10"/>
    <n v="452429.85"/>
  </r>
  <r>
    <x v="1"/>
    <x v="7"/>
    <x v="0"/>
    <x v="0"/>
    <x v="24"/>
    <n v="4608930.1100000003"/>
  </r>
  <r>
    <x v="0"/>
    <x v="4"/>
    <x v="0"/>
    <x v="0"/>
    <x v="8"/>
    <n v="200816175.18000001"/>
  </r>
  <r>
    <x v="0"/>
    <x v="8"/>
    <x v="0"/>
    <x v="0"/>
    <x v="23"/>
    <n v="216824768.09999999"/>
  </r>
  <r>
    <x v="1"/>
    <x v="8"/>
    <x v="0"/>
    <x v="3"/>
    <x v="19"/>
    <n v="365167.75"/>
  </r>
  <r>
    <x v="1"/>
    <x v="6"/>
    <x v="1"/>
    <x v="2"/>
    <x v="8"/>
    <n v="67533.679999999993"/>
  </r>
  <r>
    <x v="1"/>
    <x v="7"/>
    <x v="0"/>
    <x v="3"/>
    <x v="5"/>
    <n v="22000"/>
  </r>
  <r>
    <x v="0"/>
    <x v="4"/>
    <x v="0"/>
    <x v="2"/>
    <x v="22"/>
    <n v="242949196.05000001"/>
  </r>
  <r>
    <x v="0"/>
    <x v="4"/>
    <x v="0"/>
    <x v="2"/>
    <x v="14"/>
    <n v="257515696.47999999"/>
  </r>
  <r>
    <x v="1"/>
    <x v="6"/>
    <x v="0"/>
    <x v="2"/>
    <x v="9"/>
    <n v="-3358621.02"/>
  </r>
  <r>
    <x v="0"/>
    <x v="5"/>
    <x v="0"/>
    <x v="0"/>
    <x v="8"/>
    <n v="40164756"/>
  </r>
  <r>
    <x v="0"/>
    <x v="4"/>
    <x v="0"/>
    <x v="3"/>
    <x v="3"/>
    <n v="17699000"/>
  </r>
  <r>
    <x v="0"/>
    <x v="4"/>
    <x v="0"/>
    <x v="3"/>
    <x v="20"/>
    <n v="16736000"/>
  </r>
  <r>
    <x v="0"/>
    <x v="3"/>
    <x v="0"/>
    <x v="3"/>
    <x v="22"/>
    <n v="70012830.590000004"/>
  </r>
  <r>
    <x v="0"/>
    <x v="6"/>
    <x v="1"/>
    <x v="2"/>
    <x v="0"/>
    <n v="27699628.870000001"/>
  </r>
  <r>
    <x v="1"/>
    <x v="8"/>
    <x v="0"/>
    <x v="3"/>
    <x v="3"/>
    <n v="779017.28"/>
  </r>
  <r>
    <x v="1"/>
    <x v="7"/>
    <x v="0"/>
    <x v="0"/>
    <x v="15"/>
    <n v="1196.19"/>
  </r>
  <r>
    <x v="0"/>
    <x v="0"/>
    <x v="0"/>
    <x v="3"/>
    <x v="23"/>
    <n v="2725000"/>
  </r>
  <r>
    <x v="0"/>
    <x v="6"/>
    <x v="0"/>
    <x v="0"/>
    <x v="2"/>
    <n v="40323348.259999998"/>
  </r>
  <r>
    <x v="0"/>
    <x v="7"/>
    <x v="1"/>
    <x v="2"/>
    <x v="11"/>
    <n v="37109251.450000003"/>
  </r>
  <r>
    <x v="0"/>
    <x v="1"/>
    <x v="0"/>
    <x v="0"/>
    <x v="9"/>
    <n v="126946017.06999999"/>
  </r>
  <r>
    <x v="1"/>
    <x v="4"/>
    <x v="0"/>
    <x v="0"/>
    <x v="1"/>
    <n v="8261503.8700000001"/>
  </r>
  <r>
    <x v="0"/>
    <x v="0"/>
    <x v="0"/>
    <x v="0"/>
    <x v="14"/>
    <n v="35525124.039999999"/>
  </r>
  <r>
    <x v="1"/>
    <x v="4"/>
    <x v="0"/>
    <x v="0"/>
    <x v="22"/>
    <n v="1937658.77"/>
  </r>
  <r>
    <x v="0"/>
    <x v="2"/>
    <x v="0"/>
    <x v="3"/>
    <x v="10"/>
    <n v="6999000"/>
  </r>
  <r>
    <x v="1"/>
    <x v="1"/>
    <x v="0"/>
    <x v="0"/>
    <x v="13"/>
    <n v="1925729.86"/>
  </r>
  <r>
    <x v="1"/>
    <x v="7"/>
    <x v="0"/>
    <x v="0"/>
    <x v="0"/>
    <n v="706226.35"/>
  </r>
  <r>
    <x v="0"/>
    <x v="7"/>
    <x v="1"/>
    <x v="2"/>
    <x v="4"/>
    <n v="26969199.539999999"/>
  </r>
  <r>
    <x v="0"/>
    <x v="1"/>
    <x v="0"/>
    <x v="0"/>
    <x v="5"/>
    <n v="239071155.69999999"/>
  </r>
  <r>
    <x v="1"/>
    <x v="1"/>
    <x v="0"/>
    <x v="0"/>
    <x v="6"/>
    <n v="1951738.56"/>
  </r>
  <r>
    <x v="0"/>
    <x v="0"/>
    <x v="0"/>
    <x v="3"/>
    <x v="17"/>
    <n v="1411000"/>
  </r>
  <r>
    <x v="0"/>
    <x v="3"/>
    <x v="0"/>
    <x v="0"/>
    <x v="12"/>
    <n v="448597840.18000001"/>
  </r>
  <r>
    <x v="0"/>
    <x v="3"/>
    <x v="0"/>
    <x v="0"/>
    <x v="6"/>
    <n v="616940708.21000004"/>
  </r>
  <r>
    <x v="0"/>
    <x v="3"/>
    <x v="0"/>
    <x v="0"/>
    <x v="13"/>
    <n v="612133095.85000002"/>
  </r>
  <r>
    <x v="0"/>
    <x v="6"/>
    <x v="0"/>
    <x v="3"/>
    <x v="14"/>
    <n v="9538000"/>
  </r>
  <r>
    <x v="0"/>
    <x v="6"/>
    <x v="0"/>
    <x v="0"/>
    <x v="11"/>
    <n v="43275903.630000003"/>
  </r>
  <r>
    <x v="0"/>
    <x v="5"/>
    <x v="0"/>
    <x v="0"/>
    <x v="14"/>
    <n v="62135000"/>
  </r>
  <r>
    <x v="1"/>
    <x v="0"/>
    <x v="0"/>
    <x v="0"/>
    <x v="5"/>
    <n v="33991"/>
  </r>
  <r>
    <x v="0"/>
    <x v="2"/>
    <x v="0"/>
    <x v="0"/>
    <x v="11"/>
    <n v="357398546.75"/>
  </r>
  <r>
    <x v="0"/>
    <x v="3"/>
    <x v="0"/>
    <x v="3"/>
    <x v="14"/>
    <n v="81587149.060000002"/>
  </r>
  <r>
    <x v="1"/>
    <x v="0"/>
    <x v="0"/>
    <x v="2"/>
    <x v="16"/>
    <n v="2478039.2999999998"/>
  </r>
  <r>
    <x v="0"/>
    <x v="1"/>
    <x v="0"/>
    <x v="4"/>
    <x v="18"/>
    <n v="4968750"/>
  </r>
  <r>
    <x v="0"/>
    <x v="3"/>
    <x v="0"/>
    <x v="2"/>
    <x v="1"/>
    <n v="344509891.20999998"/>
  </r>
  <r>
    <x v="1"/>
    <x v="4"/>
    <x v="0"/>
    <x v="0"/>
    <x v="14"/>
    <n v="0"/>
  </r>
  <r>
    <x v="0"/>
    <x v="4"/>
    <x v="0"/>
    <x v="2"/>
    <x v="5"/>
    <n v="224183931.80000001"/>
  </r>
  <r>
    <x v="0"/>
    <x v="2"/>
    <x v="0"/>
    <x v="3"/>
    <x v="18"/>
    <n v="17160775.07"/>
  </r>
  <r>
    <x v="0"/>
    <x v="6"/>
    <x v="0"/>
    <x v="0"/>
    <x v="10"/>
    <n v="29351468.579999998"/>
  </r>
  <r>
    <x v="1"/>
    <x v="5"/>
    <x v="0"/>
    <x v="2"/>
    <x v="24"/>
    <n v="1582637.71"/>
  </r>
  <r>
    <x v="1"/>
    <x v="4"/>
    <x v="0"/>
    <x v="3"/>
    <x v="11"/>
    <n v="503000"/>
  </r>
  <r>
    <x v="1"/>
    <x v="1"/>
    <x v="0"/>
    <x v="1"/>
    <x v="24"/>
    <n v="35000000"/>
  </r>
  <r>
    <x v="0"/>
    <x v="3"/>
    <x v="0"/>
    <x v="0"/>
    <x v="0"/>
    <n v="519873577.60000002"/>
  </r>
  <r>
    <x v="0"/>
    <x v="8"/>
    <x v="0"/>
    <x v="0"/>
    <x v="11"/>
    <n v="192738548.47"/>
  </r>
  <r>
    <x v="0"/>
    <x v="7"/>
    <x v="1"/>
    <x v="2"/>
    <x v="17"/>
    <n v="30114834.760000002"/>
  </r>
  <r>
    <x v="1"/>
    <x v="6"/>
    <x v="0"/>
    <x v="0"/>
    <x v="3"/>
    <n v="2237406.0699999998"/>
  </r>
  <r>
    <x v="0"/>
    <x v="0"/>
    <x v="1"/>
    <x v="2"/>
    <x v="19"/>
    <n v="15217905.890000001"/>
  </r>
  <r>
    <x v="0"/>
    <x v="4"/>
    <x v="0"/>
    <x v="3"/>
    <x v="1"/>
    <n v="16998000"/>
  </r>
  <r>
    <x v="0"/>
    <x v="1"/>
    <x v="0"/>
    <x v="3"/>
    <x v="16"/>
    <n v="42828000"/>
  </r>
  <r>
    <x v="1"/>
    <x v="1"/>
    <x v="0"/>
    <x v="1"/>
    <x v="6"/>
    <n v="262221.12"/>
  </r>
  <r>
    <x v="1"/>
    <x v="3"/>
    <x v="0"/>
    <x v="0"/>
    <x v="25"/>
    <n v="-25654352.140000001"/>
  </r>
  <r>
    <x v="0"/>
    <x v="4"/>
    <x v="0"/>
    <x v="2"/>
    <x v="1"/>
    <n v="270379504.82999998"/>
  </r>
  <r>
    <x v="1"/>
    <x v="3"/>
    <x v="0"/>
    <x v="3"/>
    <x v="21"/>
    <n v="4731738.1500000004"/>
  </r>
  <r>
    <x v="1"/>
    <x v="3"/>
    <x v="0"/>
    <x v="2"/>
    <x v="7"/>
    <n v="2408322.2999999998"/>
  </r>
  <r>
    <x v="0"/>
    <x v="3"/>
    <x v="0"/>
    <x v="0"/>
    <x v="2"/>
    <n v="539841397.34000003"/>
  </r>
  <r>
    <x v="1"/>
    <x v="6"/>
    <x v="0"/>
    <x v="3"/>
    <x v="5"/>
    <n v="-64000"/>
  </r>
  <r>
    <x v="0"/>
    <x v="1"/>
    <x v="0"/>
    <x v="0"/>
    <x v="24"/>
    <n v="249984168.86000001"/>
  </r>
  <r>
    <x v="1"/>
    <x v="2"/>
    <x v="0"/>
    <x v="0"/>
    <x v="13"/>
    <n v="816580.77"/>
  </r>
  <r>
    <x v="0"/>
    <x v="2"/>
    <x v="0"/>
    <x v="3"/>
    <x v="13"/>
    <n v="16934100.34"/>
  </r>
  <r>
    <x v="1"/>
    <x v="0"/>
    <x v="1"/>
    <x v="2"/>
    <x v="21"/>
    <n v="4476671.7699999996"/>
  </r>
  <r>
    <x v="0"/>
    <x v="2"/>
    <x v="0"/>
    <x v="0"/>
    <x v="7"/>
    <n v="390263374.45999998"/>
  </r>
  <r>
    <x v="1"/>
    <x v="4"/>
    <x v="0"/>
    <x v="2"/>
    <x v="23"/>
    <n v="-1432171"/>
  </r>
  <r>
    <x v="1"/>
    <x v="7"/>
    <x v="0"/>
    <x v="2"/>
    <x v="14"/>
    <n v="14975988.529999999"/>
  </r>
  <r>
    <x v="0"/>
    <x v="1"/>
    <x v="0"/>
    <x v="3"/>
    <x v="6"/>
    <n v="52731000"/>
  </r>
  <r>
    <x v="0"/>
    <x v="7"/>
    <x v="0"/>
    <x v="3"/>
    <x v="11"/>
    <n v="6735000"/>
  </r>
  <r>
    <x v="1"/>
    <x v="0"/>
    <x v="0"/>
    <x v="2"/>
    <x v="22"/>
    <n v="2316633.15"/>
  </r>
  <r>
    <x v="1"/>
    <x v="0"/>
    <x v="0"/>
    <x v="2"/>
    <x v="14"/>
    <n v="2568844.38"/>
  </r>
  <r>
    <x v="0"/>
    <x v="0"/>
    <x v="0"/>
    <x v="3"/>
    <x v="16"/>
    <n v="2725000"/>
  </r>
  <r>
    <x v="0"/>
    <x v="0"/>
    <x v="0"/>
    <x v="2"/>
    <x v="16"/>
    <n v="11255886.539999999"/>
  </r>
  <r>
    <x v="1"/>
    <x v="4"/>
    <x v="1"/>
    <x v="2"/>
    <x v="15"/>
    <n v="-6025270.79"/>
  </r>
  <r>
    <x v="0"/>
    <x v="7"/>
    <x v="0"/>
    <x v="3"/>
    <x v="5"/>
    <n v="6912000"/>
  </r>
  <r>
    <x v="0"/>
    <x v="0"/>
    <x v="0"/>
    <x v="0"/>
    <x v="23"/>
    <n v="15634193.119999999"/>
  </r>
  <r>
    <x v="0"/>
    <x v="6"/>
    <x v="1"/>
    <x v="2"/>
    <x v="4"/>
    <n v="26517258.300000001"/>
  </r>
  <r>
    <x v="0"/>
    <x v="3"/>
    <x v="0"/>
    <x v="3"/>
    <x v="13"/>
    <n v="67102302.079999998"/>
  </r>
  <r>
    <x v="1"/>
    <x v="2"/>
    <x v="0"/>
    <x v="3"/>
    <x v="6"/>
    <n v="18991.05"/>
  </r>
  <r>
    <x v="0"/>
    <x v="2"/>
    <x v="0"/>
    <x v="0"/>
    <x v="22"/>
    <n v="339741379.63999999"/>
  </r>
  <r>
    <x v="0"/>
    <x v="6"/>
    <x v="0"/>
    <x v="2"/>
    <x v="23"/>
    <n v="57591834"/>
  </r>
  <r>
    <x v="1"/>
    <x v="2"/>
    <x v="0"/>
    <x v="0"/>
    <x v="4"/>
    <n v="19736.36"/>
  </r>
  <r>
    <x v="1"/>
    <x v="3"/>
    <x v="0"/>
    <x v="0"/>
    <x v="23"/>
    <n v="3500140.22"/>
  </r>
  <r>
    <x v="1"/>
    <x v="4"/>
    <x v="0"/>
    <x v="0"/>
    <x v="15"/>
    <n v="5376081.0800000001"/>
  </r>
  <r>
    <x v="0"/>
    <x v="2"/>
    <x v="0"/>
    <x v="3"/>
    <x v="20"/>
    <n v="28188992"/>
  </r>
  <r>
    <x v="0"/>
    <x v="3"/>
    <x v="0"/>
    <x v="2"/>
    <x v="24"/>
    <n v="335218487.76999998"/>
  </r>
  <r>
    <x v="0"/>
    <x v="5"/>
    <x v="0"/>
    <x v="0"/>
    <x v="21"/>
    <n v="43944106.520000003"/>
  </r>
  <r>
    <x v="0"/>
    <x v="1"/>
    <x v="0"/>
    <x v="1"/>
    <x v="24"/>
    <n v="73500000"/>
  </r>
  <r>
    <x v="0"/>
    <x v="0"/>
    <x v="1"/>
    <x v="2"/>
    <x v="12"/>
    <n v="13099962.279999999"/>
  </r>
  <r>
    <x v="0"/>
    <x v="0"/>
    <x v="1"/>
    <x v="2"/>
    <x v="2"/>
    <n v="16968701.629999999"/>
  </r>
  <r>
    <x v="0"/>
    <x v="3"/>
    <x v="0"/>
    <x v="0"/>
    <x v="22"/>
    <n v="663924481.70000005"/>
  </r>
  <r>
    <x v="0"/>
    <x v="5"/>
    <x v="0"/>
    <x v="0"/>
    <x v="24"/>
    <n v="25762000"/>
  </r>
  <r>
    <x v="1"/>
    <x v="7"/>
    <x v="0"/>
    <x v="0"/>
    <x v="14"/>
    <n v="369.99"/>
  </r>
  <r>
    <x v="1"/>
    <x v="3"/>
    <x v="1"/>
    <x v="2"/>
    <x v="0"/>
    <n v="-698144.34"/>
  </r>
  <r>
    <x v="0"/>
    <x v="2"/>
    <x v="0"/>
    <x v="3"/>
    <x v="17"/>
    <n v="7691000"/>
  </r>
  <r>
    <x v="1"/>
    <x v="6"/>
    <x v="0"/>
    <x v="2"/>
    <x v="16"/>
    <n v="-9069116.3599999994"/>
  </r>
  <r>
    <x v="0"/>
    <x v="5"/>
    <x v="0"/>
    <x v="2"/>
    <x v="16"/>
    <n v="49006597.530000001"/>
  </r>
  <r>
    <x v="0"/>
    <x v="5"/>
    <x v="0"/>
    <x v="3"/>
    <x v="25"/>
    <n v="7151000"/>
  </r>
  <r>
    <x v="0"/>
    <x v="7"/>
    <x v="0"/>
    <x v="2"/>
    <x v="9"/>
    <n v="32869645.109999999"/>
  </r>
  <r>
    <x v="1"/>
    <x v="2"/>
    <x v="1"/>
    <x v="2"/>
    <x v="4"/>
    <n v="13438043.68"/>
  </r>
  <r>
    <x v="1"/>
    <x v="2"/>
    <x v="0"/>
    <x v="3"/>
    <x v="13"/>
    <n v="37679.06"/>
  </r>
  <r>
    <x v="0"/>
    <x v="0"/>
    <x v="0"/>
    <x v="0"/>
    <x v="24"/>
    <n v="15164728.35"/>
  </r>
  <r>
    <x v="0"/>
    <x v="4"/>
    <x v="1"/>
    <x v="2"/>
    <x v="21"/>
    <n v="102385691"/>
  </r>
  <r>
    <x v="1"/>
    <x v="7"/>
    <x v="0"/>
    <x v="2"/>
    <x v="6"/>
    <n v="14607330.9"/>
  </r>
  <r>
    <x v="0"/>
    <x v="3"/>
    <x v="0"/>
    <x v="0"/>
    <x v="19"/>
    <n v="613027859.67999995"/>
  </r>
  <r>
    <x v="0"/>
    <x v="7"/>
    <x v="0"/>
    <x v="3"/>
    <x v="7"/>
    <n v="6919000"/>
  </r>
  <r>
    <x v="1"/>
    <x v="3"/>
    <x v="1"/>
    <x v="2"/>
    <x v="12"/>
    <n v="5168716.8899999997"/>
  </r>
  <r>
    <x v="1"/>
    <x v="0"/>
    <x v="0"/>
    <x v="0"/>
    <x v="0"/>
    <n v="0"/>
  </r>
  <r>
    <x v="1"/>
    <x v="5"/>
    <x v="0"/>
    <x v="0"/>
    <x v="10"/>
    <n v="-3000"/>
  </r>
  <r>
    <x v="1"/>
    <x v="5"/>
    <x v="0"/>
    <x v="0"/>
    <x v="0"/>
    <n v="3120799.7"/>
  </r>
  <r>
    <x v="1"/>
    <x v="6"/>
    <x v="1"/>
    <x v="2"/>
    <x v="12"/>
    <n v="122.4"/>
  </r>
  <r>
    <x v="1"/>
    <x v="8"/>
    <x v="0"/>
    <x v="1"/>
    <x v="20"/>
    <n v="2896985"/>
  </r>
  <r>
    <x v="0"/>
    <x v="0"/>
    <x v="0"/>
    <x v="0"/>
    <x v="11"/>
    <n v="27973000"/>
  </r>
  <r>
    <x v="1"/>
    <x v="5"/>
    <x v="0"/>
    <x v="0"/>
    <x v="12"/>
    <n v="2675406.19"/>
  </r>
  <r>
    <x v="1"/>
    <x v="6"/>
    <x v="0"/>
    <x v="0"/>
    <x v="11"/>
    <n v="1999096.37"/>
  </r>
  <r>
    <x v="0"/>
    <x v="3"/>
    <x v="1"/>
    <x v="2"/>
    <x v="21"/>
    <n v="195615513.77000001"/>
  </r>
  <r>
    <x v="1"/>
    <x v="1"/>
    <x v="0"/>
    <x v="0"/>
    <x v="14"/>
    <n v="2940242.71"/>
  </r>
  <r>
    <x v="1"/>
    <x v="7"/>
    <x v="1"/>
    <x v="2"/>
    <x v="4"/>
    <n v="11474212.619999999"/>
  </r>
  <r>
    <x v="0"/>
    <x v="5"/>
    <x v="0"/>
    <x v="2"/>
    <x v="25"/>
    <n v="66756715.240000002"/>
  </r>
  <r>
    <x v="1"/>
    <x v="4"/>
    <x v="0"/>
    <x v="0"/>
    <x v="0"/>
    <n v="1434624.58"/>
  </r>
  <r>
    <x v="1"/>
    <x v="8"/>
    <x v="0"/>
    <x v="0"/>
    <x v="20"/>
    <n v="406890.44"/>
  </r>
  <r>
    <x v="1"/>
    <x v="2"/>
    <x v="0"/>
    <x v="0"/>
    <x v="17"/>
    <n v="402096.11"/>
  </r>
  <r>
    <x v="0"/>
    <x v="4"/>
    <x v="0"/>
    <x v="0"/>
    <x v="7"/>
    <n v="246452777"/>
  </r>
  <r>
    <x v="0"/>
    <x v="5"/>
    <x v="0"/>
    <x v="3"/>
    <x v="16"/>
    <n v="8424000"/>
  </r>
  <r>
    <x v="1"/>
    <x v="3"/>
    <x v="0"/>
    <x v="2"/>
    <x v="10"/>
    <n v="14107920.970000001"/>
  </r>
  <r>
    <x v="0"/>
    <x v="8"/>
    <x v="0"/>
    <x v="1"/>
    <x v="23"/>
    <n v="73500000"/>
  </r>
  <r>
    <x v="0"/>
    <x v="1"/>
    <x v="0"/>
    <x v="3"/>
    <x v="1"/>
    <n v="4121925.68"/>
  </r>
  <r>
    <x v="0"/>
    <x v="6"/>
    <x v="1"/>
    <x v="2"/>
    <x v="20"/>
    <n v="45630175.890000001"/>
  </r>
  <r>
    <x v="1"/>
    <x v="6"/>
    <x v="0"/>
    <x v="0"/>
    <x v="4"/>
    <n v="1348897.62"/>
  </r>
  <r>
    <x v="0"/>
    <x v="2"/>
    <x v="1"/>
    <x v="2"/>
    <x v="8"/>
    <n v="123804038.62"/>
  </r>
  <r>
    <x v="0"/>
    <x v="7"/>
    <x v="1"/>
    <x v="2"/>
    <x v="19"/>
    <n v="32262588.91"/>
  </r>
  <r>
    <x v="1"/>
    <x v="8"/>
    <x v="0"/>
    <x v="0"/>
    <x v="4"/>
    <n v="2022783.08"/>
  </r>
  <r>
    <x v="0"/>
    <x v="4"/>
    <x v="0"/>
    <x v="3"/>
    <x v="13"/>
    <n v="16997000"/>
  </r>
  <r>
    <x v="1"/>
    <x v="3"/>
    <x v="0"/>
    <x v="2"/>
    <x v="25"/>
    <n v="5867194.54"/>
  </r>
  <r>
    <x v="1"/>
    <x v="5"/>
    <x v="0"/>
    <x v="0"/>
    <x v="15"/>
    <n v="3100006.65"/>
  </r>
  <r>
    <x v="0"/>
    <x v="0"/>
    <x v="0"/>
    <x v="0"/>
    <x v="17"/>
    <n v="26856726"/>
  </r>
  <r>
    <x v="1"/>
    <x v="6"/>
    <x v="0"/>
    <x v="2"/>
    <x v="25"/>
    <n v="43953.15"/>
  </r>
  <r>
    <x v="0"/>
    <x v="7"/>
    <x v="0"/>
    <x v="0"/>
    <x v="10"/>
    <n v="35335053.439999998"/>
  </r>
  <r>
    <x v="0"/>
    <x v="7"/>
    <x v="0"/>
    <x v="3"/>
    <x v="9"/>
    <n v="2343692"/>
  </r>
  <r>
    <x v="0"/>
    <x v="4"/>
    <x v="0"/>
    <x v="0"/>
    <x v="21"/>
    <n v="202108068.34"/>
  </r>
  <r>
    <x v="0"/>
    <x v="4"/>
    <x v="1"/>
    <x v="2"/>
    <x v="17"/>
    <n v="103493328.12"/>
  </r>
  <r>
    <x v="1"/>
    <x v="5"/>
    <x v="0"/>
    <x v="2"/>
    <x v="1"/>
    <n v="1921057.95"/>
  </r>
  <r>
    <x v="0"/>
    <x v="0"/>
    <x v="0"/>
    <x v="0"/>
    <x v="21"/>
    <n v="25648000"/>
  </r>
  <r>
    <x v="0"/>
    <x v="4"/>
    <x v="0"/>
    <x v="3"/>
    <x v="18"/>
    <n v="15112000"/>
  </r>
  <r>
    <x v="1"/>
    <x v="0"/>
    <x v="1"/>
    <x v="2"/>
    <x v="0"/>
    <n v="3579059.29"/>
  </r>
  <r>
    <x v="0"/>
    <x v="6"/>
    <x v="0"/>
    <x v="0"/>
    <x v="19"/>
    <n v="45911806.289999999"/>
  </r>
  <r>
    <x v="0"/>
    <x v="1"/>
    <x v="0"/>
    <x v="3"/>
    <x v="5"/>
    <n v="36549074.32"/>
  </r>
  <r>
    <x v="0"/>
    <x v="3"/>
    <x v="1"/>
    <x v="2"/>
    <x v="4"/>
    <n v="173348478.81999999"/>
  </r>
  <r>
    <x v="1"/>
    <x v="2"/>
    <x v="0"/>
    <x v="2"/>
    <x v="24"/>
    <n v="12676386.49"/>
  </r>
  <r>
    <x v="1"/>
    <x v="6"/>
    <x v="0"/>
    <x v="0"/>
    <x v="24"/>
    <n v="1916886.4"/>
  </r>
  <r>
    <x v="0"/>
    <x v="3"/>
    <x v="1"/>
    <x v="2"/>
    <x v="17"/>
    <n v="218238433.93000001"/>
  </r>
  <r>
    <x v="1"/>
    <x v="4"/>
    <x v="0"/>
    <x v="0"/>
    <x v="13"/>
    <n v="-195317.16"/>
  </r>
  <r>
    <x v="0"/>
    <x v="4"/>
    <x v="0"/>
    <x v="0"/>
    <x v="23"/>
    <n v="132489546.86"/>
  </r>
  <r>
    <x v="0"/>
    <x v="6"/>
    <x v="0"/>
    <x v="0"/>
    <x v="5"/>
    <n v="47752000"/>
  </r>
  <r>
    <x v="0"/>
    <x v="7"/>
    <x v="0"/>
    <x v="2"/>
    <x v="7"/>
    <n v="88267306.5"/>
  </r>
  <r>
    <x v="1"/>
    <x v="4"/>
    <x v="1"/>
    <x v="2"/>
    <x v="12"/>
    <n v="20552.400000000001"/>
  </r>
  <r>
    <x v="0"/>
    <x v="3"/>
    <x v="0"/>
    <x v="0"/>
    <x v="4"/>
    <n v="506504565.38999999"/>
  </r>
  <r>
    <x v="0"/>
    <x v="6"/>
    <x v="0"/>
    <x v="2"/>
    <x v="6"/>
    <n v="54080843.880000003"/>
  </r>
  <r>
    <x v="0"/>
    <x v="6"/>
    <x v="0"/>
    <x v="3"/>
    <x v="24"/>
    <n v="9538000"/>
  </r>
  <r>
    <x v="0"/>
    <x v="4"/>
    <x v="0"/>
    <x v="2"/>
    <x v="16"/>
    <n v="226453244.13"/>
  </r>
  <r>
    <x v="0"/>
    <x v="7"/>
    <x v="0"/>
    <x v="3"/>
    <x v="21"/>
    <n v="1158000"/>
  </r>
  <r>
    <x v="1"/>
    <x v="3"/>
    <x v="0"/>
    <x v="0"/>
    <x v="17"/>
    <n v="9289138.0199999996"/>
  </r>
  <r>
    <x v="0"/>
    <x v="4"/>
    <x v="0"/>
    <x v="0"/>
    <x v="5"/>
    <n v="213273652.41"/>
  </r>
  <r>
    <x v="0"/>
    <x v="2"/>
    <x v="0"/>
    <x v="2"/>
    <x v="5"/>
    <n v="597697525.90999997"/>
  </r>
  <r>
    <x v="1"/>
    <x v="2"/>
    <x v="0"/>
    <x v="0"/>
    <x v="20"/>
    <n v="9581.02"/>
  </r>
  <r>
    <x v="1"/>
    <x v="0"/>
    <x v="0"/>
    <x v="0"/>
    <x v="25"/>
    <n v="997"/>
  </r>
  <r>
    <x v="1"/>
    <x v="3"/>
    <x v="1"/>
    <x v="2"/>
    <x v="2"/>
    <n v="2324995.31"/>
  </r>
  <r>
    <x v="1"/>
    <x v="3"/>
    <x v="0"/>
    <x v="3"/>
    <x v="25"/>
    <n v="6453190.9100000001"/>
  </r>
  <r>
    <x v="1"/>
    <x v="6"/>
    <x v="1"/>
    <x v="2"/>
    <x v="21"/>
    <n v="125373.97"/>
  </r>
  <r>
    <x v="0"/>
    <x v="3"/>
    <x v="0"/>
    <x v="3"/>
    <x v="6"/>
    <n v="52727498.310000002"/>
  </r>
  <r>
    <x v="0"/>
    <x v="6"/>
    <x v="0"/>
    <x v="3"/>
    <x v="6"/>
    <n v="9538000"/>
  </r>
  <r>
    <x v="1"/>
    <x v="7"/>
    <x v="0"/>
    <x v="0"/>
    <x v="3"/>
    <n v="22161806.18"/>
  </r>
  <r>
    <x v="0"/>
    <x v="7"/>
    <x v="0"/>
    <x v="0"/>
    <x v="8"/>
    <n v="56601125.869999997"/>
  </r>
  <r>
    <x v="0"/>
    <x v="8"/>
    <x v="0"/>
    <x v="3"/>
    <x v="17"/>
    <n v="33647000"/>
  </r>
  <r>
    <x v="0"/>
    <x v="2"/>
    <x v="0"/>
    <x v="0"/>
    <x v="10"/>
    <n v="246568788.41999999"/>
  </r>
  <r>
    <x v="1"/>
    <x v="7"/>
    <x v="0"/>
    <x v="2"/>
    <x v="18"/>
    <n v="14705377.51"/>
  </r>
  <r>
    <x v="0"/>
    <x v="5"/>
    <x v="1"/>
    <x v="2"/>
    <x v="21"/>
    <n v="29548331.68"/>
  </r>
  <r>
    <x v="1"/>
    <x v="3"/>
    <x v="0"/>
    <x v="0"/>
    <x v="12"/>
    <n v="6838563.6699999999"/>
  </r>
  <r>
    <x v="1"/>
    <x v="3"/>
    <x v="0"/>
    <x v="0"/>
    <x v="11"/>
    <n v="306049.99"/>
  </r>
  <r>
    <x v="0"/>
    <x v="3"/>
    <x v="0"/>
    <x v="0"/>
    <x v="3"/>
    <n v="662221779.57000005"/>
  </r>
  <r>
    <x v="1"/>
    <x v="3"/>
    <x v="1"/>
    <x v="2"/>
    <x v="15"/>
    <n v="7698649.6500000004"/>
  </r>
  <r>
    <x v="0"/>
    <x v="6"/>
    <x v="0"/>
    <x v="0"/>
    <x v="8"/>
    <n v="43124785.950000003"/>
  </r>
  <r>
    <x v="1"/>
    <x v="1"/>
    <x v="0"/>
    <x v="0"/>
    <x v="5"/>
    <n v="1586984.13"/>
  </r>
  <r>
    <x v="0"/>
    <x v="3"/>
    <x v="0"/>
    <x v="3"/>
    <x v="18"/>
    <n v="71228982.269999996"/>
  </r>
  <r>
    <x v="0"/>
    <x v="5"/>
    <x v="0"/>
    <x v="2"/>
    <x v="10"/>
    <n v="59714250.25"/>
  </r>
  <r>
    <x v="0"/>
    <x v="0"/>
    <x v="0"/>
    <x v="2"/>
    <x v="10"/>
    <n v="28613779.890000001"/>
  </r>
  <r>
    <x v="1"/>
    <x v="2"/>
    <x v="0"/>
    <x v="2"/>
    <x v="23"/>
    <n v="16779379.010000002"/>
  </r>
  <r>
    <x v="0"/>
    <x v="4"/>
    <x v="0"/>
    <x v="3"/>
    <x v="7"/>
    <n v="16998000"/>
  </r>
  <r>
    <x v="0"/>
    <x v="3"/>
    <x v="0"/>
    <x v="0"/>
    <x v="25"/>
    <n v="586310187.25999999"/>
  </r>
  <r>
    <x v="0"/>
    <x v="7"/>
    <x v="0"/>
    <x v="0"/>
    <x v="24"/>
    <n v="28177069.890000001"/>
  </r>
  <r>
    <x v="1"/>
    <x v="4"/>
    <x v="0"/>
    <x v="0"/>
    <x v="21"/>
    <n v="4300931.66"/>
  </r>
  <r>
    <x v="0"/>
    <x v="5"/>
    <x v="0"/>
    <x v="0"/>
    <x v="7"/>
    <n v="58296000"/>
  </r>
  <r>
    <x v="0"/>
    <x v="8"/>
    <x v="0"/>
    <x v="3"/>
    <x v="20"/>
    <n v="-29847170.5"/>
  </r>
  <r>
    <x v="1"/>
    <x v="2"/>
    <x v="0"/>
    <x v="3"/>
    <x v="18"/>
    <n v="-7215.36"/>
  </r>
  <r>
    <x v="0"/>
    <x v="8"/>
    <x v="0"/>
    <x v="0"/>
    <x v="17"/>
    <n v="169279180.12"/>
  </r>
  <r>
    <x v="0"/>
    <x v="6"/>
    <x v="0"/>
    <x v="0"/>
    <x v="22"/>
    <n v="54365000"/>
  </r>
  <r>
    <x v="0"/>
    <x v="6"/>
    <x v="0"/>
    <x v="0"/>
    <x v="0"/>
    <n v="39731162.200000003"/>
  </r>
  <r>
    <x v="1"/>
    <x v="1"/>
    <x v="0"/>
    <x v="1"/>
    <x v="13"/>
    <n v="172836.65"/>
  </r>
  <r>
    <x v="0"/>
    <x v="2"/>
    <x v="1"/>
    <x v="2"/>
    <x v="12"/>
    <n v="118398157.41"/>
  </r>
  <r>
    <x v="0"/>
    <x v="4"/>
    <x v="0"/>
    <x v="2"/>
    <x v="23"/>
    <n v="210793819.06999999"/>
  </r>
  <r>
    <x v="0"/>
    <x v="5"/>
    <x v="0"/>
    <x v="2"/>
    <x v="22"/>
    <n v="67034146.539999999"/>
  </r>
  <r>
    <x v="0"/>
    <x v="2"/>
    <x v="0"/>
    <x v="3"/>
    <x v="3"/>
    <n v="26345000"/>
  </r>
  <r>
    <x v="0"/>
    <x v="3"/>
    <x v="0"/>
    <x v="3"/>
    <x v="25"/>
    <n v="40904846.75"/>
  </r>
  <r>
    <x v="0"/>
    <x v="0"/>
    <x v="0"/>
    <x v="2"/>
    <x v="14"/>
    <n v="12100735.869999999"/>
  </r>
  <r>
    <x v="1"/>
    <x v="4"/>
    <x v="1"/>
    <x v="2"/>
    <x v="8"/>
    <n v="5257590.79"/>
  </r>
  <r>
    <x v="0"/>
    <x v="7"/>
    <x v="0"/>
    <x v="2"/>
    <x v="18"/>
    <n v="76075347.579999998"/>
  </r>
  <r>
    <x v="0"/>
    <x v="6"/>
    <x v="1"/>
    <x v="2"/>
    <x v="11"/>
    <n v="37163561.75"/>
  </r>
  <r>
    <x v="0"/>
    <x v="5"/>
    <x v="0"/>
    <x v="2"/>
    <x v="14"/>
    <n v="46229841.280000001"/>
  </r>
  <r>
    <x v="1"/>
    <x v="5"/>
    <x v="0"/>
    <x v="0"/>
    <x v="8"/>
    <n v="3805415"/>
  </r>
  <r>
    <x v="0"/>
    <x v="4"/>
    <x v="1"/>
    <x v="2"/>
    <x v="3"/>
    <n v="144642892.97"/>
  </r>
  <r>
    <x v="1"/>
    <x v="3"/>
    <x v="0"/>
    <x v="3"/>
    <x v="13"/>
    <n v="7736538.1399999997"/>
  </r>
  <r>
    <x v="1"/>
    <x v="1"/>
    <x v="0"/>
    <x v="3"/>
    <x v="16"/>
    <n v="88748"/>
  </r>
  <r>
    <x v="1"/>
    <x v="3"/>
    <x v="0"/>
    <x v="0"/>
    <x v="2"/>
    <n v="-5689896.4299999997"/>
  </r>
  <r>
    <x v="1"/>
    <x v="5"/>
    <x v="0"/>
    <x v="2"/>
    <x v="10"/>
    <n v="1679498.07"/>
  </r>
  <r>
    <x v="1"/>
    <x v="7"/>
    <x v="1"/>
    <x v="2"/>
    <x v="19"/>
    <n v="16815738.620000001"/>
  </r>
  <r>
    <x v="1"/>
    <x v="3"/>
    <x v="0"/>
    <x v="0"/>
    <x v="13"/>
    <n v="25205731.18"/>
  </r>
  <r>
    <x v="0"/>
    <x v="6"/>
    <x v="1"/>
    <x v="2"/>
    <x v="12"/>
    <n v="16506686.640000001"/>
  </r>
  <r>
    <x v="1"/>
    <x v="3"/>
    <x v="0"/>
    <x v="2"/>
    <x v="6"/>
    <n v="18312657.129999999"/>
  </r>
  <r>
    <x v="1"/>
    <x v="0"/>
    <x v="1"/>
    <x v="2"/>
    <x v="2"/>
    <n v="-1265988.73"/>
  </r>
  <r>
    <x v="1"/>
    <x v="0"/>
    <x v="0"/>
    <x v="0"/>
    <x v="8"/>
    <n v="-698000"/>
  </r>
  <r>
    <x v="1"/>
    <x v="5"/>
    <x v="1"/>
    <x v="2"/>
    <x v="11"/>
    <n v="333340.93"/>
  </r>
  <r>
    <x v="1"/>
    <x v="0"/>
    <x v="1"/>
    <x v="2"/>
    <x v="12"/>
    <n v="1191246.04"/>
  </r>
  <r>
    <x v="0"/>
    <x v="2"/>
    <x v="0"/>
    <x v="3"/>
    <x v="25"/>
    <n v="6999000"/>
  </r>
  <r>
    <x v="0"/>
    <x v="4"/>
    <x v="1"/>
    <x v="2"/>
    <x v="19"/>
    <n v="127180112.51000001"/>
  </r>
  <r>
    <x v="0"/>
    <x v="0"/>
    <x v="1"/>
    <x v="2"/>
    <x v="0"/>
    <n v="21169524.32"/>
  </r>
  <r>
    <x v="0"/>
    <x v="1"/>
    <x v="0"/>
    <x v="3"/>
    <x v="14"/>
    <n v="42660000"/>
  </r>
  <r>
    <x v="1"/>
    <x v="4"/>
    <x v="0"/>
    <x v="2"/>
    <x v="5"/>
    <n v="1018312.2"/>
  </r>
  <r>
    <x v="1"/>
    <x v="3"/>
    <x v="0"/>
    <x v="2"/>
    <x v="18"/>
    <n v="-4730719.4000000004"/>
  </r>
  <r>
    <x v="0"/>
    <x v="7"/>
    <x v="0"/>
    <x v="0"/>
    <x v="15"/>
    <n v="59839191.810000002"/>
  </r>
  <r>
    <x v="1"/>
    <x v="2"/>
    <x v="0"/>
    <x v="0"/>
    <x v="25"/>
    <n v="180527.32"/>
  </r>
  <r>
    <x v="0"/>
    <x v="2"/>
    <x v="0"/>
    <x v="0"/>
    <x v="20"/>
    <n v="259692516.24000001"/>
  </r>
  <r>
    <x v="0"/>
    <x v="4"/>
    <x v="0"/>
    <x v="2"/>
    <x v="24"/>
    <n v="230253084.59999999"/>
  </r>
  <r>
    <x v="0"/>
    <x v="0"/>
    <x v="0"/>
    <x v="0"/>
    <x v="5"/>
    <n v="25710009"/>
  </r>
  <r>
    <x v="0"/>
    <x v="4"/>
    <x v="0"/>
    <x v="3"/>
    <x v="9"/>
    <n v="5668500"/>
  </r>
  <r>
    <x v="1"/>
    <x v="7"/>
    <x v="0"/>
    <x v="2"/>
    <x v="7"/>
    <n v="14038921.27"/>
  </r>
  <r>
    <x v="0"/>
    <x v="7"/>
    <x v="0"/>
    <x v="0"/>
    <x v="13"/>
    <n v="74902000"/>
  </r>
  <r>
    <x v="0"/>
    <x v="7"/>
    <x v="0"/>
    <x v="3"/>
    <x v="24"/>
    <n v="5635217.7999999998"/>
  </r>
  <r>
    <x v="1"/>
    <x v="2"/>
    <x v="0"/>
    <x v="0"/>
    <x v="22"/>
    <n v="905663.19"/>
  </r>
  <r>
    <x v="0"/>
    <x v="2"/>
    <x v="1"/>
    <x v="2"/>
    <x v="0"/>
    <n v="201119030.19"/>
  </r>
  <r>
    <x v="1"/>
    <x v="4"/>
    <x v="0"/>
    <x v="0"/>
    <x v="11"/>
    <n v="2147585.7400000002"/>
  </r>
  <r>
    <x v="0"/>
    <x v="6"/>
    <x v="0"/>
    <x v="3"/>
    <x v="10"/>
    <n v="9538000"/>
  </r>
  <r>
    <x v="1"/>
    <x v="0"/>
    <x v="0"/>
    <x v="0"/>
    <x v="14"/>
    <n v="5000"/>
  </r>
  <r>
    <x v="1"/>
    <x v="2"/>
    <x v="1"/>
    <x v="2"/>
    <x v="12"/>
    <n v="9276002.3599999994"/>
  </r>
  <r>
    <x v="0"/>
    <x v="7"/>
    <x v="0"/>
    <x v="2"/>
    <x v="6"/>
    <n v="75753543.230000004"/>
  </r>
  <r>
    <x v="0"/>
    <x v="0"/>
    <x v="0"/>
    <x v="3"/>
    <x v="22"/>
    <n v="2725000"/>
  </r>
  <r>
    <x v="1"/>
    <x v="3"/>
    <x v="1"/>
    <x v="2"/>
    <x v="11"/>
    <n v="-1363298.98"/>
  </r>
  <r>
    <x v="0"/>
    <x v="5"/>
    <x v="0"/>
    <x v="3"/>
    <x v="22"/>
    <n v="8380000"/>
  </r>
  <r>
    <x v="1"/>
    <x v="0"/>
    <x v="0"/>
    <x v="2"/>
    <x v="25"/>
    <n v="4093237.24"/>
  </r>
  <r>
    <x v="1"/>
    <x v="3"/>
    <x v="0"/>
    <x v="3"/>
    <x v="6"/>
    <n v="6661342.0899999999"/>
  </r>
  <r>
    <x v="0"/>
    <x v="3"/>
    <x v="0"/>
    <x v="4"/>
    <x v="20"/>
    <n v="12316.31"/>
  </r>
  <r>
    <x v="0"/>
    <x v="6"/>
    <x v="0"/>
    <x v="2"/>
    <x v="25"/>
    <n v="62194553.18"/>
  </r>
  <r>
    <x v="0"/>
    <x v="5"/>
    <x v="1"/>
    <x v="2"/>
    <x v="0"/>
    <n v="30953376.59"/>
  </r>
  <r>
    <x v="0"/>
    <x v="5"/>
    <x v="0"/>
    <x v="0"/>
    <x v="5"/>
    <n v="48158000"/>
  </r>
  <r>
    <x v="1"/>
    <x v="0"/>
    <x v="1"/>
    <x v="2"/>
    <x v="11"/>
    <n v="4657445.22"/>
  </r>
  <r>
    <x v="1"/>
    <x v="0"/>
    <x v="0"/>
    <x v="0"/>
    <x v="20"/>
    <n v="-751.21"/>
  </r>
  <r>
    <x v="0"/>
    <x v="4"/>
    <x v="0"/>
    <x v="0"/>
    <x v="6"/>
    <n v="197615388.74000001"/>
  </r>
  <r>
    <x v="1"/>
    <x v="5"/>
    <x v="0"/>
    <x v="2"/>
    <x v="16"/>
    <n v="2224023.2400000002"/>
  </r>
  <r>
    <x v="1"/>
    <x v="7"/>
    <x v="0"/>
    <x v="3"/>
    <x v="24"/>
    <n v="921782.2"/>
  </r>
  <r>
    <x v="1"/>
    <x v="1"/>
    <x v="0"/>
    <x v="1"/>
    <x v="7"/>
    <n v="157805.76999999999"/>
  </r>
  <r>
    <x v="0"/>
    <x v="2"/>
    <x v="0"/>
    <x v="0"/>
    <x v="4"/>
    <n v="311608263.63999999"/>
  </r>
  <r>
    <x v="1"/>
    <x v="6"/>
    <x v="0"/>
    <x v="0"/>
    <x v="0"/>
    <n v="2982633.2"/>
  </r>
  <r>
    <x v="0"/>
    <x v="5"/>
    <x v="1"/>
    <x v="2"/>
    <x v="15"/>
    <n v="19036059.350000001"/>
  </r>
  <r>
    <x v="0"/>
    <x v="8"/>
    <x v="0"/>
    <x v="0"/>
    <x v="20"/>
    <n v="187512960.31"/>
  </r>
  <r>
    <x v="0"/>
    <x v="3"/>
    <x v="0"/>
    <x v="2"/>
    <x v="10"/>
    <n v="334352571.69999999"/>
  </r>
  <r>
    <x v="1"/>
    <x v="7"/>
    <x v="0"/>
    <x v="0"/>
    <x v="23"/>
    <n v="3985233.01"/>
  </r>
  <r>
    <x v="1"/>
    <x v="3"/>
    <x v="1"/>
    <x v="2"/>
    <x v="21"/>
    <n v="12873375.119999999"/>
  </r>
  <r>
    <x v="1"/>
    <x v="7"/>
    <x v="0"/>
    <x v="2"/>
    <x v="5"/>
    <n v="15885812.48"/>
  </r>
  <r>
    <x v="0"/>
    <x v="2"/>
    <x v="0"/>
    <x v="3"/>
    <x v="19"/>
    <n v="15831102.17"/>
  </r>
  <r>
    <x v="0"/>
    <x v="1"/>
    <x v="0"/>
    <x v="1"/>
    <x v="16"/>
    <n v="34332395.479999997"/>
  </r>
  <r>
    <x v="0"/>
    <x v="4"/>
    <x v="0"/>
    <x v="3"/>
    <x v="21"/>
    <n v="3248000"/>
  </r>
  <r>
    <x v="0"/>
    <x v="3"/>
    <x v="1"/>
    <x v="2"/>
    <x v="11"/>
    <n v="238537525.25999999"/>
  </r>
  <r>
    <x v="1"/>
    <x v="7"/>
    <x v="1"/>
    <x v="2"/>
    <x v="3"/>
    <n v="14259834.470000001"/>
  </r>
  <r>
    <x v="0"/>
    <x v="0"/>
    <x v="0"/>
    <x v="3"/>
    <x v="14"/>
    <n v="2725000"/>
  </r>
  <r>
    <x v="1"/>
    <x v="2"/>
    <x v="0"/>
    <x v="2"/>
    <x v="18"/>
    <n v="10025612.24"/>
  </r>
  <r>
    <x v="0"/>
    <x v="6"/>
    <x v="0"/>
    <x v="2"/>
    <x v="18"/>
    <n v="70441031.890000001"/>
  </r>
  <r>
    <x v="0"/>
    <x v="3"/>
    <x v="0"/>
    <x v="0"/>
    <x v="8"/>
    <n v="477826267.26999998"/>
  </r>
  <r>
    <x v="1"/>
    <x v="0"/>
    <x v="0"/>
    <x v="2"/>
    <x v="10"/>
    <n v="4216047.7"/>
  </r>
  <r>
    <x v="0"/>
    <x v="7"/>
    <x v="0"/>
    <x v="2"/>
    <x v="24"/>
    <n v="74082628.930000007"/>
  </r>
  <r>
    <x v="0"/>
    <x v="2"/>
    <x v="0"/>
    <x v="0"/>
    <x v="5"/>
    <n v="317075769.73000002"/>
  </r>
  <r>
    <x v="0"/>
    <x v="4"/>
    <x v="0"/>
    <x v="0"/>
    <x v="24"/>
    <n v="135248558.84"/>
  </r>
  <r>
    <x v="0"/>
    <x v="2"/>
    <x v="0"/>
    <x v="2"/>
    <x v="22"/>
    <n v="602033902.13"/>
  </r>
  <r>
    <x v="1"/>
    <x v="2"/>
    <x v="0"/>
    <x v="0"/>
    <x v="19"/>
    <n v="211498.18"/>
  </r>
  <r>
    <x v="1"/>
    <x v="7"/>
    <x v="0"/>
    <x v="2"/>
    <x v="24"/>
    <n v="9838750.9600000009"/>
  </r>
  <r>
    <x v="0"/>
    <x v="8"/>
    <x v="0"/>
    <x v="0"/>
    <x v="4"/>
    <n v="147933176.47999999"/>
  </r>
  <r>
    <x v="0"/>
    <x v="1"/>
    <x v="0"/>
    <x v="0"/>
    <x v="22"/>
    <n v="277513126.56999999"/>
  </r>
  <r>
    <x v="0"/>
    <x v="4"/>
    <x v="0"/>
    <x v="0"/>
    <x v="15"/>
    <n v="195893949.91999999"/>
  </r>
  <r>
    <x v="1"/>
    <x v="3"/>
    <x v="0"/>
    <x v="0"/>
    <x v="18"/>
    <n v="22633493.899999999"/>
  </r>
  <r>
    <x v="1"/>
    <x v="1"/>
    <x v="0"/>
    <x v="0"/>
    <x v="10"/>
    <n v="1098568.56"/>
  </r>
  <r>
    <x v="0"/>
    <x v="3"/>
    <x v="1"/>
    <x v="2"/>
    <x v="15"/>
    <n v="138374079.81999999"/>
  </r>
  <r>
    <x v="0"/>
    <x v="3"/>
    <x v="0"/>
    <x v="0"/>
    <x v="10"/>
    <n v="599527607.54999995"/>
  </r>
  <r>
    <x v="1"/>
    <x v="3"/>
    <x v="0"/>
    <x v="3"/>
    <x v="18"/>
    <n v="7308281.04"/>
  </r>
  <r>
    <x v="0"/>
    <x v="0"/>
    <x v="0"/>
    <x v="0"/>
    <x v="1"/>
    <n v="22302000"/>
  </r>
  <r>
    <x v="1"/>
    <x v="4"/>
    <x v="0"/>
    <x v="0"/>
    <x v="23"/>
    <n v="1934329.99"/>
  </r>
  <r>
    <x v="1"/>
    <x v="5"/>
    <x v="0"/>
    <x v="3"/>
    <x v="19"/>
    <n v="0"/>
  </r>
  <r>
    <x v="1"/>
    <x v="7"/>
    <x v="1"/>
    <x v="2"/>
    <x v="8"/>
    <n v="12314045.050000001"/>
  </r>
  <r>
    <x v="0"/>
    <x v="5"/>
    <x v="0"/>
    <x v="3"/>
    <x v="20"/>
    <n v="7995000"/>
  </r>
  <r>
    <x v="0"/>
    <x v="0"/>
    <x v="0"/>
    <x v="3"/>
    <x v="1"/>
    <n v="2725000"/>
  </r>
  <r>
    <x v="0"/>
    <x v="5"/>
    <x v="0"/>
    <x v="3"/>
    <x v="1"/>
    <n v="8304000"/>
  </r>
  <r>
    <x v="1"/>
    <x v="4"/>
    <x v="0"/>
    <x v="0"/>
    <x v="24"/>
    <n v="-1548608.84"/>
  </r>
  <r>
    <x v="1"/>
    <x v="6"/>
    <x v="0"/>
    <x v="0"/>
    <x v="10"/>
    <n v="378531.42"/>
  </r>
  <r>
    <x v="0"/>
    <x v="4"/>
    <x v="0"/>
    <x v="0"/>
    <x v="13"/>
    <n v="213276379.16"/>
  </r>
  <r>
    <x v="1"/>
    <x v="2"/>
    <x v="1"/>
    <x v="2"/>
    <x v="11"/>
    <n v="3136478.91"/>
  </r>
  <r>
    <x v="0"/>
    <x v="4"/>
    <x v="0"/>
    <x v="0"/>
    <x v="0"/>
    <n v="189800802.68000001"/>
  </r>
  <r>
    <x v="1"/>
    <x v="8"/>
    <x v="0"/>
    <x v="0"/>
    <x v="8"/>
    <n v="4190154.66"/>
  </r>
  <r>
    <x v="0"/>
    <x v="1"/>
    <x v="0"/>
    <x v="3"/>
    <x v="22"/>
    <n v="52383858.560000002"/>
  </r>
  <r>
    <x v="0"/>
    <x v="5"/>
    <x v="0"/>
    <x v="3"/>
    <x v="19"/>
    <n v="6707000"/>
  </r>
  <r>
    <x v="0"/>
    <x v="3"/>
    <x v="0"/>
    <x v="3"/>
    <x v="24"/>
    <n v="35921442.340000004"/>
  </r>
  <r>
    <x v="1"/>
    <x v="0"/>
    <x v="1"/>
    <x v="2"/>
    <x v="19"/>
    <n v="5177668.79"/>
  </r>
  <r>
    <x v="0"/>
    <x v="5"/>
    <x v="0"/>
    <x v="3"/>
    <x v="6"/>
    <n v="8304000"/>
  </r>
  <r>
    <x v="1"/>
    <x v="3"/>
    <x v="0"/>
    <x v="2"/>
    <x v="1"/>
    <n v="19976784.75"/>
  </r>
  <r>
    <x v="1"/>
    <x v="8"/>
    <x v="0"/>
    <x v="0"/>
    <x v="2"/>
    <n v="2292991.84"/>
  </r>
  <r>
    <x v="0"/>
    <x v="0"/>
    <x v="0"/>
    <x v="3"/>
    <x v="18"/>
    <n v="2725000"/>
  </r>
  <r>
    <x v="0"/>
    <x v="0"/>
    <x v="0"/>
    <x v="2"/>
    <x v="13"/>
    <n v="19933519.559999999"/>
  </r>
  <r>
    <x v="0"/>
    <x v="1"/>
    <x v="0"/>
    <x v="3"/>
    <x v="9"/>
    <n v="17631922.739999998"/>
  </r>
  <r>
    <x v="1"/>
    <x v="2"/>
    <x v="0"/>
    <x v="3"/>
    <x v="11"/>
    <n v="142205.32999999999"/>
  </r>
  <r>
    <x v="0"/>
    <x v="3"/>
    <x v="0"/>
    <x v="2"/>
    <x v="23"/>
    <n v="295056174.75"/>
  </r>
  <r>
    <x v="0"/>
    <x v="2"/>
    <x v="0"/>
    <x v="0"/>
    <x v="16"/>
    <n v="521308220.80000001"/>
  </r>
  <r>
    <x v="1"/>
    <x v="4"/>
    <x v="0"/>
    <x v="0"/>
    <x v="25"/>
    <n v="-4927154.2699999996"/>
  </r>
  <r>
    <x v="1"/>
    <x v="2"/>
    <x v="0"/>
    <x v="0"/>
    <x v="24"/>
    <n v="41860.199999999997"/>
  </r>
  <r>
    <x v="0"/>
    <x v="3"/>
    <x v="1"/>
    <x v="2"/>
    <x v="19"/>
    <n v="221509481.18000001"/>
  </r>
  <r>
    <x v="0"/>
    <x v="8"/>
    <x v="0"/>
    <x v="1"/>
    <x v="20"/>
    <n v="70603015"/>
  </r>
  <r>
    <x v="0"/>
    <x v="6"/>
    <x v="0"/>
    <x v="0"/>
    <x v="4"/>
    <n v="39043080.810000002"/>
  </r>
  <r>
    <x v="0"/>
    <x v="0"/>
    <x v="0"/>
    <x v="3"/>
    <x v="6"/>
    <n v="2725000"/>
  </r>
  <r>
    <x v="0"/>
    <x v="2"/>
    <x v="0"/>
    <x v="3"/>
    <x v="11"/>
    <n v="27071934.620000001"/>
  </r>
  <r>
    <x v="1"/>
    <x v="2"/>
    <x v="0"/>
    <x v="0"/>
    <x v="12"/>
    <n v="4259679.72"/>
  </r>
  <r>
    <x v="1"/>
    <x v="3"/>
    <x v="0"/>
    <x v="3"/>
    <x v="5"/>
    <n v="3031302.45"/>
  </r>
  <r>
    <x v="1"/>
    <x v="2"/>
    <x v="0"/>
    <x v="2"/>
    <x v="7"/>
    <n v="27801236.140000001"/>
  </r>
  <r>
    <x v="0"/>
    <x v="4"/>
    <x v="0"/>
    <x v="2"/>
    <x v="25"/>
    <n v="250036263.59999999"/>
  </r>
  <r>
    <x v="1"/>
    <x v="0"/>
    <x v="0"/>
    <x v="3"/>
    <x v="11"/>
    <n v="0"/>
  </r>
  <r>
    <x v="0"/>
    <x v="3"/>
    <x v="0"/>
    <x v="5"/>
    <x v="20"/>
    <n v="13358001.789999999"/>
  </r>
  <r>
    <x v="1"/>
    <x v="3"/>
    <x v="0"/>
    <x v="2"/>
    <x v="5"/>
    <n v="3855095.72"/>
  </r>
  <r>
    <x v="0"/>
    <x v="4"/>
    <x v="0"/>
    <x v="3"/>
    <x v="25"/>
    <n v="16997000"/>
  </r>
  <r>
    <x v="0"/>
    <x v="5"/>
    <x v="0"/>
    <x v="0"/>
    <x v="25"/>
    <n v="31525000"/>
  </r>
  <r>
    <x v="1"/>
    <x v="8"/>
    <x v="0"/>
    <x v="0"/>
    <x v="15"/>
    <n v="2599109.9500000002"/>
  </r>
  <r>
    <x v="0"/>
    <x v="0"/>
    <x v="0"/>
    <x v="3"/>
    <x v="13"/>
    <n v="2725000"/>
  </r>
  <r>
    <x v="0"/>
    <x v="5"/>
    <x v="0"/>
    <x v="0"/>
    <x v="16"/>
    <n v="65664000"/>
  </r>
  <r>
    <x v="0"/>
    <x v="3"/>
    <x v="0"/>
    <x v="3"/>
    <x v="17"/>
    <n v="19807939.649999999"/>
  </r>
  <r>
    <x v="1"/>
    <x v="3"/>
    <x v="0"/>
    <x v="3"/>
    <x v="3"/>
    <n v="11771545.01"/>
  </r>
  <r>
    <x v="0"/>
    <x v="5"/>
    <x v="0"/>
    <x v="0"/>
    <x v="2"/>
    <n v="40819938.020000003"/>
  </r>
  <r>
    <x v="0"/>
    <x v="2"/>
    <x v="0"/>
    <x v="2"/>
    <x v="7"/>
    <n v="590637472.21000004"/>
  </r>
  <r>
    <x v="0"/>
    <x v="5"/>
    <x v="1"/>
    <x v="2"/>
    <x v="20"/>
    <n v="42290329.469999999"/>
  </r>
  <r>
    <x v="1"/>
    <x v="7"/>
    <x v="1"/>
    <x v="2"/>
    <x v="15"/>
    <n v="12470609.550000001"/>
  </r>
  <r>
    <x v="1"/>
    <x v="0"/>
    <x v="0"/>
    <x v="0"/>
    <x v="11"/>
    <n v="0"/>
  </r>
  <r>
    <x v="0"/>
    <x v="3"/>
    <x v="0"/>
    <x v="2"/>
    <x v="9"/>
    <n v="218521827.97"/>
  </r>
  <r>
    <x v="0"/>
    <x v="3"/>
    <x v="0"/>
    <x v="0"/>
    <x v="21"/>
    <n v="545396347.39999998"/>
  </r>
  <r>
    <x v="0"/>
    <x v="2"/>
    <x v="0"/>
    <x v="2"/>
    <x v="6"/>
    <n v="665942630"/>
  </r>
  <r>
    <x v="1"/>
    <x v="0"/>
    <x v="0"/>
    <x v="0"/>
    <x v="24"/>
    <n v="271.64999999999998"/>
  </r>
  <r>
    <x v="1"/>
    <x v="4"/>
    <x v="0"/>
    <x v="0"/>
    <x v="10"/>
    <n v="3704550.11"/>
  </r>
  <r>
    <x v="0"/>
    <x v="1"/>
    <x v="0"/>
    <x v="0"/>
    <x v="18"/>
    <n v="293925873.22000003"/>
  </r>
  <r>
    <x v="0"/>
    <x v="2"/>
    <x v="0"/>
    <x v="0"/>
    <x v="18"/>
    <n v="353534516.07999998"/>
  </r>
  <r>
    <x v="0"/>
    <x v="4"/>
    <x v="0"/>
    <x v="0"/>
    <x v="20"/>
    <n v="172470741.69"/>
  </r>
  <r>
    <x v="0"/>
    <x v="6"/>
    <x v="0"/>
    <x v="3"/>
    <x v="1"/>
    <n v="9538000"/>
  </r>
  <r>
    <x v="0"/>
    <x v="7"/>
    <x v="0"/>
    <x v="2"/>
    <x v="14"/>
    <n v="92162030.180000007"/>
  </r>
  <r>
    <x v="0"/>
    <x v="2"/>
    <x v="0"/>
    <x v="3"/>
    <x v="24"/>
    <n v="7853000"/>
  </r>
  <r>
    <x v="1"/>
    <x v="0"/>
    <x v="0"/>
    <x v="2"/>
    <x v="24"/>
    <n v="4391615.72"/>
  </r>
  <r>
    <x v="0"/>
    <x v="6"/>
    <x v="0"/>
    <x v="0"/>
    <x v="21"/>
    <n v="44039402.030000001"/>
  </r>
  <r>
    <x v="1"/>
    <x v="5"/>
    <x v="0"/>
    <x v="0"/>
    <x v="17"/>
    <n v="-1201964.51"/>
  </r>
  <r>
    <x v="1"/>
    <x v="2"/>
    <x v="0"/>
    <x v="0"/>
    <x v="23"/>
    <n v="22927.62"/>
  </r>
  <r>
    <x v="0"/>
    <x v="7"/>
    <x v="0"/>
    <x v="3"/>
    <x v="22"/>
    <n v="6915500"/>
  </r>
  <r>
    <x v="1"/>
    <x v="7"/>
    <x v="0"/>
    <x v="0"/>
    <x v="10"/>
    <n v="4121361.47"/>
  </r>
  <r>
    <x v="0"/>
    <x v="3"/>
    <x v="0"/>
    <x v="0"/>
    <x v="7"/>
    <n v="732974509.78999996"/>
  </r>
  <r>
    <x v="0"/>
    <x v="6"/>
    <x v="0"/>
    <x v="3"/>
    <x v="17"/>
    <n v="4314000"/>
  </r>
  <r>
    <x v="0"/>
    <x v="3"/>
    <x v="0"/>
    <x v="0"/>
    <x v="5"/>
    <n v="646838436.85000002"/>
  </r>
  <r>
    <x v="0"/>
    <x v="7"/>
    <x v="0"/>
    <x v="0"/>
    <x v="3"/>
    <n v="20984193.82"/>
  </r>
  <r>
    <x v="0"/>
    <x v="6"/>
    <x v="0"/>
    <x v="0"/>
    <x v="17"/>
    <n v="45024664.310000002"/>
  </r>
  <r>
    <x v="1"/>
    <x v="0"/>
    <x v="0"/>
    <x v="2"/>
    <x v="9"/>
    <n v="556201.02"/>
  </r>
  <r>
    <x v="0"/>
    <x v="5"/>
    <x v="1"/>
    <x v="2"/>
    <x v="4"/>
    <n v="26257200.579999998"/>
  </r>
  <r>
    <x v="1"/>
    <x v="4"/>
    <x v="0"/>
    <x v="2"/>
    <x v="18"/>
    <n v="4423724"/>
  </r>
  <r>
    <x v="1"/>
    <x v="0"/>
    <x v="0"/>
    <x v="2"/>
    <x v="7"/>
    <n v="2404082.17"/>
  </r>
  <r>
    <x v="1"/>
    <x v="2"/>
    <x v="1"/>
    <x v="2"/>
    <x v="19"/>
    <n v="19824742.109999999"/>
  </r>
  <r>
    <x v="0"/>
    <x v="6"/>
    <x v="0"/>
    <x v="3"/>
    <x v="21"/>
    <n v="2147000"/>
  </r>
  <r>
    <x v="0"/>
    <x v="3"/>
    <x v="0"/>
    <x v="3"/>
    <x v="7"/>
    <n v="75150384.420000002"/>
  </r>
  <r>
    <x v="1"/>
    <x v="5"/>
    <x v="0"/>
    <x v="2"/>
    <x v="23"/>
    <n v="1454991.52"/>
  </r>
  <r>
    <x v="0"/>
    <x v="4"/>
    <x v="0"/>
    <x v="0"/>
    <x v="1"/>
    <n v="173078691.49000001"/>
  </r>
  <r>
    <x v="1"/>
    <x v="3"/>
    <x v="0"/>
    <x v="0"/>
    <x v="22"/>
    <n v="13158085.85"/>
  </r>
  <r>
    <x v="0"/>
    <x v="7"/>
    <x v="0"/>
    <x v="2"/>
    <x v="1"/>
    <n v="74369441.719999999"/>
  </r>
  <r>
    <x v="1"/>
    <x v="0"/>
    <x v="1"/>
    <x v="2"/>
    <x v="3"/>
    <n v="4106259.47"/>
  </r>
  <r>
    <x v="0"/>
    <x v="0"/>
    <x v="0"/>
    <x v="2"/>
    <x v="18"/>
    <n v="9767222.7899999991"/>
  </r>
  <r>
    <x v="0"/>
    <x v="7"/>
    <x v="0"/>
    <x v="0"/>
    <x v="19"/>
    <n v="66762767.350000001"/>
  </r>
  <r>
    <x v="0"/>
    <x v="4"/>
    <x v="0"/>
    <x v="0"/>
    <x v="3"/>
    <n v="172641900.31"/>
  </r>
  <r>
    <x v="0"/>
    <x v="1"/>
    <x v="0"/>
    <x v="0"/>
    <x v="13"/>
    <n v="267134249.15000001"/>
  </r>
  <r>
    <x v="1"/>
    <x v="5"/>
    <x v="0"/>
    <x v="0"/>
    <x v="11"/>
    <n v="0"/>
  </r>
  <r>
    <x v="0"/>
    <x v="5"/>
    <x v="1"/>
    <x v="2"/>
    <x v="17"/>
    <n v="33600601.82"/>
  </r>
  <r>
    <x v="0"/>
    <x v="5"/>
    <x v="0"/>
    <x v="4"/>
    <x v="3"/>
    <n v="5522000"/>
  </r>
  <r>
    <x v="1"/>
    <x v="4"/>
    <x v="1"/>
    <x v="2"/>
    <x v="4"/>
    <n v="-4024039.12"/>
  </r>
  <r>
    <x v="0"/>
    <x v="4"/>
    <x v="0"/>
    <x v="0"/>
    <x v="4"/>
    <n v="188199493.78999999"/>
  </r>
  <r>
    <x v="0"/>
    <x v="4"/>
    <x v="0"/>
    <x v="3"/>
    <x v="19"/>
    <n v="12994000"/>
  </r>
  <r>
    <x v="0"/>
    <x v="7"/>
    <x v="0"/>
    <x v="0"/>
    <x v="20"/>
    <n v="41712036.079999998"/>
  </r>
  <r>
    <x v="0"/>
    <x v="0"/>
    <x v="0"/>
    <x v="0"/>
    <x v="18"/>
    <n v="30839000"/>
  </r>
  <r>
    <x v="0"/>
    <x v="2"/>
    <x v="0"/>
    <x v="3"/>
    <x v="23"/>
    <n v="10726000"/>
  </r>
  <r>
    <x v="1"/>
    <x v="4"/>
    <x v="1"/>
    <x v="2"/>
    <x v="11"/>
    <n v="899269.06"/>
  </r>
  <r>
    <x v="0"/>
    <x v="3"/>
    <x v="0"/>
    <x v="0"/>
    <x v="17"/>
    <n v="575288892.88"/>
  </r>
  <r>
    <x v="1"/>
    <x v="7"/>
    <x v="0"/>
    <x v="2"/>
    <x v="25"/>
    <n v="9875018.0299999993"/>
  </r>
  <r>
    <x v="1"/>
    <x v="7"/>
    <x v="0"/>
    <x v="0"/>
    <x v="19"/>
    <n v="11231.15"/>
  </r>
  <r>
    <x v="1"/>
    <x v="2"/>
    <x v="0"/>
    <x v="0"/>
    <x v="11"/>
    <n v="1308700.78"/>
  </r>
  <r>
    <x v="0"/>
    <x v="8"/>
    <x v="0"/>
    <x v="0"/>
    <x v="0"/>
    <n v="173110548.34"/>
  </r>
  <r>
    <x v="1"/>
    <x v="7"/>
    <x v="1"/>
    <x v="2"/>
    <x v="2"/>
    <n v="12112879.01"/>
  </r>
  <r>
    <x v="0"/>
    <x v="4"/>
    <x v="0"/>
    <x v="2"/>
    <x v="10"/>
    <n v="239482592.41"/>
  </r>
  <r>
    <x v="0"/>
    <x v="3"/>
    <x v="0"/>
    <x v="0"/>
    <x v="23"/>
    <n v="528026689.54000002"/>
  </r>
  <r>
    <x v="0"/>
    <x v="5"/>
    <x v="0"/>
    <x v="3"/>
    <x v="24"/>
    <n v="8041000"/>
  </r>
  <r>
    <x v="1"/>
    <x v="1"/>
    <x v="0"/>
    <x v="1"/>
    <x v="5"/>
    <n v="419664.93"/>
  </r>
  <r>
    <x v="1"/>
    <x v="4"/>
    <x v="0"/>
    <x v="0"/>
    <x v="19"/>
    <n v="10603759.130000001"/>
  </r>
  <r>
    <x v="1"/>
    <x v="7"/>
    <x v="0"/>
    <x v="3"/>
    <x v="25"/>
    <n v="925809.23"/>
  </r>
  <r>
    <x v="0"/>
    <x v="6"/>
    <x v="0"/>
    <x v="2"/>
    <x v="1"/>
    <n v="58271122.710000001"/>
  </r>
  <r>
    <x v="1"/>
    <x v="7"/>
    <x v="0"/>
    <x v="0"/>
    <x v="25"/>
    <n v="4629066"/>
  </r>
  <r>
    <x v="0"/>
    <x v="7"/>
    <x v="0"/>
    <x v="2"/>
    <x v="22"/>
    <n v="85711410.810000002"/>
  </r>
  <r>
    <x v="1"/>
    <x v="3"/>
    <x v="0"/>
    <x v="3"/>
    <x v="20"/>
    <n v="11618485.970000001"/>
  </r>
  <r>
    <x v="1"/>
    <x v="8"/>
    <x v="0"/>
    <x v="0"/>
    <x v="12"/>
    <n v="4292601.79"/>
  </r>
  <r>
    <x v="1"/>
    <x v="1"/>
    <x v="0"/>
    <x v="4"/>
    <x v="18"/>
    <n v="-12141"/>
  </r>
  <r>
    <x v="0"/>
    <x v="5"/>
    <x v="1"/>
    <x v="2"/>
    <x v="3"/>
    <n v="41774249.490000002"/>
  </r>
  <r>
    <x v="0"/>
    <x v="5"/>
    <x v="0"/>
    <x v="0"/>
    <x v="18"/>
    <n v="56791515"/>
  </r>
  <r>
    <x v="0"/>
    <x v="2"/>
    <x v="0"/>
    <x v="2"/>
    <x v="24"/>
    <n v="520904414.58999997"/>
  </r>
  <r>
    <x v="1"/>
    <x v="0"/>
    <x v="0"/>
    <x v="2"/>
    <x v="5"/>
    <n v="4514723.6100000003"/>
  </r>
  <r>
    <x v="0"/>
    <x v="0"/>
    <x v="0"/>
    <x v="4"/>
    <x v="3"/>
    <n v="2366000"/>
  </r>
  <r>
    <x v="1"/>
    <x v="0"/>
    <x v="0"/>
    <x v="2"/>
    <x v="23"/>
    <n v="5068311.3099999996"/>
  </r>
  <r>
    <x v="0"/>
    <x v="2"/>
    <x v="0"/>
    <x v="0"/>
    <x v="13"/>
    <n v="325012706.12"/>
  </r>
  <r>
    <x v="0"/>
    <x v="0"/>
    <x v="0"/>
    <x v="2"/>
    <x v="6"/>
    <n v="27306644.559999999"/>
  </r>
  <r>
    <x v="0"/>
    <x v="0"/>
    <x v="0"/>
    <x v="0"/>
    <x v="12"/>
    <n v="22388343"/>
  </r>
  <r>
    <x v="0"/>
    <x v="1"/>
    <x v="0"/>
    <x v="3"/>
    <x v="7"/>
    <n v="42828000"/>
  </r>
  <r>
    <x v="0"/>
    <x v="5"/>
    <x v="0"/>
    <x v="2"/>
    <x v="24"/>
    <n v="57169586.030000001"/>
  </r>
  <r>
    <x v="0"/>
    <x v="5"/>
    <x v="0"/>
    <x v="0"/>
    <x v="11"/>
    <n v="45771000"/>
  </r>
  <r>
    <x v="1"/>
    <x v="6"/>
    <x v="0"/>
    <x v="2"/>
    <x v="22"/>
    <n v="-16629667.890000001"/>
  </r>
  <r>
    <x v="1"/>
    <x v="2"/>
    <x v="0"/>
    <x v="3"/>
    <x v="1"/>
    <n v="15662.16"/>
  </r>
  <r>
    <x v="1"/>
    <x v="2"/>
    <x v="0"/>
    <x v="0"/>
    <x v="15"/>
    <n v="144353.29"/>
  </r>
  <r>
    <x v="0"/>
    <x v="7"/>
    <x v="1"/>
    <x v="2"/>
    <x v="15"/>
    <n v="17375054.940000001"/>
  </r>
  <r>
    <x v="0"/>
    <x v="0"/>
    <x v="0"/>
    <x v="3"/>
    <x v="10"/>
    <n v="2725000"/>
  </r>
  <r>
    <x v="1"/>
    <x v="0"/>
    <x v="0"/>
    <x v="3"/>
    <x v="5"/>
    <n v="0"/>
  </r>
  <r>
    <x v="0"/>
    <x v="2"/>
    <x v="0"/>
    <x v="3"/>
    <x v="5"/>
    <n v="15058987.390000001"/>
  </r>
  <r>
    <x v="0"/>
    <x v="6"/>
    <x v="0"/>
    <x v="2"/>
    <x v="24"/>
    <n v="59140264.950000003"/>
  </r>
  <r>
    <x v="0"/>
    <x v="5"/>
    <x v="0"/>
    <x v="0"/>
    <x v="23"/>
    <n v="26240000"/>
  </r>
  <r>
    <x v="0"/>
    <x v="5"/>
    <x v="0"/>
    <x v="2"/>
    <x v="18"/>
    <n v="52604076.140000001"/>
  </r>
  <r>
    <x v="0"/>
    <x v="0"/>
    <x v="0"/>
    <x v="3"/>
    <x v="19"/>
    <n v="2033000"/>
  </r>
  <r>
    <x v="0"/>
    <x v="0"/>
    <x v="1"/>
    <x v="2"/>
    <x v="21"/>
    <n v="15501846"/>
  </r>
  <r>
    <x v="1"/>
    <x v="1"/>
    <x v="0"/>
    <x v="1"/>
    <x v="18"/>
    <n v="-68445.31"/>
  </r>
  <r>
    <x v="1"/>
    <x v="3"/>
    <x v="0"/>
    <x v="2"/>
    <x v="22"/>
    <n v="22612436.41"/>
  </r>
  <r>
    <x v="1"/>
    <x v="6"/>
    <x v="1"/>
    <x v="2"/>
    <x v="11"/>
    <n v="26000"/>
  </r>
  <r>
    <x v="0"/>
    <x v="2"/>
    <x v="0"/>
    <x v="0"/>
    <x v="8"/>
    <n v="333877058.27999997"/>
  </r>
  <r>
    <x v="1"/>
    <x v="3"/>
    <x v="0"/>
    <x v="0"/>
    <x v="7"/>
    <n v="8800285.5299999993"/>
  </r>
  <r>
    <x v="0"/>
    <x v="5"/>
    <x v="0"/>
    <x v="0"/>
    <x v="13"/>
    <n v="52025651.899999999"/>
  </r>
  <r>
    <x v="0"/>
    <x v="2"/>
    <x v="0"/>
    <x v="4"/>
    <x v="3"/>
    <n v="43971000"/>
  </r>
  <r>
    <x v="0"/>
    <x v="7"/>
    <x v="0"/>
    <x v="3"/>
    <x v="17"/>
    <n v="2317000"/>
  </r>
  <r>
    <x v="1"/>
    <x v="4"/>
    <x v="1"/>
    <x v="2"/>
    <x v="0"/>
    <n v="-575654.93999999994"/>
  </r>
  <r>
    <x v="1"/>
    <x v="6"/>
    <x v="0"/>
    <x v="0"/>
    <x v="21"/>
    <n v="1523597.97"/>
  </r>
  <r>
    <x v="1"/>
    <x v="1"/>
    <x v="0"/>
    <x v="0"/>
    <x v="1"/>
    <n v="1578965.07"/>
  </r>
  <r>
    <x v="1"/>
    <x v="3"/>
    <x v="0"/>
    <x v="5"/>
    <x v="20"/>
    <n v="5133233.28"/>
  </r>
  <r>
    <x v="0"/>
    <x v="4"/>
    <x v="0"/>
    <x v="0"/>
    <x v="12"/>
    <n v="177966627.25999999"/>
  </r>
  <r>
    <x v="1"/>
    <x v="3"/>
    <x v="0"/>
    <x v="0"/>
    <x v="21"/>
    <n v="12966379.58"/>
  </r>
  <r>
    <x v="0"/>
    <x v="1"/>
    <x v="0"/>
    <x v="0"/>
    <x v="10"/>
    <n v="249287399.56"/>
  </r>
  <r>
    <x v="1"/>
    <x v="7"/>
    <x v="0"/>
    <x v="0"/>
    <x v="20"/>
    <n v="4642880.4000000004"/>
  </r>
  <r>
    <x v="0"/>
    <x v="5"/>
    <x v="0"/>
    <x v="0"/>
    <x v="17"/>
    <n v="48325004.509999998"/>
  </r>
  <r>
    <x v="1"/>
    <x v="2"/>
    <x v="0"/>
    <x v="0"/>
    <x v="5"/>
    <n v="146431.66"/>
  </r>
  <r>
    <x v="0"/>
    <x v="0"/>
    <x v="0"/>
    <x v="3"/>
    <x v="25"/>
    <n v="2725001"/>
  </r>
  <r>
    <x v="0"/>
    <x v="1"/>
    <x v="0"/>
    <x v="0"/>
    <x v="25"/>
    <n v="253258073.06999999"/>
  </r>
  <r>
    <x v="0"/>
    <x v="7"/>
    <x v="0"/>
    <x v="2"/>
    <x v="23"/>
    <n v="70170991.170000002"/>
  </r>
  <r>
    <x v="0"/>
    <x v="0"/>
    <x v="0"/>
    <x v="0"/>
    <x v="9"/>
    <n v="16159763.18"/>
  </r>
  <r>
    <x v="1"/>
    <x v="4"/>
    <x v="0"/>
    <x v="0"/>
    <x v="18"/>
    <n v="-13853020.52"/>
  </r>
  <r>
    <x v="0"/>
    <x v="0"/>
    <x v="0"/>
    <x v="2"/>
    <x v="25"/>
    <n v="28043298.010000002"/>
  </r>
  <r>
    <x v="1"/>
    <x v="4"/>
    <x v="1"/>
    <x v="2"/>
    <x v="2"/>
    <n v="5303184.0599999996"/>
  </r>
  <r>
    <x v="0"/>
    <x v="8"/>
    <x v="0"/>
    <x v="3"/>
    <x v="21"/>
    <n v="29263000"/>
  </r>
  <r>
    <x v="1"/>
    <x v="5"/>
    <x v="0"/>
    <x v="2"/>
    <x v="22"/>
    <n v="1970524.96"/>
  </r>
  <r>
    <x v="1"/>
    <x v="6"/>
    <x v="0"/>
    <x v="2"/>
    <x v="10"/>
    <n v="48033.62"/>
  </r>
  <r>
    <x v="1"/>
    <x v="3"/>
    <x v="0"/>
    <x v="3"/>
    <x v="22"/>
    <n v="7706785.7199999997"/>
  </r>
  <r>
    <x v="0"/>
    <x v="3"/>
    <x v="1"/>
    <x v="2"/>
    <x v="20"/>
    <n v="287728873.45999998"/>
  </r>
  <r>
    <x v="0"/>
    <x v="2"/>
    <x v="0"/>
    <x v="0"/>
    <x v="19"/>
    <n v="373477691.66000003"/>
  </r>
  <r>
    <x v="0"/>
    <x v="6"/>
    <x v="0"/>
    <x v="0"/>
    <x v="20"/>
    <n v="32704175.300000001"/>
  </r>
  <r>
    <x v="1"/>
    <x v="1"/>
    <x v="0"/>
    <x v="1"/>
    <x v="16"/>
    <n v="122650.64"/>
  </r>
  <r>
    <x v="1"/>
    <x v="6"/>
    <x v="0"/>
    <x v="3"/>
    <x v="19"/>
    <n v="0"/>
  </r>
  <r>
    <x v="0"/>
    <x v="7"/>
    <x v="0"/>
    <x v="3"/>
    <x v="23"/>
    <n v="5849957.1200000001"/>
  </r>
  <r>
    <x v="0"/>
    <x v="0"/>
    <x v="1"/>
    <x v="2"/>
    <x v="11"/>
    <n v="19829704.899999999"/>
  </r>
  <r>
    <x v="1"/>
    <x v="2"/>
    <x v="1"/>
    <x v="2"/>
    <x v="20"/>
    <n v="-10354098.01"/>
  </r>
  <r>
    <x v="1"/>
    <x v="5"/>
    <x v="0"/>
    <x v="0"/>
    <x v="2"/>
    <n v="3086440.98"/>
  </r>
  <r>
    <x v="0"/>
    <x v="3"/>
    <x v="0"/>
    <x v="0"/>
    <x v="20"/>
    <n v="612284440.58000004"/>
  </r>
  <r>
    <x v="0"/>
    <x v="4"/>
    <x v="0"/>
    <x v="3"/>
    <x v="6"/>
    <n v="16998000"/>
  </r>
  <r>
    <x v="1"/>
    <x v="2"/>
    <x v="0"/>
    <x v="0"/>
    <x v="3"/>
    <n v="37977.050000000003"/>
  </r>
  <r>
    <x v="0"/>
    <x v="3"/>
    <x v="0"/>
    <x v="0"/>
    <x v="14"/>
    <n v="825056089.74000001"/>
  </r>
  <r>
    <x v="0"/>
    <x v="2"/>
    <x v="0"/>
    <x v="3"/>
    <x v="21"/>
    <n v="3057000"/>
  </r>
  <r>
    <x v="1"/>
    <x v="3"/>
    <x v="0"/>
    <x v="0"/>
    <x v="5"/>
    <n v="20552245.02"/>
  </r>
  <r>
    <x v="1"/>
    <x v="7"/>
    <x v="0"/>
    <x v="2"/>
    <x v="13"/>
    <n v="15181567.779999999"/>
  </r>
  <r>
    <x v="0"/>
    <x v="3"/>
    <x v="0"/>
    <x v="3"/>
    <x v="16"/>
    <n v="80080370.609999999"/>
  </r>
  <r>
    <x v="0"/>
    <x v="5"/>
    <x v="1"/>
    <x v="2"/>
    <x v="2"/>
    <n v="22716384.66"/>
  </r>
  <r>
    <x v="0"/>
    <x v="5"/>
    <x v="0"/>
    <x v="0"/>
    <x v="9"/>
    <n v="28930340"/>
  </r>
  <r>
    <x v="0"/>
    <x v="6"/>
    <x v="0"/>
    <x v="0"/>
    <x v="1"/>
    <n v="36958000"/>
  </r>
  <r>
    <x v="0"/>
    <x v="7"/>
    <x v="0"/>
    <x v="4"/>
    <x v="3"/>
    <n v="8885000"/>
  </r>
  <r>
    <x v="1"/>
    <x v="6"/>
    <x v="0"/>
    <x v="0"/>
    <x v="23"/>
    <n v="1821367.43"/>
  </r>
  <r>
    <x v="0"/>
    <x v="5"/>
    <x v="0"/>
    <x v="3"/>
    <x v="10"/>
    <n v="7790000"/>
  </r>
  <r>
    <x v="0"/>
    <x v="3"/>
    <x v="0"/>
    <x v="2"/>
    <x v="13"/>
    <n v="315537456.12"/>
  </r>
  <r>
    <x v="0"/>
    <x v="7"/>
    <x v="0"/>
    <x v="2"/>
    <x v="5"/>
    <n v="70802001.469999999"/>
  </r>
  <r>
    <x v="1"/>
    <x v="4"/>
    <x v="0"/>
    <x v="2"/>
    <x v="25"/>
    <n v="3600000"/>
  </r>
  <r>
    <x v="1"/>
    <x v="2"/>
    <x v="0"/>
    <x v="0"/>
    <x v="1"/>
    <n v="182575.35"/>
  </r>
  <r>
    <x v="0"/>
    <x v="3"/>
    <x v="0"/>
    <x v="2"/>
    <x v="18"/>
    <n v="293643416.44"/>
  </r>
  <r>
    <x v="0"/>
    <x v="7"/>
    <x v="0"/>
    <x v="0"/>
    <x v="16"/>
    <n v="99066000"/>
  </r>
  <r>
    <x v="0"/>
    <x v="6"/>
    <x v="1"/>
    <x v="2"/>
    <x v="3"/>
    <n v="45096361.329999998"/>
  </r>
  <r>
    <x v="1"/>
    <x v="4"/>
    <x v="0"/>
    <x v="3"/>
    <x v="19"/>
    <n v="-503000"/>
  </r>
  <r>
    <x v="0"/>
    <x v="6"/>
    <x v="0"/>
    <x v="3"/>
    <x v="13"/>
    <n v="9538000"/>
  </r>
  <r>
    <x v="0"/>
    <x v="6"/>
    <x v="0"/>
    <x v="3"/>
    <x v="23"/>
    <n v="9538000"/>
  </r>
  <r>
    <x v="1"/>
    <x v="1"/>
    <x v="0"/>
    <x v="3"/>
    <x v="9"/>
    <n v="-85496"/>
  </r>
  <r>
    <x v="0"/>
    <x v="7"/>
    <x v="0"/>
    <x v="0"/>
    <x v="18"/>
    <n v="81724000"/>
  </r>
  <r>
    <x v="1"/>
    <x v="3"/>
    <x v="0"/>
    <x v="3"/>
    <x v="10"/>
    <n v="10647603.939999999"/>
  </r>
  <r>
    <x v="1"/>
    <x v="1"/>
    <x v="0"/>
    <x v="3"/>
    <x v="7"/>
    <n v="0"/>
  </r>
  <r>
    <x v="1"/>
    <x v="7"/>
    <x v="1"/>
    <x v="2"/>
    <x v="17"/>
    <n v="15537848.66"/>
  </r>
  <r>
    <x v="1"/>
    <x v="7"/>
    <x v="0"/>
    <x v="2"/>
    <x v="16"/>
    <n v="15633796.970000001"/>
  </r>
  <r>
    <x v="0"/>
    <x v="4"/>
    <x v="0"/>
    <x v="2"/>
    <x v="6"/>
    <n v="244764017.91"/>
  </r>
  <r>
    <x v="0"/>
    <x v="6"/>
    <x v="0"/>
    <x v="2"/>
    <x v="13"/>
    <n v="66462090.030000001"/>
  </r>
  <r>
    <x v="1"/>
    <x v="5"/>
    <x v="0"/>
    <x v="2"/>
    <x v="14"/>
    <n v="2298943.77"/>
  </r>
  <r>
    <x v="0"/>
    <x v="2"/>
    <x v="0"/>
    <x v="2"/>
    <x v="1"/>
    <n v="540406445.83000004"/>
  </r>
  <r>
    <x v="1"/>
    <x v="2"/>
    <x v="0"/>
    <x v="0"/>
    <x v="21"/>
    <n v="37548.35"/>
  </r>
  <r>
    <x v="0"/>
    <x v="4"/>
    <x v="0"/>
    <x v="0"/>
    <x v="9"/>
    <n v="140050008.41"/>
  </r>
  <r>
    <x v="0"/>
    <x v="5"/>
    <x v="1"/>
    <x v="2"/>
    <x v="11"/>
    <n v="36557007.020000003"/>
  </r>
  <r>
    <x v="0"/>
    <x v="4"/>
    <x v="0"/>
    <x v="2"/>
    <x v="18"/>
    <n v="226767034.50999999"/>
  </r>
  <r>
    <x v="1"/>
    <x v="7"/>
    <x v="1"/>
    <x v="2"/>
    <x v="21"/>
    <n v="13501617.75"/>
  </r>
  <r>
    <x v="0"/>
    <x v="4"/>
    <x v="1"/>
    <x v="2"/>
    <x v="4"/>
    <n v="89768896.060000002"/>
  </r>
  <r>
    <x v="0"/>
    <x v="4"/>
    <x v="0"/>
    <x v="0"/>
    <x v="11"/>
    <n v="221212491.19"/>
  </r>
  <r>
    <x v="0"/>
    <x v="3"/>
    <x v="0"/>
    <x v="0"/>
    <x v="1"/>
    <n v="601146202.48000002"/>
  </r>
  <r>
    <x v="0"/>
    <x v="1"/>
    <x v="0"/>
    <x v="1"/>
    <x v="7"/>
    <n v="78831494.900000006"/>
  </r>
  <r>
    <x v="0"/>
    <x v="8"/>
    <x v="0"/>
    <x v="0"/>
    <x v="8"/>
    <n v="124932889.37"/>
  </r>
  <r>
    <x v="0"/>
    <x v="8"/>
    <x v="0"/>
    <x v="0"/>
    <x v="19"/>
    <n v="168490504.63"/>
  </r>
  <r>
    <x v="0"/>
    <x v="1"/>
    <x v="0"/>
    <x v="1"/>
    <x v="9"/>
    <n v="14923540.640000001"/>
  </r>
  <r>
    <x v="0"/>
    <x v="6"/>
    <x v="0"/>
    <x v="3"/>
    <x v="9"/>
    <n v="3651691"/>
  </r>
  <r>
    <x v="1"/>
    <x v="0"/>
    <x v="0"/>
    <x v="2"/>
    <x v="1"/>
    <n v="3307830.11"/>
  </r>
  <r>
    <x v="0"/>
    <x v="6"/>
    <x v="0"/>
    <x v="2"/>
    <x v="9"/>
    <n v="21788755.91"/>
  </r>
  <r>
    <x v="0"/>
    <x v="5"/>
    <x v="0"/>
    <x v="0"/>
    <x v="4"/>
    <n v="38514377.369999997"/>
  </r>
  <r>
    <x v="0"/>
    <x v="2"/>
    <x v="0"/>
    <x v="0"/>
    <x v="25"/>
    <n v="237417391.99000001"/>
  </r>
  <r>
    <x v="1"/>
    <x v="6"/>
    <x v="0"/>
    <x v="0"/>
    <x v="17"/>
    <n v="1877594.69"/>
  </r>
  <r>
    <x v="1"/>
    <x v="8"/>
    <x v="0"/>
    <x v="0"/>
    <x v="21"/>
    <n v="331537.45"/>
  </r>
  <r>
    <x v="0"/>
    <x v="3"/>
    <x v="0"/>
    <x v="2"/>
    <x v="6"/>
    <n v="336475093.12"/>
  </r>
  <r>
    <x v="0"/>
    <x v="4"/>
    <x v="0"/>
    <x v="2"/>
    <x v="13"/>
    <n v="250448663.21000001"/>
  </r>
  <r>
    <x v="0"/>
    <x v="0"/>
    <x v="0"/>
    <x v="0"/>
    <x v="4"/>
    <n v="23121200"/>
  </r>
  <r>
    <x v="1"/>
    <x v="1"/>
    <x v="0"/>
    <x v="3"/>
    <x v="6"/>
    <n v="0"/>
  </r>
  <r>
    <x v="1"/>
    <x v="2"/>
    <x v="1"/>
    <x v="2"/>
    <x v="3"/>
    <n v="16608477.77"/>
  </r>
  <r>
    <x v="0"/>
    <x v="7"/>
    <x v="0"/>
    <x v="0"/>
    <x v="25"/>
    <n v="38375934"/>
  </r>
  <r>
    <x v="1"/>
    <x v="2"/>
    <x v="0"/>
    <x v="2"/>
    <x v="6"/>
    <n v="23292020.18"/>
  </r>
  <r>
    <x v="0"/>
    <x v="0"/>
    <x v="0"/>
    <x v="0"/>
    <x v="13"/>
    <n v="28134126.57"/>
  </r>
  <r>
    <x v="0"/>
    <x v="5"/>
    <x v="0"/>
    <x v="0"/>
    <x v="6"/>
    <n v="50213000"/>
  </r>
  <r>
    <x v="1"/>
    <x v="8"/>
    <x v="0"/>
    <x v="0"/>
    <x v="17"/>
    <n v="49107.49"/>
  </r>
  <r>
    <x v="0"/>
    <x v="2"/>
    <x v="0"/>
    <x v="3"/>
    <x v="1"/>
    <n v="12983337.84"/>
  </r>
  <r>
    <x v="1"/>
    <x v="6"/>
    <x v="1"/>
    <x v="2"/>
    <x v="2"/>
    <n v="43148.9"/>
  </r>
  <r>
    <x v="0"/>
    <x v="4"/>
    <x v="0"/>
    <x v="0"/>
    <x v="17"/>
    <n v="219509589.62"/>
  </r>
  <r>
    <x v="1"/>
    <x v="7"/>
    <x v="0"/>
    <x v="0"/>
    <x v="4"/>
    <n v="747874.46"/>
  </r>
  <r>
    <x v="0"/>
    <x v="5"/>
    <x v="1"/>
    <x v="2"/>
    <x v="12"/>
    <n v="17726943.710000001"/>
  </r>
  <r>
    <x v="0"/>
    <x v="0"/>
    <x v="0"/>
    <x v="0"/>
    <x v="6"/>
    <n v="26608000"/>
  </r>
  <r>
    <x v="0"/>
    <x v="4"/>
    <x v="0"/>
    <x v="3"/>
    <x v="16"/>
    <n v="16998000"/>
  </r>
  <r>
    <x v="1"/>
    <x v="3"/>
    <x v="0"/>
    <x v="3"/>
    <x v="19"/>
    <n v="18028963.210000001"/>
  </r>
  <r>
    <x v="1"/>
    <x v="4"/>
    <x v="0"/>
    <x v="0"/>
    <x v="6"/>
    <n v="2500611.2599999998"/>
  </r>
  <r>
    <x v="0"/>
    <x v="0"/>
    <x v="0"/>
    <x v="2"/>
    <x v="1"/>
    <n v="38129086.979999997"/>
  </r>
  <r>
    <x v="1"/>
    <x v="2"/>
    <x v="1"/>
    <x v="2"/>
    <x v="21"/>
    <n v="13178905.9"/>
  </r>
  <r>
    <x v="0"/>
    <x v="4"/>
    <x v="0"/>
    <x v="3"/>
    <x v="23"/>
    <n v="16533000"/>
  </r>
  <r>
    <x v="0"/>
    <x v="0"/>
    <x v="0"/>
    <x v="0"/>
    <x v="7"/>
    <n v="31983624.18"/>
  </r>
  <r>
    <x v="1"/>
    <x v="2"/>
    <x v="0"/>
    <x v="2"/>
    <x v="10"/>
    <n v="17648653.600000001"/>
  </r>
  <r>
    <x v="1"/>
    <x v="5"/>
    <x v="0"/>
    <x v="2"/>
    <x v="25"/>
    <n v="1835032.52"/>
  </r>
  <r>
    <x v="0"/>
    <x v="7"/>
    <x v="0"/>
    <x v="0"/>
    <x v="9"/>
    <n v="35576860"/>
  </r>
  <r>
    <x v="1"/>
    <x v="7"/>
    <x v="0"/>
    <x v="0"/>
    <x v="5"/>
    <n v="276.88"/>
  </r>
  <r>
    <x v="1"/>
    <x v="6"/>
    <x v="0"/>
    <x v="2"/>
    <x v="13"/>
    <n v="-9146692.4100000001"/>
  </r>
  <r>
    <x v="0"/>
    <x v="3"/>
    <x v="0"/>
    <x v="3"/>
    <x v="10"/>
    <n v="36111481.759999998"/>
  </r>
  <r>
    <x v="1"/>
    <x v="0"/>
    <x v="0"/>
    <x v="3"/>
    <x v="25"/>
    <n v="-1"/>
  </r>
  <r>
    <x v="0"/>
    <x v="4"/>
    <x v="0"/>
    <x v="2"/>
    <x v="7"/>
    <n v="239205231.75"/>
  </r>
  <r>
    <x v="0"/>
    <x v="2"/>
    <x v="0"/>
    <x v="0"/>
    <x v="3"/>
    <n v="269533017.24000001"/>
  </r>
  <r>
    <x v="0"/>
    <x v="2"/>
    <x v="0"/>
    <x v="3"/>
    <x v="14"/>
    <n v="18653421.969999999"/>
  </r>
  <r>
    <x v="0"/>
    <x v="2"/>
    <x v="0"/>
    <x v="3"/>
    <x v="22"/>
    <n v="19401365.649999999"/>
  </r>
  <r>
    <x v="0"/>
    <x v="6"/>
    <x v="0"/>
    <x v="3"/>
    <x v="18"/>
    <n v="9538000"/>
  </r>
  <r>
    <x v="1"/>
    <x v="7"/>
    <x v="0"/>
    <x v="0"/>
    <x v="17"/>
    <n v="31450.6"/>
  </r>
  <r>
    <x v="1"/>
    <x v="1"/>
    <x v="0"/>
    <x v="0"/>
    <x v="22"/>
    <n v="2305302.59"/>
  </r>
  <r>
    <x v="0"/>
    <x v="6"/>
    <x v="0"/>
    <x v="3"/>
    <x v="16"/>
    <n v="9538000"/>
  </r>
  <r>
    <x v="1"/>
    <x v="3"/>
    <x v="1"/>
    <x v="2"/>
    <x v="4"/>
    <n v="10641146.01"/>
  </r>
  <r>
    <x v="0"/>
    <x v="1"/>
    <x v="0"/>
    <x v="3"/>
    <x v="25"/>
    <n v="52432716.119999997"/>
  </r>
  <r>
    <x v="1"/>
    <x v="6"/>
    <x v="0"/>
    <x v="2"/>
    <x v="6"/>
    <n v="58536.53"/>
  </r>
  <r>
    <x v="1"/>
    <x v="1"/>
    <x v="0"/>
    <x v="3"/>
    <x v="10"/>
    <n v="25949231.93"/>
  </r>
  <r>
    <x v="0"/>
    <x v="7"/>
    <x v="0"/>
    <x v="0"/>
    <x v="6"/>
    <n v="70475706.549999997"/>
  </r>
  <r>
    <x v="1"/>
    <x v="4"/>
    <x v="0"/>
    <x v="0"/>
    <x v="2"/>
    <n v="-5472651.3099999996"/>
  </r>
  <r>
    <x v="0"/>
    <x v="7"/>
    <x v="0"/>
    <x v="2"/>
    <x v="13"/>
    <n v="78428359.719999999"/>
  </r>
  <r>
    <x v="0"/>
    <x v="7"/>
    <x v="0"/>
    <x v="0"/>
    <x v="23"/>
    <n v="29743766.989999998"/>
  </r>
  <r>
    <x v="1"/>
    <x v="6"/>
    <x v="0"/>
    <x v="0"/>
    <x v="12"/>
    <n v="1517286.48"/>
  </r>
  <r>
    <x v="1"/>
    <x v="3"/>
    <x v="0"/>
    <x v="0"/>
    <x v="24"/>
    <n v="-47873095.82"/>
  </r>
  <r>
    <x v="1"/>
    <x v="1"/>
    <x v="0"/>
    <x v="3"/>
    <x v="18"/>
    <n v="-216296.95999999999"/>
  </r>
  <r>
    <x v="0"/>
    <x v="1"/>
    <x v="0"/>
    <x v="1"/>
    <x v="13"/>
    <n v="60461918.350000001"/>
  </r>
  <r>
    <x v="1"/>
    <x v="3"/>
    <x v="0"/>
    <x v="0"/>
    <x v="0"/>
    <n v="4248656.2699999996"/>
  </r>
  <r>
    <x v="1"/>
    <x v="4"/>
    <x v="0"/>
    <x v="0"/>
    <x v="12"/>
    <n v="5345433.74"/>
  </r>
  <r>
    <x v="0"/>
    <x v="2"/>
    <x v="0"/>
    <x v="2"/>
    <x v="25"/>
    <n v="598090032.75"/>
  </r>
  <r>
    <x v="1"/>
    <x v="3"/>
    <x v="0"/>
    <x v="0"/>
    <x v="6"/>
    <n v="12096272"/>
  </r>
  <r>
    <x v="0"/>
    <x v="1"/>
    <x v="0"/>
    <x v="1"/>
    <x v="18"/>
    <n v="50477678.090000004"/>
  </r>
  <r>
    <x v="1"/>
    <x v="8"/>
    <x v="0"/>
    <x v="0"/>
    <x v="19"/>
    <n v="1757585.63"/>
  </r>
  <r>
    <x v="0"/>
    <x v="8"/>
    <x v="0"/>
    <x v="3"/>
    <x v="19"/>
    <n v="63208122.18"/>
  </r>
  <r>
    <x v="0"/>
    <x v="8"/>
    <x v="0"/>
    <x v="0"/>
    <x v="3"/>
    <n v="193820050.94"/>
  </r>
  <r>
    <x v="0"/>
    <x v="7"/>
    <x v="1"/>
    <x v="2"/>
    <x v="8"/>
    <n v="16509367.710000001"/>
  </r>
  <r>
    <x v="0"/>
    <x v="2"/>
    <x v="0"/>
    <x v="0"/>
    <x v="14"/>
    <n v="424006320.74000001"/>
  </r>
  <r>
    <x v="0"/>
    <x v="2"/>
    <x v="1"/>
    <x v="2"/>
    <x v="15"/>
    <n v="138119229.00999999"/>
  </r>
  <r>
    <x v="0"/>
    <x v="4"/>
    <x v="0"/>
    <x v="2"/>
    <x v="9"/>
    <n v="83311110"/>
  </r>
  <r>
    <x v="0"/>
    <x v="6"/>
    <x v="0"/>
    <x v="0"/>
    <x v="25"/>
    <n v="31431542.440000001"/>
  </r>
  <r>
    <x v="1"/>
    <x v="7"/>
    <x v="0"/>
    <x v="0"/>
    <x v="21"/>
    <n v="889.89"/>
  </r>
  <r>
    <x v="0"/>
    <x v="7"/>
    <x v="0"/>
    <x v="3"/>
    <x v="13"/>
    <n v="6912000"/>
  </r>
  <r>
    <x v="0"/>
    <x v="4"/>
    <x v="0"/>
    <x v="3"/>
    <x v="24"/>
    <n v="16532000"/>
  </r>
  <r>
    <x v="1"/>
    <x v="7"/>
    <x v="0"/>
    <x v="2"/>
    <x v="23"/>
    <n v="8500900.2799999993"/>
  </r>
  <r>
    <x v="0"/>
    <x v="7"/>
    <x v="0"/>
    <x v="0"/>
    <x v="2"/>
    <n v="57963622.770000003"/>
  </r>
  <r>
    <x v="0"/>
    <x v="1"/>
    <x v="0"/>
    <x v="0"/>
    <x v="1"/>
    <n v="269889630"/>
  </r>
  <r>
    <x v="1"/>
    <x v="8"/>
    <x v="0"/>
    <x v="0"/>
    <x v="3"/>
    <n v="913941.5"/>
  </r>
  <r>
    <x v="0"/>
    <x v="0"/>
    <x v="0"/>
    <x v="0"/>
    <x v="19"/>
    <n v="29747000"/>
  </r>
  <r>
    <x v="1"/>
    <x v="0"/>
    <x v="1"/>
    <x v="2"/>
    <x v="15"/>
    <n v="1265988.73"/>
  </r>
  <r>
    <x v="0"/>
    <x v="5"/>
    <x v="0"/>
    <x v="3"/>
    <x v="3"/>
    <n v="8046000"/>
  </r>
  <r>
    <x v="0"/>
    <x v="0"/>
    <x v="0"/>
    <x v="3"/>
    <x v="3"/>
    <n v="2725000"/>
  </r>
  <r>
    <x v="1"/>
    <x v="2"/>
    <x v="1"/>
    <x v="2"/>
    <x v="17"/>
    <n v="8021419.8499999996"/>
  </r>
  <r>
    <x v="0"/>
    <x v="4"/>
    <x v="0"/>
    <x v="0"/>
    <x v="2"/>
    <n v="199650315.78999999"/>
  </r>
  <r>
    <x v="0"/>
    <x v="6"/>
    <x v="0"/>
    <x v="2"/>
    <x v="16"/>
    <n v="65873966.649999999"/>
  </r>
  <r>
    <x v="0"/>
    <x v="3"/>
    <x v="0"/>
    <x v="2"/>
    <x v="25"/>
    <n v="354224384.92000002"/>
  </r>
  <r>
    <x v="1"/>
    <x v="6"/>
    <x v="0"/>
    <x v="0"/>
    <x v="15"/>
    <n v="1312100.8"/>
  </r>
  <r>
    <x v="1"/>
    <x v="3"/>
    <x v="0"/>
    <x v="0"/>
    <x v="15"/>
    <n v="16711878.439999999"/>
  </r>
  <r>
    <x v="0"/>
    <x v="2"/>
    <x v="1"/>
    <x v="2"/>
    <x v="2"/>
    <n v="167139772.68000001"/>
  </r>
  <r>
    <x v="1"/>
    <x v="7"/>
    <x v="0"/>
    <x v="2"/>
    <x v="9"/>
    <n v="8061054.5800000001"/>
  </r>
  <r>
    <x v="0"/>
    <x v="7"/>
    <x v="0"/>
    <x v="3"/>
    <x v="18"/>
    <n v="6915500"/>
  </r>
  <r>
    <x v="1"/>
    <x v="6"/>
    <x v="0"/>
    <x v="0"/>
    <x v="25"/>
    <n v="-2192542.44"/>
  </r>
  <r>
    <x v="1"/>
    <x v="3"/>
    <x v="0"/>
    <x v="2"/>
    <x v="13"/>
    <n v="5996727.5"/>
  </r>
  <r>
    <x v="0"/>
    <x v="7"/>
    <x v="1"/>
    <x v="2"/>
    <x v="20"/>
    <n v="61127276.369999997"/>
  </r>
  <r>
    <x v="0"/>
    <x v="0"/>
    <x v="0"/>
    <x v="2"/>
    <x v="22"/>
    <n v="17615902.800000001"/>
  </r>
  <r>
    <x v="1"/>
    <x v="5"/>
    <x v="0"/>
    <x v="0"/>
    <x v="22"/>
    <n v="306816.77"/>
  </r>
  <r>
    <x v="0"/>
    <x v="4"/>
    <x v="1"/>
    <x v="2"/>
    <x v="20"/>
    <n v="157514551.03999999"/>
  </r>
  <r>
    <x v="0"/>
    <x v="7"/>
    <x v="0"/>
    <x v="3"/>
    <x v="6"/>
    <n v="6919000"/>
  </r>
  <r>
    <x v="1"/>
    <x v="1"/>
    <x v="0"/>
    <x v="1"/>
    <x v="9"/>
    <n v="-122650.64"/>
  </r>
  <r>
    <x v="1"/>
    <x v="2"/>
    <x v="0"/>
    <x v="0"/>
    <x v="8"/>
    <n v="1933820.88"/>
  </r>
  <r>
    <x v="0"/>
    <x v="0"/>
    <x v="0"/>
    <x v="3"/>
    <x v="20"/>
    <n v="2692000"/>
  </r>
  <r>
    <x v="1"/>
    <x v="6"/>
    <x v="0"/>
    <x v="0"/>
    <x v="2"/>
    <n v="1275836.6200000001"/>
  </r>
  <r>
    <x v="0"/>
    <x v="3"/>
    <x v="1"/>
    <x v="2"/>
    <x v="2"/>
    <n v="156396100.21000001"/>
  </r>
  <r>
    <x v="0"/>
    <x v="3"/>
    <x v="1"/>
    <x v="2"/>
    <x v="12"/>
    <n v="128940150.92"/>
  </r>
  <r>
    <x v="0"/>
    <x v="3"/>
    <x v="0"/>
    <x v="4"/>
    <x v="3"/>
    <n v="16161908.140000001"/>
  </r>
  <r>
    <x v="0"/>
    <x v="2"/>
    <x v="0"/>
    <x v="0"/>
    <x v="1"/>
    <n v="279236397.87"/>
  </r>
  <r>
    <x v="1"/>
    <x v="2"/>
    <x v="0"/>
    <x v="2"/>
    <x v="13"/>
    <n v="5347077.76"/>
  </r>
  <r>
    <x v="1"/>
    <x v="1"/>
    <x v="0"/>
    <x v="0"/>
    <x v="25"/>
    <n v="1603004.61"/>
  </r>
  <r>
    <x v="0"/>
    <x v="2"/>
    <x v="0"/>
    <x v="2"/>
    <x v="14"/>
    <n v="651612648.20000005"/>
  </r>
  <r>
    <x v="0"/>
    <x v="7"/>
    <x v="1"/>
    <x v="2"/>
    <x v="3"/>
    <n v="53209327.420000002"/>
  </r>
  <r>
    <x v="0"/>
    <x v="6"/>
    <x v="1"/>
    <x v="2"/>
    <x v="2"/>
    <n v="23879913.93"/>
  </r>
  <r>
    <x v="1"/>
    <x v="7"/>
    <x v="1"/>
    <x v="2"/>
    <x v="20"/>
    <n v="6535632.6500000004"/>
  </r>
  <r>
    <x v="1"/>
    <x v="7"/>
    <x v="0"/>
    <x v="0"/>
    <x v="11"/>
    <n v="510.92"/>
  </r>
  <r>
    <x v="0"/>
    <x v="3"/>
    <x v="0"/>
    <x v="3"/>
    <x v="19"/>
    <n v="37699426.640000001"/>
  </r>
  <r>
    <x v="0"/>
    <x v="6"/>
    <x v="0"/>
    <x v="0"/>
    <x v="14"/>
    <n v="64862000"/>
  </r>
  <r>
    <x v="1"/>
    <x v="7"/>
    <x v="0"/>
    <x v="3"/>
    <x v="23"/>
    <n v="797042.88"/>
  </r>
  <r>
    <x v="0"/>
    <x v="3"/>
    <x v="0"/>
    <x v="2"/>
    <x v="16"/>
    <n v="365119390.42000002"/>
  </r>
  <r>
    <x v="0"/>
    <x v="6"/>
    <x v="1"/>
    <x v="2"/>
    <x v="17"/>
    <n v="30019645.57"/>
  </r>
  <r>
    <x v="0"/>
    <x v="6"/>
    <x v="1"/>
    <x v="2"/>
    <x v="21"/>
    <n v="28789743.780000001"/>
  </r>
  <r>
    <x v="1"/>
    <x v="4"/>
    <x v="0"/>
    <x v="3"/>
    <x v="17"/>
    <n v="0"/>
  </r>
  <r>
    <x v="0"/>
    <x v="5"/>
    <x v="0"/>
    <x v="0"/>
    <x v="19"/>
    <n v="48911000"/>
  </r>
  <r>
    <x v="0"/>
    <x v="6"/>
    <x v="0"/>
    <x v="0"/>
    <x v="3"/>
    <n v="28051593.93"/>
  </r>
  <r>
    <x v="1"/>
    <x v="2"/>
    <x v="0"/>
    <x v="0"/>
    <x v="14"/>
    <n v="709791.26"/>
  </r>
  <r>
    <x v="0"/>
    <x v="4"/>
    <x v="0"/>
    <x v="0"/>
    <x v="18"/>
    <n v="239491873.25999999"/>
  </r>
  <r>
    <x v="1"/>
    <x v="4"/>
    <x v="0"/>
    <x v="2"/>
    <x v="1"/>
    <n v="-3600000"/>
  </r>
  <r>
    <x v="0"/>
    <x v="1"/>
    <x v="0"/>
    <x v="0"/>
    <x v="14"/>
    <n v="241772874.03999999"/>
  </r>
  <r>
    <x v="1"/>
    <x v="3"/>
    <x v="1"/>
    <x v="2"/>
    <x v="17"/>
    <n v="-969174.47"/>
  </r>
  <r>
    <x v="0"/>
    <x v="3"/>
    <x v="0"/>
    <x v="0"/>
    <x v="16"/>
    <n v="915601083.59000003"/>
  </r>
  <r>
    <x v="0"/>
    <x v="4"/>
    <x v="0"/>
    <x v="3"/>
    <x v="11"/>
    <n v="20890000"/>
  </r>
  <r>
    <x v="0"/>
    <x v="7"/>
    <x v="0"/>
    <x v="0"/>
    <x v="0"/>
    <n v="55702875.060000002"/>
  </r>
  <r>
    <x v="1"/>
    <x v="6"/>
    <x v="0"/>
    <x v="2"/>
    <x v="18"/>
    <n v="-20285987.539999999"/>
  </r>
  <r>
    <x v="1"/>
    <x v="4"/>
    <x v="0"/>
    <x v="0"/>
    <x v="7"/>
    <n v="39223"/>
  </r>
  <r>
    <x v="0"/>
    <x v="7"/>
    <x v="0"/>
    <x v="0"/>
    <x v="12"/>
    <n v="53388576.310000002"/>
  </r>
  <r>
    <x v="0"/>
    <x v="5"/>
    <x v="0"/>
    <x v="0"/>
    <x v="1"/>
    <n v="38603000"/>
  </r>
  <r>
    <x v="0"/>
    <x v="5"/>
    <x v="0"/>
    <x v="3"/>
    <x v="14"/>
    <n v="8414000"/>
  </r>
  <r>
    <x v="0"/>
    <x v="0"/>
    <x v="1"/>
    <x v="2"/>
    <x v="15"/>
    <n v="12928195.630000001"/>
  </r>
  <r>
    <x v="0"/>
    <x v="1"/>
    <x v="0"/>
    <x v="3"/>
    <x v="10"/>
    <n v="25835118.57"/>
  </r>
  <r>
    <x v="0"/>
    <x v="1"/>
    <x v="0"/>
    <x v="1"/>
    <x v="6"/>
    <n v="58845778.880000003"/>
  </r>
  <r>
    <x v="1"/>
    <x v="1"/>
    <x v="0"/>
    <x v="3"/>
    <x v="13"/>
    <n v="0"/>
  </r>
  <r>
    <x v="0"/>
    <x v="6"/>
    <x v="0"/>
    <x v="2"/>
    <x v="10"/>
    <n v="64951777.32"/>
  </r>
  <r>
    <x v="0"/>
    <x v="8"/>
    <x v="0"/>
    <x v="3"/>
    <x v="3"/>
    <n v="59205594.789999999"/>
  </r>
  <r>
    <x v="0"/>
    <x v="2"/>
    <x v="0"/>
    <x v="0"/>
    <x v="17"/>
    <n v="351555388.32999998"/>
  </r>
  <r>
    <x v="0"/>
    <x v="6"/>
    <x v="0"/>
    <x v="3"/>
    <x v="25"/>
    <n v="9538000"/>
  </r>
  <r>
    <x v="0"/>
    <x v="0"/>
    <x v="0"/>
    <x v="0"/>
    <x v="10"/>
    <n v="18350000"/>
  </r>
  <r>
    <x v="0"/>
    <x v="4"/>
    <x v="0"/>
    <x v="4"/>
    <x v="7"/>
    <n v="0"/>
  </r>
  <r>
    <x v="0"/>
    <x v="4"/>
    <x v="0"/>
    <x v="3"/>
    <x v="22"/>
    <n v="16998000"/>
  </r>
  <r>
    <x v="0"/>
    <x v="7"/>
    <x v="0"/>
    <x v="3"/>
    <x v="20"/>
    <n v="5818131.4699999997"/>
  </r>
  <r>
    <x v="0"/>
    <x v="6"/>
    <x v="0"/>
    <x v="0"/>
    <x v="7"/>
    <n v="60220000"/>
  </r>
  <r>
    <x v="1"/>
    <x v="3"/>
    <x v="0"/>
    <x v="3"/>
    <x v="1"/>
    <n v="6803212.3300000001"/>
  </r>
  <r>
    <x v="0"/>
    <x v="3"/>
    <x v="0"/>
    <x v="0"/>
    <x v="15"/>
    <n v="498242168.85000002"/>
  </r>
  <r>
    <x v="0"/>
    <x v="5"/>
    <x v="0"/>
    <x v="3"/>
    <x v="7"/>
    <n v="8424000"/>
  </r>
  <r>
    <x v="1"/>
    <x v="7"/>
    <x v="0"/>
    <x v="2"/>
    <x v="22"/>
    <n v="13561059.57"/>
  </r>
  <r>
    <x v="0"/>
    <x v="4"/>
    <x v="0"/>
    <x v="0"/>
    <x v="25"/>
    <n v="157971154.27000001"/>
  </r>
  <r>
    <x v="0"/>
    <x v="7"/>
    <x v="0"/>
    <x v="2"/>
    <x v="25"/>
    <n v="80994531.269999996"/>
  </r>
  <r>
    <x v="0"/>
    <x v="0"/>
    <x v="0"/>
    <x v="2"/>
    <x v="23"/>
    <n v="28476191.800000001"/>
  </r>
  <r>
    <x v="1"/>
    <x v="2"/>
    <x v="0"/>
    <x v="0"/>
    <x v="18"/>
    <n v="719286.96"/>
  </r>
  <r>
    <x v="1"/>
    <x v="3"/>
    <x v="0"/>
    <x v="0"/>
    <x v="10"/>
    <n v="-30338748.75"/>
  </r>
  <r>
    <x v="1"/>
    <x v="7"/>
    <x v="0"/>
    <x v="2"/>
    <x v="1"/>
    <n v="13898554.84"/>
  </r>
  <r>
    <x v="0"/>
    <x v="5"/>
    <x v="1"/>
    <x v="2"/>
    <x v="19"/>
    <n v="34162195.189999998"/>
  </r>
  <r>
    <x v="1"/>
    <x v="2"/>
    <x v="0"/>
    <x v="2"/>
    <x v="14"/>
    <n v="-3418990.82"/>
  </r>
  <r>
    <x v="0"/>
    <x v="4"/>
    <x v="0"/>
    <x v="0"/>
    <x v="16"/>
    <n v="281902750"/>
  </r>
  <r>
    <x v="0"/>
    <x v="0"/>
    <x v="0"/>
    <x v="0"/>
    <x v="22"/>
    <n v="30208000"/>
  </r>
  <r>
    <x v="0"/>
    <x v="4"/>
    <x v="0"/>
    <x v="3"/>
    <x v="17"/>
    <n v="7914000"/>
  </r>
  <r>
    <x v="0"/>
    <x v="7"/>
    <x v="0"/>
    <x v="3"/>
    <x v="25"/>
    <n v="4077907.58"/>
  </r>
  <r>
    <x v="1"/>
    <x v="2"/>
    <x v="0"/>
    <x v="0"/>
    <x v="0"/>
    <n v="1337842.1200000001"/>
  </r>
  <r>
    <x v="0"/>
    <x v="2"/>
    <x v="0"/>
    <x v="2"/>
    <x v="13"/>
    <n v="624519961.73000002"/>
  </r>
  <r>
    <x v="0"/>
    <x v="3"/>
    <x v="0"/>
    <x v="2"/>
    <x v="22"/>
    <n v="335426992.76999998"/>
  </r>
  <r>
    <x v="0"/>
    <x v="5"/>
    <x v="0"/>
    <x v="3"/>
    <x v="21"/>
    <n v="2147000"/>
  </r>
  <r>
    <x v="0"/>
    <x v="5"/>
    <x v="0"/>
    <x v="3"/>
    <x v="17"/>
    <n v="4314000"/>
  </r>
  <r>
    <x v="0"/>
    <x v="4"/>
    <x v="0"/>
    <x v="4"/>
    <x v="3"/>
    <n v="15772000"/>
  </r>
  <r>
    <x v="1"/>
    <x v="8"/>
    <x v="0"/>
    <x v="3"/>
    <x v="20"/>
    <n v="-66777.960000000006"/>
  </r>
  <r>
    <x v="0"/>
    <x v="2"/>
    <x v="0"/>
    <x v="0"/>
    <x v="9"/>
    <n v="172771630.86000001"/>
  </r>
  <r>
    <x v="1"/>
    <x v="3"/>
    <x v="0"/>
    <x v="2"/>
    <x v="24"/>
    <n v="-386802.55"/>
  </r>
  <r>
    <x v="0"/>
    <x v="7"/>
    <x v="0"/>
    <x v="3"/>
    <x v="19"/>
    <n v="5110000"/>
  </r>
  <r>
    <x v="0"/>
    <x v="6"/>
    <x v="0"/>
    <x v="2"/>
    <x v="22"/>
    <n v="73246394.409999996"/>
  </r>
  <r>
    <x v="0"/>
    <x v="7"/>
    <x v="0"/>
    <x v="0"/>
    <x v="17"/>
    <n v="61300057.399999999"/>
  </r>
  <r>
    <x v="0"/>
    <x v="7"/>
    <x v="0"/>
    <x v="3"/>
    <x v="16"/>
    <n v="6919000"/>
  </r>
  <r>
    <x v="0"/>
    <x v="1"/>
    <x v="0"/>
    <x v="3"/>
    <x v="13"/>
    <n v="51560000"/>
  </r>
  <r>
    <x v="0"/>
    <x v="2"/>
    <x v="1"/>
    <x v="2"/>
    <x v="11"/>
    <n v="291406845.01999998"/>
  </r>
  <r>
    <x v="1"/>
    <x v="3"/>
    <x v="0"/>
    <x v="0"/>
    <x v="8"/>
    <n v="11913216.42"/>
  </r>
  <r>
    <x v="0"/>
    <x v="7"/>
    <x v="1"/>
    <x v="2"/>
    <x v="21"/>
    <n v="28443955.559999999"/>
  </r>
  <r>
    <x v="0"/>
    <x v="6"/>
    <x v="0"/>
    <x v="0"/>
    <x v="18"/>
    <n v="56301000"/>
  </r>
  <r>
    <x v="0"/>
    <x v="4"/>
    <x v="0"/>
    <x v="3"/>
    <x v="5"/>
    <n v="16997000"/>
  </r>
  <r>
    <x v="1"/>
    <x v="4"/>
    <x v="0"/>
    <x v="0"/>
    <x v="17"/>
    <n v="-6376574.6200000001"/>
  </r>
  <r>
    <x v="1"/>
    <x v="2"/>
    <x v="0"/>
    <x v="2"/>
    <x v="25"/>
    <n v="4918338.13"/>
  </r>
  <r>
    <x v="1"/>
    <x v="7"/>
    <x v="0"/>
    <x v="0"/>
    <x v="12"/>
    <n v="3753.69"/>
  </r>
  <r>
    <x v="1"/>
    <x v="6"/>
    <x v="0"/>
    <x v="0"/>
    <x v="20"/>
    <n v="-367175.3"/>
  </r>
  <r>
    <x v="1"/>
    <x v="7"/>
    <x v="0"/>
    <x v="0"/>
    <x v="6"/>
    <n v="-706.55"/>
  </r>
  <r>
    <x v="0"/>
    <x v="5"/>
    <x v="0"/>
    <x v="3"/>
    <x v="5"/>
    <n v="8414000"/>
  </r>
  <r>
    <x v="0"/>
    <x v="4"/>
    <x v="0"/>
    <x v="0"/>
    <x v="19"/>
    <n v="221483278.44999999"/>
  </r>
  <r>
    <x v="0"/>
    <x v="6"/>
    <x v="1"/>
    <x v="2"/>
    <x v="15"/>
    <n v="17801917.539999999"/>
  </r>
  <r>
    <x v="1"/>
    <x v="3"/>
    <x v="1"/>
    <x v="2"/>
    <x v="19"/>
    <n v="11443022.85"/>
  </r>
  <r>
    <x v="1"/>
    <x v="2"/>
    <x v="0"/>
    <x v="3"/>
    <x v="22"/>
    <n v="40074.629999999997"/>
  </r>
  <r>
    <x v="0"/>
    <x v="2"/>
    <x v="0"/>
    <x v="0"/>
    <x v="21"/>
    <n v="337422777.72000003"/>
  </r>
  <r>
    <x v="1"/>
    <x v="1"/>
    <x v="0"/>
    <x v="3"/>
    <x v="25"/>
    <n v="-25657066.620000001"/>
  </r>
  <r>
    <x v="0"/>
    <x v="7"/>
    <x v="0"/>
    <x v="0"/>
    <x v="1"/>
    <n v="53401000"/>
  </r>
  <r>
    <x v="1"/>
    <x v="4"/>
    <x v="1"/>
    <x v="2"/>
    <x v="20"/>
    <n v="432171"/>
  </r>
  <r>
    <x v="0"/>
    <x v="2"/>
    <x v="0"/>
    <x v="2"/>
    <x v="10"/>
    <n v="466342035.38999999"/>
  </r>
  <r>
    <x v="0"/>
    <x v="3"/>
    <x v="0"/>
    <x v="0"/>
    <x v="24"/>
    <n v="563627041.19000006"/>
  </r>
  <r>
    <x v="0"/>
    <x v="0"/>
    <x v="0"/>
    <x v="3"/>
    <x v="9"/>
    <n v="990909.12"/>
  </r>
  <r>
    <x v="1"/>
    <x v="3"/>
    <x v="0"/>
    <x v="3"/>
    <x v="7"/>
    <n v="1335858.42"/>
  </r>
  <r>
    <x v="0"/>
    <x v="6"/>
    <x v="0"/>
    <x v="3"/>
    <x v="3"/>
    <n v="9538000"/>
  </r>
  <r>
    <x v="1"/>
    <x v="3"/>
    <x v="1"/>
    <x v="2"/>
    <x v="3"/>
    <n v="10308149.98"/>
  </r>
  <r>
    <x v="0"/>
    <x v="5"/>
    <x v="0"/>
    <x v="0"/>
    <x v="22"/>
    <n v="54765569.229999997"/>
  </r>
  <r>
    <x v="0"/>
    <x v="4"/>
    <x v="0"/>
    <x v="3"/>
    <x v="14"/>
    <n v="16997000"/>
  </r>
  <r>
    <x v="0"/>
    <x v="6"/>
    <x v="0"/>
    <x v="2"/>
    <x v="14"/>
    <n v="55958327.299999997"/>
  </r>
  <r>
    <x v="0"/>
    <x v="2"/>
    <x v="0"/>
    <x v="0"/>
    <x v="12"/>
    <n v="312315159.32999998"/>
  </r>
  <r>
    <x v="0"/>
    <x v="3"/>
    <x v="0"/>
    <x v="3"/>
    <x v="3"/>
    <n v="35729845.670000002"/>
  </r>
  <r>
    <x v="1"/>
    <x v="3"/>
    <x v="0"/>
    <x v="3"/>
    <x v="23"/>
    <n v="9755732.6899999995"/>
  </r>
  <r>
    <x v="0"/>
    <x v="0"/>
    <x v="0"/>
    <x v="2"/>
    <x v="7"/>
    <n v="752373.71"/>
  </r>
  <r>
    <x v="0"/>
    <x v="0"/>
    <x v="0"/>
    <x v="3"/>
    <x v="7"/>
    <n v="2725000"/>
  </r>
  <r>
    <x v="0"/>
    <x v="3"/>
    <x v="0"/>
    <x v="3"/>
    <x v="1"/>
    <n v="40349457.640000001"/>
  </r>
  <r>
    <x v="0"/>
    <x v="6"/>
    <x v="0"/>
    <x v="0"/>
    <x v="12"/>
    <n v="40612779.520000003"/>
  </r>
  <r>
    <x v="0"/>
    <x v="7"/>
    <x v="1"/>
    <x v="2"/>
    <x v="12"/>
    <n v="16245724.49"/>
  </r>
  <r>
    <x v="0"/>
    <x v="1"/>
    <x v="0"/>
    <x v="3"/>
    <x v="18"/>
    <n v="41104141.439999998"/>
  </r>
  <r>
    <x v="0"/>
    <x v="7"/>
    <x v="0"/>
    <x v="0"/>
    <x v="11"/>
    <n v="64449489.079999998"/>
  </r>
  <r>
    <x v="0"/>
    <x v="6"/>
    <x v="0"/>
    <x v="4"/>
    <x v="3"/>
    <n v="6975000"/>
  </r>
  <r>
    <x v="0"/>
    <x v="1"/>
    <x v="0"/>
    <x v="0"/>
    <x v="7"/>
    <n v="278578315.73000002"/>
  </r>
  <r>
    <x v="0"/>
    <x v="6"/>
    <x v="0"/>
    <x v="0"/>
    <x v="13"/>
    <n v="51471000"/>
  </r>
  <r>
    <x v="0"/>
    <x v="5"/>
    <x v="0"/>
    <x v="2"/>
    <x v="5"/>
    <n v="56343336.460000001"/>
  </r>
  <r>
    <x v="0"/>
    <x v="1"/>
    <x v="0"/>
    <x v="1"/>
    <x v="25"/>
    <n v="73500000"/>
  </r>
  <r>
    <x v="0"/>
    <x v="3"/>
    <x v="1"/>
    <x v="2"/>
    <x v="0"/>
    <n v="199350950.97999999"/>
  </r>
  <r>
    <x v="0"/>
    <x v="2"/>
    <x v="0"/>
    <x v="3"/>
    <x v="16"/>
    <n v="23225314.300000001"/>
  </r>
  <r>
    <x v="0"/>
    <x v="0"/>
    <x v="0"/>
    <x v="0"/>
    <x v="20"/>
    <n v="17728751.210000001"/>
  </r>
  <r>
    <x v="0"/>
    <x v="5"/>
    <x v="0"/>
    <x v="2"/>
    <x v="7"/>
    <n v="47278559.950000003"/>
  </r>
  <r>
    <x v="0"/>
    <x v="1"/>
    <x v="0"/>
    <x v="1"/>
    <x v="10"/>
    <n v="67500000"/>
  </r>
  <r>
    <x v="0"/>
    <x v="5"/>
    <x v="0"/>
    <x v="0"/>
    <x v="0"/>
    <n v="40067171.299999997"/>
  </r>
  <r>
    <x v="1"/>
    <x v="4"/>
    <x v="0"/>
    <x v="0"/>
    <x v="3"/>
    <n v="-3179900.31"/>
  </r>
  <r>
    <x v="0"/>
    <x v="0"/>
    <x v="0"/>
    <x v="0"/>
    <x v="8"/>
    <n v="25567694"/>
  </r>
  <r>
    <x v="1"/>
    <x v="4"/>
    <x v="0"/>
    <x v="0"/>
    <x v="4"/>
    <n v="-1967293.79"/>
  </r>
  <r>
    <x v="0"/>
    <x v="0"/>
    <x v="0"/>
    <x v="2"/>
    <x v="9"/>
    <n v="4786980.7300000004"/>
  </r>
  <r>
    <x v="1"/>
    <x v="0"/>
    <x v="0"/>
    <x v="0"/>
    <x v="23"/>
    <n v="806.88"/>
  </r>
  <r>
    <x v="1"/>
    <x v="7"/>
    <x v="0"/>
    <x v="3"/>
    <x v="20"/>
    <n v="580358.18999999994"/>
  </r>
  <r>
    <x v="0"/>
    <x v="5"/>
    <x v="0"/>
    <x v="0"/>
    <x v="3"/>
    <n v="34689000"/>
  </r>
  <r>
    <x v="0"/>
    <x v="3"/>
    <x v="0"/>
    <x v="3"/>
    <x v="5"/>
    <n v="45653168.020000003"/>
  </r>
  <r>
    <x v="0"/>
    <x v="6"/>
    <x v="0"/>
    <x v="3"/>
    <x v="22"/>
    <n v="9538000"/>
  </r>
  <r>
    <x v="0"/>
    <x v="5"/>
    <x v="0"/>
    <x v="0"/>
    <x v="20"/>
    <n v="35126000"/>
  </r>
  <r>
    <x v="0"/>
    <x v="0"/>
    <x v="0"/>
    <x v="3"/>
    <x v="5"/>
    <n v="2768000"/>
  </r>
  <r>
    <x v="0"/>
    <x v="3"/>
    <x v="0"/>
    <x v="3"/>
    <x v="20"/>
    <n v="35847019.729999997"/>
  </r>
  <r>
    <x v="0"/>
    <x v="0"/>
    <x v="1"/>
    <x v="2"/>
    <x v="8"/>
    <n v="13761369.470000001"/>
  </r>
  <r>
    <x v="1"/>
    <x v="2"/>
    <x v="0"/>
    <x v="3"/>
    <x v="14"/>
    <n v="11486.15"/>
  </r>
  <r>
    <x v="1"/>
    <x v="6"/>
    <x v="0"/>
    <x v="2"/>
    <x v="5"/>
    <n v="7369042.9900000002"/>
  </r>
  <r>
    <x v="1"/>
    <x v="4"/>
    <x v="0"/>
    <x v="0"/>
    <x v="20"/>
    <n v="-1785446.88"/>
  </r>
  <r>
    <x v="1"/>
    <x v="2"/>
    <x v="0"/>
    <x v="3"/>
    <x v="19"/>
    <n v="84875.43"/>
  </r>
  <r>
    <x v="1"/>
    <x v="1"/>
    <x v="0"/>
    <x v="0"/>
    <x v="18"/>
    <n v="2342784.89"/>
  </r>
  <r>
    <x v="1"/>
    <x v="2"/>
    <x v="0"/>
    <x v="2"/>
    <x v="22"/>
    <n v="20268950.420000002"/>
  </r>
  <r>
    <x v="0"/>
    <x v="6"/>
    <x v="0"/>
    <x v="3"/>
    <x v="20"/>
    <n v="9474000"/>
  </r>
  <r>
    <x v="0"/>
    <x v="4"/>
    <x v="1"/>
    <x v="2"/>
    <x v="8"/>
    <n v="54777115"/>
  </r>
  <r>
    <x v="1"/>
    <x v="1"/>
    <x v="0"/>
    <x v="0"/>
    <x v="16"/>
    <n v="2545661.54"/>
  </r>
  <r>
    <x v="0"/>
    <x v="7"/>
    <x v="0"/>
    <x v="2"/>
    <x v="16"/>
    <n v="89603263.769999996"/>
  </r>
  <r>
    <x v="1"/>
    <x v="7"/>
    <x v="0"/>
    <x v="0"/>
    <x v="2"/>
    <n v="2023.28"/>
  </r>
  <r>
    <x v="1"/>
    <x v="5"/>
    <x v="0"/>
    <x v="0"/>
    <x v="19"/>
    <n v="0"/>
  </r>
  <r>
    <x v="0"/>
    <x v="2"/>
    <x v="1"/>
    <x v="2"/>
    <x v="17"/>
    <n v="242591674.38999999"/>
  </r>
  <r>
    <x v="0"/>
    <x v="6"/>
    <x v="0"/>
    <x v="0"/>
    <x v="15"/>
    <n v="42831427.399999999"/>
  </r>
  <r>
    <x v="1"/>
    <x v="4"/>
    <x v="0"/>
    <x v="0"/>
    <x v="5"/>
    <n v="-5917847.7699999996"/>
  </r>
  <r>
    <x v="1"/>
    <x v="2"/>
    <x v="1"/>
    <x v="2"/>
    <x v="2"/>
    <n v="6573280.4199999999"/>
  </r>
  <r>
    <x v="1"/>
    <x v="3"/>
    <x v="0"/>
    <x v="2"/>
    <x v="23"/>
    <n v="12566805.73"/>
  </r>
  <r>
    <x v="1"/>
    <x v="8"/>
    <x v="0"/>
    <x v="0"/>
    <x v="0"/>
    <n v="1215275.26"/>
  </r>
  <r>
    <x v="1"/>
    <x v="0"/>
    <x v="1"/>
    <x v="2"/>
    <x v="17"/>
    <n v="4374053.1500000004"/>
  </r>
  <r>
    <x v="1"/>
    <x v="2"/>
    <x v="1"/>
    <x v="2"/>
    <x v="15"/>
    <n v="13346540.59"/>
  </r>
  <r>
    <x v="0"/>
    <x v="0"/>
    <x v="0"/>
    <x v="3"/>
    <x v="21"/>
    <n v="705000"/>
  </r>
  <r>
    <x v="1"/>
    <x v="0"/>
    <x v="0"/>
    <x v="2"/>
    <x v="18"/>
    <n v="828807"/>
  </r>
  <r>
    <x v="0"/>
    <x v="7"/>
    <x v="0"/>
    <x v="0"/>
    <x v="4"/>
    <n v="53283562.369999997"/>
  </r>
  <r>
    <x v="0"/>
    <x v="2"/>
    <x v="1"/>
    <x v="2"/>
    <x v="21"/>
    <n v="199554563.18000001"/>
  </r>
  <r>
    <x v="0"/>
    <x v="2"/>
    <x v="0"/>
    <x v="0"/>
    <x v="23"/>
    <n v="201233062.99000001"/>
  </r>
  <r>
    <x v="0"/>
    <x v="7"/>
    <x v="0"/>
    <x v="0"/>
    <x v="5"/>
    <n v="67187723.120000005"/>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3">
  <r>
    <x v="0"/>
    <x v="0"/>
    <x v="0"/>
    <x v="0"/>
    <x v="0"/>
    <x v="0"/>
    <x v="0"/>
    <n v="93.85"/>
  </r>
  <r>
    <x v="0"/>
    <x v="0"/>
    <x v="1"/>
    <x v="0"/>
    <x v="1"/>
    <x v="1"/>
    <x v="1"/>
    <n v="5782.45"/>
  </r>
  <r>
    <x v="0"/>
    <x v="0"/>
    <x v="1"/>
    <x v="0"/>
    <x v="1"/>
    <x v="1"/>
    <x v="2"/>
    <n v="375805.31"/>
  </r>
  <r>
    <x v="0"/>
    <x v="0"/>
    <x v="2"/>
    <x v="0"/>
    <x v="2"/>
    <x v="1"/>
    <x v="3"/>
    <n v="7318.68"/>
  </r>
  <r>
    <x v="0"/>
    <x v="0"/>
    <x v="2"/>
    <x v="0"/>
    <x v="2"/>
    <x v="2"/>
    <x v="4"/>
    <n v="6466.62"/>
  </r>
  <r>
    <x v="0"/>
    <x v="0"/>
    <x v="2"/>
    <x v="0"/>
    <x v="1"/>
    <x v="1"/>
    <x v="1"/>
    <n v="637.5"/>
  </r>
  <r>
    <x v="0"/>
    <x v="0"/>
    <x v="3"/>
    <x v="0"/>
    <x v="3"/>
    <x v="1"/>
    <x v="5"/>
    <n v="1286412.27"/>
  </r>
  <r>
    <x v="0"/>
    <x v="0"/>
    <x v="3"/>
    <x v="0"/>
    <x v="3"/>
    <x v="1"/>
    <x v="6"/>
    <n v="308199.81"/>
  </r>
  <r>
    <x v="0"/>
    <x v="0"/>
    <x v="3"/>
    <x v="0"/>
    <x v="3"/>
    <x v="3"/>
    <x v="3"/>
    <n v="2431814.36"/>
  </r>
  <r>
    <x v="0"/>
    <x v="0"/>
    <x v="3"/>
    <x v="0"/>
    <x v="3"/>
    <x v="3"/>
    <x v="7"/>
    <n v="1428972.96"/>
  </r>
  <r>
    <x v="0"/>
    <x v="0"/>
    <x v="3"/>
    <x v="0"/>
    <x v="1"/>
    <x v="1"/>
    <x v="8"/>
    <n v="1310307.6000000001"/>
  </r>
  <r>
    <x v="1"/>
    <x v="0"/>
    <x v="4"/>
    <x v="0"/>
    <x v="4"/>
    <x v="0"/>
    <x v="9"/>
    <n v="7269391.7300000004"/>
  </r>
  <r>
    <x v="1"/>
    <x v="0"/>
    <x v="4"/>
    <x v="0"/>
    <x v="4"/>
    <x v="0"/>
    <x v="10"/>
    <n v="13471608.27"/>
  </r>
  <r>
    <x v="1"/>
    <x v="0"/>
    <x v="4"/>
    <x v="0"/>
    <x v="4"/>
    <x v="1"/>
    <x v="11"/>
    <n v="13989768.52"/>
  </r>
  <r>
    <x v="1"/>
    <x v="0"/>
    <x v="4"/>
    <x v="0"/>
    <x v="4"/>
    <x v="1"/>
    <x v="5"/>
    <n v="12912500"/>
  </r>
  <r>
    <x v="1"/>
    <x v="0"/>
    <x v="4"/>
    <x v="0"/>
    <x v="4"/>
    <x v="1"/>
    <x v="6"/>
    <n v="12912500"/>
  </r>
  <r>
    <x v="1"/>
    <x v="0"/>
    <x v="4"/>
    <x v="0"/>
    <x v="4"/>
    <x v="1"/>
    <x v="12"/>
    <n v="12912500.439999999"/>
  </r>
  <r>
    <x v="1"/>
    <x v="0"/>
    <x v="4"/>
    <x v="0"/>
    <x v="4"/>
    <x v="4"/>
    <x v="13"/>
    <n v="12912499.960000001"/>
  </r>
  <r>
    <x v="1"/>
    <x v="0"/>
    <x v="0"/>
    <x v="0"/>
    <x v="0"/>
    <x v="0"/>
    <x v="14"/>
    <n v="5056976.5199999996"/>
  </r>
  <r>
    <x v="1"/>
    <x v="0"/>
    <x v="0"/>
    <x v="0"/>
    <x v="0"/>
    <x v="0"/>
    <x v="15"/>
    <n v="5058023.4800000004"/>
  </r>
  <r>
    <x v="1"/>
    <x v="0"/>
    <x v="0"/>
    <x v="0"/>
    <x v="0"/>
    <x v="1"/>
    <x v="16"/>
    <n v="5057000"/>
  </r>
  <r>
    <x v="1"/>
    <x v="0"/>
    <x v="0"/>
    <x v="0"/>
    <x v="0"/>
    <x v="1"/>
    <x v="11"/>
    <n v="5058000"/>
  </r>
  <r>
    <x v="1"/>
    <x v="0"/>
    <x v="0"/>
    <x v="0"/>
    <x v="0"/>
    <x v="1"/>
    <x v="5"/>
    <n v="5057000"/>
  </r>
  <r>
    <x v="1"/>
    <x v="0"/>
    <x v="0"/>
    <x v="0"/>
    <x v="0"/>
    <x v="1"/>
    <x v="17"/>
    <n v="1686000"/>
  </r>
  <r>
    <x v="1"/>
    <x v="0"/>
    <x v="0"/>
    <x v="0"/>
    <x v="0"/>
    <x v="5"/>
    <x v="13"/>
    <n v="5058000"/>
  </r>
  <r>
    <x v="1"/>
    <x v="0"/>
    <x v="0"/>
    <x v="0"/>
    <x v="1"/>
    <x v="1"/>
    <x v="8"/>
    <n v="5058000"/>
  </r>
  <r>
    <x v="1"/>
    <x v="0"/>
    <x v="1"/>
    <x v="0"/>
    <x v="5"/>
    <x v="6"/>
    <x v="17"/>
    <n v="461875"/>
  </r>
  <r>
    <x v="1"/>
    <x v="0"/>
    <x v="5"/>
    <x v="0"/>
    <x v="6"/>
    <x v="7"/>
    <x v="13"/>
    <n v="1210999"/>
  </r>
  <r>
    <x v="1"/>
    <x v="0"/>
    <x v="5"/>
    <x v="0"/>
    <x v="6"/>
    <x v="1"/>
    <x v="0"/>
    <n v="1211000"/>
  </r>
  <r>
    <x v="1"/>
    <x v="0"/>
    <x v="5"/>
    <x v="0"/>
    <x v="6"/>
    <x v="3"/>
    <x v="14"/>
    <n v="1211000"/>
  </r>
  <r>
    <x v="1"/>
    <x v="0"/>
    <x v="5"/>
    <x v="0"/>
    <x v="6"/>
    <x v="3"/>
    <x v="15"/>
    <n v="1211000"/>
  </r>
  <r>
    <x v="1"/>
    <x v="0"/>
    <x v="5"/>
    <x v="0"/>
    <x v="1"/>
    <x v="8"/>
    <x v="18"/>
    <n v="1086000"/>
  </r>
  <r>
    <x v="1"/>
    <x v="0"/>
    <x v="5"/>
    <x v="0"/>
    <x v="1"/>
    <x v="1"/>
    <x v="1"/>
    <n v="1211000"/>
  </r>
  <r>
    <x v="1"/>
    <x v="0"/>
    <x v="5"/>
    <x v="0"/>
    <x v="1"/>
    <x v="1"/>
    <x v="8"/>
    <n v="1211000"/>
  </r>
  <r>
    <x v="1"/>
    <x v="0"/>
    <x v="5"/>
    <x v="0"/>
    <x v="1"/>
    <x v="1"/>
    <x v="2"/>
    <n v="1211000"/>
  </r>
  <r>
    <x v="1"/>
    <x v="0"/>
    <x v="2"/>
    <x v="0"/>
    <x v="2"/>
    <x v="0"/>
    <x v="19"/>
    <n v="726871.28"/>
  </r>
  <r>
    <x v="1"/>
    <x v="0"/>
    <x v="2"/>
    <x v="0"/>
    <x v="2"/>
    <x v="8"/>
    <x v="20"/>
    <n v="29917.119999999999"/>
  </r>
  <r>
    <x v="1"/>
    <x v="0"/>
    <x v="2"/>
    <x v="0"/>
    <x v="2"/>
    <x v="1"/>
    <x v="7"/>
    <n v="14660.86"/>
  </r>
  <r>
    <x v="1"/>
    <x v="0"/>
    <x v="2"/>
    <x v="0"/>
    <x v="2"/>
    <x v="1"/>
    <x v="0"/>
    <n v="745575.49"/>
  </r>
  <r>
    <x v="1"/>
    <x v="0"/>
    <x v="6"/>
    <x v="0"/>
    <x v="7"/>
    <x v="1"/>
    <x v="0"/>
    <n v="1802497.24"/>
  </r>
  <r>
    <x v="1"/>
    <x v="0"/>
    <x v="6"/>
    <x v="0"/>
    <x v="1"/>
    <x v="8"/>
    <x v="20"/>
    <n v="1407000"/>
  </r>
  <r>
    <x v="1"/>
    <x v="0"/>
    <x v="3"/>
    <x v="0"/>
    <x v="3"/>
    <x v="9"/>
    <x v="4"/>
    <n v="9915922.3200000003"/>
  </r>
  <r>
    <x v="1"/>
    <x v="0"/>
    <x v="3"/>
    <x v="0"/>
    <x v="3"/>
    <x v="1"/>
    <x v="11"/>
    <n v="10351333.220000001"/>
  </r>
  <r>
    <x v="1"/>
    <x v="0"/>
    <x v="3"/>
    <x v="0"/>
    <x v="3"/>
    <x v="1"/>
    <x v="5"/>
    <n v="9802240.8000000007"/>
  </r>
  <r>
    <x v="1"/>
    <x v="0"/>
    <x v="3"/>
    <x v="0"/>
    <x v="3"/>
    <x v="1"/>
    <x v="6"/>
    <n v="11203219.779999999"/>
  </r>
  <r>
    <x v="1"/>
    <x v="0"/>
    <x v="3"/>
    <x v="0"/>
    <x v="3"/>
    <x v="1"/>
    <x v="12"/>
    <n v="10550366.42"/>
  </r>
  <r>
    <x v="1"/>
    <x v="0"/>
    <x v="3"/>
    <x v="0"/>
    <x v="3"/>
    <x v="1"/>
    <x v="19"/>
    <n v="10590913.4"/>
  </r>
  <r>
    <x v="1"/>
    <x v="0"/>
    <x v="3"/>
    <x v="0"/>
    <x v="3"/>
    <x v="3"/>
    <x v="3"/>
    <n v="8966546.4000000004"/>
  </r>
  <r>
    <x v="1"/>
    <x v="0"/>
    <x v="3"/>
    <x v="0"/>
    <x v="3"/>
    <x v="3"/>
    <x v="7"/>
    <n v="9969391.0399999991"/>
  </r>
  <r>
    <x v="1"/>
    <x v="0"/>
    <x v="3"/>
    <x v="0"/>
    <x v="1"/>
    <x v="8"/>
    <x v="18"/>
    <n v="8253249.96"/>
  </r>
  <r>
    <x v="1"/>
    <x v="0"/>
    <x v="3"/>
    <x v="0"/>
    <x v="1"/>
    <x v="1"/>
    <x v="1"/>
    <n v="9840191.2799999993"/>
  </r>
  <r>
    <x v="1"/>
    <x v="0"/>
    <x v="3"/>
    <x v="0"/>
    <x v="1"/>
    <x v="1"/>
    <x v="2"/>
    <n v="10102933.130000001"/>
  </r>
  <r>
    <x v="1"/>
    <x v="1"/>
    <x v="7"/>
    <x v="0"/>
    <x v="8"/>
    <x v="10"/>
    <x v="17"/>
    <n v="49000"/>
  </r>
  <r>
    <x v="1"/>
    <x v="1"/>
    <x v="8"/>
    <x v="0"/>
    <x v="9"/>
    <x v="11"/>
    <x v="4"/>
    <n v="7900000"/>
  </r>
  <r>
    <x v="1"/>
    <x v="1"/>
    <x v="8"/>
    <x v="0"/>
    <x v="9"/>
    <x v="12"/>
    <x v="0"/>
    <n v="750000"/>
  </r>
  <r>
    <x v="0"/>
    <x v="0"/>
    <x v="2"/>
    <x v="0"/>
    <x v="2"/>
    <x v="1"/>
    <x v="7"/>
    <n v="-14629.85"/>
  </r>
  <r>
    <x v="0"/>
    <x v="0"/>
    <x v="2"/>
    <x v="0"/>
    <x v="2"/>
    <x v="2"/>
    <x v="13"/>
    <n v="-6466.62"/>
  </r>
  <r>
    <x v="0"/>
    <x v="0"/>
    <x v="2"/>
    <x v="0"/>
    <x v="1"/>
    <x v="8"/>
    <x v="20"/>
    <n v="83334.62"/>
  </r>
  <r>
    <x v="0"/>
    <x v="0"/>
    <x v="3"/>
    <x v="0"/>
    <x v="3"/>
    <x v="0"/>
    <x v="9"/>
    <n v="0"/>
  </r>
  <r>
    <x v="0"/>
    <x v="0"/>
    <x v="3"/>
    <x v="0"/>
    <x v="3"/>
    <x v="0"/>
    <x v="10"/>
    <n v="0"/>
  </r>
  <r>
    <x v="0"/>
    <x v="0"/>
    <x v="3"/>
    <x v="0"/>
    <x v="3"/>
    <x v="9"/>
    <x v="4"/>
    <n v="513846.36"/>
  </r>
  <r>
    <x v="0"/>
    <x v="0"/>
    <x v="3"/>
    <x v="0"/>
    <x v="3"/>
    <x v="1"/>
    <x v="16"/>
    <n v="1484706.57"/>
  </r>
  <r>
    <x v="0"/>
    <x v="0"/>
    <x v="3"/>
    <x v="0"/>
    <x v="3"/>
    <x v="1"/>
    <x v="11"/>
    <n v="2303355.4700000002"/>
  </r>
  <r>
    <x v="0"/>
    <x v="0"/>
    <x v="3"/>
    <x v="0"/>
    <x v="1"/>
    <x v="8"/>
    <x v="18"/>
    <n v="656329.56999999995"/>
  </r>
  <r>
    <x v="0"/>
    <x v="0"/>
    <x v="3"/>
    <x v="0"/>
    <x v="1"/>
    <x v="1"/>
    <x v="1"/>
    <n v="1714176.31"/>
  </r>
  <r>
    <x v="0"/>
    <x v="0"/>
    <x v="3"/>
    <x v="0"/>
    <x v="1"/>
    <x v="1"/>
    <x v="2"/>
    <n v="1303895.3600000001"/>
  </r>
  <r>
    <x v="0"/>
    <x v="1"/>
    <x v="9"/>
    <x v="0"/>
    <x v="9"/>
    <x v="13"/>
    <x v="18"/>
    <n v="9700"/>
  </r>
  <r>
    <x v="1"/>
    <x v="0"/>
    <x v="4"/>
    <x v="0"/>
    <x v="4"/>
    <x v="1"/>
    <x v="3"/>
    <n v="14792322.380000001"/>
  </r>
  <r>
    <x v="1"/>
    <x v="0"/>
    <x v="4"/>
    <x v="0"/>
    <x v="4"/>
    <x v="1"/>
    <x v="7"/>
    <n v="11032677.619999999"/>
  </r>
  <r>
    <x v="1"/>
    <x v="0"/>
    <x v="4"/>
    <x v="0"/>
    <x v="4"/>
    <x v="1"/>
    <x v="19"/>
    <n v="12912580.369999999"/>
  </r>
  <r>
    <x v="1"/>
    <x v="0"/>
    <x v="4"/>
    <x v="0"/>
    <x v="4"/>
    <x v="4"/>
    <x v="4"/>
    <n v="12912500.039999999"/>
  </r>
  <r>
    <x v="1"/>
    <x v="0"/>
    <x v="4"/>
    <x v="0"/>
    <x v="1"/>
    <x v="8"/>
    <x v="20"/>
    <n v="10795789.380000001"/>
  </r>
  <r>
    <x v="1"/>
    <x v="0"/>
    <x v="4"/>
    <x v="0"/>
    <x v="1"/>
    <x v="1"/>
    <x v="21"/>
    <n v="11442828.380000001"/>
  </r>
  <r>
    <x v="1"/>
    <x v="0"/>
    <x v="0"/>
    <x v="0"/>
    <x v="0"/>
    <x v="1"/>
    <x v="3"/>
    <n v="5057000"/>
  </r>
  <r>
    <x v="1"/>
    <x v="0"/>
    <x v="0"/>
    <x v="0"/>
    <x v="0"/>
    <x v="1"/>
    <x v="6"/>
    <n v="5058000"/>
  </r>
  <r>
    <x v="1"/>
    <x v="0"/>
    <x v="0"/>
    <x v="0"/>
    <x v="0"/>
    <x v="1"/>
    <x v="19"/>
    <n v="5057000"/>
  </r>
  <r>
    <x v="1"/>
    <x v="0"/>
    <x v="0"/>
    <x v="0"/>
    <x v="1"/>
    <x v="8"/>
    <x v="18"/>
    <n v="3938000"/>
  </r>
  <r>
    <x v="1"/>
    <x v="0"/>
    <x v="0"/>
    <x v="0"/>
    <x v="1"/>
    <x v="1"/>
    <x v="1"/>
    <n v="5057000"/>
  </r>
  <r>
    <x v="1"/>
    <x v="0"/>
    <x v="0"/>
    <x v="0"/>
    <x v="1"/>
    <x v="1"/>
    <x v="2"/>
    <n v="5058000"/>
  </r>
  <r>
    <x v="1"/>
    <x v="0"/>
    <x v="1"/>
    <x v="0"/>
    <x v="5"/>
    <x v="6"/>
    <x v="0"/>
    <n v="1016125"/>
  </r>
  <r>
    <x v="1"/>
    <x v="0"/>
    <x v="1"/>
    <x v="0"/>
    <x v="5"/>
    <x v="3"/>
    <x v="9"/>
    <n v="1108500"/>
  </r>
  <r>
    <x v="1"/>
    <x v="0"/>
    <x v="1"/>
    <x v="0"/>
    <x v="5"/>
    <x v="3"/>
    <x v="10"/>
    <n v="3300500"/>
  </r>
  <r>
    <x v="1"/>
    <x v="0"/>
    <x v="1"/>
    <x v="0"/>
    <x v="5"/>
    <x v="3"/>
    <x v="14"/>
    <n v="1108500"/>
  </r>
  <r>
    <x v="1"/>
    <x v="0"/>
    <x v="1"/>
    <x v="0"/>
    <x v="5"/>
    <x v="3"/>
    <x v="15"/>
    <n v="1108500"/>
  </r>
  <r>
    <x v="1"/>
    <x v="0"/>
    <x v="1"/>
    <x v="0"/>
    <x v="1"/>
    <x v="8"/>
    <x v="18"/>
    <n v="1097352.17"/>
  </r>
  <r>
    <x v="1"/>
    <x v="0"/>
    <x v="1"/>
    <x v="0"/>
    <x v="1"/>
    <x v="1"/>
    <x v="1"/>
    <n v="759266.74"/>
  </r>
  <r>
    <x v="1"/>
    <x v="0"/>
    <x v="1"/>
    <x v="0"/>
    <x v="1"/>
    <x v="1"/>
    <x v="8"/>
    <n v="1413773.24"/>
  </r>
  <r>
    <x v="1"/>
    <x v="0"/>
    <x v="1"/>
    <x v="0"/>
    <x v="1"/>
    <x v="1"/>
    <x v="2"/>
    <n v="628154.1"/>
  </r>
  <r>
    <x v="1"/>
    <x v="0"/>
    <x v="5"/>
    <x v="0"/>
    <x v="6"/>
    <x v="1"/>
    <x v="5"/>
    <n v="1211000"/>
  </r>
  <r>
    <x v="1"/>
    <x v="0"/>
    <x v="5"/>
    <x v="0"/>
    <x v="6"/>
    <x v="1"/>
    <x v="6"/>
    <n v="1211000"/>
  </r>
  <r>
    <x v="1"/>
    <x v="0"/>
    <x v="5"/>
    <x v="0"/>
    <x v="6"/>
    <x v="1"/>
    <x v="12"/>
    <n v="1211000"/>
  </r>
  <r>
    <x v="1"/>
    <x v="0"/>
    <x v="5"/>
    <x v="0"/>
    <x v="6"/>
    <x v="1"/>
    <x v="19"/>
    <n v="1233164"/>
  </r>
  <r>
    <x v="1"/>
    <x v="0"/>
    <x v="5"/>
    <x v="0"/>
    <x v="6"/>
    <x v="3"/>
    <x v="3"/>
    <n v="1211000"/>
  </r>
  <r>
    <x v="1"/>
    <x v="0"/>
    <x v="5"/>
    <x v="0"/>
    <x v="6"/>
    <x v="3"/>
    <x v="7"/>
    <n v="1211000"/>
  </r>
  <r>
    <x v="1"/>
    <x v="0"/>
    <x v="5"/>
    <x v="0"/>
    <x v="1"/>
    <x v="1"/>
    <x v="21"/>
    <n v="1211000"/>
  </r>
  <r>
    <x v="1"/>
    <x v="0"/>
    <x v="2"/>
    <x v="0"/>
    <x v="2"/>
    <x v="0"/>
    <x v="17"/>
    <n v="153128.43"/>
  </r>
  <r>
    <x v="1"/>
    <x v="0"/>
    <x v="2"/>
    <x v="0"/>
    <x v="2"/>
    <x v="1"/>
    <x v="3"/>
    <n v="740254.13"/>
  </r>
  <r>
    <x v="1"/>
    <x v="0"/>
    <x v="2"/>
    <x v="0"/>
    <x v="2"/>
    <x v="1"/>
    <x v="5"/>
    <n v="830000"/>
  </r>
  <r>
    <x v="1"/>
    <x v="0"/>
    <x v="2"/>
    <x v="0"/>
    <x v="2"/>
    <x v="1"/>
    <x v="12"/>
    <n v="134334.97"/>
  </r>
  <r>
    <x v="1"/>
    <x v="0"/>
    <x v="2"/>
    <x v="0"/>
    <x v="1"/>
    <x v="1"/>
    <x v="1"/>
    <n v="199120.69"/>
  </r>
  <r>
    <x v="1"/>
    <x v="0"/>
    <x v="2"/>
    <x v="0"/>
    <x v="1"/>
    <x v="1"/>
    <x v="8"/>
    <n v="582019.56999999995"/>
  </r>
  <r>
    <x v="1"/>
    <x v="0"/>
    <x v="2"/>
    <x v="0"/>
    <x v="1"/>
    <x v="1"/>
    <x v="2"/>
    <n v="219981.12"/>
  </r>
  <r>
    <x v="1"/>
    <x v="0"/>
    <x v="6"/>
    <x v="0"/>
    <x v="7"/>
    <x v="14"/>
    <x v="4"/>
    <n v="1805785.91"/>
  </r>
  <r>
    <x v="1"/>
    <x v="0"/>
    <x v="6"/>
    <x v="0"/>
    <x v="7"/>
    <x v="0"/>
    <x v="19"/>
    <n v="1807000"/>
  </r>
  <r>
    <x v="1"/>
    <x v="0"/>
    <x v="6"/>
    <x v="0"/>
    <x v="7"/>
    <x v="1"/>
    <x v="3"/>
    <n v="1807000"/>
  </r>
  <r>
    <x v="1"/>
    <x v="0"/>
    <x v="6"/>
    <x v="0"/>
    <x v="7"/>
    <x v="1"/>
    <x v="7"/>
    <n v="1806999.68"/>
  </r>
  <r>
    <x v="1"/>
    <x v="0"/>
    <x v="6"/>
    <x v="0"/>
    <x v="7"/>
    <x v="1"/>
    <x v="12"/>
    <n v="1806999.33"/>
  </r>
  <r>
    <x v="1"/>
    <x v="0"/>
    <x v="6"/>
    <x v="0"/>
    <x v="1"/>
    <x v="1"/>
    <x v="21"/>
    <n v="1807000"/>
  </r>
  <r>
    <x v="1"/>
    <x v="0"/>
    <x v="3"/>
    <x v="0"/>
    <x v="3"/>
    <x v="9"/>
    <x v="13"/>
    <n v="11337053.529999999"/>
  </r>
  <r>
    <x v="1"/>
    <x v="0"/>
    <x v="3"/>
    <x v="0"/>
    <x v="3"/>
    <x v="3"/>
    <x v="14"/>
    <n v="9436106.7100000009"/>
  </r>
  <r>
    <x v="1"/>
    <x v="0"/>
    <x v="3"/>
    <x v="0"/>
    <x v="1"/>
    <x v="1"/>
    <x v="8"/>
    <n v="9937324.4600000009"/>
  </r>
  <r>
    <x v="1"/>
    <x v="1"/>
    <x v="8"/>
    <x v="0"/>
    <x v="9"/>
    <x v="15"/>
    <x v="12"/>
    <n v="750000"/>
  </r>
  <r>
    <x v="0"/>
    <x v="0"/>
    <x v="0"/>
    <x v="0"/>
    <x v="0"/>
    <x v="0"/>
    <x v="12"/>
    <n v="147621.15"/>
  </r>
  <r>
    <x v="0"/>
    <x v="0"/>
    <x v="1"/>
    <x v="0"/>
    <x v="5"/>
    <x v="6"/>
    <x v="6"/>
    <n v="92375"/>
  </r>
  <r>
    <x v="0"/>
    <x v="0"/>
    <x v="1"/>
    <x v="0"/>
    <x v="1"/>
    <x v="1"/>
    <x v="21"/>
    <n v="7563.41"/>
  </r>
  <r>
    <x v="0"/>
    <x v="0"/>
    <x v="2"/>
    <x v="0"/>
    <x v="2"/>
    <x v="0"/>
    <x v="10"/>
    <n v="1458553.39"/>
  </r>
  <r>
    <x v="0"/>
    <x v="0"/>
    <x v="2"/>
    <x v="0"/>
    <x v="1"/>
    <x v="1"/>
    <x v="21"/>
    <n v="-2496.73"/>
  </r>
  <r>
    <x v="0"/>
    <x v="0"/>
    <x v="6"/>
    <x v="0"/>
    <x v="7"/>
    <x v="0"/>
    <x v="9"/>
    <n v="287379.01"/>
  </r>
  <r>
    <x v="0"/>
    <x v="0"/>
    <x v="6"/>
    <x v="0"/>
    <x v="1"/>
    <x v="1"/>
    <x v="2"/>
    <n v="-65901.98"/>
  </r>
  <r>
    <x v="0"/>
    <x v="0"/>
    <x v="3"/>
    <x v="0"/>
    <x v="3"/>
    <x v="1"/>
    <x v="0"/>
    <n v="376244.81"/>
  </r>
  <r>
    <x v="1"/>
    <x v="0"/>
    <x v="4"/>
    <x v="0"/>
    <x v="4"/>
    <x v="1"/>
    <x v="14"/>
    <n v="12913000"/>
  </r>
  <r>
    <x v="1"/>
    <x v="0"/>
    <x v="4"/>
    <x v="0"/>
    <x v="4"/>
    <x v="1"/>
    <x v="0"/>
    <n v="12912499.560000001"/>
  </r>
  <r>
    <x v="1"/>
    <x v="0"/>
    <x v="4"/>
    <x v="0"/>
    <x v="1"/>
    <x v="1"/>
    <x v="1"/>
    <n v="12816138.16"/>
  </r>
  <r>
    <x v="1"/>
    <x v="0"/>
    <x v="4"/>
    <x v="0"/>
    <x v="1"/>
    <x v="1"/>
    <x v="8"/>
    <n v="13008861.84"/>
  </r>
  <r>
    <x v="1"/>
    <x v="0"/>
    <x v="0"/>
    <x v="0"/>
    <x v="0"/>
    <x v="0"/>
    <x v="12"/>
    <n v="4909378.8499999996"/>
  </r>
  <r>
    <x v="1"/>
    <x v="0"/>
    <x v="0"/>
    <x v="0"/>
    <x v="0"/>
    <x v="1"/>
    <x v="7"/>
    <n v="5058000"/>
  </r>
  <r>
    <x v="1"/>
    <x v="0"/>
    <x v="1"/>
    <x v="0"/>
    <x v="5"/>
    <x v="3"/>
    <x v="3"/>
    <n v="1108500"/>
  </r>
  <r>
    <x v="1"/>
    <x v="0"/>
    <x v="1"/>
    <x v="0"/>
    <x v="5"/>
    <x v="3"/>
    <x v="7"/>
    <n v="1108500"/>
  </r>
  <r>
    <x v="1"/>
    <x v="0"/>
    <x v="5"/>
    <x v="0"/>
    <x v="6"/>
    <x v="1"/>
    <x v="16"/>
    <n v="1211000"/>
  </r>
  <r>
    <x v="1"/>
    <x v="0"/>
    <x v="5"/>
    <x v="0"/>
    <x v="6"/>
    <x v="1"/>
    <x v="11"/>
    <n v="1211000"/>
  </r>
  <r>
    <x v="1"/>
    <x v="0"/>
    <x v="5"/>
    <x v="0"/>
    <x v="6"/>
    <x v="1"/>
    <x v="17"/>
    <n v="504583"/>
  </r>
  <r>
    <x v="1"/>
    <x v="0"/>
    <x v="5"/>
    <x v="0"/>
    <x v="1"/>
    <x v="8"/>
    <x v="20"/>
    <n v="800000"/>
  </r>
  <r>
    <x v="1"/>
    <x v="0"/>
    <x v="2"/>
    <x v="0"/>
    <x v="2"/>
    <x v="8"/>
    <x v="18"/>
    <n v="120082.44"/>
  </r>
  <r>
    <x v="1"/>
    <x v="0"/>
    <x v="2"/>
    <x v="0"/>
    <x v="2"/>
    <x v="1"/>
    <x v="16"/>
    <n v="588465.98"/>
  </r>
  <r>
    <x v="1"/>
    <x v="0"/>
    <x v="2"/>
    <x v="0"/>
    <x v="2"/>
    <x v="1"/>
    <x v="11"/>
    <n v="159305.06"/>
  </r>
  <r>
    <x v="1"/>
    <x v="0"/>
    <x v="2"/>
    <x v="0"/>
    <x v="2"/>
    <x v="2"/>
    <x v="13"/>
    <n v="420108.87"/>
  </r>
  <r>
    <x v="1"/>
    <x v="0"/>
    <x v="2"/>
    <x v="0"/>
    <x v="1"/>
    <x v="8"/>
    <x v="18"/>
    <n v="344174.74"/>
  </r>
  <r>
    <x v="1"/>
    <x v="0"/>
    <x v="6"/>
    <x v="0"/>
    <x v="7"/>
    <x v="14"/>
    <x v="13"/>
    <n v="1807000"/>
  </r>
  <r>
    <x v="1"/>
    <x v="0"/>
    <x v="6"/>
    <x v="0"/>
    <x v="7"/>
    <x v="0"/>
    <x v="17"/>
    <n v="759766.3"/>
  </r>
  <r>
    <x v="1"/>
    <x v="0"/>
    <x v="6"/>
    <x v="0"/>
    <x v="7"/>
    <x v="1"/>
    <x v="16"/>
    <n v="1807000"/>
  </r>
  <r>
    <x v="1"/>
    <x v="0"/>
    <x v="6"/>
    <x v="0"/>
    <x v="7"/>
    <x v="1"/>
    <x v="11"/>
    <n v="1807000"/>
  </r>
  <r>
    <x v="1"/>
    <x v="0"/>
    <x v="6"/>
    <x v="0"/>
    <x v="7"/>
    <x v="1"/>
    <x v="5"/>
    <n v="2077000"/>
  </r>
  <r>
    <x v="1"/>
    <x v="0"/>
    <x v="6"/>
    <x v="0"/>
    <x v="7"/>
    <x v="1"/>
    <x v="6"/>
    <n v="1537000"/>
  </r>
  <r>
    <x v="1"/>
    <x v="0"/>
    <x v="3"/>
    <x v="0"/>
    <x v="3"/>
    <x v="0"/>
    <x v="9"/>
    <n v="0"/>
  </r>
  <r>
    <x v="1"/>
    <x v="0"/>
    <x v="3"/>
    <x v="0"/>
    <x v="3"/>
    <x v="1"/>
    <x v="0"/>
    <n v="10732195.92"/>
  </r>
  <r>
    <x v="1"/>
    <x v="0"/>
    <x v="3"/>
    <x v="0"/>
    <x v="3"/>
    <x v="3"/>
    <x v="15"/>
    <n v="10903713.109999999"/>
  </r>
  <r>
    <x v="1"/>
    <x v="0"/>
    <x v="3"/>
    <x v="0"/>
    <x v="1"/>
    <x v="8"/>
    <x v="20"/>
    <n v="6870808.9699999997"/>
  </r>
  <r>
    <x v="1"/>
    <x v="0"/>
    <x v="3"/>
    <x v="0"/>
    <x v="1"/>
    <x v="1"/>
    <x v="21"/>
    <n v="9836005.0800000001"/>
  </r>
  <r>
    <x v="1"/>
    <x v="1"/>
    <x v="9"/>
    <x v="0"/>
    <x v="9"/>
    <x v="13"/>
    <x v="18"/>
    <n v="15165"/>
  </r>
  <r>
    <x v="1"/>
    <x v="1"/>
    <x v="8"/>
    <x v="0"/>
    <x v="9"/>
    <x v="16"/>
    <x v="13"/>
    <n v="7900000"/>
  </r>
  <r>
    <x v="0"/>
    <x v="0"/>
    <x v="1"/>
    <x v="0"/>
    <x v="5"/>
    <x v="6"/>
    <x v="0"/>
    <n v="92375"/>
  </r>
  <r>
    <x v="0"/>
    <x v="0"/>
    <x v="1"/>
    <x v="0"/>
    <x v="1"/>
    <x v="8"/>
    <x v="18"/>
    <n v="586334.93999999994"/>
  </r>
  <r>
    <x v="0"/>
    <x v="0"/>
    <x v="1"/>
    <x v="0"/>
    <x v="1"/>
    <x v="1"/>
    <x v="8"/>
    <n v="38177.57"/>
  </r>
  <r>
    <x v="0"/>
    <x v="0"/>
    <x v="2"/>
    <x v="0"/>
    <x v="2"/>
    <x v="8"/>
    <x v="18"/>
    <n v="0"/>
  </r>
  <r>
    <x v="0"/>
    <x v="0"/>
    <x v="2"/>
    <x v="0"/>
    <x v="2"/>
    <x v="1"/>
    <x v="16"/>
    <n v="0"/>
  </r>
  <r>
    <x v="0"/>
    <x v="0"/>
    <x v="2"/>
    <x v="0"/>
    <x v="2"/>
    <x v="1"/>
    <x v="11"/>
    <n v="11055.58"/>
  </r>
  <r>
    <x v="0"/>
    <x v="0"/>
    <x v="2"/>
    <x v="0"/>
    <x v="1"/>
    <x v="8"/>
    <x v="18"/>
    <n v="21182.89"/>
  </r>
  <r>
    <x v="0"/>
    <x v="0"/>
    <x v="2"/>
    <x v="0"/>
    <x v="1"/>
    <x v="1"/>
    <x v="8"/>
    <n v="-21777.759999999998"/>
  </r>
  <r>
    <x v="0"/>
    <x v="0"/>
    <x v="3"/>
    <x v="0"/>
    <x v="3"/>
    <x v="1"/>
    <x v="12"/>
    <n v="856128.06"/>
  </r>
  <r>
    <x v="0"/>
    <x v="0"/>
    <x v="3"/>
    <x v="0"/>
    <x v="3"/>
    <x v="3"/>
    <x v="14"/>
    <n v="1508749.95"/>
  </r>
  <r>
    <x v="0"/>
    <x v="0"/>
    <x v="3"/>
    <x v="0"/>
    <x v="3"/>
    <x v="3"/>
    <x v="15"/>
    <n v="740038.29"/>
  </r>
  <r>
    <x v="0"/>
    <x v="0"/>
    <x v="3"/>
    <x v="0"/>
    <x v="1"/>
    <x v="8"/>
    <x v="20"/>
    <n v="1973611.05"/>
  </r>
  <r>
    <x v="0"/>
    <x v="0"/>
    <x v="3"/>
    <x v="0"/>
    <x v="1"/>
    <x v="1"/>
    <x v="21"/>
    <n v="1559085.56"/>
  </r>
  <r>
    <x v="1"/>
    <x v="0"/>
    <x v="4"/>
    <x v="0"/>
    <x v="4"/>
    <x v="1"/>
    <x v="16"/>
    <n v="11835231.48"/>
  </r>
  <r>
    <x v="1"/>
    <x v="0"/>
    <x v="4"/>
    <x v="0"/>
    <x v="4"/>
    <x v="1"/>
    <x v="15"/>
    <n v="12912000"/>
  </r>
  <r>
    <x v="1"/>
    <x v="0"/>
    <x v="4"/>
    <x v="0"/>
    <x v="4"/>
    <x v="1"/>
    <x v="17"/>
    <n v="18292708.390000001"/>
  </r>
  <r>
    <x v="1"/>
    <x v="0"/>
    <x v="4"/>
    <x v="0"/>
    <x v="1"/>
    <x v="8"/>
    <x v="18"/>
    <n v="9312210.6199999992"/>
  </r>
  <r>
    <x v="1"/>
    <x v="0"/>
    <x v="4"/>
    <x v="0"/>
    <x v="1"/>
    <x v="1"/>
    <x v="2"/>
    <n v="14382171.619999999"/>
  </r>
  <r>
    <x v="1"/>
    <x v="0"/>
    <x v="0"/>
    <x v="0"/>
    <x v="0"/>
    <x v="0"/>
    <x v="9"/>
    <n v="14187000"/>
  </r>
  <r>
    <x v="1"/>
    <x v="0"/>
    <x v="0"/>
    <x v="0"/>
    <x v="0"/>
    <x v="0"/>
    <x v="10"/>
    <n v="14188000"/>
  </r>
  <r>
    <x v="1"/>
    <x v="0"/>
    <x v="0"/>
    <x v="0"/>
    <x v="0"/>
    <x v="0"/>
    <x v="0"/>
    <n v="5057906.1500000004"/>
  </r>
  <r>
    <x v="1"/>
    <x v="0"/>
    <x v="0"/>
    <x v="0"/>
    <x v="0"/>
    <x v="5"/>
    <x v="4"/>
    <n v="5057000"/>
  </r>
  <r>
    <x v="1"/>
    <x v="0"/>
    <x v="0"/>
    <x v="0"/>
    <x v="1"/>
    <x v="8"/>
    <x v="20"/>
    <n v="3938000"/>
  </r>
  <r>
    <x v="1"/>
    <x v="0"/>
    <x v="0"/>
    <x v="0"/>
    <x v="1"/>
    <x v="1"/>
    <x v="21"/>
    <n v="5057000"/>
  </r>
  <r>
    <x v="1"/>
    <x v="0"/>
    <x v="1"/>
    <x v="0"/>
    <x v="5"/>
    <x v="6"/>
    <x v="5"/>
    <n v="1108500"/>
  </r>
  <r>
    <x v="1"/>
    <x v="0"/>
    <x v="1"/>
    <x v="0"/>
    <x v="5"/>
    <x v="6"/>
    <x v="6"/>
    <n v="1016125"/>
  </r>
  <r>
    <x v="1"/>
    <x v="0"/>
    <x v="1"/>
    <x v="0"/>
    <x v="5"/>
    <x v="6"/>
    <x v="12"/>
    <n v="1108500"/>
  </r>
  <r>
    <x v="1"/>
    <x v="0"/>
    <x v="1"/>
    <x v="0"/>
    <x v="5"/>
    <x v="6"/>
    <x v="19"/>
    <n v="1108500"/>
  </r>
  <r>
    <x v="1"/>
    <x v="0"/>
    <x v="1"/>
    <x v="0"/>
    <x v="5"/>
    <x v="1"/>
    <x v="16"/>
    <n v="1108500"/>
  </r>
  <r>
    <x v="1"/>
    <x v="0"/>
    <x v="1"/>
    <x v="0"/>
    <x v="5"/>
    <x v="1"/>
    <x v="11"/>
    <n v="1108500"/>
  </r>
  <r>
    <x v="1"/>
    <x v="0"/>
    <x v="1"/>
    <x v="0"/>
    <x v="1"/>
    <x v="8"/>
    <x v="20"/>
    <n v="42312.87"/>
  </r>
  <r>
    <x v="1"/>
    <x v="0"/>
    <x v="1"/>
    <x v="0"/>
    <x v="1"/>
    <x v="1"/>
    <x v="21"/>
    <n v="1205477.18"/>
  </r>
  <r>
    <x v="1"/>
    <x v="0"/>
    <x v="5"/>
    <x v="0"/>
    <x v="6"/>
    <x v="0"/>
    <x v="9"/>
    <n v="1211000"/>
  </r>
  <r>
    <x v="1"/>
    <x v="0"/>
    <x v="5"/>
    <x v="0"/>
    <x v="6"/>
    <x v="0"/>
    <x v="10"/>
    <n v="3195999.15"/>
  </r>
  <r>
    <x v="1"/>
    <x v="0"/>
    <x v="5"/>
    <x v="0"/>
    <x v="6"/>
    <x v="7"/>
    <x v="4"/>
    <n v="1211001"/>
  </r>
  <r>
    <x v="1"/>
    <x v="0"/>
    <x v="2"/>
    <x v="0"/>
    <x v="2"/>
    <x v="0"/>
    <x v="9"/>
    <n v="758983.4"/>
  </r>
  <r>
    <x v="1"/>
    <x v="0"/>
    <x v="2"/>
    <x v="0"/>
    <x v="2"/>
    <x v="0"/>
    <x v="10"/>
    <n v="1767833.89"/>
  </r>
  <r>
    <x v="1"/>
    <x v="0"/>
    <x v="2"/>
    <x v="0"/>
    <x v="2"/>
    <x v="1"/>
    <x v="14"/>
    <n v="757629.25"/>
  </r>
  <r>
    <x v="1"/>
    <x v="0"/>
    <x v="2"/>
    <x v="0"/>
    <x v="2"/>
    <x v="1"/>
    <x v="15"/>
    <n v="25370.75"/>
  </r>
  <r>
    <x v="1"/>
    <x v="0"/>
    <x v="2"/>
    <x v="0"/>
    <x v="2"/>
    <x v="2"/>
    <x v="4"/>
    <n v="459890.8"/>
  </r>
  <r>
    <x v="1"/>
    <x v="0"/>
    <x v="2"/>
    <x v="0"/>
    <x v="1"/>
    <x v="8"/>
    <x v="20"/>
    <n v="135307.75"/>
  </r>
  <r>
    <x v="1"/>
    <x v="0"/>
    <x v="2"/>
    <x v="0"/>
    <x v="1"/>
    <x v="1"/>
    <x v="21"/>
    <n v="542515.61"/>
  </r>
  <r>
    <x v="1"/>
    <x v="0"/>
    <x v="6"/>
    <x v="0"/>
    <x v="7"/>
    <x v="0"/>
    <x v="9"/>
    <n v="1519620.99"/>
  </r>
  <r>
    <x v="1"/>
    <x v="0"/>
    <x v="6"/>
    <x v="0"/>
    <x v="7"/>
    <x v="0"/>
    <x v="10"/>
    <n v="4007000"/>
  </r>
  <r>
    <x v="1"/>
    <x v="0"/>
    <x v="6"/>
    <x v="0"/>
    <x v="7"/>
    <x v="0"/>
    <x v="14"/>
    <n v="1807000"/>
  </r>
  <r>
    <x v="1"/>
    <x v="0"/>
    <x v="6"/>
    <x v="0"/>
    <x v="7"/>
    <x v="0"/>
    <x v="15"/>
    <n v="1807000"/>
  </r>
  <r>
    <x v="1"/>
    <x v="0"/>
    <x v="6"/>
    <x v="0"/>
    <x v="1"/>
    <x v="8"/>
    <x v="18"/>
    <n v="1407000"/>
  </r>
  <r>
    <x v="1"/>
    <x v="0"/>
    <x v="6"/>
    <x v="0"/>
    <x v="1"/>
    <x v="1"/>
    <x v="1"/>
    <n v="1807000"/>
  </r>
  <r>
    <x v="1"/>
    <x v="0"/>
    <x v="6"/>
    <x v="0"/>
    <x v="1"/>
    <x v="1"/>
    <x v="8"/>
    <n v="1807000"/>
  </r>
  <r>
    <x v="1"/>
    <x v="0"/>
    <x v="6"/>
    <x v="0"/>
    <x v="1"/>
    <x v="1"/>
    <x v="2"/>
    <n v="1872901.98"/>
  </r>
  <r>
    <x v="1"/>
    <x v="0"/>
    <x v="3"/>
    <x v="0"/>
    <x v="3"/>
    <x v="0"/>
    <x v="10"/>
    <n v="0"/>
  </r>
  <r>
    <x v="1"/>
    <x v="0"/>
    <x v="3"/>
    <x v="0"/>
    <x v="3"/>
    <x v="1"/>
    <x v="16"/>
    <n v="8660604.7400000002"/>
  </r>
  <r>
    <x v="1"/>
    <x v="0"/>
    <x v="3"/>
    <x v="0"/>
    <x v="3"/>
    <x v="1"/>
    <x v="17"/>
    <n v="1259150.46"/>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90">
  <r>
    <x v="0"/>
    <x v="0"/>
    <x v="0"/>
    <x v="0"/>
    <x v="0"/>
    <n v="10584471.359999999"/>
  </r>
  <r>
    <x v="0"/>
    <x v="1"/>
    <x v="0"/>
    <x v="1"/>
    <x v="1"/>
    <n v="6421104.0199999996"/>
  </r>
  <r>
    <x v="1"/>
    <x v="2"/>
    <x v="0"/>
    <x v="1"/>
    <x v="2"/>
    <n v="450396.97"/>
  </r>
  <r>
    <x v="0"/>
    <x v="3"/>
    <x v="0"/>
    <x v="1"/>
    <x v="3"/>
    <n v="61174.36"/>
  </r>
  <r>
    <x v="0"/>
    <x v="4"/>
    <x v="0"/>
    <x v="2"/>
    <x v="4"/>
    <n v="3600686.1"/>
  </r>
  <r>
    <x v="0"/>
    <x v="5"/>
    <x v="0"/>
    <x v="3"/>
    <x v="5"/>
    <n v="6735000"/>
  </r>
  <r>
    <x v="1"/>
    <x v="6"/>
    <x v="0"/>
    <x v="1"/>
    <x v="6"/>
    <n v="19736.36"/>
  </r>
  <r>
    <x v="0"/>
    <x v="7"/>
    <x v="0"/>
    <x v="1"/>
    <x v="6"/>
    <n v="3670185.84"/>
  </r>
  <r>
    <x v="0"/>
    <x v="8"/>
    <x v="0"/>
    <x v="1"/>
    <x v="7"/>
    <n v="51969926.950000003"/>
  </r>
  <r>
    <x v="1"/>
    <x v="9"/>
    <x v="0"/>
    <x v="1"/>
    <x v="8"/>
    <n v="3500140.22"/>
  </r>
  <r>
    <x v="1"/>
    <x v="10"/>
    <x v="0"/>
    <x v="1"/>
    <x v="9"/>
    <n v="59364.83"/>
  </r>
  <r>
    <x v="1"/>
    <x v="11"/>
    <x v="0"/>
    <x v="1"/>
    <x v="10"/>
    <n v="5376081.0800000001"/>
  </r>
  <r>
    <x v="0"/>
    <x v="12"/>
    <x v="0"/>
    <x v="1"/>
    <x v="11"/>
    <n v="36927000"/>
  </r>
  <r>
    <x v="0"/>
    <x v="6"/>
    <x v="0"/>
    <x v="3"/>
    <x v="12"/>
    <n v="28188992"/>
  </r>
  <r>
    <x v="0"/>
    <x v="13"/>
    <x v="0"/>
    <x v="1"/>
    <x v="9"/>
    <n v="4273962.8099999996"/>
  </r>
  <r>
    <x v="0"/>
    <x v="14"/>
    <x v="0"/>
    <x v="1"/>
    <x v="0"/>
    <n v="2102092.63"/>
  </r>
  <r>
    <x v="0"/>
    <x v="15"/>
    <x v="0"/>
    <x v="4"/>
    <x v="13"/>
    <n v="1815469.42"/>
  </r>
  <r>
    <x v="0"/>
    <x v="16"/>
    <x v="0"/>
    <x v="1"/>
    <x v="10"/>
    <n v="5229810.57"/>
  </r>
  <r>
    <x v="0"/>
    <x v="17"/>
    <x v="0"/>
    <x v="1"/>
    <x v="5"/>
    <n v="7076020.8700000001"/>
  </r>
  <r>
    <x v="1"/>
    <x v="18"/>
    <x v="0"/>
    <x v="1"/>
    <x v="8"/>
    <n v="562481.03"/>
  </r>
  <r>
    <x v="1"/>
    <x v="19"/>
    <x v="0"/>
    <x v="1"/>
    <x v="3"/>
    <n v="65078.47"/>
  </r>
  <r>
    <x v="1"/>
    <x v="20"/>
    <x v="0"/>
    <x v="5"/>
    <x v="14"/>
    <n v="18243741.870000001"/>
  </r>
  <r>
    <x v="0"/>
    <x v="21"/>
    <x v="0"/>
    <x v="1"/>
    <x v="2"/>
    <n v="5096559.4000000004"/>
  </r>
  <r>
    <x v="1"/>
    <x v="22"/>
    <x v="0"/>
    <x v="1"/>
    <x v="1"/>
    <n v="12558836.880000001"/>
  </r>
  <r>
    <x v="0"/>
    <x v="23"/>
    <x v="0"/>
    <x v="1"/>
    <x v="15"/>
    <n v="13392991.710000001"/>
  </r>
  <r>
    <x v="1"/>
    <x v="24"/>
    <x v="0"/>
    <x v="1"/>
    <x v="6"/>
    <n v="18351577.18"/>
  </r>
  <r>
    <x v="1"/>
    <x v="0"/>
    <x v="0"/>
    <x v="1"/>
    <x v="7"/>
    <n v="21637667.09"/>
  </r>
  <r>
    <x v="1"/>
    <x v="25"/>
    <x v="0"/>
    <x v="1"/>
    <x v="16"/>
    <n v="76674.34"/>
  </r>
  <r>
    <x v="1"/>
    <x v="26"/>
    <x v="0"/>
    <x v="1"/>
    <x v="12"/>
    <n v="58796.44"/>
  </r>
  <r>
    <x v="0"/>
    <x v="27"/>
    <x v="0"/>
    <x v="1"/>
    <x v="17"/>
    <n v="43944106.520000003"/>
  </r>
  <r>
    <x v="0"/>
    <x v="28"/>
    <x v="0"/>
    <x v="0"/>
    <x v="18"/>
    <n v="73500000"/>
  </r>
  <r>
    <x v="1"/>
    <x v="7"/>
    <x v="0"/>
    <x v="1"/>
    <x v="19"/>
    <n v="83076.88"/>
  </r>
  <r>
    <x v="1"/>
    <x v="17"/>
    <x v="0"/>
    <x v="1"/>
    <x v="20"/>
    <n v="869783.09"/>
  </r>
  <r>
    <x v="0"/>
    <x v="29"/>
    <x v="0"/>
    <x v="1"/>
    <x v="15"/>
    <n v="1367573.83"/>
  </r>
  <r>
    <x v="0"/>
    <x v="19"/>
    <x v="0"/>
    <x v="6"/>
    <x v="13"/>
    <n v="4000"/>
  </r>
  <r>
    <x v="1"/>
    <x v="30"/>
    <x v="0"/>
    <x v="1"/>
    <x v="21"/>
    <n v="174599.76"/>
  </r>
  <r>
    <x v="1"/>
    <x v="31"/>
    <x v="0"/>
    <x v="1"/>
    <x v="0"/>
    <n v="1349953.23"/>
  </r>
  <r>
    <x v="0"/>
    <x v="17"/>
    <x v="0"/>
    <x v="1"/>
    <x v="7"/>
    <n v="8413838.2899999991"/>
  </r>
  <r>
    <x v="0"/>
    <x v="32"/>
    <x v="0"/>
    <x v="7"/>
    <x v="6"/>
    <n v="71622.880000000005"/>
  </r>
  <r>
    <x v="0"/>
    <x v="5"/>
    <x v="0"/>
    <x v="2"/>
    <x v="9"/>
    <n v="3403000"/>
  </r>
  <r>
    <x v="1"/>
    <x v="7"/>
    <x v="0"/>
    <x v="1"/>
    <x v="20"/>
    <n v="53915.05"/>
  </r>
  <r>
    <x v="0"/>
    <x v="33"/>
    <x v="0"/>
    <x v="5"/>
    <x v="17"/>
    <n v="214939400.21000001"/>
  </r>
  <r>
    <x v="0"/>
    <x v="34"/>
    <x v="0"/>
    <x v="0"/>
    <x v="9"/>
    <n v="36622225.460000001"/>
  </r>
  <r>
    <x v="0"/>
    <x v="35"/>
    <x v="0"/>
    <x v="1"/>
    <x v="7"/>
    <n v="65954262"/>
  </r>
  <r>
    <x v="0"/>
    <x v="36"/>
    <x v="0"/>
    <x v="3"/>
    <x v="4"/>
    <n v="2725000"/>
  </r>
  <r>
    <x v="1"/>
    <x v="37"/>
    <x v="0"/>
    <x v="1"/>
    <x v="15"/>
    <n v="1606220"/>
  </r>
  <r>
    <x v="0"/>
    <x v="38"/>
    <x v="0"/>
    <x v="1"/>
    <x v="22"/>
    <n v="4072195.43"/>
  </r>
  <r>
    <x v="1"/>
    <x v="39"/>
    <x v="0"/>
    <x v="1"/>
    <x v="12"/>
    <n v="64.77"/>
  </r>
  <r>
    <x v="0"/>
    <x v="6"/>
    <x v="0"/>
    <x v="2"/>
    <x v="22"/>
    <n v="14494352"/>
  </r>
  <r>
    <x v="0"/>
    <x v="30"/>
    <x v="0"/>
    <x v="1"/>
    <x v="0"/>
    <n v="1152450980.04"/>
  </r>
  <r>
    <x v="1"/>
    <x v="40"/>
    <x v="0"/>
    <x v="1"/>
    <x v="22"/>
    <n v="72310624.659999996"/>
  </r>
  <r>
    <x v="1"/>
    <x v="41"/>
    <x v="0"/>
    <x v="1"/>
    <x v="0"/>
    <n v="7469855.5899999999"/>
  </r>
  <r>
    <x v="0"/>
    <x v="42"/>
    <x v="0"/>
    <x v="1"/>
    <x v="14"/>
    <n v="9931242.6999999993"/>
  </r>
  <r>
    <x v="0"/>
    <x v="5"/>
    <x v="0"/>
    <x v="3"/>
    <x v="7"/>
    <n v="6912000"/>
  </r>
  <r>
    <x v="1"/>
    <x v="43"/>
    <x v="0"/>
    <x v="1"/>
    <x v="23"/>
    <n v="397134.11"/>
  </r>
  <r>
    <x v="1"/>
    <x v="44"/>
    <x v="0"/>
    <x v="1"/>
    <x v="15"/>
    <n v="533142.26"/>
  </r>
  <r>
    <x v="0"/>
    <x v="45"/>
    <x v="0"/>
    <x v="6"/>
    <x v="13"/>
    <n v="447000"/>
  </r>
  <r>
    <x v="1"/>
    <x v="2"/>
    <x v="0"/>
    <x v="1"/>
    <x v="15"/>
    <n v="-25231.77"/>
  </r>
  <r>
    <x v="0"/>
    <x v="15"/>
    <x v="0"/>
    <x v="1"/>
    <x v="9"/>
    <n v="35200713.490000002"/>
  </r>
  <r>
    <x v="0"/>
    <x v="26"/>
    <x v="0"/>
    <x v="1"/>
    <x v="24"/>
    <n v="819514.86"/>
  </r>
  <r>
    <x v="1"/>
    <x v="4"/>
    <x v="0"/>
    <x v="2"/>
    <x v="23"/>
    <n v="3240348.92"/>
  </r>
  <r>
    <x v="0"/>
    <x v="46"/>
    <x v="0"/>
    <x v="1"/>
    <x v="19"/>
    <n v="858532.07"/>
  </r>
  <r>
    <x v="0"/>
    <x v="47"/>
    <x v="0"/>
    <x v="1"/>
    <x v="23"/>
    <n v="183811766.72"/>
  </r>
  <r>
    <x v="0"/>
    <x v="24"/>
    <x v="0"/>
    <x v="1"/>
    <x v="15"/>
    <n v="28992000"/>
  </r>
  <r>
    <x v="0"/>
    <x v="48"/>
    <x v="0"/>
    <x v="1"/>
    <x v="12"/>
    <n v="-123563"/>
  </r>
  <r>
    <x v="1"/>
    <x v="20"/>
    <x v="0"/>
    <x v="8"/>
    <x v="17"/>
    <n v="8236667.9000000004"/>
  </r>
  <r>
    <x v="0"/>
    <x v="49"/>
    <x v="0"/>
    <x v="1"/>
    <x v="24"/>
    <n v="2958750.96"/>
  </r>
  <r>
    <x v="0"/>
    <x v="50"/>
    <x v="0"/>
    <x v="6"/>
    <x v="25"/>
    <n v="2165000"/>
  </r>
  <r>
    <x v="0"/>
    <x v="0"/>
    <x v="0"/>
    <x v="3"/>
    <x v="16"/>
    <n v="10852573.779999999"/>
  </r>
  <r>
    <x v="1"/>
    <x v="46"/>
    <x v="0"/>
    <x v="1"/>
    <x v="25"/>
    <n v="6601"/>
  </r>
  <r>
    <x v="1"/>
    <x v="33"/>
    <x v="0"/>
    <x v="1"/>
    <x v="3"/>
    <n v="83197570.409999996"/>
  </r>
  <r>
    <x v="0"/>
    <x v="2"/>
    <x v="0"/>
    <x v="1"/>
    <x v="22"/>
    <n v="2444845.7599999998"/>
  </r>
  <r>
    <x v="0"/>
    <x v="51"/>
    <x v="0"/>
    <x v="1"/>
    <x v="0"/>
    <n v="2033006.72"/>
  </r>
  <r>
    <x v="1"/>
    <x v="52"/>
    <x v="0"/>
    <x v="1"/>
    <x v="6"/>
    <n v="2207810.19"/>
  </r>
  <r>
    <x v="1"/>
    <x v="20"/>
    <x v="0"/>
    <x v="1"/>
    <x v="25"/>
    <n v="260134164.72999999"/>
  </r>
  <r>
    <x v="1"/>
    <x v="16"/>
    <x v="0"/>
    <x v="1"/>
    <x v="3"/>
    <n v="370640.83"/>
  </r>
  <r>
    <x v="0"/>
    <x v="53"/>
    <x v="0"/>
    <x v="1"/>
    <x v="8"/>
    <n v="4689682.59"/>
  </r>
  <r>
    <x v="0"/>
    <x v="54"/>
    <x v="0"/>
    <x v="1"/>
    <x v="7"/>
    <n v="1023917.32"/>
  </r>
  <r>
    <x v="0"/>
    <x v="14"/>
    <x v="0"/>
    <x v="1"/>
    <x v="17"/>
    <n v="951285.52"/>
  </r>
  <r>
    <x v="1"/>
    <x v="55"/>
    <x v="0"/>
    <x v="1"/>
    <x v="18"/>
    <n v="68842.92"/>
  </r>
  <r>
    <x v="1"/>
    <x v="19"/>
    <x v="0"/>
    <x v="1"/>
    <x v="2"/>
    <n v="146367.29999999999"/>
  </r>
  <r>
    <x v="0"/>
    <x v="56"/>
    <x v="0"/>
    <x v="1"/>
    <x v="17"/>
    <n v="224201.57"/>
  </r>
  <r>
    <x v="0"/>
    <x v="57"/>
    <x v="0"/>
    <x v="6"/>
    <x v="1"/>
    <n v="40000"/>
  </r>
  <r>
    <x v="0"/>
    <x v="37"/>
    <x v="0"/>
    <x v="1"/>
    <x v="8"/>
    <n v="13504469.140000001"/>
  </r>
  <r>
    <x v="0"/>
    <x v="58"/>
    <x v="0"/>
    <x v="1"/>
    <x v="4"/>
    <n v="15410164.539999999"/>
  </r>
  <r>
    <x v="0"/>
    <x v="46"/>
    <x v="0"/>
    <x v="1"/>
    <x v="2"/>
    <n v="32000"/>
  </r>
  <r>
    <x v="0"/>
    <x v="36"/>
    <x v="0"/>
    <x v="1"/>
    <x v="8"/>
    <n v="15634193.119999999"/>
  </r>
  <r>
    <x v="0"/>
    <x v="59"/>
    <x v="0"/>
    <x v="9"/>
    <x v="5"/>
    <n v="105384.98"/>
  </r>
  <r>
    <x v="1"/>
    <x v="11"/>
    <x v="0"/>
    <x v="7"/>
    <x v="25"/>
    <n v="40000"/>
  </r>
  <r>
    <x v="1"/>
    <x v="46"/>
    <x v="0"/>
    <x v="1"/>
    <x v="3"/>
    <n v="10040.5"/>
  </r>
  <r>
    <x v="1"/>
    <x v="43"/>
    <x v="0"/>
    <x v="1"/>
    <x v="11"/>
    <n v="191646.62"/>
  </r>
  <r>
    <x v="1"/>
    <x v="7"/>
    <x v="0"/>
    <x v="1"/>
    <x v="5"/>
    <n v="151296.51999999999"/>
  </r>
  <r>
    <x v="1"/>
    <x v="60"/>
    <x v="0"/>
    <x v="1"/>
    <x v="18"/>
    <n v="4283.8900000000003"/>
  </r>
  <r>
    <x v="0"/>
    <x v="9"/>
    <x v="0"/>
    <x v="1"/>
    <x v="11"/>
    <n v="663924481.70000005"/>
  </r>
  <r>
    <x v="0"/>
    <x v="30"/>
    <x v="0"/>
    <x v="1"/>
    <x v="14"/>
    <n v="531362816.69999999"/>
  </r>
  <r>
    <x v="1"/>
    <x v="61"/>
    <x v="0"/>
    <x v="10"/>
    <x v="13"/>
    <n v="148881.25"/>
  </r>
  <r>
    <x v="1"/>
    <x v="53"/>
    <x v="0"/>
    <x v="1"/>
    <x v="15"/>
    <n v="238212.16"/>
  </r>
  <r>
    <x v="1"/>
    <x v="32"/>
    <x v="0"/>
    <x v="1"/>
    <x v="13"/>
    <n v="3237261.08"/>
  </r>
  <r>
    <x v="0"/>
    <x v="41"/>
    <x v="0"/>
    <x v="1"/>
    <x v="9"/>
    <n v="156036247.66"/>
  </r>
  <r>
    <x v="1"/>
    <x v="37"/>
    <x v="0"/>
    <x v="9"/>
    <x v="6"/>
    <n v="16127.03"/>
  </r>
  <r>
    <x v="0"/>
    <x v="62"/>
    <x v="0"/>
    <x v="6"/>
    <x v="11"/>
    <n v="139000"/>
  </r>
  <r>
    <x v="1"/>
    <x v="8"/>
    <x v="0"/>
    <x v="1"/>
    <x v="10"/>
    <n v="734104.08"/>
  </r>
  <r>
    <x v="0"/>
    <x v="49"/>
    <x v="0"/>
    <x v="6"/>
    <x v="1"/>
    <n v="115000"/>
  </r>
  <r>
    <x v="0"/>
    <x v="35"/>
    <x v="0"/>
    <x v="1"/>
    <x v="9"/>
    <n v="81688085"/>
  </r>
  <r>
    <x v="0"/>
    <x v="44"/>
    <x v="0"/>
    <x v="1"/>
    <x v="19"/>
    <n v="13275910.439999999"/>
  </r>
  <r>
    <x v="1"/>
    <x v="59"/>
    <x v="0"/>
    <x v="10"/>
    <x v="6"/>
    <n v="-34309.14"/>
  </r>
  <r>
    <x v="0"/>
    <x v="40"/>
    <x v="0"/>
    <x v="10"/>
    <x v="6"/>
    <n v="8385532.1100000003"/>
  </r>
  <r>
    <x v="0"/>
    <x v="63"/>
    <x v="0"/>
    <x v="1"/>
    <x v="13"/>
    <n v="60000"/>
  </r>
  <r>
    <x v="0"/>
    <x v="57"/>
    <x v="0"/>
    <x v="9"/>
    <x v="5"/>
    <n v="96540.71"/>
  </r>
  <r>
    <x v="0"/>
    <x v="33"/>
    <x v="0"/>
    <x v="1"/>
    <x v="2"/>
    <n v="2888256247.4699998"/>
  </r>
  <r>
    <x v="0"/>
    <x v="64"/>
    <x v="0"/>
    <x v="1"/>
    <x v="23"/>
    <n v="518521.21"/>
  </r>
  <r>
    <x v="0"/>
    <x v="27"/>
    <x v="0"/>
    <x v="1"/>
    <x v="18"/>
    <n v="25762000"/>
  </r>
  <r>
    <x v="1"/>
    <x v="26"/>
    <x v="0"/>
    <x v="1"/>
    <x v="13"/>
    <n v="98343.69"/>
  </r>
  <r>
    <x v="0"/>
    <x v="64"/>
    <x v="0"/>
    <x v="1"/>
    <x v="7"/>
    <n v="217587.57"/>
  </r>
  <r>
    <x v="0"/>
    <x v="17"/>
    <x v="0"/>
    <x v="1"/>
    <x v="6"/>
    <n v="6024924.3099999996"/>
  </r>
  <r>
    <x v="0"/>
    <x v="47"/>
    <x v="0"/>
    <x v="9"/>
    <x v="10"/>
    <n v="1498581.61"/>
  </r>
  <r>
    <x v="1"/>
    <x v="29"/>
    <x v="0"/>
    <x v="1"/>
    <x v="21"/>
    <n v="40417.93"/>
  </r>
  <r>
    <x v="0"/>
    <x v="63"/>
    <x v="0"/>
    <x v="1"/>
    <x v="22"/>
    <n v="14592904.4"/>
  </r>
  <r>
    <x v="0"/>
    <x v="65"/>
    <x v="0"/>
    <x v="1"/>
    <x v="20"/>
    <n v="5255590.95"/>
  </r>
  <r>
    <x v="1"/>
    <x v="66"/>
    <x v="0"/>
    <x v="1"/>
    <x v="2"/>
    <n v="16895404.809999999"/>
  </r>
  <r>
    <x v="0"/>
    <x v="25"/>
    <x v="0"/>
    <x v="1"/>
    <x v="17"/>
    <n v="1275446.97"/>
  </r>
  <r>
    <x v="1"/>
    <x v="45"/>
    <x v="0"/>
    <x v="1"/>
    <x v="5"/>
    <n v="5155470.25"/>
  </r>
  <r>
    <x v="1"/>
    <x v="43"/>
    <x v="0"/>
    <x v="1"/>
    <x v="8"/>
    <n v="259965.2"/>
  </r>
  <r>
    <x v="1"/>
    <x v="67"/>
    <x v="0"/>
    <x v="1"/>
    <x v="15"/>
    <n v="-13297.73"/>
  </r>
  <r>
    <x v="1"/>
    <x v="30"/>
    <x v="0"/>
    <x v="1"/>
    <x v="18"/>
    <n v="233102697.99000001"/>
  </r>
  <r>
    <x v="0"/>
    <x v="32"/>
    <x v="0"/>
    <x v="6"/>
    <x v="13"/>
    <n v="44000"/>
  </r>
  <r>
    <x v="0"/>
    <x v="8"/>
    <x v="0"/>
    <x v="1"/>
    <x v="1"/>
    <n v="50189083.109999999"/>
  </r>
  <r>
    <x v="0"/>
    <x v="48"/>
    <x v="0"/>
    <x v="1"/>
    <x v="2"/>
    <n v="93396"/>
  </r>
  <r>
    <x v="0"/>
    <x v="34"/>
    <x v="0"/>
    <x v="6"/>
    <x v="0"/>
    <n v="0"/>
  </r>
  <r>
    <x v="0"/>
    <x v="57"/>
    <x v="0"/>
    <x v="1"/>
    <x v="25"/>
    <n v="1262064.3500000001"/>
  </r>
  <r>
    <x v="1"/>
    <x v="37"/>
    <x v="0"/>
    <x v="1"/>
    <x v="16"/>
    <n v="1402429.57"/>
  </r>
  <r>
    <x v="1"/>
    <x v="60"/>
    <x v="0"/>
    <x v="6"/>
    <x v="11"/>
    <n v="5803.41"/>
  </r>
  <r>
    <x v="0"/>
    <x v="42"/>
    <x v="0"/>
    <x v="1"/>
    <x v="21"/>
    <n v="9159937.3100000005"/>
  </r>
  <r>
    <x v="0"/>
    <x v="5"/>
    <x v="0"/>
    <x v="1"/>
    <x v="17"/>
    <n v="58963110.109999999"/>
  </r>
  <r>
    <x v="0"/>
    <x v="50"/>
    <x v="0"/>
    <x v="6"/>
    <x v="0"/>
    <n v="1960500"/>
  </r>
  <r>
    <x v="0"/>
    <x v="36"/>
    <x v="0"/>
    <x v="3"/>
    <x v="5"/>
    <n v="2692000"/>
  </r>
  <r>
    <x v="0"/>
    <x v="68"/>
    <x v="0"/>
    <x v="1"/>
    <x v="19"/>
    <n v="102418287.41"/>
  </r>
  <r>
    <x v="1"/>
    <x v="51"/>
    <x v="0"/>
    <x v="1"/>
    <x v="19"/>
    <n v="266931.12"/>
  </r>
  <r>
    <x v="0"/>
    <x v="50"/>
    <x v="0"/>
    <x v="3"/>
    <x v="25"/>
    <n v="6681000"/>
  </r>
  <r>
    <x v="0"/>
    <x v="6"/>
    <x v="0"/>
    <x v="1"/>
    <x v="20"/>
    <n v="333637458.41000003"/>
  </r>
  <r>
    <x v="0"/>
    <x v="66"/>
    <x v="0"/>
    <x v="1"/>
    <x v="1"/>
    <n v="4171155.92"/>
  </r>
  <r>
    <x v="1"/>
    <x v="69"/>
    <x v="0"/>
    <x v="1"/>
    <x v="10"/>
    <n v="43788.92"/>
  </r>
  <r>
    <x v="0"/>
    <x v="18"/>
    <x v="0"/>
    <x v="1"/>
    <x v="0"/>
    <n v="12079243.59"/>
  </r>
  <r>
    <x v="0"/>
    <x v="36"/>
    <x v="0"/>
    <x v="1"/>
    <x v="21"/>
    <n v="20514000"/>
  </r>
  <r>
    <x v="0"/>
    <x v="70"/>
    <x v="0"/>
    <x v="1"/>
    <x v="23"/>
    <n v="3827095.37"/>
  </r>
  <r>
    <x v="1"/>
    <x v="71"/>
    <x v="0"/>
    <x v="1"/>
    <x v="20"/>
    <n v="21305.9"/>
  </r>
  <r>
    <x v="1"/>
    <x v="17"/>
    <x v="0"/>
    <x v="1"/>
    <x v="6"/>
    <n v="485963.19"/>
  </r>
  <r>
    <x v="0"/>
    <x v="72"/>
    <x v="0"/>
    <x v="1"/>
    <x v="12"/>
    <n v="3591296.02"/>
  </r>
  <r>
    <x v="0"/>
    <x v="60"/>
    <x v="0"/>
    <x v="1"/>
    <x v="14"/>
    <n v="239396.22"/>
  </r>
  <r>
    <x v="1"/>
    <x v="73"/>
    <x v="0"/>
    <x v="1"/>
    <x v="24"/>
    <n v="269078.40000000002"/>
  </r>
  <r>
    <x v="1"/>
    <x v="74"/>
    <x v="0"/>
    <x v="1"/>
    <x v="3"/>
    <n v="191185.19"/>
  </r>
  <r>
    <x v="1"/>
    <x v="70"/>
    <x v="0"/>
    <x v="1"/>
    <x v="5"/>
    <n v="-1341750.3999999999"/>
  </r>
  <r>
    <x v="1"/>
    <x v="75"/>
    <x v="0"/>
    <x v="1"/>
    <x v="18"/>
    <n v="10838.75"/>
  </r>
  <r>
    <x v="0"/>
    <x v="43"/>
    <x v="0"/>
    <x v="1"/>
    <x v="12"/>
    <n v="1935071.84"/>
  </r>
  <r>
    <x v="0"/>
    <x v="76"/>
    <x v="0"/>
    <x v="8"/>
    <x v="20"/>
    <n v="130948.1"/>
  </r>
  <r>
    <x v="1"/>
    <x v="40"/>
    <x v="0"/>
    <x v="8"/>
    <x v="17"/>
    <n v="136167.09"/>
  </r>
  <r>
    <x v="0"/>
    <x v="76"/>
    <x v="0"/>
    <x v="10"/>
    <x v="5"/>
    <n v="2426469.38"/>
  </r>
  <r>
    <x v="0"/>
    <x v="40"/>
    <x v="0"/>
    <x v="6"/>
    <x v="5"/>
    <n v="7276967"/>
  </r>
  <r>
    <x v="0"/>
    <x v="4"/>
    <x v="0"/>
    <x v="10"/>
    <x v="24"/>
    <n v="-9883694.4700000007"/>
  </r>
  <r>
    <x v="1"/>
    <x v="77"/>
    <x v="0"/>
    <x v="1"/>
    <x v="25"/>
    <n v="113811.44"/>
  </r>
  <r>
    <x v="0"/>
    <x v="0"/>
    <x v="0"/>
    <x v="1"/>
    <x v="8"/>
    <n v="21573113.390000001"/>
  </r>
  <r>
    <x v="0"/>
    <x v="13"/>
    <x v="0"/>
    <x v="1"/>
    <x v="2"/>
    <n v="3808377.49"/>
  </r>
  <r>
    <x v="0"/>
    <x v="4"/>
    <x v="0"/>
    <x v="0"/>
    <x v="9"/>
    <n v="65271773.68"/>
  </r>
  <r>
    <x v="1"/>
    <x v="78"/>
    <x v="0"/>
    <x v="1"/>
    <x v="15"/>
    <n v="133918.12"/>
  </r>
  <r>
    <x v="0"/>
    <x v="4"/>
    <x v="0"/>
    <x v="1"/>
    <x v="3"/>
    <n v="7204497021.0200005"/>
  </r>
  <r>
    <x v="1"/>
    <x v="50"/>
    <x v="0"/>
    <x v="1"/>
    <x v="24"/>
    <n v="1197111.5"/>
  </r>
  <r>
    <x v="1"/>
    <x v="49"/>
    <x v="0"/>
    <x v="1"/>
    <x v="2"/>
    <n v="290805.2"/>
  </r>
  <r>
    <x v="0"/>
    <x v="35"/>
    <x v="0"/>
    <x v="6"/>
    <x v="2"/>
    <n v="7600000"/>
  </r>
  <r>
    <x v="0"/>
    <x v="74"/>
    <x v="0"/>
    <x v="1"/>
    <x v="8"/>
    <n v="1900814.57"/>
  </r>
  <r>
    <x v="0"/>
    <x v="53"/>
    <x v="0"/>
    <x v="7"/>
    <x v="6"/>
    <n v="73413.710000000006"/>
  </r>
  <r>
    <x v="1"/>
    <x v="78"/>
    <x v="0"/>
    <x v="1"/>
    <x v="11"/>
    <n v="182768.86"/>
  </r>
  <r>
    <x v="0"/>
    <x v="40"/>
    <x v="0"/>
    <x v="6"/>
    <x v="0"/>
    <n v="39596264"/>
  </r>
  <r>
    <x v="1"/>
    <x v="51"/>
    <x v="0"/>
    <x v="1"/>
    <x v="5"/>
    <n v="227639.18"/>
  </r>
  <r>
    <x v="1"/>
    <x v="79"/>
    <x v="0"/>
    <x v="7"/>
    <x v="6"/>
    <n v="20360.16"/>
  </r>
  <r>
    <x v="0"/>
    <x v="20"/>
    <x v="0"/>
    <x v="1"/>
    <x v="21"/>
    <n v="3982455303.6399999"/>
  </r>
  <r>
    <x v="0"/>
    <x v="69"/>
    <x v="0"/>
    <x v="1"/>
    <x v="17"/>
    <n v="817900.65"/>
  </r>
  <r>
    <x v="0"/>
    <x v="11"/>
    <x v="0"/>
    <x v="2"/>
    <x v="22"/>
    <n v="7041610.8799999999"/>
  </r>
  <r>
    <x v="1"/>
    <x v="43"/>
    <x v="0"/>
    <x v="1"/>
    <x v="18"/>
    <n v="94157.82"/>
  </r>
  <r>
    <x v="0"/>
    <x v="45"/>
    <x v="0"/>
    <x v="1"/>
    <x v="11"/>
    <n v="132211023.16"/>
  </r>
  <r>
    <x v="0"/>
    <x v="80"/>
    <x v="0"/>
    <x v="6"/>
    <x v="5"/>
    <n v="298000"/>
  </r>
  <r>
    <x v="1"/>
    <x v="28"/>
    <x v="0"/>
    <x v="3"/>
    <x v="11"/>
    <n v="216296.95999999999"/>
  </r>
  <r>
    <x v="1"/>
    <x v="22"/>
    <x v="0"/>
    <x v="7"/>
    <x v="19"/>
    <n v="117559.98"/>
  </r>
  <r>
    <x v="1"/>
    <x v="66"/>
    <x v="0"/>
    <x v="1"/>
    <x v="14"/>
    <n v="288549.88"/>
  </r>
  <r>
    <x v="1"/>
    <x v="76"/>
    <x v="0"/>
    <x v="1"/>
    <x v="5"/>
    <n v="193213.84"/>
  </r>
  <r>
    <x v="0"/>
    <x v="49"/>
    <x v="0"/>
    <x v="1"/>
    <x v="7"/>
    <n v="2354209.75"/>
  </r>
  <r>
    <x v="1"/>
    <x v="71"/>
    <x v="0"/>
    <x v="1"/>
    <x v="5"/>
    <n v="24982.23"/>
  </r>
  <r>
    <x v="1"/>
    <x v="9"/>
    <x v="0"/>
    <x v="3"/>
    <x v="5"/>
    <n v="7065062.75"/>
  </r>
  <r>
    <x v="0"/>
    <x v="4"/>
    <x v="0"/>
    <x v="1"/>
    <x v="2"/>
    <n v="12329449251.93"/>
  </r>
  <r>
    <x v="0"/>
    <x v="30"/>
    <x v="0"/>
    <x v="1"/>
    <x v="21"/>
    <n v="869803726.65999997"/>
  </r>
  <r>
    <x v="0"/>
    <x v="40"/>
    <x v="0"/>
    <x v="1"/>
    <x v="14"/>
    <n v="612115832.88"/>
  </r>
  <r>
    <x v="0"/>
    <x v="32"/>
    <x v="0"/>
    <x v="7"/>
    <x v="24"/>
    <n v="10026.64"/>
  </r>
  <r>
    <x v="0"/>
    <x v="19"/>
    <x v="0"/>
    <x v="1"/>
    <x v="25"/>
    <n v="644253.91"/>
  </r>
  <r>
    <x v="1"/>
    <x v="22"/>
    <x v="0"/>
    <x v="7"/>
    <x v="20"/>
    <n v="168108.51"/>
  </r>
  <r>
    <x v="1"/>
    <x v="47"/>
    <x v="0"/>
    <x v="1"/>
    <x v="23"/>
    <n v="65155308.07"/>
  </r>
  <r>
    <x v="0"/>
    <x v="20"/>
    <x v="0"/>
    <x v="1"/>
    <x v="12"/>
    <n v="4040215530.9000001"/>
  </r>
  <r>
    <x v="0"/>
    <x v="32"/>
    <x v="0"/>
    <x v="7"/>
    <x v="4"/>
    <n v="35780"/>
  </r>
  <r>
    <x v="1"/>
    <x v="81"/>
    <x v="0"/>
    <x v="1"/>
    <x v="23"/>
    <n v="0"/>
  </r>
  <r>
    <x v="0"/>
    <x v="68"/>
    <x v="0"/>
    <x v="1"/>
    <x v="20"/>
    <n v="135837209.53999999"/>
  </r>
  <r>
    <x v="1"/>
    <x v="9"/>
    <x v="0"/>
    <x v="3"/>
    <x v="18"/>
    <n v="11845804.869999999"/>
  </r>
  <r>
    <x v="0"/>
    <x v="28"/>
    <x v="0"/>
    <x v="0"/>
    <x v="11"/>
    <n v="51564942.969999999"/>
  </r>
  <r>
    <x v="1"/>
    <x v="58"/>
    <x v="0"/>
    <x v="2"/>
    <x v="11"/>
    <n v="-49026.23"/>
  </r>
  <r>
    <x v="0"/>
    <x v="20"/>
    <x v="0"/>
    <x v="10"/>
    <x v="17"/>
    <n v="7211233.21"/>
  </r>
  <r>
    <x v="0"/>
    <x v="82"/>
    <x v="0"/>
    <x v="1"/>
    <x v="12"/>
    <n v="1396799.99"/>
  </r>
  <r>
    <x v="1"/>
    <x v="37"/>
    <x v="0"/>
    <x v="1"/>
    <x v="9"/>
    <n v="5142328.8899999997"/>
  </r>
  <r>
    <x v="1"/>
    <x v="54"/>
    <x v="0"/>
    <x v="1"/>
    <x v="7"/>
    <n v="45813.31"/>
  </r>
  <r>
    <x v="1"/>
    <x v="83"/>
    <x v="0"/>
    <x v="1"/>
    <x v="15"/>
    <n v="13014"/>
  </r>
  <r>
    <x v="1"/>
    <x v="58"/>
    <x v="0"/>
    <x v="1"/>
    <x v="8"/>
    <n v="1491313.13"/>
  </r>
  <r>
    <x v="1"/>
    <x v="28"/>
    <x v="0"/>
    <x v="3"/>
    <x v="23"/>
    <n v="0"/>
  </r>
  <r>
    <x v="0"/>
    <x v="40"/>
    <x v="0"/>
    <x v="1"/>
    <x v="2"/>
    <n v="1089792265.01"/>
  </r>
  <r>
    <x v="1"/>
    <x v="28"/>
    <x v="0"/>
    <x v="2"/>
    <x v="23"/>
    <n v="477167.04"/>
  </r>
  <r>
    <x v="1"/>
    <x v="29"/>
    <x v="0"/>
    <x v="1"/>
    <x v="14"/>
    <n v="128878.43"/>
  </r>
  <r>
    <x v="0"/>
    <x v="71"/>
    <x v="0"/>
    <x v="1"/>
    <x v="16"/>
    <n v="695979.47"/>
  </r>
  <r>
    <x v="1"/>
    <x v="42"/>
    <x v="0"/>
    <x v="1"/>
    <x v="7"/>
    <n v="242370.27"/>
  </r>
  <r>
    <x v="1"/>
    <x v="73"/>
    <x v="0"/>
    <x v="1"/>
    <x v="21"/>
    <n v="695955.45"/>
  </r>
  <r>
    <x v="1"/>
    <x v="51"/>
    <x v="0"/>
    <x v="1"/>
    <x v="7"/>
    <n v="264697.83"/>
  </r>
  <r>
    <x v="1"/>
    <x v="67"/>
    <x v="0"/>
    <x v="1"/>
    <x v="4"/>
    <n v="355536.31"/>
  </r>
  <r>
    <x v="1"/>
    <x v="57"/>
    <x v="0"/>
    <x v="9"/>
    <x v="6"/>
    <n v="19231.900000000001"/>
  </r>
  <r>
    <x v="0"/>
    <x v="32"/>
    <x v="0"/>
    <x v="1"/>
    <x v="10"/>
    <n v="8437468.3000000007"/>
  </r>
  <r>
    <x v="1"/>
    <x v="64"/>
    <x v="0"/>
    <x v="1"/>
    <x v="21"/>
    <n v="19916.97"/>
  </r>
  <r>
    <x v="1"/>
    <x v="61"/>
    <x v="0"/>
    <x v="10"/>
    <x v="25"/>
    <n v="4051.81"/>
  </r>
  <r>
    <x v="0"/>
    <x v="51"/>
    <x v="0"/>
    <x v="1"/>
    <x v="21"/>
    <n v="1238696.26"/>
  </r>
  <r>
    <x v="0"/>
    <x v="22"/>
    <x v="0"/>
    <x v="6"/>
    <x v="0"/>
    <n v="809000"/>
  </r>
  <r>
    <x v="0"/>
    <x v="69"/>
    <x v="0"/>
    <x v="1"/>
    <x v="13"/>
    <n v="733856.18"/>
  </r>
  <r>
    <x v="0"/>
    <x v="1"/>
    <x v="0"/>
    <x v="1"/>
    <x v="23"/>
    <n v="9601227.1600000001"/>
  </r>
  <r>
    <x v="0"/>
    <x v="84"/>
    <x v="0"/>
    <x v="1"/>
    <x v="20"/>
    <n v="299475"/>
  </r>
  <r>
    <x v="0"/>
    <x v="71"/>
    <x v="0"/>
    <x v="1"/>
    <x v="11"/>
    <n v="838089.68"/>
  </r>
  <r>
    <x v="0"/>
    <x v="8"/>
    <x v="0"/>
    <x v="1"/>
    <x v="4"/>
    <n v="91568181.409999996"/>
  </r>
  <r>
    <x v="1"/>
    <x v="85"/>
    <x v="0"/>
    <x v="1"/>
    <x v="6"/>
    <n v="107373.28"/>
  </r>
  <r>
    <x v="0"/>
    <x v="71"/>
    <x v="0"/>
    <x v="1"/>
    <x v="23"/>
    <n v="957935.41"/>
  </r>
  <r>
    <x v="0"/>
    <x v="46"/>
    <x v="0"/>
    <x v="1"/>
    <x v="16"/>
    <n v="14000"/>
  </r>
  <r>
    <x v="0"/>
    <x v="43"/>
    <x v="0"/>
    <x v="1"/>
    <x v="13"/>
    <n v="1707601.43"/>
  </r>
  <r>
    <x v="0"/>
    <x v="21"/>
    <x v="0"/>
    <x v="1"/>
    <x v="18"/>
    <n v="4767387.58"/>
  </r>
  <r>
    <x v="0"/>
    <x v="19"/>
    <x v="0"/>
    <x v="1"/>
    <x v="21"/>
    <n v="654828.06999999995"/>
  </r>
  <r>
    <x v="0"/>
    <x v="13"/>
    <x v="0"/>
    <x v="1"/>
    <x v="3"/>
    <n v="3299034.94"/>
  </r>
  <r>
    <x v="0"/>
    <x v="6"/>
    <x v="0"/>
    <x v="1"/>
    <x v="18"/>
    <n v="201628003.91999999"/>
  </r>
  <r>
    <x v="0"/>
    <x v="5"/>
    <x v="0"/>
    <x v="1"/>
    <x v="9"/>
    <n v="84528000"/>
  </r>
  <r>
    <x v="1"/>
    <x v="40"/>
    <x v="0"/>
    <x v="6"/>
    <x v="11"/>
    <n v="3678603"/>
  </r>
  <r>
    <x v="0"/>
    <x v="16"/>
    <x v="0"/>
    <x v="6"/>
    <x v="11"/>
    <n v="337000"/>
  </r>
  <r>
    <x v="1"/>
    <x v="43"/>
    <x v="0"/>
    <x v="1"/>
    <x v="17"/>
    <n v="110218.32"/>
  </r>
  <r>
    <x v="0"/>
    <x v="59"/>
    <x v="0"/>
    <x v="1"/>
    <x v="22"/>
    <n v="71563821.870000005"/>
  </r>
  <r>
    <x v="0"/>
    <x v="41"/>
    <x v="0"/>
    <x v="6"/>
    <x v="11"/>
    <n v="1620000"/>
  </r>
  <r>
    <x v="0"/>
    <x v="7"/>
    <x v="0"/>
    <x v="1"/>
    <x v="22"/>
    <n v="2068199.85"/>
  </r>
  <r>
    <x v="0"/>
    <x v="10"/>
    <x v="0"/>
    <x v="1"/>
    <x v="17"/>
    <n v="1924970.32"/>
  </r>
  <r>
    <x v="1"/>
    <x v="67"/>
    <x v="0"/>
    <x v="1"/>
    <x v="16"/>
    <n v="-25127.79"/>
  </r>
  <r>
    <x v="1"/>
    <x v="76"/>
    <x v="0"/>
    <x v="8"/>
    <x v="10"/>
    <n v="5589.28"/>
  </r>
  <r>
    <x v="1"/>
    <x v="32"/>
    <x v="0"/>
    <x v="7"/>
    <x v="5"/>
    <n v="-447671.8"/>
  </r>
  <r>
    <x v="0"/>
    <x v="11"/>
    <x v="0"/>
    <x v="3"/>
    <x v="9"/>
    <n v="16998000"/>
  </r>
  <r>
    <x v="0"/>
    <x v="51"/>
    <x v="0"/>
    <x v="1"/>
    <x v="24"/>
    <n v="4819724.63"/>
  </r>
  <r>
    <x v="0"/>
    <x v="86"/>
    <x v="0"/>
    <x v="6"/>
    <x v="13"/>
    <n v="3000"/>
  </r>
  <r>
    <x v="0"/>
    <x v="42"/>
    <x v="0"/>
    <x v="1"/>
    <x v="3"/>
    <n v="7786528.4699999997"/>
  </r>
  <r>
    <x v="0"/>
    <x v="59"/>
    <x v="0"/>
    <x v="10"/>
    <x v="10"/>
    <n v="166336.6"/>
  </r>
  <r>
    <x v="1"/>
    <x v="51"/>
    <x v="0"/>
    <x v="1"/>
    <x v="20"/>
    <n v="284848.92"/>
  </r>
  <r>
    <x v="0"/>
    <x v="73"/>
    <x v="0"/>
    <x v="1"/>
    <x v="3"/>
    <n v="6185020.1699999999"/>
  </r>
  <r>
    <x v="1"/>
    <x v="21"/>
    <x v="0"/>
    <x v="1"/>
    <x v="4"/>
    <n v="437785.91"/>
  </r>
  <r>
    <x v="1"/>
    <x v="64"/>
    <x v="0"/>
    <x v="1"/>
    <x v="6"/>
    <n v="20919.61"/>
  </r>
  <r>
    <x v="1"/>
    <x v="80"/>
    <x v="0"/>
    <x v="1"/>
    <x v="8"/>
    <n v="2039627.83"/>
  </r>
  <r>
    <x v="0"/>
    <x v="6"/>
    <x v="0"/>
    <x v="3"/>
    <x v="21"/>
    <n v="26345000"/>
  </r>
  <r>
    <x v="0"/>
    <x v="9"/>
    <x v="0"/>
    <x v="3"/>
    <x v="15"/>
    <n v="40904846.75"/>
  </r>
  <r>
    <x v="0"/>
    <x v="37"/>
    <x v="0"/>
    <x v="9"/>
    <x v="14"/>
    <n v="360073.19"/>
  </r>
  <r>
    <x v="1"/>
    <x v="76"/>
    <x v="0"/>
    <x v="1"/>
    <x v="2"/>
    <n v="1670447.78"/>
  </r>
  <r>
    <x v="1"/>
    <x v="82"/>
    <x v="0"/>
    <x v="1"/>
    <x v="23"/>
    <n v="365460.57"/>
  </r>
  <r>
    <x v="1"/>
    <x v="60"/>
    <x v="0"/>
    <x v="1"/>
    <x v="9"/>
    <n v="46135.13"/>
  </r>
  <r>
    <x v="0"/>
    <x v="25"/>
    <x v="0"/>
    <x v="1"/>
    <x v="21"/>
    <n v="1287572.8"/>
  </r>
  <r>
    <x v="0"/>
    <x v="82"/>
    <x v="0"/>
    <x v="1"/>
    <x v="13"/>
    <n v="1658823.16"/>
  </r>
  <r>
    <x v="0"/>
    <x v="56"/>
    <x v="0"/>
    <x v="1"/>
    <x v="10"/>
    <n v="197003.78"/>
  </r>
  <r>
    <x v="0"/>
    <x v="87"/>
    <x v="0"/>
    <x v="1"/>
    <x v="6"/>
    <n v="1429949.58"/>
  </r>
  <r>
    <x v="1"/>
    <x v="16"/>
    <x v="0"/>
    <x v="1"/>
    <x v="2"/>
    <n v="585889.17000000004"/>
  </r>
  <r>
    <x v="1"/>
    <x v="80"/>
    <x v="0"/>
    <x v="1"/>
    <x v="14"/>
    <n v="1172072.1399999999"/>
  </r>
  <r>
    <x v="1"/>
    <x v="10"/>
    <x v="0"/>
    <x v="1"/>
    <x v="11"/>
    <n v="61548.22"/>
  </r>
  <r>
    <x v="1"/>
    <x v="79"/>
    <x v="0"/>
    <x v="1"/>
    <x v="13"/>
    <n v="5320198.8099999996"/>
  </r>
  <r>
    <x v="1"/>
    <x v="30"/>
    <x v="0"/>
    <x v="1"/>
    <x v="12"/>
    <n v="36838.78"/>
  </r>
  <r>
    <x v="1"/>
    <x v="21"/>
    <x v="0"/>
    <x v="1"/>
    <x v="2"/>
    <n v="1133749.95"/>
  </r>
  <r>
    <x v="0"/>
    <x v="88"/>
    <x v="0"/>
    <x v="1"/>
    <x v="0"/>
    <n v="806620.81"/>
  </r>
  <r>
    <x v="0"/>
    <x v="9"/>
    <x v="0"/>
    <x v="1"/>
    <x v="15"/>
    <n v="586310187.25999999"/>
  </r>
  <r>
    <x v="0"/>
    <x v="14"/>
    <x v="0"/>
    <x v="6"/>
    <x v="2"/>
    <n v="227000"/>
  </r>
  <r>
    <x v="0"/>
    <x v="59"/>
    <x v="0"/>
    <x v="1"/>
    <x v="10"/>
    <n v="43114840.409999996"/>
  </r>
  <r>
    <x v="0"/>
    <x v="5"/>
    <x v="0"/>
    <x v="1"/>
    <x v="18"/>
    <n v="28177069.890000001"/>
  </r>
  <r>
    <x v="1"/>
    <x v="63"/>
    <x v="0"/>
    <x v="1"/>
    <x v="22"/>
    <n v="504773.01"/>
  </r>
  <r>
    <x v="0"/>
    <x v="58"/>
    <x v="0"/>
    <x v="6"/>
    <x v="13"/>
    <n v="100000"/>
  </r>
  <r>
    <x v="0"/>
    <x v="79"/>
    <x v="0"/>
    <x v="1"/>
    <x v="19"/>
    <n v="33589751.729999997"/>
  </r>
  <r>
    <x v="1"/>
    <x v="59"/>
    <x v="0"/>
    <x v="10"/>
    <x v="5"/>
    <n v="64246.63"/>
  </r>
  <r>
    <x v="0"/>
    <x v="0"/>
    <x v="0"/>
    <x v="1"/>
    <x v="13"/>
    <n v="23627492.780000001"/>
  </r>
  <r>
    <x v="1"/>
    <x v="27"/>
    <x v="0"/>
    <x v="1"/>
    <x v="24"/>
    <n v="3805415"/>
  </r>
  <r>
    <x v="0"/>
    <x v="32"/>
    <x v="0"/>
    <x v="7"/>
    <x v="19"/>
    <n v="31173.68"/>
  </r>
  <r>
    <x v="1"/>
    <x v="52"/>
    <x v="0"/>
    <x v="10"/>
    <x v="13"/>
    <n v="23599"/>
  </r>
  <r>
    <x v="1"/>
    <x v="55"/>
    <x v="0"/>
    <x v="1"/>
    <x v="21"/>
    <n v="13372.77"/>
  </r>
  <r>
    <x v="1"/>
    <x v="11"/>
    <x v="0"/>
    <x v="1"/>
    <x v="17"/>
    <n v="4300931.66"/>
  </r>
  <r>
    <x v="0"/>
    <x v="7"/>
    <x v="0"/>
    <x v="1"/>
    <x v="18"/>
    <n v="4341620.7"/>
  </r>
  <r>
    <x v="0"/>
    <x v="54"/>
    <x v="0"/>
    <x v="1"/>
    <x v="20"/>
    <n v="850018.44"/>
  </r>
  <r>
    <x v="0"/>
    <x v="7"/>
    <x v="0"/>
    <x v="1"/>
    <x v="5"/>
    <n v="4735196.84"/>
  </r>
  <r>
    <x v="1"/>
    <x v="43"/>
    <x v="0"/>
    <x v="1"/>
    <x v="16"/>
    <n v="136117.56"/>
  </r>
  <r>
    <x v="0"/>
    <x v="54"/>
    <x v="0"/>
    <x v="1"/>
    <x v="19"/>
    <n v="814637.6"/>
  </r>
  <r>
    <x v="1"/>
    <x v="65"/>
    <x v="0"/>
    <x v="1"/>
    <x v="15"/>
    <n v="1251837.8500000001"/>
  </r>
  <r>
    <x v="0"/>
    <x v="61"/>
    <x v="0"/>
    <x v="10"/>
    <x v="5"/>
    <n v="522253.02"/>
  </r>
  <r>
    <x v="1"/>
    <x v="9"/>
    <x v="0"/>
    <x v="3"/>
    <x v="0"/>
    <n v="7736538.1399999997"/>
  </r>
  <r>
    <x v="1"/>
    <x v="88"/>
    <x v="0"/>
    <x v="1"/>
    <x v="10"/>
    <n v="-1418.26"/>
  </r>
  <r>
    <x v="0"/>
    <x v="23"/>
    <x v="0"/>
    <x v="7"/>
    <x v="7"/>
    <n v="35000"/>
  </r>
  <r>
    <x v="1"/>
    <x v="28"/>
    <x v="0"/>
    <x v="3"/>
    <x v="4"/>
    <n v="88748"/>
  </r>
  <r>
    <x v="0"/>
    <x v="8"/>
    <x v="0"/>
    <x v="1"/>
    <x v="5"/>
    <n v="28806609.719999999"/>
  </r>
  <r>
    <x v="0"/>
    <x v="78"/>
    <x v="0"/>
    <x v="1"/>
    <x v="20"/>
    <n v="2048788.75"/>
  </r>
  <r>
    <x v="0"/>
    <x v="72"/>
    <x v="0"/>
    <x v="1"/>
    <x v="24"/>
    <n v="2159767.44"/>
  </r>
  <r>
    <x v="0"/>
    <x v="89"/>
    <x v="0"/>
    <x v="1"/>
    <x v="9"/>
    <n v="230182.49"/>
  </r>
  <r>
    <x v="0"/>
    <x v="23"/>
    <x v="0"/>
    <x v="1"/>
    <x v="12"/>
    <n v="14231214.210000001"/>
  </r>
  <r>
    <x v="1"/>
    <x v="4"/>
    <x v="0"/>
    <x v="1"/>
    <x v="13"/>
    <n v="16130630.33"/>
  </r>
  <r>
    <x v="0"/>
    <x v="23"/>
    <x v="0"/>
    <x v="10"/>
    <x v="6"/>
    <n v="7634362.5199999996"/>
  </r>
  <r>
    <x v="0"/>
    <x v="27"/>
    <x v="0"/>
    <x v="1"/>
    <x v="9"/>
    <n v="58296000"/>
  </r>
  <r>
    <x v="0"/>
    <x v="7"/>
    <x v="0"/>
    <x v="1"/>
    <x v="19"/>
    <n v="3391089.47"/>
  </r>
  <r>
    <x v="1"/>
    <x v="57"/>
    <x v="0"/>
    <x v="1"/>
    <x v="20"/>
    <n v="0"/>
  </r>
  <r>
    <x v="0"/>
    <x v="60"/>
    <x v="0"/>
    <x v="1"/>
    <x v="19"/>
    <n v="243958.76"/>
  </r>
  <r>
    <x v="1"/>
    <x v="90"/>
    <x v="0"/>
    <x v="1"/>
    <x v="4"/>
    <n v="25567.47"/>
  </r>
  <r>
    <x v="1"/>
    <x v="57"/>
    <x v="0"/>
    <x v="1"/>
    <x v="19"/>
    <n v="645.9"/>
  </r>
  <r>
    <x v="0"/>
    <x v="68"/>
    <x v="0"/>
    <x v="3"/>
    <x v="12"/>
    <n v="-29847170.5"/>
  </r>
  <r>
    <x v="1"/>
    <x v="22"/>
    <x v="0"/>
    <x v="8"/>
    <x v="24"/>
    <n v="200705.38"/>
  </r>
  <r>
    <x v="0"/>
    <x v="52"/>
    <x v="0"/>
    <x v="1"/>
    <x v="6"/>
    <n v="27911189.609999999"/>
  </r>
  <r>
    <x v="1"/>
    <x v="0"/>
    <x v="0"/>
    <x v="0"/>
    <x v="3"/>
    <n v="0"/>
  </r>
  <r>
    <x v="1"/>
    <x v="4"/>
    <x v="0"/>
    <x v="1"/>
    <x v="8"/>
    <n v="8982624.3100000005"/>
  </r>
  <r>
    <x v="0"/>
    <x v="13"/>
    <x v="0"/>
    <x v="1"/>
    <x v="22"/>
    <n v="2175627.36"/>
  </r>
  <r>
    <x v="1"/>
    <x v="6"/>
    <x v="0"/>
    <x v="3"/>
    <x v="2"/>
    <n v="-7215.36"/>
  </r>
  <r>
    <x v="0"/>
    <x v="33"/>
    <x v="0"/>
    <x v="5"/>
    <x v="25"/>
    <n v="266876525.11000001"/>
  </r>
  <r>
    <x v="1"/>
    <x v="14"/>
    <x v="0"/>
    <x v="1"/>
    <x v="17"/>
    <n v="67842.61"/>
  </r>
  <r>
    <x v="0"/>
    <x v="22"/>
    <x v="0"/>
    <x v="1"/>
    <x v="6"/>
    <n v="54974546.829999998"/>
  </r>
  <r>
    <x v="1"/>
    <x v="78"/>
    <x v="0"/>
    <x v="1"/>
    <x v="12"/>
    <n v="130775.93"/>
  </r>
  <r>
    <x v="0"/>
    <x v="84"/>
    <x v="0"/>
    <x v="1"/>
    <x v="6"/>
    <n v="469079.09"/>
  </r>
  <r>
    <x v="1"/>
    <x v="44"/>
    <x v="0"/>
    <x v="1"/>
    <x v="0"/>
    <n v="612396.28"/>
  </r>
  <r>
    <x v="0"/>
    <x v="17"/>
    <x v="0"/>
    <x v="6"/>
    <x v="1"/>
    <n v="412500"/>
  </r>
  <r>
    <x v="1"/>
    <x v="64"/>
    <x v="0"/>
    <x v="1"/>
    <x v="12"/>
    <n v="23940.7"/>
  </r>
  <r>
    <x v="0"/>
    <x v="79"/>
    <x v="0"/>
    <x v="9"/>
    <x v="6"/>
    <n v="24284962.77"/>
  </r>
  <r>
    <x v="0"/>
    <x v="68"/>
    <x v="0"/>
    <x v="1"/>
    <x v="13"/>
    <n v="169279180.12"/>
  </r>
  <r>
    <x v="0"/>
    <x v="59"/>
    <x v="0"/>
    <x v="6"/>
    <x v="13"/>
    <n v="248000"/>
  </r>
  <r>
    <x v="1"/>
    <x v="67"/>
    <x v="0"/>
    <x v="1"/>
    <x v="11"/>
    <n v="-43645.17"/>
  </r>
  <r>
    <x v="1"/>
    <x v="42"/>
    <x v="0"/>
    <x v="1"/>
    <x v="14"/>
    <n v="433811.7"/>
  </r>
  <r>
    <x v="0"/>
    <x v="79"/>
    <x v="0"/>
    <x v="1"/>
    <x v="5"/>
    <n v="42303326.009999998"/>
  </r>
  <r>
    <x v="1"/>
    <x v="71"/>
    <x v="0"/>
    <x v="1"/>
    <x v="7"/>
    <n v="41182.65"/>
  </r>
  <r>
    <x v="1"/>
    <x v="42"/>
    <x v="0"/>
    <x v="1"/>
    <x v="19"/>
    <n v="-1296784.93"/>
  </r>
  <r>
    <x v="0"/>
    <x v="90"/>
    <x v="0"/>
    <x v="1"/>
    <x v="16"/>
    <n v="129352.49"/>
  </r>
  <r>
    <x v="0"/>
    <x v="54"/>
    <x v="0"/>
    <x v="1"/>
    <x v="5"/>
    <n v="1041544.26"/>
  </r>
  <r>
    <x v="0"/>
    <x v="31"/>
    <x v="0"/>
    <x v="1"/>
    <x v="23"/>
    <n v="34770683.810000002"/>
  </r>
  <r>
    <x v="1"/>
    <x v="29"/>
    <x v="0"/>
    <x v="1"/>
    <x v="25"/>
    <n v="68502.149999999994"/>
  </r>
  <r>
    <x v="0"/>
    <x v="59"/>
    <x v="0"/>
    <x v="1"/>
    <x v="14"/>
    <n v="35505573.240000002"/>
  </r>
  <r>
    <x v="0"/>
    <x v="50"/>
    <x v="0"/>
    <x v="1"/>
    <x v="11"/>
    <n v="54365000"/>
  </r>
  <r>
    <x v="0"/>
    <x v="8"/>
    <x v="0"/>
    <x v="1"/>
    <x v="20"/>
    <n v="16507862.41"/>
  </r>
  <r>
    <x v="0"/>
    <x v="29"/>
    <x v="0"/>
    <x v="1"/>
    <x v="6"/>
    <n v="1513945.39"/>
  </r>
  <r>
    <x v="0"/>
    <x v="79"/>
    <x v="0"/>
    <x v="1"/>
    <x v="0"/>
    <n v="17945707.260000002"/>
  </r>
  <r>
    <x v="1"/>
    <x v="91"/>
    <x v="0"/>
    <x v="1"/>
    <x v="7"/>
    <n v="6587.91"/>
  </r>
  <r>
    <x v="0"/>
    <x v="50"/>
    <x v="0"/>
    <x v="1"/>
    <x v="14"/>
    <n v="39731162.200000003"/>
  </r>
  <r>
    <x v="0"/>
    <x v="37"/>
    <x v="0"/>
    <x v="1"/>
    <x v="13"/>
    <n v="11626391.43"/>
  </r>
  <r>
    <x v="0"/>
    <x v="62"/>
    <x v="0"/>
    <x v="10"/>
    <x v="17"/>
    <n v="5611815.75"/>
  </r>
  <r>
    <x v="1"/>
    <x v="9"/>
    <x v="0"/>
    <x v="1"/>
    <x v="20"/>
    <n v="-5689896.4299999997"/>
  </r>
  <r>
    <x v="1"/>
    <x v="73"/>
    <x v="0"/>
    <x v="9"/>
    <x v="17"/>
    <n v="-24190.41"/>
  </r>
  <r>
    <x v="1"/>
    <x v="54"/>
    <x v="0"/>
    <x v="1"/>
    <x v="18"/>
    <n v="55300.3"/>
  </r>
  <r>
    <x v="1"/>
    <x v="28"/>
    <x v="0"/>
    <x v="0"/>
    <x v="0"/>
    <n v="172836.65"/>
  </r>
  <r>
    <x v="1"/>
    <x v="65"/>
    <x v="0"/>
    <x v="1"/>
    <x v="11"/>
    <n v="3806623.94"/>
  </r>
  <r>
    <x v="1"/>
    <x v="9"/>
    <x v="0"/>
    <x v="1"/>
    <x v="0"/>
    <n v="25205731.18"/>
  </r>
  <r>
    <x v="1"/>
    <x v="56"/>
    <x v="0"/>
    <x v="1"/>
    <x v="9"/>
    <n v="60281.49"/>
  </r>
  <r>
    <x v="1"/>
    <x v="45"/>
    <x v="0"/>
    <x v="1"/>
    <x v="19"/>
    <n v="2471406.73"/>
  </r>
  <r>
    <x v="1"/>
    <x v="72"/>
    <x v="0"/>
    <x v="7"/>
    <x v="25"/>
    <n v="200000"/>
  </r>
  <r>
    <x v="1"/>
    <x v="55"/>
    <x v="0"/>
    <x v="1"/>
    <x v="24"/>
    <n v="22931.98"/>
  </r>
  <r>
    <x v="0"/>
    <x v="15"/>
    <x v="0"/>
    <x v="8"/>
    <x v="13"/>
    <n v="1815469.44"/>
  </r>
  <r>
    <x v="0"/>
    <x v="36"/>
    <x v="0"/>
    <x v="6"/>
    <x v="1"/>
    <n v="2000"/>
  </r>
  <r>
    <x v="1"/>
    <x v="8"/>
    <x v="0"/>
    <x v="10"/>
    <x v="25"/>
    <n v="2274377.6"/>
  </r>
  <r>
    <x v="1"/>
    <x v="15"/>
    <x v="0"/>
    <x v="4"/>
    <x v="17"/>
    <n v="433144.06"/>
  </r>
  <r>
    <x v="1"/>
    <x v="1"/>
    <x v="0"/>
    <x v="1"/>
    <x v="7"/>
    <n v="914686.33"/>
  </r>
  <r>
    <x v="0"/>
    <x v="20"/>
    <x v="0"/>
    <x v="1"/>
    <x v="13"/>
    <n v="3813397505.4099998"/>
  </r>
  <r>
    <x v="1"/>
    <x v="30"/>
    <x v="0"/>
    <x v="1"/>
    <x v="3"/>
    <n v="-144281005.65000001"/>
  </r>
  <r>
    <x v="0"/>
    <x v="20"/>
    <x v="0"/>
    <x v="8"/>
    <x v="6"/>
    <n v="33002584"/>
  </r>
  <r>
    <x v="1"/>
    <x v="0"/>
    <x v="0"/>
    <x v="3"/>
    <x v="7"/>
    <n v="-2507044.83"/>
  </r>
  <r>
    <x v="0"/>
    <x v="36"/>
    <x v="0"/>
    <x v="1"/>
    <x v="14"/>
    <n v="24204730"/>
  </r>
  <r>
    <x v="0"/>
    <x v="41"/>
    <x v="0"/>
    <x v="1"/>
    <x v="18"/>
    <n v="43934019.350000001"/>
  </r>
  <r>
    <x v="1"/>
    <x v="82"/>
    <x v="0"/>
    <x v="1"/>
    <x v="14"/>
    <n v="20470.96"/>
  </r>
  <r>
    <x v="0"/>
    <x v="92"/>
    <x v="0"/>
    <x v="1"/>
    <x v="8"/>
    <n v="2879000"/>
  </r>
  <r>
    <x v="0"/>
    <x v="66"/>
    <x v="0"/>
    <x v="10"/>
    <x v="25"/>
    <n v="10019499.609999999"/>
  </r>
  <r>
    <x v="0"/>
    <x v="40"/>
    <x v="0"/>
    <x v="1"/>
    <x v="19"/>
    <n v="431956557.38"/>
  </r>
  <r>
    <x v="0"/>
    <x v="74"/>
    <x v="0"/>
    <x v="1"/>
    <x v="0"/>
    <n v="4241803.47"/>
  </r>
  <r>
    <x v="1"/>
    <x v="7"/>
    <x v="0"/>
    <x v="1"/>
    <x v="0"/>
    <n v="153590.13"/>
  </r>
  <r>
    <x v="1"/>
    <x v="93"/>
    <x v="0"/>
    <x v="1"/>
    <x v="12"/>
    <n v="613077.21"/>
  </r>
  <r>
    <x v="0"/>
    <x v="40"/>
    <x v="0"/>
    <x v="1"/>
    <x v="9"/>
    <n v="870797647.30999994"/>
  </r>
  <r>
    <x v="0"/>
    <x v="28"/>
    <x v="0"/>
    <x v="0"/>
    <x v="16"/>
    <n v="92830753.079999998"/>
  </r>
  <r>
    <x v="0"/>
    <x v="33"/>
    <x v="0"/>
    <x v="6"/>
    <x v="0"/>
    <n v="3126766.64"/>
  </r>
  <r>
    <x v="1"/>
    <x v="68"/>
    <x v="0"/>
    <x v="3"/>
    <x v="5"/>
    <n v="525788.26"/>
  </r>
  <r>
    <x v="0"/>
    <x v="77"/>
    <x v="0"/>
    <x v="6"/>
    <x v="13"/>
    <n v="8000"/>
  </r>
  <r>
    <x v="1"/>
    <x v="6"/>
    <x v="0"/>
    <x v="1"/>
    <x v="20"/>
    <n v="125041.18"/>
  </r>
  <r>
    <x v="0"/>
    <x v="27"/>
    <x v="0"/>
    <x v="1"/>
    <x v="19"/>
    <n v="38992671.810000002"/>
  </r>
  <r>
    <x v="0"/>
    <x v="31"/>
    <x v="0"/>
    <x v="1"/>
    <x v="18"/>
    <n v="19177898.199999999"/>
  </r>
  <r>
    <x v="0"/>
    <x v="47"/>
    <x v="0"/>
    <x v="5"/>
    <x v="19"/>
    <n v="4036579.92"/>
  </r>
  <r>
    <x v="0"/>
    <x v="22"/>
    <x v="0"/>
    <x v="8"/>
    <x v="14"/>
    <n v="4073837.82"/>
  </r>
  <r>
    <x v="1"/>
    <x v="59"/>
    <x v="0"/>
    <x v="1"/>
    <x v="3"/>
    <n v="3266126.58"/>
  </r>
  <r>
    <x v="0"/>
    <x v="22"/>
    <x v="0"/>
    <x v="8"/>
    <x v="10"/>
    <n v="2379532.87"/>
  </r>
  <r>
    <x v="1"/>
    <x v="31"/>
    <x v="0"/>
    <x v="1"/>
    <x v="8"/>
    <n v="1011441.73"/>
  </r>
  <r>
    <x v="0"/>
    <x v="55"/>
    <x v="0"/>
    <x v="1"/>
    <x v="20"/>
    <n v="316867.8"/>
  </r>
  <r>
    <x v="1"/>
    <x v="47"/>
    <x v="0"/>
    <x v="5"/>
    <x v="17"/>
    <n v="1541399.65"/>
  </r>
  <r>
    <x v="1"/>
    <x v="0"/>
    <x v="0"/>
    <x v="1"/>
    <x v="5"/>
    <n v="17033178.690000001"/>
  </r>
  <r>
    <x v="0"/>
    <x v="47"/>
    <x v="0"/>
    <x v="6"/>
    <x v="0"/>
    <n v="133788.43"/>
  </r>
  <r>
    <x v="0"/>
    <x v="74"/>
    <x v="0"/>
    <x v="6"/>
    <x v="2"/>
    <n v="260000"/>
  </r>
  <r>
    <x v="0"/>
    <x v="36"/>
    <x v="0"/>
    <x v="2"/>
    <x v="4"/>
    <n v="2777000"/>
  </r>
  <r>
    <x v="1"/>
    <x v="90"/>
    <x v="0"/>
    <x v="1"/>
    <x v="7"/>
    <n v="10547.28"/>
  </r>
  <r>
    <x v="1"/>
    <x v="69"/>
    <x v="0"/>
    <x v="1"/>
    <x v="13"/>
    <n v="42886.75"/>
  </r>
  <r>
    <x v="1"/>
    <x v="20"/>
    <x v="0"/>
    <x v="1"/>
    <x v="23"/>
    <n v="285428758.72000003"/>
  </r>
  <r>
    <x v="1"/>
    <x v="1"/>
    <x v="0"/>
    <x v="1"/>
    <x v="21"/>
    <n v="473047.26"/>
  </r>
  <r>
    <x v="0"/>
    <x v="34"/>
    <x v="0"/>
    <x v="7"/>
    <x v="9"/>
    <n v="299113"/>
  </r>
  <r>
    <x v="1"/>
    <x v="41"/>
    <x v="0"/>
    <x v="1"/>
    <x v="8"/>
    <n v="529684.35"/>
  </r>
  <r>
    <x v="1"/>
    <x v="20"/>
    <x v="0"/>
    <x v="5"/>
    <x v="25"/>
    <n v="24691517.559999999"/>
  </r>
  <r>
    <x v="1"/>
    <x v="78"/>
    <x v="0"/>
    <x v="1"/>
    <x v="2"/>
    <n v="83322.02"/>
  </r>
  <r>
    <x v="0"/>
    <x v="31"/>
    <x v="0"/>
    <x v="6"/>
    <x v="2"/>
    <n v="1466000"/>
  </r>
  <r>
    <x v="0"/>
    <x v="44"/>
    <x v="0"/>
    <x v="1"/>
    <x v="16"/>
    <n v="13648778.32"/>
  </r>
  <r>
    <x v="1"/>
    <x v="58"/>
    <x v="0"/>
    <x v="1"/>
    <x v="24"/>
    <n v="1156740.27"/>
  </r>
  <r>
    <x v="1"/>
    <x v="61"/>
    <x v="0"/>
    <x v="1"/>
    <x v="5"/>
    <n v="178100.63"/>
  </r>
  <r>
    <x v="1"/>
    <x v="90"/>
    <x v="0"/>
    <x v="1"/>
    <x v="8"/>
    <n v="6483.9"/>
  </r>
  <r>
    <x v="1"/>
    <x v="40"/>
    <x v="0"/>
    <x v="7"/>
    <x v="20"/>
    <n v="121390.37"/>
  </r>
  <r>
    <x v="1"/>
    <x v="23"/>
    <x v="0"/>
    <x v="1"/>
    <x v="5"/>
    <n v="0"/>
  </r>
  <r>
    <x v="0"/>
    <x v="70"/>
    <x v="0"/>
    <x v="1"/>
    <x v="11"/>
    <n v="2241332.5499999998"/>
  </r>
  <r>
    <x v="0"/>
    <x v="85"/>
    <x v="0"/>
    <x v="1"/>
    <x v="24"/>
    <n v="2547274.13"/>
  </r>
  <r>
    <x v="1"/>
    <x v="82"/>
    <x v="0"/>
    <x v="1"/>
    <x v="4"/>
    <n v="951426.07"/>
  </r>
  <r>
    <x v="0"/>
    <x v="94"/>
    <x v="0"/>
    <x v="1"/>
    <x v="19"/>
    <n v="7873083.0300000003"/>
  </r>
  <r>
    <x v="0"/>
    <x v="73"/>
    <x v="0"/>
    <x v="9"/>
    <x v="25"/>
    <n v="3806738.5"/>
  </r>
  <r>
    <x v="1"/>
    <x v="24"/>
    <x v="0"/>
    <x v="1"/>
    <x v="5"/>
    <n v="111544998.56999999"/>
  </r>
  <r>
    <x v="1"/>
    <x v="53"/>
    <x v="0"/>
    <x v="1"/>
    <x v="12"/>
    <n v="277568.2"/>
  </r>
  <r>
    <x v="0"/>
    <x v="33"/>
    <x v="0"/>
    <x v="5"/>
    <x v="20"/>
    <n v="262616174.24000001"/>
  </r>
  <r>
    <x v="1"/>
    <x v="66"/>
    <x v="0"/>
    <x v="10"/>
    <x v="10"/>
    <n v="2420516.09"/>
  </r>
  <r>
    <x v="1"/>
    <x v="27"/>
    <x v="0"/>
    <x v="1"/>
    <x v="6"/>
    <n v="3134422.63"/>
  </r>
  <r>
    <x v="0"/>
    <x v="90"/>
    <x v="0"/>
    <x v="6"/>
    <x v="0"/>
    <n v="15000"/>
  </r>
  <r>
    <x v="0"/>
    <x v="19"/>
    <x v="0"/>
    <x v="2"/>
    <x v="4"/>
    <n v="171307.71"/>
  </r>
  <r>
    <x v="1"/>
    <x v="2"/>
    <x v="0"/>
    <x v="1"/>
    <x v="22"/>
    <n v="234928.57"/>
  </r>
  <r>
    <x v="0"/>
    <x v="32"/>
    <x v="0"/>
    <x v="1"/>
    <x v="15"/>
    <n v="1284189.6200000001"/>
  </r>
  <r>
    <x v="0"/>
    <x v="82"/>
    <x v="0"/>
    <x v="6"/>
    <x v="1"/>
    <n v="106000"/>
  </r>
  <r>
    <x v="0"/>
    <x v="10"/>
    <x v="0"/>
    <x v="1"/>
    <x v="2"/>
    <n v="1698696.78"/>
  </r>
  <r>
    <x v="0"/>
    <x v="66"/>
    <x v="0"/>
    <x v="1"/>
    <x v="10"/>
    <n v="5374905.0499999998"/>
  </r>
  <r>
    <x v="0"/>
    <x v="28"/>
    <x v="0"/>
    <x v="2"/>
    <x v="2"/>
    <n v="124906987.28"/>
  </r>
  <r>
    <x v="0"/>
    <x v="53"/>
    <x v="0"/>
    <x v="1"/>
    <x v="5"/>
    <n v="5902380.5999999996"/>
  </r>
  <r>
    <x v="0"/>
    <x v="4"/>
    <x v="0"/>
    <x v="3"/>
    <x v="3"/>
    <n v="153298450.03"/>
  </r>
  <r>
    <x v="1"/>
    <x v="28"/>
    <x v="0"/>
    <x v="3"/>
    <x v="16"/>
    <n v="-2064400.91"/>
  </r>
  <r>
    <x v="1"/>
    <x v="87"/>
    <x v="0"/>
    <x v="1"/>
    <x v="20"/>
    <n v="-79043.27"/>
  </r>
  <r>
    <x v="0"/>
    <x v="79"/>
    <x v="0"/>
    <x v="1"/>
    <x v="12"/>
    <n v="41569423.369999997"/>
  </r>
  <r>
    <x v="0"/>
    <x v="33"/>
    <x v="0"/>
    <x v="5"/>
    <x v="14"/>
    <n v="197640945.56999999"/>
  </r>
  <r>
    <x v="0"/>
    <x v="27"/>
    <x v="0"/>
    <x v="3"/>
    <x v="0"/>
    <n v="8294000"/>
  </r>
  <r>
    <x v="0"/>
    <x v="12"/>
    <x v="0"/>
    <x v="1"/>
    <x v="2"/>
    <n v="43576888"/>
  </r>
  <r>
    <x v="0"/>
    <x v="5"/>
    <x v="0"/>
    <x v="1"/>
    <x v="23"/>
    <n v="92157630.010000005"/>
  </r>
  <r>
    <x v="1"/>
    <x v="46"/>
    <x v="0"/>
    <x v="1"/>
    <x v="12"/>
    <n v="18728.36"/>
  </r>
  <r>
    <x v="0"/>
    <x v="40"/>
    <x v="0"/>
    <x v="8"/>
    <x v="13"/>
    <n v="1432345.32"/>
  </r>
  <r>
    <x v="1"/>
    <x v="48"/>
    <x v="0"/>
    <x v="1"/>
    <x v="0"/>
    <n v="0"/>
  </r>
  <r>
    <x v="0"/>
    <x v="76"/>
    <x v="0"/>
    <x v="1"/>
    <x v="17"/>
    <n v="37191135.049999997"/>
  </r>
  <r>
    <x v="0"/>
    <x v="15"/>
    <x v="0"/>
    <x v="10"/>
    <x v="13"/>
    <n v="2820494.72"/>
  </r>
  <r>
    <x v="0"/>
    <x v="55"/>
    <x v="0"/>
    <x v="1"/>
    <x v="19"/>
    <n v="315475.36"/>
  </r>
  <r>
    <x v="0"/>
    <x v="8"/>
    <x v="0"/>
    <x v="1"/>
    <x v="15"/>
    <n v="43826743.759999998"/>
  </r>
  <r>
    <x v="0"/>
    <x v="44"/>
    <x v="0"/>
    <x v="1"/>
    <x v="13"/>
    <n v="17728217.190000001"/>
  </r>
  <r>
    <x v="0"/>
    <x v="20"/>
    <x v="0"/>
    <x v="3"/>
    <x v="12"/>
    <n v="309317.28999999998"/>
  </r>
  <r>
    <x v="1"/>
    <x v="6"/>
    <x v="0"/>
    <x v="2"/>
    <x v="9"/>
    <n v="396520.02"/>
  </r>
  <r>
    <x v="0"/>
    <x v="28"/>
    <x v="0"/>
    <x v="0"/>
    <x v="23"/>
    <n v="141821467.83000001"/>
  </r>
  <r>
    <x v="1"/>
    <x v="47"/>
    <x v="0"/>
    <x v="1"/>
    <x v="4"/>
    <n v="48836124.850000001"/>
  </r>
  <r>
    <x v="0"/>
    <x v="87"/>
    <x v="0"/>
    <x v="1"/>
    <x v="19"/>
    <n v="-273828.46999999997"/>
  </r>
  <r>
    <x v="0"/>
    <x v="82"/>
    <x v="0"/>
    <x v="1"/>
    <x v="25"/>
    <n v="1931343.78"/>
  </r>
  <r>
    <x v="0"/>
    <x v="41"/>
    <x v="0"/>
    <x v="1"/>
    <x v="14"/>
    <n v="39865267.079999998"/>
  </r>
  <r>
    <x v="0"/>
    <x v="93"/>
    <x v="0"/>
    <x v="1"/>
    <x v="22"/>
    <n v="10623665.140000001"/>
  </r>
  <r>
    <x v="0"/>
    <x v="9"/>
    <x v="0"/>
    <x v="6"/>
    <x v="5"/>
    <n v="20503723.829999998"/>
  </r>
  <r>
    <x v="0"/>
    <x v="68"/>
    <x v="0"/>
    <x v="1"/>
    <x v="10"/>
    <n v="123264350.94"/>
  </r>
  <r>
    <x v="1"/>
    <x v="28"/>
    <x v="0"/>
    <x v="3"/>
    <x v="7"/>
    <n v="2064400.91"/>
  </r>
  <r>
    <x v="1"/>
    <x v="27"/>
    <x v="0"/>
    <x v="1"/>
    <x v="1"/>
    <n v="0"/>
  </r>
  <r>
    <x v="0"/>
    <x v="29"/>
    <x v="0"/>
    <x v="1"/>
    <x v="20"/>
    <n v="1193259.08"/>
  </r>
  <r>
    <x v="1"/>
    <x v="66"/>
    <x v="0"/>
    <x v="1"/>
    <x v="18"/>
    <n v="3279292.86"/>
  </r>
  <r>
    <x v="1"/>
    <x v="41"/>
    <x v="0"/>
    <x v="1"/>
    <x v="22"/>
    <n v="9817443.5199999996"/>
  </r>
  <r>
    <x v="1"/>
    <x v="30"/>
    <x v="0"/>
    <x v="1"/>
    <x v="2"/>
    <n v="18418.25"/>
  </r>
  <r>
    <x v="0"/>
    <x v="35"/>
    <x v="0"/>
    <x v="1"/>
    <x v="23"/>
    <n v="94966142"/>
  </r>
  <r>
    <x v="0"/>
    <x v="29"/>
    <x v="0"/>
    <x v="1"/>
    <x v="19"/>
    <n v="1204811.1299999999"/>
  </r>
  <r>
    <x v="1"/>
    <x v="34"/>
    <x v="0"/>
    <x v="0"/>
    <x v="4"/>
    <n v="5708338.3600000003"/>
  </r>
  <r>
    <x v="1"/>
    <x v="4"/>
    <x v="0"/>
    <x v="0"/>
    <x v="2"/>
    <n v="-79763.75"/>
  </r>
  <r>
    <x v="0"/>
    <x v="45"/>
    <x v="0"/>
    <x v="1"/>
    <x v="17"/>
    <n v="83288304.780000001"/>
  </r>
  <r>
    <x v="0"/>
    <x v="12"/>
    <x v="0"/>
    <x v="1"/>
    <x v="15"/>
    <n v="36386000"/>
  </r>
  <r>
    <x v="0"/>
    <x v="76"/>
    <x v="0"/>
    <x v="1"/>
    <x v="9"/>
    <n v="58315405.009999998"/>
  </r>
  <r>
    <x v="0"/>
    <x v="4"/>
    <x v="0"/>
    <x v="1"/>
    <x v="25"/>
    <n v="5915442660.2600002"/>
  </r>
  <r>
    <x v="0"/>
    <x v="14"/>
    <x v="0"/>
    <x v="1"/>
    <x v="23"/>
    <n v="2662896.12"/>
  </r>
  <r>
    <x v="1"/>
    <x v="10"/>
    <x v="0"/>
    <x v="1"/>
    <x v="5"/>
    <n v="143188.10999999999"/>
  </r>
  <r>
    <x v="1"/>
    <x v="77"/>
    <x v="0"/>
    <x v="1"/>
    <x v="21"/>
    <n v="141142.07999999999"/>
  </r>
  <r>
    <x v="0"/>
    <x v="9"/>
    <x v="0"/>
    <x v="3"/>
    <x v="22"/>
    <n v="23674944.510000002"/>
  </r>
  <r>
    <x v="1"/>
    <x v="89"/>
    <x v="0"/>
    <x v="1"/>
    <x v="2"/>
    <n v="133837.25"/>
  </r>
  <r>
    <x v="1"/>
    <x v="73"/>
    <x v="0"/>
    <x v="1"/>
    <x v="7"/>
    <n v="284807.81"/>
  </r>
  <r>
    <x v="0"/>
    <x v="58"/>
    <x v="0"/>
    <x v="1"/>
    <x v="15"/>
    <n v="15941625.640000001"/>
  </r>
  <r>
    <x v="1"/>
    <x v="76"/>
    <x v="0"/>
    <x v="1"/>
    <x v="7"/>
    <n v="2983368.06"/>
  </r>
  <r>
    <x v="1"/>
    <x v="62"/>
    <x v="0"/>
    <x v="1"/>
    <x v="18"/>
    <n v="3193890.57"/>
  </r>
  <r>
    <x v="0"/>
    <x v="54"/>
    <x v="0"/>
    <x v="1"/>
    <x v="16"/>
    <n v="997799.93"/>
  </r>
  <r>
    <x v="0"/>
    <x v="34"/>
    <x v="0"/>
    <x v="1"/>
    <x v="9"/>
    <n v="974875062.09000003"/>
  </r>
  <r>
    <x v="0"/>
    <x v="17"/>
    <x v="0"/>
    <x v="1"/>
    <x v="22"/>
    <n v="6564251.6900000004"/>
  </r>
  <r>
    <x v="0"/>
    <x v="76"/>
    <x v="0"/>
    <x v="1"/>
    <x v="10"/>
    <n v="21680395.629999999"/>
  </r>
  <r>
    <x v="0"/>
    <x v="51"/>
    <x v="0"/>
    <x v="1"/>
    <x v="14"/>
    <n v="4836026.45"/>
  </r>
  <r>
    <x v="0"/>
    <x v="41"/>
    <x v="0"/>
    <x v="9"/>
    <x v="24"/>
    <n v="267869.03999999998"/>
  </r>
  <r>
    <x v="0"/>
    <x v="71"/>
    <x v="0"/>
    <x v="1"/>
    <x v="4"/>
    <n v="1000002.65"/>
  </r>
  <r>
    <x v="1"/>
    <x v="8"/>
    <x v="0"/>
    <x v="4"/>
    <x v="17"/>
    <n v="0"/>
  </r>
  <r>
    <x v="1"/>
    <x v="29"/>
    <x v="0"/>
    <x v="1"/>
    <x v="12"/>
    <n v="58418.52"/>
  </r>
  <r>
    <x v="1"/>
    <x v="57"/>
    <x v="0"/>
    <x v="1"/>
    <x v="16"/>
    <n v="55348.47"/>
  </r>
  <r>
    <x v="0"/>
    <x v="66"/>
    <x v="0"/>
    <x v="6"/>
    <x v="2"/>
    <n v="583428.15"/>
  </r>
  <r>
    <x v="1"/>
    <x v="85"/>
    <x v="0"/>
    <x v="1"/>
    <x v="24"/>
    <n v="142702.75"/>
  </r>
  <r>
    <x v="1"/>
    <x v="79"/>
    <x v="0"/>
    <x v="9"/>
    <x v="17"/>
    <n v="726616.63"/>
  </r>
  <r>
    <x v="1"/>
    <x v="52"/>
    <x v="0"/>
    <x v="10"/>
    <x v="10"/>
    <n v="-13734"/>
  </r>
  <r>
    <x v="1"/>
    <x v="5"/>
    <x v="0"/>
    <x v="1"/>
    <x v="23"/>
    <n v="369.99"/>
  </r>
  <r>
    <x v="0"/>
    <x v="22"/>
    <x v="0"/>
    <x v="7"/>
    <x v="1"/>
    <n v="0"/>
  </r>
  <r>
    <x v="1"/>
    <x v="3"/>
    <x v="0"/>
    <x v="1"/>
    <x v="21"/>
    <n v="111917.14"/>
  </r>
  <r>
    <x v="0"/>
    <x v="4"/>
    <x v="0"/>
    <x v="2"/>
    <x v="2"/>
    <n v="770342.35"/>
  </r>
  <r>
    <x v="1"/>
    <x v="53"/>
    <x v="0"/>
    <x v="1"/>
    <x v="3"/>
    <n v="274827.77"/>
  </r>
  <r>
    <x v="1"/>
    <x v="65"/>
    <x v="0"/>
    <x v="1"/>
    <x v="4"/>
    <n v="8652180.5"/>
  </r>
  <r>
    <x v="0"/>
    <x v="11"/>
    <x v="0"/>
    <x v="6"/>
    <x v="11"/>
    <n v="15477000"/>
  </r>
  <r>
    <x v="0"/>
    <x v="57"/>
    <x v="0"/>
    <x v="6"/>
    <x v="2"/>
    <n v="40000"/>
  </r>
  <r>
    <x v="0"/>
    <x v="25"/>
    <x v="0"/>
    <x v="1"/>
    <x v="3"/>
    <n v="1152884.07"/>
  </r>
  <r>
    <x v="1"/>
    <x v="18"/>
    <x v="0"/>
    <x v="1"/>
    <x v="10"/>
    <n v="353114.21"/>
  </r>
  <r>
    <x v="0"/>
    <x v="22"/>
    <x v="0"/>
    <x v="1"/>
    <x v="8"/>
    <n v="33685101.869999997"/>
  </r>
  <r>
    <x v="1"/>
    <x v="49"/>
    <x v="0"/>
    <x v="1"/>
    <x v="21"/>
    <n v="189578.56"/>
  </r>
  <r>
    <x v="0"/>
    <x v="79"/>
    <x v="0"/>
    <x v="9"/>
    <x v="25"/>
    <n v="12207372.43"/>
  </r>
  <r>
    <x v="0"/>
    <x v="59"/>
    <x v="0"/>
    <x v="1"/>
    <x v="24"/>
    <n v="41450450.450000003"/>
  </r>
  <r>
    <x v="0"/>
    <x v="60"/>
    <x v="0"/>
    <x v="1"/>
    <x v="17"/>
    <n v="231461.21"/>
  </r>
  <r>
    <x v="0"/>
    <x v="9"/>
    <x v="0"/>
    <x v="3"/>
    <x v="0"/>
    <n v="67102302.079999998"/>
  </r>
  <r>
    <x v="0"/>
    <x v="6"/>
    <x v="0"/>
    <x v="3"/>
    <x v="13"/>
    <n v="7691000"/>
  </r>
  <r>
    <x v="1"/>
    <x v="6"/>
    <x v="0"/>
    <x v="3"/>
    <x v="1"/>
    <n v="18991.05"/>
  </r>
  <r>
    <x v="0"/>
    <x v="59"/>
    <x v="0"/>
    <x v="6"/>
    <x v="1"/>
    <n v="2609000"/>
  </r>
  <r>
    <x v="1"/>
    <x v="67"/>
    <x v="0"/>
    <x v="2"/>
    <x v="4"/>
    <n v="43201.74"/>
  </r>
  <r>
    <x v="1"/>
    <x v="79"/>
    <x v="0"/>
    <x v="1"/>
    <x v="20"/>
    <n v="4360947.53"/>
  </r>
  <r>
    <x v="1"/>
    <x v="79"/>
    <x v="0"/>
    <x v="1"/>
    <x v="9"/>
    <n v="9725664.5700000003"/>
  </r>
  <r>
    <x v="0"/>
    <x v="14"/>
    <x v="0"/>
    <x v="1"/>
    <x v="18"/>
    <n v="1728661.95"/>
  </r>
  <r>
    <x v="0"/>
    <x v="6"/>
    <x v="0"/>
    <x v="1"/>
    <x v="11"/>
    <n v="339741379.63999999"/>
  </r>
  <r>
    <x v="0"/>
    <x v="70"/>
    <x v="0"/>
    <x v="1"/>
    <x v="1"/>
    <n v="1629087.97"/>
  </r>
  <r>
    <x v="1"/>
    <x v="94"/>
    <x v="0"/>
    <x v="1"/>
    <x v="19"/>
    <n v="1043269.08"/>
  </r>
  <r>
    <x v="0"/>
    <x v="22"/>
    <x v="0"/>
    <x v="7"/>
    <x v="20"/>
    <n v="81891.490000000005"/>
  </r>
  <r>
    <x v="0"/>
    <x v="77"/>
    <x v="0"/>
    <x v="1"/>
    <x v="12"/>
    <n v="1195767.2"/>
  </r>
  <r>
    <x v="0"/>
    <x v="8"/>
    <x v="0"/>
    <x v="6"/>
    <x v="13"/>
    <n v="96000"/>
  </r>
  <r>
    <x v="0"/>
    <x v="16"/>
    <x v="0"/>
    <x v="1"/>
    <x v="8"/>
    <n v="6398206.3300000001"/>
  </r>
  <r>
    <x v="0"/>
    <x v="2"/>
    <x v="0"/>
    <x v="1"/>
    <x v="8"/>
    <n v="2393551.7999999998"/>
  </r>
  <r>
    <x v="1"/>
    <x v="4"/>
    <x v="0"/>
    <x v="1"/>
    <x v="10"/>
    <n v="9212617.6099999994"/>
  </r>
  <r>
    <x v="1"/>
    <x v="79"/>
    <x v="0"/>
    <x v="1"/>
    <x v="0"/>
    <n v="3285773.83"/>
  </r>
  <r>
    <x v="1"/>
    <x v="51"/>
    <x v="0"/>
    <x v="6"/>
    <x v="2"/>
    <n v="45464.94"/>
  </r>
  <r>
    <x v="0"/>
    <x v="79"/>
    <x v="0"/>
    <x v="9"/>
    <x v="24"/>
    <n v="25703612.57"/>
  </r>
  <r>
    <x v="1"/>
    <x v="57"/>
    <x v="0"/>
    <x v="1"/>
    <x v="4"/>
    <n v="2582784.81"/>
  </r>
  <r>
    <x v="0"/>
    <x v="67"/>
    <x v="0"/>
    <x v="1"/>
    <x v="21"/>
    <n v="1698626.94"/>
  </r>
  <r>
    <x v="1"/>
    <x v="49"/>
    <x v="0"/>
    <x v="1"/>
    <x v="12"/>
    <n v="140703.04000000001"/>
  </r>
  <r>
    <x v="0"/>
    <x v="20"/>
    <x v="0"/>
    <x v="5"/>
    <x v="13"/>
    <n v="321110731.73000002"/>
  </r>
  <r>
    <x v="1"/>
    <x v="39"/>
    <x v="0"/>
    <x v="1"/>
    <x v="23"/>
    <n v="12296.78"/>
  </r>
  <r>
    <x v="0"/>
    <x v="91"/>
    <x v="0"/>
    <x v="1"/>
    <x v="16"/>
    <n v="529758.54"/>
  </r>
  <r>
    <x v="1"/>
    <x v="88"/>
    <x v="0"/>
    <x v="1"/>
    <x v="4"/>
    <n v="150147.1"/>
  </r>
  <r>
    <x v="1"/>
    <x v="40"/>
    <x v="0"/>
    <x v="1"/>
    <x v="5"/>
    <n v="62877498.409999996"/>
  </r>
  <r>
    <x v="1"/>
    <x v="60"/>
    <x v="0"/>
    <x v="1"/>
    <x v="10"/>
    <n v="-5702.14"/>
  </r>
  <r>
    <x v="1"/>
    <x v="23"/>
    <x v="0"/>
    <x v="1"/>
    <x v="21"/>
    <n v="1926379.87"/>
  </r>
  <r>
    <x v="1"/>
    <x v="61"/>
    <x v="0"/>
    <x v="1"/>
    <x v="12"/>
    <n v="43749.59"/>
  </r>
  <r>
    <x v="0"/>
    <x v="61"/>
    <x v="0"/>
    <x v="1"/>
    <x v="25"/>
    <n v="1974960"/>
  </r>
  <r>
    <x v="1"/>
    <x v="4"/>
    <x v="0"/>
    <x v="1"/>
    <x v="20"/>
    <n v="6109594.0499999998"/>
  </r>
  <r>
    <x v="1"/>
    <x v="77"/>
    <x v="0"/>
    <x v="1"/>
    <x v="20"/>
    <n v="51033.63"/>
  </r>
  <r>
    <x v="1"/>
    <x v="14"/>
    <x v="0"/>
    <x v="1"/>
    <x v="3"/>
    <n v="104765.44"/>
  </r>
  <r>
    <x v="0"/>
    <x v="33"/>
    <x v="0"/>
    <x v="5"/>
    <x v="5"/>
    <n v="284080364.98000002"/>
  </r>
  <r>
    <x v="0"/>
    <x v="71"/>
    <x v="0"/>
    <x v="1"/>
    <x v="0"/>
    <n v="792422.65"/>
  </r>
  <r>
    <x v="1"/>
    <x v="45"/>
    <x v="0"/>
    <x v="1"/>
    <x v="25"/>
    <n v="5108879.55"/>
  </r>
  <r>
    <x v="0"/>
    <x v="62"/>
    <x v="0"/>
    <x v="1"/>
    <x v="25"/>
    <n v="15958486.99"/>
  </r>
  <r>
    <x v="1"/>
    <x v="40"/>
    <x v="0"/>
    <x v="6"/>
    <x v="1"/>
    <n v="343537"/>
  </r>
  <r>
    <x v="0"/>
    <x v="27"/>
    <x v="0"/>
    <x v="3"/>
    <x v="15"/>
    <n v="7151000"/>
  </r>
  <r>
    <x v="0"/>
    <x v="40"/>
    <x v="0"/>
    <x v="7"/>
    <x v="20"/>
    <n v="341798.86"/>
  </r>
  <r>
    <x v="1"/>
    <x v="47"/>
    <x v="0"/>
    <x v="1"/>
    <x v="18"/>
    <n v="14981314.93"/>
  </r>
  <r>
    <x v="1"/>
    <x v="25"/>
    <x v="0"/>
    <x v="1"/>
    <x v="7"/>
    <n v="82082.31"/>
  </r>
  <r>
    <x v="1"/>
    <x v="54"/>
    <x v="0"/>
    <x v="1"/>
    <x v="10"/>
    <n v="30119.77"/>
  </r>
  <r>
    <x v="1"/>
    <x v="16"/>
    <x v="0"/>
    <x v="1"/>
    <x v="24"/>
    <n v="238854.54"/>
  </r>
  <r>
    <x v="1"/>
    <x v="16"/>
    <x v="0"/>
    <x v="1"/>
    <x v="15"/>
    <n v="382283.64"/>
  </r>
  <r>
    <x v="1"/>
    <x v="52"/>
    <x v="0"/>
    <x v="1"/>
    <x v="13"/>
    <n v="2231594.4300000002"/>
  </r>
  <r>
    <x v="0"/>
    <x v="29"/>
    <x v="0"/>
    <x v="1"/>
    <x v="3"/>
    <n v="1322072.6399999999"/>
  </r>
  <r>
    <x v="0"/>
    <x v="46"/>
    <x v="0"/>
    <x v="1"/>
    <x v="0"/>
    <n v="32000"/>
  </r>
  <r>
    <x v="0"/>
    <x v="44"/>
    <x v="0"/>
    <x v="1"/>
    <x v="22"/>
    <n v="19240904.640000001"/>
  </r>
  <r>
    <x v="0"/>
    <x v="53"/>
    <x v="0"/>
    <x v="1"/>
    <x v="18"/>
    <n v="5033292.32"/>
  </r>
  <r>
    <x v="0"/>
    <x v="93"/>
    <x v="0"/>
    <x v="1"/>
    <x v="19"/>
    <n v="10420883.41"/>
  </r>
  <r>
    <x v="1"/>
    <x v="68"/>
    <x v="0"/>
    <x v="0"/>
    <x v="12"/>
    <n v="2896985"/>
  </r>
  <r>
    <x v="1"/>
    <x v="4"/>
    <x v="0"/>
    <x v="1"/>
    <x v="18"/>
    <n v="14752903.310000001"/>
  </r>
  <r>
    <x v="0"/>
    <x v="19"/>
    <x v="0"/>
    <x v="2"/>
    <x v="11"/>
    <n v="145309.28"/>
  </r>
  <r>
    <x v="1"/>
    <x v="34"/>
    <x v="0"/>
    <x v="3"/>
    <x v="23"/>
    <n v="727651.59"/>
  </r>
  <r>
    <x v="1"/>
    <x v="64"/>
    <x v="0"/>
    <x v="1"/>
    <x v="22"/>
    <n v="29536.67"/>
  </r>
  <r>
    <x v="0"/>
    <x v="15"/>
    <x v="0"/>
    <x v="1"/>
    <x v="13"/>
    <n v="3213741.1"/>
  </r>
  <r>
    <x v="1"/>
    <x v="65"/>
    <x v="0"/>
    <x v="10"/>
    <x v="24"/>
    <n v="9236.33"/>
  </r>
  <r>
    <x v="1"/>
    <x v="65"/>
    <x v="0"/>
    <x v="1"/>
    <x v="3"/>
    <n v="437775.21"/>
  </r>
  <r>
    <x v="0"/>
    <x v="70"/>
    <x v="0"/>
    <x v="1"/>
    <x v="14"/>
    <n v="2536240"/>
  </r>
  <r>
    <x v="1"/>
    <x v="91"/>
    <x v="0"/>
    <x v="1"/>
    <x v="9"/>
    <n v="223868.36"/>
  </r>
  <r>
    <x v="0"/>
    <x v="55"/>
    <x v="0"/>
    <x v="1"/>
    <x v="25"/>
    <n v="476941.75"/>
  </r>
  <r>
    <x v="0"/>
    <x v="53"/>
    <x v="0"/>
    <x v="6"/>
    <x v="1"/>
    <n v="338000"/>
  </r>
  <r>
    <x v="0"/>
    <x v="88"/>
    <x v="0"/>
    <x v="1"/>
    <x v="20"/>
    <n v="459641.28"/>
  </r>
  <r>
    <x v="1"/>
    <x v="6"/>
    <x v="0"/>
    <x v="3"/>
    <x v="0"/>
    <n v="37679.06"/>
  </r>
  <r>
    <x v="0"/>
    <x v="45"/>
    <x v="0"/>
    <x v="1"/>
    <x v="18"/>
    <n v="92500043.959999993"/>
  </r>
  <r>
    <x v="0"/>
    <x v="37"/>
    <x v="0"/>
    <x v="7"/>
    <x v="14"/>
    <n v="95998.67"/>
  </r>
  <r>
    <x v="0"/>
    <x v="74"/>
    <x v="0"/>
    <x v="1"/>
    <x v="15"/>
    <n v="1877229.99"/>
  </r>
  <r>
    <x v="0"/>
    <x v="1"/>
    <x v="0"/>
    <x v="1"/>
    <x v="0"/>
    <n v="7405237.0199999996"/>
  </r>
  <r>
    <x v="1"/>
    <x v="37"/>
    <x v="0"/>
    <x v="9"/>
    <x v="13"/>
    <n v="-12813.97"/>
  </r>
  <r>
    <x v="0"/>
    <x v="83"/>
    <x v="0"/>
    <x v="1"/>
    <x v="7"/>
    <n v="216167"/>
  </r>
  <r>
    <x v="1"/>
    <x v="44"/>
    <x v="0"/>
    <x v="1"/>
    <x v="24"/>
    <n v="451965.61"/>
  </r>
  <r>
    <x v="0"/>
    <x v="88"/>
    <x v="0"/>
    <x v="1"/>
    <x v="22"/>
    <n v="590367.29"/>
  </r>
  <r>
    <x v="0"/>
    <x v="11"/>
    <x v="0"/>
    <x v="6"/>
    <x v="13"/>
    <n v="293000"/>
  </r>
  <r>
    <x v="1"/>
    <x v="34"/>
    <x v="0"/>
    <x v="0"/>
    <x v="0"/>
    <n v="2566395.9300000002"/>
  </r>
  <r>
    <x v="1"/>
    <x v="32"/>
    <x v="0"/>
    <x v="7"/>
    <x v="14"/>
    <n v="-41.94"/>
  </r>
  <r>
    <x v="0"/>
    <x v="4"/>
    <x v="0"/>
    <x v="1"/>
    <x v="6"/>
    <n v="5014225070.2799997"/>
  </r>
  <r>
    <x v="0"/>
    <x v="36"/>
    <x v="0"/>
    <x v="1"/>
    <x v="5"/>
    <n v="27973000"/>
  </r>
  <r>
    <x v="1"/>
    <x v="56"/>
    <x v="0"/>
    <x v="1"/>
    <x v="10"/>
    <n v="16494.740000000002"/>
  </r>
  <r>
    <x v="0"/>
    <x v="4"/>
    <x v="0"/>
    <x v="1"/>
    <x v="7"/>
    <n v="9229638816.0499992"/>
  </r>
  <r>
    <x v="1"/>
    <x v="71"/>
    <x v="0"/>
    <x v="1"/>
    <x v="23"/>
    <n v="77576.62"/>
  </r>
  <r>
    <x v="1"/>
    <x v="42"/>
    <x v="0"/>
    <x v="1"/>
    <x v="3"/>
    <n v="-210549.32"/>
  </r>
  <r>
    <x v="1"/>
    <x v="8"/>
    <x v="0"/>
    <x v="1"/>
    <x v="0"/>
    <n v="7013277.1600000001"/>
  </r>
  <r>
    <x v="0"/>
    <x v="36"/>
    <x v="0"/>
    <x v="1"/>
    <x v="18"/>
    <n v="15164728.35"/>
  </r>
  <r>
    <x v="0"/>
    <x v="79"/>
    <x v="0"/>
    <x v="7"/>
    <x v="20"/>
    <n v="90327.64"/>
  </r>
  <r>
    <x v="0"/>
    <x v="36"/>
    <x v="0"/>
    <x v="2"/>
    <x v="11"/>
    <n v="1372000"/>
  </r>
  <r>
    <x v="0"/>
    <x v="2"/>
    <x v="0"/>
    <x v="1"/>
    <x v="5"/>
    <n v="354433.49"/>
  </r>
  <r>
    <x v="0"/>
    <x v="60"/>
    <x v="0"/>
    <x v="7"/>
    <x v="14"/>
    <n v="2347"/>
  </r>
  <r>
    <x v="0"/>
    <x v="32"/>
    <x v="0"/>
    <x v="1"/>
    <x v="6"/>
    <n v="7885993.0099999998"/>
  </r>
  <r>
    <x v="0"/>
    <x v="59"/>
    <x v="0"/>
    <x v="1"/>
    <x v="8"/>
    <n v="27336115.780000001"/>
  </r>
  <r>
    <x v="1"/>
    <x v="18"/>
    <x v="0"/>
    <x v="6"/>
    <x v="11"/>
    <n v="364000"/>
  </r>
  <r>
    <x v="1"/>
    <x v="1"/>
    <x v="0"/>
    <x v="1"/>
    <x v="4"/>
    <n v="72436.45"/>
  </r>
  <r>
    <x v="1"/>
    <x v="45"/>
    <x v="0"/>
    <x v="1"/>
    <x v="20"/>
    <n v="5063384.3600000003"/>
  </r>
  <r>
    <x v="0"/>
    <x v="24"/>
    <x v="0"/>
    <x v="5"/>
    <x v="25"/>
    <n v="7000"/>
  </r>
  <r>
    <x v="0"/>
    <x v="70"/>
    <x v="0"/>
    <x v="7"/>
    <x v="14"/>
    <n v="9000"/>
  </r>
  <r>
    <x v="1"/>
    <x v="41"/>
    <x v="0"/>
    <x v="9"/>
    <x v="13"/>
    <n v="52147.79"/>
  </r>
  <r>
    <x v="1"/>
    <x v="89"/>
    <x v="0"/>
    <x v="1"/>
    <x v="9"/>
    <n v="171817.51"/>
  </r>
  <r>
    <x v="1"/>
    <x v="49"/>
    <x v="0"/>
    <x v="1"/>
    <x v="7"/>
    <n v="122790.25"/>
  </r>
  <r>
    <x v="1"/>
    <x v="63"/>
    <x v="0"/>
    <x v="2"/>
    <x v="9"/>
    <n v="1547369.31"/>
  </r>
  <r>
    <x v="1"/>
    <x v="20"/>
    <x v="0"/>
    <x v="3"/>
    <x v="18"/>
    <n v="141304.03"/>
  </r>
  <r>
    <x v="1"/>
    <x v="44"/>
    <x v="0"/>
    <x v="1"/>
    <x v="1"/>
    <n v="623997.15"/>
  </r>
  <r>
    <x v="1"/>
    <x v="30"/>
    <x v="0"/>
    <x v="1"/>
    <x v="17"/>
    <n v="28013.06"/>
  </r>
  <r>
    <x v="1"/>
    <x v="32"/>
    <x v="0"/>
    <x v="1"/>
    <x v="21"/>
    <n v="953035.98"/>
  </r>
  <r>
    <x v="1"/>
    <x v="53"/>
    <x v="0"/>
    <x v="1"/>
    <x v="2"/>
    <n v="-178976.06"/>
  </r>
  <r>
    <x v="0"/>
    <x v="62"/>
    <x v="0"/>
    <x v="1"/>
    <x v="7"/>
    <n v="35634763.75"/>
  </r>
  <r>
    <x v="1"/>
    <x v="62"/>
    <x v="0"/>
    <x v="4"/>
    <x v="5"/>
    <n v="156027.81"/>
  </r>
  <r>
    <x v="0"/>
    <x v="17"/>
    <x v="0"/>
    <x v="6"/>
    <x v="0"/>
    <n v="411000"/>
  </r>
  <r>
    <x v="0"/>
    <x v="5"/>
    <x v="0"/>
    <x v="2"/>
    <x v="22"/>
    <n v="3921241"/>
  </r>
  <r>
    <x v="1"/>
    <x v="7"/>
    <x v="0"/>
    <x v="1"/>
    <x v="12"/>
    <n v="120996.41"/>
  </r>
  <r>
    <x v="1"/>
    <x v="7"/>
    <x v="0"/>
    <x v="1"/>
    <x v="6"/>
    <n v="161746.70000000001"/>
  </r>
  <r>
    <x v="1"/>
    <x v="57"/>
    <x v="0"/>
    <x v="1"/>
    <x v="15"/>
    <n v="54509.74"/>
  </r>
  <r>
    <x v="0"/>
    <x v="17"/>
    <x v="0"/>
    <x v="1"/>
    <x v="1"/>
    <n v="8837666.3800000008"/>
  </r>
  <r>
    <x v="0"/>
    <x v="57"/>
    <x v="0"/>
    <x v="9"/>
    <x v="14"/>
    <n v="101477.26"/>
  </r>
  <r>
    <x v="1"/>
    <x v="32"/>
    <x v="0"/>
    <x v="1"/>
    <x v="12"/>
    <n v="592824.07999999996"/>
  </r>
  <r>
    <x v="0"/>
    <x v="74"/>
    <x v="0"/>
    <x v="1"/>
    <x v="6"/>
    <n v="1609993.81"/>
  </r>
  <r>
    <x v="1"/>
    <x v="59"/>
    <x v="0"/>
    <x v="9"/>
    <x v="25"/>
    <n v="30908.77"/>
  </r>
  <r>
    <x v="0"/>
    <x v="52"/>
    <x v="0"/>
    <x v="10"/>
    <x v="19"/>
    <n v="27974.68"/>
  </r>
  <r>
    <x v="0"/>
    <x v="51"/>
    <x v="0"/>
    <x v="6"/>
    <x v="1"/>
    <n v="7792"/>
  </r>
  <r>
    <x v="1"/>
    <x v="14"/>
    <x v="0"/>
    <x v="1"/>
    <x v="1"/>
    <n v="141075.15"/>
  </r>
  <r>
    <x v="1"/>
    <x v="22"/>
    <x v="0"/>
    <x v="1"/>
    <x v="3"/>
    <n v="9393635.5099999998"/>
  </r>
  <r>
    <x v="0"/>
    <x v="57"/>
    <x v="0"/>
    <x v="9"/>
    <x v="20"/>
    <n v="286022.09000000003"/>
  </r>
  <r>
    <x v="1"/>
    <x v="74"/>
    <x v="0"/>
    <x v="1"/>
    <x v="21"/>
    <n v="116161.29"/>
  </r>
  <r>
    <x v="1"/>
    <x v="82"/>
    <x v="0"/>
    <x v="1"/>
    <x v="11"/>
    <n v="167876.36"/>
  </r>
  <r>
    <x v="1"/>
    <x v="33"/>
    <x v="0"/>
    <x v="5"/>
    <x v="6"/>
    <n v="1190332.27"/>
  </r>
  <r>
    <x v="1"/>
    <x v="47"/>
    <x v="0"/>
    <x v="1"/>
    <x v="7"/>
    <n v="13505145.6"/>
  </r>
  <r>
    <x v="0"/>
    <x v="43"/>
    <x v="0"/>
    <x v="1"/>
    <x v="22"/>
    <n v="764379.72"/>
  </r>
  <r>
    <x v="1"/>
    <x v="71"/>
    <x v="0"/>
    <x v="1"/>
    <x v="13"/>
    <n v="22056.16"/>
  </r>
  <r>
    <x v="1"/>
    <x v="80"/>
    <x v="0"/>
    <x v="1"/>
    <x v="10"/>
    <n v="1053974.46"/>
  </r>
  <r>
    <x v="0"/>
    <x v="19"/>
    <x v="0"/>
    <x v="1"/>
    <x v="12"/>
    <n v="562950.23"/>
  </r>
  <r>
    <x v="0"/>
    <x v="42"/>
    <x v="0"/>
    <x v="6"/>
    <x v="0"/>
    <n v="1046000"/>
  </r>
  <r>
    <x v="1"/>
    <x v="36"/>
    <x v="0"/>
    <x v="1"/>
    <x v="24"/>
    <n v="-698000"/>
  </r>
  <r>
    <x v="0"/>
    <x v="17"/>
    <x v="0"/>
    <x v="1"/>
    <x v="19"/>
    <n v="5937103"/>
  </r>
  <r>
    <x v="1"/>
    <x v="56"/>
    <x v="0"/>
    <x v="1"/>
    <x v="18"/>
    <n v="8867.2099999999991"/>
  </r>
  <r>
    <x v="0"/>
    <x v="80"/>
    <x v="0"/>
    <x v="1"/>
    <x v="0"/>
    <n v="30982011.91"/>
  </r>
  <r>
    <x v="1"/>
    <x v="31"/>
    <x v="0"/>
    <x v="1"/>
    <x v="25"/>
    <n v="990370.53"/>
  </r>
  <r>
    <x v="0"/>
    <x v="35"/>
    <x v="0"/>
    <x v="1"/>
    <x v="18"/>
    <n v="64346115"/>
  </r>
  <r>
    <x v="1"/>
    <x v="4"/>
    <x v="0"/>
    <x v="3"/>
    <x v="7"/>
    <n v="1949.52"/>
  </r>
  <r>
    <x v="0"/>
    <x v="11"/>
    <x v="0"/>
    <x v="2"/>
    <x v="2"/>
    <n v="11998000"/>
  </r>
  <r>
    <x v="0"/>
    <x v="5"/>
    <x v="0"/>
    <x v="3"/>
    <x v="18"/>
    <n v="5635217.7999999998"/>
  </r>
  <r>
    <x v="1"/>
    <x v="15"/>
    <x v="0"/>
    <x v="1"/>
    <x v="9"/>
    <n v="4016207.56"/>
  </r>
  <r>
    <x v="1"/>
    <x v="78"/>
    <x v="0"/>
    <x v="1"/>
    <x v="6"/>
    <n v="239653.29"/>
  </r>
  <r>
    <x v="0"/>
    <x v="23"/>
    <x v="0"/>
    <x v="7"/>
    <x v="16"/>
    <n v="500000"/>
  </r>
  <r>
    <x v="1"/>
    <x v="19"/>
    <x v="0"/>
    <x v="1"/>
    <x v="21"/>
    <n v="25731.66"/>
  </r>
  <r>
    <x v="1"/>
    <x v="11"/>
    <x v="0"/>
    <x v="6"/>
    <x v="13"/>
    <n v="0"/>
  </r>
  <r>
    <x v="0"/>
    <x v="89"/>
    <x v="0"/>
    <x v="1"/>
    <x v="6"/>
    <n v="1282890.6599999999"/>
  </r>
  <r>
    <x v="1"/>
    <x v="41"/>
    <x v="0"/>
    <x v="1"/>
    <x v="15"/>
    <n v="-3712203.32"/>
  </r>
  <r>
    <x v="0"/>
    <x v="76"/>
    <x v="0"/>
    <x v="1"/>
    <x v="3"/>
    <n v="34410942"/>
  </r>
  <r>
    <x v="1"/>
    <x v="0"/>
    <x v="0"/>
    <x v="1"/>
    <x v="21"/>
    <n v="4524039.9400000004"/>
  </r>
  <r>
    <x v="0"/>
    <x v="45"/>
    <x v="0"/>
    <x v="6"/>
    <x v="2"/>
    <n v="6180900"/>
  </r>
  <r>
    <x v="0"/>
    <x v="6"/>
    <x v="0"/>
    <x v="3"/>
    <x v="15"/>
    <n v="6999000"/>
  </r>
  <r>
    <x v="1"/>
    <x v="6"/>
    <x v="0"/>
    <x v="1"/>
    <x v="11"/>
    <n v="905663.19"/>
  </r>
  <r>
    <x v="0"/>
    <x v="61"/>
    <x v="0"/>
    <x v="1"/>
    <x v="13"/>
    <n v="1297404.6399999999"/>
  </r>
  <r>
    <x v="1"/>
    <x v="47"/>
    <x v="0"/>
    <x v="7"/>
    <x v="5"/>
    <n v="530728.28"/>
  </r>
  <r>
    <x v="1"/>
    <x v="63"/>
    <x v="0"/>
    <x v="1"/>
    <x v="9"/>
    <n v="-78157.06"/>
  </r>
  <r>
    <x v="1"/>
    <x v="13"/>
    <x v="0"/>
    <x v="1"/>
    <x v="7"/>
    <n v="243977.66"/>
  </r>
  <r>
    <x v="1"/>
    <x v="11"/>
    <x v="0"/>
    <x v="1"/>
    <x v="5"/>
    <n v="2147585.7400000002"/>
  </r>
  <r>
    <x v="0"/>
    <x v="9"/>
    <x v="0"/>
    <x v="6"/>
    <x v="25"/>
    <n v="10242700"/>
  </r>
  <r>
    <x v="1"/>
    <x v="24"/>
    <x v="0"/>
    <x v="1"/>
    <x v="25"/>
    <n v="83752383.959999993"/>
  </r>
  <r>
    <x v="1"/>
    <x v="50"/>
    <x v="0"/>
    <x v="6"/>
    <x v="0"/>
    <n v="0"/>
  </r>
  <r>
    <x v="1"/>
    <x v="22"/>
    <x v="0"/>
    <x v="1"/>
    <x v="24"/>
    <n v="950795.07"/>
  </r>
  <r>
    <x v="1"/>
    <x v="8"/>
    <x v="0"/>
    <x v="1"/>
    <x v="8"/>
    <n v="6382415"/>
  </r>
  <r>
    <x v="0"/>
    <x v="50"/>
    <x v="0"/>
    <x v="3"/>
    <x v="3"/>
    <n v="9538000"/>
  </r>
  <r>
    <x v="1"/>
    <x v="36"/>
    <x v="0"/>
    <x v="1"/>
    <x v="23"/>
    <n v="5000"/>
  </r>
  <r>
    <x v="0"/>
    <x v="23"/>
    <x v="0"/>
    <x v="10"/>
    <x v="13"/>
    <n v="11088172.15"/>
  </r>
  <r>
    <x v="0"/>
    <x v="46"/>
    <x v="0"/>
    <x v="1"/>
    <x v="4"/>
    <n v="731437.43"/>
  </r>
  <r>
    <x v="0"/>
    <x v="76"/>
    <x v="0"/>
    <x v="10"/>
    <x v="25"/>
    <n v="1388340.54"/>
  </r>
  <r>
    <x v="0"/>
    <x v="4"/>
    <x v="0"/>
    <x v="11"/>
    <x v="25"/>
    <n v="423369000"/>
  </r>
  <r>
    <x v="0"/>
    <x v="37"/>
    <x v="0"/>
    <x v="1"/>
    <x v="16"/>
    <n v="15060353.27"/>
  </r>
  <r>
    <x v="1"/>
    <x v="85"/>
    <x v="0"/>
    <x v="1"/>
    <x v="18"/>
    <n v="3517.84"/>
  </r>
  <r>
    <x v="1"/>
    <x v="34"/>
    <x v="0"/>
    <x v="2"/>
    <x v="22"/>
    <n v="0"/>
  </r>
  <r>
    <x v="0"/>
    <x v="8"/>
    <x v="0"/>
    <x v="6"/>
    <x v="1"/>
    <n v="2294000"/>
  </r>
  <r>
    <x v="0"/>
    <x v="28"/>
    <x v="0"/>
    <x v="3"/>
    <x v="23"/>
    <n v="42660000"/>
  </r>
  <r>
    <x v="1"/>
    <x v="40"/>
    <x v="0"/>
    <x v="8"/>
    <x v="10"/>
    <n v="17499.77"/>
  </r>
  <r>
    <x v="1"/>
    <x v="87"/>
    <x v="0"/>
    <x v="1"/>
    <x v="12"/>
    <n v="-64221.42"/>
  </r>
  <r>
    <x v="1"/>
    <x v="95"/>
    <x v="0"/>
    <x v="1"/>
    <x v="5"/>
    <n v="-25474.09"/>
  </r>
  <r>
    <x v="1"/>
    <x v="0"/>
    <x v="0"/>
    <x v="0"/>
    <x v="15"/>
    <n v="0"/>
  </r>
  <r>
    <x v="0"/>
    <x v="7"/>
    <x v="0"/>
    <x v="6"/>
    <x v="5"/>
    <n v="38000"/>
  </r>
  <r>
    <x v="0"/>
    <x v="61"/>
    <x v="0"/>
    <x v="1"/>
    <x v="21"/>
    <n v="836855.64"/>
  </r>
  <r>
    <x v="1"/>
    <x v="20"/>
    <x v="0"/>
    <x v="1"/>
    <x v="10"/>
    <n v="264098401.02000001"/>
  </r>
  <r>
    <x v="0"/>
    <x v="75"/>
    <x v="0"/>
    <x v="1"/>
    <x v="11"/>
    <n v="410120.42"/>
  </r>
  <r>
    <x v="1"/>
    <x v="7"/>
    <x v="0"/>
    <x v="1"/>
    <x v="16"/>
    <n v="136860.6"/>
  </r>
  <r>
    <x v="1"/>
    <x v="74"/>
    <x v="0"/>
    <x v="1"/>
    <x v="25"/>
    <n v="171342.52"/>
  </r>
  <r>
    <x v="0"/>
    <x v="6"/>
    <x v="0"/>
    <x v="6"/>
    <x v="11"/>
    <n v="25453000"/>
  </r>
  <r>
    <x v="0"/>
    <x v="24"/>
    <x v="0"/>
    <x v="10"/>
    <x v="17"/>
    <n v="70000"/>
  </r>
  <r>
    <x v="1"/>
    <x v="31"/>
    <x v="0"/>
    <x v="1"/>
    <x v="15"/>
    <n v="1741668.02"/>
  </r>
  <r>
    <x v="0"/>
    <x v="53"/>
    <x v="0"/>
    <x v="9"/>
    <x v="6"/>
    <n v="1617999.83"/>
  </r>
  <r>
    <x v="1"/>
    <x v="2"/>
    <x v="0"/>
    <x v="1"/>
    <x v="25"/>
    <n v="43903.12"/>
  </r>
  <r>
    <x v="0"/>
    <x v="71"/>
    <x v="0"/>
    <x v="1"/>
    <x v="8"/>
    <n v="584646.91"/>
  </r>
  <r>
    <x v="1"/>
    <x v="43"/>
    <x v="0"/>
    <x v="1"/>
    <x v="13"/>
    <n v="199437.05"/>
  </r>
  <r>
    <x v="0"/>
    <x v="84"/>
    <x v="0"/>
    <x v="1"/>
    <x v="13"/>
    <n v="1260639.55"/>
  </r>
  <r>
    <x v="0"/>
    <x v="36"/>
    <x v="0"/>
    <x v="3"/>
    <x v="11"/>
    <n v="2725000"/>
  </r>
  <r>
    <x v="1"/>
    <x v="88"/>
    <x v="0"/>
    <x v="1"/>
    <x v="5"/>
    <n v="29993.63"/>
  </r>
  <r>
    <x v="0"/>
    <x v="16"/>
    <x v="0"/>
    <x v="1"/>
    <x v="4"/>
    <n v="13333116.48"/>
  </r>
  <r>
    <x v="0"/>
    <x v="58"/>
    <x v="0"/>
    <x v="8"/>
    <x v="17"/>
    <n v="65204.36"/>
  </r>
  <r>
    <x v="0"/>
    <x v="16"/>
    <x v="0"/>
    <x v="1"/>
    <x v="15"/>
    <n v="6427765.7300000004"/>
  </r>
  <r>
    <x v="0"/>
    <x v="29"/>
    <x v="0"/>
    <x v="6"/>
    <x v="13"/>
    <n v="10000"/>
  </r>
  <r>
    <x v="1"/>
    <x v="93"/>
    <x v="0"/>
    <x v="1"/>
    <x v="0"/>
    <n v="942033.19"/>
  </r>
  <r>
    <x v="0"/>
    <x v="22"/>
    <x v="0"/>
    <x v="1"/>
    <x v="11"/>
    <n v="69805052.159999996"/>
  </r>
  <r>
    <x v="1"/>
    <x v="22"/>
    <x v="0"/>
    <x v="8"/>
    <x v="25"/>
    <n v="1012874.63"/>
  </r>
  <r>
    <x v="1"/>
    <x v="60"/>
    <x v="0"/>
    <x v="1"/>
    <x v="17"/>
    <n v="22485.38"/>
  </r>
  <r>
    <x v="0"/>
    <x v="85"/>
    <x v="0"/>
    <x v="1"/>
    <x v="3"/>
    <n v="1979671.53"/>
  </r>
  <r>
    <x v="1"/>
    <x v="47"/>
    <x v="0"/>
    <x v="1"/>
    <x v="21"/>
    <n v="10093514.470000001"/>
  </r>
  <r>
    <x v="1"/>
    <x v="16"/>
    <x v="0"/>
    <x v="1"/>
    <x v="0"/>
    <n v="362790.3"/>
  </r>
  <r>
    <x v="0"/>
    <x v="66"/>
    <x v="0"/>
    <x v="10"/>
    <x v="5"/>
    <n v="11913761.23"/>
  </r>
  <r>
    <x v="0"/>
    <x v="52"/>
    <x v="0"/>
    <x v="1"/>
    <x v="13"/>
    <n v="36683537.82"/>
  </r>
  <r>
    <x v="1"/>
    <x v="81"/>
    <x v="0"/>
    <x v="1"/>
    <x v="18"/>
    <n v="35"/>
  </r>
  <r>
    <x v="1"/>
    <x v="47"/>
    <x v="0"/>
    <x v="1"/>
    <x v="11"/>
    <n v="21563472.289999999"/>
  </r>
  <r>
    <x v="1"/>
    <x v="4"/>
    <x v="0"/>
    <x v="1"/>
    <x v="25"/>
    <n v="-12470001.859999999"/>
  </r>
  <r>
    <x v="0"/>
    <x v="11"/>
    <x v="0"/>
    <x v="1"/>
    <x v="3"/>
    <n v="153149449.88999999"/>
  </r>
  <r>
    <x v="0"/>
    <x v="24"/>
    <x v="0"/>
    <x v="10"/>
    <x v="20"/>
    <n v="394000"/>
  </r>
  <r>
    <x v="0"/>
    <x v="8"/>
    <x v="0"/>
    <x v="6"/>
    <x v="0"/>
    <n v="2286000"/>
  </r>
  <r>
    <x v="1"/>
    <x v="23"/>
    <x v="0"/>
    <x v="1"/>
    <x v="1"/>
    <n v="2894109.19"/>
  </r>
  <r>
    <x v="0"/>
    <x v="75"/>
    <x v="0"/>
    <x v="1"/>
    <x v="7"/>
    <n v="260047.01"/>
  </r>
  <r>
    <x v="1"/>
    <x v="93"/>
    <x v="0"/>
    <x v="1"/>
    <x v="13"/>
    <n v="835020.80000000005"/>
  </r>
  <r>
    <x v="0"/>
    <x v="33"/>
    <x v="0"/>
    <x v="1"/>
    <x v="11"/>
    <n v="2818820450.3400002"/>
  </r>
  <r>
    <x v="0"/>
    <x v="9"/>
    <x v="0"/>
    <x v="1"/>
    <x v="2"/>
    <n v="677451140.76999998"/>
  </r>
  <r>
    <x v="1"/>
    <x v="23"/>
    <x v="0"/>
    <x v="10"/>
    <x v="14"/>
    <n v="456617.13"/>
  </r>
  <r>
    <x v="1"/>
    <x v="63"/>
    <x v="0"/>
    <x v="2"/>
    <x v="4"/>
    <n v="894597.66"/>
  </r>
  <r>
    <x v="0"/>
    <x v="52"/>
    <x v="0"/>
    <x v="1"/>
    <x v="19"/>
    <n v="25166127.899999999"/>
  </r>
  <r>
    <x v="0"/>
    <x v="45"/>
    <x v="0"/>
    <x v="6"/>
    <x v="25"/>
    <n v="1185000"/>
  </r>
  <r>
    <x v="1"/>
    <x v="90"/>
    <x v="0"/>
    <x v="1"/>
    <x v="10"/>
    <n v="6526.7"/>
  </r>
  <r>
    <x v="0"/>
    <x v="24"/>
    <x v="0"/>
    <x v="10"/>
    <x v="19"/>
    <n v="510000"/>
  </r>
  <r>
    <x v="0"/>
    <x v="45"/>
    <x v="0"/>
    <x v="1"/>
    <x v="23"/>
    <n v="255067372.74000001"/>
  </r>
  <r>
    <x v="0"/>
    <x v="93"/>
    <x v="0"/>
    <x v="1"/>
    <x v="12"/>
    <n v="14899406.93"/>
  </r>
  <r>
    <x v="0"/>
    <x v="72"/>
    <x v="0"/>
    <x v="1"/>
    <x v="21"/>
    <n v="597072.85"/>
  </r>
  <r>
    <x v="1"/>
    <x v="51"/>
    <x v="0"/>
    <x v="6"/>
    <x v="13"/>
    <n v="30000"/>
  </r>
  <r>
    <x v="0"/>
    <x v="93"/>
    <x v="0"/>
    <x v="1"/>
    <x v="6"/>
    <n v="12154879.380000001"/>
  </r>
  <r>
    <x v="1"/>
    <x v="44"/>
    <x v="0"/>
    <x v="1"/>
    <x v="22"/>
    <n v="951929.53"/>
  </r>
  <r>
    <x v="0"/>
    <x v="52"/>
    <x v="0"/>
    <x v="1"/>
    <x v="5"/>
    <n v="42444923.359999999"/>
  </r>
  <r>
    <x v="0"/>
    <x v="51"/>
    <x v="0"/>
    <x v="1"/>
    <x v="25"/>
    <n v="1584762.35"/>
  </r>
  <r>
    <x v="0"/>
    <x v="55"/>
    <x v="0"/>
    <x v="1"/>
    <x v="9"/>
    <n v="685247.41"/>
  </r>
  <r>
    <x v="1"/>
    <x v="42"/>
    <x v="0"/>
    <x v="1"/>
    <x v="9"/>
    <n v="4882998.93"/>
  </r>
  <r>
    <x v="1"/>
    <x v="47"/>
    <x v="0"/>
    <x v="9"/>
    <x v="19"/>
    <n v="31882.84"/>
  </r>
  <r>
    <x v="0"/>
    <x v="76"/>
    <x v="0"/>
    <x v="8"/>
    <x v="10"/>
    <n v="111573.15"/>
  </r>
  <r>
    <x v="1"/>
    <x v="44"/>
    <x v="0"/>
    <x v="1"/>
    <x v="17"/>
    <n v="2068843.97"/>
  </r>
  <r>
    <x v="1"/>
    <x v="19"/>
    <x v="0"/>
    <x v="2"/>
    <x v="4"/>
    <n v="6758.19"/>
  </r>
  <r>
    <x v="1"/>
    <x v="9"/>
    <x v="0"/>
    <x v="6"/>
    <x v="11"/>
    <n v="4903235.13"/>
  </r>
  <r>
    <x v="1"/>
    <x v="64"/>
    <x v="0"/>
    <x v="1"/>
    <x v="25"/>
    <n v="7904.49"/>
  </r>
  <r>
    <x v="0"/>
    <x v="79"/>
    <x v="0"/>
    <x v="1"/>
    <x v="14"/>
    <n v="30620460.359999999"/>
  </r>
  <r>
    <x v="0"/>
    <x v="4"/>
    <x v="0"/>
    <x v="6"/>
    <x v="1"/>
    <n v="1303508.8400000001"/>
  </r>
  <r>
    <x v="1"/>
    <x v="40"/>
    <x v="0"/>
    <x v="8"/>
    <x v="20"/>
    <n v="525020.44999999995"/>
  </r>
  <r>
    <x v="0"/>
    <x v="62"/>
    <x v="0"/>
    <x v="4"/>
    <x v="17"/>
    <n v="2106805.4300000002"/>
  </r>
  <r>
    <x v="1"/>
    <x v="25"/>
    <x v="0"/>
    <x v="1"/>
    <x v="3"/>
    <n v="50071.07"/>
  </r>
  <r>
    <x v="0"/>
    <x v="50"/>
    <x v="0"/>
    <x v="1"/>
    <x v="4"/>
    <n v="68904000"/>
  </r>
  <r>
    <x v="1"/>
    <x v="69"/>
    <x v="0"/>
    <x v="1"/>
    <x v="20"/>
    <n v="74714.820000000007"/>
  </r>
  <r>
    <x v="1"/>
    <x v="42"/>
    <x v="0"/>
    <x v="1"/>
    <x v="5"/>
    <n v="723328.78"/>
  </r>
  <r>
    <x v="0"/>
    <x v="41"/>
    <x v="0"/>
    <x v="1"/>
    <x v="3"/>
    <n v="40466811.520000003"/>
  </r>
  <r>
    <x v="0"/>
    <x v="67"/>
    <x v="0"/>
    <x v="1"/>
    <x v="20"/>
    <n v="1828184.81"/>
  </r>
  <r>
    <x v="1"/>
    <x v="76"/>
    <x v="0"/>
    <x v="8"/>
    <x v="24"/>
    <n v="123660.92"/>
  </r>
  <r>
    <x v="1"/>
    <x v="39"/>
    <x v="0"/>
    <x v="1"/>
    <x v="0"/>
    <n v="7559.41"/>
  </r>
  <r>
    <x v="1"/>
    <x v="55"/>
    <x v="0"/>
    <x v="1"/>
    <x v="14"/>
    <n v="18314.45"/>
  </r>
  <r>
    <x v="0"/>
    <x v="27"/>
    <x v="0"/>
    <x v="3"/>
    <x v="5"/>
    <n v="8046000"/>
  </r>
  <r>
    <x v="0"/>
    <x v="1"/>
    <x v="0"/>
    <x v="1"/>
    <x v="11"/>
    <n v="8222978.7599999998"/>
  </r>
  <r>
    <x v="0"/>
    <x v="55"/>
    <x v="0"/>
    <x v="6"/>
    <x v="13"/>
    <n v="2000"/>
  </r>
  <r>
    <x v="1"/>
    <x v="47"/>
    <x v="0"/>
    <x v="9"/>
    <x v="20"/>
    <n v="-60784.49"/>
  </r>
  <r>
    <x v="0"/>
    <x v="7"/>
    <x v="0"/>
    <x v="1"/>
    <x v="2"/>
    <n v="4222222.38"/>
  </r>
  <r>
    <x v="1"/>
    <x v="96"/>
    <x v="0"/>
    <x v="1"/>
    <x v="16"/>
    <n v="77936.45"/>
  </r>
  <r>
    <x v="1"/>
    <x v="68"/>
    <x v="0"/>
    <x v="3"/>
    <x v="25"/>
    <n v="365167.75"/>
  </r>
  <r>
    <x v="0"/>
    <x v="20"/>
    <x v="0"/>
    <x v="8"/>
    <x v="14"/>
    <n v="42789949.420000002"/>
  </r>
  <r>
    <x v="0"/>
    <x v="97"/>
    <x v="0"/>
    <x v="1"/>
    <x v="22"/>
    <n v="1318446.25"/>
  </r>
  <r>
    <x v="0"/>
    <x v="5"/>
    <x v="0"/>
    <x v="3"/>
    <x v="3"/>
    <n v="7067014.9299999997"/>
  </r>
  <r>
    <x v="0"/>
    <x v="7"/>
    <x v="0"/>
    <x v="1"/>
    <x v="14"/>
    <n v="3844828.07"/>
  </r>
  <r>
    <x v="0"/>
    <x v="4"/>
    <x v="0"/>
    <x v="1"/>
    <x v="15"/>
    <n v="7609752059.8199997"/>
  </r>
  <r>
    <x v="1"/>
    <x v="71"/>
    <x v="0"/>
    <x v="1"/>
    <x v="22"/>
    <n v="32146.76"/>
  </r>
  <r>
    <x v="0"/>
    <x v="67"/>
    <x v="0"/>
    <x v="1"/>
    <x v="10"/>
    <n v="1941941.91"/>
  </r>
  <r>
    <x v="1"/>
    <x v="75"/>
    <x v="0"/>
    <x v="1"/>
    <x v="8"/>
    <n v="24134.37"/>
  </r>
  <r>
    <x v="1"/>
    <x v="15"/>
    <x v="0"/>
    <x v="1"/>
    <x v="23"/>
    <n v="7548280.0800000001"/>
  </r>
  <r>
    <x v="1"/>
    <x v="52"/>
    <x v="0"/>
    <x v="1"/>
    <x v="4"/>
    <n v="3808755.31"/>
  </r>
  <r>
    <x v="1"/>
    <x v="53"/>
    <x v="0"/>
    <x v="1"/>
    <x v="5"/>
    <n v="257312.63"/>
  </r>
  <r>
    <x v="1"/>
    <x v="39"/>
    <x v="0"/>
    <x v="1"/>
    <x v="4"/>
    <n v="4676.6400000000003"/>
  </r>
  <r>
    <x v="0"/>
    <x v="55"/>
    <x v="0"/>
    <x v="1"/>
    <x v="13"/>
    <n v="451972.82"/>
  </r>
  <r>
    <x v="0"/>
    <x v="27"/>
    <x v="0"/>
    <x v="3"/>
    <x v="8"/>
    <n v="8046000"/>
  </r>
  <r>
    <x v="1"/>
    <x v="4"/>
    <x v="0"/>
    <x v="3"/>
    <x v="8"/>
    <n v="-226493.1"/>
  </r>
  <r>
    <x v="0"/>
    <x v="75"/>
    <x v="0"/>
    <x v="1"/>
    <x v="6"/>
    <n v="176214.59"/>
  </r>
  <r>
    <x v="0"/>
    <x v="82"/>
    <x v="0"/>
    <x v="1"/>
    <x v="6"/>
    <n v="1386707.88"/>
  </r>
  <r>
    <x v="0"/>
    <x v="75"/>
    <x v="0"/>
    <x v="1"/>
    <x v="16"/>
    <n v="240085.41"/>
  </r>
  <r>
    <x v="0"/>
    <x v="12"/>
    <x v="0"/>
    <x v="1"/>
    <x v="22"/>
    <n v="18993000"/>
  </r>
  <r>
    <x v="1"/>
    <x v="76"/>
    <x v="0"/>
    <x v="1"/>
    <x v="19"/>
    <n v="562405.11"/>
  </r>
  <r>
    <x v="1"/>
    <x v="18"/>
    <x v="0"/>
    <x v="1"/>
    <x v="23"/>
    <n v="-35224.230000000003"/>
  </r>
  <r>
    <x v="1"/>
    <x v="46"/>
    <x v="0"/>
    <x v="1"/>
    <x v="22"/>
    <n v="29936.76"/>
  </r>
  <r>
    <x v="0"/>
    <x v="90"/>
    <x v="0"/>
    <x v="1"/>
    <x v="8"/>
    <n v="132274.37"/>
  </r>
  <r>
    <x v="0"/>
    <x v="2"/>
    <x v="0"/>
    <x v="1"/>
    <x v="15"/>
    <n v="2399726.41"/>
  </r>
  <r>
    <x v="0"/>
    <x v="67"/>
    <x v="0"/>
    <x v="2"/>
    <x v="11"/>
    <n v="84.5"/>
  </r>
  <r>
    <x v="1"/>
    <x v="23"/>
    <x v="0"/>
    <x v="1"/>
    <x v="0"/>
    <n v="3887040.47"/>
  </r>
  <r>
    <x v="0"/>
    <x v="9"/>
    <x v="0"/>
    <x v="6"/>
    <x v="2"/>
    <n v="32600833.420000002"/>
  </r>
  <r>
    <x v="0"/>
    <x v="78"/>
    <x v="0"/>
    <x v="6"/>
    <x v="2"/>
    <n v="114000"/>
  </r>
  <r>
    <x v="1"/>
    <x v="44"/>
    <x v="0"/>
    <x v="1"/>
    <x v="5"/>
    <n v="-114420.86"/>
  </r>
  <r>
    <x v="0"/>
    <x v="52"/>
    <x v="0"/>
    <x v="1"/>
    <x v="9"/>
    <n v="28774425.469999999"/>
  </r>
  <r>
    <x v="1"/>
    <x v="20"/>
    <x v="0"/>
    <x v="5"/>
    <x v="6"/>
    <n v="86391660.810000002"/>
  </r>
  <r>
    <x v="0"/>
    <x v="59"/>
    <x v="0"/>
    <x v="10"/>
    <x v="20"/>
    <n v="409988.93"/>
  </r>
  <r>
    <x v="1"/>
    <x v="71"/>
    <x v="0"/>
    <x v="1"/>
    <x v="17"/>
    <n v="20294.25"/>
  </r>
  <r>
    <x v="0"/>
    <x v="62"/>
    <x v="0"/>
    <x v="1"/>
    <x v="5"/>
    <n v="16325052.91"/>
  </r>
  <r>
    <x v="0"/>
    <x v="29"/>
    <x v="0"/>
    <x v="1"/>
    <x v="13"/>
    <n v="1506727.2"/>
  </r>
  <r>
    <x v="0"/>
    <x v="51"/>
    <x v="0"/>
    <x v="1"/>
    <x v="23"/>
    <n v="1715723.35"/>
  </r>
  <r>
    <x v="0"/>
    <x v="22"/>
    <x v="0"/>
    <x v="1"/>
    <x v="15"/>
    <n v="54510157.75"/>
  </r>
  <r>
    <x v="0"/>
    <x v="40"/>
    <x v="0"/>
    <x v="6"/>
    <x v="2"/>
    <n v="40459397"/>
  </r>
  <r>
    <x v="0"/>
    <x v="32"/>
    <x v="0"/>
    <x v="1"/>
    <x v="14"/>
    <n v="7432477.6299999999"/>
  </r>
  <r>
    <x v="0"/>
    <x v="90"/>
    <x v="0"/>
    <x v="1"/>
    <x v="22"/>
    <n v="130079.12"/>
  </r>
  <r>
    <x v="1"/>
    <x v="78"/>
    <x v="0"/>
    <x v="1"/>
    <x v="25"/>
    <n v="168585.75"/>
  </r>
  <r>
    <x v="0"/>
    <x v="89"/>
    <x v="0"/>
    <x v="1"/>
    <x v="10"/>
    <n v="1423412.46"/>
  </r>
  <r>
    <x v="0"/>
    <x v="49"/>
    <x v="0"/>
    <x v="1"/>
    <x v="9"/>
    <n v="3973327.5"/>
  </r>
  <r>
    <x v="1"/>
    <x v="0"/>
    <x v="0"/>
    <x v="1"/>
    <x v="3"/>
    <n v="4092767.03"/>
  </r>
  <r>
    <x v="1"/>
    <x v="5"/>
    <x v="0"/>
    <x v="3"/>
    <x v="7"/>
    <n v="22000"/>
  </r>
  <r>
    <x v="1"/>
    <x v="54"/>
    <x v="0"/>
    <x v="1"/>
    <x v="23"/>
    <n v="111642.73"/>
  </r>
  <r>
    <x v="1"/>
    <x v="86"/>
    <x v="0"/>
    <x v="1"/>
    <x v="7"/>
    <n v="54434.34"/>
  </r>
  <r>
    <x v="0"/>
    <x v="4"/>
    <x v="0"/>
    <x v="0"/>
    <x v="0"/>
    <n v="35889959.469999999"/>
  </r>
  <r>
    <x v="1"/>
    <x v="43"/>
    <x v="0"/>
    <x v="1"/>
    <x v="10"/>
    <n v="79687.520000000004"/>
  </r>
  <r>
    <x v="0"/>
    <x v="50"/>
    <x v="0"/>
    <x v="6"/>
    <x v="1"/>
    <n v="1960500"/>
  </r>
  <r>
    <x v="0"/>
    <x v="64"/>
    <x v="0"/>
    <x v="1"/>
    <x v="10"/>
    <n v="196449.26"/>
  </r>
  <r>
    <x v="0"/>
    <x v="20"/>
    <x v="0"/>
    <x v="8"/>
    <x v="19"/>
    <n v="41978343.670000002"/>
  </r>
  <r>
    <x v="1"/>
    <x v="85"/>
    <x v="0"/>
    <x v="1"/>
    <x v="9"/>
    <n v="187283.07"/>
  </r>
  <r>
    <x v="1"/>
    <x v="73"/>
    <x v="0"/>
    <x v="1"/>
    <x v="23"/>
    <n v="3434827.4"/>
  </r>
  <r>
    <x v="0"/>
    <x v="22"/>
    <x v="0"/>
    <x v="6"/>
    <x v="2"/>
    <n v="809000"/>
  </r>
  <r>
    <x v="1"/>
    <x v="20"/>
    <x v="0"/>
    <x v="10"/>
    <x v="10"/>
    <n v="1458621.02"/>
  </r>
  <r>
    <x v="1"/>
    <x v="86"/>
    <x v="0"/>
    <x v="1"/>
    <x v="11"/>
    <n v="272655.37"/>
  </r>
  <r>
    <x v="0"/>
    <x v="63"/>
    <x v="0"/>
    <x v="1"/>
    <x v="11"/>
    <n v="522.79999999999995"/>
  </r>
  <r>
    <x v="1"/>
    <x v="90"/>
    <x v="0"/>
    <x v="1"/>
    <x v="2"/>
    <n v="19367.73"/>
  </r>
  <r>
    <x v="1"/>
    <x v="19"/>
    <x v="0"/>
    <x v="1"/>
    <x v="7"/>
    <n v="99587.78"/>
  </r>
  <r>
    <x v="0"/>
    <x v="82"/>
    <x v="0"/>
    <x v="1"/>
    <x v="16"/>
    <n v="1693711.31"/>
  </r>
  <r>
    <x v="0"/>
    <x v="74"/>
    <x v="0"/>
    <x v="1"/>
    <x v="9"/>
    <n v="4634552.82"/>
  </r>
  <r>
    <x v="0"/>
    <x v="80"/>
    <x v="0"/>
    <x v="1"/>
    <x v="8"/>
    <n v="27115447"/>
  </r>
  <r>
    <x v="0"/>
    <x v="1"/>
    <x v="0"/>
    <x v="1"/>
    <x v="16"/>
    <n v="6125722.7400000002"/>
  </r>
  <r>
    <x v="0"/>
    <x v="27"/>
    <x v="0"/>
    <x v="1"/>
    <x v="24"/>
    <n v="40164756"/>
  </r>
  <r>
    <x v="1"/>
    <x v="1"/>
    <x v="0"/>
    <x v="1"/>
    <x v="13"/>
    <n v="336090.24"/>
  </r>
  <r>
    <x v="1"/>
    <x v="24"/>
    <x v="0"/>
    <x v="1"/>
    <x v="14"/>
    <n v="45990683.079999998"/>
  </r>
  <r>
    <x v="0"/>
    <x v="85"/>
    <x v="0"/>
    <x v="1"/>
    <x v="17"/>
    <n v="2502456.56"/>
  </r>
  <r>
    <x v="1"/>
    <x v="4"/>
    <x v="0"/>
    <x v="3"/>
    <x v="3"/>
    <n v="-494.49"/>
  </r>
  <r>
    <x v="0"/>
    <x v="52"/>
    <x v="0"/>
    <x v="1"/>
    <x v="21"/>
    <n v="21878113.16"/>
  </r>
  <r>
    <x v="1"/>
    <x v="42"/>
    <x v="0"/>
    <x v="6"/>
    <x v="2"/>
    <n v="-9000"/>
  </r>
  <r>
    <x v="1"/>
    <x v="80"/>
    <x v="0"/>
    <x v="1"/>
    <x v="5"/>
    <n v="1292062.45"/>
  </r>
  <r>
    <x v="1"/>
    <x v="10"/>
    <x v="0"/>
    <x v="1"/>
    <x v="16"/>
    <n v="100707.39"/>
  </r>
  <r>
    <x v="1"/>
    <x v="20"/>
    <x v="0"/>
    <x v="8"/>
    <x v="13"/>
    <n v="24209403.5"/>
  </r>
  <r>
    <x v="0"/>
    <x v="62"/>
    <x v="0"/>
    <x v="1"/>
    <x v="21"/>
    <n v="23299359.77"/>
  </r>
  <r>
    <x v="0"/>
    <x v="32"/>
    <x v="0"/>
    <x v="7"/>
    <x v="13"/>
    <n v="147103.42000000001"/>
  </r>
  <r>
    <x v="1"/>
    <x v="17"/>
    <x v="0"/>
    <x v="1"/>
    <x v="2"/>
    <n v="340105.97"/>
  </r>
  <r>
    <x v="1"/>
    <x v="57"/>
    <x v="0"/>
    <x v="1"/>
    <x v="21"/>
    <n v="-241599.34"/>
  </r>
  <r>
    <x v="1"/>
    <x v="27"/>
    <x v="0"/>
    <x v="1"/>
    <x v="19"/>
    <n v="2675406.19"/>
  </r>
  <r>
    <x v="1"/>
    <x v="78"/>
    <x v="0"/>
    <x v="1"/>
    <x v="5"/>
    <n v="156236.66"/>
  </r>
  <r>
    <x v="1"/>
    <x v="55"/>
    <x v="0"/>
    <x v="1"/>
    <x v="23"/>
    <n v="73091.69"/>
  </r>
  <r>
    <x v="1"/>
    <x v="62"/>
    <x v="0"/>
    <x v="10"/>
    <x v="17"/>
    <n v="277981.49"/>
  </r>
  <r>
    <x v="0"/>
    <x v="56"/>
    <x v="0"/>
    <x v="1"/>
    <x v="5"/>
    <n v="271138.59999999998"/>
  </r>
  <r>
    <x v="1"/>
    <x v="83"/>
    <x v="0"/>
    <x v="1"/>
    <x v="18"/>
    <n v="69137.5"/>
  </r>
  <r>
    <x v="1"/>
    <x v="81"/>
    <x v="0"/>
    <x v="1"/>
    <x v="20"/>
    <n v="87.63"/>
  </r>
  <r>
    <x v="0"/>
    <x v="4"/>
    <x v="0"/>
    <x v="5"/>
    <x v="24"/>
    <n v="-1628356.36"/>
  </r>
  <r>
    <x v="0"/>
    <x v="16"/>
    <x v="0"/>
    <x v="6"/>
    <x v="0"/>
    <n v="335000"/>
  </r>
  <r>
    <x v="0"/>
    <x v="9"/>
    <x v="0"/>
    <x v="1"/>
    <x v="25"/>
    <n v="613027859.67999995"/>
  </r>
  <r>
    <x v="1"/>
    <x v="18"/>
    <x v="0"/>
    <x v="1"/>
    <x v="18"/>
    <n v="243858.64"/>
  </r>
  <r>
    <x v="0"/>
    <x v="49"/>
    <x v="0"/>
    <x v="6"/>
    <x v="0"/>
    <n v="115000"/>
  </r>
  <r>
    <x v="0"/>
    <x v="48"/>
    <x v="0"/>
    <x v="1"/>
    <x v="16"/>
    <n v="930804"/>
  </r>
  <r>
    <x v="0"/>
    <x v="66"/>
    <x v="0"/>
    <x v="1"/>
    <x v="14"/>
    <n v="5860303.54"/>
  </r>
  <r>
    <x v="1"/>
    <x v="88"/>
    <x v="0"/>
    <x v="1"/>
    <x v="14"/>
    <n v="67492.7"/>
  </r>
  <r>
    <x v="1"/>
    <x v="14"/>
    <x v="0"/>
    <x v="1"/>
    <x v="2"/>
    <n v="155387.96"/>
  </r>
  <r>
    <x v="1"/>
    <x v="53"/>
    <x v="0"/>
    <x v="7"/>
    <x v="6"/>
    <n v="26586.29"/>
  </r>
  <r>
    <x v="0"/>
    <x v="27"/>
    <x v="0"/>
    <x v="2"/>
    <x v="11"/>
    <n v="1995000"/>
  </r>
  <r>
    <x v="1"/>
    <x v="50"/>
    <x v="0"/>
    <x v="1"/>
    <x v="5"/>
    <n v="1999096.37"/>
  </r>
  <r>
    <x v="0"/>
    <x v="5"/>
    <x v="0"/>
    <x v="3"/>
    <x v="9"/>
    <n v="6919000"/>
  </r>
  <r>
    <x v="0"/>
    <x v="1"/>
    <x v="0"/>
    <x v="1"/>
    <x v="14"/>
    <n v="4457905.45"/>
  </r>
  <r>
    <x v="0"/>
    <x v="3"/>
    <x v="0"/>
    <x v="1"/>
    <x v="24"/>
    <n v="1397978.04"/>
  </r>
  <r>
    <x v="1"/>
    <x v="66"/>
    <x v="0"/>
    <x v="1"/>
    <x v="7"/>
    <n v="2088545.34"/>
  </r>
  <r>
    <x v="1"/>
    <x v="57"/>
    <x v="0"/>
    <x v="9"/>
    <x v="14"/>
    <n v="-5173.74"/>
  </r>
  <r>
    <x v="1"/>
    <x v="67"/>
    <x v="0"/>
    <x v="1"/>
    <x v="13"/>
    <n v="-298774.52"/>
  </r>
  <r>
    <x v="1"/>
    <x v="18"/>
    <x v="0"/>
    <x v="1"/>
    <x v="20"/>
    <n v="357902.79"/>
  </r>
  <r>
    <x v="0"/>
    <x v="33"/>
    <x v="0"/>
    <x v="1"/>
    <x v="10"/>
    <n v="6648752.29"/>
  </r>
  <r>
    <x v="1"/>
    <x v="41"/>
    <x v="0"/>
    <x v="1"/>
    <x v="20"/>
    <n v="5717620.5599999996"/>
  </r>
  <r>
    <x v="1"/>
    <x v="4"/>
    <x v="0"/>
    <x v="0"/>
    <x v="22"/>
    <n v="-5208.54"/>
  </r>
  <r>
    <x v="1"/>
    <x v="79"/>
    <x v="0"/>
    <x v="9"/>
    <x v="13"/>
    <n v="4546034.08"/>
  </r>
  <r>
    <x v="1"/>
    <x v="0"/>
    <x v="0"/>
    <x v="0"/>
    <x v="12"/>
    <n v="1233923"/>
  </r>
  <r>
    <x v="0"/>
    <x v="39"/>
    <x v="0"/>
    <x v="1"/>
    <x v="4"/>
    <n v="267813.03999999998"/>
  </r>
  <r>
    <x v="1"/>
    <x v="21"/>
    <x v="0"/>
    <x v="1"/>
    <x v="16"/>
    <n v="-20667.419999999998"/>
  </r>
  <r>
    <x v="1"/>
    <x v="1"/>
    <x v="0"/>
    <x v="6"/>
    <x v="0"/>
    <n v="295500"/>
  </r>
  <r>
    <x v="0"/>
    <x v="58"/>
    <x v="0"/>
    <x v="1"/>
    <x v="0"/>
    <n v="12112782.9"/>
  </r>
  <r>
    <x v="1"/>
    <x v="28"/>
    <x v="0"/>
    <x v="1"/>
    <x v="23"/>
    <n v="2940242.71"/>
  </r>
  <r>
    <x v="0"/>
    <x v="32"/>
    <x v="0"/>
    <x v="7"/>
    <x v="9"/>
    <n v="789795.69"/>
  </r>
  <r>
    <x v="1"/>
    <x v="89"/>
    <x v="0"/>
    <x v="1"/>
    <x v="22"/>
    <n v="-1652.26"/>
  </r>
  <r>
    <x v="1"/>
    <x v="39"/>
    <x v="0"/>
    <x v="1"/>
    <x v="16"/>
    <n v="6075.74"/>
  </r>
  <r>
    <x v="0"/>
    <x v="23"/>
    <x v="0"/>
    <x v="1"/>
    <x v="2"/>
    <n v="23764982.870000001"/>
  </r>
  <r>
    <x v="0"/>
    <x v="16"/>
    <x v="0"/>
    <x v="1"/>
    <x v="19"/>
    <n v="4616858.8099999996"/>
  </r>
  <r>
    <x v="1"/>
    <x v="31"/>
    <x v="0"/>
    <x v="1"/>
    <x v="20"/>
    <n v="824955.77"/>
  </r>
  <r>
    <x v="1"/>
    <x v="71"/>
    <x v="0"/>
    <x v="1"/>
    <x v="15"/>
    <n v="33985.360000000001"/>
  </r>
  <r>
    <x v="1"/>
    <x v="59"/>
    <x v="0"/>
    <x v="1"/>
    <x v="6"/>
    <n v="3532124.13"/>
  </r>
  <r>
    <x v="1"/>
    <x v="38"/>
    <x v="0"/>
    <x v="1"/>
    <x v="4"/>
    <n v="1129166.78"/>
  </r>
  <r>
    <x v="1"/>
    <x v="17"/>
    <x v="0"/>
    <x v="1"/>
    <x v="1"/>
    <n v="1054373.22"/>
  </r>
  <r>
    <x v="1"/>
    <x v="80"/>
    <x v="0"/>
    <x v="1"/>
    <x v="7"/>
    <n v="1997332.72"/>
  </r>
  <r>
    <x v="1"/>
    <x v="79"/>
    <x v="0"/>
    <x v="1"/>
    <x v="17"/>
    <n v="5706284.3099999996"/>
  </r>
  <r>
    <x v="1"/>
    <x v="33"/>
    <x v="0"/>
    <x v="5"/>
    <x v="25"/>
    <n v="1418801.47"/>
  </r>
  <r>
    <x v="1"/>
    <x v="18"/>
    <x v="0"/>
    <x v="1"/>
    <x v="5"/>
    <n v="243970.27"/>
  </r>
  <r>
    <x v="1"/>
    <x v="56"/>
    <x v="0"/>
    <x v="1"/>
    <x v="1"/>
    <n v="21050.92"/>
  </r>
  <r>
    <x v="1"/>
    <x v="40"/>
    <x v="0"/>
    <x v="1"/>
    <x v="19"/>
    <n v="30475556.370000001"/>
  </r>
  <r>
    <x v="0"/>
    <x v="73"/>
    <x v="0"/>
    <x v="1"/>
    <x v="13"/>
    <n v="2169360.0299999998"/>
  </r>
  <r>
    <x v="0"/>
    <x v="28"/>
    <x v="0"/>
    <x v="2"/>
    <x v="22"/>
    <n v="78241553.319999993"/>
  </r>
  <r>
    <x v="0"/>
    <x v="54"/>
    <x v="0"/>
    <x v="1"/>
    <x v="12"/>
    <n v="886019.91"/>
  </r>
  <r>
    <x v="1"/>
    <x v="36"/>
    <x v="0"/>
    <x v="1"/>
    <x v="14"/>
    <n v="0"/>
  </r>
  <r>
    <x v="1"/>
    <x v="45"/>
    <x v="0"/>
    <x v="1"/>
    <x v="4"/>
    <n v="24418498.010000002"/>
  </r>
  <r>
    <x v="0"/>
    <x v="20"/>
    <x v="0"/>
    <x v="1"/>
    <x v="1"/>
    <n v="3303567816.25"/>
  </r>
  <r>
    <x v="0"/>
    <x v="24"/>
    <x v="0"/>
    <x v="1"/>
    <x v="3"/>
    <n v="25161000"/>
  </r>
  <r>
    <x v="1"/>
    <x v="19"/>
    <x v="0"/>
    <x v="1"/>
    <x v="24"/>
    <n v="28678.12"/>
  </r>
  <r>
    <x v="0"/>
    <x v="8"/>
    <x v="0"/>
    <x v="10"/>
    <x v="6"/>
    <n v="18493919.030000001"/>
  </r>
  <r>
    <x v="0"/>
    <x v="31"/>
    <x v="0"/>
    <x v="1"/>
    <x v="13"/>
    <n v="22970275.109999999"/>
  </r>
  <r>
    <x v="0"/>
    <x v="93"/>
    <x v="0"/>
    <x v="6"/>
    <x v="1"/>
    <n v="731000"/>
  </r>
  <r>
    <x v="1"/>
    <x v="64"/>
    <x v="0"/>
    <x v="1"/>
    <x v="5"/>
    <n v="11679.74"/>
  </r>
  <r>
    <x v="0"/>
    <x v="32"/>
    <x v="0"/>
    <x v="1"/>
    <x v="23"/>
    <n v="8764375.8699999992"/>
  </r>
  <r>
    <x v="1"/>
    <x v="27"/>
    <x v="0"/>
    <x v="1"/>
    <x v="3"/>
    <n v="-3000"/>
  </r>
  <r>
    <x v="1"/>
    <x v="77"/>
    <x v="0"/>
    <x v="1"/>
    <x v="5"/>
    <n v="135465.1"/>
  </r>
  <r>
    <x v="1"/>
    <x v="79"/>
    <x v="0"/>
    <x v="6"/>
    <x v="1"/>
    <n v="260594.86"/>
  </r>
  <r>
    <x v="1"/>
    <x v="11"/>
    <x v="0"/>
    <x v="1"/>
    <x v="14"/>
    <n v="1434624.58"/>
  </r>
  <r>
    <x v="1"/>
    <x v="27"/>
    <x v="0"/>
    <x v="1"/>
    <x v="14"/>
    <n v="3120799.7"/>
  </r>
  <r>
    <x v="1"/>
    <x v="76"/>
    <x v="0"/>
    <x v="8"/>
    <x v="17"/>
    <n v="-37319.79"/>
  </r>
  <r>
    <x v="1"/>
    <x v="68"/>
    <x v="0"/>
    <x v="1"/>
    <x v="12"/>
    <n v="406890.44"/>
  </r>
  <r>
    <x v="1"/>
    <x v="6"/>
    <x v="0"/>
    <x v="1"/>
    <x v="13"/>
    <n v="402096.11"/>
  </r>
  <r>
    <x v="0"/>
    <x v="49"/>
    <x v="0"/>
    <x v="1"/>
    <x v="3"/>
    <n v="2086028.24"/>
  </r>
  <r>
    <x v="1"/>
    <x v="65"/>
    <x v="0"/>
    <x v="1"/>
    <x v="0"/>
    <n v="1220448.67"/>
  </r>
  <r>
    <x v="1"/>
    <x v="51"/>
    <x v="0"/>
    <x v="1"/>
    <x v="3"/>
    <n v="322693.95"/>
  </r>
  <r>
    <x v="0"/>
    <x v="47"/>
    <x v="0"/>
    <x v="5"/>
    <x v="24"/>
    <n v="8011557.4500000002"/>
  </r>
  <r>
    <x v="0"/>
    <x v="89"/>
    <x v="0"/>
    <x v="1"/>
    <x v="25"/>
    <n v="1822281.38"/>
  </r>
  <r>
    <x v="0"/>
    <x v="37"/>
    <x v="0"/>
    <x v="1"/>
    <x v="20"/>
    <n v="7178786.0499999998"/>
  </r>
  <r>
    <x v="1"/>
    <x v="79"/>
    <x v="0"/>
    <x v="1"/>
    <x v="19"/>
    <n v="4083162.18"/>
  </r>
  <r>
    <x v="0"/>
    <x v="40"/>
    <x v="0"/>
    <x v="1"/>
    <x v="21"/>
    <n v="635690697.60000002"/>
  </r>
  <r>
    <x v="0"/>
    <x v="38"/>
    <x v="0"/>
    <x v="1"/>
    <x v="9"/>
    <n v="1528699.06"/>
  </r>
  <r>
    <x v="0"/>
    <x v="45"/>
    <x v="0"/>
    <x v="6"/>
    <x v="5"/>
    <n v="1185000"/>
  </r>
  <r>
    <x v="0"/>
    <x v="66"/>
    <x v="0"/>
    <x v="10"/>
    <x v="6"/>
    <n v="9713840.9700000007"/>
  </r>
  <r>
    <x v="0"/>
    <x v="52"/>
    <x v="0"/>
    <x v="6"/>
    <x v="11"/>
    <n v="748102"/>
  </r>
  <r>
    <x v="0"/>
    <x v="78"/>
    <x v="0"/>
    <x v="1"/>
    <x v="16"/>
    <n v="1740903.2"/>
  </r>
  <r>
    <x v="0"/>
    <x v="8"/>
    <x v="0"/>
    <x v="10"/>
    <x v="5"/>
    <n v="20700828.859999999"/>
  </r>
  <r>
    <x v="0"/>
    <x v="93"/>
    <x v="0"/>
    <x v="6"/>
    <x v="2"/>
    <n v="746000"/>
  </r>
  <r>
    <x v="0"/>
    <x v="33"/>
    <x v="0"/>
    <x v="1"/>
    <x v="1"/>
    <n v="2150436628.4000001"/>
  </r>
  <r>
    <x v="1"/>
    <x v="14"/>
    <x v="0"/>
    <x v="1"/>
    <x v="10"/>
    <n v="45556.13"/>
  </r>
  <r>
    <x v="1"/>
    <x v="47"/>
    <x v="0"/>
    <x v="5"/>
    <x v="6"/>
    <n v="834672.71"/>
  </r>
  <r>
    <x v="1"/>
    <x v="26"/>
    <x v="0"/>
    <x v="1"/>
    <x v="6"/>
    <n v="49060.72"/>
  </r>
  <r>
    <x v="0"/>
    <x v="70"/>
    <x v="0"/>
    <x v="1"/>
    <x v="0"/>
    <n v="1471411.77"/>
  </r>
  <r>
    <x v="1"/>
    <x v="67"/>
    <x v="0"/>
    <x v="1"/>
    <x v="8"/>
    <n v="-246971.79"/>
  </r>
  <r>
    <x v="0"/>
    <x v="24"/>
    <x v="0"/>
    <x v="9"/>
    <x v="19"/>
    <n v="3581500"/>
  </r>
  <r>
    <x v="0"/>
    <x v="73"/>
    <x v="0"/>
    <x v="6"/>
    <x v="11"/>
    <n v="127000"/>
  </r>
  <r>
    <x v="0"/>
    <x v="24"/>
    <x v="0"/>
    <x v="10"/>
    <x v="25"/>
    <n v="13000"/>
  </r>
  <r>
    <x v="0"/>
    <x v="49"/>
    <x v="0"/>
    <x v="6"/>
    <x v="2"/>
    <n v="115000"/>
  </r>
  <r>
    <x v="0"/>
    <x v="35"/>
    <x v="0"/>
    <x v="1"/>
    <x v="17"/>
    <n v="38566349"/>
  </r>
  <r>
    <x v="0"/>
    <x v="11"/>
    <x v="0"/>
    <x v="1"/>
    <x v="9"/>
    <n v="246452777"/>
  </r>
  <r>
    <x v="1"/>
    <x v="8"/>
    <x v="0"/>
    <x v="1"/>
    <x v="5"/>
    <n v="3299371.46"/>
  </r>
  <r>
    <x v="0"/>
    <x v="93"/>
    <x v="0"/>
    <x v="1"/>
    <x v="2"/>
    <n v="19690599.09"/>
  </r>
  <r>
    <x v="1"/>
    <x v="25"/>
    <x v="0"/>
    <x v="1"/>
    <x v="13"/>
    <n v="53534.17"/>
  </r>
  <r>
    <x v="0"/>
    <x v="78"/>
    <x v="0"/>
    <x v="1"/>
    <x v="23"/>
    <n v="2139669.38"/>
  </r>
  <r>
    <x v="0"/>
    <x v="27"/>
    <x v="0"/>
    <x v="3"/>
    <x v="4"/>
    <n v="8424000"/>
  </r>
  <r>
    <x v="0"/>
    <x v="0"/>
    <x v="0"/>
    <x v="1"/>
    <x v="15"/>
    <n v="43263630.710000001"/>
  </r>
  <r>
    <x v="1"/>
    <x v="61"/>
    <x v="0"/>
    <x v="1"/>
    <x v="13"/>
    <n v="202595.36"/>
  </r>
  <r>
    <x v="1"/>
    <x v="22"/>
    <x v="0"/>
    <x v="10"/>
    <x v="24"/>
    <n v="934843.11"/>
  </r>
  <r>
    <x v="1"/>
    <x v="60"/>
    <x v="0"/>
    <x v="1"/>
    <x v="3"/>
    <n v="18073.45"/>
  </r>
  <r>
    <x v="1"/>
    <x v="90"/>
    <x v="0"/>
    <x v="1"/>
    <x v="5"/>
    <n v="6210.05"/>
  </r>
  <r>
    <x v="1"/>
    <x v="76"/>
    <x v="0"/>
    <x v="1"/>
    <x v="12"/>
    <n v="-266795.78000000003"/>
  </r>
  <r>
    <x v="1"/>
    <x v="25"/>
    <x v="0"/>
    <x v="1"/>
    <x v="17"/>
    <n v="76801.2"/>
  </r>
  <r>
    <x v="1"/>
    <x v="25"/>
    <x v="0"/>
    <x v="1"/>
    <x v="9"/>
    <n v="129321.97"/>
  </r>
  <r>
    <x v="1"/>
    <x v="76"/>
    <x v="0"/>
    <x v="1"/>
    <x v="21"/>
    <n v="1271209.18"/>
  </r>
  <r>
    <x v="0"/>
    <x v="76"/>
    <x v="0"/>
    <x v="10"/>
    <x v="20"/>
    <n v="8613222.9299999997"/>
  </r>
  <r>
    <x v="0"/>
    <x v="70"/>
    <x v="0"/>
    <x v="1"/>
    <x v="15"/>
    <n v="841129.33"/>
  </r>
  <r>
    <x v="0"/>
    <x v="19"/>
    <x v="0"/>
    <x v="1"/>
    <x v="14"/>
    <n v="617188.94999999995"/>
  </r>
  <r>
    <x v="1"/>
    <x v="20"/>
    <x v="0"/>
    <x v="6"/>
    <x v="11"/>
    <n v="2480000"/>
  </r>
  <r>
    <x v="1"/>
    <x v="23"/>
    <x v="0"/>
    <x v="1"/>
    <x v="9"/>
    <n v="4938525.9000000004"/>
  </r>
  <r>
    <x v="0"/>
    <x v="27"/>
    <x v="0"/>
    <x v="1"/>
    <x v="3"/>
    <n v="31386000"/>
  </r>
  <r>
    <x v="0"/>
    <x v="82"/>
    <x v="0"/>
    <x v="1"/>
    <x v="15"/>
    <n v="1453234.07"/>
  </r>
  <r>
    <x v="1"/>
    <x v="46"/>
    <x v="0"/>
    <x v="1"/>
    <x v="21"/>
    <n v="41842.949999999997"/>
  </r>
  <r>
    <x v="0"/>
    <x v="44"/>
    <x v="0"/>
    <x v="1"/>
    <x v="9"/>
    <n v="18686976.350000001"/>
  </r>
  <r>
    <x v="0"/>
    <x v="65"/>
    <x v="0"/>
    <x v="1"/>
    <x v="4"/>
    <n v="31822987.719999999"/>
  </r>
  <r>
    <x v="1"/>
    <x v="75"/>
    <x v="0"/>
    <x v="1"/>
    <x v="13"/>
    <n v="7199.64"/>
  </r>
  <r>
    <x v="1"/>
    <x v="19"/>
    <x v="0"/>
    <x v="2"/>
    <x v="22"/>
    <n v="177.78"/>
  </r>
  <r>
    <x v="0"/>
    <x v="76"/>
    <x v="0"/>
    <x v="10"/>
    <x v="19"/>
    <n v="3733632.84"/>
  </r>
  <r>
    <x v="0"/>
    <x v="75"/>
    <x v="0"/>
    <x v="6"/>
    <x v="13"/>
    <n v="1000"/>
  </r>
  <r>
    <x v="1"/>
    <x v="3"/>
    <x v="0"/>
    <x v="1"/>
    <x v="24"/>
    <n v="118998.06"/>
  </r>
  <r>
    <x v="1"/>
    <x v="70"/>
    <x v="0"/>
    <x v="1"/>
    <x v="0"/>
    <n v="99635.7"/>
  </r>
  <r>
    <x v="0"/>
    <x v="59"/>
    <x v="0"/>
    <x v="9"/>
    <x v="14"/>
    <n v="126763.13"/>
  </r>
  <r>
    <x v="0"/>
    <x v="6"/>
    <x v="0"/>
    <x v="1"/>
    <x v="1"/>
    <n v="310221913.61000001"/>
  </r>
  <r>
    <x v="0"/>
    <x v="8"/>
    <x v="0"/>
    <x v="10"/>
    <x v="25"/>
    <n v="20174945.289999999"/>
  </r>
  <r>
    <x v="1"/>
    <x v="5"/>
    <x v="0"/>
    <x v="3"/>
    <x v="3"/>
    <n v="824268.05"/>
  </r>
  <r>
    <x v="1"/>
    <x v="76"/>
    <x v="0"/>
    <x v="10"/>
    <x v="17"/>
    <n v="-232538.33"/>
  </r>
  <r>
    <x v="1"/>
    <x v="74"/>
    <x v="0"/>
    <x v="1"/>
    <x v="0"/>
    <n v="375589.41"/>
  </r>
  <r>
    <x v="0"/>
    <x v="24"/>
    <x v="0"/>
    <x v="1"/>
    <x v="19"/>
    <n v="75900000"/>
  </r>
  <r>
    <x v="0"/>
    <x v="30"/>
    <x v="0"/>
    <x v="1"/>
    <x v="24"/>
    <n v="455948608.49000001"/>
  </r>
  <r>
    <x v="0"/>
    <x v="4"/>
    <x v="0"/>
    <x v="1"/>
    <x v="21"/>
    <n v="6489373495.4399996"/>
  </r>
  <r>
    <x v="0"/>
    <x v="36"/>
    <x v="0"/>
    <x v="1"/>
    <x v="10"/>
    <n v="25413818"/>
  </r>
  <r>
    <x v="0"/>
    <x v="25"/>
    <x v="0"/>
    <x v="1"/>
    <x v="10"/>
    <n v="1097197.05"/>
  </r>
  <r>
    <x v="0"/>
    <x v="98"/>
    <x v="0"/>
    <x v="1"/>
    <x v="25"/>
    <n v="652495.78"/>
  </r>
  <r>
    <x v="0"/>
    <x v="85"/>
    <x v="0"/>
    <x v="1"/>
    <x v="7"/>
    <n v="2016901.06"/>
  </r>
  <r>
    <x v="1"/>
    <x v="80"/>
    <x v="0"/>
    <x v="1"/>
    <x v="21"/>
    <n v="996249.81"/>
  </r>
  <r>
    <x v="0"/>
    <x v="28"/>
    <x v="0"/>
    <x v="1"/>
    <x v="4"/>
    <n v="316475666.79000002"/>
  </r>
  <r>
    <x v="0"/>
    <x v="22"/>
    <x v="0"/>
    <x v="10"/>
    <x v="14"/>
    <n v="6245159.7599999998"/>
  </r>
  <r>
    <x v="1"/>
    <x v="78"/>
    <x v="0"/>
    <x v="1"/>
    <x v="4"/>
    <n v="382544.54"/>
  </r>
  <r>
    <x v="1"/>
    <x v="40"/>
    <x v="0"/>
    <x v="1"/>
    <x v="6"/>
    <n v="37436468.100000001"/>
  </r>
  <r>
    <x v="0"/>
    <x v="54"/>
    <x v="0"/>
    <x v="1"/>
    <x v="24"/>
    <n v="876964.37"/>
  </r>
  <r>
    <x v="0"/>
    <x v="34"/>
    <x v="0"/>
    <x v="0"/>
    <x v="23"/>
    <n v="34964282.170000002"/>
  </r>
  <r>
    <x v="0"/>
    <x v="4"/>
    <x v="0"/>
    <x v="1"/>
    <x v="12"/>
    <n v="6304448603.46"/>
  </r>
  <r>
    <x v="0"/>
    <x v="67"/>
    <x v="0"/>
    <x v="2"/>
    <x v="4"/>
    <n v="70115.259999999995"/>
  </r>
  <r>
    <x v="1"/>
    <x v="22"/>
    <x v="0"/>
    <x v="1"/>
    <x v="9"/>
    <n v="43635442.109999999"/>
  </r>
  <r>
    <x v="1"/>
    <x v="79"/>
    <x v="0"/>
    <x v="1"/>
    <x v="10"/>
    <n v="4653732.04"/>
  </r>
  <r>
    <x v="0"/>
    <x v="14"/>
    <x v="0"/>
    <x v="1"/>
    <x v="11"/>
    <n v="2239987.2400000002"/>
  </r>
  <r>
    <x v="1"/>
    <x v="37"/>
    <x v="0"/>
    <x v="1"/>
    <x v="18"/>
    <n v="1346309"/>
  </r>
  <r>
    <x v="1"/>
    <x v="49"/>
    <x v="0"/>
    <x v="1"/>
    <x v="3"/>
    <n v="47323.55"/>
  </r>
  <r>
    <x v="0"/>
    <x v="53"/>
    <x v="0"/>
    <x v="1"/>
    <x v="6"/>
    <n v="3699976"/>
  </r>
  <r>
    <x v="1"/>
    <x v="52"/>
    <x v="0"/>
    <x v="1"/>
    <x v="0"/>
    <n v="1714194.12"/>
  </r>
  <r>
    <x v="0"/>
    <x v="53"/>
    <x v="0"/>
    <x v="1"/>
    <x v="13"/>
    <n v="5093336.5599999996"/>
  </r>
  <r>
    <x v="1"/>
    <x v="8"/>
    <x v="0"/>
    <x v="1"/>
    <x v="15"/>
    <n v="6985229.0700000003"/>
  </r>
  <r>
    <x v="1"/>
    <x v="16"/>
    <x v="0"/>
    <x v="1"/>
    <x v="25"/>
    <n v="312862.15999999997"/>
  </r>
  <r>
    <x v="1"/>
    <x v="4"/>
    <x v="0"/>
    <x v="3"/>
    <x v="1"/>
    <n v="211750058.31999999"/>
  </r>
  <r>
    <x v="0"/>
    <x v="55"/>
    <x v="0"/>
    <x v="1"/>
    <x v="15"/>
    <n v="413683.27"/>
  </r>
  <r>
    <x v="0"/>
    <x v="37"/>
    <x v="0"/>
    <x v="1"/>
    <x v="0"/>
    <n v="15662592.439999999"/>
  </r>
  <r>
    <x v="0"/>
    <x v="15"/>
    <x v="0"/>
    <x v="1"/>
    <x v="23"/>
    <n v="42848765.490000002"/>
  </r>
  <r>
    <x v="0"/>
    <x v="24"/>
    <x v="0"/>
    <x v="1"/>
    <x v="20"/>
    <n v="16442000"/>
  </r>
  <r>
    <x v="1"/>
    <x v="18"/>
    <x v="0"/>
    <x v="1"/>
    <x v="14"/>
    <n v="514381.16"/>
  </r>
  <r>
    <x v="0"/>
    <x v="93"/>
    <x v="0"/>
    <x v="1"/>
    <x v="7"/>
    <n v="16428339.4"/>
  </r>
  <r>
    <x v="0"/>
    <x v="5"/>
    <x v="0"/>
    <x v="3"/>
    <x v="16"/>
    <n v="6803000"/>
  </r>
  <r>
    <x v="1"/>
    <x v="67"/>
    <x v="0"/>
    <x v="1"/>
    <x v="0"/>
    <n v="-47033.07"/>
  </r>
  <r>
    <x v="0"/>
    <x v="34"/>
    <x v="0"/>
    <x v="3"/>
    <x v="11"/>
    <n v="13859433.689999999"/>
  </r>
  <r>
    <x v="1"/>
    <x v="85"/>
    <x v="0"/>
    <x v="1"/>
    <x v="21"/>
    <n v="176214.8"/>
  </r>
  <r>
    <x v="1"/>
    <x v="88"/>
    <x v="0"/>
    <x v="1"/>
    <x v="23"/>
    <n v="247143.19"/>
  </r>
  <r>
    <x v="0"/>
    <x v="41"/>
    <x v="0"/>
    <x v="6"/>
    <x v="13"/>
    <n v="136000"/>
  </r>
  <r>
    <x v="0"/>
    <x v="58"/>
    <x v="0"/>
    <x v="1"/>
    <x v="11"/>
    <n v="22666020.510000002"/>
  </r>
  <r>
    <x v="0"/>
    <x v="27"/>
    <x v="0"/>
    <x v="2"/>
    <x v="4"/>
    <n v="12374000"/>
  </r>
  <r>
    <x v="0"/>
    <x v="78"/>
    <x v="0"/>
    <x v="6"/>
    <x v="11"/>
    <n v="114000"/>
  </r>
  <r>
    <x v="0"/>
    <x v="47"/>
    <x v="0"/>
    <x v="5"/>
    <x v="14"/>
    <n v="18964472.170000002"/>
  </r>
  <r>
    <x v="0"/>
    <x v="31"/>
    <x v="0"/>
    <x v="6"/>
    <x v="0"/>
    <n v="1470500"/>
  </r>
  <r>
    <x v="1"/>
    <x v="60"/>
    <x v="0"/>
    <x v="1"/>
    <x v="24"/>
    <n v="-9323.5400000000009"/>
  </r>
  <r>
    <x v="0"/>
    <x v="6"/>
    <x v="0"/>
    <x v="3"/>
    <x v="1"/>
    <n v="16060229.550000001"/>
  </r>
  <r>
    <x v="0"/>
    <x v="32"/>
    <x v="0"/>
    <x v="6"/>
    <x v="2"/>
    <n v="622000"/>
  </r>
  <r>
    <x v="1"/>
    <x v="74"/>
    <x v="0"/>
    <x v="1"/>
    <x v="22"/>
    <n v="249222.16"/>
  </r>
  <r>
    <x v="1"/>
    <x v="76"/>
    <x v="0"/>
    <x v="1"/>
    <x v="6"/>
    <n v="1285617.6399999999"/>
  </r>
  <r>
    <x v="0"/>
    <x v="6"/>
    <x v="0"/>
    <x v="1"/>
    <x v="10"/>
    <n v="345332423.19"/>
  </r>
  <r>
    <x v="1"/>
    <x v="28"/>
    <x v="0"/>
    <x v="1"/>
    <x v="22"/>
    <n v="555511.74"/>
  </r>
  <r>
    <x v="0"/>
    <x v="49"/>
    <x v="0"/>
    <x v="1"/>
    <x v="11"/>
    <n v="3400776.5"/>
  </r>
  <r>
    <x v="0"/>
    <x v="24"/>
    <x v="0"/>
    <x v="1"/>
    <x v="2"/>
    <n v="207587000"/>
  </r>
  <r>
    <x v="1"/>
    <x v="24"/>
    <x v="0"/>
    <x v="1"/>
    <x v="19"/>
    <n v="25343667"/>
  </r>
  <r>
    <x v="1"/>
    <x v="23"/>
    <x v="0"/>
    <x v="1"/>
    <x v="22"/>
    <n v="3362076.57"/>
  </r>
  <r>
    <x v="0"/>
    <x v="70"/>
    <x v="0"/>
    <x v="1"/>
    <x v="25"/>
    <n v="3780772.72"/>
  </r>
  <r>
    <x v="1"/>
    <x v="51"/>
    <x v="0"/>
    <x v="1"/>
    <x v="21"/>
    <n v="187220.32"/>
  </r>
  <r>
    <x v="0"/>
    <x v="42"/>
    <x v="0"/>
    <x v="7"/>
    <x v="10"/>
    <n v="190000"/>
  </r>
  <r>
    <x v="1"/>
    <x v="11"/>
    <x v="0"/>
    <x v="3"/>
    <x v="2"/>
    <n v="1885000"/>
  </r>
  <r>
    <x v="1"/>
    <x v="48"/>
    <x v="0"/>
    <x v="1"/>
    <x v="4"/>
    <n v="816321"/>
  </r>
  <r>
    <x v="1"/>
    <x v="19"/>
    <x v="0"/>
    <x v="1"/>
    <x v="22"/>
    <n v="108186.84"/>
  </r>
  <r>
    <x v="0"/>
    <x v="99"/>
    <x v="0"/>
    <x v="1"/>
    <x v="0"/>
    <n v="50000"/>
  </r>
  <r>
    <x v="1"/>
    <x v="47"/>
    <x v="0"/>
    <x v="5"/>
    <x v="20"/>
    <n v="-1129835.67"/>
  </r>
  <r>
    <x v="0"/>
    <x v="88"/>
    <x v="0"/>
    <x v="7"/>
    <x v="20"/>
    <n v="17174.189999999999"/>
  </r>
  <r>
    <x v="0"/>
    <x v="82"/>
    <x v="0"/>
    <x v="1"/>
    <x v="4"/>
    <n v="3839696.43"/>
  </r>
  <r>
    <x v="1"/>
    <x v="81"/>
    <x v="0"/>
    <x v="1"/>
    <x v="24"/>
    <n v="113236.17"/>
  </r>
  <r>
    <x v="1"/>
    <x v="64"/>
    <x v="0"/>
    <x v="1"/>
    <x v="2"/>
    <n v="53500.42"/>
  </r>
  <r>
    <x v="1"/>
    <x v="4"/>
    <x v="0"/>
    <x v="0"/>
    <x v="1"/>
    <n v="16841.2"/>
  </r>
  <r>
    <x v="0"/>
    <x v="85"/>
    <x v="0"/>
    <x v="1"/>
    <x v="9"/>
    <n v="2566660.31"/>
  </r>
  <r>
    <x v="0"/>
    <x v="60"/>
    <x v="0"/>
    <x v="1"/>
    <x v="24"/>
    <n v="280772.27"/>
  </r>
  <r>
    <x v="0"/>
    <x v="47"/>
    <x v="0"/>
    <x v="1"/>
    <x v="24"/>
    <n v="57835181.539999999"/>
  </r>
  <r>
    <x v="1"/>
    <x v="10"/>
    <x v="0"/>
    <x v="1"/>
    <x v="10"/>
    <n v="70502.58"/>
  </r>
  <r>
    <x v="0"/>
    <x v="21"/>
    <x v="0"/>
    <x v="1"/>
    <x v="1"/>
    <n v="4472749.05"/>
  </r>
  <r>
    <x v="0"/>
    <x v="43"/>
    <x v="0"/>
    <x v="1"/>
    <x v="15"/>
    <n v="2008791.9"/>
  </r>
  <r>
    <x v="0"/>
    <x v="100"/>
    <x v="0"/>
    <x v="1"/>
    <x v="4"/>
    <n v="310095.40000000002"/>
  </r>
  <r>
    <x v="0"/>
    <x v="6"/>
    <x v="0"/>
    <x v="2"/>
    <x v="2"/>
    <n v="21996524.449999999"/>
  </r>
  <r>
    <x v="0"/>
    <x v="91"/>
    <x v="0"/>
    <x v="1"/>
    <x v="4"/>
    <n v="506994.43"/>
  </r>
  <r>
    <x v="1"/>
    <x v="97"/>
    <x v="0"/>
    <x v="1"/>
    <x v="22"/>
    <n v="128784.18"/>
  </r>
  <r>
    <x v="1"/>
    <x v="41"/>
    <x v="0"/>
    <x v="1"/>
    <x v="13"/>
    <n v="3149060.16"/>
  </r>
  <r>
    <x v="0"/>
    <x v="79"/>
    <x v="0"/>
    <x v="1"/>
    <x v="24"/>
    <n v="38741050.920000002"/>
  </r>
  <r>
    <x v="1"/>
    <x v="43"/>
    <x v="0"/>
    <x v="1"/>
    <x v="0"/>
    <n v="10585.44"/>
  </r>
  <r>
    <x v="1"/>
    <x v="89"/>
    <x v="0"/>
    <x v="6"/>
    <x v="0"/>
    <n v="40000"/>
  </r>
  <r>
    <x v="0"/>
    <x v="22"/>
    <x v="0"/>
    <x v="1"/>
    <x v="19"/>
    <n v="103475868.86"/>
  </r>
  <r>
    <x v="0"/>
    <x v="52"/>
    <x v="0"/>
    <x v="1"/>
    <x v="14"/>
    <n v="28695169.539999999"/>
  </r>
  <r>
    <x v="0"/>
    <x v="20"/>
    <x v="0"/>
    <x v="1"/>
    <x v="22"/>
    <n v="2349736310.9499998"/>
  </r>
  <r>
    <x v="1"/>
    <x v="15"/>
    <x v="0"/>
    <x v="8"/>
    <x v="25"/>
    <n v="217186.19"/>
  </r>
  <r>
    <x v="1"/>
    <x v="4"/>
    <x v="0"/>
    <x v="0"/>
    <x v="0"/>
    <n v="62365.91"/>
  </r>
  <r>
    <x v="1"/>
    <x v="40"/>
    <x v="0"/>
    <x v="1"/>
    <x v="12"/>
    <n v="42753543.200000003"/>
  </r>
  <r>
    <x v="0"/>
    <x v="75"/>
    <x v="0"/>
    <x v="1"/>
    <x v="8"/>
    <n v="219865.63"/>
  </r>
  <r>
    <x v="0"/>
    <x v="40"/>
    <x v="0"/>
    <x v="10"/>
    <x v="19"/>
    <n v="3607435.99"/>
  </r>
  <r>
    <x v="0"/>
    <x v="50"/>
    <x v="0"/>
    <x v="3"/>
    <x v="7"/>
    <n v="9666000"/>
  </r>
  <r>
    <x v="0"/>
    <x v="30"/>
    <x v="0"/>
    <x v="1"/>
    <x v="23"/>
    <n v="1344306260.8699999"/>
  </r>
  <r>
    <x v="0"/>
    <x v="48"/>
    <x v="0"/>
    <x v="1"/>
    <x v="19"/>
    <n v="214760"/>
  </r>
  <r>
    <x v="0"/>
    <x v="95"/>
    <x v="0"/>
    <x v="1"/>
    <x v="4"/>
    <n v="262605.62"/>
  </r>
  <r>
    <x v="0"/>
    <x v="25"/>
    <x v="0"/>
    <x v="1"/>
    <x v="18"/>
    <n v="1070281.8799999999"/>
  </r>
  <r>
    <x v="0"/>
    <x v="85"/>
    <x v="0"/>
    <x v="1"/>
    <x v="11"/>
    <n v="2356401.04"/>
  </r>
  <r>
    <x v="1"/>
    <x v="34"/>
    <x v="0"/>
    <x v="1"/>
    <x v="9"/>
    <n v="16466356.390000001"/>
  </r>
  <r>
    <x v="0"/>
    <x v="59"/>
    <x v="0"/>
    <x v="6"/>
    <x v="11"/>
    <n v="2597000"/>
  </r>
  <r>
    <x v="0"/>
    <x v="69"/>
    <x v="0"/>
    <x v="1"/>
    <x v="5"/>
    <n v="1000646.85"/>
  </r>
  <r>
    <x v="1"/>
    <x v="76"/>
    <x v="0"/>
    <x v="10"/>
    <x v="10"/>
    <n v="1133142.9099999999"/>
  </r>
  <r>
    <x v="0"/>
    <x v="39"/>
    <x v="0"/>
    <x v="1"/>
    <x v="22"/>
    <n v="91940.479999999996"/>
  </r>
  <r>
    <x v="0"/>
    <x v="79"/>
    <x v="0"/>
    <x v="9"/>
    <x v="19"/>
    <n v="31986450.629999999"/>
  </r>
  <r>
    <x v="1"/>
    <x v="51"/>
    <x v="0"/>
    <x v="1"/>
    <x v="8"/>
    <n v="201105.52"/>
  </r>
  <r>
    <x v="0"/>
    <x v="19"/>
    <x v="0"/>
    <x v="1"/>
    <x v="24"/>
    <n v="405245.16"/>
  </r>
  <r>
    <x v="0"/>
    <x v="71"/>
    <x v="0"/>
    <x v="1"/>
    <x v="13"/>
    <n v="519424.65"/>
  </r>
  <r>
    <x v="1"/>
    <x v="100"/>
    <x v="0"/>
    <x v="1"/>
    <x v="4"/>
    <n v="13623.09"/>
  </r>
  <r>
    <x v="1"/>
    <x v="72"/>
    <x v="0"/>
    <x v="1"/>
    <x v="13"/>
    <n v="48684.23"/>
  </r>
  <r>
    <x v="0"/>
    <x v="11"/>
    <x v="0"/>
    <x v="3"/>
    <x v="21"/>
    <n v="17699000"/>
  </r>
  <r>
    <x v="0"/>
    <x v="7"/>
    <x v="0"/>
    <x v="6"/>
    <x v="2"/>
    <n v="283000"/>
  </r>
  <r>
    <x v="0"/>
    <x v="93"/>
    <x v="0"/>
    <x v="1"/>
    <x v="11"/>
    <n v="18799159.850000001"/>
  </r>
  <r>
    <x v="0"/>
    <x v="86"/>
    <x v="0"/>
    <x v="6"/>
    <x v="2"/>
    <n v="136000"/>
  </r>
  <r>
    <x v="0"/>
    <x v="27"/>
    <x v="0"/>
    <x v="3"/>
    <x v="22"/>
    <n v="3418000"/>
  </r>
  <r>
    <x v="0"/>
    <x v="3"/>
    <x v="0"/>
    <x v="1"/>
    <x v="9"/>
    <n v="210225.02"/>
  </r>
  <r>
    <x v="0"/>
    <x v="8"/>
    <x v="0"/>
    <x v="1"/>
    <x v="14"/>
    <n v="17072721.77"/>
  </r>
  <r>
    <x v="1"/>
    <x v="16"/>
    <x v="0"/>
    <x v="1"/>
    <x v="22"/>
    <n v="448741.55"/>
  </r>
  <r>
    <x v="1"/>
    <x v="43"/>
    <x v="0"/>
    <x v="1"/>
    <x v="19"/>
    <n v="146552.31"/>
  </r>
  <r>
    <x v="1"/>
    <x v="41"/>
    <x v="0"/>
    <x v="1"/>
    <x v="11"/>
    <n v="19244116.32"/>
  </r>
  <r>
    <x v="1"/>
    <x v="29"/>
    <x v="0"/>
    <x v="1"/>
    <x v="10"/>
    <n v="53450.26"/>
  </r>
  <r>
    <x v="0"/>
    <x v="2"/>
    <x v="0"/>
    <x v="1"/>
    <x v="11"/>
    <n v="3763520.69"/>
  </r>
  <r>
    <x v="1"/>
    <x v="63"/>
    <x v="0"/>
    <x v="1"/>
    <x v="13"/>
    <n v="0"/>
  </r>
  <r>
    <x v="1"/>
    <x v="19"/>
    <x v="0"/>
    <x v="1"/>
    <x v="6"/>
    <n v="58202.67"/>
  </r>
  <r>
    <x v="1"/>
    <x v="7"/>
    <x v="0"/>
    <x v="1"/>
    <x v="25"/>
    <n v="80304.75"/>
  </r>
  <r>
    <x v="0"/>
    <x v="22"/>
    <x v="0"/>
    <x v="10"/>
    <x v="24"/>
    <n v="3993343.65"/>
  </r>
  <r>
    <x v="1"/>
    <x v="47"/>
    <x v="0"/>
    <x v="1"/>
    <x v="15"/>
    <n v="14969986.02"/>
  </r>
  <r>
    <x v="1"/>
    <x v="15"/>
    <x v="0"/>
    <x v="10"/>
    <x v="17"/>
    <n v="634484"/>
  </r>
  <r>
    <x v="1"/>
    <x v="22"/>
    <x v="0"/>
    <x v="10"/>
    <x v="13"/>
    <n v="37166.370000000003"/>
  </r>
  <r>
    <x v="1"/>
    <x v="31"/>
    <x v="0"/>
    <x v="1"/>
    <x v="11"/>
    <n v="1248142.46"/>
  </r>
  <r>
    <x v="0"/>
    <x v="101"/>
    <x v="0"/>
    <x v="1"/>
    <x v="11"/>
    <n v="57495.21"/>
  </r>
  <r>
    <x v="0"/>
    <x v="87"/>
    <x v="0"/>
    <x v="1"/>
    <x v="12"/>
    <n v="1391221.42"/>
  </r>
  <r>
    <x v="0"/>
    <x v="81"/>
    <x v="0"/>
    <x v="1"/>
    <x v="24"/>
    <n v="262854.82"/>
  </r>
  <r>
    <x v="0"/>
    <x v="18"/>
    <x v="0"/>
    <x v="1"/>
    <x v="3"/>
    <n v="8527010.7400000002"/>
  </r>
  <r>
    <x v="0"/>
    <x v="96"/>
    <x v="0"/>
    <x v="1"/>
    <x v="15"/>
    <n v="491258.33"/>
  </r>
  <r>
    <x v="1"/>
    <x v="37"/>
    <x v="0"/>
    <x v="1"/>
    <x v="6"/>
    <n v="403122.42"/>
  </r>
  <r>
    <x v="0"/>
    <x v="62"/>
    <x v="0"/>
    <x v="1"/>
    <x v="20"/>
    <n v="77315.199999999997"/>
  </r>
  <r>
    <x v="1"/>
    <x v="56"/>
    <x v="0"/>
    <x v="1"/>
    <x v="23"/>
    <n v="38370.22"/>
  </r>
  <r>
    <x v="0"/>
    <x v="78"/>
    <x v="0"/>
    <x v="6"/>
    <x v="1"/>
    <n v="114000"/>
  </r>
  <r>
    <x v="1"/>
    <x v="95"/>
    <x v="0"/>
    <x v="1"/>
    <x v="25"/>
    <n v="41917.839999999997"/>
  </r>
  <r>
    <x v="0"/>
    <x v="41"/>
    <x v="0"/>
    <x v="1"/>
    <x v="24"/>
    <n v="31776344.109999999"/>
  </r>
  <r>
    <x v="0"/>
    <x v="86"/>
    <x v="0"/>
    <x v="6"/>
    <x v="1"/>
    <n v="68000"/>
  </r>
  <r>
    <x v="1"/>
    <x v="9"/>
    <x v="0"/>
    <x v="1"/>
    <x v="25"/>
    <n v="4338134.57"/>
  </r>
  <r>
    <x v="0"/>
    <x v="76"/>
    <x v="0"/>
    <x v="1"/>
    <x v="7"/>
    <n v="36376610.950000003"/>
  </r>
  <r>
    <x v="0"/>
    <x v="55"/>
    <x v="0"/>
    <x v="1"/>
    <x v="0"/>
    <n v="450734.61"/>
  </r>
  <r>
    <x v="0"/>
    <x v="24"/>
    <x v="0"/>
    <x v="1"/>
    <x v="13"/>
    <n v="560313976"/>
  </r>
  <r>
    <x v="1"/>
    <x v="71"/>
    <x v="0"/>
    <x v="1"/>
    <x v="1"/>
    <n v="37881.96"/>
  </r>
  <r>
    <x v="1"/>
    <x v="8"/>
    <x v="0"/>
    <x v="10"/>
    <x v="6"/>
    <n v="1825641.17"/>
  </r>
  <r>
    <x v="0"/>
    <x v="8"/>
    <x v="0"/>
    <x v="1"/>
    <x v="10"/>
    <n v="14011400.91"/>
  </r>
  <r>
    <x v="0"/>
    <x v="40"/>
    <x v="0"/>
    <x v="1"/>
    <x v="0"/>
    <n v="972500051.74000001"/>
  </r>
  <r>
    <x v="0"/>
    <x v="19"/>
    <x v="0"/>
    <x v="6"/>
    <x v="2"/>
    <n v="168000"/>
  </r>
  <r>
    <x v="0"/>
    <x v="68"/>
    <x v="0"/>
    <x v="1"/>
    <x v="17"/>
    <n v="161776263.84"/>
  </r>
  <r>
    <x v="1"/>
    <x v="65"/>
    <x v="0"/>
    <x v="10"/>
    <x v="13"/>
    <n v="-72349.56"/>
  </r>
  <r>
    <x v="1"/>
    <x v="1"/>
    <x v="0"/>
    <x v="1"/>
    <x v="9"/>
    <n v="703124.37"/>
  </r>
  <r>
    <x v="0"/>
    <x v="80"/>
    <x v="0"/>
    <x v="6"/>
    <x v="0"/>
    <n v="2418000"/>
  </r>
  <r>
    <x v="0"/>
    <x v="11"/>
    <x v="0"/>
    <x v="3"/>
    <x v="12"/>
    <n v="16736000"/>
  </r>
  <r>
    <x v="1"/>
    <x v="6"/>
    <x v="0"/>
    <x v="1"/>
    <x v="3"/>
    <n v="452429.85"/>
  </r>
  <r>
    <x v="0"/>
    <x v="57"/>
    <x v="0"/>
    <x v="1"/>
    <x v="7"/>
    <n v="855780.3"/>
  </r>
  <r>
    <x v="0"/>
    <x v="58"/>
    <x v="0"/>
    <x v="1"/>
    <x v="13"/>
    <n v="19047368.57"/>
  </r>
  <r>
    <x v="0"/>
    <x v="10"/>
    <x v="0"/>
    <x v="1"/>
    <x v="5"/>
    <n v="2021742.15"/>
  </r>
  <r>
    <x v="0"/>
    <x v="0"/>
    <x v="0"/>
    <x v="0"/>
    <x v="16"/>
    <n v="35899824.280000001"/>
  </r>
  <r>
    <x v="1"/>
    <x v="5"/>
    <x v="0"/>
    <x v="1"/>
    <x v="18"/>
    <n v="4608930.1100000003"/>
  </r>
  <r>
    <x v="1"/>
    <x v="30"/>
    <x v="0"/>
    <x v="1"/>
    <x v="20"/>
    <n v="48653.51"/>
  </r>
  <r>
    <x v="0"/>
    <x v="8"/>
    <x v="0"/>
    <x v="1"/>
    <x v="2"/>
    <n v="60132045.520000003"/>
  </r>
  <r>
    <x v="0"/>
    <x v="48"/>
    <x v="0"/>
    <x v="1"/>
    <x v="14"/>
    <n v="154954"/>
  </r>
  <r>
    <x v="0"/>
    <x v="33"/>
    <x v="0"/>
    <x v="1"/>
    <x v="12"/>
    <n v="104641318.12"/>
  </r>
  <r>
    <x v="0"/>
    <x v="48"/>
    <x v="0"/>
    <x v="1"/>
    <x v="0"/>
    <n v="787025"/>
  </r>
  <r>
    <x v="0"/>
    <x v="53"/>
    <x v="0"/>
    <x v="1"/>
    <x v="23"/>
    <n v="14168709.050000001"/>
  </r>
  <r>
    <x v="1"/>
    <x v="85"/>
    <x v="0"/>
    <x v="1"/>
    <x v="7"/>
    <n v="88345.23"/>
  </r>
  <r>
    <x v="1"/>
    <x v="57"/>
    <x v="0"/>
    <x v="1"/>
    <x v="13"/>
    <n v="376857.9"/>
  </r>
  <r>
    <x v="0"/>
    <x v="11"/>
    <x v="0"/>
    <x v="1"/>
    <x v="24"/>
    <n v="200816175.18000001"/>
  </r>
  <r>
    <x v="0"/>
    <x v="68"/>
    <x v="0"/>
    <x v="1"/>
    <x v="8"/>
    <n v="216824768.09999999"/>
  </r>
  <r>
    <x v="1"/>
    <x v="37"/>
    <x v="0"/>
    <x v="1"/>
    <x v="13"/>
    <n v="1486471.43"/>
  </r>
  <r>
    <x v="1"/>
    <x v="4"/>
    <x v="0"/>
    <x v="1"/>
    <x v="23"/>
    <n v="15236074.390000001"/>
  </r>
  <r>
    <x v="0"/>
    <x v="9"/>
    <x v="0"/>
    <x v="3"/>
    <x v="11"/>
    <n v="70012830.590000004"/>
  </r>
  <r>
    <x v="0"/>
    <x v="62"/>
    <x v="0"/>
    <x v="1"/>
    <x v="18"/>
    <n v="25940565.940000001"/>
  </r>
  <r>
    <x v="0"/>
    <x v="35"/>
    <x v="0"/>
    <x v="1"/>
    <x v="25"/>
    <n v="55526013"/>
  </r>
  <r>
    <x v="0"/>
    <x v="88"/>
    <x v="0"/>
    <x v="1"/>
    <x v="15"/>
    <n v="564402.06999999995"/>
  </r>
  <r>
    <x v="0"/>
    <x v="49"/>
    <x v="0"/>
    <x v="1"/>
    <x v="17"/>
    <n v="3093252.52"/>
  </r>
  <r>
    <x v="0"/>
    <x v="61"/>
    <x v="0"/>
    <x v="1"/>
    <x v="8"/>
    <n v="118109.16"/>
  </r>
  <r>
    <x v="0"/>
    <x v="62"/>
    <x v="0"/>
    <x v="10"/>
    <x v="20"/>
    <n v="6561139.0199999996"/>
  </r>
  <r>
    <x v="0"/>
    <x v="55"/>
    <x v="0"/>
    <x v="1"/>
    <x v="17"/>
    <n v="411623.14"/>
  </r>
  <r>
    <x v="0"/>
    <x v="30"/>
    <x v="0"/>
    <x v="1"/>
    <x v="7"/>
    <n v="1115973270.4200001"/>
  </r>
  <r>
    <x v="0"/>
    <x v="7"/>
    <x v="0"/>
    <x v="6"/>
    <x v="1"/>
    <n v="285000"/>
  </r>
  <r>
    <x v="0"/>
    <x v="79"/>
    <x v="0"/>
    <x v="1"/>
    <x v="4"/>
    <n v="28555339.52"/>
  </r>
  <r>
    <x v="0"/>
    <x v="4"/>
    <x v="0"/>
    <x v="3"/>
    <x v="23"/>
    <n v="1260333212.5599999"/>
  </r>
  <r>
    <x v="0"/>
    <x v="19"/>
    <x v="0"/>
    <x v="2"/>
    <x v="22"/>
    <n v="75012.86"/>
  </r>
  <r>
    <x v="1"/>
    <x v="1"/>
    <x v="0"/>
    <x v="1"/>
    <x v="18"/>
    <n v="-299454.99"/>
  </r>
  <r>
    <x v="1"/>
    <x v="1"/>
    <x v="0"/>
    <x v="1"/>
    <x v="20"/>
    <n v="156854.9"/>
  </r>
  <r>
    <x v="1"/>
    <x v="76"/>
    <x v="0"/>
    <x v="10"/>
    <x v="14"/>
    <n v="-343893.51"/>
  </r>
  <r>
    <x v="0"/>
    <x v="57"/>
    <x v="0"/>
    <x v="1"/>
    <x v="16"/>
    <n v="786651.53"/>
  </r>
  <r>
    <x v="1"/>
    <x v="56"/>
    <x v="0"/>
    <x v="1"/>
    <x v="21"/>
    <n v="7182.49"/>
  </r>
  <r>
    <x v="0"/>
    <x v="75"/>
    <x v="0"/>
    <x v="1"/>
    <x v="21"/>
    <n v="230455.95"/>
  </r>
  <r>
    <x v="0"/>
    <x v="48"/>
    <x v="0"/>
    <x v="1"/>
    <x v="10"/>
    <n v="273771"/>
  </r>
  <r>
    <x v="1"/>
    <x v="1"/>
    <x v="0"/>
    <x v="1"/>
    <x v="19"/>
    <n v="123954.36"/>
  </r>
  <r>
    <x v="1"/>
    <x v="17"/>
    <x v="0"/>
    <x v="1"/>
    <x v="21"/>
    <n v="2073982.89"/>
  </r>
  <r>
    <x v="1"/>
    <x v="82"/>
    <x v="0"/>
    <x v="1"/>
    <x v="5"/>
    <n v="133121.1"/>
  </r>
  <r>
    <x v="0"/>
    <x v="101"/>
    <x v="0"/>
    <x v="1"/>
    <x v="23"/>
    <n v="214886.65"/>
  </r>
  <r>
    <x v="0"/>
    <x v="44"/>
    <x v="0"/>
    <x v="1"/>
    <x v="23"/>
    <n v="41458889.5"/>
  </r>
  <r>
    <x v="0"/>
    <x v="16"/>
    <x v="0"/>
    <x v="1"/>
    <x v="12"/>
    <n v="6592082.6699999999"/>
  </r>
  <r>
    <x v="0"/>
    <x v="94"/>
    <x v="0"/>
    <x v="1"/>
    <x v="24"/>
    <n v="7961104.6100000003"/>
  </r>
  <r>
    <x v="1"/>
    <x v="65"/>
    <x v="0"/>
    <x v="1"/>
    <x v="13"/>
    <n v="600497.9"/>
  </r>
  <r>
    <x v="1"/>
    <x v="4"/>
    <x v="0"/>
    <x v="3"/>
    <x v="9"/>
    <n v="402631645.57999998"/>
  </r>
  <r>
    <x v="1"/>
    <x v="57"/>
    <x v="0"/>
    <x v="1"/>
    <x v="22"/>
    <n v="40951.879999999997"/>
  </r>
  <r>
    <x v="1"/>
    <x v="68"/>
    <x v="0"/>
    <x v="3"/>
    <x v="21"/>
    <n v="779017.28"/>
  </r>
  <r>
    <x v="0"/>
    <x v="23"/>
    <x v="0"/>
    <x v="10"/>
    <x v="20"/>
    <n v="8491332.2300000004"/>
  </r>
  <r>
    <x v="1"/>
    <x v="79"/>
    <x v="0"/>
    <x v="1"/>
    <x v="23"/>
    <n v="12356263.199999999"/>
  </r>
  <r>
    <x v="1"/>
    <x v="85"/>
    <x v="0"/>
    <x v="1"/>
    <x v="5"/>
    <n v="161566.03"/>
  </r>
  <r>
    <x v="0"/>
    <x v="54"/>
    <x v="0"/>
    <x v="6"/>
    <x v="0"/>
    <n v="65000"/>
  </r>
  <r>
    <x v="0"/>
    <x v="17"/>
    <x v="0"/>
    <x v="1"/>
    <x v="3"/>
    <n v="7313120.7999999998"/>
  </r>
  <r>
    <x v="1"/>
    <x v="23"/>
    <x v="0"/>
    <x v="1"/>
    <x v="2"/>
    <n v="4934654.6900000004"/>
  </r>
  <r>
    <x v="1"/>
    <x v="52"/>
    <x v="0"/>
    <x v="1"/>
    <x v="15"/>
    <n v="25000"/>
  </r>
  <r>
    <x v="1"/>
    <x v="34"/>
    <x v="0"/>
    <x v="2"/>
    <x v="2"/>
    <n v="1423992.67"/>
  </r>
  <r>
    <x v="0"/>
    <x v="7"/>
    <x v="0"/>
    <x v="1"/>
    <x v="16"/>
    <n v="4006103.76"/>
  </r>
  <r>
    <x v="0"/>
    <x v="5"/>
    <x v="0"/>
    <x v="3"/>
    <x v="22"/>
    <n v="2343692"/>
  </r>
  <r>
    <x v="1"/>
    <x v="62"/>
    <x v="0"/>
    <x v="4"/>
    <x v="13"/>
    <n v="349467.8"/>
  </r>
  <r>
    <x v="0"/>
    <x v="20"/>
    <x v="0"/>
    <x v="1"/>
    <x v="20"/>
    <n v="2934017579.04"/>
  </r>
  <r>
    <x v="0"/>
    <x v="85"/>
    <x v="0"/>
    <x v="1"/>
    <x v="18"/>
    <n v="1828372.99"/>
  </r>
  <r>
    <x v="0"/>
    <x v="19"/>
    <x v="0"/>
    <x v="1"/>
    <x v="20"/>
    <n v="594122"/>
  </r>
  <r>
    <x v="0"/>
    <x v="45"/>
    <x v="0"/>
    <x v="1"/>
    <x v="20"/>
    <n v="71586390.430000007"/>
  </r>
  <r>
    <x v="1"/>
    <x v="24"/>
    <x v="0"/>
    <x v="1"/>
    <x v="7"/>
    <n v="1380862"/>
  </r>
  <r>
    <x v="1"/>
    <x v="59"/>
    <x v="0"/>
    <x v="1"/>
    <x v="21"/>
    <n v="3703474.32"/>
  </r>
  <r>
    <x v="1"/>
    <x v="78"/>
    <x v="0"/>
    <x v="1"/>
    <x v="17"/>
    <n v="138196.06"/>
  </r>
  <r>
    <x v="0"/>
    <x v="55"/>
    <x v="0"/>
    <x v="1"/>
    <x v="21"/>
    <n v="416077.84"/>
  </r>
  <r>
    <x v="0"/>
    <x v="50"/>
    <x v="0"/>
    <x v="6"/>
    <x v="11"/>
    <n v="1963000"/>
  </r>
  <r>
    <x v="1"/>
    <x v="78"/>
    <x v="0"/>
    <x v="1"/>
    <x v="19"/>
    <n v="105492.32"/>
  </r>
  <r>
    <x v="1"/>
    <x v="93"/>
    <x v="0"/>
    <x v="1"/>
    <x v="15"/>
    <n v="906575.52"/>
  </r>
  <r>
    <x v="1"/>
    <x v="80"/>
    <x v="0"/>
    <x v="1"/>
    <x v="16"/>
    <n v="1660237.63"/>
  </r>
  <r>
    <x v="0"/>
    <x v="73"/>
    <x v="0"/>
    <x v="9"/>
    <x v="14"/>
    <n v="1960634.15"/>
  </r>
  <r>
    <x v="0"/>
    <x v="46"/>
    <x v="0"/>
    <x v="1"/>
    <x v="10"/>
    <n v="677606.04"/>
  </r>
  <r>
    <x v="0"/>
    <x v="68"/>
    <x v="0"/>
    <x v="0"/>
    <x v="8"/>
    <n v="73500000"/>
  </r>
  <r>
    <x v="0"/>
    <x v="60"/>
    <x v="0"/>
    <x v="1"/>
    <x v="7"/>
    <n v="249383.71"/>
  </r>
  <r>
    <x v="1"/>
    <x v="4"/>
    <x v="0"/>
    <x v="1"/>
    <x v="14"/>
    <n v="4460364.38"/>
  </r>
  <r>
    <x v="0"/>
    <x v="65"/>
    <x v="0"/>
    <x v="10"/>
    <x v="20"/>
    <n v="1488334.32"/>
  </r>
  <r>
    <x v="0"/>
    <x v="11"/>
    <x v="0"/>
    <x v="1"/>
    <x v="17"/>
    <n v="202108068.34"/>
  </r>
  <r>
    <x v="1"/>
    <x v="56"/>
    <x v="0"/>
    <x v="1"/>
    <x v="4"/>
    <n v="92586.3"/>
  </r>
  <r>
    <x v="0"/>
    <x v="22"/>
    <x v="0"/>
    <x v="8"/>
    <x v="24"/>
    <n v="2909442.69"/>
  </r>
  <r>
    <x v="0"/>
    <x v="87"/>
    <x v="0"/>
    <x v="1"/>
    <x v="17"/>
    <n v="1428203.34"/>
  </r>
  <r>
    <x v="0"/>
    <x v="52"/>
    <x v="0"/>
    <x v="1"/>
    <x v="24"/>
    <n v="27025879.530000001"/>
  </r>
  <r>
    <x v="1"/>
    <x v="58"/>
    <x v="0"/>
    <x v="1"/>
    <x v="12"/>
    <n v="1623118.57"/>
  </r>
  <r>
    <x v="0"/>
    <x v="28"/>
    <x v="0"/>
    <x v="3"/>
    <x v="16"/>
    <n v="4121925.68"/>
  </r>
  <r>
    <x v="1"/>
    <x v="74"/>
    <x v="0"/>
    <x v="1"/>
    <x v="6"/>
    <n v="174448.11"/>
  </r>
  <r>
    <x v="1"/>
    <x v="75"/>
    <x v="0"/>
    <x v="1"/>
    <x v="15"/>
    <n v="26451.57"/>
  </r>
  <r>
    <x v="1"/>
    <x v="42"/>
    <x v="0"/>
    <x v="1"/>
    <x v="25"/>
    <n v="643932.22"/>
  </r>
  <r>
    <x v="1"/>
    <x v="78"/>
    <x v="0"/>
    <x v="1"/>
    <x v="22"/>
    <n v="182435.7"/>
  </r>
  <r>
    <x v="0"/>
    <x v="90"/>
    <x v="0"/>
    <x v="1"/>
    <x v="15"/>
    <n v="161200.91"/>
  </r>
  <r>
    <x v="1"/>
    <x v="75"/>
    <x v="0"/>
    <x v="1"/>
    <x v="24"/>
    <n v="18262.810000000001"/>
  </r>
  <r>
    <x v="0"/>
    <x v="80"/>
    <x v="0"/>
    <x v="6"/>
    <x v="11"/>
    <n v="2133000"/>
  </r>
  <r>
    <x v="1"/>
    <x v="22"/>
    <x v="0"/>
    <x v="6"/>
    <x v="0"/>
    <n v="0"/>
  </r>
  <r>
    <x v="0"/>
    <x v="4"/>
    <x v="0"/>
    <x v="1"/>
    <x v="9"/>
    <n v="13209863638.25"/>
  </r>
  <r>
    <x v="0"/>
    <x v="21"/>
    <x v="0"/>
    <x v="1"/>
    <x v="3"/>
    <n v="3556081.07"/>
  </r>
  <r>
    <x v="1"/>
    <x v="70"/>
    <x v="0"/>
    <x v="1"/>
    <x v="23"/>
    <n v="950571.95"/>
  </r>
  <r>
    <x v="1"/>
    <x v="58"/>
    <x v="0"/>
    <x v="1"/>
    <x v="11"/>
    <n v="3854895.99"/>
  </r>
  <r>
    <x v="1"/>
    <x v="3"/>
    <x v="0"/>
    <x v="1"/>
    <x v="13"/>
    <n v="72333.460000000006"/>
  </r>
  <r>
    <x v="1"/>
    <x v="48"/>
    <x v="0"/>
    <x v="1"/>
    <x v="8"/>
    <n v="32789"/>
  </r>
  <r>
    <x v="0"/>
    <x v="57"/>
    <x v="0"/>
    <x v="9"/>
    <x v="6"/>
    <n v="48844.42"/>
  </r>
  <r>
    <x v="0"/>
    <x v="36"/>
    <x v="0"/>
    <x v="1"/>
    <x v="17"/>
    <n v="25648000"/>
  </r>
  <r>
    <x v="1"/>
    <x v="66"/>
    <x v="0"/>
    <x v="1"/>
    <x v="16"/>
    <n v="1626914.49"/>
  </r>
  <r>
    <x v="1"/>
    <x v="8"/>
    <x v="0"/>
    <x v="10"/>
    <x v="14"/>
    <n v="3540016.17"/>
  </r>
  <r>
    <x v="0"/>
    <x v="59"/>
    <x v="0"/>
    <x v="1"/>
    <x v="4"/>
    <n v="146320668.83000001"/>
  </r>
  <r>
    <x v="0"/>
    <x v="89"/>
    <x v="0"/>
    <x v="1"/>
    <x v="24"/>
    <n v="1500176.65"/>
  </r>
  <r>
    <x v="0"/>
    <x v="79"/>
    <x v="0"/>
    <x v="1"/>
    <x v="11"/>
    <n v="19682645.649999999"/>
  </r>
  <r>
    <x v="1"/>
    <x v="4"/>
    <x v="0"/>
    <x v="0"/>
    <x v="9"/>
    <n v="-28954.71"/>
  </r>
  <r>
    <x v="0"/>
    <x v="11"/>
    <x v="0"/>
    <x v="3"/>
    <x v="2"/>
    <n v="15112000"/>
  </r>
  <r>
    <x v="0"/>
    <x v="42"/>
    <x v="0"/>
    <x v="1"/>
    <x v="18"/>
    <n v="6430622.2599999998"/>
  </r>
  <r>
    <x v="0"/>
    <x v="56"/>
    <x v="0"/>
    <x v="6"/>
    <x v="13"/>
    <n v="1000"/>
  </r>
  <r>
    <x v="0"/>
    <x v="83"/>
    <x v="0"/>
    <x v="1"/>
    <x v="16"/>
    <n v="262202"/>
  </r>
  <r>
    <x v="0"/>
    <x v="19"/>
    <x v="0"/>
    <x v="1"/>
    <x v="10"/>
    <n v="553487.59"/>
  </r>
  <r>
    <x v="0"/>
    <x v="45"/>
    <x v="0"/>
    <x v="1"/>
    <x v="14"/>
    <n v="77676948.620000005"/>
  </r>
  <r>
    <x v="1"/>
    <x v="81"/>
    <x v="0"/>
    <x v="1"/>
    <x v="10"/>
    <n v="63854.48"/>
  </r>
  <r>
    <x v="0"/>
    <x v="7"/>
    <x v="0"/>
    <x v="1"/>
    <x v="11"/>
    <n v="4195578.5"/>
  </r>
  <r>
    <x v="1"/>
    <x v="23"/>
    <x v="0"/>
    <x v="10"/>
    <x v="17"/>
    <n v="791272.82"/>
  </r>
  <r>
    <x v="1"/>
    <x v="73"/>
    <x v="0"/>
    <x v="1"/>
    <x v="18"/>
    <n v="-454426.21"/>
  </r>
  <r>
    <x v="1"/>
    <x v="32"/>
    <x v="0"/>
    <x v="1"/>
    <x v="22"/>
    <n v="932918.52"/>
  </r>
  <r>
    <x v="0"/>
    <x v="40"/>
    <x v="0"/>
    <x v="1"/>
    <x v="16"/>
    <n v="855370529.47000003"/>
  </r>
  <r>
    <x v="1"/>
    <x v="64"/>
    <x v="0"/>
    <x v="1"/>
    <x v="19"/>
    <n v="3735.23"/>
  </r>
  <r>
    <x v="1"/>
    <x v="51"/>
    <x v="0"/>
    <x v="1"/>
    <x v="24"/>
    <n v="354689.57"/>
  </r>
  <r>
    <x v="0"/>
    <x v="8"/>
    <x v="0"/>
    <x v="1"/>
    <x v="11"/>
    <n v="56751559.490000002"/>
  </r>
  <r>
    <x v="1"/>
    <x v="21"/>
    <x v="0"/>
    <x v="1"/>
    <x v="11"/>
    <n v="-76131.039999999994"/>
  </r>
  <r>
    <x v="1"/>
    <x v="59"/>
    <x v="0"/>
    <x v="1"/>
    <x v="16"/>
    <n v="-417752.28"/>
  </r>
  <r>
    <x v="1"/>
    <x v="50"/>
    <x v="0"/>
    <x v="1"/>
    <x v="6"/>
    <n v="1348897.62"/>
  </r>
  <r>
    <x v="1"/>
    <x v="33"/>
    <x v="0"/>
    <x v="5"/>
    <x v="24"/>
    <n v="1052337.07"/>
  </r>
  <r>
    <x v="1"/>
    <x v="54"/>
    <x v="0"/>
    <x v="1"/>
    <x v="20"/>
    <n v="29461.35"/>
  </r>
  <r>
    <x v="0"/>
    <x v="44"/>
    <x v="0"/>
    <x v="6"/>
    <x v="13"/>
    <n v="66000"/>
  </r>
  <r>
    <x v="0"/>
    <x v="32"/>
    <x v="0"/>
    <x v="7"/>
    <x v="5"/>
    <n v="447671.8"/>
  </r>
  <r>
    <x v="1"/>
    <x v="17"/>
    <x v="0"/>
    <x v="1"/>
    <x v="14"/>
    <n v="871231.11"/>
  </r>
  <r>
    <x v="0"/>
    <x v="19"/>
    <x v="0"/>
    <x v="1"/>
    <x v="9"/>
    <n v="1786341.68"/>
  </r>
  <r>
    <x v="1"/>
    <x v="71"/>
    <x v="0"/>
    <x v="1"/>
    <x v="25"/>
    <n v="63225.48"/>
  </r>
  <r>
    <x v="0"/>
    <x v="20"/>
    <x v="0"/>
    <x v="8"/>
    <x v="21"/>
    <n v="0"/>
  </r>
  <r>
    <x v="0"/>
    <x v="82"/>
    <x v="0"/>
    <x v="1"/>
    <x v="1"/>
    <n v="1879685.41"/>
  </r>
  <r>
    <x v="0"/>
    <x v="2"/>
    <x v="0"/>
    <x v="9"/>
    <x v="25"/>
    <n v="3791681.35"/>
  </r>
  <r>
    <x v="0"/>
    <x v="81"/>
    <x v="0"/>
    <x v="1"/>
    <x v="9"/>
    <n v="1348877.47"/>
  </r>
  <r>
    <x v="1"/>
    <x v="80"/>
    <x v="0"/>
    <x v="1"/>
    <x v="17"/>
    <n v="1249482.67"/>
  </r>
  <r>
    <x v="0"/>
    <x v="75"/>
    <x v="0"/>
    <x v="1"/>
    <x v="3"/>
    <n v="188262.83"/>
  </r>
  <r>
    <x v="0"/>
    <x v="84"/>
    <x v="0"/>
    <x v="1"/>
    <x v="21"/>
    <n v="1228515.3500000001"/>
  </r>
  <r>
    <x v="0"/>
    <x v="55"/>
    <x v="0"/>
    <x v="1"/>
    <x v="16"/>
    <n v="416167.16"/>
  </r>
  <r>
    <x v="0"/>
    <x v="36"/>
    <x v="0"/>
    <x v="2"/>
    <x v="23"/>
    <n v="1953000"/>
  </r>
  <r>
    <x v="0"/>
    <x v="80"/>
    <x v="0"/>
    <x v="1"/>
    <x v="15"/>
    <n v="27601151.25"/>
  </r>
  <r>
    <x v="1"/>
    <x v="32"/>
    <x v="0"/>
    <x v="1"/>
    <x v="9"/>
    <n v="1042166.99"/>
  </r>
  <r>
    <x v="0"/>
    <x v="82"/>
    <x v="0"/>
    <x v="1"/>
    <x v="19"/>
    <n v="1143195.98"/>
  </r>
  <r>
    <x v="1"/>
    <x v="68"/>
    <x v="0"/>
    <x v="1"/>
    <x v="6"/>
    <n v="2022783.08"/>
  </r>
  <r>
    <x v="0"/>
    <x v="9"/>
    <x v="0"/>
    <x v="6"/>
    <x v="11"/>
    <n v="28988764.870000001"/>
  </r>
  <r>
    <x v="0"/>
    <x v="11"/>
    <x v="0"/>
    <x v="3"/>
    <x v="0"/>
    <n v="16997000"/>
  </r>
  <r>
    <x v="1"/>
    <x v="70"/>
    <x v="0"/>
    <x v="1"/>
    <x v="11"/>
    <n v="-29527.93"/>
  </r>
  <r>
    <x v="0"/>
    <x v="73"/>
    <x v="0"/>
    <x v="1"/>
    <x v="7"/>
    <n v="6563343.4000000004"/>
  </r>
  <r>
    <x v="0"/>
    <x v="59"/>
    <x v="0"/>
    <x v="6"/>
    <x v="2"/>
    <n v="2589000"/>
  </r>
  <r>
    <x v="0"/>
    <x v="71"/>
    <x v="0"/>
    <x v="1"/>
    <x v="1"/>
    <n v="735624.69"/>
  </r>
  <r>
    <x v="1"/>
    <x v="23"/>
    <x v="0"/>
    <x v="1"/>
    <x v="12"/>
    <n v="1927345.61"/>
  </r>
  <r>
    <x v="0"/>
    <x v="9"/>
    <x v="0"/>
    <x v="2"/>
    <x v="22"/>
    <n v="36453284.509999998"/>
  </r>
  <r>
    <x v="0"/>
    <x v="74"/>
    <x v="0"/>
    <x v="1"/>
    <x v="24"/>
    <n v="1975378.72"/>
  </r>
  <r>
    <x v="0"/>
    <x v="34"/>
    <x v="0"/>
    <x v="3"/>
    <x v="2"/>
    <n v="13377251.93"/>
  </r>
  <r>
    <x v="0"/>
    <x v="50"/>
    <x v="0"/>
    <x v="1"/>
    <x v="25"/>
    <n v="45911806.289999999"/>
  </r>
  <r>
    <x v="1"/>
    <x v="70"/>
    <x v="0"/>
    <x v="1"/>
    <x v="25"/>
    <n v="-1306274.5"/>
  </r>
  <r>
    <x v="0"/>
    <x v="86"/>
    <x v="0"/>
    <x v="1"/>
    <x v="7"/>
    <n v="1353565.66"/>
  </r>
  <r>
    <x v="0"/>
    <x v="33"/>
    <x v="0"/>
    <x v="5"/>
    <x v="6"/>
    <n v="205833385.31999999"/>
  </r>
  <r>
    <x v="0"/>
    <x v="53"/>
    <x v="0"/>
    <x v="7"/>
    <x v="24"/>
    <n v="0"/>
  </r>
  <r>
    <x v="1"/>
    <x v="27"/>
    <x v="0"/>
    <x v="1"/>
    <x v="10"/>
    <n v="3100006.65"/>
  </r>
  <r>
    <x v="1"/>
    <x v="61"/>
    <x v="0"/>
    <x v="1"/>
    <x v="6"/>
    <n v="-120900.95"/>
  </r>
  <r>
    <x v="0"/>
    <x v="66"/>
    <x v="0"/>
    <x v="1"/>
    <x v="11"/>
    <n v="12239117.49"/>
  </r>
  <r>
    <x v="1"/>
    <x v="52"/>
    <x v="0"/>
    <x v="10"/>
    <x v="14"/>
    <n v="-28617.85"/>
  </r>
  <r>
    <x v="0"/>
    <x v="93"/>
    <x v="0"/>
    <x v="1"/>
    <x v="14"/>
    <n v="12569716.07"/>
  </r>
  <r>
    <x v="0"/>
    <x v="36"/>
    <x v="0"/>
    <x v="1"/>
    <x v="13"/>
    <n v="26856726"/>
  </r>
  <r>
    <x v="1"/>
    <x v="53"/>
    <x v="0"/>
    <x v="9"/>
    <x v="19"/>
    <n v="52233.47"/>
  </r>
  <r>
    <x v="0"/>
    <x v="85"/>
    <x v="0"/>
    <x v="1"/>
    <x v="1"/>
    <n v="1912480.96"/>
  </r>
  <r>
    <x v="1"/>
    <x v="52"/>
    <x v="0"/>
    <x v="6"/>
    <x v="13"/>
    <n v="191000"/>
  </r>
  <r>
    <x v="0"/>
    <x v="7"/>
    <x v="0"/>
    <x v="1"/>
    <x v="21"/>
    <n v="4398457.5"/>
  </r>
  <r>
    <x v="1"/>
    <x v="93"/>
    <x v="0"/>
    <x v="1"/>
    <x v="25"/>
    <n v="863618.5"/>
  </r>
  <r>
    <x v="1"/>
    <x v="55"/>
    <x v="0"/>
    <x v="1"/>
    <x v="6"/>
    <n v="11843.64"/>
  </r>
  <r>
    <x v="1"/>
    <x v="31"/>
    <x v="0"/>
    <x v="1"/>
    <x v="14"/>
    <n v="746455.53"/>
  </r>
  <r>
    <x v="0"/>
    <x v="74"/>
    <x v="0"/>
    <x v="1"/>
    <x v="25"/>
    <n v="2274677.61"/>
  </r>
  <r>
    <x v="1"/>
    <x v="64"/>
    <x v="0"/>
    <x v="1"/>
    <x v="1"/>
    <n v="16165.34"/>
  </r>
  <r>
    <x v="1"/>
    <x v="90"/>
    <x v="0"/>
    <x v="1"/>
    <x v="12"/>
    <n v="11514.58"/>
  </r>
  <r>
    <x v="1"/>
    <x v="42"/>
    <x v="0"/>
    <x v="7"/>
    <x v="9"/>
    <n v="750"/>
  </r>
  <r>
    <x v="1"/>
    <x v="71"/>
    <x v="0"/>
    <x v="1"/>
    <x v="2"/>
    <n v="40838.839999999997"/>
  </r>
  <r>
    <x v="1"/>
    <x v="85"/>
    <x v="0"/>
    <x v="1"/>
    <x v="25"/>
    <n v="236648.19"/>
  </r>
  <r>
    <x v="1"/>
    <x v="22"/>
    <x v="0"/>
    <x v="7"/>
    <x v="1"/>
    <n v="233000"/>
  </r>
  <r>
    <x v="1"/>
    <x v="9"/>
    <x v="0"/>
    <x v="6"/>
    <x v="13"/>
    <n v="475800"/>
  </r>
  <r>
    <x v="0"/>
    <x v="57"/>
    <x v="0"/>
    <x v="1"/>
    <x v="6"/>
    <n v="1185631.95"/>
  </r>
  <r>
    <x v="1"/>
    <x v="14"/>
    <x v="0"/>
    <x v="6"/>
    <x v="11"/>
    <n v="-100000"/>
  </r>
  <r>
    <x v="0"/>
    <x v="37"/>
    <x v="0"/>
    <x v="1"/>
    <x v="4"/>
    <n v="42732021.18"/>
  </r>
  <r>
    <x v="1"/>
    <x v="17"/>
    <x v="0"/>
    <x v="1"/>
    <x v="3"/>
    <n v="635914.14"/>
  </r>
  <r>
    <x v="0"/>
    <x v="17"/>
    <x v="0"/>
    <x v="1"/>
    <x v="12"/>
    <n v="6543143.1200000001"/>
  </r>
  <r>
    <x v="1"/>
    <x v="40"/>
    <x v="0"/>
    <x v="10"/>
    <x v="5"/>
    <n v="2114877.17"/>
  </r>
  <r>
    <x v="0"/>
    <x v="27"/>
    <x v="0"/>
    <x v="1"/>
    <x v="10"/>
    <n v="42491625.350000001"/>
  </r>
  <r>
    <x v="1"/>
    <x v="72"/>
    <x v="0"/>
    <x v="1"/>
    <x v="21"/>
    <n v="190183.8"/>
  </r>
  <r>
    <x v="1"/>
    <x v="65"/>
    <x v="0"/>
    <x v="1"/>
    <x v="8"/>
    <n v="407676.4"/>
  </r>
  <r>
    <x v="1"/>
    <x v="73"/>
    <x v="0"/>
    <x v="1"/>
    <x v="17"/>
    <n v="236428.01"/>
  </r>
  <r>
    <x v="0"/>
    <x v="50"/>
    <x v="0"/>
    <x v="2"/>
    <x v="22"/>
    <n v="2976580"/>
  </r>
  <r>
    <x v="0"/>
    <x v="96"/>
    <x v="0"/>
    <x v="1"/>
    <x v="7"/>
    <n v="0"/>
  </r>
  <r>
    <x v="1"/>
    <x v="102"/>
    <x v="0"/>
    <x v="1"/>
    <x v="25"/>
    <n v="16666"/>
  </r>
  <r>
    <x v="1"/>
    <x v="58"/>
    <x v="0"/>
    <x v="2"/>
    <x v="2"/>
    <n v="0"/>
  </r>
  <r>
    <x v="1"/>
    <x v="101"/>
    <x v="0"/>
    <x v="1"/>
    <x v="22"/>
    <n v="5920.44"/>
  </r>
  <r>
    <x v="1"/>
    <x v="8"/>
    <x v="0"/>
    <x v="1"/>
    <x v="14"/>
    <n v="1006317.89"/>
  </r>
  <r>
    <x v="0"/>
    <x v="52"/>
    <x v="0"/>
    <x v="1"/>
    <x v="10"/>
    <n v="30738907.920000002"/>
  </r>
  <r>
    <x v="0"/>
    <x v="39"/>
    <x v="0"/>
    <x v="1"/>
    <x v="0"/>
    <n v="222824.4"/>
  </r>
  <r>
    <x v="0"/>
    <x v="9"/>
    <x v="0"/>
    <x v="1"/>
    <x v="22"/>
    <n v="366791929.83999997"/>
  </r>
  <r>
    <x v="1"/>
    <x v="22"/>
    <x v="0"/>
    <x v="8"/>
    <x v="13"/>
    <n v="-56321.13"/>
  </r>
  <r>
    <x v="0"/>
    <x v="16"/>
    <x v="0"/>
    <x v="1"/>
    <x v="16"/>
    <n v="6889177.9800000004"/>
  </r>
  <r>
    <x v="0"/>
    <x v="88"/>
    <x v="0"/>
    <x v="1"/>
    <x v="12"/>
    <n v="649741.73"/>
  </r>
  <r>
    <x v="0"/>
    <x v="40"/>
    <x v="0"/>
    <x v="1"/>
    <x v="7"/>
    <n v="902552788"/>
  </r>
  <r>
    <x v="0"/>
    <x v="70"/>
    <x v="0"/>
    <x v="1"/>
    <x v="24"/>
    <n v="2615670.29"/>
  </r>
  <r>
    <x v="0"/>
    <x v="28"/>
    <x v="0"/>
    <x v="0"/>
    <x v="7"/>
    <n v="74553961.650000006"/>
  </r>
  <r>
    <x v="1"/>
    <x v="0"/>
    <x v="0"/>
    <x v="1"/>
    <x v="18"/>
    <n v="4008896.02"/>
  </r>
  <r>
    <x v="1"/>
    <x v="19"/>
    <x v="0"/>
    <x v="1"/>
    <x v="14"/>
    <n v="26398.25"/>
  </r>
  <r>
    <x v="0"/>
    <x v="31"/>
    <x v="0"/>
    <x v="1"/>
    <x v="20"/>
    <n v="21071138.989999998"/>
  </r>
  <r>
    <x v="1"/>
    <x v="79"/>
    <x v="0"/>
    <x v="9"/>
    <x v="10"/>
    <n v="2319076.48"/>
  </r>
  <r>
    <x v="0"/>
    <x v="76"/>
    <x v="0"/>
    <x v="8"/>
    <x v="13"/>
    <n v="186551.9"/>
  </r>
  <r>
    <x v="0"/>
    <x v="20"/>
    <x v="0"/>
    <x v="10"/>
    <x v="19"/>
    <n v="7633491.1699999999"/>
  </r>
  <r>
    <x v="0"/>
    <x v="4"/>
    <x v="0"/>
    <x v="3"/>
    <x v="15"/>
    <n v="246007579.62"/>
  </r>
  <r>
    <x v="1"/>
    <x v="103"/>
    <x v="0"/>
    <x v="1"/>
    <x v="22"/>
    <n v="86403.34"/>
  </r>
  <r>
    <x v="1"/>
    <x v="57"/>
    <x v="0"/>
    <x v="9"/>
    <x v="25"/>
    <n v="0"/>
  </r>
  <r>
    <x v="1"/>
    <x v="15"/>
    <x v="0"/>
    <x v="1"/>
    <x v="25"/>
    <n v="817073.16"/>
  </r>
  <r>
    <x v="0"/>
    <x v="6"/>
    <x v="0"/>
    <x v="3"/>
    <x v="22"/>
    <n v="8282723.1399999997"/>
  </r>
  <r>
    <x v="0"/>
    <x v="32"/>
    <x v="0"/>
    <x v="1"/>
    <x v="3"/>
    <n v="1390047.3"/>
  </r>
  <r>
    <x v="0"/>
    <x v="82"/>
    <x v="0"/>
    <x v="6"/>
    <x v="2"/>
    <n v="107000"/>
  </r>
  <r>
    <x v="1"/>
    <x v="42"/>
    <x v="0"/>
    <x v="1"/>
    <x v="6"/>
    <n v="1652478.69"/>
  </r>
  <r>
    <x v="0"/>
    <x v="67"/>
    <x v="0"/>
    <x v="1"/>
    <x v="3"/>
    <n v="1446481.65"/>
  </r>
  <r>
    <x v="1"/>
    <x v="21"/>
    <x v="0"/>
    <x v="1"/>
    <x v="8"/>
    <n v="-1407257.75"/>
  </r>
  <r>
    <x v="0"/>
    <x v="93"/>
    <x v="0"/>
    <x v="1"/>
    <x v="5"/>
    <n v="15787248.939999999"/>
  </r>
  <r>
    <x v="0"/>
    <x v="36"/>
    <x v="0"/>
    <x v="1"/>
    <x v="20"/>
    <n v="24342161"/>
  </r>
  <r>
    <x v="0"/>
    <x v="44"/>
    <x v="0"/>
    <x v="1"/>
    <x v="17"/>
    <n v="19271896.75"/>
  </r>
  <r>
    <x v="0"/>
    <x v="22"/>
    <x v="0"/>
    <x v="5"/>
    <x v="17"/>
    <n v="24000000"/>
  </r>
  <r>
    <x v="1"/>
    <x v="93"/>
    <x v="0"/>
    <x v="1"/>
    <x v="6"/>
    <n v="472168.84"/>
  </r>
  <r>
    <x v="0"/>
    <x v="10"/>
    <x v="0"/>
    <x v="6"/>
    <x v="2"/>
    <n v="64000"/>
  </r>
  <r>
    <x v="1"/>
    <x v="33"/>
    <x v="0"/>
    <x v="1"/>
    <x v="10"/>
    <n v="10554.71"/>
  </r>
  <r>
    <x v="1"/>
    <x v="16"/>
    <x v="0"/>
    <x v="1"/>
    <x v="21"/>
    <n v="132695.56"/>
  </r>
  <r>
    <x v="1"/>
    <x v="5"/>
    <x v="0"/>
    <x v="1"/>
    <x v="24"/>
    <n v="10499.11"/>
  </r>
  <r>
    <x v="0"/>
    <x v="95"/>
    <x v="0"/>
    <x v="1"/>
    <x v="23"/>
    <n v="448785.94"/>
  </r>
  <r>
    <x v="0"/>
    <x v="73"/>
    <x v="0"/>
    <x v="1"/>
    <x v="9"/>
    <n v="7759749.3200000003"/>
  </r>
  <r>
    <x v="1"/>
    <x v="52"/>
    <x v="0"/>
    <x v="1"/>
    <x v="9"/>
    <n v="534995.43000000005"/>
  </r>
  <r>
    <x v="1"/>
    <x v="70"/>
    <x v="0"/>
    <x v="1"/>
    <x v="4"/>
    <n v="422173.59"/>
  </r>
  <r>
    <x v="0"/>
    <x v="41"/>
    <x v="0"/>
    <x v="1"/>
    <x v="10"/>
    <n v="30679103.93"/>
  </r>
  <r>
    <x v="0"/>
    <x v="16"/>
    <x v="0"/>
    <x v="6"/>
    <x v="13"/>
    <n v="37000"/>
  </r>
  <r>
    <x v="0"/>
    <x v="65"/>
    <x v="0"/>
    <x v="1"/>
    <x v="2"/>
    <n v="20318198.870000001"/>
  </r>
  <r>
    <x v="0"/>
    <x v="22"/>
    <x v="0"/>
    <x v="1"/>
    <x v="14"/>
    <n v="69871309.019999996"/>
  </r>
  <r>
    <x v="1"/>
    <x v="37"/>
    <x v="0"/>
    <x v="1"/>
    <x v="10"/>
    <n v="635941.34"/>
  </r>
  <r>
    <x v="0"/>
    <x v="29"/>
    <x v="0"/>
    <x v="1"/>
    <x v="14"/>
    <n v="1532158.92"/>
  </r>
  <r>
    <x v="1"/>
    <x v="89"/>
    <x v="0"/>
    <x v="1"/>
    <x v="4"/>
    <n v="325816.52"/>
  </r>
  <r>
    <x v="1"/>
    <x v="49"/>
    <x v="0"/>
    <x v="1"/>
    <x v="15"/>
    <n v="88354.67"/>
  </r>
  <r>
    <x v="1"/>
    <x v="62"/>
    <x v="0"/>
    <x v="10"/>
    <x v="10"/>
    <n v="378294.9"/>
  </r>
  <r>
    <x v="0"/>
    <x v="66"/>
    <x v="0"/>
    <x v="1"/>
    <x v="4"/>
    <n v="13228774.140000001"/>
  </r>
  <r>
    <x v="1"/>
    <x v="58"/>
    <x v="0"/>
    <x v="1"/>
    <x v="4"/>
    <n v="1025601.41"/>
  </r>
  <r>
    <x v="0"/>
    <x v="60"/>
    <x v="0"/>
    <x v="1"/>
    <x v="23"/>
    <n v="612470.11"/>
  </r>
  <r>
    <x v="0"/>
    <x v="33"/>
    <x v="0"/>
    <x v="1"/>
    <x v="25"/>
    <n v="1000000"/>
  </r>
  <r>
    <x v="1"/>
    <x v="90"/>
    <x v="0"/>
    <x v="1"/>
    <x v="22"/>
    <n v="18528.12"/>
  </r>
  <r>
    <x v="0"/>
    <x v="66"/>
    <x v="0"/>
    <x v="1"/>
    <x v="0"/>
    <n v="7434542.7800000003"/>
  </r>
  <r>
    <x v="0"/>
    <x v="73"/>
    <x v="0"/>
    <x v="1"/>
    <x v="20"/>
    <n v="1795454.04"/>
  </r>
  <r>
    <x v="1"/>
    <x v="32"/>
    <x v="0"/>
    <x v="7"/>
    <x v="24"/>
    <n v="-10717.01"/>
  </r>
  <r>
    <x v="0"/>
    <x v="8"/>
    <x v="0"/>
    <x v="1"/>
    <x v="25"/>
    <n v="24781329.239999998"/>
  </r>
  <r>
    <x v="1"/>
    <x v="66"/>
    <x v="0"/>
    <x v="10"/>
    <x v="14"/>
    <n v="4014976.87"/>
  </r>
  <r>
    <x v="0"/>
    <x v="54"/>
    <x v="0"/>
    <x v="1"/>
    <x v="25"/>
    <n v="929026.16"/>
  </r>
  <r>
    <x v="0"/>
    <x v="51"/>
    <x v="0"/>
    <x v="1"/>
    <x v="7"/>
    <n v="1195981.45"/>
  </r>
  <r>
    <x v="1"/>
    <x v="45"/>
    <x v="0"/>
    <x v="1"/>
    <x v="16"/>
    <n v="4513462.84"/>
  </r>
  <r>
    <x v="0"/>
    <x v="23"/>
    <x v="0"/>
    <x v="1"/>
    <x v="19"/>
    <n v="70000"/>
  </r>
  <r>
    <x v="1"/>
    <x v="57"/>
    <x v="0"/>
    <x v="1"/>
    <x v="8"/>
    <n v="-72635.929999999993"/>
  </r>
  <r>
    <x v="1"/>
    <x v="79"/>
    <x v="0"/>
    <x v="1"/>
    <x v="15"/>
    <n v="1493300.49"/>
  </r>
  <r>
    <x v="0"/>
    <x v="78"/>
    <x v="0"/>
    <x v="1"/>
    <x v="25"/>
    <n v="2726960.93"/>
  </r>
  <r>
    <x v="0"/>
    <x v="40"/>
    <x v="0"/>
    <x v="10"/>
    <x v="5"/>
    <n v="10086102.85"/>
  </r>
  <r>
    <x v="1"/>
    <x v="31"/>
    <x v="0"/>
    <x v="1"/>
    <x v="22"/>
    <n v="1366858.86"/>
  </r>
  <r>
    <x v="0"/>
    <x v="37"/>
    <x v="0"/>
    <x v="9"/>
    <x v="6"/>
    <n v="336474.95"/>
  </r>
  <r>
    <x v="1"/>
    <x v="89"/>
    <x v="0"/>
    <x v="1"/>
    <x v="20"/>
    <n v="78560.84"/>
  </r>
  <r>
    <x v="0"/>
    <x v="79"/>
    <x v="0"/>
    <x v="1"/>
    <x v="16"/>
    <n v="24411526.68"/>
  </r>
  <r>
    <x v="1"/>
    <x v="66"/>
    <x v="0"/>
    <x v="1"/>
    <x v="8"/>
    <n v="3443200.89"/>
  </r>
  <r>
    <x v="0"/>
    <x v="55"/>
    <x v="0"/>
    <x v="6"/>
    <x v="0"/>
    <n v="29000"/>
  </r>
  <r>
    <x v="1"/>
    <x v="19"/>
    <x v="0"/>
    <x v="1"/>
    <x v="19"/>
    <n v="21664.04"/>
  </r>
  <r>
    <x v="1"/>
    <x v="44"/>
    <x v="0"/>
    <x v="1"/>
    <x v="12"/>
    <n v="-225933.43"/>
  </r>
  <r>
    <x v="1"/>
    <x v="53"/>
    <x v="0"/>
    <x v="1"/>
    <x v="6"/>
    <n v="73309.09"/>
  </r>
  <r>
    <x v="1"/>
    <x v="27"/>
    <x v="0"/>
    <x v="1"/>
    <x v="17"/>
    <n v="2332893.48"/>
  </r>
  <r>
    <x v="1"/>
    <x v="6"/>
    <x v="0"/>
    <x v="1"/>
    <x v="9"/>
    <n v="1003129.36"/>
  </r>
  <r>
    <x v="0"/>
    <x v="43"/>
    <x v="0"/>
    <x v="6"/>
    <x v="11"/>
    <n v="86000"/>
  </r>
  <r>
    <x v="0"/>
    <x v="41"/>
    <x v="0"/>
    <x v="1"/>
    <x v="1"/>
    <n v="78932954.75"/>
  </r>
  <r>
    <x v="1"/>
    <x v="28"/>
    <x v="0"/>
    <x v="0"/>
    <x v="11"/>
    <n v="3057.03"/>
  </r>
  <r>
    <x v="0"/>
    <x v="18"/>
    <x v="0"/>
    <x v="6"/>
    <x v="0"/>
    <n v="364000"/>
  </r>
  <r>
    <x v="1"/>
    <x v="75"/>
    <x v="0"/>
    <x v="1"/>
    <x v="16"/>
    <n v="19646.919999999998"/>
  </r>
  <r>
    <x v="0"/>
    <x v="14"/>
    <x v="0"/>
    <x v="1"/>
    <x v="7"/>
    <n v="1933878.34"/>
  </r>
  <r>
    <x v="0"/>
    <x v="32"/>
    <x v="0"/>
    <x v="1"/>
    <x v="4"/>
    <n v="12021541.27"/>
  </r>
  <r>
    <x v="0"/>
    <x v="46"/>
    <x v="0"/>
    <x v="1"/>
    <x v="17"/>
    <n v="861109.42"/>
  </r>
  <r>
    <x v="0"/>
    <x v="15"/>
    <x v="0"/>
    <x v="1"/>
    <x v="25"/>
    <n v="5061308.01"/>
  </r>
  <r>
    <x v="1"/>
    <x v="4"/>
    <x v="0"/>
    <x v="8"/>
    <x v="24"/>
    <n v="36553.74"/>
  </r>
  <r>
    <x v="1"/>
    <x v="50"/>
    <x v="0"/>
    <x v="1"/>
    <x v="25"/>
    <n v="1779193.71"/>
  </r>
  <r>
    <x v="0"/>
    <x v="21"/>
    <x v="0"/>
    <x v="1"/>
    <x v="22"/>
    <n v="6023527.3700000001"/>
  </r>
  <r>
    <x v="0"/>
    <x v="47"/>
    <x v="0"/>
    <x v="7"/>
    <x v="23"/>
    <n v="993732.98"/>
  </r>
  <r>
    <x v="1"/>
    <x v="3"/>
    <x v="0"/>
    <x v="1"/>
    <x v="23"/>
    <n v="8566.36"/>
  </r>
  <r>
    <x v="1"/>
    <x v="33"/>
    <x v="0"/>
    <x v="1"/>
    <x v="1"/>
    <n v="-136012104.38"/>
  </r>
  <r>
    <x v="1"/>
    <x v="17"/>
    <x v="0"/>
    <x v="1"/>
    <x v="25"/>
    <n v="924782.17"/>
  </r>
  <r>
    <x v="1"/>
    <x v="63"/>
    <x v="0"/>
    <x v="1"/>
    <x v="11"/>
    <n v="0"/>
  </r>
  <r>
    <x v="1"/>
    <x v="69"/>
    <x v="0"/>
    <x v="1"/>
    <x v="17"/>
    <n v="28628.87"/>
  </r>
  <r>
    <x v="0"/>
    <x v="65"/>
    <x v="0"/>
    <x v="1"/>
    <x v="10"/>
    <n v="5992805.9199999999"/>
  </r>
  <r>
    <x v="1"/>
    <x v="4"/>
    <x v="0"/>
    <x v="6"/>
    <x v="2"/>
    <n v="-488405.18"/>
  </r>
  <r>
    <x v="1"/>
    <x v="58"/>
    <x v="0"/>
    <x v="1"/>
    <x v="15"/>
    <n v="1301038.8700000001"/>
  </r>
  <r>
    <x v="0"/>
    <x v="75"/>
    <x v="0"/>
    <x v="1"/>
    <x v="18"/>
    <n v="232838.56"/>
  </r>
  <r>
    <x v="0"/>
    <x v="50"/>
    <x v="0"/>
    <x v="3"/>
    <x v="9"/>
    <n v="9538000"/>
  </r>
  <r>
    <x v="1"/>
    <x v="93"/>
    <x v="0"/>
    <x v="1"/>
    <x v="16"/>
    <n v="756724.42"/>
  </r>
  <r>
    <x v="1"/>
    <x v="22"/>
    <x v="0"/>
    <x v="1"/>
    <x v="18"/>
    <n v="7142948.96"/>
  </r>
  <r>
    <x v="0"/>
    <x v="51"/>
    <x v="0"/>
    <x v="1"/>
    <x v="22"/>
    <n v="609114.18000000005"/>
  </r>
  <r>
    <x v="1"/>
    <x v="26"/>
    <x v="0"/>
    <x v="1"/>
    <x v="20"/>
    <n v="57791.5"/>
  </r>
  <r>
    <x v="1"/>
    <x v="32"/>
    <x v="0"/>
    <x v="1"/>
    <x v="19"/>
    <n v="1074405.1200000001"/>
  </r>
  <r>
    <x v="1"/>
    <x v="76"/>
    <x v="0"/>
    <x v="1"/>
    <x v="16"/>
    <n v="2850753.16"/>
  </r>
  <r>
    <x v="1"/>
    <x v="90"/>
    <x v="0"/>
    <x v="1"/>
    <x v="17"/>
    <n v="4425.4399999999996"/>
  </r>
  <r>
    <x v="1"/>
    <x v="86"/>
    <x v="0"/>
    <x v="1"/>
    <x v="3"/>
    <n v="111168.18"/>
  </r>
  <r>
    <x v="1"/>
    <x v="62"/>
    <x v="0"/>
    <x v="1"/>
    <x v="10"/>
    <n v="196.44"/>
  </r>
  <r>
    <x v="1"/>
    <x v="14"/>
    <x v="0"/>
    <x v="1"/>
    <x v="21"/>
    <n v="100138.18"/>
  </r>
  <r>
    <x v="1"/>
    <x v="63"/>
    <x v="0"/>
    <x v="2"/>
    <x v="23"/>
    <n v="737450.86"/>
  </r>
  <r>
    <x v="1"/>
    <x v="51"/>
    <x v="0"/>
    <x v="1"/>
    <x v="16"/>
    <n v="158703.12"/>
  </r>
  <r>
    <x v="0"/>
    <x v="62"/>
    <x v="0"/>
    <x v="6"/>
    <x v="2"/>
    <n v="139000"/>
  </r>
  <r>
    <x v="0"/>
    <x v="17"/>
    <x v="0"/>
    <x v="6"/>
    <x v="11"/>
    <n v="411000"/>
  </r>
  <r>
    <x v="0"/>
    <x v="15"/>
    <x v="0"/>
    <x v="4"/>
    <x v="5"/>
    <n v="927000.31"/>
  </r>
  <r>
    <x v="1"/>
    <x v="42"/>
    <x v="0"/>
    <x v="1"/>
    <x v="21"/>
    <n v="569782.27"/>
  </r>
  <r>
    <x v="1"/>
    <x v="66"/>
    <x v="0"/>
    <x v="1"/>
    <x v="17"/>
    <n v="415444.71"/>
  </r>
  <r>
    <x v="1"/>
    <x v="74"/>
    <x v="0"/>
    <x v="1"/>
    <x v="18"/>
    <n v="95701.66"/>
  </r>
  <r>
    <x v="1"/>
    <x v="63"/>
    <x v="0"/>
    <x v="2"/>
    <x v="11"/>
    <n v="1189815.8400000001"/>
  </r>
  <r>
    <x v="1"/>
    <x v="39"/>
    <x v="0"/>
    <x v="1"/>
    <x v="5"/>
    <n v="0"/>
  </r>
  <r>
    <x v="0"/>
    <x v="11"/>
    <x v="0"/>
    <x v="1"/>
    <x v="23"/>
    <n v="264611000"/>
  </r>
  <r>
    <x v="1"/>
    <x v="9"/>
    <x v="0"/>
    <x v="2"/>
    <x v="11"/>
    <n v="9101623.3800000008"/>
  </r>
  <r>
    <x v="0"/>
    <x v="51"/>
    <x v="0"/>
    <x v="1"/>
    <x v="17"/>
    <n v="1449911.26"/>
  </r>
  <r>
    <x v="0"/>
    <x v="8"/>
    <x v="0"/>
    <x v="4"/>
    <x v="17"/>
    <n v="888768"/>
  </r>
  <r>
    <x v="0"/>
    <x v="39"/>
    <x v="0"/>
    <x v="1"/>
    <x v="1"/>
    <n v="70647.28"/>
  </r>
  <r>
    <x v="1"/>
    <x v="28"/>
    <x v="0"/>
    <x v="1"/>
    <x v="18"/>
    <n v="-33079210.960000001"/>
  </r>
  <r>
    <x v="1"/>
    <x v="20"/>
    <x v="0"/>
    <x v="1"/>
    <x v="13"/>
    <n v="265487343.43000001"/>
  </r>
  <r>
    <x v="0"/>
    <x v="31"/>
    <x v="0"/>
    <x v="1"/>
    <x v="0"/>
    <n v="24993432.32"/>
  </r>
  <r>
    <x v="0"/>
    <x v="18"/>
    <x v="0"/>
    <x v="1"/>
    <x v="24"/>
    <n v="7079743.8799999999"/>
  </r>
  <r>
    <x v="0"/>
    <x v="33"/>
    <x v="0"/>
    <x v="6"/>
    <x v="2"/>
    <n v="2927366.17"/>
  </r>
  <r>
    <x v="1"/>
    <x v="47"/>
    <x v="0"/>
    <x v="9"/>
    <x v="6"/>
    <n v="84771.39"/>
  </r>
  <r>
    <x v="0"/>
    <x v="59"/>
    <x v="0"/>
    <x v="7"/>
    <x v="17"/>
    <n v="17776.53"/>
  </r>
  <r>
    <x v="0"/>
    <x v="18"/>
    <x v="0"/>
    <x v="1"/>
    <x v="15"/>
    <n v="8119607.8600000003"/>
  </r>
  <r>
    <x v="1"/>
    <x v="25"/>
    <x v="0"/>
    <x v="1"/>
    <x v="18"/>
    <n v="71659.45"/>
  </r>
  <r>
    <x v="0"/>
    <x v="69"/>
    <x v="0"/>
    <x v="1"/>
    <x v="19"/>
    <n v="808741.96"/>
  </r>
  <r>
    <x v="0"/>
    <x v="11"/>
    <x v="0"/>
    <x v="1"/>
    <x v="11"/>
    <n v="220429191.22999999"/>
  </r>
  <r>
    <x v="1"/>
    <x v="52"/>
    <x v="0"/>
    <x v="1"/>
    <x v="20"/>
    <n v="2533021.7400000002"/>
  </r>
  <r>
    <x v="1"/>
    <x v="8"/>
    <x v="0"/>
    <x v="1"/>
    <x v="2"/>
    <n v="7803726.8700000001"/>
  </r>
  <r>
    <x v="1"/>
    <x v="16"/>
    <x v="0"/>
    <x v="1"/>
    <x v="12"/>
    <n v="287138.44"/>
  </r>
  <r>
    <x v="0"/>
    <x v="5"/>
    <x v="0"/>
    <x v="3"/>
    <x v="21"/>
    <n v="6518000"/>
  </r>
  <r>
    <x v="0"/>
    <x v="10"/>
    <x v="0"/>
    <x v="6"/>
    <x v="0"/>
    <n v="64000"/>
  </r>
  <r>
    <x v="0"/>
    <x v="39"/>
    <x v="0"/>
    <x v="1"/>
    <x v="2"/>
    <n v="216326.8"/>
  </r>
  <r>
    <x v="1"/>
    <x v="37"/>
    <x v="0"/>
    <x v="1"/>
    <x v="22"/>
    <n v="670656.75"/>
  </r>
  <r>
    <x v="1"/>
    <x v="63"/>
    <x v="0"/>
    <x v="1"/>
    <x v="25"/>
    <n v="36000"/>
  </r>
  <r>
    <x v="1"/>
    <x v="65"/>
    <x v="0"/>
    <x v="1"/>
    <x v="1"/>
    <n v="-2871268.07"/>
  </r>
  <r>
    <x v="0"/>
    <x v="40"/>
    <x v="0"/>
    <x v="1"/>
    <x v="17"/>
    <n v="644043536.28999996"/>
  </r>
  <r>
    <x v="1"/>
    <x v="73"/>
    <x v="0"/>
    <x v="1"/>
    <x v="13"/>
    <n v="309262.48"/>
  </r>
  <r>
    <x v="1"/>
    <x v="100"/>
    <x v="0"/>
    <x v="1"/>
    <x v="22"/>
    <n v="14785.71"/>
  </r>
  <r>
    <x v="1"/>
    <x v="59"/>
    <x v="0"/>
    <x v="10"/>
    <x v="24"/>
    <n v="-912.37"/>
  </r>
  <r>
    <x v="1"/>
    <x v="67"/>
    <x v="0"/>
    <x v="1"/>
    <x v="19"/>
    <n v="-119183.31"/>
  </r>
  <r>
    <x v="1"/>
    <x v="26"/>
    <x v="0"/>
    <x v="1"/>
    <x v="5"/>
    <n v="77431.72"/>
  </r>
  <r>
    <x v="1"/>
    <x v="59"/>
    <x v="0"/>
    <x v="10"/>
    <x v="25"/>
    <n v="-62335.47"/>
  </r>
  <r>
    <x v="0"/>
    <x v="42"/>
    <x v="0"/>
    <x v="1"/>
    <x v="13"/>
    <n v="9239785.4600000009"/>
  </r>
  <r>
    <x v="0"/>
    <x v="42"/>
    <x v="0"/>
    <x v="1"/>
    <x v="16"/>
    <n v="7177104.7400000002"/>
  </r>
  <r>
    <x v="1"/>
    <x v="67"/>
    <x v="0"/>
    <x v="1"/>
    <x v="1"/>
    <n v="-79386.080000000002"/>
  </r>
  <r>
    <x v="0"/>
    <x v="0"/>
    <x v="0"/>
    <x v="1"/>
    <x v="3"/>
    <n v="26041259.25"/>
  </r>
  <r>
    <x v="0"/>
    <x v="51"/>
    <x v="0"/>
    <x v="1"/>
    <x v="6"/>
    <n v="4805933.87"/>
  </r>
  <r>
    <x v="0"/>
    <x v="10"/>
    <x v="0"/>
    <x v="1"/>
    <x v="14"/>
    <n v="2023340.18"/>
  </r>
  <r>
    <x v="1"/>
    <x v="11"/>
    <x v="0"/>
    <x v="1"/>
    <x v="24"/>
    <n v="-3650278.18"/>
  </r>
  <r>
    <x v="0"/>
    <x v="65"/>
    <x v="0"/>
    <x v="1"/>
    <x v="0"/>
    <n v="6415128.21"/>
  </r>
  <r>
    <x v="1"/>
    <x v="53"/>
    <x v="0"/>
    <x v="9"/>
    <x v="14"/>
    <n v="-10211.66"/>
  </r>
  <r>
    <x v="1"/>
    <x v="67"/>
    <x v="0"/>
    <x v="1"/>
    <x v="20"/>
    <n v="-107305.47"/>
  </r>
  <r>
    <x v="1"/>
    <x v="72"/>
    <x v="0"/>
    <x v="1"/>
    <x v="12"/>
    <n v="-70765.399999999994"/>
  </r>
  <r>
    <x v="0"/>
    <x v="58"/>
    <x v="0"/>
    <x v="6"/>
    <x v="2"/>
    <n v="1222996"/>
  </r>
  <r>
    <x v="1"/>
    <x v="28"/>
    <x v="0"/>
    <x v="0"/>
    <x v="16"/>
    <n v="2230246.92"/>
  </r>
  <r>
    <x v="0"/>
    <x v="16"/>
    <x v="0"/>
    <x v="1"/>
    <x v="17"/>
    <n v="5723833.5300000003"/>
  </r>
  <r>
    <x v="1"/>
    <x v="55"/>
    <x v="0"/>
    <x v="1"/>
    <x v="17"/>
    <n v="22985.48"/>
  </r>
  <r>
    <x v="0"/>
    <x v="31"/>
    <x v="0"/>
    <x v="6"/>
    <x v="5"/>
    <n v="238000"/>
  </r>
  <r>
    <x v="0"/>
    <x v="20"/>
    <x v="0"/>
    <x v="5"/>
    <x v="25"/>
    <n v="366816889.23000002"/>
  </r>
  <r>
    <x v="1"/>
    <x v="87"/>
    <x v="0"/>
    <x v="1"/>
    <x v="5"/>
    <n v="-73119.570000000007"/>
  </r>
  <r>
    <x v="1"/>
    <x v="14"/>
    <x v="0"/>
    <x v="1"/>
    <x v="24"/>
    <n v="41757.379999999997"/>
  </r>
  <r>
    <x v="1"/>
    <x v="79"/>
    <x v="0"/>
    <x v="9"/>
    <x v="20"/>
    <n v="2775499.06"/>
  </r>
  <r>
    <x v="1"/>
    <x v="52"/>
    <x v="0"/>
    <x v="1"/>
    <x v="3"/>
    <n v="-0.01"/>
  </r>
  <r>
    <x v="0"/>
    <x v="50"/>
    <x v="0"/>
    <x v="1"/>
    <x v="22"/>
    <n v="27405600"/>
  </r>
  <r>
    <x v="0"/>
    <x v="33"/>
    <x v="0"/>
    <x v="5"/>
    <x v="19"/>
    <n v="192151234.66999999"/>
  </r>
  <r>
    <x v="0"/>
    <x v="22"/>
    <x v="0"/>
    <x v="5"/>
    <x v="13"/>
    <n v="24000000"/>
  </r>
  <r>
    <x v="0"/>
    <x v="3"/>
    <x v="0"/>
    <x v="1"/>
    <x v="23"/>
    <n v="159997.54999999999"/>
  </r>
  <r>
    <x v="0"/>
    <x v="73"/>
    <x v="0"/>
    <x v="1"/>
    <x v="5"/>
    <n v="2570293.37"/>
  </r>
  <r>
    <x v="0"/>
    <x v="11"/>
    <x v="0"/>
    <x v="2"/>
    <x v="11"/>
    <n v="6713000"/>
  </r>
  <r>
    <x v="0"/>
    <x v="8"/>
    <x v="0"/>
    <x v="4"/>
    <x v="5"/>
    <n v="3174993"/>
  </r>
  <r>
    <x v="1"/>
    <x v="7"/>
    <x v="0"/>
    <x v="1"/>
    <x v="4"/>
    <n v="218728.47"/>
  </r>
  <r>
    <x v="0"/>
    <x v="79"/>
    <x v="0"/>
    <x v="9"/>
    <x v="14"/>
    <n v="19653196.760000002"/>
  </r>
  <r>
    <x v="1"/>
    <x v="89"/>
    <x v="0"/>
    <x v="1"/>
    <x v="14"/>
    <n v="163300.82"/>
  </r>
  <r>
    <x v="0"/>
    <x v="22"/>
    <x v="0"/>
    <x v="5"/>
    <x v="5"/>
    <n v="24000000"/>
  </r>
  <r>
    <x v="1"/>
    <x v="54"/>
    <x v="0"/>
    <x v="1"/>
    <x v="14"/>
    <n v="52409.64"/>
  </r>
  <r>
    <x v="1"/>
    <x v="14"/>
    <x v="0"/>
    <x v="1"/>
    <x v="7"/>
    <n v="157231.67999999999"/>
  </r>
  <r>
    <x v="1"/>
    <x v="60"/>
    <x v="0"/>
    <x v="1"/>
    <x v="15"/>
    <n v="25187.15"/>
  </r>
  <r>
    <x v="1"/>
    <x v="6"/>
    <x v="0"/>
    <x v="3"/>
    <x v="7"/>
    <n v="30012.61"/>
  </r>
  <r>
    <x v="1"/>
    <x v="51"/>
    <x v="0"/>
    <x v="1"/>
    <x v="23"/>
    <n v="1159275.6599999999"/>
  </r>
  <r>
    <x v="0"/>
    <x v="1"/>
    <x v="0"/>
    <x v="1"/>
    <x v="5"/>
    <n v="5653729.3399999999"/>
  </r>
  <r>
    <x v="0"/>
    <x v="66"/>
    <x v="0"/>
    <x v="6"/>
    <x v="1"/>
    <n v="718000"/>
  </r>
  <r>
    <x v="1"/>
    <x v="43"/>
    <x v="0"/>
    <x v="1"/>
    <x v="4"/>
    <n v="76038.759999999995"/>
  </r>
  <r>
    <x v="1"/>
    <x v="89"/>
    <x v="0"/>
    <x v="6"/>
    <x v="1"/>
    <n v="38000"/>
  </r>
  <r>
    <x v="0"/>
    <x v="63"/>
    <x v="0"/>
    <x v="1"/>
    <x v="21"/>
    <n v="2035208"/>
  </r>
  <r>
    <x v="1"/>
    <x v="32"/>
    <x v="0"/>
    <x v="1"/>
    <x v="20"/>
    <n v="561413.66"/>
  </r>
  <r>
    <x v="0"/>
    <x v="9"/>
    <x v="0"/>
    <x v="1"/>
    <x v="5"/>
    <n v="630193131.58000004"/>
  </r>
  <r>
    <x v="0"/>
    <x v="26"/>
    <x v="0"/>
    <x v="1"/>
    <x v="14"/>
    <n v="893989.03"/>
  </r>
  <r>
    <x v="0"/>
    <x v="36"/>
    <x v="0"/>
    <x v="3"/>
    <x v="18"/>
    <n v="2725000"/>
  </r>
  <r>
    <x v="0"/>
    <x v="43"/>
    <x v="0"/>
    <x v="1"/>
    <x v="3"/>
    <n v="2086340.43"/>
  </r>
  <r>
    <x v="1"/>
    <x v="20"/>
    <x v="0"/>
    <x v="6"/>
    <x v="25"/>
    <n v="205326"/>
  </r>
  <r>
    <x v="1"/>
    <x v="1"/>
    <x v="0"/>
    <x v="1"/>
    <x v="23"/>
    <n v="547946.84"/>
  </r>
  <r>
    <x v="1"/>
    <x v="45"/>
    <x v="0"/>
    <x v="1"/>
    <x v="6"/>
    <n v="4589322.38"/>
  </r>
  <r>
    <x v="1"/>
    <x v="4"/>
    <x v="0"/>
    <x v="10"/>
    <x v="24"/>
    <n v="9883694.4700000007"/>
  </r>
  <r>
    <x v="0"/>
    <x v="22"/>
    <x v="0"/>
    <x v="1"/>
    <x v="20"/>
    <n v="70353939.969999999"/>
  </r>
  <r>
    <x v="0"/>
    <x v="90"/>
    <x v="0"/>
    <x v="1"/>
    <x v="19"/>
    <n v="64933.57"/>
  </r>
  <r>
    <x v="0"/>
    <x v="62"/>
    <x v="0"/>
    <x v="1"/>
    <x v="2"/>
    <n v="43372740.130000003"/>
  </r>
  <r>
    <x v="0"/>
    <x v="9"/>
    <x v="0"/>
    <x v="3"/>
    <x v="8"/>
    <n v="37561621.469999999"/>
  </r>
  <r>
    <x v="1"/>
    <x v="93"/>
    <x v="0"/>
    <x v="1"/>
    <x v="11"/>
    <n v="1423493.26"/>
  </r>
  <r>
    <x v="0"/>
    <x v="86"/>
    <x v="0"/>
    <x v="1"/>
    <x v="21"/>
    <n v="1376907.96"/>
  </r>
  <r>
    <x v="0"/>
    <x v="19"/>
    <x v="0"/>
    <x v="1"/>
    <x v="3"/>
    <n v="1093991.67"/>
  </r>
  <r>
    <x v="0"/>
    <x v="54"/>
    <x v="0"/>
    <x v="1"/>
    <x v="15"/>
    <n v="924509.61"/>
  </r>
  <r>
    <x v="1"/>
    <x v="65"/>
    <x v="0"/>
    <x v="1"/>
    <x v="20"/>
    <n v="460192.98"/>
  </r>
  <r>
    <x v="1"/>
    <x v="18"/>
    <x v="0"/>
    <x v="1"/>
    <x v="4"/>
    <n v="448424.6"/>
  </r>
  <r>
    <x v="1"/>
    <x v="50"/>
    <x v="0"/>
    <x v="6"/>
    <x v="25"/>
    <n v="0"/>
  </r>
  <r>
    <x v="0"/>
    <x v="1"/>
    <x v="0"/>
    <x v="1"/>
    <x v="8"/>
    <n v="5461993.1799999997"/>
  </r>
  <r>
    <x v="0"/>
    <x v="20"/>
    <x v="0"/>
    <x v="1"/>
    <x v="9"/>
    <n v="2765590062.7800002"/>
  </r>
  <r>
    <x v="0"/>
    <x v="16"/>
    <x v="0"/>
    <x v="1"/>
    <x v="13"/>
    <n v="5954919.29"/>
  </r>
  <r>
    <x v="1"/>
    <x v="51"/>
    <x v="0"/>
    <x v="1"/>
    <x v="6"/>
    <n v="280413.68"/>
  </r>
  <r>
    <x v="0"/>
    <x v="37"/>
    <x v="0"/>
    <x v="1"/>
    <x v="15"/>
    <n v="14117168.869999999"/>
  </r>
  <r>
    <x v="0"/>
    <x v="58"/>
    <x v="0"/>
    <x v="7"/>
    <x v="20"/>
    <n v="218319.1"/>
  </r>
  <r>
    <x v="0"/>
    <x v="4"/>
    <x v="0"/>
    <x v="11"/>
    <x v="5"/>
    <n v="75056871.870000005"/>
  </r>
  <r>
    <x v="1"/>
    <x v="90"/>
    <x v="0"/>
    <x v="1"/>
    <x v="1"/>
    <n v="21842.37"/>
  </r>
  <r>
    <x v="0"/>
    <x v="40"/>
    <x v="0"/>
    <x v="7"/>
    <x v="25"/>
    <n v="211439.34"/>
  </r>
  <r>
    <x v="0"/>
    <x v="36"/>
    <x v="0"/>
    <x v="3"/>
    <x v="13"/>
    <n v="1411000"/>
  </r>
  <r>
    <x v="1"/>
    <x v="40"/>
    <x v="0"/>
    <x v="1"/>
    <x v="11"/>
    <n v="82051560.370000005"/>
  </r>
  <r>
    <x v="0"/>
    <x v="16"/>
    <x v="0"/>
    <x v="1"/>
    <x v="11"/>
    <n v="8151567.6600000001"/>
  </r>
  <r>
    <x v="1"/>
    <x v="18"/>
    <x v="0"/>
    <x v="7"/>
    <x v="13"/>
    <n v="22891.86"/>
  </r>
  <r>
    <x v="1"/>
    <x v="66"/>
    <x v="0"/>
    <x v="1"/>
    <x v="4"/>
    <n v="1403730.82"/>
  </r>
  <r>
    <x v="0"/>
    <x v="75"/>
    <x v="0"/>
    <x v="1"/>
    <x v="12"/>
    <n v="203250.61"/>
  </r>
  <r>
    <x v="0"/>
    <x v="58"/>
    <x v="0"/>
    <x v="7"/>
    <x v="19"/>
    <n v="9680"/>
  </r>
  <r>
    <x v="1"/>
    <x v="5"/>
    <x v="0"/>
    <x v="1"/>
    <x v="10"/>
    <n v="1196.19"/>
  </r>
  <r>
    <x v="0"/>
    <x v="73"/>
    <x v="0"/>
    <x v="6"/>
    <x v="1"/>
    <n v="127000"/>
  </r>
  <r>
    <x v="0"/>
    <x v="36"/>
    <x v="0"/>
    <x v="3"/>
    <x v="8"/>
    <n v="2725000"/>
  </r>
  <r>
    <x v="1"/>
    <x v="19"/>
    <x v="0"/>
    <x v="1"/>
    <x v="5"/>
    <n v="26222.02"/>
  </r>
  <r>
    <x v="0"/>
    <x v="59"/>
    <x v="0"/>
    <x v="1"/>
    <x v="17"/>
    <n v="44262917.579999998"/>
  </r>
  <r>
    <x v="1"/>
    <x v="53"/>
    <x v="0"/>
    <x v="1"/>
    <x v="17"/>
    <n v="459542.95"/>
  </r>
  <r>
    <x v="0"/>
    <x v="73"/>
    <x v="0"/>
    <x v="9"/>
    <x v="6"/>
    <n v="3012661.14"/>
  </r>
  <r>
    <x v="1"/>
    <x v="79"/>
    <x v="0"/>
    <x v="1"/>
    <x v="11"/>
    <n v="7036923.8300000001"/>
  </r>
  <r>
    <x v="0"/>
    <x v="68"/>
    <x v="0"/>
    <x v="6"/>
    <x v="13"/>
    <n v="30000"/>
  </r>
  <r>
    <x v="1"/>
    <x v="75"/>
    <x v="0"/>
    <x v="1"/>
    <x v="5"/>
    <n v="18077.71"/>
  </r>
  <r>
    <x v="1"/>
    <x v="76"/>
    <x v="0"/>
    <x v="10"/>
    <x v="20"/>
    <n v="-1922371.2"/>
  </r>
  <r>
    <x v="0"/>
    <x v="62"/>
    <x v="0"/>
    <x v="6"/>
    <x v="0"/>
    <n v="139000"/>
  </r>
  <r>
    <x v="1"/>
    <x v="62"/>
    <x v="0"/>
    <x v="1"/>
    <x v="21"/>
    <n v="2085365.9"/>
  </r>
  <r>
    <x v="0"/>
    <x v="76"/>
    <x v="0"/>
    <x v="1"/>
    <x v="21"/>
    <n v="36592909.109999999"/>
  </r>
  <r>
    <x v="0"/>
    <x v="80"/>
    <x v="0"/>
    <x v="1"/>
    <x v="22"/>
    <n v="18179409.609999999"/>
  </r>
  <r>
    <x v="0"/>
    <x v="3"/>
    <x v="0"/>
    <x v="1"/>
    <x v="18"/>
    <n v="2304494.06"/>
  </r>
  <r>
    <x v="0"/>
    <x v="9"/>
    <x v="0"/>
    <x v="1"/>
    <x v="19"/>
    <n v="448597840.18000001"/>
  </r>
  <r>
    <x v="0"/>
    <x v="9"/>
    <x v="0"/>
    <x v="2"/>
    <x v="11"/>
    <n v="26322542.77"/>
  </r>
  <r>
    <x v="0"/>
    <x v="35"/>
    <x v="0"/>
    <x v="1"/>
    <x v="3"/>
    <n v="66150493"/>
  </r>
  <r>
    <x v="0"/>
    <x v="54"/>
    <x v="0"/>
    <x v="1"/>
    <x v="14"/>
    <n v="861750.35"/>
  </r>
  <r>
    <x v="0"/>
    <x v="50"/>
    <x v="0"/>
    <x v="1"/>
    <x v="20"/>
    <n v="40323348.259999998"/>
  </r>
  <r>
    <x v="0"/>
    <x v="47"/>
    <x v="0"/>
    <x v="1"/>
    <x v="10"/>
    <n v="50853774.079999998"/>
  </r>
  <r>
    <x v="0"/>
    <x v="9"/>
    <x v="0"/>
    <x v="1"/>
    <x v="1"/>
    <n v="616940708.21000004"/>
  </r>
  <r>
    <x v="1"/>
    <x v="32"/>
    <x v="0"/>
    <x v="1"/>
    <x v="15"/>
    <n v="355810.38"/>
  </r>
  <r>
    <x v="0"/>
    <x v="53"/>
    <x v="0"/>
    <x v="1"/>
    <x v="21"/>
    <n v="5333690.75"/>
  </r>
  <r>
    <x v="1"/>
    <x v="79"/>
    <x v="0"/>
    <x v="6"/>
    <x v="11"/>
    <n v="110405.85"/>
  </r>
  <r>
    <x v="0"/>
    <x v="86"/>
    <x v="0"/>
    <x v="1"/>
    <x v="3"/>
    <n v="1159706.82"/>
  </r>
  <r>
    <x v="1"/>
    <x v="89"/>
    <x v="0"/>
    <x v="1"/>
    <x v="23"/>
    <n v="188459.98"/>
  </r>
  <r>
    <x v="0"/>
    <x v="59"/>
    <x v="0"/>
    <x v="9"/>
    <x v="25"/>
    <n v="102980.88"/>
  </r>
  <r>
    <x v="1"/>
    <x v="76"/>
    <x v="0"/>
    <x v="1"/>
    <x v="22"/>
    <n v="2455734.86"/>
  </r>
  <r>
    <x v="0"/>
    <x v="56"/>
    <x v="0"/>
    <x v="1"/>
    <x v="15"/>
    <n v="218067.98"/>
  </r>
  <r>
    <x v="0"/>
    <x v="4"/>
    <x v="0"/>
    <x v="0"/>
    <x v="22"/>
    <n v="34472714.240000002"/>
  </r>
  <r>
    <x v="1"/>
    <x v="85"/>
    <x v="0"/>
    <x v="1"/>
    <x v="17"/>
    <n v="219114.15"/>
  </r>
  <r>
    <x v="1"/>
    <x v="10"/>
    <x v="0"/>
    <x v="1"/>
    <x v="0"/>
    <n v="65642.570000000007"/>
  </r>
  <r>
    <x v="0"/>
    <x v="53"/>
    <x v="0"/>
    <x v="1"/>
    <x v="25"/>
    <n v="6025782.8700000001"/>
  </r>
  <r>
    <x v="0"/>
    <x v="77"/>
    <x v="0"/>
    <x v="1"/>
    <x v="10"/>
    <n v="1429935.34"/>
  </r>
  <r>
    <x v="1"/>
    <x v="80"/>
    <x v="0"/>
    <x v="1"/>
    <x v="4"/>
    <n v="2625145.5699999998"/>
  </r>
  <r>
    <x v="1"/>
    <x v="73"/>
    <x v="0"/>
    <x v="9"/>
    <x v="20"/>
    <n v="434412.28"/>
  </r>
  <r>
    <x v="0"/>
    <x v="45"/>
    <x v="0"/>
    <x v="1"/>
    <x v="21"/>
    <n v="101413024.92"/>
  </r>
  <r>
    <x v="1"/>
    <x v="43"/>
    <x v="0"/>
    <x v="6"/>
    <x v="13"/>
    <n v="5000"/>
  </r>
  <r>
    <x v="1"/>
    <x v="58"/>
    <x v="0"/>
    <x v="1"/>
    <x v="0"/>
    <n v="-23368.720000000001"/>
  </r>
  <r>
    <x v="1"/>
    <x v="56"/>
    <x v="0"/>
    <x v="1"/>
    <x v="16"/>
    <n v="20996.16"/>
  </r>
  <r>
    <x v="0"/>
    <x v="28"/>
    <x v="0"/>
    <x v="1"/>
    <x v="22"/>
    <n v="126946017.06999999"/>
  </r>
  <r>
    <x v="0"/>
    <x v="9"/>
    <x v="0"/>
    <x v="1"/>
    <x v="0"/>
    <n v="612133095.85000002"/>
  </r>
  <r>
    <x v="0"/>
    <x v="53"/>
    <x v="0"/>
    <x v="9"/>
    <x v="19"/>
    <n v="73315.820000000007"/>
  </r>
  <r>
    <x v="0"/>
    <x v="14"/>
    <x v="0"/>
    <x v="1"/>
    <x v="4"/>
    <n v="2982062.64"/>
  </r>
  <r>
    <x v="0"/>
    <x v="47"/>
    <x v="0"/>
    <x v="1"/>
    <x v="14"/>
    <n v="50130778.060000002"/>
  </r>
  <r>
    <x v="0"/>
    <x v="9"/>
    <x v="0"/>
    <x v="6"/>
    <x v="0"/>
    <n v="30119860.690000001"/>
  </r>
  <r>
    <x v="1"/>
    <x v="93"/>
    <x v="0"/>
    <x v="1"/>
    <x v="8"/>
    <n v="805420.16"/>
  </r>
  <r>
    <x v="1"/>
    <x v="46"/>
    <x v="0"/>
    <x v="1"/>
    <x v="19"/>
    <n v="62647.35"/>
  </r>
  <r>
    <x v="0"/>
    <x v="31"/>
    <x v="0"/>
    <x v="1"/>
    <x v="4"/>
    <n v="37558449.109999999"/>
  </r>
  <r>
    <x v="1"/>
    <x v="22"/>
    <x v="0"/>
    <x v="1"/>
    <x v="7"/>
    <n v="11333453.800000001"/>
  </r>
  <r>
    <x v="0"/>
    <x v="67"/>
    <x v="0"/>
    <x v="2"/>
    <x v="23"/>
    <n v="85852.71"/>
  </r>
  <r>
    <x v="1"/>
    <x v="76"/>
    <x v="0"/>
    <x v="1"/>
    <x v="9"/>
    <n v="7774931.75"/>
  </r>
  <r>
    <x v="1"/>
    <x v="65"/>
    <x v="0"/>
    <x v="10"/>
    <x v="5"/>
    <n v="242383.63"/>
  </r>
  <r>
    <x v="0"/>
    <x v="20"/>
    <x v="0"/>
    <x v="3"/>
    <x v="18"/>
    <n v="243924.24"/>
  </r>
  <r>
    <x v="0"/>
    <x v="32"/>
    <x v="0"/>
    <x v="1"/>
    <x v="8"/>
    <n v="6204361.5800000001"/>
  </r>
  <r>
    <x v="0"/>
    <x v="30"/>
    <x v="0"/>
    <x v="1"/>
    <x v="6"/>
    <n v="682303960.05999994"/>
  </r>
  <r>
    <x v="0"/>
    <x v="52"/>
    <x v="0"/>
    <x v="1"/>
    <x v="1"/>
    <n v="8525874.4199999999"/>
  </r>
  <r>
    <x v="1"/>
    <x v="18"/>
    <x v="0"/>
    <x v="1"/>
    <x v="11"/>
    <n v="104984.61"/>
  </r>
  <r>
    <x v="1"/>
    <x v="104"/>
    <x v="0"/>
    <x v="7"/>
    <x v="15"/>
    <n v="1739.62"/>
  </r>
  <r>
    <x v="1"/>
    <x v="88"/>
    <x v="0"/>
    <x v="1"/>
    <x v="16"/>
    <n v="29917.18"/>
  </r>
  <r>
    <x v="0"/>
    <x v="32"/>
    <x v="0"/>
    <x v="1"/>
    <x v="1"/>
    <n v="6909223.6399999997"/>
  </r>
  <r>
    <x v="0"/>
    <x v="50"/>
    <x v="0"/>
    <x v="3"/>
    <x v="23"/>
    <n v="9538000"/>
  </r>
  <r>
    <x v="0"/>
    <x v="20"/>
    <x v="0"/>
    <x v="3"/>
    <x v="8"/>
    <n v="264246.75"/>
  </r>
  <r>
    <x v="0"/>
    <x v="3"/>
    <x v="0"/>
    <x v="1"/>
    <x v="17"/>
    <n v="1888251.17"/>
  </r>
  <r>
    <x v="1"/>
    <x v="20"/>
    <x v="0"/>
    <x v="1"/>
    <x v="20"/>
    <n v="207301387.94999999"/>
  </r>
  <r>
    <x v="1"/>
    <x v="20"/>
    <x v="0"/>
    <x v="1"/>
    <x v="18"/>
    <n v="162546507.03999999"/>
  </r>
  <r>
    <x v="1"/>
    <x v="40"/>
    <x v="0"/>
    <x v="10"/>
    <x v="25"/>
    <n v="1242096.51"/>
  </r>
  <r>
    <x v="0"/>
    <x v="19"/>
    <x v="0"/>
    <x v="2"/>
    <x v="9"/>
    <n v="156879.95000000001"/>
  </r>
  <r>
    <x v="0"/>
    <x v="4"/>
    <x v="0"/>
    <x v="5"/>
    <x v="19"/>
    <n v="1133755.57"/>
  </r>
  <r>
    <x v="1"/>
    <x v="19"/>
    <x v="0"/>
    <x v="1"/>
    <x v="17"/>
    <n v="27373.31"/>
  </r>
  <r>
    <x v="0"/>
    <x v="50"/>
    <x v="0"/>
    <x v="1"/>
    <x v="5"/>
    <n v="43275903.630000003"/>
  </r>
  <r>
    <x v="0"/>
    <x v="24"/>
    <x v="0"/>
    <x v="1"/>
    <x v="7"/>
    <n v="50593000"/>
  </r>
  <r>
    <x v="0"/>
    <x v="18"/>
    <x v="0"/>
    <x v="1"/>
    <x v="14"/>
    <n v="7160933.7699999996"/>
  </r>
  <r>
    <x v="0"/>
    <x v="63"/>
    <x v="0"/>
    <x v="2"/>
    <x v="9"/>
    <n v="995324.48"/>
  </r>
  <r>
    <x v="0"/>
    <x v="58"/>
    <x v="0"/>
    <x v="7"/>
    <x v="10"/>
    <n v="588397.25"/>
  </r>
  <r>
    <x v="0"/>
    <x v="79"/>
    <x v="0"/>
    <x v="6"/>
    <x v="1"/>
    <n v="1203405.1399999999"/>
  </r>
  <r>
    <x v="1"/>
    <x v="59"/>
    <x v="0"/>
    <x v="1"/>
    <x v="18"/>
    <n v="2176299.84"/>
  </r>
  <r>
    <x v="1"/>
    <x v="54"/>
    <x v="0"/>
    <x v="1"/>
    <x v="16"/>
    <n v="95524.51"/>
  </r>
  <r>
    <x v="0"/>
    <x v="27"/>
    <x v="0"/>
    <x v="1"/>
    <x v="23"/>
    <n v="62135000"/>
  </r>
  <r>
    <x v="0"/>
    <x v="77"/>
    <x v="0"/>
    <x v="1"/>
    <x v="14"/>
    <n v="1412802.48"/>
  </r>
  <r>
    <x v="0"/>
    <x v="14"/>
    <x v="0"/>
    <x v="1"/>
    <x v="16"/>
    <n v="1951809.45"/>
  </r>
  <r>
    <x v="0"/>
    <x v="56"/>
    <x v="0"/>
    <x v="1"/>
    <x v="24"/>
    <n v="188110.26"/>
  </r>
  <r>
    <x v="0"/>
    <x v="76"/>
    <x v="0"/>
    <x v="10"/>
    <x v="6"/>
    <n v="9946444.7100000009"/>
  </r>
  <r>
    <x v="0"/>
    <x v="10"/>
    <x v="0"/>
    <x v="1"/>
    <x v="8"/>
    <n v="1454303.29"/>
  </r>
  <r>
    <x v="1"/>
    <x v="16"/>
    <x v="0"/>
    <x v="1"/>
    <x v="7"/>
    <n v="365731.92"/>
  </r>
  <r>
    <x v="0"/>
    <x v="10"/>
    <x v="0"/>
    <x v="1"/>
    <x v="19"/>
    <n v="1766521.95"/>
  </r>
  <r>
    <x v="0"/>
    <x v="15"/>
    <x v="0"/>
    <x v="10"/>
    <x v="25"/>
    <n v="1990068.72"/>
  </r>
  <r>
    <x v="0"/>
    <x v="12"/>
    <x v="0"/>
    <x v="1"/>
    <x v="1"/>
    <n v="36927000"/>
  </r>
  <r>
    <x v="1"/>
    <x v="13"/>
    <x v="0"/>
    <x v="1"/>
    <x v="11"/>
    <n v="160449.12"/>
  </r>
  <r>
    <x v="0"/>
    <x v="66"/>
    <x v="0"/>
    <x v="1"/>
    <x v="13"/>
    <n v="7319481.5800000001"/>
  </r>
  <r>
    <x v="1"/>
    <x v="36"/>
    <x v="0"/>
    <x v="1"/>
    <x v="7"/>
    <n v="33991"/>
  </r>
  <r>
    <x v="1"/>
    <x v="21"/>
    <x v="0"/>
    <x v="1"/>
    <x v="0"/>
    <n v="73877.850000000006"/>
  </r>
  <r>
    <x v="0"/>
    <x v="17"/>
    <x v="0"/>
    <x v="1"/>
    <x v="15"/>
    <n v="7255635.9500000002"/>
  </r>
  <r>
    <x v="1"/>
    <x v="2"/>
    <x v="0"/>
    <x v="1"/>
    <x v="5"/>
    <n v="169957.25"/>
  </r>
  <r>
    <x v="1"/>
    <x v="32"/>
    <x v="0"/>
    <x v="1"/>
    <x v="3"/>
    <n v="438951.7"/>
  </r>
  <r>
    <x v="1"/>
    <x v="31"/>
    <x v="0"/>
    <x v="1"/>
    <x v="12"/>
    <n v="1428644.57"/>
  </r>
  <r>
    <x v="1"/>
    <x v="8"/>
    <x v="0"/>
    <x v="1"/>
    <x v="11"/>
    <n v="6717233.6699999999"/>
  </r>
  <r>
    <x v="1"/>
    <x v="86"/>
    <x v="0"/>
    <x v="1"/>
    <x v="13"/>
    <n v="-57815.27"/>
  </r>
  <r>
    <x v="0"/>
    <x v="52"/>
    <x v="0"/>
    <x v="1"/>
    <x v="0"/>
    <n v="8863805.6300000008"/>
  </r>
  <r>
    <x v="0"/>
    <x v="11"/>
    <x v="0"/>
    <x v="6"/>
    <x v="0"/>
    <n v="15477000"/>
  </r>
  <r>
    <x v="0"/>
    <x v="58"/>
    <x v="0"/>
    <x v="8"/>
    <x v="10"/>
    <n v="44068.98"/>
  </r>
  <r>
    <x v="1"/>
    <x v="11"/>
    <x v="0"/>
    <x v="1"/>
    <x v="16"/>
    <n v="8261503.8700000001"/>
  </r>
  <r>
    <x v="1"/>
    <x v="53"/>
    <x v="0"/>
    <x v="1"/>
    <x v="13"/>
    <n v="452169.16"/>
  </r>
  <r>
    <x v="0"/>
    <x v="62"/>
    <x v="0"/>
    <x v="6"/>
    <x v="1"/>
    <n v="139000"/>
  </r>
  <r>
    <x v="0"/>
    <x v="36"/>
    <x v="0"/>
    <x v="1"/>
    <x v="23"/>
    <n v="35525124.039999999"/>
  </r>
  <r>
    <x v="1"/>
    <x v="30"/>
    <x v="0"/>
    <x v="1"/>
    <x v="9"/>
    <n v="60432.25"/>
  </r>
  <r>
    <x v="0"/>
    <x v="6"/>
    <x v="0"/>
    <x v="1"/>
    <x v="5"/>
    <n v="357398546.75"/>
  </r>
  <r>
    <x v="1"/>
    <x v="60"/>
    <x v="0"/>
    <x v="1"/>
    <x v="11"/>
    <n v="29800.82"/>
  </r>
  <r>
    <x v="1"/>
    <x v="11"/>
    <x v="0"/>
    <x v="1"/>
    <x v="11"/>
    <n v="1937658.77"/>
  </r>
  <r>
    <x v="0"/>
    <x v="97"/>
    <x v="0"/>
    <x v="1"/>
    <x v="9"/>
    <n v="1120549.77"/>
  </r>
  <r>
    <x v="0"/>
    <x v="42"/>
    <x v="0"/>
    <x v="1"/>
    <x v="23"/>
    <n v="32528934.52"/>
  </r>
  <r>
    <x v="1"/>
    <x v="76"/>
    <x v="0"/>
    <x v="8"/>
    <x v="25"/>
    <n v="436139.35"/>
  </r>
  <r>
    <x v="0"/>
    <x v="6"/>
    <x v="0"/>
    <x v="3"/>
    <x v="3"/>
    <n v="6999000"/>
  </r>
  <r>
    <x v="0"/>
    <x v="32"/>
    <x v="0"/>
    <x v="1"/>
    <x v="0"/>
    <n v="7729688.4400000004"/>
  </r>
  <r>
    <x v="0"/>
    <x v="9"/>
    <x v="0"/>
    <x v="3"/>
    <x v="23"/>
    <n v="81587149.060000002"/>
  </r>
  <r>
    <x v="1"/>
    <x v="11"/>
    <x v="0"/>
    <x v="2"/>
    <x v="2"/>
    <n v="1042000"/>
  </r>
  <r>
    <x v="1"/>
    <x v="22"/>
    <x v="0"/>
    <x v="8"/>
    <x v="10"/>
    <n v="470151.44"/>
  </r>
  <r>
    <x v="0"/>
    <x v="73"/>
    <x v="0"/>
    <x v="1"/>
    <x v="1"/>
    <n v="6074616.8899999997"/>
  </r>
  <r>
    <x v="1"/>
    <x v="6"/>
    <x v="0"/>
    <x v="2"/>
    <x v="23"/>
    <n v="-330536.81"/>
  </r>
  <r>
    <x v="1"/>
    <x v="28"/>
    <x v="0"/>
    <x v="1"/>
    <x v="0"/>
    <n v="1925729.86"/>
  </r>
  <r>
    <x v="0"/>
    <x v="12"/>
    <x v="0"/>
    <x v="1"/>
    <x v="0"/>
    <n v="36827000"/>
  </r>
  <r>
    <x v="1"/>
    <x v="82"/>
    <x v="0"/>
    <x v="1"/>
    <x v="22"/>
    <n v="338104.9"/>
  </r>
  <r>
    <x v="0"/>
    <x v="31"/>
    <x v="0"/>
    <x v="1"/>
    <x v="2"/>
    <n v="26778278.52"/>
  </r>
  <r>
    <x v="0"/>
    <x v="79"/>
    <x v="0"/>
    <x v="1"/>
    <x v="15"/>
    <n v="23486751.239999998"/>
  </r>
  <r>
    <x v="0"/>
    <x v="37"/>
    <x v="0"/>
    <x v="1"/>
    <x v="11"/>
    <n v="22785991.039999999"/>
  </r>
  <r>
    <x v="1"/>
    <x v="5"/>
    <x v="0"/>
    <x v="1"/>
    <x v="14"/>
    <n v="706226.35"/>
  </r>
  <r>
    <x v="0"/>
    <x v="79"/>
    <x v="0"/>
    <x v="6"/>
    <x v="2"/>
    <n v="1363074.9"/>
  </r>
  <r>
    <x v="1"/>
    <x v="79"/>
    <x v="0"/>
    <x v="1"/>
    <x v="12"/>
    <n v="4533879.4000000004"/>
  </r>
  <r>
    <x v="1"/>
    <x v="33"/>
    <x v="0"/>
    <x v="1"/>
    <x v="18"/>
    <n v="-69127478.400000006"/>
  </r>
  <r>
    <x v="1"/>
    <x v="82"/>
    <x v="0"/>
    <x v="1"/>
    <x v="20"/>
    <n v="-32404.21"/>
  </r>
  <r>
    <x v="1"/>
    <x v="48"/>
    <x v="0"/>
    <x v="1"/>
    <x v="15"/>
    <n v="2476845"/>
  </r>
  <r>
    <x v="0"/>
    <x v="87"/>
    <x v="0"/>
    <x v="1"/>
    <x v="24"/>
    <n v="19082.48"/>
  </r>
  <r>
    <x v="0"/>
    <x v="42"/>
    <x v="0"/>
    <x v="7"/>
    <x v="9"/>
    <n v="159749.99"/>
  </r>
  <r>
    <x v="1"/>
    <x v="66"/>
    <x v="0"/>
    <x v="1"/>
    <x v="19"/>
    <n v="392713.64"/>
  </r>
  <r>
    <x v="1"/>
    <x v="7"/>
    <x v="0"/>
    <x v="1"/>
    <x v="11"/>
    <n v="163953.75"/>
  </r>
  <r>
    <x v="0"/>
    <x v="79"/>
    <x v="0"/>
    <x v="6"/>
    <x v="0"/>
    <n v="1142927.46"/>
  </r>
  <r>
    <x v="1"/>
    <x v="16"/>
    <x v="0"/>
    <x v="1"/>
    <x v="9"/>
    <n v="772553.79"/>
  </r>
  <r>
    <x v="0"/>
    <x v="34"/>
    <x v="0"/>
    <x v="2"/>
    <x v="22"/>
    <n v="2032182.33"/>
  </r>
  <r>
    <x v="0"/>
    <x v="37"/>
    <x v="0"/>
    <x v="1"/>
    <x v="23"/>
    <n v="39656684.880000003"/>
  </r>
  <r>
    <x v="1"/>
    <x v="0"/>
    <x v="0"/>
    <x v="0"/>
    <x v="1"/>
    <n v="10584471.359999999"/>
  </r>
  <r>
    <x v="1"/>
    <x v="0"/>
    <x v="0"/>
    <x v="0"/>
    <x v="0"/>
    <n v="-10584471.359999999"/>
  </r>
  <r>
    <x v="1"/>
    <x v="19"/>
    <x v="0"/>
    <x v="1"/>
    <x v="9"/>
    <n v="143303.66"/>
  </r>
  <r>
    <x v="0"/>
    <x v="62"/>
    <x v="0"/>
    <x v="10"/>
    <x v="14"/>
    <n v="5869595.5300000003"/>
  </r>
  <r>
    <x v="0"/>
    <x v="66"/>
    <x v="0"/>
    <x v="10"/>
    <x v="14"/>
    <n v="9128696.4399999995"/>
  </r>
  <r>
    <x v="0"/>
    <x v="28"/>
    <x v="0"/>
    <x v="1"/>
    <x v="7"/>
    <n v="239071155.69999999"/>
  </r>
  <r>
    <x v="1"/>
    <x v="28"/>
    <x v="0"/>
    <x v="1"/>
    <x v="1"/>
    <n v="1951738.56"/>
  </r>
  <r>
    <x v="0"/>
    <x v="59"/>
    <x v="0"/>
    <x v="1"/>
    <x v="16"/>
    <n v="37996863.25"/>
  </r>
  <r>
    <x v="1"/>
    <x v="40"/>
    <x v="0"/>
    <x v="1"/>
    <x v="3"/>
    <n v="49476612.390000001"/>
  </r>
  <r>
    <x v="1"/>
    <x v="60"/>
    <x v="0"/>
    <x v="1"/>
    <x v="23"/>
    <n v="18.93"/>
  </r>
  <r>
    <x v="1"/>
    <x v="87"/>
    <x v="0"/>
    <x v="1"/>
    <x v="6"/>
    <n v="-26949.58"/>
  </r>
  <r>
    <x v="0"/>
    <x v="44"/>
    <x v="0"/>
    <x v="1"/>
    <x v="11"/>
    <n v="32282864.23"/>
  </r>
  <r>
    <x v="0"/>
    <x v="79"/>
    <x v="0"/>
    <x v="9"/>
    <x v="20"/>
    <n v="37452671.539999999"/>
  </r>
  <r>
    <x v="0"/>
    <x v="20"/>
    <x v="0"/>
    <x v="1"/>
    <x v="11"/>
    <n v="2707446535.7399998"/>
  </r>
  <r>
    <x v="1"/>
    <x v="51"/>
    <x v="0"/>
    <x v="1"/>
    <x v="17"/>
    <n v="70050.19"/>
  </r>
  <r>
    <x v="0"/>
    <x v="61"/>
    <x v="0"/>
    <x v="1"/>
    <x v="5"/>
    <n v="2874532.16"/>
  </r>
  <r>
    <x v="1"/>
    <x v="97"/>
    <x v="0"/>
    <x v="1"/>
    <x v="2"/>
    <n v="165156.95000000001"/>
  </r>
  <r>
    <x v="0"/>
    <x v="64"/>
    <x v="0"/>
    <x v="6"/>
    <x v="0"/>
    <n v="13000"/>
  </r>
  <r>
    <x v="1"/>
    <x v="105"/>
    <x v="0"/>
    <x v="7"/>
    <x v="12"/>
    <n v="35000"/>
  </r>
  <r>
    <x v="0"/>
    <x v="4"/>
    <x v="0"/>
    <x v="1"/>
    <x v="24"/>
    <n v="4838765044"/>
  </r>
  <r>
    <x v="1"/>
    <x v="66"/>
    <x v="0"/>
    <x v="1"/>
    <x v="10"/>
    <n v="292781.28999999998"/>
  </r>
  <r>
    <x v="0"/>
    <x v="56"/>
    <x v="0"/>
    <x v="6"/>
    <x v="0"/>
    <n v="13000"/>
  </r>
  <r>
    <x v="0"/>
    <x v="82"/>
    <x v="0"/>
    <x v="1"/>
    <x v="21"/>
    <n v="1244322.75"/>
  </r>
  <r>
    <x v="1"/>
    <x v="53"/>
    <x v="0"/>
    <x v="1"/>
    <x v="22"/>
    <n v="712738.59"/>
  </r>
  <r>
    <x v="0"/>
    <x v="55"/>
    <x v="0"/>
    <x v="1"/>
    <x v="5"/>
    <n v="474218.65"/>
  </r>
  <r>
    <x v="0"/>
    <x v="59"/>
    <x v="0"/>
    <x v="1"/>
    <x v="5"/>
    <n v="42675343.210000001"/>
  </r>
  <r>
    <x v="1"/>
    <x v="11"/>
    <x v="0"/>
    <x v="1"/>
    <x v="23"/>
    <n v="0"/>
  </r>
  <r>
    <x v="1"/>
    <x v="53"/>
    <x v="0"/>
    <x v="9"/>
    <x v="24"/>
    <n v="62258.34"/>
  </r>
  <r>
    <x v="0"/>
    <x v="91"/>
    <x v="0"/>
    <x v="1"/>
    <x v="2"/>
    <n v="188000"/>
  </r>
  <r>
    <x v="0"/>
    <x v="78"/>
    <x v="0"/>
    <x v="1"/>
    <x v="4"/>
    <n v="2201793.94"/>
  </r>
  <r>
    <x v="0"/>
    <x v="65"/>
    <x v="0"/>
    <x v="1"/>
    <x v="15"/>
    <n v="9519411.6799999997"/>
  </r>
  <r>
    <x v="1"/>
    <x v="62"/>
    <x v="0"/>
    <x v="1"/>
    <x v="4"/>
    <n v="6743627.4000000004"/>
  </r>
  <r>
    <x v="1"/>
    <x v="4"/>
    <x v="0"/>
    <x v="3"/>
    <x v="18"/>
    <n v="1177.28"/>
  </r>
  <r>
    <x v="1"/>
    <x v="45"/>
    <x v="0"/>
    <x v="1"/>
    <x v="8"/>
    <n v="4636115.04"/>
  </r>
  <r>
    <x v="0"/>
    <x v="24"/>
    <x v="0"/>
    <x v="9"/>
    <x v="25"/>
    <n v="22548942.039999999"/>
  </r>
  <r>
    <x v="0"/>
    <x v="79"/>
    <x v="0"/>
    <x v="9"/>
    <x v="5"/>
    <n v="12657936.779999999"/>
  </r>
  <r>
    <x v="0"/>
    <x v="22"/>
    <x v="0"/>
    <x v="8"/>
    <x v="17"/>
    <n v="2790845.91"/>
  </r>
  <r>
    <x v="0"/>
    <x v="80"/>
    <x v="0"/>
    <x v="1"/>
    <x v="1"/>
    <n v="29789199.34"/>
  </r>
  <r>
    <x v="0"/>
    <x v="75"/>
    <x v="0"/>
    <x v="1"/>
    <x v="13"/>
    <n v="240809.36"/>
  </r>
  <r>
    <x v="0"/>
    <x v="4"/>
    <x v="0"/>
    <x v="11"/>
    <x v="6"/>
    <n v="214098560.5"/>
  </r>
  <r>
    <x v="1"/>
    <x v="20"/>
    <x v="0"/>
    <x v="1"/>
    <x v="8"/>
    <n v="194744158.36000001"/>
  </r>
  <r>
    <x v="1"/>
    <x v="56"/>
    <x v="0"/>
    <x v="1"/>
    <x v="13"/>
    <n v="-9995.2099999999991"/>
  </r>
  <r>
    <x v="0"/>
    <x v="26"/>
    <x v="0"/>
    <x v="1"/>
    <x v="17"/>
    <n v="970026.19"/>
  </r>
  <r>
    <x v="0"/>
    <x v="90"/>
    <x v="0"/>
    <x v="1"/>
    <x v="13"/>
    <n v="178892.04"/>
  </r>
  <r>
    <x v="1"/>
    <x v="64"/>
    <x v="0"/>
    <x v="1"/>
    <x v="15"/>
    <n v="9404.99"/>
  </r>
  <r>
    <x v="1"/>
    <x v="21"/>
    <x v="0"/>
    <x v="1"/>
    <x v="22"/>
    <n v="0"/>
  </r>
  <r>
    <x v="0"/>
    <x v="24"/>
    <x v="0"/>
    <x v="2"/>
    <x v="4"/>
    <n v="4000000"/>
  </r>
  <r>
    <x v="0"/>
    <x v="40"/>
    <x v="0"/>
    <x v="10"/>
    <x v="24"/>
    <n v="8312448.6100000003"/>
  </r>
  <r>
    <x v="1"/>
    <x v="64"/>
    <x v="0"/>
    <x v="1"/>
    <x v="24"/>
    <n v="7618.34"/>
  </r>
  <r>
    <x v="0"/>
    <x v="24"/>
    <x v="0"/>
    <x v="1"/>
    <x v="9"/>
    <n v="2246098980"/>
  </r>
  <r>
    <x v="0"/>
    <x v="90"/>
    <x v="0"/>
    <x v="1"/>
    <x v="5"/>
    <n v="210179.4"/>
  </r>
  <r>
    <x v="0"/>
    <x v="5"/>
    <x v="0"/>
    <x v="6"/>
    <x v="13"/>
    <n v="161000"/>
  </r>
  <r>
    <x v="1"/>
    <x v="59"/>
    <x v="0"/>
    <x v="1"/>
    <x v="0"/>
    <n v="2676153.0699999998"/>
  </r>
  <r>
    <x v="1"/>
    <x v="2"/>
    <x v="0"/>
    <x v="1"/>
    <x v="9"/>
    <n v="760956.62"/>
  </r>
  <r>
    <x v="0"/>
    <x v="57"/>
    <x v="0"/>
    <x v="1"/>
    <x v="23"/>
    <n v="2624246.92"/>
  </r>
  <r>
    <x v="0"/>
    <x v="27"/>
    <x v="0"/>
    <x v="2"/>
    <x v="22"/>
    <n v="5166000"/>
  </r>
  <r>
    <x v="1"/>
    <x v="30"/>
    <x v="0"/>
    <x v="1"/>
    <x v="10"/>
    <n v="45173.5"/>
  </r>
  <r>
    <x v="1"/>
    <x v="32"/>
    <x v="0"/>
    <x v="1"/>
    <x v="25"/>
    <n v="-575994.84"/>
  </r>
  <r>
    <x v="0"/>
    <x v="11"/>
    <x v="0"/>
    <x v="3"/>
    <x v="16"/>
    <n v="16998000"/>
  </r>
  <r>
    <x v="1"/>
    <x v="70"/>
    <x v="0"/>
    <x v="1"/>
    <x v="20"/>
    <n v="-52812.32"/>
  </r>
  <r>
    <x v="1"/>
    <x v="70"/>
    <x v="0"/>
    <x v="1"/>
    <x v="10"/>
    <n v="-167920.55"/>
  </r>
  <r>
    <x v="1"/>
    <x v="28"/>
    <x v="0"/>
    <x v="2"/>
    <x v="11"/>
    <n v="368286.21"/>
  </r>
  <r>
    <x v="0"/>
    <x v="72"/>
    <x v="0"/>
    <x v="7"/>
    <x v="17"/>
    <n v="0"/>
  </r>
  <r>
    <x v="1"/>
    <x v="57"/>
    <x v="0"/>
    <x v="1"/>
    <x v="0"/>
    <n v="282714.96999999997"/>
  </r>
  <r>
    <x v="1"/>
    <x v="74"/>
    <x v="0"/>
    <x v="1"/>
    <x v="24"/>
    <n v="412459.08"/>
  </r>
  <r>
    <x v="1"/>
    <x v="7"/>
    <x v="0"/>
    <x v="1"/>
    <x v="15"/>
    <n v="254603.25"/>
  </r>
  <r>
    <x v="0"/>
    <x v="0"/>
    <x v="0"/>
    <x v="1"/>
    <x v="5"/>
    <n v="51443107.229999997"/>
  </r>
  <r>
    <x v="1"/>
    <x v="66"/>
    <x v="0"/>
    <x v="10"/>
    <x v="25"/>
    <n v="3986055.77"/>
  </r>
  <r>
    <x v="1"/>
    <x v="75"/>
    <x v="0"/>
    <x v="1"/>
    <x v="10"/>
    <n v="9515.27"/>
  </r>
  <r>
    <x v="1"/>
    <x v="10"/>
    <x v="0"/>
    <x v="1"/>
    <x v="14"/>
    <n v="83103.41"/>
  </r>
  <r>
    <x v="0"/>
    <x v="47"/>
    <x v="0"/>
    <x v="1"/>
    <x v="0"/>
    <n v="66310576.990000002"/>
  </r>
  <r>
    <x v="0"/>
    <x v="59"/>
    <x v="0"/>
    <x v="10"/>
    <x v="17"/>
    <n v="297287.95"/>
  </r>
  <r>
    <x v="1"/>
    <x v="14"/>
    <x v="0"/>
    <x v="1"/>
    <x v="13"/>
    <n v="59996.12"/>
  </r>
  <r>
    <x v="0"/>
    <x v="91"/>
    <x v="0"/>
    <x v="1"/>
    <x v="0"/>
    <n v="188000"/>
  </r>
  <r>
    <x v="1"/>
    <x v="59"/>
    <x v="0"/>
    <x v="9"/>
    <x v="6"/>
    <n v="68327.600000000006"/>
  </r>
  <r>
    <x v="1"/>
    <x v="16"/>
    <x v="0"/>
    <x v="1"/>
    <x v="6"/>
    <n v="210932.63"/>
  </r>
  <r>
    <x v="0"/>
    <x v="54"/>
    <x v="0"/>
    <x v="1"/>
    <x v="4"/>
    <n v="1845019.11"/>
  </r>
  <r>
    <x v="1"/>
    <x v="13"/>
    <x v="0"/>
    <x v="1"/>
    <x v="23"/>
    <n v="309072.2"/>
  </r>
  <r>
    <x v="0"/>
    <x v="24"/>
    <x v="0"/>
    <x v="1"/>
    <x v="22"/>
    <n v="147029000"/>
  </r>
  <r>
    <x v="1"/>
    <x v="31"/>
    <x v="0"/>
    <x v="1"/>
    <x v="6"/>
    <n v="820611.76"/>
  </r>
  <r>
    <x v="1"/>
    <x v="54"/>
    <x v="0"/>
    <x v="1"/>
    <x v="11"/>
    <n v="101102.22"/>
  </r>
  <r>
    <x v="1"/>
    <x v="52"/>
    <x v="0"/>
    <x v="1"/>
    <x v="2"/>
    <n v="954762.11"/>
  </r>
  <r>
    <x v="1"/>
    <x v="9"/>
    <x v="0"/>
    <x v="2"/>
    <x v="9"/>
    <n v="2370132.15"/>
  </r>
  <r>
    <x v="1"/>
    <x v="58"/>
    <x v="0"/>
    <x v="1"/>
    <x v="5"/>
    <n v="13350904.5"/>
  </r>
  <r>
    <x v="1"/>
    <x v="8"/>
    <x v="0"/>
    <x v="1"/>
    <x v="12"/>
    <n v="2805020.63"/>
  </r>
  <r>
    <x v="1"/>
    <x v="3"/>
    <x v="0"/>
    <x v="1"/>
    <x v="3"/>
    <n v="0"/>
  </r>
  <r>
    <x v="1"/>
    <x v="58"/>
    <x v="0"/>
    <x v="1"/>
    <x v="22"/>
    <n v="773161.03"/>
  </r>
  <r>
    <x v="0"/>
    <x v="28"/>
    <x v="0"/>
    <x v="3"/>
    <x v="4"/>
    <n v="42828000"/>
  </r>
  <r>
    <x v="1"/>
    <x v="20"/>
    <x v="0"/>
    <x v="1"/>
    <x v="22"/>
    <n v="269059510.54000002"/>
  </r>
  <r>
    <x v="1"/>
    <x v="28"/>
    <x v="0"/>
    <x v="0"/>
    <x v="1"/>
    <n v="262221.12"/>
  </r>
  <r>
    <x v="0"/>
    <x v="60"/>
    <x v="0"/>
    <x v="1"/>
    <x v="4"/>
    <n v="558574.65"/>
  </r>
  <r>
    <x v="0"/>
    <x v="2"/>
    <x v="0"/>
    <x v="6"/>
    <x v="2"/>
    <n v="137500"/>
  </r>
  <r>
    <x v="0"/>
    <x v="15"/>
    <x v="0"/>
    <x v="1"/>
    <x v="4"/>
    <n v="52333802.259999998"/>
  </r>
  <r>
    <x v="1"/>
    <x v="9"/>
    <x v="0"/>
    <x v="1"/>
    <x v="15"/>
    <n v="-25654352.140000001"/>
  </r>
  <r>
    <x v="0"/>
    <x v="76"/>
    <x v="0"/>
    <x v="1"/>
    <x v="23"/>
    <n v="61195079.689999998"/>
  </r>
  <r>
    <x v="1"/>
    <x v="1"/>
    <x v="0"/>
    <x v="6"/>
    <x v="13"/>
    <n v="12664"/>
  </r>
  <r>
    <x v="1"/>
    <x v="49"/>
    <x v="0"/>
    <x v="1"/>
    <x v="10"/>
    <n v="145659.54999999999"/>
  </r>
  <r>
    <x v="1"/>
    <x v="9"/>
    <x v="0"/>
    <x v="3"/>
    <x v="17"/>
    <n v="4731738.1500000004"/>
  </r>
  <r>
    <x v="0"/>
    <x v="43"/>
    <x v="0"/>
    <x v="1"/>
    <x v="6"/>
    <n v="1581834.83"/>
  </r>
  <r>
    <x v="0"/>
    <x v="56"/>
    <x v="0"/>
    <x v="6"/>
    <x v="1"/>
    <n v="13000"/>
  </r>
  <r>
    <x v="0"/>
    <x v="66"/>
    <x v="0"/>
    <x v="10"/>
    <x v="20"/>
    <n v="6204754.3700000001"/>
  </r>
  <r>
    <x v="1"/>
    <x v="7"/>
    <x v="0"/>
    <x v="1"/>
    <x v="24"/>
    <n v="95712.37"/>
  </r>
  <r>
    <x v="1"/>
    <x v="43"/>
    <x v="0"/>
    <x v="1"/>
    <x v="20"/>
    <n v="72881.56"/>
  </r>
  <r>
    <x v="1"/>
    <x v="22"/>
    <x v="0"/>
    <x v="1"/>
    <x v="23"/>
    <n v="99623591.549999997"/>
  </r>
  <r>
    <x v="1"/>
    <x v="71"/>
    <x v="0"/>
    <x v="1"/>
    <x v="19"/>
    <n v="20873.73"/>
  </r>
  <r>
    <x v="0"/>
    <x v="71"/>
    <x v="0"/>
    <x v="1"/>
    <x v="12"/>
    <n v="646384.34"/>
  </r>
  <r>
    <x v="1"/>
    <x v="59"/>
    <x v="0"/>
    <x v="10"/>
    <x v="14"/>
    <n v="65406.01"/>
  </r>
  <r>
    <x v="0"/>
    <x v="53"/>
    <x v="0"/>
    <x v="9"/>
    <x v="20"/>
    <n v="2146519.2400000002"/>
  </r>
  <r>
    <x v="1"/>
    <x v="15"/>
    <x v="0"/>
    <x v="1"/>
    <x v="7"/>
    <n v="-229714.4"/>
  </r>
  <r>
    <x v="0"/>
    <x v="80"/>
    <x v="0"/>
    <x v="6"/>
    <x v="1"/>
    <n v="2001000"/>
  </r>
  <r>
    <x v="1"/>
    <x v="44"/>
    <x v="0"/>
    <x v="1"/>
    <x v="9"/>
    <n v="1944236.76"/>
  </r>
  <r>
    <x v="1"/>
    <x v="97"/>
    <x v="0"/>
    <x v="1"/>
    <x v="4"/>
    <n v="138036.24"/>
  </r>
  <r>
    <x v="1"/>
    <x v="53"/>
    <x v="0"/>
    <x v="1"/>
    <x v="9"/>
    <n v="-108134.88"/>
  </r>
  <r>
    <x v="1"/>
    <x v="23"/>
    <x v="0"/>
    <x v="1"/>
    <x v="19"/>
    <n v="0"/>
  </r>
  <r>
    <x v="0"/>
    <x v="18"/>
    <x v="0"/>
    <x v="6"/>
    <x v="1"/>
    <n v="363000"/>
  </r>
  <r>
    <x v="1"/>
    <x v="75"/>
    <x v="0"/>
    <x v="1"/>
    <x v="22"/>
    <n v="45144.76"/>
  </r>
  <r>
    <x v="0"/>
    <x v="6"/>
    <x v="0"/>
    <x v="3"/>
    <x v="2"/>
    <n v="17160775.07"/>
  </r>
  <r>
    <x v="0"/>
    <x v="52"/>
    <x v="0"/>
    <x v="1"/>
    <x v="17"/>
    <n v="32538608.34"/>
  </r>
  <r>
    <x v="0"/>
    <x v="50"/>
    <x v="0"/>
    <x v="1"/>
    <x v="3"/>
    <n v="29351468.579999998"/>
  </r>
  <r>
    <x v="0"/>
    <x v="80"/>
    <x v="0"/>
    <x v="1"/>
    <x v="5"/>
    <n v="32852890.530000001"/>
  </r>
  <r>
    <x v="0"/>
    <x v="85"/>
    <x v="0"/>
    <x v="1"/>
    <x v="23"/>
    <n v="3005964.82"/>
  </r>
  <r>
    <x v="0"/>
    <x v="34"/>
    <x v="0"/>
    <x v="3"/>
    <x v="9"/>
    <n v="12607484.039999999"/>
  </r>
  <r>
    <x v="0"/>
    <x v="22"/>
    <x v="0"/>
    <x v="5"/>
    <x v="19"/>
    <n v="11061266"/>
  </r>
  <r>
    <x v="0"/>
    <x v="22"/>
    <x v="0"/>
    <x v="5"/>
    <x v="10"/>
    <n v="23780499"/>
  </r>
  <r>
    <x v="1"/>
    <x v="58"/>
    <x v="0"/>
    <x v="1"/>
    <x v="10"/>
    <n v="742363.14"/>
  </r>
  <r>
    <x v="0"/>
    <x v="34"/>
    <x v="0"/>
    <x v="1"/>
    <x v="23"/>
    <n v="1053048693.6"/>
  </r>
  <r>
    <x v="0"/>
    <x v="88"/>
    <x v="0"/>
    <x v="1"/>
    <x v="3"/>
    <n v="610259.66"/>
  </r>
  <r>
    <x v="1"/>
    <x v="86"/>
    <x v="0"/>
    <x v="1"/>
    <x v="23"/>
    <n v="327763.23"/>
  </r>
  <r>
    <x v="0"/>
    <x v="33"/>
    <x v="0"/>
    <x v="5"/>
    <x v="24"/>
    <n v="220749314.43000001"/>
  </r>
  <r>
    <x v="0"/>
    <x v="41"/>
    <x v="0"/>
    <x v="9"/>
    <x v="17"/>
    <n v="697808.74"/>
  </r>
  <r>
    <x v="1"/>
    <x v="93"/>
    <x v="0"/>
    <x v="1"/>
    <x v="22"/>
    <n v="1225670.57"/>
  </r>
  <r>
    <x v="0"/>
    <x v="9"/>
    <x v="0"/>
    <x v="1"/>
    <x v="20"/>
    <n v="539841397.34000003"/>
  </r>
  <r>
    <x v="1"/>
    <x v="90"/>
    <x v="0"/>
    <x v="1"/>
    <x v="14"/>
    <n v="8482.9599999999991"/>
  </r>
  <r>
    <x v="1"/>
    <x v="49"/>
    <x v="0"/>
    <x v="1"/>
    <x v="20"/>
    <n v="127464.4"/>
  </r>
  <r>
    <x v="1"/>
    <x v="11"/>
    <x v="0"/>
    <x v="3"/>
    <x v="5"/>
    <n v="503000"/>
  </r>
  <r>
    <x v="0"/>
    <x v="29"/>
    <x v="0"/>
    <x v="1"/>
    <x v="17"/>
    <n v="1424014.95"/>
  </r>
  <r>
    <x v="0"/>
    <x v="20"/>
    <x v="0"/>
    <x v="10"/>
    <x v="13"/>
    <n v="4060007.43"/>
  </r>
  <r>
    <x v="0"/>
    <x v="17"/>
    <x v="0"/>
    <x v="1"/>
    <x v="24"/>
    <n v="6062525"/>
  </r>
  <r>
    <x v="1"/>
    <x v="62"/>
    <x v="0"/>
    <x v="10"/>
    <x v="24"/>
    <n v="146584.71"/>
  </r>
  <r>
    <x v="0"/>
    <x v="64"/>
    <x v="0"/>
    <x v="1"/>
    <x v="4"/>
    <n v="848741.07"/>
  </r>
  <r>
    <x v="1"/>
    <x v="34"/>
    <x v="0"/>
    <x v="3"/>
    <x v="0"/>
    <n v="611248.18000000005"/>
  </r>
  <r>
    <x v="0"/>
    <x v="76"/>
    <x v="0"/>
    <x v="6"/>
    <x v="11"/>
    <n v="1650000"/>
  </r>
  <r>
    <x v="0"/>
    <x v="101"/>
    <x v="0"/>
    <x v="1"/>
    <x v="25"/>
    <n v="120181.12"/>
  </r>
  <r>
    <x v="1"/>
    <x v="73"/>
    <x v="0"/>
    <x v="9"/>
    <x v="10"/>
    <n v="806900.12"/>
  </r>
  <r>
    <x v="1"/>
    <x v="50"/>
    <x v="0"/>
    <x v="3"/>
    <x v="7"/>
    <n v="-64000"/>
  </r>
  <r>
    <x v="0"/>
    <x v="76"/>
    <x v="0"/>
    <x v="1"/>
    <x v="13"/>
    <n v="32150470.329999998"/>
  </r>
  <r>
    <x v="0"/>
    <x v="65"/>
    <x v="0"/>
    <x v="10"/>
    <x v="25"/>
    <n v="989192.97"/>
  </r>
  <r>
    <x v="1"/>
    <x v="42"/>
    <x v="0"/>
    <x v="1"/>
    <x v="17"/>
    <n v="1429889.1"/>
  </r>
  <r>
    <x v="1"/>
    <x v="92"/>
    <x v="0"/>
    <x v="1"/>
    <x v="8"/>
    <n v="0"/>
  </r>
  <r>
    <x v="0"/>
    <x v="7"/>
    <x v="0"/>
    <x v="1"/>
    <x v="0"/>
    <n v="4315445.4000000004"/>
  </r>
  <r>
    <x v="0"/>
    <x v="46"/>
    <x v="0"/>
    <x v="1"/>
    <x v="12"/>
    <n v="538378.21"/>
  </r>
  <r>
    <x v="1"/>
    <x v="33"/>
    <x v="0"/>
    <x v="1"/>
    <x v="9"/>
    <n v="22448431.68"/>
  </r>
  <r>
    <x v="0"/>
    <x v="44"/>
    <x v="0"/>
    <x v="1"/>
    <x v="21"/>
    <n v="20424169.09"/>
  </r>
  <r>
    <x v="1"/>
    <x v="20"/>
    <x v="0"/>
    <x v="6"/>
    <x v="13"/>
    <n v="2263006"/>
  </r>
  <r>
    <x v="1"/>
    <x v="40"/>
    <x v="0"/>
    <x v="1"/>
    <x v="24"/>
    <n v="24549631.449999999"/>
  </r>
  <r>
    <x v="0"/>
    <x v="87"/>
    <x v="0"/>
    <x v="1"/>
    <x v="21"/>
    <n v="1590144.31"/>
  </r>
  <r>
    <x v="0"/>
    <x v="89"/>
    <x v="0"/>
    <x v="1"/>
    <x v="0"/>
    <n v="176120.41"/>
  </r>
  <r>
    <x v="0"/>
    <x v="28"/>
    <x v="0"/>
    <x v="1"/>
    <x v="18"/>
    <n v="249984168.86000001"/>
  </r>
  <r>
    <x v="1"/>
    <x v="28"/>
    <x v="0"/>
    <x v="0"/>
    <x v="18"/>
    <n v="35000000"/>
  </r>
  <r>
    <x v="1"/>
    <x v="26"/>
    <x v="0"/>
    <x v="1"/>
    <x v="14"/>
    <n v="69348.34"/>
  </r>
  <r>
    <x v="1"/>
    <x v="22"/>
    <x v="0"/>
    <x v="10"/>
    <x v="6"/>
    <n v="1542780.07"/>
  </r>
  <r>
    <x v="1"/>
    <x v="6"/>
    <x v="0"/>
    <x v="1"/>
    <x v="0"/>
    <n v="816580.77"/>
  </r>
  <r>
    <x v="1"/>
    <x v="61"/>
    <x v="0"/>
    <x v="1"/>
    <x v="14"/>
    <n v="0"/>
  </r>
  <r>
    <x v="0"/>
    <x v="56"/>
    <x v="0"/>
    <x v="6"/>
    <x v="2"/>
    <n v="26000"/>
  </r>
  <r>
    <x v="0"/>
    <x v="67"/>
    <x v="0"/>
    <x v="1"/>
    <x v="18"/>
    <n v="1446936.07"/>
  </r>
  <r>
    <x v="0"/>
    <x v="20"/>
    <x v="0"/>
    <x v="1"/>
    <x v="6"/>
    <n v="3054910968.25"/>
  </r>
  <r>
    <x v="1"/>
    <x v="53"/>
    <x v="0"/>
    <x v="1"/>
    <x v="7"/>
    <n v="292875.86"/>
  </r>
  <r>
    <x v="0"/>
    <x v="6"/>
    <x v="0"/>
    <x v="3"/>
    <x v="0"/>
    <n v="16934100.34"/>
  </r>
  <r>
    <x v="0"/>
    <x v="35"/>
    <x v="0"/>
    <x v="1"/>
    <x v="24"/>
    <n v="28668699"/>
  </r>
  <r>
    <x v="1"/>
    <x v="55"/>
    <x v="0"/>
    <x v="1"/>
    <x v="3"/>
    <n v="77433.710000000006"/>
  </r>
  <r>
    <x v="0"/>
    <x v="62"/>
    <x v="0"/>
    <x v="4"/>
    <x v="13"/>
    <n v="4016400.65"/>
  </r>
  <r>
    <x v="1"/>
    <x v="4"/>
    <x v="0"/>
    <x v="1"/>
    <x v="11"/>
    <n v="27305503.859999999"/>
  </r>
  <r>
    <x v="1"/>
    <x v="55"/>
    <x v="0"/>
    <x v="1"/>
    <x v="10"/>
    <n v="26647.23"/>
  </r>
  <r>
    <x v="0"/>
    <x v="9"/>
    <x v="0"/>
    <x v="1"/>
    <x v="14"/>
    <n v="519873577.60000002"/>
  </r>
  <r>
    <x v="0"/>
    <x v="47"/>
    <x v="0"/>
    <x v="5"/>
    <x v="17"/>
    <n v="17634308.07"/>
  </r>
  <r>
    <x v="1"/>
    <x v="90"/>
    <x v="0"/>
    <x v="1"/>
    <x v="20"/>
    <n v="4813.05"/>
  </r>
  <r>
    <x v="0"/>
    <x v="53"/>
    <x v="0"/>
    <x v="9"/>
    <x v="14"/>
    <n v="2200606.11"/>
  </r>
  <r>
    <x v="0"/>
    <x v="78"/>
    <x v="0"/>
    <x v="1"/>
    <x v="14"/>
    <n v="2157397.0499999998"/>
  </r>
  <r>
    <x v="0"/>
    <x v="22"/>
    <x v="0"/>
    <x v="1"/>
    <x v="4"/>
    <n v="324745255.52999997"/>
  </r>
  <r>
    <x v="0"/>
    <x v="68"/>
    <x v="0"/>
    <x v="1"/>
    <x v="5"/>
    <n v="192738548.47"/>
  </r>
  <r>
    <x v="1"/>
    <x v="79"/>
    <x v="0"/>
    <x v="1"/>
    <x v="16"/>
    <n v="43840.71"/>
  </r>
  <r>
    <x v="1"/>
    <x v="22"/>
    <x v="0"/>
    <x v="6"/>
    <x v="11"/>
    <n v="807000"/>
  </r>
  <r>
    <x v="0"/>
    <x v="8"/>
    <x v="0"/>
    <x v="10"/>
    <x v="24"/>
    <n v="10319317.01"/>
  </r>
  <r>
    <x v="0"/>
    <x v="15"/>
    <x v="0"/>
    <x v="1"/>
    <x v="3"/>
    <n v="8939898.3300000001"/>
  </r>
  <r>
    <x v="0"/>
    <x v="62"/>
    <x v="0"/>
    <x v="10"/>
    <x v="10"/>
    <n v="5666923.46"/>
  </r>
  <r>
    <x v="0"/>
    <x v="25"/>
    <x v="0"/>
    <x v="1"/>
    <x v="9"/>
    <n v="2209600.4"/>
  </r>
  <r>
    <x v="0"/>
    <x v="23"/>
    <x v="0"/>
    <x v="1"/>
    <x v="9"/>
    <n v="26773248.98"/>
  </r>
  <r>
    <x v="1"/>
    <x v="17"/>
    <x v="0"/>
    <x v="1"/>
    <x v="12"/>
    <n v="1311948.01"/>
  </r>
  <r>
    <x v="1"/>
    <x v="71"/>
    <x v="0"/>
    <x v="1"/>
    <x v="8"/>
    <n v="25158.14"/>
  </r>
  <r>
    <x v="1"/>
    <x v="10"/>
    <x v="0"/>
    <x v="1"/>
    <x v="15"/>
    <n v="84027.01"/>
  </r>
  <r>
    <x v="0"/>
    <x v="4"/>
    <x v="0"/>
    <x v="3"/>
    <x v="21"/>
    <n v="75269037.379999995"/>
  </r>
  <r>
    <x v="0"/>
    <x v="32"/>
    <x v="0"/>
    <x v="1"/>
    <x v="19"/>
    <n v="12460878.119999999"/>
  </r>
  <r>
    <x v="1"/>
    <x v="58"/>
    <x v="0"/>
    <x v="1"/>
    <x v="14"/>
    <n v="156849.76"/>
  </r>
  <r>
    <x v="0"/>
    <x v="80"/>
    <x v="0"/>
    <x v="1"/>
    <x v="18"/>
    <n v="25632974.030000001"/>
  </r>
  <r>
    <x v="0"/>
    <x v="66"/>
    <x v="0"/>
    <x v="1"/>
    <x v="22"/>
    <n v="5779429.79"/>
  </r>
  <r>
    <x v="1"/>
    <x v="65"/>
    <x v="0"/>
    <x v="1"/>
    <x v="12"/>
    <n v="639210.84"/>
  </r>
  <r>
    <x v="0"/>
    <x v="47"/>
    <x v="0"/>
    <x v="9"/>
    <x v="13"/>
    <n v="1917309.86"/>
  </r>
  <r>
    <x v="0"/>
    <x v="22"/>
    <x v="0"/>
    <x v="8"/>
    <x v="5"/>
    <n v="2723106.21"/>
  </r>
  <r>
    <x v="0"/>
    <x v="67"/>
    <x v="0"/>
    <x v="1"/>
    <x v="1"/>
    <n v="1824236.93"/>
  </r>
  <r>
    <x v="0"/>
    <x v="79"/>
    <x v="0"/>
    <x v="1"/>
    <x v="10"/>
    <n v="34638427.829999998"/>
  </r>
  <r>
    <x v="1"/>
    <x v="19"/>
    <x v="0"/>
    <x v="2"/>
    <x v="2"/>
    <n v="10497.3"/>
  </r>
  <r>
    <x v="1"/>
    <x v="14"/>
    <x v="0"/>
    <x v="1"/>
    <x v="18"/>
    <n v="146816.26999999999"/>
  </r>
  <r>
    <x v="1"/>
    <x v="16"/>
    <x v="0"/>
    <x v="1"/>
    <x v="17"/>
    <n v="287512.08"/>
  </r>
  <r>
    <x v="0"/>
    <x v="10"/>
    <x v="0"/>
    <x v="1"/>
    <x v="20"/>
    <n v="1828636.01"/>
  </r>
  <r>
    <x v="0"/>
    <x v="28"/>
    <x v="0"/>
    <x v="3"/>
    <x v="7"/>
    <n v="36549074.32"/>
  </r>
  <r>
    <x v="1"/>
    <x v="3"/>
    <x v="0"/>
    <x v="1"/>
    <x v="6"/>
    <n v="55067.96"/>
  </r>
  <r>
    <x v="1"/>
    <x v="90"/>
    <x v="0"/>
    <x v="1"/>
    <x v="11"/>
    <n v="23546.46"/>
  </r>
  <r>
    <x v="0"/>
    <x v="41"/>
    <x v="0"/>
    <x v="1"/>
    <x v="17"/>
    <n v="38351600.100000001"/>
  </r>
  <r>
    <x v="1"/>
    <x v="78"/>
    <x v="0"/>
    <x v="1"/>
    <x v="1"/>
    <n v="186260.88"/>
  </r>
  <r>
    <x v="0"/>
    <x v="81"/>
    <x v="0"/>
    <x v="1"/>
    <x v="8"/>
    <n v="1094896.19"/>
  </r>
  <r>
    <x v="0"/>
    <x v="44"/>
    <x v="0"/>
    <x v="1"/>
    <x v="10"/>
    <n v="9714348.1300000008"/>
  </r>
  <r>
    <x v="0"/>
    <x v="28"/>
    <x v="0"/>
    <x v="6"/>
    <x v="1"/>
    <n v="277000"/>
  </r>
  <r>
    <x v="1"/>
    <x v="86"/>
    <x v="0"/>
    <x v="1"/>
    <x v="1"/>
    <n v="82900.929999999993"/>
  </r>
  <r>
    <x v="1"/>
    <x v="7"/>
    <x v="0"/>
    <x v="1"/>
    <x v="8"/>
    <n v="110380.77"/>
  </r>
  <r>
    <x v="1"/>
    <x v="37"/>
    <x v="0"/>
    <x v="1"/>
    <x v="24"/>
    <n v="535826.92000000004"/>
  </r>
  <r>
    <x v="1"/>
    <x v="75"/>
    <x v="0"/>
    <x v="1"/>
    <x v="11"/>
    <n v="20370.439999999999"/>
  </r>
  <r>
    <x v="0"/>
    <x v="19"/>
    <x v="0"/>
    <x v="1"/>
    <x v="5"/>
    <n v="691041.2"/>
  </r>
  <r>
    <x v="0"/>
    <x v="37"/>
    <x v="0"/>
    <x v="6"/>
    <x v="1"/>
    <n v="523000"/>
  </r>
  <r>
    <x v="0"/>
    <x v="18"/>
    <x v="0"/>
    <x v="1"/>
    <x v="12"/>
    <n v="7872473.8099999996"/>
  </r>
  <r>
    <x v="0"/>
    <x v="66"/>
    <x v="0"/>
    <x v="1"/>
    <x v="15"/>
    <n v="14862528.77"/>
  </r>
  <r>
    <x v="0"/>
    <x v="60"/>
    <x v="0"/>
    <x v="1"/>
    <x v="16"/>
    <n v="236356.81"/>
  </r>
  <r>
    <x v="1"/>
    <x v="9"/>
    <x v="0"/>
    <x v="6"/>
    <x v="5"/>
    <n v="7296276.1699999999"/>
  </r>
  <r>
    <x v="0"/>
    <x v="8"/>
    <x v="0"/>
    <x v="1"/>
    <x v="12"/>
    <n v="46190326.740000002"/>
  </r>
  <r>
    <x v="0"/>
    <x v="70"/>
    <x v="0"/>
    <x v="1"/>
    <x v="4"/>
    <n v="5881288.3799999999"/>
  </r>
  <r>
    <x v="0"/>
    <x v="4"/>
    <x v="0"/>
    <x v="6"/>
    <x v="25"/>
    <n v="138000000"/>
  </r>
  <r>
    <x v="1"/>
    <x v="47"/>
    <x v="0"/>
    <x v="1"/>
    <x v="5"/>
    <n v="12756397.75"/>
  </r>
  <r>
    <x v="0"/>
    <x v="54"/>
    <x v="0"/>
    <x v="1"/>
    <x v="6"/>
    <n v="786909.24"/>
  </r>
  <r>
    <x v="0"/>
    <x v="47"/>
    <x v="0"/>
    <x v="6"/>
    <x v="11"/>
    <n v="218546.79"/>
  </r>
  <r>
    <x v="0"/>
    <x v="47"/>
    <x v="0"/>
    <x v="1"/>
    <x v="21"/>
    <n v="84031799.010000005"/>
  </r>
  <r>
    <x v="1"/>
    <x v="40"/>
    <x v="0"/>
    <x v="1"/>
    <x v="17"/>
    <n v="53464709.619999997"/>
  </r>
  <r>
    <x v="0"/>
    <x v="45"/>
    <x v="0"/>
    <x v="1"/>
    <x v="10"/>
    <n v="68173759.840000004"/>
  </r>
  <r>
    <x v="0"/>
    <x v="14"/>
    <x v="0"/>
    <x v="6"/>
    <x v="13"/>
    <n v="5000"/>
  </r>
  <r>
    <x v="1"/>
    <x v="78"/>
    <x v="0"/>
    <x v="1"/>
    <x v="8"/>
    <n v="112105.94"/>
  </r>
  <r>
    <x v="1"/>
    <x v="42"/>
    <x v="0"/>
    <x v="1"/>
    <x v="24"/>
    <n v="2227359.02"/>
  </r>
  <r>
    <x v="1"/>
    <x v="34"/>
    <x v="0"/>
    <x v="0"/>
    <x v="22"/>
    <n v="5318320.97"/>
  </r>
  <r>
    <x v="1"/>
    <x v="50"/>
    <x v="0"/>
    <x v="1"/>
    <x v="18"/>
    <n v="1916886.4"/>
  </r>
  <r>
    <x v="1"/>
    <x v="37"/>
    <x v="0"/>
    <x v="9"/>
    <x v="17"/>
    <n v="36177.46"/>
  </r>
  <r>
    <x v="1"/>
    <x v="82"/>
    <x v="0"/>
    <x v="1"/>
    <x v="25"/>
    <n v="-13343.78"/>
  </r>
  <r>
    <x v="1"/>
    <x v="11"/>
    <x v="0"/>
    <x v="1"/>
    <x v="0"/>
    <n v="-195317.16"/>
  </r>
  <r>
    <x v="1"/>
    <x v="89"/>
    <x v="0"/>
    <x v="6"/>
    <x v="13"/>
    <n v="7000"/>
  </r>
  <r>
    <x v="0"/>
    <x v="65"/>
    <x v="0"/>
    <x v="1"/>
    <x v="17"/>
    <n v="4587684.21"/>
  </r>
  <r>
    <x v="1"/>
    <x v="24"/>
    <x v="0"/>
    <x v="1"/>
    <x v="12"/>
    <n v="105481542.23"/>
  </r>
  <r>
    <x v="0"/>
    <x v="5"/>
    <x v="0"/>
    <x v="1"/>
    <x v="3"/>
    <n v="35335053.439999998"/>
  </r>
  <r>
    <x v="0"/>
    <x v="70"/>
    <x v="0"/>
    <x v="1"/>
    <x v="10"/>
    <n v="3002447.42"/>
  </r>
  <r>
    <x v="0"/>
    <x v="72"/>
    <x v="0"/>
    <x v="1"/>
    <x v="20"/>
    <n v="532105.52"/>
  </r>
  <r>
    <x v="1"/>
    <x v="8"/>
    <x v="0"/>
    <x v="1"/>
    <x v="19"/>
    <n v="675842.35"/>
  </r>
  <r>
    <x v="1"/>
    <x v="3"/>
    <x v="0"/>
    <x v="1"/>
    <x v="17"/>
    <n v="122899.51"/>
  </r>
  <r>
    <x v="1"/>
    <x v="4"/>
    <x v="0"/>
    <x v="3"/>
    <x v="25"/>
    <n v="291069.71000000002"/>
  </r>
  <r>
    <x v="0"/>
    <x v="15"/>
    <x v="0"/>
    <x v="10"/>
    <x v="5"/>
    <n v="2198256.88"/>
  </r>
  <r>
    <x v="0"/>
    <x v="40"/>
    <x v="0"/>
    <x v="1"/>
    <x v="12"/>
    <n v="744659847.84000003"/>
  </r>
  <r>
    <x v="0"/>
    <x v="4"/>
    <x v="0"/>
    <x v="6"/>
    <x v="11"/>
    <n v="966850.03"/>
  </r>
  <r>
    <x v="0"/>
    <x v="15"/>
    <x v="0"/>
    <x v="1"/>
    <x v="7"/>
    <n v="13317714.4"/>
  </r>
  <r>
    <x v="1"/>
    <x v="8"/>
    <x v="0"/>
    <x v="10"/>
    <x v="19"/>
    <n v="736673.08"/>
  </r>
  <r>
    <x v="0"/>
    <x v="11"/>
    <x v="0"/>
    <x v="1"/>
    <x v="8"/>
    <n v="132489546.86"/>
  </r>
  <r>
    <x v="0"/>
    <x v="64"/>
    <x v="0"/>
    <x v="1"/>
    <x v="13"/>
    <n v="242679.44"/>
  </r>
  <r>
    <x v="0"/>
    <x v="10"/>
    <x v="0"/>
    <x v="1"/>
    <x v="11"/>
    <n v="1646445.07"/>
  </r>
  <r>
    <x v="0"/>
    <x v="23"/>
    <x v="0"/>
    <x v="10"/>
    <x v="25"/>
    <n v="13677930.5"/>
  </r>
  <r>
    <x v="1"/>
    <x v="23"/>
    <x v="0"/>
    <x v="1"/>
    <x v="16"/>
    <n v="2712612.36"/>
  </r>
  <r>
    <x v="0"/>
    <x v="106"/>
    <x v="0"/>
    <x v="1"/>
    <x v="3"/>
    <n v="0"/>
  </r>
  <r>
    <x v="0"/>
    <x v="82"/>
    <x v="0"/>
    <x v="1"/>
    <x v="2"/>
    <n v="2631904.4900000002"/>
  </r>
  <r>
    <x v="0"/>
    <x v="50"/>
    <x v="0"/>
    <x v="1"/>
    <x v="7"/>
    <n v="47752000"/>
  </r>
  <r>
    <x v="0"/>
    <x v="74"/>
    <x v="0"/>
    <x v="1"/>
    <x v="21"/>
    <n v="2125682.5299999998"/>
  </r>
  <r>
    <x v="1"/>
    <x v="31"/>
    <x v="0"/>
    <x v="1"/>
    <x v="10"/>
    <n v="820431.25"/>
  </r>
  <r>
    <x v="0"/>
    <x v="4"/>
    <x v="0"/>
    <x v="3"/>
    <x v="18"/>
    <n v="1189228.1000000001"/>
  </r>
  <r>
    <x v="1"/>
    <x v="59"/>
    <x v="0"/>
    <x v="1"/>
    <x v="23"/>
    <n v="16010607.550000001"/>
  </r>
  <r>
    <x v="0"/>
    <x v="9"/>
    <x v="0"/>
    <x v="1"/>
    <x v="6"/>
    <n v="506504565.38999999"/>
  </r>
  <r>
    <x v="0"/>
    <x v="57"/>
    <x v="0"/>
    <x v="1"/>
    <x v="14"/>
    <n v="1194387.08"/>
  </r>
  <r>
    <x v="0"/>
    <x v="72"/>
    <x v="0"/>
    <x v="1"/>
    <x v="10"/>
    <n v="513258.23"/>
  </r>
  <r>
    <x v="0"/>
    <x v="51"/>
    <x v="0"/>
    <x v="1"/>
    <x v="18"/>
    <n v="855888.46"/>
  </r>
  <r>
    <x v="1"/>
    <x v="94"/>
    <x v="0"/>
    <x v="1"/>
    <x v="10"/>
    <n v="627542.39"/>
  </r>
  <r>
    <x v="0"/>
    <x v="86"/>
    <x v="0"/>
    <x v="1"/>
    <x v="17"/>
    <n v="772310"/>
  </r>
  <r>
    <x v="1"/>
    <x v="44"/>
    <x v="0"/>
    <x v="1"/>
    <x v="3"/>
    <n v="769336.01"/>
  </r>
  <r>
    <x v="1"/>
    <x v="53"/>
    <x v="0"/>
    <x v="1"/>
    <x v="25"/>
    <n v="396790.23"/>
  </r>
  <r>
    <x v="1"/>
    <x v="0"/>
    <x v="0"/>
    <x v="3"/>
    <x v="1"/>
    <n v="1739262.63"/>
  </r>
  <r>
    <x v="1"/>
    <x v="70"/>
    <x v="0"/>
    <x v="1"/>
    <x v="15"/>
    <n v="263588.92"/>
  </r>
  <r>
    <x v="0"/>
    <x v="88"/>
    <x v="0"/>
    <x v="1"/>
    <x v="9"/>
    <n v="1517406.23"/>
  </r>
  <r>
    <x v="0"/>
    <x v="29"/>
    <x v="0"/>
    <x v="6"/>
    <x v="25"/>
    <n v="21000"/>
  </r>
  <r>
    <x v="0"/>
    <x v="90"/>
    <x v="0"/>
    <x v="1"/>
    <x v="4"/>
    <n v="255922.48"/>
  </r>
  <r>
    <x v="0"/>
    <x v="41"/>
    <x v="0"/>
    <x v="1"/>
    <x v="7"/>
    <n v="58714231.200000003"/>
  </r>
  <r>
    <x v="1"/>
    <x v="13"/>
    <x v="0"/>
    <x v="1"/>
    <x v="18"/>
    <n v="132720.70000000001"/>
  </r>
  <r>
    <x v="0"/>
    <x v="52"/>
    <x v="0"/>
    <x v="10"/>
    <x v="17"/>
    <n v="23401"/>
  </r>
  <r>
    <x v="0"/>
    <x v="82"/>
    <x v="0"/>
    <x v="1"/>
    <x v="14"/>
    <n v="1468000.04"/>
  </r>
  <r>
    <x v="0"/>
    <x v="71"/>
    <x v="0"/>
    <x v="1"/>
    <x v="2"/>
    <n v="834064.57"/>
  </r>
  <r>
    <x v="1"/>
    <x v="8"/>
    <x v="0"/>
    <x v="10"/>
    <x v="20"/>
    <n v="1663891.02"/>
  </r>
  <r>
    <x v="1"/>
    <x v="47"/>
    <x v="0"/>
    <x v="1"/>
    <x v="10"/>
    <n v="6497520.0099999998"/>
  </r>
  <r>
    <x v="1"/>
    <x v="89"/>
    <x v="0"/>
    <x v="1"/>
    <x v="6"/>
    <n v="176109.34"/>
  </r>
  <r>
    <x v="1"/>
    <x v="31"/>
    <x v="0"/>
    <x v="1"/>
    <x v="1"/>
    <n v="1159848.74"/>
  </r>
  <r>
    <x v="1"/>
    <x v="77"/>
    <x v="0"/>
    <x v="1"/>
    <x v="19"/>
    <n v="83337.179999999993"/>
  </r>
  <r>
    <x v="0"/>
    <x v="82"/>
    <x v="0"/>
    <x v="1"/>
    <x v="20"/>
    <n v="1530141.21"/>
  </r>
  <r>
    <x v="0"/>
    <x v="40"/>
    <x v="0"/>
    <x v="1"/>
    <x v="6"/>
    <n v="574311604.59000003"/>
  </r>
  <r>
    <x v="1"/>
    <x v="5"/>
    <x v="0"/>
    <x v="1"/>
    <x v="21"/>
    <n v="22161806.18"/>
  </r>
  <r>
    <x v="0"/>
    <x v="5"/>
    <x v="0"/>
    <x v="1"/>
    <x v="24"/>
    <n v="56601125.869999997"/>
  </r>
  <r>
    <x v="0"/>
    <x v="55"/>
    <x v="0"/>
    <x v="1"/>
    <x v="12"/>
    <n v="371722.1"/>
  </r>
  <r>
    <x v="0"/>
    <x v="50"/>
    <x v="0"/>
    <x v="3"/>
    <x v="18"/>
    <n v="9538000"/>
  </r>
  <r>
    <x v="1"/>
    <x v="73"/>
    <x v="0"/>
    <x v="1"/>
    <x v="9"/>
    <n v="2969600.18"/>
  </r>
  <r>
    <x v="1"/>
    <x v="46"/>
    <x v="0"/>
    <x v="1"/>
    <x v="4"/>
    <n v="34972.1"/>
  </r>
  <r>
    <x v="0"/>
    <x v="74"/>
    <x v="0"/>
    <x v="1"/>
    <x v="23"/>
    <n v="4834011.41"/>
  </r>
  <r>
    <x v="1"/>
    <x v="71"/>
    <x v="0"/>
    <x v="1"/>
    <x v="11"/>
    <n v="33197.31"/>
  </r>
  <r>
    <x v="1"/>
    <x v="56"/>
    <x v="0"/>
    <x v="1"/>
    <x v="0"/>
    <n v="13136.29"/>
  </r>
  <r>
    <x v="0"/>
    <x v="1"/>
    <x v="0"/>
    <x v="6"/>
    <x v="13"/>
    <n v="25336"/>
  </r>
  <r>
    <x v="0"/>
    <x v="31"/>
    <x v="0"/>
    <x v="1"/>
    <x v="16"/>
    <n v="21680305.539999999"/>
  </r>
  <r>
    <x v="0"/>
    <x v="68"/>
    <x v="0"/>
    <x v="3"/>
    <x v="13"/>
    <n v="33647000"/>
  </r>
  <r>
    <x v="0"/>
    <x v="47"/>
    <x v="0"/>
    <x v="1"/>
    <x v="16"/>
    <n v="46389273.350000001"/>
  </r>
  <r>
    <x v="1"/>
    <x v="79"/>
    <x v="0"/>
    <x v="1"/>
    <x v="5"/>
    <n v="2184531.02"/>
  </r>
  <r>
    <x v="0"/>
    <x v="42"/>
    <x v="0"/>
    <x v="1"/>
    <x v="0"/>
    <n v="22879967.890000001"/>
  </r>
  <r>
    <x v="0"/>
    <x v="45"/>
    <x v="0"/>
    <x v="1"/>
    <x v="0"/>
    <n v="125777953.11"/>
  </r>
  <r>
    <x v="0"/>
    <x v="6"/>
    <x v="0"/>
    <x v="1"/>
    <x v="3"/>
    <n v="246568788.41999999"/>
  </r>
  <r>
    <x v="0"/>
    <x v="75"/>
    <x v="0"/>
    <x v="6"/>
    <x v="1"/>
    <n v="13000"/>
  </r>
  <r>
    <x v="1"/>
    <x v="30"/>
    <x v="0"/>
    <x v="1"/>
    <x v="23"/>
    <n v="33586.5"/>
  </r>
  <r>
    <x v="1"/>
    <x v="15"/>
    <x v="0"/>
    <x v="1"/>
    <x v="3"/>
    <n v="1964857.22"/>
  </r>
  <r>
    <x v="1"/>
    <x v="84"/>
    <x v="0"/>
    <x v="1"/>
    <x v="13"/>
    <n v="-113578.58"/>
  </r>
  <r>
    <x v="1"/>
    <x v="78"/>
    <x v="0"/>
    <x v="1"/>
    <x v="20"/>
    <n v="105408.56"/>
  </r>
  <r>
    <x v="0"/>
    <x v="5"/>
    <x v="0"/>
    <x v="3"/>
    <x v="17"/>
    <n v="1158000"/>
  </r>
  <r>
    <x v="1"/>
    <x v="34"/>
    <x v="0"/>
    <x v="0"/>
    <x v="2"/>
    <n v="953193.26"/>
  </r>
  <r>
    <x v="1"/>
    <x v="75"/>
    <x v="0"/>
    <x v="1"/>
    <x v="23"/>
    <n v="35250.050000000003"/>
  </r>
  <r>
    <x v="1"/>
    <x v="84"/>
    <x v="0"/>
    <x v="1"/>
    <x v="17"/>
    <n v="-127267.26"/>
  </r>
  <r>
    <x v="1"/>
    <x v="2"/>
    <x v="0"/>
    <x v="1"/>
    <x v="3"/>
    <n v="566909.6"/>
  </r>
  <r>
    <x v="0"/>
    <x v="71"/>
    <x v="0"/>
    <x v="1"/>
    <x v="10"/>
    <n v="480876.41"/>
  </r>
  <r>
    <x v="1"/>
    <x v="74"/>
    <x v="0"/>
    <x v="1"/>
    <x v="9"/>
    <n v="710868.86"/>
  </r>
  <r>
    <x v="1"/>
    <x v="9"/>
    <x v="0"/>
    <x v="1"/>
    <x v="13"/>
    <n v="9289138.0199999996"/>
  </r>
  <r>
    <x v="1"/>
    <x v="40"/>
    <x v="0"/>
    <x v="10"/>
    <x v="10"/>
    <n v="366085.74"/>
  </r>
  <r>
    <x v="1"/>
    <x v="8"/>
    <x v="0"/>
    <x v="1"/>
    <x v="22"/>
    <n v="3048212.7"/>
  </r>
  <r>
    <x v="1"/>
    <x v="54"/>
    <x v="0"/>
    <x v="1"/>
    <x v="0"/>
    <n v="101248.37"/>
  </r>
  <r>
    <x v="0"/>
    <x v="11"/>
    <x v="0"/>
    <x v="1"/>
    <x v="7"/>
    <n v="213273652.41"/>
  </r>
  <r>
    <x v="1"/>
    <x v="45"/>
    <x v="0"/>
    <x v="1"/>
    <x v="15"/>
    <n v="4435874.74"/>
  </r>
  <r>
    <x v="0"/>
    <x v="67"/>
    <x v="0"/>
    <x v="1"/>
    <x v="23"/>
    <n v="2948046.83"/>
  </r>
  <r>
    <x v="0"/>
    <x v="24"/>
    <x v="0"/>
    <x v="1"/>
    <x v="25"/>
    <n v="58275465.020000003"/>
  </r>
  <r>
    <x v="1"/>
    <x v="65"/>
    <x v="0"/>
    <x v="10"/>
    <x v="25"/>
    <n v="90843.06"/>
  </r>
  <r>
    <x v="1"/>
    <x v="62"/>
    <x v="0"/>
    <x v="1"/>
    <x v="13"/>
    <n v="912477.96"/>
  </r>
  <r>
    <x v="0"/>
    <x v="64"/>
    <x v="0"/>
    <x v="1"/>
    <x v="16"/>
    <n v="217033.22"/>
  </r>
  <r>
    <x v="0"/>
    <x v="80"/>
    <x v="0"/>
    <x v="1"/>
    <x v="11"/>
    <n v="33857439.350000001"/>
  </r>
  <r>
    <x v="0"/>
    <x v="31"/>
    <x v="0"/>
    <x v="1"/>
    <x v="5"/>
    <n v="25362601.300000001"/>
  </r>
  <r>
    <x v="1"/>
    <x v="0"/>
    <x v="0"/>
    <x v="1"/>
    <x v="17"/>
    <n v="94795.82"/>
  </r>
  <r>
    <x v="0"/>
    <x v="14"/>
    <x v="0"/>
    <x v="1"/>
    <x v="13"/>
    <n v="999116.48"/>
  </r>
  <r>
    <x v="1"/>
    <x v="22"/>
    <x v="0"/>
    <x v="1"/>
    <x v="14"/>
    <n v="-116842.91"/>
  </r>
  <r>
    <x v="1"/>
    <x v="60"/>
    <x v="0"/>
    <x v="1"/>
    <x v="19"/>
    <n v="21733.23"/>
  </r>
  <r>
    <x v="0"/>
    <x v="63"/>
    <x v="0"/>
    <x v="1"/>
    <x v="9"/>
    <n v="2694157.06"/>
  </r>
  <r>
    <x v="0"/>
    <x v="2"/>
    <x v="0"/>
    <x v="1"/>
    <x v="1"/>
    <n v="2917909.48"/>
  </r>
  <r>
    <x v="1"/>
    <x v="76"/>
    <x v="0"/>
    <x v="1"/>
    <x v="24"/>
    <n v="440792.3"/>
  </r>
  <r>
    <x v="0"/>
    <x v="46"/>
    <x v="0"/>
    <x v="1"/>
    <x v="14"/>
    <n v="690961.41"/>
  </r>
  <r>
    <x v="0"/>
    <x v="65"/>
    <x v="0"/>
    <x v="1"/>
    <x v="8"/>
    <n v="4344618.83"/>
  </r>
  <r>
    <x v="0"/>
    <x v="21"/>
    <x v="0"/>
    <x v="1"/>
    <x v="4"/>
    <n v="13969018.42"/>
  </r>
  <r>
    <x v="0"/>
    <x v="53"/>
    <x v="0"/>
    <x v="1"/>
    <x v="19"/>
    <n v="5289421.13"/>
  </r>
  <r>
    <x v="0"/>
    <x v="56"/>
    <x v="0"/>
    <x v="1"/>
    <x v="8"/>
    <n v="178268.5"/>
  </r>
  <r>
    <x v="1"/>
    <x v="31"/>
    <x v="0"/>
    <x v="1"/>
    <x v="2"/>
    <n v="1320044.27"/>
  </r>
  <r>
    <x v="0"/>
    <x v="0"/>
    <x v="0"/>
    <x v="1"/>
    <x v="25"/>
    <n v="45112522.509999998"/>
  </r>
  <r>
    <x v="0"/>
    <x v="102"/>
    <x v="0"/>
    <x v="1"/>
    <x v="5"/>
    <n v="208326"/>
  </r>
  <r>
    <x v="1"/>
    <x v="88"/>
    <x v="0"/>
    <x v="1"/>
    <x v="0"/>
    <n v="93162.95"/>
  </r>
  <r>
    <x v="0"/>
    <x v="78"/>
    <x v="0"/>
    <x v="1"/>
    <x v="13"/>
    <n v="2347057"/>
  </r>
  <r>
    <x v="0"/>
    <x v="45"/>
    <x v="0"/>
    <x v="1"/>
    <x v="8"/>
    <n v="92676874.010000005"/>
  </r>
  <r>
    <x v="1"/>
    <x v="52"/>
    <x v="0"/>
    <x v="10"/>
    <x v="20"/>
    <n v="13734"/>
  </r>
  <r>
    <x v="1"/>
    <x v="9"/>
    <x v="0"/>
    <x v="1"/>
    <x v="19"/>
    <n v="6838563.6699999999"/>
  </r>
  <r>
    <x v="0"/>
    <x v="16"/>
    <x v="0"/>
    <x v="1"/>
    <x v="22"/>
    <n v="5097477.3899999997"/>
  </r>
  <r>
    <x v="0"/>
    <x v="84"/>
    <x v="0"/>
    <x v="1"/>
    <x v="25"/>
    <n v="1998048.24"/>
  </r>
  <r>
    <x v="1"/>
    <x v="6"/>
    <x v="0"/>
    <x v="1"/>
    <x v="12"/>
    <n v="9581.02"/>
  </r>
  <r>
    <x v="0"/>
    <x v="86"/>
    <x v="0"/>
    <x v="1"/>
    <x v="5"/>
    <n v="1774201.68"/>
  </r>
  <r>
    <x v="0"/>
    <x v="6"/>
    <x v="0"/>
    <x v="6"/>
    <x v="2"/>
    <n v="25453000"/>
  </r>
  <r>
    <x v="0"/>
    <x v="0"/>
    <x v="0"/>
    <x v="0"/>
    <x v="15"/>
    <n v="40000000"/>
  </r>
  <r>
    <x v="1"/>
    <x v="59"/>
    <x v="0"/>
    <x v="7"/>
    <x v="13"/>
    <n v="96930"/>
  </r>
  <r>
    <x v="1"/>
    <x v="32"/>
    <x v="0"/>
    <x v="7"/>
    <x v="10"/>
    <n v="-1827897.87"/>
  </r>
  <r>
    <x v="0"/>
    <x v="20"/>
    <x v="0"/>
    <x v="1"/>
    <x v="0"/>
    <n v="2716102658.4499998"/>
  </r>
  <r>
    <x v="0"/>
    <x v="65"/>
    <x v="0"/>
    <x v="1"/>
    <x v="22"/>
    <n v="16578775.65"/>
  </r>
  <r>
    <x v="0"/>
    <x v="40"/>
    <x v="0"/>
    <x v="8"/>
    <x v="20"/>
    <n v="3355513.66"/>
  </r>
  <r>
    <x v="1"/>
    <x v="75"/>
    <x v="0"/>
    <x v="1"/>
    <x v="25"/>
    <n v="12521.67"/>
  </r>
  <r>
    <x v="0"/>
    <x v="17"/>
    <x v="0"/>
    <x v="1"/>
    <x v="9"/>
    <n v="11920646.84"/>
  </r>
  <r>
    <x v="1"/>
    <x v="61"/>
    <x v="0"/>
    <x v="10"/>
    <x v="5"/>
    <n v="77863.990000000005"/>
  </r>
  <r>
    <x v="1"/>
    <x v="57"/>
    <x v="0"/>
    <x v="1"/>
    <x v="12"/>
    <n v="34790.089999999997"/>
  </r>
  <r>
    <x v="0"/>
    <x v="43"/>
    <x v="0"/>
    <x v="1"/>
    <x v="1"/>
    <n v="2329564.2400000002"/>
  </r>
  <r>
    <x v="0"/>
    <x v="29"/>
    <x v="0"/>
    <x v="1"/>
    <x v="25"/>
    <n v="1274512.5"/>
  </r>
  <r>
    <x v="1"/>
    <x v="28"/>
    <x v="0"/>
    <x v="2"/>
    <x v="4"/>
    <n v="37020597.609999999"/>
  </r>
  <r>
    <x v="1"/>
    <x v="9"/>
    <x v="0"/>
    <x v="1"/>
    <x v="5"/>
    <n v="306049.99"/>
  </r>
  <r>
    <x v="1"/>
    <x v="54"/>
    <x v="0"/>
    <x v="1"/>
    <x v="17"/>
    <n v="40404.089999999997"/>
  </r>
  <r>
    <x v="1"/>
    <x v="47"/>
    <x v="0"/>
    <x v="9"/>
    <x v="25"/>
    <n v="70459.88"/>
  </r>
  <r>
    <x v="0"/>
    <x v="59"/>
    <x v="0"/>
    <x v="1"/>
    <x v="15"/>
    <n v="28307976.280000001"/>
  </r>
  <r>
    <x v="0"/>
    <x v="56"/>
    <x v="0"/>
    <x v="1"/>
    <x v="18"/>
    <n v="222682.82"/>
  </r>
  <r>
    <x v="0"/>
    <x v="9"/>
    <x v="0"/>
    <x v="1"/>
    <x v="21"/>
    <n v="662221779.57000005"/>
  </r>
  <r>
    <x v="1"/>
    <x v="13"/>
    <x v="0"/>
    <x v="1"/>
    <x v="22"/>
    <n v="275496.59999999998"/>
  </r>
  <r>
    <x v="1"/>
    <x v="47"/>
    <x v="0"/>
    <x v="1"/>
    <x v="20"/>
    <n v="7557361.5"/>
  </r>
  <r>
    <x v="1"/>
    <x v="47"/>
    <x v="0"/>
    <x v="5"/>
    <x v="13"/>
    <n v="6203269.5800000001"/>
  </r>
  <r>
    <x v="0"/>
    <x v="75"/>
    <x v="0"/>
    <x v="1"/>
    <x v="4"/>
    <n v="1333757.04"/>
  </r>
  <r>
    <x v="1"/>
    <x v="20"/>
    <x v="0"/>
    <x v="1"/>
    <x v="15"/>
    <n v="192897030.44"/>
  </r>
  <r>
    <x v="0"/>
    <x v="4"/>
    <x v="0"/>
    <x v="1"/>
    <x v="17"/>
    <n v="5362033723.3599997"/>
  </r>
  <r>
    <x v="1"/>
    <x v="40"/>
    <x v="0"/>
    <x v="1"/>
    <x v="20"/>
    <n v="45385372.100000001"/>
  </r>
  <r>
    <x v="1"/>
    <x v="66"/>
    <x v="0"/>
    <x v="10"/>
    <x v="5"/>
    <n v="3727498.44"/>
  </r>
  <r>
    <x v="0"/>
    <x v="16"/>
    <x v="0"/>
    <x v="1"/>
    <x v="20"/>
    <n v="5371726.5099999998"/>
  </r>
  <r>
    <x v="0"/>
    <x v="85"/>
    <x v="0"/>
    <x v="6"/>
    <x v="13"/>
    <n v="13000"/>
  </r>
  <r>
    <x v="1"/>
    <x v="36"/>
    <x v="0"/>
    <x v="1"/>
    <x v="15"/>
    <n v="997"/>
  </r>
  <r>
    <x v="0"/>
    <x v="47"/>
    <x v="0"/>
    <x v="7"/>
    <x v="8"/>
    <n v="1067.05"/>
  </r>
  <r>
    <x v="0"/>
    <x v="23"/>
    <x v="0"/>
    <x v="1"/>
    <x v="3"/>
    <n v="11162842.99"/>
  </r>
  <r>
    <x v="1"/>
    <x v="41"/>
    <x v="0"/>
    <x v="6"/>
    <x v="0"/>
    <n v="1619500"/>
  </r>
  <r>
    <x v="0"/>
    <x v="80"/>
    <x v="0"/>
    <x v="1"/>
    <x v="25"/>
    <n v="32178134.34"/>
  </r>
  <r>
    <x v="1"/>
    <x v="47"/>
    <x v="0"/>
    <x v="1"/>
    <x v="1"/>
    <n v="15880713.789999999"/>
  </r>
  <r>
    <x v="0"/>
    <x v="15"/>
    <x v="0"/>
    <x v="8"/>
    <x v="25"/>
    <n v="1276813.81"/>
  </r>
  <r>
    <x v="1"/>
    <x v="25"/>
    <x v="0"/>
    <x v="1"/>
    <x v="21"/>
    <n v="52048.5"/>
  </r>
  <r>
    <x v="1"/>
    <x v="41"/>
    <x v="0"/>
    <x v="1"/>
    <x v="1"/>
    <n v="-4476986.71"/>
  </r>
  <r>
    <x v="0"/>
    <x v="97"/>
    <x v="0"/>
    <x v="1"/>
    <x v="11"/>
    <n v="109000"/>
  </r>
  <r>
    <x v="0"/>
    <x v="52"/>
    <x v="0"/>
    <x v="10"/>
    <x v="6"/>
    <n v="18382.150000000001"/>
  </r>
  <r>
    <x v="0"/>
    <x v="78"/>
    <x v="0"/>
    <x v="1"/>
    <x v="11"/>
    <n v="2049519.1"/>
  </r>
  <r>
    <x v="0"/>
    <x v="20"/>
    <x v="0"/>
    <x v="1"/>
    <x v="2"/>
    <n v="2787558513.2800002"/>
  </r>
  <r>
    <x v="1"/>
    <x v="87"/>
    <x v="0"/>
    <x v="1"/>
    <x v="14"/>
    <n v="18826.93"/>
  </r>
  <r>
    <x v="1"/>
    <x v="64"/>
    <x v="0"/>
    <x v="1"/>
    <x v="9"/>
    <n v="29413.94"/>
  </r>
  <r>
    <x v="0"/>
    <x v="25"/>
    <x v="0"/>
    <x v="1"/>
    <x v="24"/>
    <n v="934126.55"/>
  </r>
  <r>
    <x v="1"/>
    <x v="65"/>
    <x v="0"/>
    <x v="1"/>
    <x v="2"/>
    <n v="-5091579.93"/>
  </r>
  <r>
    <x v="0"/>
    <x v="76"/>
    <x v="0"/>
    <x v="1"/>
    <x v="1"/>
    <n v="41526814.57"/>
  </r>
  <r>
    <x v="1"/>
    <x v="1"/>
    <x v="0"/>
    <x v="1"/>
    <x v="25"/>
    <n v="264840.90999999997"/>
  </r>
  <r>
    <x v="0"/>
    <x v="31"/>
    <x v="0"/>
    <x v="1"/>
    <x v="6"/>
    <n v="19424520.649999999"/>
  </r>
  <r>
    <x v="1"/>
    <x v="7"/>
    <x v="0"/>
    <x v="1"/>
    <x v="22"/>
    <n v="254482.21"/>
  </r>
  <r>
    <x v="0"/>
    <x v="22"/>
    <x v="0"/>
    <x v="7"/>
    <x v="19"/>
    <n v="281799.89"/>
  </r>
  <r>
    <x v="0"/>
    <x v="88"/>
    <x v="0"/>
    <x v="1"/>
    <x v="17"/>
    <n v="685478.17"/>
  </r>
  <r>
    <x v="0"/>
    <x v="31"/>
    <x v="0"/>
    <x v="1"/>
    <x v="7"/>
    <n v="23647455.84"/>
  </r>
  <r>
    <x v="0"/>
    <x v="37"/>
    <x v="0"/>
    <x v="1"/>
    <x v="5"/>
    <n v="11525002.939999999"/>
  </r>
  <r>
    <x v="0"/>
    <x v="86"/>
    <x v="0"/>
    <x v="1"/>
    <x v="9"/>
    <n v="2323174.08"/>
  </r>
  <r>
    <x v="1"/>
    <x v="34"/>
    <x v="0"/>
    <x v="1"/>
    <x v="2"/>
    <n v="88885390.209999993"/>
  </r>
  <r>
    <x v="0"/>
    <x v="54"/>
    <x v="0"/>
    <x v="1"/>
    <x v="11"/>
    <n v="1155722.3600000001"/>
  </r>
  <r>
    <x v="1"/>
    <x v="9"/>
    <x v="0"/>
    <x v="3"/>
    <x v="15"/>
    <n v="6453190.9100000001"/>
  </r>
  <r>
    <x v="0"/>
    <x v="6"/>
    <x v="0"/>
    <x v="2"/>
    <x v="9"/>
    <n v="24838217.600000001"/>
  </r>
  <r>
    <x v="1"/>
    <x v="4"/>
    <x v="0"/>
    <x v="1"/>
    <x v="1"/>
    <n v="-187807603.08000001"/>
  </r>
  <r>
    <x v="0"/>
    <x v="22"/>
    <x v="0"/>
    <x v="1"/>
    <x v="17"/>
    <n v="60667784.840000004"/>
  </r>
  <r>
    <x v="0"/>
    <x v="4"/>
    <x v="0"/>
    <x v="0"/>
    <x v="4"/>
    <n v="87942804.819999993"/>
  </r>
  <r>
    <x v="0"/>
    <x v="37"/>
    <x v="0"/>
    <x v="1"/>
    <x v="22"/>
    <n v="18632773.390000001"/>
  </r>
  <r>
    <x v="1"/>
    <x v="62"/>
    <x v="0"/>
    <x v="1"/>
    <x v="0"/>
    <n v="2875979.54"/>
  </r>
  <r>
    <x v="0"/>
    <x v="75"/>
    <x v="0"/>
    <x v="1"/>
    <x v="2"/>
    <n v="426115.68"/>
  </r>
  <r>
    <x v="0"/>
    <x v="43"/>
    <x v="0"/>
    <x v="1"/>
    <x v="0"/>
    <n v="2554414.56"/>
  </r>
  <r>
    <x v="0"/>
    <x v="40"/>
    <x v="0"/>
    <x v="8"/>
    <x v="10"/>
    <n v="949686.16"/>
  </r>
  <r>
    <x v="1"/>
    <x v="85"/>
    <x v="0"/>
    <x v="1"/>
    <x v="3"/>
    <n v="75328.47"/>
  </r>
  <r>
    <x v="0"/>
    <x v="73"/>
    <x v="0"/>
    <x v="1"/>
    <x v="6"/>
    <n v="1950011.01"/>
  </r>
  <r>
    <x v="0"/>
    <x v="17"/>
    <x v="0"/>
    <x v="1"/>
    <x v="17"/>
    <n v="6923062.7400000002"/>
  </r>
  <r>
    <x v="0"/>
    <x v="27"/>
    <x v="0"/>
    <x v="6"/>
    <x v="13"/>
    <n v="110000"/>
  </r>
  <r>
    <x v="0"/>
    <x v="9"/>
    <x v="0"/>
    <x v="3"/>
    <x v="1"/>
    <n v="52727498.310000002"/>
  </r>
  <r>
    <x v="0"/>
    <x v="50"/>
    <x v="0"/>
    <x v="3"/>
    <x v="1"/>
    <n v="9538000"/>
  </r>
  <r>
    <x v="0"/>
    <x v="13"/>
    <x v="0"/>
    <x v="1"/>
    <x v="7"/>
    <n v="4002617.46"/>
  </r>
  <r>
    <x v="0"/>
    <x v="18"/>
    <x v="0"/>
    <x v="1"/>
    <x v="6"/>
    <n v="7051523.0099999998"/>
  </r>
  <r>
    <x v="0"/>
    <x v="22"/>
    <x v="0"/>
    <x v="10"/>
    <x v="10"/>
    <n v="3353136.59"/>
  </r>
  <r>
    <x v="0"/>
    <x v="78"/>
    <x v="0"/>
    <x v="1"/>
    <x v="6"/>
    <n v="1986490.05"/>
  </r>
  <r>
    <x v="1"/>
    <x v="59"/>
    <x v="0"/>
    <x v="10"/>
    <x v="13"/>
    <n v="-1674.4"/>
  </r>
  <r>
    <x v="0"/>
    <x v="56"/>
    <x v="0"/>
    <x v="7"/>
    <x v="14"/>
    <n v="8358"/>
  </r>
  <r>
    <x v="1"/>
    <x v="15"/>
    <x v="0"/>
    <x v="8"/>
    <x v="5"/>
    <n v="336844"/>
  </r>
  <r>
    <x v="0"/>
    <x v="37"/>
    <x v="0"/>
    <x v="1"/>
    <x v="19"/>
    <n v="7174251.1600000001"/>
  </r>
  <r>
    <x v="0"/>
    <x v="36"/>
    <x v="0"/>
    <x v="6"/>
    <x v="13"/>
    <n v="75000"/>
  </r>
  <r>
    <x v="1"/>
    <x v="76"/>
    <x v="0"/>
    <x v="10"/>
    <x v="6"/>
    <n v="624396.93000000005"/>
  </r>
  <r>
    <x v="0"/>
    <x v="58"/>
    <x v="0"/>
    <x v="1"/>
    <x v="3"/>
    <n v="16219843.4"/>
  </r>
  <r>
    <x v="1"/>
    <x v="41"/>
    <x v="0"/>
    <x v="1"/>
    <x v="2"/>
    <n v="6552373.3799999999"/>
  </r>
  <r>
    <x v="0"/>
    <x v="73"/>
    <x v="0"/>
    <x v="1"/>
    <x v="18"/>
    <n v="6879277.4199999999"/>
  </r>
  <r>
    <x v="0"/>
    <x v="42"/>
    <x v="0"/>
    <x v="1"/>
    <x v="6"/>
    <n v="9883384.3000000007"/>
  </r>
  <r>
    <x v="0"/>
    <x v="24"/>
    <x v="0"/>
    <x v="1"/>
    <x v="1"/>
    <n v="51719000"/>
  </r>
  <r>
    <x v="0"/>
    <x v="1"/>
    <x v="0"/>
    <x v="1"/>
    <x v="13"/>
    <n v="4976206.76"/>
  </r>
  <r>
    <x v="1"/>
    <x v="47"/>
    <x v="0"/>
    <x v="9"/>
    <x v="13"/>
    <n v="173043.08"/>
  </r>
  <r>
    <x v="1"/>
    <x v="13"/>
    <x v="0"/>
    <x v="1"/>
    <x v="4"/>
    <n v="121028.6"/>
  </r>
  <r>
    <x v="0"/>
    <x v="24"/>
    <x v="0"/>
    <x v="7"/>
    <x v="24"/>
    <n v="-17600"/>
  </r>
  <r>
    <x v="0"/>
    <x v="6"/>
    <x v="0"/>
    <x v="3"/>
    <x v="9"/>
    <n v="18331436.050000001"/>
  </r>
  <r>
    <x v="1"/>
    <x v="43"/>
    <x v="0"/>
    <x v="1"/>
    <x v="2"/>
    <n v="692275.71"/>
  </r>
  <r>
    <x v="0"/>
    <x v="52"/>
    <x v="0"/>
    <x v="6"/>
    <x v="2"/>
    <n v="747898"/>
  </r>
  <r>
    <x v="0"/>
    <x v="22"/>
    <x v="0"/>
    <x v="8"/>
    <x v="19"/>
    <n v="2466615.19"/>
  </r>
  <r>
    <x v="1"/>
    <x v="67"/>
    <x v="0"/>
    <x v="1"/>
    <x v="10"/>
    <n v="-293973.98"/>
  </r>
  <r>
    <x v="1"/>
    <x v="64"/>
    <x v="0"/>
    <x v="1"/>
    <x v="3"/>
    <n v="18971.509999999998"/>
  </r>
  <r>
    <x v="0"/>
    <x v="55"/>
    <x v="0"/>
    <x v="6"/>
    <x v="2"/>
    <n v="36000"/>
  </r>
  <r>
    <x v="0"/>
    <x v="27"/>
    <x v="0"/>
    <x v="2"/>
    <x v="2"/>
    <n v="2455000"/>
  </r>
  <r>
    <x v="1"/>
    <x v="9"/>
    <x v="0"/>
    <x v="1"/>
    <x v="12"/>
    <n v="-8877709.25"/>
  </r>
  <r>
    <x v="0"/>
    <x v="69"/>
    <x v="0"/>
    <x v="1"/>
    <x v="10"/>
    <n v="863783.25"/>
  </r>
  <r>
    <x v="1"/>
    <x v="31"/>
    <x v="0"/>
    <x v="6"/>
    <x v="13"/>
    <n v="125000"/>
  </r>
  <r>
    <x v="0"/>
    <x v="58"/>
    <x v="0"/>
    <x v="1"/>
    <x v="23"/>
    <n v="18961056.420000002"/>
  </r>
  <r>
    <x v="0"/>
    <x v="59"/>
    <x v="0"/>
    <x v="1"/>
    <x v="12"/>
    <n v="29463385.489999998"/>
  </r>
  <r>
    <x v="0"/>
    <x v="90"/>
    <x v="0"/>
    <x v="1"/>
    <x v="10"/>
    <n v="66293.039999999994"/>
  </r>
  <r>
    <x v="0"/>
    <x v="9"/>
    <x v="0"/>
    <x v="3"/>
    <x v="5"/>
    <n v="41278560.789999999"/>
  </r>
  <r>
    <x v="1"/>
    <x v="6"/>
    <x v="0"/>
    <x v="3"/>
    <x v="9"/>
    <n v="23655.77"/>
  </r>
  <r>
    <x v="0"/>
    <x v="19"/>
    <x v="0"/>
    <x v="6"/>
    <x v="1"/>
    <n v="85000"/>
  </r>
  <r>
    <x v="1"/>
    <x v="41"/>
    <x v="0"/>
    <x v="9"/>
    <x v="25"/>
    <n v="6056.45"/>
  </r>
  <r>
    <x v="1"/>
    <x v="9"/>
    <x v="0"/>
    <x v="1"/>
    <x v="21"/>
    <n v="-30796690.460000001"/>
  </r>
  <r>
    <x v="0"/>
    <x v="27"/>
    <x v="0"/>
    <x v="3"/>
    <x v="2"/>
    <n v="8414000"/>
  </r>
  <r>
    <x v="0"/>
    <x v="59"/>
    <x v="0"/>
    <x v="1"/>
    <x v="21"/>
    <n v="37552668.100000001"/>
  </r>
  <r>
    <x v="0"/>
    <x v="9"/>
    <x v="0"/>
    <x v="3"/>
    <x v="17"/>
    <n v="12838261.85"/>
  </r>
  <r>
    <x v="1"/>
    <x v="45"/>
    <x v="0"/>
    <x v="1"/>
    <x v="11"/>
    <n v="8832894.8599999994"/>
  </r>
  <r>
    <x v="0"/>
    <x v="90"/>
    <x v="0"/>
    <x v="1"/>
    <x v="20"/>
    <n v="145353.10999999999"/>
  </r>
  <r>
    <x v="1"/>
    <x v="80"/>
    <x v="0"/>
    <x v="1"/>
    <x v="23"/>
    <n v="3740455.94"/>
  </r>
  <r>
    <x v="1"/>
    <x v="71"/>
    <x v="0"/>
    <x v="1"/>
    <x v="3"/>
    <n v="28069.21"/>
  </r>
  <r>
    <x v="0"/>
    <x v="46"/>
    <x v="0"/>
    <x v="1"/>
    <x v="22"/>
    <n v="299590.25"/>
  </r>
  <r>
    <x v="1"/>
    <x v="10"/>
    <x v="0"/>
    <x v="1"/>
    <x v="8"/>
    <n v="47404.27"/>
  </r>
  <r>
    <x v="1"/>
    <x v="22"/>
    <x v="0"/>
    <x v="6"/>
    <x v="13"/>
    <n v="0"/>
  </r>
  <r>
    <x v="1"/>
    <x v="57"/>
    <x v="0"/>
    <x v="1"/>
    <x v="6"/>
    <n v="34878.07"/>
  </r>
  <r>
    <x v="1"/>
    <x v="20"/>
    <x v="0"/>
    <x v="10"/>
    <x v="13"/>
    <n v="1939294.46"/>
  </r>
  <r>
    <x v="1"/>
    <x v="23"/>
    <x v="0"/>
    <x v="1"/>
    <x v="7"/>
    <n v="2741595"/>
  </r>
  <r>
    <x v="0"/>
    <x v="2"/>
    <x v="0"/>
    <x v="1"/>
    <x v="3"/>
    <n v="1782955.57"/>
  </r>
  <r>
    <x v="1"/>
    <x v="58"/>
    <x v="0"/>
    <x v="1"/>
    <x v="2"/>
    <n v="-774503.76"/>
  </r>
  <r>
    <x v="0"/>
    <x v="53"/>
    <x v="0"/>
    <x v="1"/>
    <x v="16"/>
    <n v="5147225.5"/>
  </r>
  <r>
    <x v="0"/>
    <x v="80"/>
    <x v="0"/>
    <x v="1"/>
    <x v="12"/>
    <n v="31448810.350000001"/>
  </r>
  <r>
    <x v="0"/>
    <x v="69"/>
    <x v="0"/>
    <x v="1"/>
    <x v="20"/>
    <n v="782813.04"/>
  </r>
  <r>
    <x v="1"/>
    <x v="9"/>
    <x v="0"/>
    <x v="1"/>
    <x v="16"/>
    <n v="22844173.129999999"/>
  </r>
  <r>
    <x v="0"/>
    <x v="53"/>
    <x v="0"/>
    <x v="1"/>
    <x v="7"/>
    <n v="5142800.1399999997"/>
  </r>
  <r>
    <x v="0"/>
    <x v="62"/>
    <x v="0"/>
    <x v="1"/>
    <x v="4"/>
    <n v="57900213.829999998"/>
  </r>
  <r>
    <x v="1"/>
    <x v="29"/>
    <x v="0"/>
    <x v="1"/>
    <x v="20"/>
    <n v="122683.65"/>
  </r>
  <r>
    <x v="0"/>
    <x v="26"/>
    <x v="0"/>
    <x v="1"/>
    <x v="10"/>
    <n v="833703.81"/>
  </r>
  <r>
    <x v="0"/>
    <x v="43"/>
    <x v="0"/>
    <x v="1"/>
    <x v="25"/>
    <n v="2352509.9900000002"/>
  </r>
  <r>
    <x v="0"/>
    <x v="86"/>
    <x v="0"/>
    <x v="1"/>
    <x v="12"/>
    <n v="1015769.69"/>
  </r>
  <r>
    <x v="1"/>
    <x v="54"/>
    <x v="0"/>
    <x v="1"/>
    <x v="4"/>
    <n v="220456.5"/>
  </r>
  <r>
    <x v="0"/>
    <x v="13"/>
    <x v="0"/>
    <x v="1"/>
    <x v="15"/>
    <n v="3316521.88"/>
  </r>
  <r>
    <x v="1"/>
    <x v="88"/>
    <x v="0"/>
    <x v="1"/>
    <x v="24"/>
    <n v="15116.89"/>
  </r>
  <r>
    <x v="0"/>
    <x v="23"/>
    <x v="0"/>
    <x v="1"/>
    <x v="1"/>
    <n v="18210659.699999999"/>
  </r>
  <r>
    <x v="1"/>
    <x v="7"/>
    <x v="0"/>
    <x v="1"/>
    <x v="14"/>
    <n v="164151"/>
  </r>
  <r>
    <x v="0"/>
    <x v="89"/>
    <x v="0"/>
    <x v="1"/>
    <x v="23"/>
    <n v="418816.31"/>
  </r>
  <r>
    <x v="1"/>
    <x v="90"/>
    <x v="0"/>
    <x v="1"/>
    <x v="19"/>
    <n v="8163.53"/>
  </r>
  <r>
    <x v="0"/>
    <x v="58"/>
    <x v="0"/>
    <x v="1"/>
    <x v="25"/>
    <n v="20271191.93"/>
  </r>
  <r>
    <x v="1"/>
    <x v="78"/>
    <x v="0"/>
    <x v="1"/>
    <x v="14"/>
    <n v="135857.24"/>
  </r>
  <r>
    <x v="1"/>
    <x v="67"/>
    <x v="0"/>
    <x v="1"/>
    <x v="2"/>
    <n v="239921.53"/>
  </r>
  <r>
    <x v="1"/>
    <x v="76"/>
    <x v="0"/>
    <x v="8"/>
    <x v="13"/>
    <n v="69947.86"/>
  </r>
  <r>
    <x v="0"/>
    <x v="39"/>
    <x v="0"/>
    <x v="6"/>
    <x v="2"/>
    <n v="12833.37"/>
  </r>
  <r>
    <x v="1"/>
    <x v="76"/>
    <x v="0"/>
    <x v="1"/>
    <x v="17"/>
    <n v="-21306.32"/>
  </r>
  <r>
    <x v="0"/>
    <x v="50"/>
    <x v="0"/>
    <x v="3"/>
    <x v="5"/>
    <n v="9538000"/>
  </r>
  <r>
    <x v="1"/>
    <x v="45"/>
    <x v="0"/>
    <x v="1"/>
    <x v="23"/>
    <n v="30967284"/>
  </r>
  <r>
    <x v="1"/>
    <x v="32"/>
    <x v="0"/>
    <x v="1"/>
    <x v="0"/>
    <n v="1259194.68"/>
  </r>
  <r>
    <x v="1"/>
    <x v="57"/>
    <x v="0"/>
    <x v="1"/>
    <x v="25"/>
    <n v="294935.65000000002"/>
  </r>
  <r>
    <x v="0"/>
    <x v="17"/>
    <x v="0"/>
    <x v="1"/>
    <x v="21"/>
    <n v="6233142.25"/>
  </r>
  <r>
    <x v="0"/>
    <x v="50"/>
    <x v="0"/>
    <x v="6"/>
    <x v="13"/>
    <n v="103000"/>
  </r>
  <r>
    <x v="1"/>
    <x v="23"/>
    <x v="0"/>
    <x v="10"/>
    <x v="10"/>
    <n v="653689.99"/>
  </r>
  <r>
    <x v="0"/>
    <x v="93"/>
    <x v="0"/>
    <x v="1"/>
    <x v="9"/>
    <n v="19814420.98"/>
  </r>
  <r>
    <x v="0"/>
    <x v="51"/>
    <x v="0"/>
    <x v="1"/>
    <x v="9"/>
    <n v="1460748.79"/>
  </r>
  <r>
    <x v="0"/>
    <x v="73"/>
    <x v="0"/>
    <x v="9"/>
    <x v="24"/>
    <n v="4111379.61"/>
  </r>
  <r>
    <x v="1"/>
    <x v="20"/>
    <x v="0"/>
    <x v="7"/>
    <x v="20"/>
    <n v="109341.36"/>
  </r>
  <r>
    <x v="0"/>
    <x v="22"/>
    <x v="0"/>
    <x v="6"/>
    <x v="13"/>
    <n v="87000"/>
  </r>
  <r>
    <x v="1"/>
    <x v="67"/>
    <x v="0"/>
    <x v="2"/>
    <x v="22"/>
    <n v="16209.26"/>
  </r>
  <r>
    <x v="0"/>
    <x v="80"/>
    <x v="0"/>
    <x v="1"/>
    <x v="6"/>
    <n v="25980200.350000001"/>
  </r>
  <r>
    <x v="0"/>
    <x v="20"/>
    <x v="0"/>
    <x v="3"/>
    <x v="21"/>
    <n v="362000"/>
  </r>
  <r>
    <x v="1"/>
    <x v="85"/>
    <x v="0"/>
    <x v="1"/>
    <x v="23"/>
    <n v="163256.01999999999"/>
  </r>
  <r>
    <x v="0"/>
    <x v="19"/>
    <x v="0"/>
    <x v="1"/>
    <x v="2"/>
    <n v="1638261.57"/>
  </r>
  <r>
    <x v="1"/>
    <x v="84"/>
    <x v="0"/>
    <x v="6"/>
    <x v="13"/>
    <n v="2000"/>
  </r>
  <r>
    <x v="1"/>
    <x v="4"/>
    <x v="0"/>
    <x v="1"/>
    <x v="4"/>
    <n v="-235451734.81999999"/>
  </r>
  <r>
    <x v="0"/>
    <x v="56"/>
    <x v="0"/>
    <x v="1"/>
    <x v="11"/>
    <n v="281121.75"/>
  </r>
  <r>
    <x v="0"/>
    <x v="89"/>
    <x v="0"/>
    <x v="6"/>
    <x v="2"/>
    <n v="40000"/>
  </r>
  <r>
    <x v="1"/>
    <x v="10"/>
    <x v="0"/>
    <x v="1"/>
    <x v="20"/>
    <n v="109709.74"/>
  </r>
  <r>
    <x v="0"/>
    <x v="20"/>
    <x v="0"/>
    <x v="1"/>
    <x v="5"/>
    <n v="3695523150.5100002"/>
  </r>
  <r>
    <x v="0"/>
    <x v="59"/>
    <x v="0"/>
    <x v="10"/>
    <x v="13"/>
    <n v="288515.28000000003"/>
  </r>
  <r>
    <x v="1"/>
    <x v="72"/>
    <x v="0"/>
    <x v="1"/>
    <x v="25"/>
    <n v="26645.29"/>
  </r>
  <r>
    <x v="1"/>
    <x v="42"/>
    <x v="0"/>
    <x v="1"/>
    <x v="23"/>
    <n v="4282913"/>
  </r>
  <r>
    <x v="0"/>
    <x v="49"/>
    <x v="0"/>
    <x v="1"/>
    <x v="23"/>
    <n v="4889066.34"/>
  </r>
  <r>
    <x v="0"/>
    <x v="52"/>
    <x v="0"/>
    <x v="1"/>
    <x v="4"/>
    <n v="37340173.439999998"/>
  </r>
  <r>
    <x v="1"/>
    <x v="71"/>
    <x v="0"/>
    <x v="1"/>
    <x v="4"/>
    <n v="43551.94"/>
  </r>
  <r>
    <x v="1"/>
    <x v="47"/>
    <x v="0"/>
    <x v="5"/>
    <x v="19"/>
    <n v="480747.34"/>
  </r>
  <r>
    <x v="0"/>
    <x v="45"/>
    <x v="0"/>
    <x v="1"/>
    <x v="7"/>
    <n v="110884430.66"/>
  </r>
  <r>
    <x v="0"/>
    <x v="34"/>
    <x v="0"/>
    <x v="6"/>
    <x v="11"/>
    <n v="18270956.620000001"/>
  </r>
  <r>
    <x v="0"/>
    <x v="88"/>
    <x v="0"/>
    <x v="1"/>
    <x v="13"/>
    <n v="702177.37"/>
  </r>
  <r>
    <x v="1"/>
    <x v="37"/>
    <x v="0"/>
    <x v="1"/>
    <x v="0"/>
    <n v="2392152.44"/>
  </r>
  <r>
    <x v="1"/>
    <x v="1"/>
    <x v="0"/>
    <x v="1"/>
    <x v="16"/>
    <n v="281275.24"/>
  </r>
  <r>
    <x v="1"/>
    <x v="65"/>
    <x v="0"/>
    <x v="1"/>
    <x v="22"/>
    <n v="-905712.32"/>
  </r>
  <r>
    <x v="0"/>
    <x v="41"/>
    <x v="0"/>
    <x v="1"/>
    <x v="0"/>
    <n v="53141026.439999998"/>
  </r>
  <r>
    <x v="1"/>
    <x v="6"/>
    <x v="0"/>
    <x v="1"/>
    <x v="1"/>
    <n v="694301.91"/>
  </r>
  <r>
    <x v="0"/>
    <x v="52"/>
    <x v="0"/>
    <x v="1"/>
    <x v="15"/>
    <n v="4367000"/>
  </r>
  <r>
    <x v="0"/>
    <x v="57"/>
    <x v="0"/>
    <x v="1"/>
    <x v="18"/>
    <n v="772603.29"/>
  </r>
  <r>
    <x v="0"/>
    <x v="7"/>
    <x v="0"/>
    <x v="1"/>
    <x v="24"/>
    <n v="3736527.43"/>
  </r>
  <r>
    <x v="0"/>
    <x v="57"/>
    <x v="0"/>
    <x v="1"/>
    <x v="8"/>
    <n v="970182.31"/>
  </r>
  <r>
    <x v="0"/>
    <x v="76"/>
    <x v="0"/>
    <x v="1"/>
    <x v="18"/>
    <n v="38253530.829999998"/>
  </r>
  <r>
    <x v="0"/>
    <x v="48"/>
    <x v="0"/>
    <x v="1"/>
    <x v="24"/>
    <n v="91727"/>
  </r>
  <r>
    <x v="0"/>
    <x v="6"/>
    <x v="0"/>
    <x v="1"/>
    <x v="14"/>
    <n v="323768475.88"/>
  </r>
  <r>
    <x v="0"/>
    <x v="7"/>
    <x v="0"/>
    <x v="1"/>
    <x v="25"/>
    <n v="4573978.0599999996"/>
  </r>
  <r>
    <x v="1"/>
    <x v="51"/>
    <x v="0"/>
    <x v="1"/>
    <x v="12"/>
    <n v="265637.17"/>
  </r>
  <r>
    <x v="0"/>
    <x v="93"/>
    <x v="0"/>
    <x v="1"/>
    <x v="17"/>
    <n v="13177811.970000001"/>
  </r>
  <r>
    <x v="1"/>
    <x v="53"/>
    <x v="0"/>
    <x v="1"/>
    <x v="21"/>
    <n v="234267.17"/>
  </r>
  <r>
    <x v="0"/>
    <x v="18"/>
    <x v="0"/>
    <x v="1"/>
    <x v="11"/>
    <n v="13725947.359999999"/>
  </r>
  <r>
    <x v="0"/>
    <x v="5"/>
    <x v="0"/>
    <x v="1"/>
    <x v="11"/>
    <n v="78664000"/>
  </r>
  <r>
    <x v="0"/>
    <x v="7"/>
    <x v="0"/>
    <x v="6"/>
    <x v="25"/>
    <n v="37000"/>
  </r>
  <r>
    <x v="0"/>
    <x v="64"/>
    <x v="0"/>
    <x v="1"/>
    <x v="11"/>
    <n v="313407.76"/>
  </r>
  <r>
    <x v="0"/>
    <x v="62"/>
    <x v="0"/>
    <x v="1"/>
    <x v="3"/>
    <n v="27966041.16"/>
  </r>
  <r>
    <x v="1"/>
    <x v="20"/>
    <x v="0"/>
    <x v="5"/>
    <x v="24"/>
    <n v="25501131.170000002"/>
  </r>
  <r>
    <x v="1"/>
    <x v="63"/>
    <x v="0"/>
    <x v="1"/>
    <x v="12"/>
    <n v="-1878"/>
  </r>
  <r>
    <x v="0"/>
    <x v="47"/>
    <x v="0"/>
    <x v="1"/>
    <x v="4"/>
    <n v="243443864.41999999"/>
  </r>
  <r>
    <x v="1"/>
    <x v="8"/>
    <x v="0"/>
    <x v="1"/>
    <x v="24"/>
    <n v="550211.18000000005"/>
  </r>
  <r>
    <x v="1"/>
    <x v="50"/>
    <x v="0"/>
    <x v="1"/>
    <x v="21"/>
    <n v="2237406.0699999998"/>
  </r>
  <r>
    <x v="0"/>
    <x v="85"/>
    <x v="0"/>
    <x v="1"/>
    <x v="14"/>
    <n v="2326315.79"/>
  </r>
  <r>
    <x v="0"/>
    <x v="78"/>
    <x v="0"/>
    <x v="1"/>
    <x v="0"/>
    <n v="2083348.62"/>
  </r>
  <r>
    <x v="0"/>
    <x v="37"/>
    <x v="0"/>
    <x v="1"/>
    <x v="25"/>
    <n v="11783264.359999999"/>
  </r>
  <r>
    <x v="0"/>
    <x v="6"/>
    <x v="0"/>
    <x v="1"/>
    <x v="9"/>
    <n v="390263374.45999998"/>
  </r>
  <r>
    <x v="0"/>
    <x v="71"/>
    <x v="0"/>
    <x v="1"/>
    <x v="6"/>
    <n v="456656.11"/>
  </r>
  <r>
    <x v="0"/>
    <x v="58"/>
    <x v="0"/>
    <x v="1"/>
    <x v="12"/>
    <n v="15902032.43"/>
  </r>
  <r>
    <x v="0"/>
    <x v="3"/>
    <x v="0"/>
    <x v="1"/>
    <x v="20"/>
    <n v="1449120.15"/>
  </r>
  <r>
    <x v="0"/>
    <x v="25"/>
    <x v="0"/>
    <x v="6"/>
    <x v="13"/>
    <n v="6000"/>
  </r>
  <r>
    <x v="0"/>
    <x v="33"/>
    <x v="0"/>
    <x v="7"/>
    <x v="7"/>
    <n v="65000"/>
  </r>
  <r>
    <x v="0"/>
    <x v="41"/>
    <x v="0"/>
    <x v="1"/>
    <x v="4"/>
    <n v="169224200.93000001"/>
  </r>
  <r>
    <x v="0"/>
    <x v="46"/>
    <x v="0"/>
    <x v="1"/>
    <x v="21"/>
    <n v="679950.93"/>
  </r>
  <r>
    <x v="0"/>
    <x v="90"/>
    <x v="0"/>
    <x v="1"/>
    <x v="7"/>
    <n v="175289.49"/>
  </r>
  <r>
    <x v="0"/>
    <x v="8"/>
    <x v="0"/>
    <x v="6"/>
    <x v="2"/>
    <n v="2286000"/>
  </r>
  <r>
    <x v="1"/>
    <x v="16"/>
    <x v="0"/>
    <x v="1"/>
    <x v="5"/>
    <n v="339805.67"/>
  </r>
  <r>
    <x v="0"/>
    <x v="34"/>
    <x v="0"/>
    <x v="0"/>
    <x v="0"/>
    <n v="37430386.090000004"/>
  </r>
  <r>
    <x v="0"/>
    <x v="23"/>
    <x v="0"/>
    <x v="10"/>
    <x v="5"/>
    <n v="17217499.039999999"/>
  </r>
  <r>
    <x v="0"/>
    <x v="3"/>
    <x v="0"/>
    <x v="1"/>
    <x v="19"/>
    <n v="1286570.3999999999"/>
  </r>
  <r>
    <x v="0"/>
    <x v="73"/>
    <x v="0"/>
    <x v="1"/>
    <x v="4"/>
    <n v="12427604.41"/>
  </r>
  <r>
    <x v="0"/>
    <x v="24"/>
    <x v="0"/>
    <x v="5"/>
    <x v="5"/>
    <n v="7000"/>
  </r>
  <r>
    <x v="0"/>
    <x v="42"/>
    <x v="0"/>
    <x v="1"/>
    <x v="11"/>
    <n v="20995069.440000001"/>
  </r>
  <r>
    <x v="0"/>
    <x v="37"/>
    <x v="0"/>
    <x v="1"/>
    <x v="24"/>
    <n v="7304704.8799999999"/>
  </r>
  <r>
    <x v="0"/>
    <x v="97"/>
    <x v="0"/>
    <x v="7"/>
    <x v="14"/>
    <n v="0"/>
  </r>
  <r>
    <x v="1"/>
    <x v="39"/>
    <x v="0"/>
    <x v="1"/>
    <x v="1"/>
    <n v="8170.61"/>
  </r>
  <r>
    <x v="1"/>
    <x v="4"/>
    <x v="0"/>
    <x v="3"/>
    <x v="5"/>
    <n v="-73018.33"/>
  </r>
  <r>
    <x v="1"/>
    <x v="47"/>
    <x v="0"/>
    <x v="9"/>
    <x v="10"/>
    <n v="19050.82"/>
  </r>
  <r>
    <x v="1"/>
    <x v="22"/>
    <x v="0"/>
    <x v="1"/>
    <x v="13"/>
    <n v="5986706.0899999999"/>
  </r>
  <r>
    <x v="0"/>
    <x v="70"/>
    <x v="0"/>
    <x v="1"/>
    <x v="12"/>
    <n v="1222822.6399999999"/>
  </r>
  <r>
    <x v="0"/>
    <x v="50"/>
    <x v="0"/>
    <x v="2"/>
    <x v="23"/>
    <n v="3060000"/>
  </r>
  <r>
    <x v="1"/>
    <x v="13"/>
    <x v="0"/>
    <x v="6"/>
    <x v="11"/>
    <n v="18163"/>
  </r>
  <r>
    <x v="0"/>
    <x v="18"/>
    <x v="0"/>
    <x v="1"/>
    <x v="2"/>
    <n v="12660338.49"/>
  </r>
  <r>
    <x v="0"/>
    <x v="24"/>
    <x v="0"/>
    <x v="7"/>
    <x v="19"/>
    <n v="17600"/>
  </r>
  <r>
    <x v="0"/>
    <x v="69"/>
    <x v="0"/>
    <x v="1"/>
    <x v="6"/>
    <n v="695145.58"/>
  </r>
  <r>
    <x v="0"/>
    <x v="58"/>
    <x v="0"/>
    <x v="1"/>
    <x v="21"/>
    <n v="17690949.129999999"/>
  </r>
  <r>
    <x v="1"/>
    <x v="41"/>
    <x v="0"/>
    <x v="9"/>
    <x v="20"/>
    <n v="-890222.68"/>
  </r>
  <r>
    <x v="1"/>
    <x v="4"/>
    <x v="0"/>
    <x v="1"/>
    <x v="6"/>
    <n v="6811058.2999999998"/>
  </r>
  <r>
    <x v="0"/>
    <x v="13"/>
    <x v="0"/>
    <x v="1"/>
    <x v="0"/>
    <n v="3711948.92"/>
  </r>
  <r>
    <x v="1"/>
    <x v="65"/>
    <x v="0"/>
    <x v="1"/>
    <x v="6"/>
    <n v="288956.65000000002"/>
  </r>
  <r>
    <x v="0"/>
    <x v="28"/>
    <x v="0"/>
    <x v="3"/>
    <x v="1"/>
    <n v="52731000"/>
  </r>
  <r>
    <x v="0"/>
    <x v="70"/>
    <x v="0"/>
    <x v="1"/>
    <x v="21"/>
    <n v="1834145.23"/>
  </r>
  <r>
    <x v="0"/>
    <x v="80"/>
    <x v="0"/>
    <x v="1"/>
    <x v="10"/>
    <n v="26986505"/>
  </r>
  <r>
    <x v="0"/>
    <x v="4"/>
    <x v="0"/>
    <x v="1"/>
    <x v="4"/>
    <n v="14371289727.75"/>
  </r>
  <r>
    <x v="0"/>
    <x v="9"/>
    <x v="0"/>
    <x v="1"/>
    <x v="10"/>
    <n v="498242168.85000002"/>
  </r>
  <r>
    <x v="0"/>
    <x v="27"/>
    <x v="0"/>
    <x v="3"/>
    <x v="9"/>
    <n v="8424000"/>
  </r>
  <r>
    <x v="0"/>
    <x v="93"/>
    <x v="0"/>
    <x v="1"/>
    <x v="23"/>
    <n v="20898105.32"/>
  </r>
  <r>
    <x v="0"/>
    <x v="76"/>
    <x v="0"/>
    <x v="8"/>
    <x v="14"/>
    <n v="138934.13"/>
  </r>
  <r>
    <x v="0"/>
    <x v="5"/>
    <x v="0"/>
    <x v="3"/>
    <x v="15"/>
    <n v="4077907.58"/>
  </r>
  <r>
    <x v="1"/>
    <x v="52"/>
    <x v="0"/>
    <x v="10"/>
    <x v="6"/>
    <n v="28617.85"/>
  </r>
  <r>
    <x v="0"/>
    <x v="93"/>
    <x v="0"/>
    <x v="1"/>
    <x v="16"/>
    <n v="16020603.880000001"/>
  </r>
  <r>
    <x v="1"/>
    <x v="2"/>
    <x v="0"/>
    <x v="6"/>
    <x v="11"/>
    <n v="138500"/>
  </r>
  <r>
    <x v="1"/>
    <x v="6"/>
    <x v="0"/>
    <x v="1"/>
    <x v="14"/>
    <n v="1337842.1200000001"/>
  </r>
  <r>
    <x v="0"/>
    <x v="74"/>
    <x v="0"/>
    <x v="1"/>
    <x v="18"/>
    <n v="1788617.3"/>
  </r>
  <r>
    <x v="0"/>
    <x v="40"/>
    <x v="0"/>
    <x v="6"/>
    <x v="1"/>
    <n v="43686463"/>
  </r>
  <r>
    <x v="1"/>
    <x v="47"/>
    <x v="0"/>
    <x v="6"/>
    <x v="2"/>
    <n v="1965289"/>
  </r>
  <r>
    <x v="1"/>
    <x v="44"/>
    <x v="0"/>
    <x v="1"/>
    <x v="13"/>
    <n v="792259.87"/>
  </r>
  <r>
    <x v="1"/>
    <x v="75"/>
    <x v="0"/>
    <x v="1"/>
    <x v="1"/>
    <n v="-22030"/>
  </r>
  <r>
    <x v="1"/>
    <x v="56"/>
    <x v="0"/>
    <x v="1"/>
    <x v="6"/>
    <n v="13201.48"/>
  </r>
  <r>
    <x v="0"/>
    <x v="25"/>
    <x v="0"/>
    <x v="1"/>
    <x v="20"/>
    <n v="962515.14"/>
  </r>
  <r>
    <x v="0"/>
    <x v="20"/>
    <x v="0"/>
    <x v="1"/>
    <x v="23"/>
    <n v="3750990289.2199998"/>
  </r>
  <r>
    <x v="0"/>
    <x v="65"/>
    <x v="0"/>
    <x v="6"/>
    <x v="0"/>
    <n v="803000"/>
  </r>
  <r>
    <x v="0"/>
    <x v="15"/>
    <x v="0"/>
    <x v="8"/>
    <x v="5"/>
    <n v="1156155.8600000001"/>
  </r>
  <r>
    <x v="0"/>
    <x v="27"/>
    <x v="0"/>
    <x v="3"/>
    <x v="17"/>
    <n v="2147000"/>
  </r>
  <r>
    <x v="0"/>
    <x v="11"/>
    <x v="0"/>
    <x v="1"/>
    <x v="15"/>
    <n v="157971154.27000001"/>
  </r>
  <r>
    <x v="1"/>
    <x v="25"/>
    <x v="0"/>
    <x v="1"/>
    <x v="0"/>
    <n v="156224.20000000001"/>
  </r>
  <r>
    <x v="0"/>
    <x v="72"/>
    <x v="0"/>
    <x v="1"/>
    <x v="25"/>
    <n v="550986.57999999996"/>
  </r>
  <r>
    <x v="0"/>
    <x v="107"/>
    <x v="0"/>
    <x v="1"/>
    <x v="0"/>
    <n v="525000"/>
  </r>
  <r>
    <x v="1"/>
    <x v="17"/>
    <x v="0"/>
    <x v="1"/>
    <x v="16"/>
    <n v="1093748.33"/>
  </r>
  <r>
    <x v="1"/>
    <x v="69"/>
    <x v="0"/>
    <x v="1"/>
    <x v="14"/>
    <n v="-1219.05"/>
  </r>
  <r>
    <x v="1"/>
    <x v="56"/>
    <x v="0"/>
    <x v="1"/>
    <x v="7"/>
    <n v="21382.36"/>
  </r>
  <r>
    <x v="1"/>
    <x v="64"/>
    <x v="0"/>
    <x v="1"/>
    <x v="23"/>
    <n v="24547.16"/>
  </r>
  <r>
    <x v="0"/>
    <x v="82"/>
    <x v="0"/>
    <x v="1"/>
    <x v="23"/>
    <n v="3729539.43"/>
  </r>
  <r>
    <x v="0"/>
    <x v="27"/>
    <x v="0"/>
    <x v="3"/>
    <x v="13"/>
    <n v="4314000"/>
  </r>
  <r>
    <x v="0"/>
    <x v="88"/>
    <x v="0"/>
    <x v="1"/>
    <x v="11"/>
    <n v="1229695.93"/>
  </r>
  <r>
    <x v="0"/>
    <x v="31"/>
    <x v="0"/>
    <x v="1"/>
    <x v="24"/>
    <n v="19749520.379999999"/>
  </r>
  <r>
    <x v="0"/>
    <x v="62"/>
    <x v="0"/>
    <x v="1"/>
    <x v="9"/>
    <n v="49301561.200000003"/>
  </r>
  <r>
    <x v="1"/>
    <x v="68"/>
    <x v="0"/>
    <x v="3"/>
    <x v="12"/>
    <n v="-66777.960000000006"/>
  </r>
  <r>
    <x v="0"/>
    <x v="21"/>
    <x v="0"/>
    <x v="1"/>
    <x v="11"/>
    <n v="4803242.12"/>
  </r>
  <r>
    <x v="1"/>
    <x v="6"/>
    <x v="0"/>
    <x v="1"/>
    <x v="2"/>
    <n v="719286.96"/>
  </r>
  <r>
    <x v="0"/>
    <x v="59"/>
    <x v="0"/>
    <x v="10"/>
    <x v="19"/>
    <n v="307019.40999999997"/>
  </r>
  <r>
    <x v="1"/>
    <x v="30"/>
    <x v="0"/>
    <x v="1"/>
    <x v="1"/>
    <n v="18684.759999999998"/>
  </r>
  <r>
    <x v="1"/>
    <x v="0"/>
    <x v="0"/>
    <x v="3"/>
    <x v="16"/>
    <n v="3036557.66"/>
  </r>
  <r>
    <x v="0"/>
    <x v="27"/>
    <x v="0"/>
    <x v="2"/>
    <x v="9"/>
    <n v="2605000"/>
  </r>
  <r>
    <x v="0"/>
    <x v="59"/>
    <x v="0"/>
    <x v="1"/>
    <x v="9"/>
    <n v="85062224.069999993"/>
  </r>
  <r>
    <x v="0"/>
    <x v="23"/>
    <x v="0"/>
    <x v="10"/>
    <x v="19"/>
    <n v="6904876.2599999998"/>
  </r>
  <r>
    <x v="1"/>
    <x v="45"/>
    <x v="0"/>
    <x v="1"/>
    <x v="17"/>
    <n v="6060668.2800000003"/>
  </r>
  <r>
    <x v="0"/>
    <x v="58"/>
    <x v="0"/>
    <x v="8"/>
    <x v="14"/>
    <n v="137519.84"/>
  </r>
  <r>
    <x v="1"/>
    <x v="9"/>
    <x v="0"/>
    <x v="1"/>
    <x v="3"/>
    <n v="-30338748.75"/>
  </r>
  <r>
    <x v="1"/>
    <x v="66"/>
    <x v="0"/>
    <x v="1"/>
    <x v="20"/>
    <n v="309382.68"/>
  </r>
  <r>
    <x v="0"/>
    <x v="51"/>
    <x v="0"/>
    <x v="1"/>
    <x v="11"/>
    <n v="3004227.64"/>
  </r>
  <r>
    <x v="0"/>
    <x v="25"/>
    <x v="0"/>
    <x v="1"/>
    <x v="5"/>
    <n v="1266364.6000000001"/>
  </r>
  <r>
    <x v="0"/>
    <x v="1"/>
    <x v="0"/>
    <x v="1"/>
    <x v="12"/>
    <n v="5123139.6900000004"/>
  </r>
  <r>
    <x v="0"/>
    <x v="19"/>
    <x v="0"/>
    <x v="1"/>
    <x v="11"/>
    <n v="1731206.78"/>
  </r>
  <r>
    <x v="0"/>
    <x v="71"/>
    <x v="0"/>
    <x v="1"/>
    <x v="7"/>
    <n v="837887.83"/>
  </r>
  <r>
    <x v="0"/>
    <x v="90"/>
    <x v="0"/>
    <x v="1"/>
    <x v="6"/>
    <n v="80552.710000000006"/>
  </r>
  <r>
    <x v="1"/>
    <x v="59"/>
    <x v="0"/>
    <x v="1"/>
    <x v="1"/>
    <n v="5802195.6399999997"/>
  </r>
  <r>
    <x v="1"/>
    <x v="47"/>
    <x v="0"/>
    <x v="1"/>
    <x v="25"/>
    <n v="11075617.859999999"/>
  </r>
  <r>
    <x v="0"/>
    <x v="37"/>
    <x v="0"/>
    <x v="9"/>
    <x v="5"/>
    <n v="577413.16"/>
  </r>
  <r>
    <x v="1"/>
    <x v="31"/>
    <x v="0"/>
    <x v="1"/>
    <x v="16"/>
    <n v="1656781.25"/>
  </r>
  <r>
    <x v="1"/>
    <x v="49"/>
    <x v="0"/>
    <x v="1"/>
    <x v="14"/>
    <n v="77686.649999999994"/>
  </r>
  <r>
    <x v="0"/>
    <x v="78"/>
    <x v="0"/>
    <x v="1"/>
    <x v="1"/>
    <n v="1775739.12"/>
  </r>
  <r>
    <x v="0"/>
    <x v="6"/>
    <x v="0"/>
    <x v="1"/>
    <x v="22"/>
    <n v="172771630.86000001"/>
  </r>
  <r>
    <x v="0"/>
    <x v="23"/>
    <x v="0"/>
    <x v="1"/>
    <x v="7"/>
    <n v="16675431.449999999"/>
  </r>
  <r>
    <x v="1"/>
    <x v="86"/>
    <x v="0"/>
    <x v="1"/>
    <x v="16"/>
    <n v="-37086.22"/>
  </r>
  <r>
    <x v="1"/>
    <x v="47"/>
    <x v="0"/>
    <x v="5"/>
    <x v="10"/>
    <n v="1160050.22"/>
  </r>
  <r>
    <x v="0"/>
    <x v="60"/>
    <x v="0"/>
    <x v="1"/>
    <x v="2"/>
    <n v="304451.84000000003"/>
  </r>
  <r>
    <x v="1"/>
    <x v="73"/>
    <x v="0"/>
    <x v="1"/>
    <x v="25"/>
    <n v="469162.35"/>
  </r>
  <r>
    <x v="0"/>
    <x v="65"/>
    <x v="0"/>
    <x v="1"/>
    <x v="25"/>
    <n v="4788867.6900000004"/>
  </r>
  <r>
    <x v="1"/>
    <x v="85"/>
    <x v="0"/>
    <x v="1"/>
    <x v="16"/>
    <n v="188294.13"/>
  </r>
  <r>
    <x v="0"/>
    <x v="62"/>
    <x v="0"/>
    <x v="1"/>
    <x v="8"/>
    <n v="23635309.84"/>
  </r>
  <r>
    <x v="1"/>
    <x v="55"/>
    <x v="0"/>
    <x v="1"/>
    <x v="15"/>
    <n v="31316.33"/>
  </r>
  <r>
    <x v="1"/>
    <x v="42"/>
    <x v="0"/>
    <x v="6"/>
    <x v="11"/>
    <n v="8"/>
  </r>
  <r>
    <x v="0"/>
    <x v="90"/>
    <x v="0"/>
    <x v="7"/>
    <x v="19"/>
    <n v="-0.28999999999999998"/>
  </r>
  <r>
    <x v="0"/>
    <x v="39"/>
    <x v="0"/>
    <x v="1"/>
    <x v="7"/>
    <n v="128369.34"/>
  </r>
  <r>
    <x v="0"/>
    <x v="47"/>
    <x v="0"/>
    <x v="5"/>
    <x v="5"/>
    <n v="41641744.899999999"/>
  </r>
  <r>
    <x v="0"/>
    <x v="11"/>
    <x v="0"/>
    <x v="1"/>
    <x v="4"/>
    <n v="281902750"/>
  </r>
  <r>
    <x v="1"/>
    <x v="73"/>
    <x v="0"/>
    <x v="1"/>
    <x v="11"/>
    <n v="40804.080000000002"/>
  </r>
  <r>
    <x v="1"/>
    <x v="64"/>
    <x v="0"/>
    <x v="1"/>
    <x v="18"/>
    <n v="10808.47"/>
  </r>
  <r>
    <x v="0"/>
    <x v="47"/>
    <x v="0"/>
    <x v="7"/>
    <x v="5"/>
    <n v="316811.36"/>
  </r>
  <r>
    <x v="0"/>
    <x v="1"/>
    <x v="0"/>
    <x v="1"/>
    <x v="2"/>
    <n v="7692219.9500000002"/>
  </r>
  <r>
    <x v="1"/>
    <x v="8"/>
    <x v="0"/>
    <x v="4"/>
    <x v="13"/>
    <n v="303651"/>
  </r>
  <r>
    <x v="0"/>
    <x v="52"/>
    <x v="0"/>
    <x v="1"/>
    <x v="25"/>
    <n v="44254145.880000003"/>
  </r>
  <r>
    <x v="0"/>
    <x v="50"/>
    <x v="0"/>
    <x v="1"/>
    <x v="24"/>
    <n v="43124785.950000003"/>
  </r>
  <r>
    <x v="0"/>
    <x v="22"/>
    <x v="0"/>
    <x v="5"/>
    <x v="25"/>
    <n v="24000000"/>
  </r>
  <r>
    <x v="1"/>
    <x v="31"/>
    <x v="0"/>
    <x v="1"/>
    <x v="19"/>
    <n v="835139.01"/>
  </r>
  <r>
    <x v="1"/>
    <x v="28"/>
    <x v="0"/>
    <x v="1"/>
    <x v="7"/>
    <n v="1586984.13"/>
  </r>
  <r>
    <x v="0"/>
    <x v="14"/>
    <x v="0"/>
    <x v="1"/>
    <x v="22"/>
    <n v="1393752.15"/>
  </r>
  <r>
    <x v="1"/>
    <x v="41"/>
    <x v="0"/>
    <x v="9"/>
    <x v="6"/>
    <n v="-87662.25"/>
  </r>
  <r>
    <x v="1"/>
    <x v="46"/>
    <x v="0"/>
    <x v="1"/>
    <x v="15"/>
    <n v="33922.46"/>
  </r>
  <r>
    <x v="1"/>
    <x v="29"/>
    <x v="0"/>
    <x v="1"/>
    <x v="6"/>
    <n v="83463.539999999994"/>
  </r>
  <r>
    <x v="1"/>
    <x v="9"/>
    <x v="0"/>
    <x v="1"/>
    <x v="9"/>
    <n v="8800285.5299999993"/>
  </r>
  <r>
    <x v="0"/>
    <x v="43"/>
    <x v="0"/>
    <x v="1"/>
    <x v="14"/>
    <n v="1737353.17"/>
  </r>
  <r>
    <x v="1"/>
    <x v="60"/>
    <x v="0"/>
    <x v="1"/>
    <x v="8"/>
    <n v="-333.36"/>
  </r>
  <r>
    <x v="0"/>
    <x v="42"/>
    <x v="0"/>
    <x v="1"/>
    <x v="20"/>
    <n v="10074854.51"/>
  </r>
  <r>
    <x v="0"/>
    <x v="22"/>
    <x v="0"/>
    <x v="10"/>
    <x v="20"/>
    <n v="5514525.5"/>
  </r>
  <r>
    <x v="0"/>
    <x v="9"/>
    <x v="0"/>
    <x v="3"/>
    <x v="2"/>
    <n v="71228982.269999996"/>
  </r>
  <r>
    <x v="1"/>
    <x v="60"/>
    <x v="0"/>
    <x v="1"/>
    <x v="1"/>
    <n v="17825.27"/>
  </r>
  <r>
    <x v="1"/>
    <x v="76"/>
    <x v="0"/>
    <x v="1"/>
    <x v="15"/>
    <n v="962148.95"/>
  </r>
  <r>
    <x v="1"/>
    <x v="79"/>
    <x v="0"/>
    <x v="10"/>
    <x v="24"/>
    <n v="-35765.550000000003"/>
  </r>
  <r>
    <x v="1"/>
    <x v="86"/>
    <x v="0"/>
    <x v="7"/>
    <x v="15"/>
    <n v="14310.01"/>
  </r>
  <r>
    <x v="1"/>
    <x v="7"/>
    <x v="0"/>
    <x v="1"/>
    <x v="17"/>
    <n v="141100.63"/>
  </r>
  <r>
    <x v="1"/>
    <x v="41"/>
    <x v="0"/>
    <x v="1"/>
    <x v="19"/>
    <n v="3868777.17"/>
  </r>
  <r>
    <x v="1"/>
    <x v="47"/>
    <x v="0"/>
    <x v="9"/>
    <x v="24"/>
    <n v="-102563.72"/>
  </r>
  <r>
    <x v="1"/>
    <x v="17"/>
    <x v="0"/>
    <x v="1"/>
    <x v="18"/>
    <n v="665844.31999999995"/>
  </r>
  <r>
    <x v="1"/>
    <x v="62"/>
    <x v="0"/>
    <x v="1"/>
    <x v="5"/>
    <n v="1269893.93"/>
  </r>
  <r>
    <x v="0"/>
    <x v="22"/>
    <x v="0"/>
    <x v="10"/>
    <x v="19"/>
    <n v="3976345.63"/>
  </r>
  <r>
    <x v="1"/>
    <x v="49"/>
    <x v="0"/>
    <x v="1"/>
    <x v="16"/>
    <n v="140037.41"/>
  </r>
  <r>
    <x v="1"/>
    <x v="80"/>
    <x v="0"/>
    <x v="1"/>
    <x v="9"/>
    <n v="2251100.54"/>
  </r>
  <r>
    <x v="0"/>
    <x v="53"/>
    <x v="0"/>
    <x v="1"/>
    <x v="14"/>
    <n v="4068729.93"/>
  </r>
  <r>
    <x v="1"/>
    <x v="0"/>
    <x v="0"/>
    <x v="1"/>
    <x v="13"/>
    <n v="9197813.5999999996"/>
  </r>
  <r>
    <x v="0"/>
    <x v="27"/>
    <x v="0"/>
    <x v="1"/>
    <x v="0"/>
    <n v="52025651.899999999"/>
  </r>
  <r>
    <x v="0"/>
    <x v="4"/>
    <x v="0"/>
    <x v="10"/>
    <x v="19"/>
    <n v="10817585.58"/>
  </r>
  <r>
    <x v="1"/>
    <x v="62"/>
    <x v="0"/>
    <x v="1"/>
    <x v="8"/>
    <n v="1387688.63"/>
  </r>
  <r>
    <x v="0"/>
    <x v="88"/>
    <x v="0"/>
    <x v="1"/>
    <x v="18"/>
    <n v="603817.68999999994"/>
  </r>
  <r>
    <x v="0"/>
    <x v="20"/>
    <x v="0"/>
    <x v="6"/>
    <x v="5"/>
    <n v="12384093.34"/>
  </r>
  <r>
    <x v="1"/>
    <x v="39"/>
    <x v="0"/>
    <x v="1"/>
    <x v="7"/>
    <n v="7158.88"/>
  </r>
  <r>
    <x v="0"/>
    <x v="36"/>
    <x v="0"/>
    <x v="3"/>
    <x v="3"/>
    <n v="2725000"/>
  </r>
  <r>
    <x v="1"/>
    <x v="55"/>
    <x v="0"/>
    <x v="1"/>
    <x v="11"/>
    <n v="46339.35"/>
  </r>
  <r>
    <x v="0"/>
    <x v="60"/>
    <x v="0"/>
    <x v="7"/>
    <x v="20"/>
    <n v="8.43"/>
  </r>
  <r>
    <x v="0"/>
    <x v="18"/>
    <x v="0"/>
    <x v="1"/>
    <x v="17"/>
    <n v="7954306.8399999999"/>
  </r>
  <r>
    <x v="0"/>
    <x v="88"/>
    <x v="0"/>
    <x v="6"/>
    <x v="13"/>
    <n v="3000"/>
  </r>
  <r>
    <x v="0"/>
    <x v="41"/>
    <x v="0"/>
    <x v="1"/>
    <x v="5"/>
    <n v="55139445.450000003"/>
  </r>
  <r>
    <x v="1"/>
    <x v="40"/>
    <x v="0"/>
    <x v="10"/>
    <x v="19"/>
    <n v="28304.47"/>
  </r>
  <r>
    <x v="0"/>
    <x v="86"/>
    <x v="0"/>
    <x v="1"/>
    <x v="13"/>
    <n v="819586.97"/>
  </r>
  <r>
    <x v="1"/>
    <x v="74"/>
    <x v="0"/>
    <x v="1"/>
    <x v="7"/>
    <n v="116122.31"/>
  </r>
  <r>
    <x v="1"/>
    <x v="36"/>
    <x v="0"/>
    <x v="3"/>
    <x v="7"/>
    <n v="0"/>
  </r>
  <r>
    <x v="0"/>
    <x v="57"/>
    <x v="0"/>
    <x v="1"/>
    <x v="22"/>
    <n v="1800164.06"/>
  </r>
  <r>
    <x v="0"/>
    <x v="5"/>
    <x v="0"/>
    <x v="3"/>
    <x v="13"/>
    <n v="2317000"/>
  </r>
  <r>
    <x v="0"/>
    <x v="6"/>
    <x v="0"/>
    <x v="3"/>
    <x v="7"/>
    <n v="15058987.390000001"/>
  </r>
  <r>
    <x v="1"/>
    <x v="59"/>
    <x v="0"/>
    <x v="7"/>
    <x v="17"/>
    <n v="57223.47"/>
  </r>
  <r>
    <x v="0"/>
    <x v="44"/>
    <x v="0"/>
    <x v="1"/>
    <x v="8"/>
    <n v="15611647.49"/>
  </r>
  <r>
    <x v="1"/>
    <x v="32"/>
    <x v="0"/>
    <x v="1"/>
    <x v="5"/>
    <n v="-141474.68"/>
  </r>
  <r>
    <x v="0"/>
    <x v="40"/>
    <x v="0"/>
    <x v="10"/>
    <x v="17"/>
    <n v="8400586.8900000006"/>
  </r>
  <r>
    <x v="1"/>
    <x v="4"/>
    <x v="0"/>
    <x v="0"/>
    <x v="7"/>
    <n v="838336.73"/>
  </r>
  <r>
    <x v="1"/>
    <x v="40"/>
    <x v="0"/>
    <x v="1"/>
    <x v="18"/>
    <n v="49895160.369999997"/>
  </r>
  <r>
    <x v="1"/>
    <x v="10"/>
    <x v="0"/>
    <x v="1"/>
    <x v="13"/>
    <n v="47539.89"/>
  </r>
  <r>
    <x v="0"/>
    <x v="62"/>
    <x v="0"/>
    <x v="10"/>
    <x v="6"/>
    <n v="6048435.4299999997"/>
  </r>
  <r>
    <x v="0"/>
    <x v="57"/>
    <x v="0"/>
    <x v="9"/>
    <x v="13"/>
    <n v="306283.46000000002"/>
  </r>
  <r>
    <x v="1"/>
    <x v="54"/>
    <x v="0"/>
    <x v="1"/>
    <x v="22"/>
    <n v="178939.49"/>
  </r>
  <r>
    <x v="1"/>
    <x v="50"/>
    <x v="0"/>
    <x v="1"/>
    <x v="17"/>
    <n v="1523597.97"/>
  </r>
  <r>
    <x v="1"/>
    <x v="72"/>
    <x v="0"/>
    <x v="1"/>
    <x v="24"/>
    <n v="-732.72"/>
  </r>
  <r>
    <x v="1"/>
    <x v="89"/>
    <x v="0"/>
    <x v="1"/>
    <x v="0"/>
    <n v="-22512.41"/>
  </r>
  <r>
    <x v="1"/>
    <x v="4"/>
    <x v="0"/>
    <x v="2"/>
    <x v="11"/>
    <n v="523188.09"/>
  </r>
  <r>
    <x v="1"/>
    <x v="22"/>
    <x v="0"/>
    <x v="1"/>
    <x v="10"/>
    <n v="4721628.6399999997"/>
  </r>
  <r>
    <x v="1"/>
    <x v="67"/>
    <x v="0"/>
    <x v="2"/>
    <x v="2"/>
    <n v="363.42"/>
  </r>
  <r>
    <x v="1"/>
    <x v="19"/>
    <x v="0"/>
    <x v="1"/>
    <x v="4"/>
    <n v="129401.48"/>
  </r>
  <r>
    <x v="1"/>
    <x v="18"/>
    <x v="0"/>
    <x v="1"/>
    <x v="22"/>
    <n v="1369790.98"/>
  </r>
  <r>
    <x v="0"/>
    <x v="2"/>
    <x v="0"/>
    <x v="1"/>
    <x v="18"/>
    <n v="2070021.03"/>
  </r>
  <r>
    <x v="0"/>
    <x v="27"/>
    <x v="0"/>
    <x v="1"/>
    <x v="8"/>
    <n v="26240000"/>
  </r>
  <r>
    <x v="1"/>
    <x v="69"/>
    <x v="0"/>
    <x v="1"/>
    <x v="6"/>
    <n v="25493.96"/>
  </r>
  <r>
    <x v="0"/>
    <x v="0"/>
    <x v="0"/>
    <x v="7"/>
    <x v="13"/>
    <n v="5632.18"/>
  </r>
  <r>
    <x v="1"/>
    <x v="62"/>
    <x v="0"/>
    <x v="1"/>
    <x v="1"/>
    <n v="3631199.4"/>
  </r>
  <r>
    <x v="0"/>
    <x v="37"/>
    <x v="0"/>
    <x v="1"/>
    <x v="9"/>
    <n v="19355529.579999998"/>
  </r>
  <r>
    <x v="0"/>
    <x v="76"/>
    <x v="0"/>
    <x v="1"/>
    <x v="0"/>
    <n v="44594047.789999999"/>
  </r>
  <r>
    <x v="0"/>
    <x v="65"/>
    <x v="0"/>
    <x v="10"/>
    <x v="10"/>
    <n v="97853"/>
  </r>
  <r>
    <x v="0"/>
    <x v="26"/>
    <x v="0"/>
    <x v="1"/>
    <x v="25"/>
    <n v="1687639.09"/>
  </r>
  <r>
    <x v="1"/>
    <x v="16"/>
    <x v="0"/>
    <x v="1"/>
    <x v="4"/>
    <n v="1004923.35"/>
  </r>
  <r>
    <x v="0"/>
    <x v="52"/>
    <x v="0"/>
    <x v="10"/>
    <x v="13"/>
    <n v="0"/>
  </r>
  <r>
    <x v="1"/>
    <x v="73"/>
    <x v="0"/>
    <x v="1"/>
    <x v="8"/>
    <n v="1286086.46"/>
  </r>
  <r>
    <x v="0"/>
    <x v="90"/>
    <x v="0"/>
    <x v="1"/>
    <x v="24"/>
    <n v="105100.97"/>
  </r>
  <r>
    <x v="0"/>
    <x v="59"/>
    <x v="0"/>
    <x v="1"/>
    <x v="3"/>
    <n v="27426037.890000001"/>
  </r>
  <r>
    <x v="0"/>
    <x v="20"/>
    <x v="0"/>
    <x v="1"/>
    <x v="19"/>
    <n v="2311604163.9200001"/>
  </r>
  <r>
    <x v="1"/>
    <x v="60"/>
    <x v="0"/>
    <x v="1"/>
    <x v="22"/>
    <n v="37994.769999999997"/>
  </r>
  <r>
    <x v="0"/>
    <x v="59"/>
    <x v="0"/>
    <x v="6"/>
    <x v="0"/>
    <n v="2569000"/>
  </r>
  <r>
    <x v="0"/>
    <x v="57"/>
    <x v="0"/>
    <x v="9"/>
    <x v="17"/>
    <n v="244658.1"/>
  </r>
  <r>
    <x v="0"/>
    <x v="43"/>
    <x v="0"/>
    <x v="6"/>
    <x v="2"/>
    <n v="85952.82"/>
  </r>
  <r>
    <x v="1"/>
    <x v="34"/>
    <x v="0"/>
    <x v="1"/>
    <x v="4"/>
    <n v="141818140.63"/>
  </r>
  <r>
    <x v="1"/>
    <x v="59"/>
    <x v="0"/>
    <x v="9"/>
    <x v="14"/>
    <n v="-59913.93"/>
  </r>
  <r>
    <x v="1"/>
    <x v="89"/>
    <x v="0"/>
    <x v="1"/>
    <x v="1"/>
    <n v="-15709.08"/>
  </r>
  <r>
    <x v="1"/>
    <x v="43"/>
    <x v="0"/>
    <x v="1"/>
    <x v="21"/>
    <n v="113848.81"/>
  </r>
  <r>
    <x v="1"/>
    <x v="22"/>
    <x v="0"/>
    <x v="1"/>
    <x v="0"/>
    <n v="12655878.34"/>
  </r>
  <r>
    <x v="0"/>
    <x v="93"/>
    <x v="0"/>
    <x v="1"/>
    <x v="18"/>
    <n v="14263325.880000001"/>
  </r>
  <r>
    <x v="1"/>
    <x v="51"/>
    <x v="0"/>
    <x v="1"/>
    <x v="25"/>
    <n v="145237.65"/>
  </r>
  <r>
    <x v="1"/>
    <x v="67"/>
    <x v="0"/>
    <x v="1"/>
    <x v="7"/>
    <n v="1305130.96"/>
  </r>
  <r>
    <x v="0"/>
    <x v="70"/>
    <x v="0"/>
    <x v="6"/>
    <x v="0"/>
    <n v="61000"/>
  </r>
  <r>
    <x v="0"/>
    <x v="42"/>
    <x v="0"/>
    <x v="1"/>
    <x v="1"/>
    <n v="19978768.989999998"/>
  </r>
  <r>
    <x v="0"/>
    <x v="4"/>
    <x v="0"/>
    <x v="3"/>
    <x v="0"/>
    <n v="438779954.83999997"/>
  </r>
  <r>
    <x v="1"/>
    <x v="53"/>
    <x v="0"/>
    <x v="1"/>
    <x v="24"/>
    <n v="418715.86"/>
  </r>
  <r>
    <x v="1"/>
    <x v="60"/>
    <x v="0"/>
    <x v="1"/>
    <x v="20"/>
    <n v="16840.439999999999"/>
  </r>
  <r>
    <x v="1"/>
    <x v="41"/>
    <x v="0"/>
    <x v="1"/>
    <x v="18"/>
    <n v="22458728.239999998"/>
  </r>
  <r>
    <x v="0"/>
    <x v="97"/>
    <x v="0"/>
    <x v="1"/>
    <x v="23"/>
    <n v="1463293.22"/>
  </r>
  <r>
    <x v="0"/>
    <x v="79"/>
    <x v="0"/>
    <x v="1"/>
    <x v="6"/>
    <n v="31761924.25"/>
  </r>
  <r>
    <x v="0"/>
    <x v="20"/>
    <x v="0"/>
    <x v="1"/>
    <x v="14"/>
    <n v="3327682225.77"/>
  </r>
  <r>
    <x v="0"/>
    <x v="22"/>
    <x v="0"/>
    <x v="7"/>
    <x v="14"/>
    <n v="150000"/>
  </r>
  <r>
    <x v="1"/>
    <x v="4"/>
    <x v="0"/>
    <x v="6"/>
    <x v="13"/>
    <n v="164999.99"/>
  </r>
  <r>
    <x v="0"/>
    <x v="60"/>
    <x v="0"/>
    <x v="1"/>
    <x v="6"/>
    <n v="215374.52"/>
  </r>
  <r>
    <x v="0"/>
    <x v="36"/>
    <x v="0"/>
    <x v="3"/>
    <x v="25"/>
    <n v="2033000"/>
  </r>
  <r>
    <x v="0"/>
    <x v="67"/>
    <x v="0"/>
    <x v="1"/>
    <x v="25"/>
    <n v="1773143.85"/>
  </r>
  <r>
    <x v="0"/>
    <x v="73"/>
    <x v="0"/>
    <x v="1"/>
    <x v="16"/>
    <n v="6051430.6799999997"/>
  </r>
  <r>
    <x v="0"/>
    <x v="44"/>
    <x v="0"/>
    <x v="1"/>
    <x v="0"/>
    <n v="13778622.85"/>
  </r>
  <r>
    <x v="0"/>
    <x v="35"/>
    <x v="0"/>
    <x v="1"/>
    <x v="8"/>
    <n v="60870133"/>
  </r>
  <r>
    <x v="0"/>
    <x v="58"/>
    <x v="0"/>
    <x v="1"/>
    <x v="2"/>
    <n v="10631398.560000001"/>
  </r>
  <r>
    <x v="1"/>
    <x v="76"/>
    <x v="0"/>
    <x v="1"/>
    <x v="23"/>
    <n v="3983839.46"/>
  </r>
  <r>
    <x v="1"/>
    <x v="32"/>
    <x v="0"/>
    <x v="1"/>
    <x v="7"/>
    <n v="890923.26"/>
  </r>
  <r>
    <x v="1"/>
    <x v="74"/>
    <x v="0"/>
    <x v="1"/>
    <x v="5"/>
    <n v="139136.99"/>
  </r>
  <r>
    <x v="0"/>
    <x v="57"/>
    <x v="0"/>
    <x v="6"/>
    <x v="0"/>
    <n v="40000"/>
  </r>
  <r>
    <x v="0"/>
    <x v="91"/>
    <x v="0"/>
    <x v="1"/>
    <x v="23"/>
    <n v="724795.67"/>
  </r>
  <r>
    <x v="0"/>
    <x v="100"/>
    <x v="0"/>
    <x v="1"/>
    <x v="23"/>
    <n v="248725.08"/>
  </r>
  <r>
    <x v="0"/>
    <x v="18"/>
    <x v="0"/>
    <x v="1"/>
    <x v="16"/>
    <n v="9456049.1099999994"/>
  </r>
  <r>
    <x v="0"/>
    <x v="40"/>
    <x v="0"/>
    <x v="8"/>
    <x v="14"/>
    <n v="759017.87"/>
  </r>
  <r>
    <x v="1"/>
    <x v="57"/>
    <x v="0"/>
    <x v="1"/>
    <x v="24"/>
    <n v="0"/>
  </r>
  <r>
    <x v="0"/>
    <x v="64"/>
    <x v="0"/>
    <x v="1"/>
    <x v="12"/>
    <n v="185932.82"/>
  </r>
  <r>
    <x v="1"/>
    <x v="90"/>
    <x v="0"/>
    <x v="1"/>
    <x v="16"/>
    <n v="16325.96"/>
  </r>
  <r>
    <x v="1"/>
    <x v="79"/>
    <x v="0"/>
    <x v="1"/>
    <x v="22"/>
    <n v="682054.45"/>
  </r>
  <r>
    <x v="1"/>
    <x v="19"/>
    <x v="0"/>
    <x v="1"/>
    <x v="15"/>
    <n v="80333.52"/>
  </r>
  <r>
    <x v="1"/>
    <x v="76"/>
    <x v="0"/>
    <x v="1"/>
    <x v="11"/>
    <n v="4103773.17"/>
  </r>
  <r>
    <x v="1"/>
    <x v="76"/>
    <x v="0"/>
    <x v="8"/>
    <x v="20"/>
    <n v="-468.24"/>
  </r>
  <r>
    <x v="1"/>
    <x v="28"/>
    <x v="0"/>
    <x v="1"/>
    <x v="16"/>
    <n v="1578965.07"/>
  </r>
  <r>
    <x v="1"/>
    <x v="9"/>
    <x v="0"/>
    <x v="12"/>
    <x v="12"/>
    <n v="5133233.28"/>
  </r>
  <r>
    <x v="1"/>
    <x v="28"/>
    <x v="0"/>
    <x v="0"/>
    <x v="2"/>
    <n v="-68445.31"/>
  </r>
  <r>
    <x v="0"/>
    <x v="103"/>
    <x v="0"/>
    <x v="1"/>
    <x v="4"/>
    <n v="758487.07"/>
  </r>
  <r>
    <x v="0"/>
    <x v="3"/>
    <x v="0"/>
    <x v="1"/>
    <x v="15"/>
    <n v="63012.74"/>
  </r>
  <r>
    <x v="0"/>
    <x v="14"/>
    <x v="0"/>
    <x v="1"/>
    <x v="1"/>
    <n v="1911271.25"/>
  </r>
  <r>
    <x v="1"/>
    <x v="40"/>
    <x v="0"/>
    <x v="10"/>
    <x v="20"/>
    <n v="-219444.75"/>
  </r>
  <r>
    <x v="0"/>
    <x v="11"/>
    <x v="0"/>
    <x v="1"/>
    <x v="19"/>
    <n v="177966627.25999999"/>
  </r>
  <r>
    <x v="0"/>
    <x v="56"/>
    <x v="0"/>
    <x v="1"/>
    <x v="19"/>
    <n v="183019.22"/>
  </r>
  <r>
    <x v="0"/>
    <x v="10"/>
    <x v="0"/>
    <x v="1"/>
    <x v="24"/>
    <n v="1933873.03"/>
  </r>
  <r>
    <x v="1"/>
    <x v="9"/>
    <x v="0"/>
    <x v="1"/>
    <x v="17"/>
    <n v="12966379.58"/>
  </r>
  <r>
    <x v="1"/>
    <x v="63"/>
    <x v="0"/>
    <x v="1"/>
    <x v="2"/>
    <n v="294639.18"/>
  </r>
  <r>
    <x v="1"/>
    <x v="62"/>
    <x v="0"/>
    <x v="1"/>
    <x v="6"/>
    <n v="70049.61"/>
  </r>
  <r>
    <x v="0"/>
    <x v="25"/>
    <x v="0"/>
    <x v="1"/>
    <x v="15"/>
    <n v="1131813.57"/>
  </r>
  <r>
    <x v="1"/>
    <x v="34"/>
    <x v="0"/>
    <x v="6"/>
    <x v="0"/>
    <n v="14444000"/>
  </r>
  <r>
    <x v="1"/>
    <x v="67"/>
    <x v="0"/>
    <x v="1"/>
    <x v="5"/>
    <n v="22604.84"/>
  </r>
  <r>
    <x v="1"/>
    <x v="1"/>
    <x v="0"/>
    <x v="1"/>
    <x v="3"/>
    <n v="-805133.68"/>
  </r>
  <r>
    <x v="0"/>
    <x v="4"/>
    <x v="0"/>
    <x v="3"/>
    <x v="1"/>
    <n v="816344.5"/>
  </r>
  <r>
    <x v="0"/>
    <x v="32"/>
    <x v="0"/>
    <x v="1"/>
    <x v="12"/>
    <n v="7296206.7000000002"/>
  </r>
  <r>
    <x v="1"/>
    <x v="4"/>
    <x v="0"/>
    <x v="1"/>
    <x v="19"/>
    <n v="25053537.98"/>
  </r>
  <r>
    <x v="0"/>
    <x v="28"/>
    <x v="0"/>
    <x v="1"/>
    <x v="3"/>
    <n v="249287399.56"/>
  </r>
  <r>
    <x v="0"/>
    <x v="16"/>
    <x v="0"/>
    <x v="1"/>
    <x v="5"/>
    <n v="6979996.2999999998"/>
  </r>
  <r>
    <x v="0"/>
    <x v="52"/>
    <x v="0"/>
    <x v="1"/>
    <x v="7"/>
    <n v="11095668.07"/>
  </r>
  <r>
    <x v="1"/>
    <x v="41"/>
    <x v="0"/>
    <x v="1"/>
    <x v="14"/>
    <n v="6048561.46"/>
  </r>
  <r>
    <x v="0"/>
    <x v="57"/>
    <x v="0"/>
    <x v="1"/>
    <x v="15"/>
    <n v="844490.26"/>
  </r>
  <r>
    <x v="1"/>
    <x v="40"/>
    <x v="0"/>
    <x v="1"/>
    <x v="9"/>
    <n v="64337402.090000004"/>
  </r>
  <r>
    <x v="1"/>
    <x v="5"/>
    <x v="0"/>
    <x v="1"/>
    <x v="12"/>
    <n v="4642880.4000000004"/>
  </r>
  <r>
    <x v="0"/>
    <x v="0"/>
    <x v="0"/>
    <x v="0"/>
    <x v="3"/>
    <n v="40000000"/>
  </r>
  <r>
    <x v="0"/>
    <x v="37"/>
    <x v="0"/>
    <x v="6"/>
    <x v="0"/>
    <n v="518000"/>
  </r>
  <r>
    <x v="0"/>
    <x v="49"/>
    <x v="0"/>
    <x v="1"/>
    <x v="15"/>
    <n v="2040090.28"/>
  </r>
  <r>
    <x v="1"/>
    <x v="66"/>
    <x v="0"/>
    <x v="10"/>
    <x v="17"/>
    <n v="3345342.16"/>
  </r>
  <r>
    <x v="0"/>
    <x v="49"/>
    <x v="0"/>
    <x v="1"/>
    <x v="4"/>
    <n v="5308816.1100000003"/>
  </r>
  <r>
    <x v="0"/>
    <x v="52"/>
    <x v="0"/>
    <x v="1"/>
    <x v="12"/>
    <n v="17507260.52"/>
  </r>
  <r>
    <x v="0"/>
    <x v="32"/>
    <x v="0"/>
    <x v="1"/>
    <x v="21"/>
    <n v="8395928.9800000004"/>
  </r>
  <r>
    <x v="1"/>
    <x v="20"/>
    <x v="0"/>
    <x v="5"/>
    <x v="20"/>
    <n v="601021.84"/>
  </r>
  <r>
    <x v="1"/>
    <x v="13"/>
    <x v="0"/>
    <x v="1"/>
    <x v="0"/>
    <n v="238805.67"/>
  </r>
  <r>
    <x v="0"/>
    <x v="8"/>
    <x v="0"/>
    <x v="1"/>
    <x v="21"/>
    <n v="45056497.520000003"/>
  </r>
  <r>
    <x v="0"/>
    <x v="19"/>
    <x v="0"/>
    <x v="1"/>
    <x v="1"/>
    <n v="1343563.36"/>
  </r>
  <r>
    <x v="0"/>
    <x v="30"/>
    <x v="0"/>
    <x v="1"/>
    <x v="4"/>
    <n v="1402040930.3399999"/>
  </r>
  <r>
    <x v="1"/>
    <x v="89"/>
    <x v="0"/>
    <x v="1"/>
    <x v="17"/>
    <n v="197613.93"/>
  </r>
  <r>
    <x v="0"/>
    <x v="22"/>
    <x v="0"/>
    <x v="1"/>
    <x v="9"/>
    <n v="123887952.04000001"/>
  </r>
  <r>
    <x v="1"/>
    <x v="23"/>
    <x v="0"/>
    <x v="7"/>
    <x v="7"/>
    <n v="0"/>
  </r>
  <r>
    <x v="1"/>
    <x v="52"/>
    <x v="0"/>
    <x v="1"/>
    <x v="1"/>
    <n v="467125.47"/>
  </r>
  <r>
    <x v="0"/>
    <x v="22"/>
    <x v="0"/>
    <x v="1"/>
    <x v="13"/>
    <n v="53966087.340000004"/>
  </r>
  <r>
    <x v="0"/>
    <x v="17"/>
    <x v="0"/>
    <x v="1"/>
    <x v="8"/>
    <n v="7386153.0800000001"/>
  </r>
  <r>
    <x v="0"/>
    <x v="56"/>
    <x v="0"/>
    <x v="1"/>
    <x v="13"/>
    <n v="251004.21"/>
  </r>
  <r>
    <x v="1"/>
    <x v="76"/>
    <x v="0"/>
    <x v="8"/>
    <x v="19"/>
    <n v="-56033.01"/>
  </r>
  <r>
    <x v="1"/>
    <x v="46"/>
    <x v="0"/>
    <x v="1"/>
    <x v="24"/>
    <n v="161240.73000000001"/>
  </r>
  <r>
    <x v="0"/>
    <x v="27"/>
    <x v="0"/>
    <x v="1"/>
    <x v="13"/>
    <n v="48325004.509999998"/>
  </r>
  <r>
    <x v="0"/>
    <x v="37"/>
    <x v="0"/>
    <x v="1"/>
    <x v="1"/>
    <n v="14713670.82"/>
  </r>
  <r>
    <x v="1"/>
    <x v="49"/>
    <x v="0"/>
    <x v="1"/>
    <x v="11"/>
    <n v="199223.5"/>
  </r>
  <r>
    <x v="0"/>
    <x v="6"/>
    <x v="0"/>
    <x v="1"/>
    <x v="24"/>
    <n v="333877058.27999997"/>
  </r>
  <r>
    <x v="1"/>
    <x v="58"/>
    <x v="0"/>
    <x v="8"/>
    <x v="20"/>
    <n v="-32004.68"/>
  </r>
  <r>
    <x v="1"/>
    <x v="40"/>
    <x v="0"/>
    <x v="8"/>
    <x v="25"/>
    <n v="248666"/>
  </r>
  <r>
    <x v="0"/>
    <x v="87"/>
    <x v="0"/>
    <x v="1"/>
    <x v="13"/>
    <n v="1666851.78"/>
  </r>
  <r>
    <x v="0"/>
    <x v="88"/>
    <x v="0"/>
    <x v="1"/>
    <x v="19"/>
    <n v="298050.28000000003"/>
  </r>
  <r>
    <x v="1"/>
    <x v="53"/>
    <x v="0"/>
    <x v="9"/>
    <x v="17"/>
    <n v="95764.74"/>
  </r>
  <r>
    <x v="0"/>
    <x v="44"/>
    <x v="0"/>
    <x v="1"/>
    <x v="1"/>
    <n v="14826649.449999999"/>
  </r>
  <r>
    <x v="0"/>
    <x v="49"/>
    <x v="0"/>
    <x v="1"/>
    <x v="2"/>
    <n v="3444574.29"/>
  </r>
  <r>
    <x v="1"/>
    <x v="20"/>
    <x v="0"/>
    <x v="5"/>
    <x v="10"/>
    <n v="30108697.899999999"/>
  </r>
  <r>
    <x v="0"/>
    <x v="47"/>
    <x v="0"/>
    <x v="1"/>
    <x v="13"/>
    <n v="57436019.170000002"/>
  </r>
  <r>
    <x v="1"/>
    <x v="60"/>
    <x v="0"/>
    <x v="1"/>
    <x v="0"/>
    <n v="21093"/>
  </r>
  <r>
    <x v="1"/>
    <x v="49"/>
    <x v="0"/>
    <x v="1"/>
    <x v="23"/>
    <n v="87933.66"/>
  </r>
  <r>
    <x v="1"/>
    <x v="86"/>
    <x v="0"/>
    <x v="1"/>
    <x v="4"/>
    <n v="370325.08"/>
  </r>
  <r>
    <x v="0"/>
    <x v="4"/>
    <x v="0"/>
    <x v="1"/>
    <x v="16"/>
    <n v="8677348298.0599995"/>
  </r>
  <r>
    <x v="1"/>
    <x v="57"/>
    <x v="0"/>
    <x v="9"/>
    <x v="10"/>
    <n v="10862.07"/>
  </r>
  <r>
    <x v="0"/>
    <x v="8"/>
    <x v="0"/>
    <x v="10"/>
    <x v="13"/>
    <n v="22609421.190000001"/>
  </r>
  <r>
    <x v="1"/>
    <x v="84"/>
    <x v="0"/>
    <x v="1"/>
    <x v="6"/>
    <n v="-84391.09"/>
  </r>
  <r>
    <x v="1"/>
    <x v="6"/>
    <x v="0"/>
    <x v="1"/>
    <x v="7"/>
    <n v="146431.66"/>
  </r>
  <r>
    <x v="1"/>
    <x v="27"/>
    <x v="0"/>
    <x v="1"/>
    <x v="20"/>
    <n v="3086440.98"/>
  </r>
  <r>
    <x v="1"/>
    <x v="61"/>
    <x v="0"/>
    <x v="10"/>
    <x v="17"/>
    <n v="-148881.25"/>
  </r>
  <r>
    <x v="0"/>
    <x v="30"/>
    <x v="0"/>
    <x v="1"/>
    <x v="10"/>
    <n v="600933396.85000002"/>
  </r>
  <r>
    <x v="0"/>
    <x v="52"/>
    <x v="0"/>
    <x v="1"/>
    <x v="16"/>
    <n v="9668621.4299999997"/>
  </r>
  <r>
    <x v="0"/>
    <x v="9"/>
    <x v="0"/>
    <x v="1"/>
    <x v="12"/>
    <n v="612284440.58000004"/>
  </r>
  <r>
    <x v="0"/>
    <x v="33"/>
    <x v="0"/>
    <x v="1"/>
    <x v="19"/>
    <n v="5834216.9500000002"/>
  </r>
  <r>
    <x v="0"/>
    <x v="3"/>
    <x v="0"/>
    <x v="1"/>
    <x v="25"/>
    <n v="2607815.44"/>
  </r>
  <r>
    <x v="1"/>
    <x v="88"/>
    <x v="0"/>
    <x v="1"/>
    <x v="3"/>
    <n v="42519.21"/>
  </r>
  <r>
    <x v="1"/>
    <x v="32"/>
    <x v="0"/>
    <x v="1"/>
    <x v="17"/>
    <n v="276408.74"/>
  </r>
  <r>
    <x v="1"/>
    <x v="70"/>
    <x v="0"/>
    <x v="1"/>
    <x v="24"/>
    <n v="-231.05"/>
  </r>
  <r>
    <x v="0"/>
    <x v="76"/>
    <x v="0"/>
    <x v="1"/>
    <x v="4"/>
    <n v="73120365.010000005"/>
  </r>
  <r>
    <x v="0"/>
    <x v="32"/>
    <x v="0"/>
    <x v="1"/>
    <x v="11"/>
    <n v="7151623.3300000001"/>
  </r>
  <r>
    <x v="0"/>
    <x v="44"/>
    <x v="0"/>
    <x v="1"/>
    <x v="18"/>
    <n v="8395936.8900000006"/>
  </r>
  <r>
    <x v="0"/>
    <x v="11"/>
    <x v="0"/>
    <x v="3"/>
    <x v="1"/>
    <n v="16998000"/>
  </r>
  <r>
    <x v="0"/>
    <x v="36"/>
    <x v="0"/>
    <x v="3"/>
    <x v="15"/>
    <n v="2725001"/>
  </r>
  <r>
    <x v="1"/>
    <x v="37"/>
    <x v="0"/>
    <x v="1"/>
    <x v="4"/>
    <n v="15152460.49"/>
  </r>
  <r>
    <x v="0"/>
    <x v="18"/>
    <x v="0"/>
    <x v="1"/>
    <x v="13"/>
    <n v="8433598.2899999991"/>
  </r>
  <r>
    <x v="1"/>
    <x v="14"/>
    <x v="0"/>
    <x v="1"/>
    <x v="4"/>
    <n v="331934.99"/>
  </r>
  <r>
    <x v="0"/>
    <x v="72"/>
    <x v="0"/>
    <x v="1"/>
    <x v="5"/>
    <n v="468992.88"/>
  </r>
  <r>
    <x v="1"/>
    <x v="69"/>
    <x v="0"/>
    <x v="1"/>
    <x v="12"/>
    <n v="34762.01"/>
  </r>
  <r>
    <x v="1"/>
    <x v="62"/>
    <x v="0"/>
    <x v="10"/>
    <x v="20"/>
    <n v="-265667.99"/>
  </r>
  <r>
    <x v="0"/>
    <x v="31"/>
    <x v="0"/>
    <x v="1"/>
    <x v="17"/>
    <n v="20833535.989999998"/>
  </r>
  <r>
    <x v="1"/>
    <x v="32"/>
    <x v="0"/>
    <x v="7"/>
    <x v="19"/>
    <n v="936.85"/>
  </r>
  <r>
    <x v="1"/>
    <x v="58"/>
    <x v="0"/>
    <x v="8"/>
    <x v="10"/>
    <n v="65039.28"/>
  </r>
  <r>
    <x v="0"/>
    <x v="53"/>
    <x v="0"/>
    <x v="1"/>
    <x v="22"/>
    <n v="9939055.2100000009"/>
  </r>
  <r>
    <x v="1"/>
    <x v="8"/>
    <x v="0"/>
    <x v="1"/>
    <x v="9"/>
    <n v="15919384.48"/>
  </r>
  <r>
    <x v="1"/>
    <x v="6"/>
    <x v="0"/>
    <x v="1"/>
    <x v="21"/>
    <n v="37977.050000000003"/>
  </r>
  <r>
    <x v="0"/>
    <x v="19"/>
    <x v="0"/>
    <x v="1"/>
    <x v="18"/>
    <n v="1033445.42"/>
  </r>
  <r>
    <x v="0"/>
    <x v="76"/>
    <x v="0"/>
    <x v="1"/>
    <x v="14"/>
    <n v="18310450.059999999"/>
  </r>
  <r>
    <x v="0"/>
    <x v="15"/>
    <x v="0"/>
    <x v="10"/>
    <x v="17"/>
    <n v="815765.75"/>
  </r>
  <r>
    <x v="0"/>
    <x v="53"/>
    <x v="0"/>
    <x v="1"/>
    <x v="0"/>
    <n v="6268034.9199999999"/>
  </r>
  <r>
    <x v="0"/>
    <x v="65"/>
    <x v="0"/>
    <x v="1"/>
    <x v="19"/>
    <n v="4328589.34"/>
  </r>
  <r>
    <x v="0"/>
    <x v="4"/>
    <x v="0"/>
    <x v="1"/>
    <x v="13"/>
    <n v="5639903892.0600004"/>
  </r>
  <r>
    <x v="1"/>
    <x v="62"/>
    <x v="0"/>
    <x v="10"/>
    <x v="5"/>
    <n v="506205.75"/>
  </r>
  <r>
    <x v="0"/>
    <x v="7"/>
    <x v="0"/>
    <x v="6"/>
    <x v="13"/>
    <n v="20000"/>
  </r>
  <r>
    <x v="0"/>
    <x v="9"/>
    <x v="0"/>
    <x v="1"/>
    <x v="23"/>
    <n v="825056089.74000001"/>
  </r>
  <r>
    <x v="1"/>
    <x v="54"/>
    <x v="0"/>
    <x v="1"/>
    <x v="5"/>
    <n v="46504.88"/>
  </r>
  <r>
    <x v="1"/>
    <x v="23"/>
    <x v="0"/>
    <x v="1"/>
    <x v="11"/>
    <n v="5744804.4900000002"/>
  </r>
  <r>
    <x v="1"/>
    <x v="10"/>
    <x v="0"/>
    <x v="1"/>
    <x v="17"/>
    <n v="56433.59"/>
  </r>
  <r>
    <x v="0"/>
    <x v="28"/>
    <x v="0"/>
    <x v="1"/>
    <x v="1"/>
    <n v="241627728.72"/>
  </r>
  <r>
    <x v="0"/>
    <x v="71"/>
    <x v="0"/>
    <x v="6"/>
    <x v="0"/>
    <n v="51000"/>
  </r>
  <r>
    <x v="0"/>
    <x v="83"/>
    <x v="0"/>
    <x v="1"/>
    <x v="3"/>
    <n v="282677"/>
  </r>
  <r>
    <x v="0"/>
    <x v="56"/>
    <x v="0"/>
    <x v="1"/>
    <x v="23"/>
    <n v="927584.31"/>
  </r>
  <r>
    <x v="0"/>
    <x v="2"/>
    <x v="0"/>
    <x v="1"/>
    <x v="0"/>
    <n v="2536244.5499999998"/>
  </r>
  <r>
    <x v="0"/>
    <x v="88"/>
    <x v="0"/>
    <x v="1"/>
    <x v="21"/>
    <n v="710617.52"/>
  </r>
  <r>
    <x v="0"/>
    <x v="76"/>
    <x v="0"/>
    <x v="10"/>
    <x v="14"/>
    <n v="11735624.119999999"/>
  </r>
  <r>
    <x v="1"/>
    <x v="40"/>
    <x v="0"/>
    <x v="8"/>
    <x v="13"/>
    <n v="8338.91"/>
  </r>
  <r>
    <x v="0"/>
    <x v="50"/>
    <x v="0"/>
    <x v="1"/>
    <x v="1"/>
    <n v="48136000"/>
  </r>
  <r>
    <x v="1"/>
    <x v="88"/>
    <x v="0"/>
    <x v="1"/>
    <x v="11"/>
    <n v="27967.84"/>
  </r>
  <r>
    <x v="0"/>
    <x v="101"/>
    <x v="0"/>
    <x v="1"/>
    <x v="4"/>
    <n v="11882.99"/>
  </r>
  <r>
    <x v="0"/>
    <x v="37"/>
    <x v="0"/>
    <x v="9"/>
    <x v="17"/>
    <n v="455103.64"/>
  </r>
  <r>
    <x v="0"/>
    <x v="3"/>
    <x v="0"/>
    <x v="1"/>
    <x v="7"/>
    <n v="26000"/>
  </r>
  <r>
    <x v="0"/>
    <x v="33"/>
    <x v="0"/>
    <x v="1"/>
    <x v="3"/>
    <n v="2048631845.4400001"/>
  </r>
  <r>
    <x v="1"/>
    <x v="22"/>
    <x v="0"/>
    <x v="10"/>
    <x v="19"/>
    <n v="176824.02"/>
  </r>
  <r>
    <x v="1"/>
    <x v="79"/>
    <x v="0"/>
    <x v="6"/>
    <x v="0"/>
    <n v="307852.88"/>
  </r>
  <r>
    <x v="0"/>
    <x v="20"/>
    <x v="0"/>
    <x v="6"/>
    <x v="13"/>
    <n v="2560994"/>
  </r>
  <r>
    <x v="1"/>
    <x v="9"/>
    <x v="0"/>
    <x v="1"/>
    <x v="6"/>
    <n v="2877858.8"/>
  </r>
  <r>
    <x v="0"/>
    <x v="18"/>
    <x v="0"/>
    <x v="1"/>
    <x v="25"/>
    <n v="8541623.3900000006"/>
  </r>
  <r>
    <x v="0"/>
    <x v="25"/>
    <x v="0"/>
    <x v="1"/>
    <x v="4"/>
    <n v="2576189.12"/>
  </r>
  <r>
    <x v="0"/>
    <x v="45"/>
    <x v="0"/>
    <x v="1"/>
    <x v="16"/>
    <n v="104842832.25"/>
  </r>
  <r>
    <x v="0"/>
    <x v="11"/>
    <x v="0"/>
    <x v="3"/>
    <x v="3"/>
    <n v="16998000"/>
  </r>
  <r>
    <x v="0"/>
    <x v="36"/>
    <x v="0"/>
    <x v="1"/>
    <x v="4"/>
    <n v="38495577.710000001"/>
  </r>
  <r>
    <x v="1"/>
    <x v="25"/>
    <x v="0"/>
    <x v="1"/>
    <x v="19"/>
    <n v="39690.9"/>
  </r>
  <r>
    <x v="1"/>
    <x v="68"/>
    <x v="0"/>
    <x v="1"/>
    <x v="8"/>
    <n v="2102183.7200000002"/>
  </r>
  <r>
    <x v="1"/>
    <x v="74"/>
    <x v="0"/>
    <x v="6"/>
    <x v="1"/>
    <n v="39721.870000000003"/>
  </r>
  <r>
    <x v="0"/>
    <x v="42"/>
    <x v="0"/>
    <x v="1"/>
    <x v="9"/>
    <n v="23122162.149999999"/>
  </r>
  <r>
    <x v="1"/>
    <x v="66"/>
    <x v="0"/>
    <x v="1"/>
    <x v="5"/>
    <n v="369321.24"/>
  </r>
  <r>
    <x v="1"/>
    <x v="31"/>
    <x v="0"/>
    <x v="1"/>
    <x v="5"/>
    <n v="1468049.98"/>
  </r>
  <r>
    <x v="0"/>
    <x v="43"/>
    <x v="0"/>
    <x v="1"/>
    <x v="11"/>
    <n v="3303597.58"/>
  </r>
  <r>
    <x v="1"/>
    <x v="20"/>
    <x v="0"/>
    <x v="10"/>
    <x v="17"/>
    <n v="-2272535.65"/>
  </r>
  <r>
    <x v="0"/>
    <x v="73"/>
    <x v="0"/>
    <x v="1"/>
    <x v="19"/>
    <n v="2052566.61"/>
  </r>
  <r>
    <x v="1"/>
    <x v="33"/>
    <x v="0"/>
    <x v="1"/>
    <x v="2"/>
    <n v="-68968764.140000001"/>
  </r>
  <r>
    <x v="0"/>
    <x v="53"/>
    <x v="0"/>
    <x v="7"/>
    <x v="14"/>
    <n v="19358"/>
  </r>
  <r>
    <x v="1"/>
    <x v="9"/>
    <x v="0"/>
    <x v="3"/>
    <x v="13"/>
    <n v="7992435.9800000004"/>
  </r>
  <r>
    <x v="1"/>
    <x v="25"/>
    <x v="0"/>
    <x v="1"/>
    <x v="10"/>
    <n v="79534.63"/>
  </r>
  <r>
    <x v="1"/>
    <x v="59"/>
    <x v="0"/>
    <x v="1"/>
    <x v="24"/>
    <n v="6066475.0099999998"/>
  </r>
  <r>
    <x v="0"/>
    <x v="14"/>
    <x v="0"/>
    <x v="1"/>
    <x v="8"/>
    <n v="1778674.48"/>
  </r>
  <r>
    <x v="1"/>
    <x v="98"/>
    <x v="0"/>
    <x v="1"/>
    <x v="25"/>
    <n v="46815.74"/>
  </r>
  <r>
    <x v="1"/>
    <x v="55"/>
    <x v="0"/>
    <x v="1"/>
    <x v="9"/>
    <n v="50099.67"/>
  </r>
  <r>
    <x v="1"/>
    <x v="33"/>
    <x v="0"/>
    <x v="5"/>
    <x v="14"/>
    <n v="2472705.67"/>
  </r>
  <r>
    <x v="0"/>
    <x v="51"/>
    <x v="0"/>
    <x v="6"/>
    <x v="11"/>
    <n v="49681"/>
  </r>
  <r>
    <x v="1"/>
    <x v="34"/>
    <x v="0"/>
    <x v="3"/>
    <x v="4"/>
    <n v="28772177.379999999"/>
  </r>
  <r>
    <x v="0"/>
    <x v="90"/>
    <x v="0"/>
    <x v="1"/>
    <x v="2"/>
    <n v="187992.38"/>
  </r>
  <r>
    <x v="1"/>
    <x v="77"/>
    <x v="0"/>
    <x v="1"/>
    <x v="6"/>
    <n v="89878.32"/>
  </r>
  <r>
    <x v="0"/>
    <x v="12"/>
    <x v="0"/>
    <x v="1"/>
    <x v="3"/>
    <n v="36386000"/>
  </r>
  <r>
    <x v="0"/>
    <x v="74"/>
    <x v="0"/>
    <x v="1"/>
    <x v="14"/>
    <n v="1636712.19"/>
  </r>
  <r>
    <x v="0"/>
    <x v="50"/>
    <x v="0"/>
    <x v="1"/>
    <x v="18"/>
    <n v="19965660.57"/>
  </r>
  <r>
    <x v="1"/>
    <x v="28"/>
    <x v="0"/>
    <x v="1"/>
    <x v="9"/>
    <n v="2617152.38"/>
  </r>
  <r>
    <x v="1"/>
    <x v="82"/>
    <x v="0"/>
    <x v="1"/>
    <x v="1"/>
    <n v="46314.59"/>
  </r>
  <r>
    <x v="0"/>
    <x v="76"/>
    <x v="0"/>
    <x v="8"/>
    <x v="5"/>
    <n v="3828503.94"/>
  </r>
  <r>
    <x v="1"/>
    <x v="47"/>
    <x v="0"/>
    <x v="1"/>
    <x v="3"/>
    <n v="14274050.98"/>
  </r>
  <r>
    <x v="0"/>
    <x v="1"/>
    <x v="0"/>
    <x v="1"/>
    <x v="22"/>
    <n v="4079840.76"/>
  </r>
  <r>
    <x v="1"/>
    <x v="84"/>
    <x v="0"/>
    <x v="1"/>
    <x v="20"/>
    <n v="-153160.35999999999"/>
  </r>
  <r>
    <x v="0"/>
    <x v="20"/>
    <x v="0"/>
    <x v="8"/>
    <x v="17"/>
    <n v="32141310.75"/>
  </r>
  <r>
    <x v="0"/>
    <x v="25"/>
    <x v="0"/>
    <x v="1"/>
    <x v="0"/>
    <n v="2087020.84"/>
  </r>
  <r>
    <x v="1"/>
    <x v="40"/>
    <x v="0"/>
    <x v="1"/>
    <x v="7"/>
    <n v="56760883.420000002"/>
  </r>
  <r>
    <x v="0"/>
    <x v="5"/>
    <x v="0"/>
    <x v="3"/>
    <x v="23"/>
    <n v="6912000"/>
  </r>
  <r>
    <x v="0"/>
    <x v="30"/>
    <x v="0"/>
    <x v="1"/>
    <x v="3"/>
    <n v="1000525893.39"/>
  </r>
  <r>
    <x v="1"/>
    <x v="76"/>
    <x v="0"/>
    <x v="10"/>
    <x v="13"/>
    <n v="904864.55"/>
  </r>
  <r>
    <x v="0"/>
    <x v="50"/>
    <x v="0"/>
    <x v="1"/>
    <x v="8"/>
    <n v="21441632.57"/>
  </r>
  <r>
    <x v="0"/>
    <x v="18"/>
    <x v="0"/>
    <x v="6"/>
    <x v="2"/>
    <n v="364000"/>
  </r>
  <r>
    <x v="0"/>
    <x v="76"/>
    <x v="0"/>
    <x v="1"/>
    <x v="20"/>
    <n v="7834826.9299999997"/>
  </r>
  <r>
    <x v="1"/>
    <x v="32"/>
    <x v="0"/>
    <x v="1"/>
    <x v="2"/>
    <n v="-3627413.14"/>
  </r>
  <r>
    <x v="0"/>
    <x v="5"/>
    <x v="0"/>
    <x v="2"/>
    <x v="23"/>
    <n v="5324000"/>
  </r>
  <r>
    <x v="1"/>
    <x v="44"/>
    <x v="0"/>
    <x v="1"/>
    <x v="21"/>
    <n v="-271219.90999999997"/>
  </r>
  <r>
    <x v="1"/>
    <x v="26"/>
    <x v="0"/>
    <x v="1"/>
    <x v="19"/>
    <n v="69102.39"/>
  </r>
  <r>
    <x v="0"/>
    <x v="1"/>
    <x v="0"/>
    <x v="7"/>
    <x v="19"/>
    <n v="5000"/>
  </r>
  <r>
    <x v="0"/>
    <x v="52"/>
    <x v="0"/>
    <x v="1"/>
    <x v="2"/>
    <n v="20183205.84"/>
  </r>
  <r>
    <x v="0"/>
    <x v="42"/>
    <x v="0"/>
    <x v="6"/>
    <x v="11"/>
    <n v="1046992"/>
  </r>
  <r>
    <x v="0"/>
    <x v="23"/>
    <x v="0"/>
    <x v="1"/>
    <x v="22"/>
    <n v="19834807.370000001"/>
  </r>
  <r>
    <x v="0"/>
    <x v="67"/>
    <x v="0"/>
    <x v="2"/>
    <x v="2"/>
    <n v="46908.68"/>
  </r>
  <r>
    <x v="0"/>
    <x v="63"/>
    <x v="0"/>
    <x v="1"/>
    <x v="25"/>
    <n v="24000"/>
  </r>
  <r>
    <x v="0"/>
    <x v="4"/>
    <x v="0"/>
    <x v="11"/>
    <x v="14"/>
    <n v="195511998.78"/>
  </r>
  <r>
    <x v="1"/>
    <x v="15"/>
    <x v="0"/>
    <x v="1"/>
    <x v="21"/>
    <n v="987118.15"/>
  </r>
  <r>
    <x v="1"/>
    <x v="69"/>
    <x v="0"/>
    <x v="1"/>
    <x v="5"/>
    <n v="90905.04"/>
  </r>
  <r>
    <x v="0"/>
    <x v="2"/>
    <x v="0"/>
    <x v="6"/>
    <x v="0"/>
    <n v="138000"/>
  </r>
  <r>
    <x v="0"/>
    <x v="36"/>
    <x v="0"/>
    <x v="2"/>
    <x v="2"/>
    <n v="1953000"/>
  </r>
  <r>
    <x v="0"/>
    <x v="47"/>
    <x v="0"/>
    <x v="9"/>
    <x v="17"/>
    <n v="1615824.37"/>
  </r>
  <r>
    <x v="1"/>
    <x v="14"/>
    <x v="0"/>
    <x v="1"/>
    <x v="12"/>
    <n v="47125.08"/>
  </r>
  <r>
    <x v="1"/>
    <x v="28"/>
    <x v="0"/>
    <x v="0"/>
    <x v="23"/>
    <n v="82001.22"/>
  </r>
  <r>
    <x v="0"/>
    <x v="62"/>
    <x v="0"/>
    <x v="1"/>
    <x v="14"/>
    <n v="763595.36"/>
  </r>
  <r>
    <x v="1"/>
    <x v="73"/>
    <x v="0"/>
    <x v="1"/>
    <x v="16"/>
    <n v="711825.19"/>
  </r>
  <r>
    <x v="1"/>
    <x v="89"/>
    <x v="0"/>
    <x v="1"/>
    <x v="5"/>
    <n v="-294"/>
  </r>
  <r>
    <x v="0"/>
    <x v="17"/>
    <x v="0"/>
    <x v="1"/>
    <x v="25"/>
    <n v="7654727.4699999997"/>
  </r>
  <r>
    <x v="1"/>
    <x v="52"/>
    <x v="0"/>
    <x v="1"/>
    <x v="22"/>
    <n v="1031001.41"/>
  </r>
  <r>
    <x v="1"/>
    <x v="39"/>
    <x v="0"/>
    <x v="1"/>
    <x v="22"/>
    <n v="21341.71"/>
  </r>
  <r>
    <x v="1"/>
    <x v="29"/>
    <x v="0"/>
    <x v="1"/>
    <x v="5"/>
    <n v="62384.42"/>
  </r>
  <r>
    <x v="0"/>
    <x v="33"/>
    <x v="0"/>
    <x v="6"/>
    <x v="1"/>
    <n v="2266000"/>
  </r>
  <r>
    <x v="0"/>
    <x v="32"/>
    <x v="0"/>
    <x v="7"/>
    <x v="23"/>
    <n v="0"/>
  </r>
  <r>
    <x v="1"/>
    <x v="70"/>
    <x v="0"/>
    <x v="1"/>
    <x v="2"/>
    <n v="-420817.55"/>
  </r>
  <r>
    <x v="1"/>
    <x v="11"/>
    <x v="0"/>
    <x v="1"/>
    <x v="15"/>
    <n v="-4927154.2699999996"/>
  </r>
  <r>
    <x v="0"/>
    <x v="41"/>
    <x v="0"/>
    <x v="1"/>
    <x v="22"/>
    <n v="190587352.19999999"/>
  </r>
  <r>
    <x v="0"/>
    <x v="45"/>
    <x v="0"/>
    <x v="1"/>
    <x v="13"/>
    <n v="83663771.829999998"/>
  </r>
  <r>
    <x v="0"/>
    <x v="31"/>
    <x v="0"/>
    <x v="1"/>
    <x v="19"/>
    <n v="18074102.280000001"/>
  </r>
  <r>
    <x v="0"/>
    <x v="76"/>
    <x v="0"/>
    <x v="1"/>
    <x v="19"/>
    <n v="22394074.73"/>
  </r>
  <r>
    <x v="1"/>
    <x v="30"/>
    <x v="0"/>
    <x v="1"/>
    <x v="4"/>
    <n v="7888"/>
  </r>
  <r>
    <x v="1"/>
    <x v="6"/>
    <x v="0"/>
    <x v="1"/>
    <x v="18"/>
    <n v="41860.199999999997"/>
  </r>
  <r>
    <x v="0"/>
    <x v="53"/>
    <x v="0"/>
    <x v="6"/>
    <x v="11"/>
    <n v="336996"/>
  </r>
  <r>
    <x v="1"/>
    <x v="41"/>
    <x v="0"/>
    <x v="1"/>
    <x v="9"/>
    <n v="52258200.609999999"/>
  </r>
  <r>
    <x v="0"/>
    <x v="40"/>
    <x v="0"/>
    <x v="6"/>
    <x v="13"/>
    <n v="2546432"/>
  </r>
  <r>
    <x v="1"/>
    <x v="37"/>
    <x v="0"/>
    <x v="9"/>
    <x v="25"/>
    <n v="44954.78"/>
  </r>
  <r>
    <x v="1"/>
    <x v="68"/>
    <x v="0"/>
    <x v="1"/>
    <x v="5"/>
    <n v="2292451.5299999998"/>
  </r>
  <r>
    <x v="1"/>
    <x v="1"/>
    <x v="0"/>
    <x v="1"/>
    <x v="11"/>
    <n v="718362.56"/>
  </r>
  <r>
    <x v="0"/>
    <x v="7"/>
    <x v="0"/>
    <x v="6"/>
    <x v="11"/>
    <n v="283000"/>
  </r>
  <r>
    <x v="0"/>
    <x v="32"/>
    <x v="0"/>
    <x v="6"/>
    <x v="1"/>
    <n v="621000"/>
  </r>
  <r>
    <x v="0"/>
    <x v="20"/>
    <x v="0"/>
    <x v="1"/>
    <x v="7"/>
    <n v="3091174517.5300002"/>
  </r>
  <r>
    <x v="0"/>
    <x v="90"/>
    <x v="0"/>
    <x v="1"/>
    <x v="1"/>
    <n v="175201.43"/>
  </r>
  <r>
    <x v="1"/>
    <x v="89"/>
    <x v="0"/>
    <x v="1"/>
    <x v="19"/>
    <n v="173798.2"/>
  </r>
  <r>
    <x v="1"/>
    <x v="93"/>
    <x v="0"/>
    <x v="1"/>
    <x v="23"/>
    <n v="1719680.89"/>
  </r>
  <r>
    <x v="0"/>
    <x v="59"/>
    <x v="0"/>
    <x v="9"/>
    <x v="10"/>
    <n v="8058"/>
  </r>
  <r>
    <x v="0"/>
    <x v="41"/>
    <x v="0"/>
    <x v="9"/>
    <x v="25"/>
    <n v="1341943.55"/>
  </r>
  <r>
    <x v="1"/>
    <x v="108"/>
    <x v="0"/>
    <x v="7"/>
    <x v="14"/>
    <n v="500000"/>
  </r>
  <r>
    <x v="0"/>
    <x v="31"/>
    <x v="0"/>
    <x v="1"/>
    <x v="22"/>
    <n v="13983268.779999999"/>
  </r>
  <r>
    <x v="1"/>
    <x v="59"/>
    <x v="0"/>
    <x v="1"/>
    <x v="4"/>
    <n v="14851443.08"/>
  </r>
  <r>
    <x v="0"/>
    <x v="64"/>
    <x v="0"/>
    <x v="1"/>
    <x v="24"/>
    <n v="226653.22"/>
  </r>
  <r>
    <x v="0"/>
    <x v="79"/>
    <x v="0"/>
    <x v="1"/>
    <x v="7"/>
    <n v="22220356.260000002"/>
  </r>
  <r>
    <x v="0"/>
    <x v="51"/>
    <x v="0"/>
    <x v="1"/>
    <x v="16"/>
    <n v="1043296.42"/>
  </r>
  <r>
    <x v="0"/>
    <x v="88"/>
    <x v="0"/>
    <x v="1"/>
    <x v="6"/>
    <n v="523418.99"/>
  </r>
  <r>
    <x v="0"/>
    <x v="10"/>
    <x v="0"/>
    <x v="1"/>
    <x v="0"/>
    <n v="1584770.4"/>
  </r>
  <r>
    <x v="1"/>
    <x v="22"/>
    <x v="0"/>
    <x v="10"/>
    <x v="14"/>
    <n v="-1114313.21"/>
  </r>
  <r>
    <x v="0"/>
    <x v="68"/>
    <x v="0"/>
    <x v="0"/>
    <x v="12"/>
    <n v="70603015"/>
  </r>
  <r>
    <x v="0"/>
    <x v="43"/>
    <x v="0"/>
    <x v="1"/>
    <x v="23"/>
    <n v="5518604.1900000004"/>
  </r>
  <r>
    <x v="0"/>
    <x v="65"/>
    <x v="0"/>
    <x v="10"/>
    <x v="24"/>
    <n v="655763.67000000004"/>
  </r>
  <r>
    <x v="1"/>
    <x v="10"/>
    <x v="0"/>
    <x v="1"/>
    <x v="18"/>
    <n v="24000"/>
  </r>
  <r>
    <x v="0"/>
    <x v="20"/>
    <x v="0"/>
    <x v="10"/>
    <x v="5"/>
    <n v="6583944.9000000004"/>
  </r>
  <r>
    <x v="1"/>
    <x v="59"/>
    <x v="0"/>
    <x v="9"/>
    <x v="5"/>
    <n v="51134.35"/>
  </r>
  <r>
    <x v="0"/>
    <x v="47"/>
    <x v="0"/>
    <x v="9"/>
    <x v="5"/>
    <n v="1991886"/>
  </r>
  <r>
    <x v="1"/>
    <x v="29"/>
    <x v="0"/>
    <x v="1"/>
    <x v="19"/>
    <n v="15406.49"/>
  </r>
  <r>
    <x v="0"/>
    <x v="77"/>
    <x v="0"/>
    <x v="1"/>
    <x v="13"/>
    <n v="1520348.17"/>
  </r>
  <r>
    <x v="1"/>
    <x v="90"/>
    <x v="0"/>
    <x v="1"/>
    <x v="9"/>
    <n v="12918.65"/>
  </r>
  <r>
    <x v="0"/>
    <x v="81"/>
    <x v="0"/>
    <x v="1"/>
    <x v="23"/>
    <n v="104077.25"/>
  </r>
  <r>
    <x v="0"/>
    <x v="15"/>
    <x v="0"/>
    <x v="6"/>
    <x v="11"/>
    <n v="22000"/>
  </r>
  <r>
    <x v="0"/>
    <x v="47"/>
    <x v="0"/>
    <x v="9"/>
    <x v="20"/>
    <n v="1837532.63"/>
  </r>
  <r>
    <x v="1"/>
    <x v="31"/>
    <x v="0"/>
    <x v="1"/>
    <x v="17"/>
    <n v="929285.25"/>
  </r>
  <r>
    <x v="0"/>
    <x v="46"/>
    <x v="0"/>
    <x v="1"/>
    <x v="7"/>
    <n v="33000"/>
  </r>
  <r>
    <x v="0"/>
    <x v="50"/>
    <x v="0"/>
    <x v="1"/>
    <x v="6"/>
    <n v="39043080.810000002"/>
  </r>
  <r>
    <x v="1"/>
    <x v="23"/>
    <x v="0"/>
    <x v="10"/>
    <x v="20"/>
    <n v="63223.68"/>
  </r>
  <r>
    <x v="0"/>
    <x v="18"/>
    <x v="0"/>
    <x v="7"/>
    <x v="13"/>
    <n v="12255.14"/>
  </r>
  <r>
    <x v="0"/>
    <x v="4"/>
    <x v="0"/>
    <x v="3"/>
    <x v="4"/>
    <n v="620145919.70000005"/>
  </r>
  <r>
    <x v="1"/>
    <x v="70"/>
    <x v="0"/>
    <x v="1"/>
    <x v="14"/>
    <n v="-267321.67"/>
  </r>
  <r>
    <x v="0"/>
    <x v="74"/>
    <x v="0"/>
    <x v="1"/>
    <x v="3"/>
    <n v="1852701.29"/>
  </r>
  <r>
    <x v="1"/>
    <x v="15"/>
    <x v="0"/>
    <x v="1"/>
    <x v="16"/>
    <n v="1993785.23"/>
  </r>
  <r>
    <x v="0"/>
    <x v="84"/>
    <x v="0"/>
    <x v="1"/>
    <x v="14"/>
    <n v="1697680.72"/>
  </r>
  <r>
    <x v="0"/>
    <x v="36"/>
    <x v="0"/>
    <x v="1"/>
    <x v="15"/>
    <n v="17229003"/>
  </r>
  <r>
    <x v="1"/>
    <x v="74"/>
    <x v="0"/>
    <x v="1"/>
    <x v="1"/>
    <n v="102801.54"/>
  </r>
  <r>
    <x v="1"/>
    <x v="20"/>
    <x v="0"/>
    <x v="1"/>
    <x v="21"/>
    <n v="298257686.38"/>
  </r>
  <r>
    <x v="1"/>
    <x v="1"/>
    <x v="0"/>
    <x v="1"/>
    <x v="6"/>
    <n v="222777.45"/>
  </r>
  <r>
    <x v="0"/>
    <x v="62"/>
    <x v="0"/>
    <x v="1"/>
    <x v="0"/>
    <n v="41419346.719999999"/>
  </r>
  <r>
    <x v="1"/>
    <x v="62"/>
    <x v="0"/>
    <x v="4"/>
    <x v="25"/>
    <n v="-11.82"/>
  </r>
  <r>
    <x v="0"/>
    <x v="55"/>
    <x v="0"/>
    <x v="6"/>
    <x v="1"/>
    <n v="17000"/>
  </r>
  <r>
    <x v="1"/>
    <x v="57"/>
    <x v="0"/>
    <x v="1"/>
    <x v="7"/>
    <n v="60219.7"/>
  </r>
  <r>
    <x v="0"/>
    <x v="67"/>
    <x v="0"/>
    <x v="1"/>
    <x v="2"/>
    <n v="1856173.6"/>
  </r>
  <r>
    <x v="0"/>
    <x v="35"/>
    <x v="0"/>
    <x v="1"/>
    <x v="16"/>
    <n v="64376158"/>
  </r>
  <r>
    <x v="1"/>
    <x v="20"/>
    <x v="0"/>
    <x v="1"/>
    <x v="12"/>
    <n v="329354375.92000002"/>
  </r>
  <r>
    <x v="1"/>
    <x v="73"/>
    <x v="0"/>
    <x v="1"/>
    <x v="12"/>
    <n v="861715.18"/>
  </r>
  <r>
    <x v="0"/>
    <x v="40"/>
    <x v="0"/>
    <x v="7"/>
    <x v="14"/>
    <n v="100000"/>
  </r>
  <r>
    <x v="0"/>
    <x v="63"/>
    <x v="0"/>
    <x v="2"/>
    <x v="11"/>
    <n v="1137495.6200000001"/>
  </r>
  <r>
    <x v="0"/>
    <x v="34"/>
    <x v="0"/>
    <x v="2"/>
    <x v="23"/>
    <n v="548231.61"/>
  </r>
  <r>
    <x v="1"/>
    <x v="0"/>
    <x v="0"/>
    <x v="1"/>
    <x v="8"/>
    <n v="3391070.29"/>
  </r>
  <r>
    <x v="0"/>
    <x v="104"/>
    <x v="0"/>
    <x v="7"/>
    <x v="15"/>
    <n v="8260.3799999999992"/>
  </r>
  <r>
    <x v="0"/>
    <x v="35"/>
    <x v="0"/>
    <x v="1"/>
    <x v="11"/>
    <n v="78242643"/>
  </r>
  <r>
    <x v="1"/>
    <x v="47"/>
    <x v="0"/>
    <x v="1"/>
    <x v="2"/>
    <n v="17777780.920000002"/>
  </r>
  <r>
    <x v="0"/>
    <x v="55"/>
    <x v="0"/>
    <x v="1"/>
    <x v="14"/>
    <n v="296425.06"/>
  </r>
  <r>
    <x v="0"/>
    <x v="72"/>
    <x v="0"/>
    <x v="1"/>
    <x v="13"/>
    <n v="274855.25"/>
  </r>
  <r>
    <x v="0"/>
    <x v="101"/>
    <x v="0"/>
    <x v="1"/>
    <x v="2"/>
    <n v="6794.16"/>
  </r>
  <r>
    <x v="1"/>
    <x v="22"/>
    <x v="0"/>
    <x v="1"/>
    <x v="20"/>
    <n v="4254670.2699999996"/>
  </r>
  <r>
    <x v="0"/>
    <x v="33"/>
    <x v="0"/>
    <x v="1"/>
    <x v="15"/>
    <n v="1985921729.9000001"/>
  </r>
  <r>
    <x v="0"/>
    <x v="17"/>
    <x v="0"/>
    <x v="1"/>
    <x v="11"/>
    <n v="10340701.550000001"/>
  </r>
  <r>
    <x v="0"/>
    <x v="40"/>
    <x v="0"/>
    <x v="1"/>
    <x v="8"/>
    <n v="764261235.89999998"/>
  </r>
  <r>
    <x v="0"/>
    <x v="87"/>
    <x v="0"/>
    <x v="1"/>
    <x v="10"/>
    <n v="1341675.47"/>
  </r>
  <r>
    <x v="0"/>
    <x v="53"/>
    <x v="0"/>
    <x v="1"/>
    <x v="9"/>
    <n v="10701159.08"/>
  </r>
  <r>
    <x v="0"/>
    <x v="24"/>
    <x v="0"/>
    <x v="1"/>
    <x v="0"/>
    <n v="65784000"/>
  </r>
  <r>
    <x v="0"/>
    <x v="44"/>
    <x v="0"/>
    <x v="7"/>
    <x v="20"/>
    <n v="4413000"/>
  </r>
  <r>
    <x v="0"/>
    <x v="50"/>
    <x v="0"/>
    <x v="6"/>
    <x v="5"/>
    <n v="2165000"/>
  </r>
  <r>
    <x v="0"/>
    <x v="23"/>
    <x v="0"/>
    <x v="10"/>
    <x v="14"/>
    <n v="9488653.25"/>
  </r>
  <r>
    <x v="0"/>
    <x v="14"/>
    <x v="0"/>
    <x v="1"/>
    <x v="6"/>
    <n v="853322.49"/>
  </r>
  <r>
    <x v="1"/>
    <x v="37"/>
    <x v="0"/>
    <x v="1"/>
    <x v="8"/>
    <n v="1480146.79"/>
  </r>
  <r>
    <x v="0"/>
    <x v="37"/>
    <x v="0"/>
    <x v="1"/>
    <x v="2"/>
    <n v="77926731.060000002"/>
  </r>
  <r>
    <x v="1"/>
    <x v="0"/>
    <x v="0"/>
    <x v="0"/>
    <x v="7"/>
    <n v="-1450765.52"/>
  </r>
  <r>
    <x v="1"/>
    <x v="62"/>
    <x v="0"/>
    <x v="1"/>
    <x v="15"/>
    <n v="3153351.41"/>
  </r>
  <r>
    <x v="0"/>
    <x v="4"/>
    <x v="0"/>
    <x v="13"/>
    <x v="0"/>
    <n v="105200000"/>
  </r>
  <r>
    <x v="1"/>
    <x v="55"/>
    <x v="0"/>
    <x v="1"/>
    <x v="22"/>
    <n v="53634.27"/>
  </r>
  <r>
    <x v="0"/>
    <x v="68"/>
    <x v="0"/>
    <x v="3"/>
    <x v="5"/>
    <n v="42482297.060000002"/>
  </r>
  <r>
    <x v="0"/>
    <x v="44"/>
    <x v="0"/>
    <x v="7"/>
    <x v="1"/>
    <n v="600000"/>
  </r>
  <r>
    <x v="0"/>
    <x v="80"/>
    <x v="0"/>
    <x v="1"/>
    <x v="17"/>
    <n v="28647902.43"/>
  </r>
  <r>
    <x v="0"/>
    <x v="17"/>
    <x v="0"/>
    <x v="1"/>
    <x v="23"/>
    <n v="13870051.800000001"/>
  </r>
  <r>
    <x v="0"/>
    <x v="34"/>
    <x v="0"/>
    <x v="3"/>
    <x v="23"/>
    <n v="13397611.470000001"/>
  </r>
  <r>
    <x v="1"/>
    <x v="22"/>
    <x v="0"/>
    <x v="1"/>
    <x v="5"/>
    <n v="6016639.3300000001"/>
  </r>
  <r>
    <x v="0"/>
    <x v="36"/>
    <x v="0"/>
    <x v="3"/>
    <x v="1"/>
    <n v="2725000"/>
  </r>
  <r>
    <x v="0"/>
    <x v="45"/>
    <x v="0"/>
    <x v="1"/>
    <x v="5"/>
    <n v="91770482.599999994"/>
  </r>
  <r>
    <x v="1"/>
    <x v="33"/>
    <x v="0"/>
    <x v="1"/>
    <x v="4"/>
    <n v="-108182688.53"/>
  </r>
  <r>
    <x v="0"/>
    <x v="58"/>
    <x v="0"/>
    <x v="2"/>
    <x v="11"/>
    <n v="99026.23"/>
  </r>
  <r>
    <x v="0"/>
    <x v="31"/>
    <x v="0"/>
    <x v="1"/>
    <x v="8"/>
    <n v="19887231.350000001"/>
  </r>
  <r>
    <x v="1"/>
    <x v="25"/>
    <x v="0"/>
    <x v="1"/>
    <x v="20"/>
    <n v="64966.57"/>
  </r>
  <r>
    <x v="0"/>
    <x v="22"/>
    <x v="0"/>
    <x v="1"/>
    <x v="18"/>
    <n v="49800190.670000002"/>
  </r>
  <r>
    <x v="0"/>
    <x v="81"/>
    <x v="0"/>
    <x v="1"/>
    <x v="12"/>
    <n v="474007.69"/>
  </r>
  <r>
    <x v="1"/>
    <x v="69"/>
    <x v="0"/>
    <x v="1"/>
    <x v="19"/>
    <n v="36071.89"/>
  </r>
  <r>
    <x v="0"/>
    <x v="20"/>
    <x v="0"/>
    <x v="8"/>
    <x v="13"/>
    <n v="29920007.48"/>
  </r>
  <r>
    <x v="0"/>
    <x v="76"/>
    <x v="0"/>
    <x v="1"/>
    <x v="8"/>
    <n v="33075824.809999999"/>
  </r>
  <r>
    <x v="0"/>
    <x v="42"/>
    <x v="0"/>
    <x v="1"/>
    <x v="7"/>
    <n v="11209186.59"/>
  </r>
  <r>
    <x v="0"/>
    <x v="47"/>
    <x v="0"/>
    <x v="5"/>
    <x v="10"/>
    <n v="13635699.640000001"/>
  </r>
  <r>
    <x v="1"/>
    <x v="66"/>
    <x v="0"/>
    <x v="1"/>
    <x v="6"/>
    <n v="361861.34"/>
  </r>
  <r>
    <x v="1"/>
    <x v="66"/>
    <x v="0"/>
    <x v="2"/>
    <x v="22"/>
    <n v="-1999713.92"/>
  </r>
  <r>
    <x v="1"/>
    <x v="23"/>
    <x v="0"/>
    <x v="1"/>
    <x v="8"/>
    <n v="2397542.3999999999"/>
  </r>
  <r>
    <x v="0"/>
    <x v="47"/>
    <x v="0"/>
    <x v="1"/>
    <x v="25"/>
    <n v="69377853.829999998"/>
  </r>
  <r>
    <x v="1"/>
    <x v="62"/>
    <x v="0"/>
    <x v="1"/>
    <x v="20"/>
    <n v="80248.039999999994"/>
  </r>
  <r>
    <x v="0"/>
    <x v="76"/>
    <x v="0"/>
    <x v="6"/>
    <x v="13"/>
    <n v="102000"/>
  </r>
  <r>
    <x v="0"/>
    <x v="59"/>
    <x v="0"/>
    <x v="10"/>
    <x v="6"/>
    <n v="288309.14"/>
  </r>
  <r>
    <x v="1"/>
    <x v="49"/>
    <x v="0"/>
    <x v="1"/>
    <x v="4"/>
    <n v="111183.35"/>
  </r>
  <r>
    <x v="1"/>
    <x v="66"/>
    <x v="0"/>
    <x v="1"/>
    <x v="22"/>
    <n v="466335.99"/>
  </r>
  <r>
    <x v="1"/>
    <x v="22"/>
    <x v="0"/>
    <x v="1"/>
    <x v="19"/>
    <n v="3159074.95"/>
  </r>
  <r>
    <x v="1"/>
    <x v="13"/>
    <x v="0"/>
    <x v="1"/>
    <x v="15"/>
    <n v="262143.22"/>
  </r>
  <r>
    <x v="1"/>
    <x v="65"/>
    <x v="0"/>
    <x v="1"/>
    <x v="5"/>
    <n v="-209814.48"/>
  </r>
  <r>
    <x v="0"/>
    <x v="9"/>
    <x v="0"/>
    <x v="3"/>
    <x v="18"/>
    <n v="35921442.340000004"/>
  </r>
  <r>
    <x v="1"/>
    <x v="8"/>
    <x v="0"/>
    <x v="10"/>
    <x v="24"/>
    <n v="54628.69"/>
  </r>
  <r>
    <x v="1"/>
    <x v="60"/>
    <x v="0"/>
    <x v="1"/>
    <x v="4"/>
    <n v="36693.78"/>
  </r>
  <r>
    <x v="1"/>
    <x v="70"/>
    <x v="0"/>
    <x v="1"/>
    <x v="3"/>
    <n v="100002.79"/>
  </r>
  <r>
    <x v="0"/>
    <x v="6"/>
    <x v="0"/>
    <x v="3"/>
    <x v="5"/>
    <n v="27071934.620000001"/>
  </r>
  <r>
    <x v="0"/>
    <x v="22"/>
    <x v="0"/>
    <x v="1"/>
    <x v="1"/>
    <n v="49931819.75"/>
  </r>
  <r>
    <x v="1"/>
    <x v="62"/>
    <x v="0"/>
    <x v="1"/>
    <x v="22"/>
    <n v="4607891.6399999997"/>
  </r>
  <r>
    <x v="0"/>
    <x v="32"/>
    <x v="0"/>
    <x v="7"/>
    <x v="25"/>
    <n v="496663.27"/>
  </r>
  <r>
    <x v="1"/>
    <x v="79"/>
    <x v="0"/>
    <x v="1"/>
    <x v="4"/>
    <n v="8666822.4800000004"/>
  </r>
  <r>
    <x v="1"/>
    <x v="86"/>
    <x v="0"/>
    <x v="1"/>
    <x v="15"/>
    <n v="-75919.62"/>
  </r>
  <r>
    <x v="1"/>
    <x v="52"/>
    <x v="0"/>
    <x v="1"/>
    <x v="5"/>
    <n v="2995904.58"/>
  </r>
  <r>
    <x v="0"/>
    <x v="64"/>
    <x v="0"/>
    <x v="1"/>
    <x v="3"/>
    <n v="186787.23"/>
  </r>
  <r>
    <x v="0"/>
    <x v="64"/>
    <x v="0"/>
    <x v="1"/>
    <x v="25"/>
    <n v="246981.08"/>
  </r>
  <r>
    <x v="1"/>
    <x v="71"/>
    <x v="0"/>
    <x v="1"/>
    <x v="14"/>
    <n v="19970.150000000001"/>
  </r>
  <r>
    <x v="1"/>
    <x v="25"/>
    <x v="0"/>
    <x v="1"/>
    <x v="8"/>
    <n v="78679.850000000006"/>
  </r>
  <r>
    <x v="0"/>
    <x v="60"/>
    <x v="0"/>
    <x v="1"/>
    <x v="15"/>
    <n v="193005.79"/>
  </r>
  <r>
    <x v="0"/>
    <x v="79"/>
    <x v="0"/>
    <x v="6"/>
    <x v="11"/>
    <n v="1287876.1499999999"/>
  </r>
  <r>
    <x v="0"/>
    <x v="41"/>
    <x v="0"/>
    <x v="1"/>
    <x v="8"/>
    <n v="30383315.629999999"/>
  </r>
  <r>
    <x v="1"/>
    <x v="58"/>
    <x v="0"/>
    <x v="1"/>
    <x v="3"/>
    <n v="1417750.52"/>
  </r>
  <r>
    <x v="0"/>
    <x v="32"/>
    <x v="0"/>
    <x v="6"/>
    <x v="0"/>
    <n v="622000"/>
  </r>
  <r>
    <x v="1"/>
    <x v="20"/>
    <x v="0"/>
    <x v="8"/>
    <x v="21"/>
    <n v="0"/>
  </r>
  <r>
    <x v="0"/>
    <x v="35"/>
    <x v="0"/>
    <x v="1"/>
    <x v="12"/>
    <n v="62884244"/>
  </r>
  <r>
    <x v="0"/>
    <x v="54"/>
    <x v="0"/>
    <x v="6"/>
    <x v="11"/>
    <n v="65000"/>
  </r>
  <r>
    <x v="0"/>
    <x v="67"/>
    <x v="0"/>
    <x v="1"/>
    <x v="4"/>
    <n v="4086286.83"/>
  </r>
  <r>
    <x v="0"/>
    <x v="74"/>
    <x v="0"/>
    <x v="1"/>
    <x v="1"/>
    <n v="2719198.46"/>
  </r>
  <r>
    <x v="1"/>
    <x v="72"/>
    <x v="0"/>
    <x v="1"/>
    <x v="6"/>
    <n v="2434.8000000000002"/>
  </r>
  <r>
    <x v="1"/>
    <x v="43"/>
    <x v="0"/>
    <x v="1"/>
    <x v="5"/>
    <n v="97198.62"/>
  </r>
  <r>
    <x v="1"/>
    <x v="93"/>
    <x v="0"/>
    <x v="1"/>
    <x v="5"/>
    <n v="794689.65"/>
  </r>
  <r>
    <x v="0"/>
    <x v="78"/>
    <x v="0"/>
    <x v="1"/>
    <x v="2"/>
    <n v="2154677.98"/>
  </r>
  <r>
    <x v="0"/>
    <x v="33"/>
    <x v="0"/>
    <x v="1"/>
    <x v="21"/>
    <n v="205532746.72999999"/>
  </r>
  <r>
    <x v="0"/>
    <x v="65"/>
    <x v="0"/>
    <x v="1"/>
    <x v="3"/>
    <n v="10513092"/>
  </r>
  <r>
    <x v="1"/>
    <x v="40"/>
    <x v="0"/>
    <x v="1"/>
    <x v="15"/>
    <n v="57989636.109999999"/>
  </r>
  <r>
    <x v="0"/>
    <x v="0"/>
    <x v="0"/>
    <x v="1"/>
    <x v="1"/>
    <n v="82795976.239999995"/>
  </r>
  <r>
    <x v="1"/>
    <x v="78"/>
    <x v="0"/>
    <x v="1"/>
    <x v="24"/>
    <n v="78036.11"/>
  </r>
  <r>
    <x v="0"/>
    <x v="5"/>
    <x v="0"/>
    <x v="3"/>
    <x v="25"/>
    <n v="5110000"/>
  </r>
  <r>
    <x v="0"/>
    <x v="49"/>
    <x v="0"/>
    <x v="1"/>
    <x v="16"/>
    <n v="2257901.7200000002"/>
  </r>
  <r>
    <x v="1"/>
    <x v="67"/>
    <x v="0"/>
    <x v="1"/>
    <x v="25"/>
    <n v="-72896.39"/>
  </r>
  <r>
    <x v="1"/>
    <x v="65"/>
    <x v="0"/>
    <x v="1"/>
    <x v="7"/>
    <n v="2086124.17"/>
  </r>
  <r>
    <x v="1"/>
    <x v="58"/>
    <x v="0"/>
    <x v="1"/>
    <x v="19"/>
    <n v="1767514.59"/>
  </r>
  <r>
    <x v="0"/>
    <x v="11"/>
    <x v="0"/>
    <x v="2"/>
    <x v="9"/>
    <n v="14840000"/>
  </r>
  <r>
    <x v="0"/>
    <x v="36"/>
    <x v="0"/>
    <x v="1"/>
    <x v="11"/>
    <n v="30208000"/>
  </r>
  <r>
    <x v="1"/>
    <x v="87"/>
    <x v="0"/>
    <x v="1"/>
    <x v="13"/>
    <n v="-152768.78"/>
  </r>
  <r>
    <x v="0"/>
    <x v="41"/>
    <x v="0"/>
    <x v="9"/>
    <x v="6"/>
    <n v="985926.61"/>
  </r>
  <r>
    <x v="0"/>
    <x v="47"/>
    <x v="0"/>
    <x v="1"/>
    <x v="2"/>
    <n v="74912187.599999994"/>
  </r>
  <r>
    <x v="0"/>
    <x v="79"/>
    <x v="0"/>
    <x v="9"/>
    <x v="17"/>
    <n v="16369320.16"/>
  </r>
  <r>
    <x v="1"/>
    <x v="8"/>
    <x v="0"/>
    <x v="1"/>
    <x v="7"/>
    <n v="4822189.95"/>
  </r>
  <r>
    <x v="1"/>
    <x v="10"/>
    <x v="0"/>
    <x v="1"/>
    <x v="2"/>
    <n v="40294.620000000003"/>
  </r>
  <r>
    <x v="0"/>
    <x v="66"/>
    <x v="0"/>
    <x v="1"/>
    <x v="17"/>
    <n v="7082663.0199999996"/>
  </r>
  <r>
    <x v="0"/>
    <x v="74"/>
    <x v="0"/>
    <x v="1"/>
    <x v="10"/>
    <n v="1734108.22"/>
  </r>
  <r>
    <x v="0"/>
    <x v="11"/>
    <x v="0"/>
    <x v="3"/>
    <x v="13"/>
    <n v="7914000"/>
  </r>
  <r>
    <x v="1"/>
    <x v="42"/>
    <x v="0"/>
    <x v="1"/>
    <x v="8"/>
    <n v="362448.12"/>
  </r>
  <r>
    <x v="1"/>
    <x v="25"/>
    <x v="0"/>
    <x v="1"/>
    <x v="4"/>
    <n v="132713.15"/>
  </r>
  <r>
    <x v="0"/>
    <x v="1"/>
    <x v="0"/>
    <x v="1"/>
    <x v="21"/>
    <n v="5428952.7400000002"/>
  </r>
  <r>
    <x v="1"/>
    <x v="59"/>
    <x v="0"/>
    <x v="1"/>
    <x v="20"/>
    <n v="7848476.1799999997"/>
  </r>
  <r>
    <x v="0"/>
    <x v="19"/>
    <x v="0"/>
    <x v="1"/>
    <x v="23"/>
    <n v="1909408.49"/>
  </r>
  <r>
    <x v="0"/>
    <x v="5"/>
    <x v="0"/>
    <x v="1"/>
    <x v="13"/>
    <n v="61300057.399999999"/>
  </r>
  <r>
    <x v="0"/>
    <x v="66"/>
    <x v="0"/>
    <x v="1"/>
    <x v="9"/>
    <n v="6784659.1299999999"/>
  </r>
  <r>
    <x v="1"/>
    <x v="33"/>
    <x v="0"/>
    <x v="5"/>
    <x v="13"/>
    <n v="573187.24"/>
  </r>
  <r>
    <x v="0"/>
    <x v="63"/>
    <x v="0"/>
    <x v="1"/>
    <x v="23"/>
    <n v="8224701.1299999999"/>
  </r>
  <r>
    <x v="0"/>
    <x v="76"/>
    <x v="0"/>
    <x v="10"/>
    <x v="17"/>
    <n v="2063731.44"/>
  </r>
  <r>
    <x v="1"/>
    <x v="55"/>
    <x v="0"/>
    <x v="1"/>
    <x v="4"/>
    <n v="73659.77"/>
  </r>
  <r>
    <x v="0"/>
    <x v="47"/>
    <x v="0"/>
    <x v="9"/>
    <x v="6"/>
    <n v="1565136.23"/>
  </r>
  <r>
    <x v="0"/>
    <x v="41"/>
    <x v="0"/>
    <x v="9"/>
    <x v="13"/>
    <n v="1823633.43"/>
  </r>
  <r>
    <x v="1"/>
    <x v="57"/>
    <x v="0"/>
    <x v="1"/>
    <x v="5"/>
    <n v="177208.73"/>
  </r>
  <r>
    <x v="1"/>
    <x v="58"/>
    <x v="0"/>
    <x v="1"/>
    <x v="20"/>
    <n v="581524.9"/>
  </r>
  <r>
    <x v="1"/>
    <x v="71"/>
    <x v="0"/>
    <x v="1"/>
    <x v="9"/>
    <n v="37161.57"/>
  </r>
  <r>
    <x v="0"/>
    <x v="9"/>
    <x v="0"/>
    <x v="2"/>
    <x v="23"/>
    <n v="131936163.62"/>
  </r>
  <r>
    <x v="1"/>
    <x v="70"/>
    <x v="0"/>
    <x v="1"/>
    <x v="22"/>
    <n v="-70832.7"/>
  </r>
  <r>
    <x v="1"/>
    <x v="85"/>
    <x v="0"/>
    <x v="1"/>
    <x v="13"/>
    <n v="216826.28"/>
  </r>
  <r>
    <x v="0"/>
    <x v="40"/>
    <x v="0"/>
    <x v="1"/>
    <x v="10"/>
    <n v="505236724.98000002"/>
  </r>
  <r>
    <x v="0"/>
    <x v="4"/>
    <x v="0"/>
    <x v="6"/>
    <x v="0"/>
    <n v="911111.65"/>
  </r>
  <r>
    <x v="1"/>
    <x v="14"/>
    <x v="0"/>
    <x v="1"/>
    <x v="6"/>
    <n v="59119.22"/>
  </r>
  <r>
    <x v="0"/>
    <x v="19"/>
    <x v="0"/>
    <x v="1"/>
    <x v="15"/>
    <n v="1117380.6599999999"/>
  </r>
  <r>
    <x v="0"/>
    <x v="42"/>
    <x v="0"/>
    <x v="1"/>
    <x v="25"/>
    <n v="14673934.699999999"/>
  </r>
  <r>
    <x v="1"/>
    <x v="82"/>
    <x v="0"/>
    <x v="6"/>
    <x v="13"/>
    <n v="8000"/>
  </r>
  <r>
    <x v="0"/>
    <x v="5"/>
    <x v="0"/>
    <x v="3"/>
    <x v="4"/>
    <n v="6919000"/>
  </r>
  <r>
    <x v="1"/>
    <x v="66"/>
    <x v="0"/>
    <x v="1"/>
    <x v="15"/>
    <n v="2134665.5499999998"/>
  </r>
  <r>
    <x v="0"/>
    <x v="30"/>
    <x v="0"/>
    <x v="1"/>
    <x v="12"/>
    <n v="902662816.07000005"/>
  </r>
  <r>
    <x v="1"/>
    <x v="15"/>
    <x v="0"/>
    <x v="1"/>
    <x v="8"/>
    <n v="995156.83"/>
  </r>
  <r>
    <x v="1"/>
    <x v="2"/>
    <x v="0"/>
    <x v="1"/>
    <x v="16"/>
    <n v="-71730.7"/>
  </r>
  <r>
    <x v="1"/>
    <x v="66"/>
    <x v="0"/>
    <x v="10"/>
    <x v="24"/>
    <n v="1868474.62"/>
  </r>
  <r>
    <x v="1"/>
    <x v="32"/>
    <x v="0"/>
    <x v="1"/>
    <x v="24"/>
    <n v="537592.44999999995"/>
  </r>
  <r>
    <x v="1"/>
    <x v="21"/>
    <x v="0"/>
    <x v="1"/>
    <x v="3"/>
    <n v="-20.5"/>
  </r>
  <r>
    <x v="1"/>
    <x v="6"/>
    <x v="0"/>
    <x v="3"/>
    <x v="11"/>
    <n v="40074.629999999997"/>
  </r>
  <r>
    <x v="1"/>
    <x v="74"/>
    <x v="0"/>
    <x v="1"/>
    <x v="2"/>
    <n v="396918.39"/>
  </r>
  <r>
    <x v="0"/>
    <x v="6"/>
    <x v="0"/>
    <x v="1"/>
    <x v="17"/>
    <n v="337422777.72000003"/>
  </r>
  <r>
    <x v="0"/>
    <x v="44"/>
    <x v="0"/>
    <x v="1"/>
    <x v="25"/>
    <n v="26670700.23"/>
  </r>
  <r>
    <x v="0"/>
    <x v="39"/>
    <x v="0"/>
    <x v="1"/>
    <x v="9"/>
    <n v="249571.77"/>
  </r>
  <r>
    <x v="1"/>
    <x v="75"/>
    <x v="0"/>
    <x v="1"/>
    <x v="9"/>
    <n v="33680.550000000003"/>
  </r>
  <r>
    <x v="0"/>
    <x v="9"/>
    <x v="0"/>
    <x v="6"/>
    <x v="1"/>
    <n v="29438743.66"/>
  </r>
  <r>
    <x v="0"/>
    <x v="28"/>
    <x v="0"/>
    <x v="3"/>
    <x v="0"/>
    <n v="51560000"/>
  </r>
  <r>
    <x v="1"/>
    <x v="88"/>
    <x v="0"/>
    <x v="1"/>
    <x v="12"/>
    <n v="25541.91"/>
  </r>
  <r>
    <x v="1"/>
    <x v="1"/>
    <x v="0"/>
    <x v="1"/>
    <x v="22"/>
    <n v="1022770.85"/>
  </r>
  <r>
    <x v="1"/>
    <x v="73"/>
    <x v="0"/>
    <x v="1"/>
    <x v="15"/>
    <n v="-570148.25"/>
  </r>
  <r>
    <x v="0"/>
    <x v="58"/>
    <x v="0"/>
    <x v="1"/>
    <x v="7"/>
    <n v="17695135.739999998"/>
  </r>
  <r>
    <x v="0"/>
    <x v="88"/>
    <x v="0"/>
    <x v="1"/>
    <x v="25"/>
    <n v="698745.89"/>
  </r>
  <r>
    <x v="0"/>
    <x v="22"/>
    <x v="0"/>
    <x v="1"/>
    <x v="24"/>
    <n v="139966416.74000001"/>
  </r>
  <r>
    <x v="1"/>
    <x v="75"/>
    <x v="0"/>
    <x v="1"/>
    <x v="19"/>
    <n v="20046.060000000001"/>
  </r>
  <r>
    <x v="0"/>
    <x v="62"/>
    <x v="0"/>
    <x v="1"/>
    <x v="22"/>
    <n v="19413896.940000001"/>
  </r>
  <r>
    <x v="1"/>
    <x v="9"/>
    <x v="0"/>
    <x v="1"/>
    <x v="24"/>
    <n v="11913216.42"/>
  </r>
  <r>
    <x v="1"/>
    <x v="73"/>
    <x v="0"/>
    <x v="9"/>
    <x v="19"/>
    <n v="563693.92000000004"/>
  </r>
  <r>
    <x v="1"/>
    <x v="34"/>
    <x v="0"/>
    <x v="3"/>
    <x v="2"/>
    <n v="396980.64"/>
  </r>
  <r>
    <x v="0"/>
    <x v="74"/>
    <x v="0"/>
    <x v="1"/>
    <x v="5"/>
    <n v="2186281.4300000002"/>
  </r>
  <r>
    <x v="0"/>
    <x v="54"/>
    <x v="0"/>
    <x v="6"/>
    <x v="2"/>
    <n v="65000"/>
  </r>
  <r>
    <x v="1"/>
    <x v="47"/>
    <x v="0"/>
    <x v="5"/>
    <x v="14"/>
    <n v="-1280069.8799999999"/>
  </r>
  <r>
    <x v="1"/>
    <x v="73"/>
    <x v="0"/>
    <x v="9"/>
    <x v="5"/>
    <n v="295637.59999999998"/>
  </r>
  <r>
    <x v="0"/>
    <x v="41"/>
    <x v="0"/>
    <x v="9"/>
    <x v="5"/>
    <n v="1458287.77"/>
  </r>
  <r>
    <x v="0"/>
    <x v="24"/>
    <x v="0"/>
    <x v="1"/>
    <x v="5"/>
    <n v="33923583.850000001"/>
  </r>
  <r>
    <x v="1"/>
    <x v="37"/>
    <x v="0"/>
    <x v="1"/>
    <x v="17"/>
    <n v="1239946.33"/>
  </r>
  <r>
    <x v="0"/>
    <x v="56"/>
    <x v="0"/>
    <x v="1"/>
    <x v="25"/>
    <n v="249478.78"/>
  </r>
  <r>
    <x v="1"/>
    <x v="59"/>
    <x v="0"/>
    <x v="1"/>
    <x v="14"/>
    <n v="5741146.4400000004"/>
  </r>
  <r>
    <x v="1"/>
    <x v="93"/>
    <x v="0"/>
    <x v="1"/>
    <x v="19"/>
    <n v="709306.65"/>
  </r>
  <r>
    <x v="0"/>
    <x v="50"/>
    <x v="0"/>
    <x v="1"/>
    <x v="2"/>
    <n v="56301000"/>
  </r>
  <r>
    <x v="0"/>
    <x v="36"/>
    <x v="0"/>
    <x v="2"/>
    <x v="9"/>
    <n v="1953000"/>
  </r>
  <r>
    <x v="0"/>
    <x v="4"/>
    <x v="0"/>
    <x v="6"/>
    <x v="2"/>
    <n v="1920568.74"/>
  </r>
  <r>
    <x v="1"/>
    <x v="33"/>
    <x v="0"/>
    <x v="5"/>
    <x v="5"/>
    <n v="867201.65"/>
  </r>
  <r>
    <x v="0"/>
    <x v="11"/>
    <x v="0"/>
    <x v="3"/>
    <x v="7"/>
    <n v="16997000"/>
  </r>
  <r>
    <x v="1"/>
    <x v="15"/>
    <x v="0"/>
    <x v="10"/>
    <x v="13"/>
    <n v="419476.03"/>
  </r>
  <r>
    <x v="1"/>
    <x v="23"/>
    <x v="0"/>
    <x v="1"/>
    <x v="18"/>
    <n v="1724359.1"/>
  </r>
  <r>
    <x v="1"/>
    <x v="88"/>
    <x v="0"/>
    <x v="1"/>
    <x v="13"/>
    <n v="41902.21"/>
  </r>
  <r>
    <x v="0"/>
    <x v="53"/>
    <x v="0"/>
    <x v="9"/>
    <x v="10"/>
    <n v="1692345.53"/>
  </r>
  <r>
    <x v="0"/>
    <x v="29"/>
    <x v="0"/>
    <x v="1"/>
    <x v="5"/>
    <n v="1122486.3400000001"/>
  </r>
  <r>
    <x v="0"/>
    <x v="48"/>
    <x v="0"/>
    <x v="1"/>
    <x v="1"/>
    <n v="158287"/>
  </r>
  <r>
    <x v="0"/>
    <x v="51"/>
    <x v="0"/>
    <x v="1"/>
    <x v="12"/>
    <n v="1054362.83"/>
  </r>
  <r>
    <x v="1"/>
    <x v="28"/>
    <x v="0"/>
    <x v="3"/>
    <x v="15"/>
    <n v="-25657066.620000001"/>
  </r>
  <r>
    <x v="1"/>
    <x v="20"/>
    <x v="0"/>
    <x v="1"/>
    <x v="19"/>
    <n v="202165990.16"/>
  </r>
  <r>
    <x v="0"/>
    <x v="25"/>
    <x v="0"/>
    <x v="1"/>
    <x v="22"/>
    <n v="1016784.78"/>
  </r>
  <r>
    <x v="1"/>
    <x v="11"/>
    <x v="0"/>
    <x v="1"/>
    <x v="13"/>
    <n v="-6376574.6200000001"/>
  </r>
  <r>
    <x v="0"/>
    <x v="11"/>
    <x v="0"/>
    <x v="6"/>
    <x v="2"/>
    <n v="7876775"/>
  </r>
  <r>
    <x v="1"/>
    <x v="70"/>
    <x v="0"/>
    <x v="1"/>
    <x v="1"/>
    <n v="-219207"/>
  </r>
  <r>
    <x v="1"/>
    <x v="47"/>
    <x v="0"/>
    <x v="6"/>
    <x v="0"/>
    <n v="1816650"/>
  </r>
  <r>
    <x v="0"/>
    <x v="66"/>
    <x v="0"/>
    <x v="1"/>
    <x v="8"/>
    <n v="13857530.890000001"/>
  </r>
  <r>
    <x v="1"/>
    <x v="40"/>
    <x v="0"/>
    <x v="1"/>
    <x v="25"/>
    <n v="45997251.229999997"/>
  </r>
  <r>
    <x v="1"/>
    <x v="74"/>
    <x v="0"/>
    <x v="1"/>
    <x v="15"/>
    <n v="151948.37"/>
  </r>
  <r>
    <x v="0"/>
    <x v="57"/>
    <x v="0"/>
    <x v="6"/>
    <x v="11"/>
    <n v="40000"/>
  </r>
  <r>
    <x v="0"/>
    <x v="64"/>
    <x v="0"/>
    <x v="6"/>
    <x v="2"/>
    <n v="11400"/>
  </r>
  <r>
    <x v="0"/>
    <x v="0"/>
    <x v="0"/>
    <x v="0"/>
    <x v="7"/>
    <n v="41155126.920000002"/>
  </r>
  <r>
    <x v="0"/>
    <x v="90"/>
    <x v="0"/>
    <x v="1"/>
    <x v="9"/>
    <n v="224115.47"/>
  </r>
  <r>
    <x v="1"/>
    <x v="81"/>
    <x v="0"/>
    <x v="1"/>
    <x v="12"/>
    <n v="324619.78999999998"/>
  </r>
  <r>
    <x v="0"/>
    <x v="66"/>
    <x v="0"/>
    <x v="1"/>
    <x v="6"/>
    <n v="5503058.9400000004"/>
  </r>
  <r>
    <x v="1"/>
    <x v="70"/>
    <x v="0"/>
    <x v="1"/>
    <x v="19"/>
    <n v="-267496.77"/>
  </r>
  <r>
    <x v="0"/>
    <x v="5"/>
    <x v="0"/>
    <x v="1"/>
    <x v="16"/>
    <n v="53401000"/>
  </r>
  <r>
    <x v="0"/>
    <x v="62"/>
    <x v="0"/>
    <x v="1"/>
    <x v="10"/>
    <n v="599803.56000000006"/>
  </r>
  <r>
    <x v="0"/>
    <x v="89"/>
    <x v="0"/>
    <x v="1"/>
    <x v="4"/>
    <n v="613089.51"/>
  </r>
  <r>
    <x v="1"/>
    <x v="54"/>
    <x v="0"/>
    <x v="1"/>
    <x v="12"/>
    <n v="61573.3"/>
  </r>
  <r>
    <x v="1"/>
    <x v="22"/>
    <x v="0"/>
    <x v="1"/>
    <x v="11"/>
    <n v="18424612.719999999"/>
  </r>
  <r>
    <x v="1"/>
    <x v="71"/>
    <x v="0"/>
    <x v="1"/>
    <x v="18"/>
    <n v="33111.54"/>
  </r>
  <r>
    <x v="0"/>
    <x v="80"/>
    <x v="0"/>
    <x v="1"/>
    <x v="20"/>
    <n v="26101916.66"/>
  </r>
  <r>
    <x v="1"/>
    <x v="80"/>
    <x v="0"/>
    <x v="1"/>
    <x v="15"/>
    <n v="1555054.08"/>
  </r>
  <r>
    <x v="0"/>
    <x v="93"/>
    <x v="0"/>
    <x v="1"/>
    <x v="21"/>
    <n v="14672864.310000001"/>
  </r>
  <r>
    <x v="1"/>
    <x v="52"/>
    <x v="0"/>
    <x v="1"/>
    <x v="14"/>
    <n v="1944542.8"/>
  </r>
  <r>
    <x v="0"/>
    <x v="4"/>
    <x v="0"/>
    <x v="11"/>
    <x v="17"/>
    <n v="280759462.19999999"/>
  </r>
  <r>
    <x v="1"/>
    <x v="49"/>
    <x v="0"/>
    <x v="1"/>
    <x v="19"/>
    <n v="129770.63"/>
  </r>
  <r>
    <x v="0"/>
    <x v="37"/>
    <x v="0"/>
    <x v="6"/>
    <x v="11"/>
    <n v="518000"/>
  </r>
  <r>
    <x v="0"/>
    <x v="62"/>
    <x v="0"/>
    <x v="4"/>
    <x v="5"/>
    <n v="2094972.19"/>
  </r>
  <r>
    <x v="1"/>
    <x v="76"/>
    <x v="0"/>
    <x v="1"/>
    <x v="8"/>
    <n v="2253778.5"/>
  </r>
  <r>
    <x v="1"/>
    <x v="86"/>
    <x v="0"/>
    <x v="1"/>
    <x v="21"/>
    <n v="-12374.52"/>
  </r>
  <r>
    <x v="0"/>
    <x v="76"/>
    <x v="0"/>
    <x v="1"/>
    <x v="6"/>
    <n v="18807217.199999999"/>
  </r>
  <r>
    <x v="0"/>
    <x v="22"/>
    <x v="0"/>
    <x v="10"/>
    <x v="25"/>
    <n v="2298416.56"/>
  </r>
  <r>
    <x v="0"/>
    <x v="52"/>
    <x v="0"/>
    <x v="10"/>
    <x v="24"/>
    <n v="8412.84"/>
  </r>
  <r>
    <x v="1"/>
    <x v="8"/>
    <x v="0"/>
    <x v="1"/>
    <x v="21"/>
    <n v="7281597.7800000003"/>
  </r>
  <r>
    <x v="0"/>
    <x v="57"/>
    <x v="0"/>
    <x v="1"/>
    <x v="11"/>
    <n v="895164.94"/>
  </r>
  <r>
    <x v="0"/>
    <x v="40"/>
    <x v="0"/>
    <x v="8"/>
    <x v="6"/>
    <n v="1381744.99"/>
  </r>
  <r>
    <x v="0"/>
    <x v="54"/>
    <x v="0"/>
    <x v="1"/>
    <x v="10"/>
    <n v="827230.67"/>
  </r>
  <r>
    <x v="0"/>
    <x v="9"/>
    <x v="0"/>
    <x v="1"/>
    <x v="18"/>
    <n v="563627041.19000006"/>
  </r>
  <r>
    <x v="0"/>
    <x v="73"/>
    <x v="0"/>
    <x v="1"/>
    <x v="0"/>
    <n v="7183188.5700000003"/>
  </r>
  <r>
    <x v="1"/>
    <x v="33"/>
    <x v="0"/>
    <x v="1"/>
    <x v="8"/>
    <n v="-5092807.42"/>
  </r>
  <r>
    <x v="1"/>
    <x v="41"/>
    <x v="0"/>
    <x v="9"/>
    <x v="14"/>
    <n v="598722.18999999994"/>
  </r>
  <r>
    <x v="0"/>
    <x v="4"/>
    <x v="0"/>
    <x v="0"/>
    <x v="1"/>
    <n v="22213590.010000002"/>
  </r>
  <r>
    <x v="0"/>
    <x v="2"/>
    <x v="0"/>
    <x v="1"/>
    <x v="21"/>
    <n v="2295818.21"/>
  </r>
  <r>
    <x v="0"/>
    <x v="86"/>
    <x v="0"/>
    <x v="1"/>
    <x v="4"/>
    <n v="3587134.79"/>
  </r>
  <r>
    <x v="0"/>
    <x v="3"/>
    <x v="0"/>
    <x v="1"/>
    <x v="8"/>
    <n v="2350650.7400000002"/>
  </r>
  <r>
    <x v="1"/>
    <x v="18"/>
    <x v="0"/>
    <x v="1"/>
    <x v="21"/>
    <n v="458316.31"/>
  </r>
  <r>
    <x v="0"/>
    <x v="58"/>
    <x v="0"/>
    <x v="1"/>
    <x v="6"/>
    <n v="11975286.460000001"/>
  </r>
  <r>
    <x v="0"/>
    <x v="74"/>
    <x v="0"/>
    <x v="1"/>
    <x v="19"/>
    <n v="1479370.55"/>
  </r>
  <r>
    <x v="0"/>
    <x v="7"/>
    <x v="0"/>
    <x v="1"/>
    <x v="10"/>
    <n v="3726943.64"/>
  </r>
  <r>
    <x v="0"/>
    <x v="89"/>
    <x v="0"/>
    <x v="1"/>
    <x v="5"/>
    <n v="294"/>
  </r>
  <r>
    <x v="0"/>
    <x v="76"/>
    <x v="0"/>
    <x v="1"/>
    <x v="16"/>
    <n v="37487494.780000001"/>
  </r>
  <r>
    <x v="1"/>
    <x v="51"/>
    <x v="0"/>
    <x v="1"/>
    <x v="9"/>
    <n v="1196582.6599999999"/>
  </r>
  <r>
    <x v="0"/>
    <x v="71"/>
    <x v="0"/>
    <x v="1"/>
    <x v="21"/>
    <n v="604360.38"/>
  </r>
  <r>
    <x v="0"/>
    <x v="31"/>
    <x v="0"/>
    <x v="1"/>
    <x v="15"/>
    <n v="20584991.600000001"/>
  </r>
  <r>
    <x v="0"/>
    <x v="90"/>
    <x v="0"/>
    <x v="1"/>
    <x v="17"/>
    <n v="119724.63"/>
  </r>
  <r>
    <x v="1"/>
    <x v="21"/>
    <x v="0"/>
    <x v="1"/>
    <x v="9"/>
    <n v="14716.01"/>
  </r>
  <r>
    <x v="1"/>
    <x v="31"/>
    <x v="0"/>
    <x v="1"/>
    <x v="21"/>
    <n v="1066885.8500000001"/>
  </r>
  <r>
    <x v="0"/>
    <x v="36"/>
    <x v="0"/>
    <x v="3"/>
    <x v="22"/>
    <n v="990909.12"/>
  </r>
  <r>
    <x v="1"/>
    <x v="24"/>
    <x v="0"/>
    <x v="1"/>
    <x v="10"/>
    <n v="14019211"/>
  </r>
  <r>
    <x v="0"/>
    <x v="15"/>
    <x v="0"/>
    <x v="1"/>
    <x v="15"/>
    <n v="10747197.220000001"/>
  </r>
  <r>
    <x v="1"/>
    <x v="41"/>
    <x v="0"/>
    <x v="1"/>
    <x v="21"/>
    <n v="4645968.57"/>
  </r>
  <r>
    <x v="1"/>
    <x v="20"/>
    <x v="0"/>
    <x v="1"/>
    <x v="5"/>
    <n v="315611209.87"/>
  </r>
  <r>
    <x v="1"/>
    <x v="5"/>
    <x v="0"/>
    <x v="1"/>
    <x v="19"/>
    <n v="3753.69"/>
  </r>
  <r>
    <x v="1"/>
    <x v="8"/>
    <x v="0"/>
    <x v="1"/>
    <x v="16"/>
    <n v="7029426.8399999999"/>
  </r>
  <r>
    <x v="0"/>
    <x v="14"/>
    <x v="0"/>
    <x v="1"/>
    <x v="12"/>
    <n v="964815.45"/>
  </r>
  <r>
    <x v="1"/>
    <x v="9"/>
    <x v="0"/>
    <x v="3"/>
    <x v="9"/>
    <n v="1335858.42"/>
  </r>
  <r>
    <x v="0"/>
    <x v="50"/>
    <x v="0"/>
    <x v="3"/>
    <x v="21"/>
    <n v="9538000"/>
  </r>
  <r>
    <x v="0"/>
    <x v="36"/>
    <x v="0"/>
    <x v="2"/>
    <x v="22"/>
    <n v="1257499.92"/>
  </r>
  <r>
    <x v="0"/>
    <x v="74"/>
    <x v="0"/>
    <x v="1"/>
    <x v="22"/>
    <n v="2023516.91"/>
  </r>
  <r>
    <x v="0"/>
    <x v="59"/>
    <x v="0"/>
    <x v="7"/>
    <x v="20"/>
    <n v="62398"/>
  </r>
  <r>
    <x v="1"/>
    <x v="46"/>
    <x v="0"/>
    <x v="1"/>
    <x v="9"/>
    <n v="46292.35"/>
  </r>
  <r>
    <x v="1"/>
    <x v="56"/>
    <x v="0"/>
    <x v="1"/>
    <x v="12"/>
    <n v="7552.36"/>
  </r>
  <r>
    <x v="0"/>
    <x v="10"/>
    <x v="0"/>
    <x v="1"/>
    <x v="9"/>
    <n v="1724901.01"/>
  </r>
  <r>
    <x v="0"/>
    <x v="27"/>
    <x v="0"/>
    <x v="1"/>
    <x v="11"/>
    <n v="54765569.229999997"/>
  </r>
  <r>
    <x v="1"/>
    <x v="64"/>
    <x v="0"/>
    <x v="6"/>
    <x v="11"/>
    <n v="14506.98"/>
  </r>
  <r>
    <x v="1"/>
    <x v="34"/>
    <x v="0"/>
    <x v="0"/>
    <x v="11"/>
    <n v="83589.78"/>
  </r>
  <r>
    <x v="1"/>
    <x v="59"/>
    <x v="0"/>
    <x v="1"/>
    <x v="2"/>
    <n v="4153969.38"/>
  </r>
  <r>
    <x v="0"/>
    <x v="10"/>
    <x v="0"/>
    <x v="1"/>
    <x v="1"/>
    <n v="1557458.21"/>
  </r>
  <r>
    <x v="1"/>
    <x v="0"/>
    <x v="0"/>
    <x v="1"/>
    <x v="15"/>
    <n v="7252540.2999999998"/>
  </r>
  <r>
    <x v="0"/>
    <x v="23"/>
    <x v="0"/>
    <x v="1"/>
    <x v="16"/>
    <n v="15902912.41"/>
  </r>
  <r>
    <x v="1"/>
    <x v="57"/>
    <x v="0"/>
    <x v="1"/>
    <x v="9"/>
    <n v="1919166.74"/>
  </r>
  <r>
    <x v="0"/>
    <x v="17"/>
    <x v="0"/>
    <x v="6"/>
    <x v="25"/>
    <n v="70000"/>
  </r>
  <r>
    <x v="0"/>
    <x v="66"/>
    <x v="0"/>
    <x v="6"/>
    <x v="13"/>
    <n v="31000"/>
  </r>
  <r>
    <x v="0"/>
    <x v="34"/>
    <x v="0"/>
    <x v="6"/>
    <x v="2"/>
    <n v="19880000"/>
  </r>
  <r>
    <x v="0"/>
    <x v="43"/>
    <x v="0"/>
    <x v="1"/>
    <x v="21"/>
    <n v="2389288.25"/>
  </r>
  <r>
    <x v="0"/>
    <x v="45"/>
    <x v="0"/>
    <x v="1"/>
    <x v="12"/>
    <n v="99090015.799999997"/>
  </r>
  <r>
    <x v="1"/>
    <x v="66"/>
    <x v="0"/>
    <x v="1"/>
    <x v="3"/>
    <n v="3244632.13"/>
  </r>
  <r>
    <x v="1"/>
    <x v="34"/>
    <x v="0"/>
    <x v="6"/>
    <x v="11"/>
    <n v="2017043.38"/>
  </r>
  <r>
    <x v="1"/>
    <x v="50"/>
    <x v="0"/>
    <x v="1"/>
    <x v="12"/>
    <n v="-367175.3"/>
  </r>
  <r>
    <x v="0"/>
    <x v="46"/>
    <x v="0"/>
    <x v="1"/>
    <x v="11"/>
    <n v="28000"/>
  </r>
  <r>
    <x v="0"/>
    <x v="11"/>
    <x v="0"/>
    <x v="3"/>
    <x v="23"/>
    <n v="16997000"/>
  </r>
  <r>
    <x v="1"/>
    <x v="5"/>
    <x v="0"/>
    <x v="1"/>
    <x v="1"/>
    <n v="-706.55"/>
  </r>
  <r>
    <x v="0"/>
    <x v="42"/>
    <x v="0"/>
    <x v="1"/>
    <x v="12"/>
    <n v="6273983.5999999996"/>
  </r>
  <r>
    <x v="1"/>
    <x v="57"/>
    <x v="0"/>
    <x v="1"/>
    <x v="17"/>
    <n v="271397.37"/>
  </r>
  <r>
    <x v="1"/>
    <x v="4"/>
    <x v="0"/>
    <x v="1"/>
    <x v="12"/>
    <n v="740732.43"/>
  </r>
  <r>
    <x v="0"/>
    <x v="26"/>
    <x v="0"/>
    <x v="1"/>
    <x v="20"/>
    <n v="839227.97"/>
  </r>
  <r>
    <x v="0"/>
    <x v="89"/>
    <x v="0"/>
    <x v="1"/>
    <x v="19"/>
    <n v="1144235.8"/>
  </r>
  <r>
    <x v="0"/>
    <x v="86"/>
    <x v="0"/>
    <x v="6"/>
    <x v="0"/>
    <n v="68000"/>
  </r>
  <r>
    <x v="1"/>
    <x v="22"/>
    <x v="0"/>
    <x v="10"/>
    <x v="5"/>
    <n v="607601.24"/>
  </r>
  <r>
    <x v="0"/>
    <x v="49"/>
    <x v="0"/>
    <x v="1"/>
    <x v="13"/>
    <n v="3178108.31"/>
  </r>
  <r>
    <x v="0"/>
    <x v="27"/>
    <x v="0"/>
    <x v="3"/>
    <x v="7"/>
    <n v="8414000"/>
  </r>
  <r>
    <x v="1"/>
    <x v="59"/>
    <x v="0"/>
    <x v="1"/>
    <x v="10"/>
    <n v="3594054.22"/>
  </r>
  <r>
    <x v="0"/>
    <x v="33"/>
    <x v="0"/>
    <x v="1"/>
    <x v="23"/>
    <n v="3629950582.5999999"/>
  </r>
  <r>
    <x v="0"/>
    <x v="40"/>
    <x v="0"/>
    <x v="1"/>
    <x v="20"/>
    <n v="527690646.50999999"/>
  </r>
  <r>
    <x v="0"/>
    <x v="22"/>
    <x v="0"/>
    <x v="8"/>
    <x v="13"/>
    <n v="3831781.39"/>
  </r>
  <r>
    <x v="0"/>
    <x v="60"/>
    <x v="0"/>
    <x v="1"/>
    <x v="0"/>
    <n v="241907"/>
  </r>
  <r>
    <x v="0"/>
    <x v="23"/>
    <x v="0"/>
    <x v="6"/>
    <x v="11"/>
    <n v="230000"/>
  </r>
  <r>
    <x v="0"/>
    <x v="74"/>
    <x v="0"/>
    <x v="6"/>
    <x v="13"/>
    <n v="10000"/>
  </r>
  <r>
    <x v="0"/>
    <x v="6"/>
    <x v="0"/>
    <x v="1"/>
    <x v="19"/>
    <n v="312315159.32999998"/>
  </r>
  <r>
    <x v="0"/>
    <x v="53"/>
    <x v="0"/>
    <x v="1"/>
    <x v="12"/>
    <n v="4981698.29"/>
  </r>
  <r>
    <x v="1"/>
    <x v="33"/>
    <x v="0"/>
    <x v="5"/>
    <x v="17"/>
    <n v="605209.57999999996"/>
  </r>
  <r>
    <x v="0"/>
    <x v="11"/>
    <x v="0"/>
    <x v="1"/>
    <x v="25"/>
    <n v="221483278.44999999"/>
  </r>
  <r>
    <x v="1"/>
    <x v="62"/>
    <x v="0"/>
    <x v="1"/>
    <x v="12"/>
    <n v="2357768.4"/>
  </r>
  <r>
    <x v="0"/>
    <x v="9"/>
    <x v="0"/>
    <x v="3"/>
    <x v="21"/>
    <n v="35729845.670000002"/>
  </r>
  <r>
    <x v="0"/>
    <x v="74"/>
    <x v="0"/>
    <x v="6"/>
    <x v="0"/>
    <n v="90278.13"/>
  </r>
  <r>
    <x v="1"/>
    <x v="62"/>
    <x v="0"/>
    <x v="1"/>
    <x v="2"/>
    <n v="2559339"/>
  </r>
  <r>
    <x v="1"/>
    <x v="79"/>
    <x v="0"/>
    <x v="1"/>
    <x v="21"/>
    <n v="8319897.7999999998"/>
  </r>
  <r>
    <x v="1"/>
    <x v="65"/>
    <x v="0"/>
    <x v="1"/>
    <x v="16"/>
    <n v="1519985.33"/>
  </r>
  <r>
    <x v="1"/>
    <x v="9"/>
    <x v="0"/>
    <x v="3"/>
    <x v="8"/>
    <n v="9755732.6899999995"/>
  </r>
  <r>
    <x v="1"/>
    <x v="1"/>
    <x v="0"/>
    <x v="1"/>
    <x v="8"/>
    <n v="314006.82"/>
  </r>
  <r>
    <x v="1"/>
    <x v="89"/>
    <x v="0"/>
    <x v="1"/>
    <x v="24"/>
    <n v="50528.75"/>
  </r>
  <r>
    <x v="0"/>
    <x v="34"/>
    <x v="0"/>
    <x v="1"/>
    <x v="11"/>
    <n v="843644705.90999997"/>
  </r>
  <r>
    <x v="0"/>
    <x v="56"/>
    <x v="0"/>
    <x v="1"/>
    <x v="3"/>
    <n v="205015.53"/>
  </r>
  <r>
    <x v="0"/>
    <x v="85"/>
    <x v="0"/>
    <x v="1"/>
    <x v="21"/>
    <n v="2187433.7400000002"/>
  </r>
  <r>
    <x v="0"/>
    <x v="79"/>
    <x v="0"/>
    <x v="1"/>
    <x v="3"/>
    <n v="19620279.609999999"/>
  </r>
  <r>
    <x v="1"/>
    <x v="49"/>
    <x v="0"/>
    <x v="1"/>
    <x v="0"/>
    <n v="83704.06"/>
  </r>
  <r>
    <x v="1"/>
    <x v="40"/>
    <x v="0"/>
    <x v="8"/>
    <x v="19"/>
    <n v="1333518.3799999999"/>
  </r>
  <r>
    <x v="1"/>
    <x v="87"/>
    <x v="0"/>
    <x v="6"/>
    <x v="13"/>
    <n v="8000"/>
  </r>
  <r>
    <x v="1"/>
    <x v="88"/>
    <x v="0"/>
    <x v="1"/>
    <x v="7"/>
    <n v="39549.480000000003"/>
  </r>
  <r>
    <x v="0"/>
    <x v="16"/>
    <x v="0"/>
    <x v="1"/>
    <x v="23"/>
    <n v="9840660.75"/>
  </r>
  <r>
    <x v="1"/>
    <x v="44"/>
    <x v="0"/>
    <x v="1"/>
    <x v="7"/>
    <n v="422576.96"/>
  </r>
  <r>
    <x v="0"/>
    <x v="67"/>
    <x v="0"/>
    <x v="1"/>
    <x v="8"/>
    <n v="1556632.89"/>
  </r>
  <r>
    <x v="0"/>
    <x v="44"/>
    <x v="0"/>
    <x v="1"/>
    <x v="12"/>
    <n v="14684309.609999999"/>
  </r>
  <r>
    <x v="1"/>
    <x v="14"/>
    <x v="0"/>
    <x v="1"/>
    <x v="11"/>
    <n v="441215.3"/>
  </r>
  <r>
    <x v="0"/>
    <x v="36"/>
    <x v="0"/>
    <x v="1"/>
    <x v="24"/>
    <n v="25567694"/>
  </r>
  <r>
    <x v="0"/>
    <x v="28"/>
    <x v="0"/>
    <x v="1"/>
    <x v="15"/>
    <n v="253258073.06999999"/>
  </r>
  <r>
    <x v="0"/>
    <x v="74"/>
    <x v="0"/>
    <x v="1"/>
    <x v="11"/>
    <n v="4840737.4000000004"/>
  </r>
  <r>
    <x v="0"/>
    <x v="31"/>
    <x v="0"/>
    <x v="1"/>
    <x v="9"/>
    <n v="29885064.350000001"/>
  </r>
  <r>
    <x v="0"/>
    <x v="67"/>
    <x v="0"/>
    <x v="2"/>
    <x v="22"/>
    <n v="504194.03"/>
  </r>
  <r>
    <x v="0"/>
    <x v="22"/>
    <x v="0"/>
    <x v="1"/>
    <x v="22"/>
    <n v="96362856.900000006"/>
  </r>
  <r>
    <x v="1"/>
    <x v="89"/>
    <x v="0"/>
    <x v="1"/>
    <x v="13"/>
    <n v="163107.1"/>
  </r>
  <r>
    <x v="0"/>
    <x v="6"/>
    <x v="0"/>
    <x v="3"/>
    <x v="17"/>
    <n v="3057000"/>
  </r>
  <r>
    <x v="1"/>
    <x v="79"/>
    <x v="0"/>
    <x v="9"/>
    <x v="6"/>
    <n v="319969.63"/>
  </r>
  <r>
    <x v="0"/>
    <x v="46"/>
    <x v="0"/>
    <x v="1"/>
    <x v="20"/>
    <n v="822622.31"/>
  </r>
  <r>
    <x v="1"/>
    <x v="59"/>
    <x v="0"/>
    <x v="10"/>
    <x v="17"/>
    <n v="1959.66"/>
  </r>
  <r>
    <x v="1"/>
    <x v="57"/>
    <x v="0"/>
    <x v="9"/>
    <x v="20"/>
    <n v="-633.34"/>
  </r>
  <r>
    <x v="0"/>
    <x v="85"/>
    <x v="0"/>
    <x v="1"/>
    <x v="8"/>
    <n v="1682000.05"/>
  </r>
  <r>
    <x v="1"/>
    <x v="66"/>
    <x v="0"/>
    <x v="10"/>
    <x v="20"/>
    <n v="2457301.38"/>
  </r>
  <r>
    <x v="1"/>
    <x v="97"/>
    <x v="0"/>
    <x v="1"/>
    <x v="9"/>
    <n v="145550.10999999999"/>
  </r>
  <r>
    <x v="0"/>
    <x v="36"/>
    <x v="0"/>
    <x v="1"/>
    <x v="22"/>
    <n v="16159763.18"/>
  </r>
  <r>
    <x v="0"/>
    <x v="7"/>
    <x v="0"/>
    <x v="1"/>
    <x v="12"/>
    <n v="4114400.07"/>
  </r>
  <r>
    <x v="1"/>
    <x v="11"/>
    <x v="0"/>
    <x v="1"/>
    <x v="2"/>
    <n v="-13853020.52"/>
  </r>
  <r>
    <x v="1"/>
    <x v="102"/>
    <x v="0"/>
    <x v="1"/>
    <x v="19"/>
    <n v="164576.38"/>
  </r>
  <r>
    <x v="0"/>
    <x v="58"/>
    <x v="0"/>
    <x v="1"/>
    <x v="14"/>
    <n v="12833690.84"/>
  </r>
  <r>
    <x v="0"/>
    <x v="34"/>
    <x v="0"/>
    <x v="1"/>
    <x v="22"/>
    <n v="641849184.91999996"/>
  </r>
  <r>
    <x v="0"/>
    <x v="51"/>
    <x v="0"/>
    <x v="1"/>
    <x v="10"/>
    <n v="5044308.72"/>
  </r>
  <r>
    <x v="0"/>
    <x v="25"/>
    <x v="0"/>
    <x v="1"/>
    <x v="25"/>
    <n v="1400879.97"/>
  </r>
  <r>
    <x v="1"/>
    <x v="69"/>
    <x v="0"/>
    <x v="1"/>
    <x v="21"/>
    <n v="31306.34"/>
  </r>
  <r>
    <x v="1"/>
    <x v="42"/>
    <x v="0"/>
    <x v="1"/>
    <x v="4"/>
    <n v="2900699.92"/>
  </r>
  <r>
    <x v="0"/>
    <x v="35"/>
    <x v="0"/>
    <x v="6"/>
    <x v="11"/>
    <n v="6255000"/>
  </r>
  <r>
    <x v="1"/>
    <x v="15"/>
    <x v="0"/>
    <x v="8"/>
    <x v="17"/>
    <n v="433144.07"/>
  </r>
  <r>
    <x v="1"/>
    <x v="73"/>
    <x v="0"/>
    <x v="1"/>
    <x v="10"/>
    <n v="239284.78"/>
  </r>
  <r>
    <x v="0"/>
    <x v="17"/>
    <x v="0"/>
    <x v="6"/>
    <x v="13"/>
    <n v="25000"/>
  </r>
  <r>
    <x v="0"/>
    <x v="47"/>
    <x v="0"/>
    <x v="1"/>
    <x v="12"/>
    <n v="81981696.689999998"/>
  </r>
  <r>
    <x v="0"/>
    <x v="79"/>
    <x v="0"/>
    <x v="1"/>
    <x v="13"/>
    <n v="38657412.939999998"/>
  </r>
  <r>
    <x v="0"/>
    <x v="78"/>
    <x v="0"/>
    <x v="6"/>
    <x v="13"/>
    <n v="16000"/>
  </r>
  <r>
    <x v="0"/>
    <x v="53"/>
    <x v="0"/>
    <x v="6"/>
    <x v="0"/>
    <n v="338000"/>
  </r>
  <r>
    <x v="1"/>
    <x v="26"/>
    <x v="0"/>
    <x v="1"/>
    <x v="17"/>
    <n v="84557.36"/>
  </r>
  <r>
    <x v="0"/>
    <x v="45"/>
    <x v="0"/>
    <x v="1"/>
    <x v="1"/>
    <n v="117185455.27"/>
  </r>
  <r>
    <x v="0"/>
    <x v="19"/>
    <x v="0"/>
    <x v="1"/>
    <x v="19"/>
    <n v="415129.16"/>
  </r>
  <r>
    <x v="0"/>
    <x v="20"/>
    <x v="0"/>
    <x v="1"/>
    <x v="18"/>
    <n v="2485464225.1199999"/>
  </r>
  <r>
    <x v="1"/>
    <x v="62"/>
    <x v="0"/>
    <x v="1"/>
    <x v="17"/>
    <n v="396575.05"/>
  </r>
  <r>
    <x v="1"/>
    <x v="79"/>
    <x v="0"/>
    <x v="1"/>
    <x v="3"/>
    <n v="6160926.9699999997"/>
  </r>
  <r>
    <x v="0"/>
    <x v="55"/>
    <x v="0"/>
    <x v="1"/>
    <x v="24"/>
    <n v="319640.53000000003"/>
  </r>
  <r>
    <x v="0"/>
    <x v="53"/>
    <x v="0"/>
    <x v="1"/>
    <x v="20"/>
    <n v="3733080.75"/>
  </r>
  <r>
    <x v="0"/>
    <x v="80"/>
    <x v="0"/>
    <x v="1"/>
    <x v="24"/>
    <n v="25737754.5"/>
  </r>
  <r>
    <x v="0"/>
    <x v="73"/>
    <x v="0"/>
    <x v="1"/>
    <x v="21"/>
    <n v="6812248.6399999997"/>
  </r>
  <r>
    <x v="0"/>
    <x v="71"/>
    <x v="0"/>
    <x v="6"/>
    <x v="1"/>
    <n v="51000"/>
  </r>
  <r>
    <x v="0"/>
    <x v="68"/>
    <x v="0"/>
    <x v="3"/>
    <x v="17"/>
    <n v="29263000"/>
  </r>
  <r>
    <x v="0"/>
    <x v="65"/>
    <x v="0"/>
    <x v="10"/>
    <x v="14"/>
    <n v="833589.69"/>
  </r>
  <r>
    <x v="1"/>
    <x v="9"/>
    <x v="0"/>
    <x v="1"/>
    <x v="7"/>
    <n v="20552245.02"/>
  </r>
  <r>
    <x v="1"/>
    <x v="70"/>
    <x v="0"/>
    <x v="1"/>
    <x v="21"/>
    <n v="9854.77"/>
  </r>
  <r>
    <x v="1"/>
    <x v="80"/>
    <x v="0"/>
    <x v="1"/>
    <x v="13"/>
    <n v="1303853.23"/>
  </r>
  <r>
    <x v="1"/>
    <x v="9"/>
    <x v="0"/>
    <x v="3"/>
    <x v="11"/>
    <n v="7706785.7199999997"/>
  </r>
  <r>
    <x v="0"/>
    <x v="79"/>
    <x v="0"/>
    <x v="6"/>
    <x v="13"/>
    <n v="185356"/>
  </r>
  <r>
    <x v="1"/>
    <x v="21"/>
    <x v="0"/>
    <x v="1"/>
    <x v="7"/>
    <n v="-35572.85"/>
  </r>
  <r>
    <x v="1"/>
    <x v="0"/>
    <x v="0"/>
    <x v="3"/>
    <x v="0"/>
    <n v="-1739142.33"/>
  </r>
  <r>
    <x v="0"/>
    <x v="9"/>
    <x v="0"/>
    <x v="3"/>
    <x v="4"/>
    <n v="80080370.609999999"/>
  </r>
  <r>
    <x v="1"/>
    <x v="90"/>
    <x v="0"/>
    <x v="1"/>
    <x v="6"/>
    <n v="22827.46"/>
  </r>
  <r>
    <x v="0"/>
    <x v="45"/>
    <x v="0"/>
    <x v="1"/>
    <x v="22"/>
    <n v="77525220.459999993"/>
  </r>
  <r>
    <x v="0"/>
    <x v="72"/>
    <x v="0"/>
    <x v="1"/>
    <x v="19"/>
    <n v="2041837.1"/>
  </r>
  <r>
    <x v="1"/>
    <x v="32"/>
    <x v="0"/>
    <x v="1"/>
    <x v="8"/>
    <n v="916482.59"/>
  </r>
  <r>
    <x v="0"/>
    <x v="85"/>
    <x v="0"/>
    <x v="1"/>
    <x v="13"/>
    <n v="2786295.12"/>
  </r>
  <r>
    <x v="1"/>
    <x v="42"/>
    <x v="0"/>
    <x v="1"/>
    <x v="15"/>
    <n v="1440264.76"/>
  </r>
  <r>
    <x v="0"/>
    <x v="23"/>
    <x v="0"/>
    <x v="1"/>
    <x v="4"/>
    <n v="39588623.259999998"/>
  </r>
  <r>
    <x v="0"/>
    <x v="64"/>
    <x v="0"/>
    <x v="1"/>
    <x v="6"/>
    <n v="164139.5"/>
  </r>
  <r>
    <x v="1"/>
    <x v="1"/>
    <x v="0"/>
    <x v="1"/>
    <x v="15"/>
    <n v="597849.51"/>
  </r>
  <r>
    <x v="1"/>
    <x v="88"/>
    <x v="0"/>
    <x v="1"/>
    <x v="2"/>
    <n v="154034.23000000001"/>
  </r>
  <r>
    <x v="1"/>
    <x v="8"/>
    <x v="0"/>
    <x v="10"/>
    <x v="10"/>
    <n v="-264298.69"/>
  </r>
  <r>
    <x v="0"/>
    <x v="57"/>
    <x v="0"/>
    <x v="1"/>
    <x v="3"/>
    <n v="787415.56"/>
  </r>
  <r>
    <x v="0"/>
    <x v="7"/>
    <x v="0"/>
    <x v="1"/>
    <x v="23"/>
    <n v="5085657.99"/>
  </r>
  <r>
    <x v="0"/>
    <x v="6"/>
    <x v="0"/>
    <x v="1"/>
    <x v="25"/>
    <n v="373477691.66000003"/>
  </r>
  <r>
    <x v="0"/>
    <x v="50"/>
    <x v="0"/>
    <x v="1"/>
    <x v="12"/>
    <n v="32704175.300000001"/>
  </r>
  <r>
    <x v="0"/>
    <x v="48"/>
    <x v="0"/>
    <x v="1"/>
    <x v="6"/>
    <n v="81933"/>
  </r>
  <r>
    <x v="0"/>
    <x v="59"/>
    <x v="0"/>
    <x v="10"/>
    <x v="25"/>
    <n v="330271.62"/>
  </r>
  <r>
    <x v="0"/>
    <x v="101"/>
    <x v="0"/>
    <x v="1"/>
    <x v="22"/>
    <n v="74150"/>
  </r>
  <r>
    <x v="1"/>
    <x v="54"/>
    <x v="0"/>
    <x v="1"/>
    <x v="19"/>
    <n v="46289.41"/>
  </r>
  <r>
    <x v="1"/>
    <x v="65"/>
    <x v="0"/>
    <x v="1"/>
    <x v="14"/>
    <n v="285018.15000000002"/>
  </r>
  <r>
    <x v="1"/>
    <x v="28"/>
    <x v="0"/>
    <x v="0"/>
    <x v="4"/>
    <n v="122650.64"/>
  </r>
  <r>
    <x v="0"/>
    <x v="25"/>
    <x v="0"/>
    <x v="6"/>
    <x v="2"/>
    <n v="85000"/>
  </r>
  <r>
    <x v="1"/>
    <x v="64"/>
    <x v="0"/>
    <x v="1"/>
    <x v="10"/>
    <n v="4738.62"/>
  </r>
  <r>
    <x v="1"/>
    <x v="50"/>
    <x v="0"/>
    <x v="3"/>
    <x v="25"/>
    <n v="0"/>
  </r>
  <r>
    <x v="0"/>
    <x v="54"/>
    <x v="0"/>
    <x v="1"/>
    <x v="23"/>
    <n v="1346507.73"/>
  </r>
  <r>
    <x v="0"/>
    <x v="24"/>
    <x v="0"/>
    <x v="1"/>
    <x v="4"/>
    <n v="173290000"/>
  </r>
  <r>
    <x v="0"/>
    <x v="40"/>
    <x v="0"/>
    <x v="1"/>
    <x v="11"/>
    <n v="1046228276.15"/>
  </r>
  <r>
    <x v="0"/>
    <x v="15"/>
    <x v="0"/>
    <x v="1"/>
    <x v="16"/>
    <n v="10848214.77"/>
  </r>
  <r>
    <x v="1"/>
    <x v="52"/>
    <x v="0"/>
    <x v="1"/>
    <x v="8"/>
    <n v="0"/>
  </r>
  <r>
    <x v="1"/>
    <x v="20"/>
    <x v="0"/>
    <x v="10"/>
    <x v="25"/>
    <n v="432141.97"/>
  </r>
  <r>
    <x v="0"/>
    <x v="27"/>
    <x v="0"/>
    <x v="1"/>
    <x v="22"/>
    <n v="28930340"/>
  </r>
  <r>
    <x v="0"/>
    <x v="91"/>
    <x v="0"/>
    <x v="1"/>
    <x v="11"/>
    <n v="188000"/>
  </r>
  <r>
    <x v="1"/>
    <x v="47"/>
    <x v="0"/>
    <x v="1"/>
    <x v="19"/>
    <n v="8540827.5600000005"/>
  </r>
  <r>
    <x v="1"/>
    <x v="73"/>
    <x v="0"/>
    <x v="1"/>
    <x v="20"/>
    <n v="312429.65000000002"/>
  </r>
  <r>
    <x v="0"/>
    <x v="43"/>
    <x v="0"/>
    <x v="6"/>
    <x v="0"/>
    <n v="86500"/>
  </r>
  <r>
    <x v="1"/>
    <x v="53"/>
    <x v="0"/>
    <x v="1"/>
    <x v="4"/>
    <n v="-115474.08"/>
  </r>
  <r>
    <x v="1"/>
    <x v="93"/>
    <x v="0"/>
    <x v="1"/>
    <x v="3"/>
    <n v="786529.77"/>
  </r>
  <r>
    <x v="0"/>
    <x v="5"/>
    <x v="0"/>
    <x v="3"/>
    <x v="8"/>
    <n v="5849957.1200000001"/>
  </r>
  <r>
    <x v="1"/>
    <x v="28"/>
    <x v="0"/>
    <x v="2"/>
    <x v="2"/>
    <n v="1982012.72"/>
  </r>
  <r>
    <x v="1"/>
    <x v="47"/>
    <x v="0"/>
    <x v="1"/>
    <x v="8"/>
    <n v="12237707.359999999"/>
  </r>
  <r>
    <x v="0"/>
    <x v="79"/>
    <x v="0"/>
    <x v="1"/>
    <x v="8"/>
    <n v="31195174.609999999"/>
  </r>
  <r>
    <x v="1"/>
    <x v="45"/>
    <x v="0"/>
    <x v="1"/>
    <x v="3"/>
    <n v="5916317.0999999996"/>
  </r>
  <r>
    <x v="1"/>
    <x v="20"/>
    <x v="0"/>
    <x v="5"/>
    <x v="19"/>
    <n v="20592736.68"/>
  </r>
  <r>
    <x v="1"/>
    <x v="51"/>
    <x v="0"/>
    <x v="1"/>
    <x v="4"/>
    <n v="915049.55"/>
  </r>
  <r>
    <x v="1"/>
    <x v="103"/>
    <x v="0"/>
    <x v="1"/>
    <x v="23"/>
    <n v="160490.26999999999"/>
  </r>
  <r>
    <x v="0"/>
    <x v="16"/>
    <x v="0"/>
    <x v="1"/>
    <x v="0"/>
    <n v="7326705.8499999996"/>
  </r>
  <r>
    <x v="0"/>
    <x v="71"/>
    <x v="0"/>
    <x v="1"/>
    <x v="14"/>
    <n v="504033.31"/>
  </r>
  <r>
    <x v="0"/>
    <x v="55"/>
    <x v="0"/>
    <x v="1"/>
    <x v="4"/>
    <n v="1045608.53"/>
  </r>
  <r>
    <x v="0"/>
    <x v="62"/>
    <x v="0"/>
    <x v="1"/>
    <x v="15"/>
    <n v="32240647.670000002"/>
  </r>
  <r>
    <x v="1"/>
    <x v="67"/>
    <x v="0"/>
    <x v="1"/>
    <x v="9"/>
    <n v="78003.990000000005"/>
  </r>
  <r>
    <x v="0"/>
    <x v="93"/>
    <x v="0"/>
    <x v="1"/>
    <x v="10"/>
    <n v="12422218.699999999"/>
  </r>
  <r>
    <x v="0"/>
    <x v="37"/>
    <x v="0"/>
    <x v="6"/>
    <x v="13"/>
    <n v="39000"/>
  </r>
  <r>
    <x v="0"/>
    <x v="14"/>
    <x v="0"/>
    <x v="1"/>
    <x v="5"/>
    <n v="1066047.1200000001"/>
  </r>
  <r>
    <x v="1"/>
    <x v="53"/>
    <x v="0"/>
    <x v="9"/>
    <x v="13"/>
    <n v="-190870.7"/>
  </r>
  <r>
    <x v="0"/>
    <x v="50"/>
    <x v="0"/>
    <x v="1"/>
    <x v="16"/>
    <n v="36958000"/>
  </r>
  <r>
    <x v="0"/>
    <x v="33"/>
    <x v="0"/>
    <x v="1"/>
    <x v="18"/>
    <n v="2139972521.48"/>
  </r>
  <r>
    <x v="0"/>
    <x v="6"/>
    <x v="0"/>
    <x v="6"/>
    <x v="0"/>
    <n v="24949938.620000001"/>
  </r>
  <r>
    <x v="0"/>
    <x v="46"/>
    <x v="0"/>
    <x v="6"/>
    <x v="13"/>
    <n v="4000"/>
  </r>
  <r>
    <x v="1"/>
    <x v="22"/>
    <x v="0"/>
    <x v="1"/>
    <x v="4"/>
    <n v="138294981.75"/>
  </r>
  <r>
    <x v="0"/>
    <x v="12"/>
    <x v="0"/>
    <x v="1"/>
    <x v="23"/>
    <n v="286876774.5"/>
  </r>
  <r>
    <x v="0"/>
    <x v="10"/>
    <x v="0"/>
    <x v="1"/>
    <x v="15"/>
    <n v="1399508.79"/>
  </r>
  <r>
    <x v="1"/>
    <x v="82"/>
    <x v="0"/>
    <x v="1"/>
    <x v="15"/>
    <n v="102539.53"/>
  </r>
  <r>
    <x v="0"/>
    <x v="23"/>
    <x v="0"/>
    <x v="10"/>
    <x v="24"/>
    <n v="8818428.6300000008"/>
  </r>
  <r>
    <x v="0"/>
    <x v="18"/>
    <x v="0"/>
    <x v="1"/>
    <x v="7"/>
    <n v="10070946.390000001"/>
  </r>
  <r>
    <x v="0"/>
    <x v="24"/>
    <x v="0"/>
    <x v="10"/>
    <x v="24"/>
    <n v="550000"/>
  </r>
  <r>
    <x v="1"/>
    <x v="8"/>
    <x v="0"/>
    <x v="1"/>
    <x v="3"/>
    <n v="5188557.37"/>
  </r>
  <r>
    <x v="0"/>
    <x v="88"/>
    <x v="0"/>
    <x v="6"/>
    <x v="1"/>
    <n v="27000"/>
  </r>
  <r>
    <x v="0"/>
    <x v="96"/>
    <x v="0"/>
    <x v="0"/>
    <x v="7"/>
    <n v="526845.94999999995"/>
  </r>
  <r>
    <x v="1"/>
    <x v="3"/>
    <x v="0"/>
    <x v="1"/>
    <x v="12"/>
    <n v="210346.81"/>
  </r>
  <r>
    <x v="0"/>
    <x v="75"/>
    <x v="0"/>
    <x v="1"/>
    <x v="0"/>
    <n v="240387.43"/>
  </r>
  <r>
    <x v="1"/>
    <x v="84"/>
    <x v="0"/>
    <x v="1"/>
    <x v="5"/>
    <n v="-121935.65"/>
  </r>
  <r>
    <x v="0"/>
    <x v="60"/>
    <x v="0"/>
    <x v="1"/>
    <x v="13"/>
    <n v="300173.56"/>
  </r>
  <r>
    <x v="0"/>
    <x v="1"/>
    <x v="0"/>
    <x v="1"/>
    <x v="20"/>
    <n v="4508060.33"/>
  </r>
  <r>
    <x v="0"/>
    <x v="78"/>
    <x v="0"/>
    <x v="1"/>
    <x v="12"/>
    <n v="2071863.87"/>
  </r>
  <r>
    <x v="1"/>
    <x v="50"/>
    <x v="0"/>
    <x v="1"/>
    <x v="8"/>
    <n v="1821367.43"/>
  </r>
  <r>
    <x v="0"/>
    <x v="42"/>
    <x v="0"/>
    <x v="1"/>
    <x v="22"/>
    <n v="13359244.49"/>
  </r>
  <r>
    <x v="1"/>
    <x v="40"/>
    <x v="0"/>
    <x v="10"/>
    <x v="14"/>
    <n v="264363.40000000002"/>
  </r>
  <r>
    <x v="1"/>
    <x v="77"/>
    <x v="0"/>
    <x v="1"/>
    <x v="17"/>
    <n v="68744.14"/>
  </r>
  <r>
    <x v="1"/>
    <x v="20"/>
    <x v="0"/>
    <x v="8"/>
    <x v="5"/>
    <n v="20171161.129999999"/>
  </r>
  <r>
    <x v="0"/>
    <x v="8"/>
    <x v="0"/>
    <x v="1"/>
    <x v="6"/>
    <n v="16304099.18"/>
  </r>
  <r>
    <x v="1"/>
    <x v="66"/>
    <x v="0"/>
    <x v="1"/>
    <x v="9"/>
    <n v="4358671.3600000003"/>
  </r>
  <r>
    <x v="0"/>
    <x v="40"/>
    <x v="0"/>
    <x v="8"/>
    <x v="19"/>
    <n v="1376288.41"/>
  </r>
  <r>
    <x v="0"/>
    <x v="42"/>
    <x v="0"/>
    <x v="1"/>
    <x v="10"/>
    <n v="10984492.51"/>
  </r>
  <r>
    <x v="0"/>
    <x v="27"/>
    <x v="0"/>
    <x v="3"/>
    <x v="3"/>
    <n v="7790000"/>
  </r>
  <r>
    <x v="1"/>
    <x v="49"/>
    <x v="0"/>
    <x v="1"/>
    <x v="6"/>
    <n v="47610.29"/>
  </r>
  <r>
    <x v="0"/>
    <x v="44"/>
    <x v="0"/>
    <x v="1"/>
    <x v="20"/>
    <n v="8545013.5600000005"/>
  </r>
  <r>
    <x v="1"/>
    <x v="43"/>
    <x v="0"/>
    <x v="1"/>
    <x v="15"/>
    <n v="171887.58"/>
  </r>
  <r>
    <x v="1"/>
    <x v="51"/>
    <x v="0"/>
    <x v="1"/>
    <x v="15"/>
    <n v="5645.79"/>
  </r>
  <r>
    <x v="0"/>
    <x v="76"/>
    <x v="0"/>
    <x v="6"/>
    <x v="1"/>
    <n v="1645000"/>
  </r>
  <r>
    <x v="1"/>
    <x v="15"/>
    <x v="0"/>
    <x v="1"/>
    <x v="15"/>
    <n v="1336796.82"/>
  </r>
  <r>
    <x v="0"/>
    <x v="35"/>
    <x v="0"/>
    <x v="1"/>
    <x v="22"/>
    <n v="46451844"/>
  </r>
  <r>
    <x v="1"/>
    <x v="44"/>
    <x v="0"/>
    <x v="1"/>
    <x v="25"/>
    <n v="4065987.01"/>
  </r>
  <r>
    <x v="0"/>
    <x v="85"/>
    <x v="0"/>
    <x v="1"/>
    <x v="22"/>
    <n v="1722665.61"/>
  </r>
  <r>
    <x v="1"/>
    <x v="28"/>
    <x v="0"/>
    <x v="3"/>
    <x v="9"/>
    <n v="0"/>
  </r>
  <r>
    <x v="1"/>
    <x v="20"/>
    <x v="0"/>
    <x v="8"/>
    <x v="19"/>
    <n v="24296724.23"/>
  </r>
  <r>
    <x v="0"/>
    <x v="13"/>
    <x v="0"/>
    <x v="1"/>
    <x v="16"/>
    <n v="3349192.58"/>
  </r>
  <r>
    <x v="0"/>
    <x v="33"/>
    <x v="0"/>
    <x v="5"/>
    <x v="13"/>
    <n v="240247543.96000001"/>
  </r>
  <r>
    <x v="0"/>
    <x v="22"/>
    <x v="0"/>
    <x v="1"/>
    <x v="5"/>
    <n v="60690421.039999999"/>
  </r>
  <r>
    <x v="0"/>
    <x v="34"/>
    <x v="0"/>
    <x v="3"/>
    <x v="4"/>
    <n v="137279592.97"/>
  </r>
  <r>
    <x v="0"/>
    <x v="62"/>
    <x v="0"/>
    <x v="1"/>
    <x v="23"/>
    <n v="51929607.600000001"/>
  </r>
  <r>
    <x v="0"/>
    <x v="93"/>
    <x v="0"/>
    <x v="1"/>
    <x v="1"/>
    <n v="16114165.279999999"/>
  </r>
  <r>
    <x v="0"/>
    <x v="85"/>
    <x v="0"/>
    <x v="1"/>
    <x v="6"/>
    <n v="2265626.7200000002"/>
  </r>
  <r>
    <x v="1"/>
    <x v="4"/>
    <x v="0"/>
    <x v="1"/>
    <x v="0"/>
    <n v="35997170.920000002"/>
  </r>
  <r>
    <x v="1"/>
    <x v="10"/>
    <x v="0"/>
    <x v="1"/>
    <x v="7"/>
    <n v="61348.28"/>
  </r>
  <r>
    <x v="0"/>
    <x v="62"/>
    <x v="0"/>
    <x v="1"/>
    <x v="11"/>
    <n v="44357500.119999997"/>
  </r>
  <r>
    <x v="1"/>
    <x v="82"/>
    <x v="0"/>
    <x v="1"/>
    <x v="24"/>
    <n v="69821.08"/>
  </r>
  <r>
    <x v="0"/>
    <x v="43"/>
    <x v="0"/>
    <x v="1"/>
    <x v="2"/>
    <n v="3078195.43"/>
  </r>
  <r>
    <x v="1"/>
    <x v="24"/>
    <x v="0"/>
    <x v="1"/>
    <x v="21"/>
    <n v="83813291.829999998"/>
  </r>
  <r>
    <x v="0"/>
    <x v="28"/>
    <x v="0"/>
    <x v="2"/>
    <x v="9"/>
    <n v="108204831.2"/>
  </r>
  <r>
    <x v="0"/>
    <x v="50"/>
    <x v="0"/>
    <x v="2"/>
    <x v="4"/>
    <n v="7933000"/>
  </r>
  <r>
    <x v="1"/>
    <x v="58"/>
    <x v="0"/>
    <x v="1"/>
    <x v="23"/>
    <n v="387792.96"/>
  </r>
  <r>
    <x v="1"/>
    <x v="4"/>
    <x v="0"/>
    <x v="1"/>
    <x v="2"/>
    <n v="44734227.310000002"/>
  </r>
  <r>
    <x v="1"/>
    <x v="17"/>
    <x v="0"/>
    <x v="1"/>
    <x v="0"/>
    <n v="1428138.56"/>
  </r>
  <r>
    <x v="0"/>
    <x v="76"/>
    <x v="0"/>
    <x v="1"/>
    <x v="2"/>
    <n v="54318807.18"/>
  </r>
  <r>
    <x v="1"/>
    <x v="58"/>
    <x v="0"/>
    <x v="1"/>
    <x v="21"/>
    <n v="1334165.25"/>
  </r>
  <r>
    <x v="0"/>
    <x v="53"/>
    <x v="0"/>
    <x v="6"/>
    <x v="13"/>
    <n v="24000"/>
  </r>
  <r>
    <x v="0"/>
    <x v="24"/>
    <x v="0"/>
    <x v="8"/>
    <x v="5"/>
    <n v="1000"/>
  </r>
  <r>
    <x v="1"/>
    <x v="2"/>
    <x v="0"/>
    <x v="6"/>
    <x v="0"/>
    <n v="500"/>
  </r>
  <r>
    <x v="1"/>
    <x v="1"/>
    <x v="0"/>
    <x v="1"/>
    <x v="24"/>
    <n v="216738.45"/>
  </r>
  <r>
    <x v="0"/>
    <x v="27"/>
    <x v="0"/>
    <x v="6"/>
    <x v="5"/>
    <n v="2379000"/>
  </r>
  <r>
    <x v="1"/>
    <x v="73"/>
    <x v="0"/>
    <x v="1"/>
    <x v="1"/>
    <n v="998113.76"/>
  </r>
  <r>
    <x v="0"/>
    <x v="67"/>
    <x v="0"/>
    <x v="1"/>
    <x v="11"/>
    <n v="2253340.2000000002"/>
  </r>
  <r>
    <x v="0"/>
    <x v="37"/>
    <x v="0"/>
    <x v="9"/>
    <x v="25"/>
    <n v="530843.31999999995"/>
  </r>
  <r>
    <x v="0"/>
    <x v="78"/>
    <x v="0"/>
    <x v="1"/>
    <x v="7"/>
    <n v="2036622.42"/>
  </r>
  <r>
    <x v="0"/>
    <x v="37"/>
    <x v="0"/>
    <x v="1"/>
    <x v="10"/>
    <n v="7100691.6600000001"/>
  </r>
  <r>
    <x v="0"/>
    <x v="88"/>
    <x v="0"/>
    <x v="1"/>
    <x v="5"/>
    <n v="736981.17"/>
  </r>
  <r>
    <x v="0"/>
    <x v="48"/>
    <x v="0"/>
    <x v="1"/>
    <x v="21"/>
    <n v="890635"/>
  </r>
  <r>
    <x v="1"/>
    <x v="6"/>
    <x v="0"/>
    <x v="1"/>
    <x v="16"/>
    <n v="182575.35"/>
  </r>
  <r>
    <x v="0"/>
    <x v="20"/>
    <x v="0"/>
    <x v="8"/>
    <x v="25"/>
    <n v="37454865.170000002"/>
  </r>
  <r>
    <x v="0"/>
    <x v="58"/>
    <x v="0"/>
    <x v="8"/>
    <x v="6"/>
    <n v="65777.77"/>
  </r>
  <r>
    <x v="1"/>
    <x v="64"/>
    <x v="0"/>
    <x v="1"/>
    <x v="20"/>
    <n v="14414.43"/>
  </r>
  <r>
    <x v="0"/>
    <x v="8"/>
    <x v="0"/>
    <x v="1"/>
    <x v="23"/>
    <n v="83651800.329999998"/>
  </r>
  <r>
    <x v="0"/>
    <x v="41"/>
    <x v="0"/>
    <x v="1"/>
    <x v="16"/>
    <n v="24792548.559999999"/>
  </r>
  <r>
    <x v="0"/>
    <x v="51"/>
    <x v="0"/>
    <x v="1"/>
    <x v="20"/>
    <n v="5073441.1500000004"/>
  </r>
  <r>
    <x v="0"/>
    <x v="10"/>
    <x v="0"/>
    <x v="1"/>
    <x v="25"/>
    <n v="2139475.35"/>
  </r>
  <r>
    <x v="1"/>
    <x v="74"/>
    <x v="0"/>
    <x v="1"/>
    <x v="13"/>
    <n v="106717.4"/>
  </r>
  <r>
    <x v="0"/>
    <x v="51"/>
    <x v="0"/>
    <x v="1"/>
    <x v="19"/>
    <n v="5473612.3200000003"/>
  </r>
  <r>
    <x v="1"/>
    <x v="2"/>
    <x v="0"/>
    <x v="9"/>
    <x v="5"/>
    <n v="537550.06999999995"/>
  </r>
  <r>
    <x v="1"/>
    <x v="86"/>
    <x v="0"/>
    <x v="1"/>
    <x v="0"/>
    <n v="100320.94"/>
  </r>
  <r>
    <x v="0"/>
    <x v="15"/>
    <x v="0"/>
    <x v="1"/>
    <x v="17"/>
    <n v="3060638.29"/>
  </r>
  <r>
    <x v="0"/>
    <x v="43"/>
    <x v="0"/>
    <x v="1"/>
    <x v="4"/>
    <n v="6977396.2199999997"/>
  </r>
  <r>
    <x v="0"/>
    <x v="44"/>
    <x v="0"/>
    <x v="6"/>
    <x v="2"/>
    <n v="960000"/>
  </r>
  <r>
    <x v="1"/>
    <x v="37"/>
    <x v="0"/>
    <x v="1"/>
    <x v="3"/>
    <n v="1316444.22"/>
  </r>
  <r>
    <x v="0"/>
    <x v="82"/>
    <x v="0"/>
    <x v="1"/>
    <x v="10"/>
    <n v="1703849.25"/>
  </r>
  <r>
    <x v="0"/>
    <x v="25"/>
    <x v="0"/>
    <x v="6"/>
    <x v="0"/>
    <n v="81000"/>
  </r>
  <r>
    <x v="1"/>
    <x v="23"/>
    <x v="0"/>
    <x v="1"/>
    <x v="23"/>
    <n v="8897380"/>
  </r>
  <r>
    <x v="1"/>
    <x v="4"/>
    <x v="0"/>
    <x v="3"/>
    <x v="15"/>
    <n v="991.38"/>
  </r>
  <r>
    <x v="0"/>
    <x v="19"/>
    <x v="0"/>
    <x v="1"/>
    <x v="8"/>
    <n v="1164729.3899999999"/>
  </r>
  <r>
    <x v="1"/>
    <x v="25"/>
    <x v="0"/>
    <x v="1"/>
    <x v="12"/>
    <n v="37727.64"/>
  </r>
  <r>
    <x v="0"/>
    <x v="24"/>
    <x v="0"/>
    <x v="1"/>
    <x v="24"/>
    <n v="113773000"/>
  </r>
  <r>
    <x v="1"/>
    <x v="82"/>
    <x v="0"/>
    <x v="1"/>
    <x v="3"/>
    <n v="241214.87"/>
  </r>
  <r>
    <x v="1"/>
    <x v="56"/>
    <x v="0"/>
    <x v="1"/>
    <x v="14"/>
    <n v="4677.3"/>
  </r>
  <r>
    <x v="0"/>
    <x v="48"/>
    <x v="0"/>
    <x v="1"/>
    <x v="11"/>
    <n v="624853"/>
  </r>
  <r>
    <x v="1"/>
    <x v="6"/>
    <x v="0"/>
    <x v="1"/>
    <x v="17"/>
    <n v="37548.35"/>
  </r>
  <r>
    <x v="1"/>
    <x v="76"/>
    <x v="0"/>
    <x v="8"/>
    <x v="5"/>
    <n v="132118.13"/>
  </r>
  <r>
    <x v="1"/>
    <x v="12"/>
    <x v="0"/>
    <x v="1"/>
    <x v="9"/>
    <n v="19278"/>
  </r>
  <r>
    <x v="1"/>
    <x v="90"/>
    <x v="0"/>
    <x v="1"/>
    <x v="21"/>
    <n v="6602.43"/>
  </r>
  <r>
    <x v="0"/>
    <x v="35"/>
    <x v="0"/>
    <x v="1"/>
    <x v="5"/>
    <n v="61337053"/>
  </r>
  <r>
    <x v="0"/>
    <x v="93"/>
    <x v="0"/>
    <x v="1"/>
    <x v="20"/>
    <n v="12374361.109999999"/>
  </r>
  <r>
    <x v="0"/>
    <x v="66"/>
    <x v="0"/>
    <x v="1"/>
    <x v="21"/>
    <n v="20303264.420000002"/>
  </r>
  <r>
    <x v="1"/>
    <x v="20"/>
    <x v="0"/>
    <x v="3"/>
    <x v="12"/>
    <n v="53682.71"/>
  </r>
  <r>
    <x v="1"/>
    <x v="39"/>
    <x v="0"/>
    <x v="1"/>
    <x v="21"/>
    <n v="-87.47"/>
  </r>
  <r>
    <x v="1"/>
    <x v="2"/>
    <x v="0"/>
    <x v="6"/>
    <x v="1"/>
    <n v="138500"/>
  </r>
  <r>
    <x v="0"/>
    <x v="11"/>
    <x v="0"/>
    <x v="1"/>
    <x v="22"/>
    <n v="140050008.41"/>
  </r>
  <r>
    <x v="1"/>
    <x v="47"/>
    <x v="0"/>
    <x v="1"/>
    <x v="22"/>
    <n v="2388322.61"/>
  </r>
  <r>
    <x v="1"/>
    <x v="91"/>
    <x v="0"/>
    <x v="1"/>
    <x v="22"/>
    <n v="353294.36"/>
  </r>
  <r>
    <x v="1"/>
    <x v="63"/>
    <x v="0"/>
    <x v="1"/>
    <x v="4"/>
    <n v="1633398.31"/>
  </r>
  <r>
    <x v="0"/>
    <x v="5"/>
    <x v="0"/>
    <x v="1"/>
    <x v="4"/>
    <n v="99066000"/>
  </r>
  <r>
    <x v="0"/>
    <x v="39"/>
    <x v="0"/>
    <x v="6"/>
    <x v="11"/>
    <n v="14000.04"/>
  </r>
  <r>
    <x v="0"/>
    <x v="65"/>
    <x v="0"/>
    <x v="1"/>
    <x v="18"/>
    <n v="5926676.25"/>
  </r>
  <r>
    <x v="0"/>
    <x v="76"/>
    <x v="0"/>
    <x v="10"/>
    <x v="24"/>
    <n v="5237549.7"/>
  </r>
  <r>
    <x v="1"/>
    <x v="13"/>
    <x v="0"/>
    <x v="6"/>
    <x v="2"/>
    <n v="-18163"/>
  </r>
  <r>
    <x v="0"/>
    <x v="50"/>
    <x v="0"/>
    <x v="2"/>
    <x v="2"/>
    <n v="2011000"/>
  </r>
  <r>
    <x v="1"/>
    <x v="37"/>
    <x v="0"/>
    <x v="1"/>
    <x v="2"/>
    <n v="-59392010.740000002"/>
  </r>
  <r>
    <x v="0"/>
    <x v="18"/>
    <x v="0"/>
    <x v="7"/>
    <x v="19"/>
    <n v="5000"/>
  </r>
  <r>
    <x v="1"/>
    <x v="75"/>
    <x v="0"/>
    <x v="1"/>
    <x v="21"/>
    <n v="19191.72"/>
  </r>
  <r>
    <x v="1"/>
    <x v="73"/>
    <x v="0"/>
    <x v="1"/>
    <x v="22"/>
    <n v="891346.74"/>
  </r>
  <r>
    <x v="1"/>
    <x v="90"/>
    <x v="0"/>
    <x v="1"/>
    <x v="23"/>
    <n v="12905.77"/>
  </r>
  <r>
    <x v="1"/>
    <x v="56"/>
    <x v="0"/>
    <x v="1"/>
    <x v="2"/>
    <n v="21367.119999999999"/>
  </r>
  <r>
    <x v="0"/>
    <x v="53"/>
    <x v="0"/>
    <x v="1"/>
    <x v="1"/>
    <n v="5945997.3700000001"/>
  </r>
  <r>
    <x v="0"/>
    <x v="60"/>
    <x v="0"/>
    <x v="1"/>
    <x v="12"/>
    <n v="196050.49"/>
  </r>
  <r>
    <x v="1"/>
    <x v="66"/>
    <x v="0"/>
    <x v="2"/>
    <x v="4"/>
    <n v="2335284.84"/>
  </r>
  <r>
    <x v="0"/>
    <x v="69"/>
    <x v="0"/>
    <x v="1"/>
    <x v="24"/>
    <n v="822014.04"/>
  </r>
  <r>
    <x v="0"/>
    <x v="61"/>
    <x v="0"/>
    <x v="10"/>
    <x v="25"/>
    <n v="645872.04"/>
  </r>
  <r>
    <x v="0"/>
    <x v="15"/>
    <x v="0"/>
    <x v="1"/>
    <x v="5"/>
    <n v="6306368.5899999999"/>
  </r>
  <r>
    <x v="0"/>
    <x v="93"/>
    <x v="0"/>
    <x v="1"/>
    <x v="0"/>
    <n v="16649776.18"/>
  </r>
  <r>
    <x v="1"/>
    <x v="87"/>
    <x v="0"/>
    <x v="1"/>
    <x v="10"/>
    <n v="126866.8"/>
  </r>
  <r>
    <x v="1"/>
    <x v="11"/>
    <x v="0"/>
    <x v="3"/>
    <x v="25"/>
    <n v="-503000"/>
  </r>
  <r>
    <x v="1"/>
    <x v="30"/>
    <x v="0"/>
    <x v="1"/>
    <x v="15"/>
    <n v="-90964095.340000004"/>
  </r>
  <r>
    <x v="1"/>
    <x v="67"/>
    <x v="0"/>
    <x v="1"/>
    <x v="22"/>
    <n v="-7695.14"/>
  </r>
  <r>
    <x v="0"/>
    <x v="40"/>
    <x v="0"/>
    <x v="6"/>
    <x v="25"/>
    <n v="7940000"/>
  </r>
  <r>
    <x v="0"/>
    <x v="58"/>
    <x v="0"/>
    <x v="8"/>
    <x v="13"/>
    <n v="165992.54"/>
  </r>
  <r>
    <x v="1"/>
    <x v="74"/>
    <x v="0"/>
    <x v="1"/>
    <x v="16"/>
    <n v="203839.32"/>
  </r>
  <r>
    <x v="1"/>
    <x v="78"/>
    <x v="0"/>
    <x v="1"/>
    <x v="9"/>
    <n v="355947.51"/>
  </r>
  <r>
    <x v="0"/>
    <x v="46"/>
    <x v="0"/>
    <x v="1"/>
    <x v="1"/>
    <n v="28000"/>
  </r>
  <r>
    <x v="0"/>
    <x v="8"/>
    <x v="0"/>
    <x v="1"/>
    <x v="16"/>
    <n v="49041763.039999999"/>
  </r>
  <r>
    <x v="1"/>
    <x v="6"/>
    <x v="0"/>
    <x v="2"/>
    <x v="2"/>
    <n v="828772.54"/>
  </r>
  <r>
    <x v="0"/>
    <x v="11"/>
    <x v="0"/>
    <x v="1"/>
    <x v="5"/>
    <n v="221212491.19"/>
  </r>
  <r>
    <x v="0"/>
    <x v="1"/>
    <x v="0"/>
    <x v="1"/>
    <x v="18"/>
    <n v="5991032.3700000001"/>
  </r>
  <r>
    <x v="0"/>
    <x v="76"/>
    <x v="0"/>
    <x v="8"/>
    <x v="6"/>
    <n v="133963.76999999999"/>
  </r>
  <r>
    <x v="0"/>
    <x v="9"/>
    <x v="0"/>
    <x v="1"/>
    <x v="16"/>
    <n v="601146202.48000002"/>
  </r>
  <r>
    <x v="0"/>
    <x v="50"/>
    <x v="0"/>
    <x v="3"/>
    <x v="0"/>
    <n v="9538000"/>
  </r>
  <r>
    <x v="0"/>
    <x v="28"/>
    <x v="0"/>
    <x v="0"/>
    <x v="9"/>
    <n v="78831494.900000006"/>
  </r>
  <r>
    <x v="1"/>
    <x v="25"/>
    <x v="0"/>
    <x v="6"/>
    <x v="11"/>
    <n v="76941.440000000002"/>
  </r>
  <r>
    <x v="1"/>
    <x v="65"/>
    <x v="0"/>
    <x v="7"/>
    <x v="24"/>
    <n v="25939.200000000001"/>
  </r>
  <r>
    <x v="1"/>
    <x v="81"/>
    <x v="0"/>
    <x v="1"/>
    <x v="2"/>
    <n v="147499.04"/>
  </r>
  <r>
    <x v="1"/>
    <x v="14"/>
    <x v="0"/>
    <x v="1"/>
    <x v="14"/>
    <n v="69254.460000000006"/>
  </r>
  <r>
    <x v="0"/>
    <x v="20"/>
    <x v="0"/>
    <x v="5"/>
    <x v="6"/>
    <n v="278087407.38999999"/>
  </r>
  <r>
    <x v="0"/>
    <x v="68"/>
    <x v="0"/>
    <x v="1"/>
    <x v="24"/>
    <n v="124932889.37"/>
  </r>
  <r>
    <x v="0"/>
    <x v="24"/>
    <x v="0"/>
    <x v="9"/>
    <x v="5"/>
    <n v="6394797.3899999997"/>
  </r>
  <r>
    <x v="0"/>
    <x v="93"/>
    <x v="0"/>
    <x v="6"/>
    <x v="0"/>
    <n v="746000"/>
  </r>
  <r>
    <x v="1"/>
    <x v="54"/>
    <x v="0"/>
    <x v="1"/>
    <x v="3"/>
    <n v="62186.89"/>
  </r>
  <r>
    <x v="1"/>
    <x v="59"/>
    <x v="0"/>
    <x v="1"/>
    <x v="11"/>
    <n v="11665204.42"/>
  </r>
  <r>
    <x v="1"/>
    <x v="59"/>
    <x v="0"/>
    <x v="1"/>
    <x v="12"/>
    <n v="1518892.22"/>
  </r>
  <r>
    <x v="0"/>
    <x v="50"/>
    <x v="0"/>
    <x v="3"/>
    <x v="8"/>
    <n v="9538000"/>
  </r>
  <r>
    <x v="0"/>
    <x v="4"/>
    <x v="0"/>
    <x v="1"/>
    <x v="5"/>
    <n v="6337128545.5"/>
  </r>
  <r>
    <x v="1"/>
    <x v="85"/>
    <x v="0"/>
    <x v="1"/>
    <x v="15"/>
    <n v="162465.07999999999"/>
  </r>
  <r>
    <x v="0"/>
    <x v="44"/>
    <x v="0"/>
    <x v="6"/>
    <x v="0"/>
    <n v="479500"/>
  </r>
  <r>
    <x v="0"/>
    <x v="42"/>
    <x v="0"/>
    <x v="6"/>
    <x v="13"/>
    <n v="208000"/>
  </r>
  <r>
    <x v="0"/>
    <x v="75"/>
    <x v="0"/>
    <x v="1"/>
    <x v="1"/>
    <n v="277030"/>
  </r>
  <r>
    <x v="0"/>
    <x v="80"/>
    <x v="0"/>
    <x v="1"/>
    <x v="23"/>
    <n v="44979456.100000001"/>
  </r>
  <r>
    <x v="0"/>
    <x v="44"/>
    <x v="0"/>
    <x v="6"/>
    <x v="1"/>
    <n v="479500"/>
  </r>
  <r>
    <x v="1"/>
    <x v="20"/>
    <x v="0"/>
    <x v="1"/>
    <x v="3"/>
    <n v="195846453.22999999"/>
  </r>
  <r>
    <x v="0"/>
    <x v="59"/>
    <x v="0"/>
    <x v="10"/>
    <x v="24"/>
    <n v="276723.25"/>
  </r>
  <r>
    <x v="0"/>
    <x v="68"/>
    <x v="0"/>
    <x v="1"/>
    <x v="25"/>
    <n v="168490504.63"/>
  </r>
  <r>
    <x v="0"/>
    <x v="109"/>
    <x v="0"/>
    <x v="1"/>
    <x v="6"/>
    <n v="95533.34"/>
  </r>
  <r>
    <x v="0"/>
    <x v="28"/>
    <x v="0"/>
    <x v="0"/>
    <x v="22"/>
    <n v="14923540.640000001"/>
  </r>
  <r>
    <x v="1"/>
    <x v="32"/>
    <x v="0"/>
    <x v="7"/>
    <x v="20"/>
    <n v="0"/>
  </r>
  <r>
    <x v="1"/>
    <x v="34"/>
    <x v="0"/>
    <x v="3"/>
    <x v="11"/>
    <n v="205978.73"/>
  </r>
  <r>
    <x v="1"/>
    <x v="13"/>
    <x v="0"/>
    <x v="1"/>
    <x v="1"/>
    <n v="239341.58"/>
  </r>
  <r>
    <x v="0"/>
    <x v="40"/>
    <x v="0"/>
    <x v="1"/>
    <x v="23"/>
    <n v="1257114069.8399999"/>
  </r>
  <r>
    <x v="0"/>
    <x v="29"/>
    <x v="0"/>
    <x v="1"/>
    <x v="24"/>
    <n v="1094704.3799999999"/>
  </r>
  <r>
    <x v="1"/>
    <x v="47"/>
    <x v="0"/>
    <x v="1"/>
    <x v="9"/>
    <n v="32599194.390000001"/>
  </r>
  <r>
    <x v="1"/>
    <x v="29"/>
    <x v="0"/>
    <x v="1"/>
    <x v="13"/>
    <n v="75270.77"/>
  </r>
  <r>
    <x v="1"/>
    <x v="28"/>
    <x v="0"/>
    <x v="3"/>
    <x v="22"/>
    <n v="-85496"/>
  </r>
  <r>
    <x v="1"/>
    <x v="31"/>
    <x v="0"/>
    <x v="1"/>
    <x v="18"/>
    <n v="1767491.92"/>
  </r>
  <r>
    <x v="0"/>
    <x v="22"/>
    <x v="0"/>
    <x v="1"/>
    <x v="7"/>
    <n v="50885668.869999997"/>
  </r>
  <r>
    <x v="0"/>
    <x v="5"/>
    <x v="0"/>
    <x v="1"/>
    <x v="2"/>
    <n v="81724000"/>
  </r>
  <r>
    <x v="1"/>
    <x v="9"/>
    <x v="0"/>
    <x v="3"/>
    <x v="3"/>
    <n v="10647603.939999999"/>
  </r>
  <r>
    <x v="1"/>
    <x v="67"/>
    <x v="0"/>
    <x v="1"/>
    <x v="17"/>
    <n v="-622769.31000000006"/>
  </r>
  <r>
    <x v="1"/>
    <x v="74"/>
    <x v="0"/>
    <x v="1"/>
    <x v="17"/>
    <n v="148232.25"/>
  </r>
  <r>
    <x v="1"/>
    <x v="78"/>
    <x v="0"/>
    <x v="1"/>
    <x v="18"/>
    <n v="107182.24"/>
  </r>
  <r>
    <x v="0"/>
    <x v="32"/>
    <x v="0"/>
    <x v="1"/>
    <x v="25"/>
    <n v="12945566.460000001"/>
  </r>
  <r>
    <x v="0"/>
    <x v="10"/>
    <x v="0"/>
    <x v="6"/>
    <x v="11"/>
    <n v="64000"/>
  </r>
  <r>
    <x v="0"/>
    <x v="16"/>
    <x v="0"/>
    <x v="1"/>
    <x v="1"/>
    <n v="7136914.8300000001"/>
  </r>
  <r>
    <x v="1"/>
    <x v="41"/>
    <x v="0"/>
    <x v="1"/>
    <x v="10"/>
    <n v="5528946.9900000002"/>
  </r>
  <r>
    <x v="1"/>
    <x v="44"/>
    <x v="0"/>
    <x v="1"/>
    <x v="4"/>
    <n v="4322027.45"/>
  </r>
  <r>
    <x v="1"/>
    <x v="20"/>
    <x v="0"/>
    <x v="1"/>
    <x v="24"/>
    <n v="225950014.96000001"/>
  </r>
  <r>
    <x v="0"/>
    <x v="72"/>
    <x v="0"/>
    <x v="1"/>
    <x v="8"/>
    <n v="774439.23"/>
  </r>
  <r>
    <x v="0"/>
    <x v="50"/>
    <x v="0"/>
    <x v="3"/>
    <x v="22"/>
    <n v="3651691"/>
  </r>
  <r>
    <x v="1"/>
    <x v="101"/>
    <x v="0"/>
    <x v="1"/>
    <x v="4"/>
    <n v="56433.84"/>
  </r>
  <r>
    <x v="1"/>
    <x v="40"/>
    <x v="0"/>
    <x v="6"/>
    <x v="13"/>
    <n v="419568"/>
  </r>
  <r>
    <x v="1"/>
    <x v="37"/>
    <x v="0"/>
    <x v="9"/>
    <x v="5"/>
    <n v="20496.939999999999"/>
  </r>
  <r>
    <x v="0"/>
    <x v="70"/>
    <x v="0"/>
    <x v="6"/>
    <x v="2"/>
    <n v="121999"/>
  </r>
  <r>
    <x v="0"/>
    <x v="90"/>
    <x v="0"/>
    <x v="1"/>
    <x v="3"/>
    <n v="132246.35"/>
  </r>
  <r>
    <x v="0"/>
    <x v="21"/>
    <x v="0"/>
    <x v="1"/>
    <x v="15"/>
    <n v="3740428.51"/>
  </r>
  <r>
    <x v="0"/>
    <x v="27"/>
    <x v="0"/>
    <x v="1"/>
    <x v="6"/>
    <n v="38514377.369999997"/>
  </r>
  <r>
    <x v="0"/>
    <x v="88"/>
    <x v="0"/>
    <x v="1"/>
    <x v="8"/>
    <n v="623342.61"/>
  </r>
  <r>
    <x v="0"/>
    <x v="22"/>
    <x v="0"/>
    <x v="10"/>
    <x v="5"/>
    <n v="3001682.02"/>
  </r>
  <r>
    <x v="0"/>
    <x v="6"/>
    <x v="0"/>
    <x v="1"/>
    <x v="15"/>
    <n v="237417391.99000001"/>
  </r>
  <r>
    <x v="0"/>
    <x v="56"/>
    <x v="0"/>
    <x v="1"/>
    <x v="7"/>
    <n v="236935.9"/>
  </r>
  <r>
    <x v="0"/>
    <x v="30"/>
    <x v="0"/>
    <x v="1"/>
    <x v="1"/>
    <n v="1124875747.6700001"/>
  </r>
  <r>
    <x v="0"/>
    <x v="36"/>
    <x v="0"/>
    <x v="1"/>
    <x v="0"/>
    <n v="28134126.57"/>
  </r>
  <r>
    <x v="1"/>
    <x v="86"/>
    <x v="0"/>
    <x v="1"/>
    <x v="2"/>
    <n v="166438.42000000001"/>
  </r>
  <r>
    <x v="0"/>
    <x v="99"/>
    <x v="0"/>
    <x v="1"/>
    <x v="11"/>
    <n v="6100000"/>
  </r>
  <r>
    <x v="1"/>
    <x v="18"/>
    <x v="0"/>
    <x v="1"/>
    <x v="19"/>
    <n v="299009.89"/>
  </r>
  <r>
    <x v="0"/>
    <x v="27"/>
    <x v="0"/>
    <x v="1"/>
    <x v="1"/>
    <n v="50213000"/>
  </r>
  <r>
    <x v="1"/>
    <x v="33"/>
    <x v="0"/>
    <x v="1"/>
    <x v="15"/>
    <n v="79986591.239999995"/>
  </r>
  <r>
    <x v="0"/>
    <x v="53"/>
    <x v="0"/>
    <x v="1"/>
    <x v="10"/>
    <n v="4058208.95"/>
  </r>
  <r>
    <x v="0"/>
    <x v="66"/>
    <x v="0"/>
    <x v="1"/>
    <x v="23"/>
    <n v="13893676.210000001"/>
  </r>
  <r>
    <x v="1"/>
    <x v="8"/>
    <x v="0"/>
    <x v="4"/>
    <x v="5"/>
    <n v="0"/>
  </r>
  <r>
    <x v="1"/>
    <x v="52"/>
    <x v="0"/>
    <x v="10"/>
    <x v="19"/>
    <n v="2287"/>
  </r>
  <r>
    <x v="1"/>
    <x v="40"/>
    <x v="0"/>
    <x v="8"/>
    <x v="24"/>
    <n v="1090021.31"/>
  </r>
  <r>
    <x v="0"/>
    <x v="35"/>
    <x v="0"/>
    <x v="1"/>
    <x v="19"/>
    <n v="24843092.690000001"/>
  </r>
  <r>
    <x v="1"/>
    <x v="66"/>
    <x v="0"/>
    <x v="10"/>
    <x v="19"/>
    <n v="248980.35"/>
  </r>
  <r>
    <x v="0"/>
    <x v="51"/>
    <x v="0"/>
    <x v="1"/>
    <x v="2"/>
    <n v="2201661.33"/>
  </r>
  <r>
    <x v="1"/>
    <x v="30"/>
    <x v="0"/>
    <x v="1"/>
    <x v="11"/>
    <n v="51255"/>
  </r>
  <r>
    <x v="1"/>
    <x v="15"/>
    <x v="0"/>
    <x v="8"/>
    <x v="13"/>
    <n v="275801.83"/>
  </r>
  <r>
    <x v="0"/>
    <x v="44"/>
    <x v="0"/>
    <x v="1"/>
    <x v="14"/>
    <n v="17488819.719999999"/>
  </r>
  <r>
    <x v="0"/>
    <x v="77"/>
    <x v="0"/>
    <x v="1"/>
    <x v="21"/>
    <n v="1499901.85"/>
  </r>
  <r>
    <x v="0"/>
    <x v="82"/>
    <x v="0"/>
    <x v="1"/>
    <x v="0"/>
    <n v="1901251.91"/>
  </r>
  <r>
    <x v="1"/>
    <x v="62"/>
    <x v="0"/>
    <x v="10"/>
    <x v="19"/>
    <n v="378950.92"/>
  </r>
  <r>
    <x v="0"/>
    <x v="43"/>
    <x v="0"/>
    <x v="1"/>
    <x v="10"/>
    <n v="1543127.58"/>
  </r>
  <r>
    <x v="1"/>
    <x v="10"/>
    <x v="0"/>
    <x v="1"/>
    <x v="6"/>
    <n v="93350.35"/>
  </r>
  <r>
    <x v="0"/>
    <x v="41"/>
    <x v="0"/>
    <x v="1"/>
    <x v="13"/>
    <n v="71087910.280000001"/>
  </r>
  <r>
    <x v="1"/>
    <x v="43"/>
    <x v="0"/>
    <x v="1"/>
    <x v="24"/>
    <n v="338068.03"/>
  </r>
  <r>
    <x v="1"/>
    <x v="73"/>
    <x v="0"/>
    <x v="1"/>
    <x v="19"/>
    <n v="588931.29"/>
  </r>
  <r>
    <x v="0"/>
    <x v="8"/>
    <x v="0"/>
    <x v="10"/>
    <x v="17"/>
    <n v="23095812.850000001"/>
  </r>
  <r>
    <x v="1"/>
    <x v="15"/>
    <x v="0"/>
    <x v="1"/>
    <x v="2"/>
    <n v="2947667.42"/>
  </r>
  <r>
    <x v="1"/>
    <x v="30"/>
    <x v="0"/>
    <x v="1"/>
    <x v="25"/>
    <n v="46939.48"/>
  </r>
  <r>
    <x v="0"/>
    <x v="18"/>
    <x v="0"/>
    <x v="1"/>
    <x v="21"/>
    <n v="8088007.5800000001"/>
  </r>
  <r>
    <x v="0"/>
    <x v="27"/>
    <x v="0"/>
    <x v="2"/>
    <x v="23"/>
    <n v="12639000"/>
  </r>
  <r>
    <x v="0"/>
    <x v="47"/>
    <x v="0"/>
    <x v="5"/>
    <x v="25"/>
    <n v="39474127.140000001"/>
  </r>
  <r>
    <x v="0"/>
    <x v="20"/>
    <x v="0"/>
    <x v="1"/>
    <x v="10"/>
    <n v="2820018354.96"/>
  </r>
  <r>
    <x v="0"/>
    <x v="67"/>
    <x v="0"/>
    <x v="1"/>
    <x v="12"/>
    <n v="1732896.9"/>
  </r>
  <r>
    <x v="1"/>
    <x v="68"/>
    <x v="0"/>
    <x v="1"/>
    <x v="13"/>
    <n v="49107.49"/>
  </r>
  <r>
    <x v="0"/>
    <x v="6"/>
    <x v="0"/>
    <x v="3"/>
    <x v="16"/>
    <n v="12983337.84"/>
  </r>
  <r>
    <x v="1"/>
    <x v="2"/>
    <x v="0"/>
    <x v="1"/>
    <x v="4"/>
    <n v="1873681.39"/>
  </r>
  <r>
    <x v="0"/>
    <x v="8"/>
    <x v="0"/>
    <x v="1"/>
    <x v="13"/>
    <n v="19400717.25"/>
  </r>
  <r>
    <x v="0"/>
    <x v="35"/>
    <x v="0"/>
    <x v="1"/>
    <x v="13"/>
    <n v="47767022"/>
  </r>
  <r>
    <x v="0"/>
    <x v="51"/>
    <x v="0"/>
    <x v="1"/>
    <x v="1"/>
    <n v="1759735.59"/>
  </r>
  <r>
    <x v="0"/>
    <x v="23"/>
    <x v="0"/>
    <x v="6"/>
    <x v="2"/>
    <n v="230000"/>
  </r>
  <r>
    <x v="0"/>
    <x v="80"/>
    <x v="0"/>
    <x v="1"/>
    <x v="21"/>
    <n v="31702476.170000002"/>
  </r>
  <r>
    <x v="0"/>
    <x v="1"/>
    <x v="0"/>
    <x v="1"/>
    <x v="10"/>
    <n v="4177724.79"/>
  </r>
  <r>
    <x v="1"/>
    <x v="79"/>
    <x v="0"/>
    <x v="9"/>
    <x v="14"/>
    <n v="1237862.44"/>
  </r>
  <r>
    <x v="0"/>
    <x v="17"/>
    <x v="0"/>
    <x v="1"/>
    <x v="4"/>
    <n v="18303535.370000001"/>
  </r>
  <r>
    <x v="0"/>
    <x v="7"/>
    <x v="0"/>
    <x v="1"/>
    <x v="1"/>
    <n v="4259054.57"/>
  </r>
  <r>
    <x v="0"/>
    <x v="67"/>
    <x v="0"/>
    <x v="1"/>
    <x v="0"/>
    <n v="2057219.21"/>
  </r>
  <r>
    <x v="0"/>
    <x v="34"/>
    <x v="0"/>
    <x v="0"/>
    <x v="2"/>
    <n v="39046806.740000002"/>
  </r>
  <r>
    <x v="0"/>
    <x v="59"/>
    <x v="0"/>
    <x v="1"/>
    <x v="13"/>
    <n v="37626416.490000002"/>
  </r>
  <r>
    <x v="1"/>
    <x v="57"/>
    <x v="0"/>
    <x v="1"/>
    <x v="18"/>
    <n v="50064.04"/>
  </r>
  <r>
    <x v="0"/>
    <x v="20"/>
    <x v="0"/>
    <x v="6"/>
    <x v="25"/>
    <n v="12557674"/>
  </r>
  <r>
    <x v="0"/>
    <x v="67"/>
    <x v="0"/>
    <x v="6"/>
    <x v="13"/>
    <n v="7000"/>
  </r>
  <r>
    <x v="1"/>
    <x v="25"/>
    <x v="0"/>
    <x v="1"/>
    <x v="14"/>
    <n v="28084.54"/>
  </r>
  <r>
    <x v="0"/>
    <x v="63"/>
    <x v="0"/>
    <x v="2"/>
    <x v="22"/>
    <n v="2309178.09"/>
  </r>
  <r>
    <x v="0"/>
    <x v="64"/>
    <x v="0"/>
    <x v="1"/>
    <x v="0"/>
    <n v="241625.68"/>
  </r>
  <r>
    <x v="0"/>
    <x v="58"/>
    <x v="0"/>
    <x v="2"/>
    <x v="2"/>
    <n v="50000"/>
  </r>
  <r>
    <x v="0"/>
    <x v="64"/>
    <x v="0"/>
    <x v="1"/>
    <x v="2"/>
    <n v="342045.43"/>
  </r>
  <r>
    <x v="1"/>
    <x v="80"/>
    <x v="0"/>
    <x v="1"/>
    <x v="24"/>
    <n v="1275290.7"/>
  </r>
  <r>
    <x v="1"/>
    <x v="17"/>
    <x v="0"/>
    <x v="1"/>
    <x v="11"/>
    <n v="858840.79"/>
  </r>
  <r>
    <x v="0"/>
    <x v="22"/>
    <x v="0"/>
    <x v="8"/>
    <x v="6"/>
    <n v="3572811.19"/>
  </r>
  <r>
    <x v="1"/>
    <x v="20"/>
    <x v="0"/>
    <x v="1"/>
    <x v="9"/>
    <n v="277347616.36000001"/>
  </r>
  <r>
    <x v="0"/>
    <x v="70"/>
    <x v="0"/>
    <x v="1"/>
    <x v="7"/>
    <n v="1245283.94"/>
  </r>
  <r>
    <x v="1"/>
    <x v="76"/>
    <x v="0"/>
    <x v="1"/>
    <x v="20"/>
    <n v="885702.46"/>
  </r>
  <r>
    <x v="0"/>
    <x v="22"/>
    <x v="0"/>
    <x v="5"/>
    <x v="14"/>
    <n v="24000000"/>
  </r>
  <r>
    <x v="0"/>
    <x v="73"/>
    <x v="0"/>
    <x v="9"/>
    <x v="17"/>
    <n v="4376353.49"/>
  </r>
  <r>
    <x v="0"/>
    <x v="36"/>
    <x v="0"/>
    <x v="3"/>
    <x v="9"/>
    <n v="2725000"/>
  </r>
  <r>
    <x v="1"/>
    <x v="18"/>
    <x v="0"/>
    <x v="1"/>
    <x v="12"/>
    <n v="312742.65999999997"/>
  </r>
  <r>
    <x v="1"/>
    <x v="33"/>
    <x v="0"/>
    <x v="1"/>
    <x v="5"/>
    <n v="2558.15"/>
  </r>
  <r>
    <x v="0"/>
    <x v="9"/>
    <x v="0"/>
    <x v="3"/>
    <x v="16"/>
    <n v="40349457.640000001"/>
  </r>
  <r>
    <x v="0"/>
    <x v="4"/>
    <x v="0"/>
    <x v="3"/>
    <x v="12"/>
    <n v="68059053.030000001"/>
  </r>
  <r>
    <x v="0"/>
    <x v="16"/>
    <x v="0"/>
    <x v="1"/>
    <x v="21"/>
    <n v="6732600.5199999996"/>
  </r>
  <r>
    <x v="0"/>
    <x v="89"/>
    <x v="0"/>
    <x v="1"/>
    <x v="2"/>
    <n v="243947.88"/>
  </r>
  <r>
    <x v="1"/>
    <x v="22"/>
    <x v="0"/>
    <x v="10"/>
    <x v="17"/>
    <n v="500713.95"/>
  </r>
  <r>
    <x v="0"/>
    <x v="45"/>
    <x v="0"/>
    <x v="1"/>
    <x v="25"/>
    <n v="91673855.75"/>
  </r>
  <r>
    <x v="1"/>
    <x v="30"/>
    <x v="0"/>
    <x v="1"/>
    <x v="22"/>
    <n v="76258.5"/>
  </r>
  <r>
    <x v="0"/>
    <x v="50"/>
    <x v="0"/>
    <x v="1"/>
    <x v="19"/>
    <n v="40612779.520000003"/>
  </r>
  <r>
    <x v="0"/>
    <x v="7"/>
    <x v="0"/>
    <x v="1"/>
    <x v="4"/>
    <n v="5409505.21"/>
  </r>
  <r>
    <x v="1"/>
    <x v="42"/>
    <x v="0"/>
    <x v="1"/>
    <x v="13"/>
    <n v="2170297.36"/>
  </r>
  <r>
    <x v="0"/>
    <x v="26"/>
    <x v="0"/>
    <x v="1"/>
    <x v="5"/>
    <n v="1772984.52"/>
  </r>
  <r>
    <x v="0"/>
    <x v="76"/>
    <x v="0"/>
    <x v="1"/>
    <x v="12"/>
    <n v="33031826.960000001"/>
  </r>
  <r>
    <x v="1"/>
    <x v="11"/>
    <x v="0"/>
    <x v="1"/>
    <x v="6"/>
    <n v="-1967293.79"/>
  </r>
  <r>
    <x v="0"/>
    <x v="47"/>
    <x v="0"/>
    <x v="5"/>
    <x v="13"/>
    <n v="17719465"/>
  </r>
  <r>
    <x v="0"/>
    <x v="98"/>
    <x v="0"/>
    <x v="1"/>
    <x v="5"/>
    <n v="723158.29"/>
  </r>
  <r>
    <x v="1"/>
    <x v="18"/>
    <x v="0"/>
    <x v="1"/>
    <x v="25"/>
    <n v="313326.34000000003"/>
  </r>
  <r>
    <x v="0"/>
    <x v="32"/>
    <x v="0"/>
    <x v="1"/>
    <x v="20"/>
    <n v="8431158.7200000007"/>
  </r>
  <r>
    <x v="1"/>
    <x v="41"/>
    <x v="0"/>
    <x v="1"/>
    <x v="12"/>
    <n v="1497854.22"/>
  </r>
  <r>
    <x v="0"/>
    <x v="53"/>
    <x v="0"/>
    <x v="1"/>
    <x v="11"/>
    <n v="8878542.1300000008"/>
  </r>
  <r>
    <x v="1"/>
    <x v="22"/>
    <x v="0"/>
    <x v="1"/>
    <x v="21"/>
    <n v="5441959.9199999999"/>
  </r>
  <r>
    <x v="0"/>
    <x v="66"/>
    <x v="0"/>
    <x v="10"/>
    <x v="10"/>
    <n v="5507677.1200000001"/>
  </r>
  <r>
    <x v="1"/>
    <x v="1"/>
    <x v="0"/>
    <x v="1"/>
    <x v="17"/>
    <n v="141377.65"/>
  </r>
  <r>
    <x v="1"/>
    <x v="45"/>
    <x v="0"/>
    <x v="1"/>
    <x v="7"/>
    <n v="4790750.78"/>
  </r>
  <r>
    <x v="1"/>
    <x v="72"/>
    <x v="0"/>
    <x v="1"/>
    <x v="5"/>
    <n v="31189.08"/>
  </r>
  <r>
    <x v="1"/>
    <x v="41"/>
    <x v="0"/>
    <x v="9"/>
    <x v="10"/>
    <n v="-71048.97"/>
  </r>
  <r>
    <x v="1"/>
    <x v="76"/>
    <x v="0"/>
    <x v="1"/>
    <x v="18"/>
    <n v="1390151.42"/>
  </r>
  <r>
    <x v="0"/>
    <x v="49"/>
    <x v="0"/>
    <x v="1"/>
    <x v="5"/>
    <n v="3487936.2"/>
  </r>
  <r>
    <x v="0"/>
    <x v="5"/>
    <x v="0"/>
    <x v="2"/>
    <x v="2"/>
    <n v="2841000"/>
  </r>
  <r>
    <x v="1"/>
    <x v="62"/>
    <x v="0"/>
    <x v="1"/>
    <x v="24"/>
    <n v="104818.66"/>
  </r>
  <r>
    <x v="1"/>
    <x v="20"/>
    <x v="0"/>
    <x v="10"/>
    <x v="19"/>
    <n v="3346509"/>
  </r>
  <r>
    <x v="1"/>
    <x v="22"/>
    <x v="0"/>
    <x v="1"/>
    <x v="12"/>
    <n v="6266208.9699999997"/>
  </r>
  <r>
    <x v="0"/>
    <x v="70"/>
    <x v="0"/>
    <x v="1"/>
    <x v="16"/>
    <n v="981862.81"/>
  </r>
  <r>
    <x v="1"/>
    <x v="16"/>
    <x v="0"/>
    <x v="1"/>
    <x v="13"/>
    <n v="310637.21000000002"/>
  </r>
  <r>
    <x v="1"/>
    <x v="36"/>
    <x v="0"/>
    <x v="1"/>
    <x v="8"/>
    <n v="806.88"/>
  </r>
  <r>
    <x v="0"/>
    <x v="55"/>
    <x v="0"/>
    <x v="1"/>
    <x v="18"/>
    <n v="335157.08"/>
  </r>
  <r>
    <x v="0"/>
    <x v="24"/>
    <x v="0"/>
    <x v="1"/>
    <x v="17"/>
    <n v="839916223.46000004"/>
  </r>
  <r>
    <x v="0"/>
    <x v="28"/>
    <x v="0"/>
    <x v="3"/>
    <x v="2"/>
    <n v="41104141.439999998"/>
  </r>
  <r>
    <x v="1"/>
    <x v="65"/>
    <x v="0"/>
    <x v="1"/>
    <x v="21"/>
    <n v="564511.14"/>
  </r>
  <r>
    <x v="1"/>
    <x v="62"/>
    <x v="0"/>
    <x v="10"/>
    <x v="25"/>
    <n v="917269.98"/>
  </r>
  <r>
    <x v="0"/>
    <x v="54"/>
    <x v="0"/>
    <x v="1"/>
    <x v="2"/>
    <n v="1235429.3700000001"/>
  </r>
  <r>
    <x v="1"/>
    <x v="75"/>
    <x v="0"/>
    <x v="1"/>
    <x v="20"/>
    <n v="18237.93"/>
  </r>
  <r>
    <x v="0"/>
    <x v="87"/>
    <x v="0"/>
    <x v="1"/>
    <x v="25"/>
    <n v="1551363.31"/>
  </r>
  <r>
    <x v="0"/>
    <x v="5"/>
    <x v="0"/>
    <x v="1"/>
    <x v="5"/>
    <n v="64449489.079999998"/>
  </r>
  <r>
    <x v="0"/>
    <x v="78"/>
    <x v="0"/>
    <x v="6"/>
    <x v="0"/>
    <n v="114000"/>
  </r>
  <r>
    <x v="1"/>
    <x v="79"/>
    <x v="0"/>
    <x v="1"/>
    <x v="25"/>
    <n v="5929719.8300000001"/>
  </r>
  <r>
    <x v="0"/>
    <x v="5"/>
    <x v="0"/>
    <x v="2"/>
    <x v="4"/>
    <n v="10699500"/>
  </r>
  <r>
    <x v="1"/>
    <x v="7"/>
    <x v="0"/>
    <x v="1"/>
    <x v="3"/>
    <n v="143154.82"/>
  </r>
  <r>
    <x v="1"/>
    <x v="18"/>
    <x v="0"/>
    <x v="1"/>
    <x v="24"/>
    <n v="266322.09999999998"/>
  </r>
  <r>
    <x v="0"/>
    <x v="20"/>
    <x v="0"/>
    <x v="5"/>
    <x v="21"/>
    <n v="0"/>
  </r>
  <r>
    <x v="1"/>
    <x v="1"/>
    <x v="0"/>
    <x v="1"/>
    <x v="5"/>
    <n v="449806.28"/>
  </r>
  <r>
    <x v="1"/>
    <x v="72"/>
    <x v="0"/>
    <x v="1"/>
    <x v="17"/>
    <n v="30653.57"/>
  </r>
  <r>
    <x v="0"/>
    <x v="47"/>
    <x v="0"/>
    <x v="1"/>
    <x v="1"/>
    <n v="53515833.979999997"/>
  </r>
  <r>
    <x v="1"/>
    <x v="19"/>
    <x v="0"/>
    <x v="1"/>
    <x v="13"/>
    <n v="20257.009999999998"/>
  </r>
  <r>
    <x v="1"/>
    <x v="93"/>
    <x v="0"/>
    <x v="1"/>
    <x v="9"/>
    <n v="1174712.29"/>
  </r>
  <r>
    <x v="0"/>
    <x v="91"/>
    <x v="0"/>
    <x v="1"/>
    <x v="1"/>
    <n v="187000"/>
  </r>
  <r>
    <x v="0"/>
    <x v="58"/>
    <x v="0"/>
    <x v="1"/>
    <x v="16"/>
    <n v="17797993.050000001"/>
  </r>
  <r>
    <x v="0"/>
    <x v="20"/>
    <x v="0"/>
    <x v="7"/>
    <x v="9"/>
    <n v="1500000"/>
  </r>
  <r>
    <x v="0"/>
    <x v="88"/>
    <x v="0"/>
    <x v="1"/>
    <x v="24"/>
    <n v="349291.69"/>
  </r>
  <r>
    <x v="0"/>
    <x v="31"/>
    <x v="0"/>
    <x v="1"/>
    <x v="3"/>
    <n v="20019311.149999999"/>
  </r>
  <r>
    <x v="1"/>
    <x v="5"/>
    <x v="0"/>
    <x v="3"/>
    <x v="12"/>
    <n v="580358.18999999994"/>
  </r>
  <r>
    <x v="0"/>
    <x v="86"/>
    <x v="0"/>
    <x v="1"/>
    <x v="25"/>
    <n v="1407078.46"/>
  </r>
  <r>
    <x v="1"/>
    <x v="63"/>
    <x v="0"/>
    <x v="2"/>
    <x v="2"/>
    <n v="928066.85"/>
  </r>
  <r>
    <x v="0"/>
    <x v="6"/>
    <x v="0"/>
    <x v="6"/>
    <x v="13"/>
    <n v="604000"/>
  </r>
  <r>
    <x v="1"/>
    <x v="53"/>
    <x v="0"/>
    <x v="1"/>
    <x v="8"/>
    <n v="222379.08"/>
  </r>
  <r>
    <x v="0"/>
    <x v="84"/>
    <x v="0"/>
    <x v="1"/>
    <x v="5"/>
    <n v="1650429.54"/>
  </r>
  <r>
    <x v="1"/>
    <x v="37"/>
    <x v="0"/>
    <x v="7"/>
    <x v="14"/>
    <n v="0"/>
  </r>
  <r>
    <x v="0"/>
    <x v="58"/>
    <x v="0"/>
    <x v="1"/>
    <x v="17"/>
    <n v="16182212.779999999"/>
  </r>
  <r>
    <x v="0"/>
    <x v="27"/>
    <x v="0"/>
    <x v="1"/>
    <x v="21"/>
    <n v="34689000"/>
  </r>
  <r>
    <x v="0"/>
    <x v="28"/>
    <x v="0"/>
    <x v="1"/>
    <x v="9"/>
    <n v="278578315.73000002"/>
  </r>
  <r>
    <x v="1"/>
    <x v="65"/>
    <x v="0"/>
    <x v="6"/>
    <x v="11"/>
    <n v="801000"/>
  </r>
  <r>
    <x v="1"/>
    <x v="43"/>
    <x v="0"/>
    <x v="1"/>
    <x v="22"/>
    <n v="-96860.89"/>
  </r>
  <r>
    <x v="1"/>
    <x v="96"/>
    <x v="0"/>
    <x v="1"/>
    <x v="7"/>
    <n v="0"/>
  </r>
  <r>
    <x v="0"/>
    <x v="24"/>
    <x v="0"/>
    <x v="10"/>
    <x v="5"/>
    <n v="13000"/>
  </r>
  <r>
    <x v="1"/>
    <x v="88"/>
    <x v="0"/>
    <x v="1"/>
    <x v="6"/>
    <n v="22869.360000000001"/>
  </r>
  <r>
    <x v="0"/>
    <x v="9"/>
    <x v="0"/>
    <x v="3"/>
    <x v="7"/>
    <n v="45653168.020000003"/>
  </r>
  <r>
    <x v="1"/>
    <x v="93"/>
    <x v="0"/>
    <x v="1"/>
    <x v="7"/>
    <n v="843901.96"/>
  </r>
  <r>
    <x v="0"/>
    <x v="13"/>
    <x v="0"/>
    <x v="1"/>
    <x v="4"/>
    <n v="5626216.4500000002"/>
  </r>
  <r>
    <x v="0"/>
    <x v="7"/>
    <x v="0"/>
    <x v="6"/>
    <x v="0"/>
    <n v="283000"/>
  </r>
  <r>
    <x v="0"/>
    <x v="79"/>
    <x v="0"/>
    <x v="1"/>
    <x v="2"/>
    <n v="20633197.609999999"/>
  </r>
  <r>
    <x v="0"/>
    <x v="4"/>
    <x v="0"/>
    <x v="3"/>
    <x v="16"/>
    <n v="79009471"/>
  </r>
  <r>
    <x v="0"/>
    <x v="33"/>
    <x v="0"/>
    <x v="1"/>
    <x v="16"/>
    <n v="1889333006.0799999"/>
  </r>
  <r>
    <x v="1"/>
    <x v="80"/>
    <x v="0"/>
    <x v="1"/>
    <x v="2"/>
    <n v="2062558.15"/>
  </r>
  <r>
    <x v="1"/>
    <x v="10"/>
    <x v="0"/>
    <x v="1"/>
    <x v="3"/>
    <n v="74431.25"/>
  </r>
  <r>
    <x v="1"/>
    <x v="79"/>
    <x v="0"/>
    <x v="1"/>
    <x v="24"/>
    <n v="5223813.3499999996"/>
  </r>
  <r>
    <x v="0"/>
    <x v="50"/>
    <x v="0"/>
    <x v="1"/>
    <x v="0"/>
    <n v="51471000"/>
  </r>
  <r>
    <x v="0"/>
    <x v="50"/>
    <x v="0"/>
    <x v="3"/>
    <x v="11"/>
    <n v="9538000"/>
  </r>
  <r>
    <x v="0"/>
    <x v="34"/>
    <x v="0"/>
    <x v="0"/>
    <x v="4"/>
    <n v="33920105.740000002"/>
  </r>
  <r>
    <x v="0"/>
    <x v="23"/>
    <x v="0"/>
    <x v="10"/>
    <x v="17"/>
    <n v="9029656.0199999996"/>
  </r>
  <r>
    <x v="0"/>
    <x v="64"/>
    <x v="0"/>
    <x v="1"/>
    <x v="1"/>
    <n v="226393.27"/>
  </r>
  <r>
    <x v="0"/>
    <x v="18"/>
    <x v="0"/>
    <x v="1"/>
    <x v="4"/>
    <n v="17987910.75"/>
  </r>
  <r>
    <x v="0"/>
    <x v="27"/>
    <x v="0"/>
    <x v="1"/>
    <x v="12"/>
    <n v="35126000"/>
  </r>
  <r>
    <x v="0"/>
    <x v="74"/>
    <x v="0"/>
    <x v="6"/>
    <x v="1"/>
    <n v="130000"/>
  </r>
  <r>
    <x v="0"/>
    <x v="80"/>
    <x v="0"/>
    <x v="1"/>
    <x v="9"/>
    <n v="39109408.109999999"/>
  </r>
  <r>
    <x v="0"/>
    <x v="22"/>
    <x v="0"/>
    <x v="7"/>
    <x v="6"/>
    <n v="276635.74"/>
  </r>
  <r>
    <x v="0"/>
    <x v="66"/>
    <x v="0"/>
    <x v="10"/>
    <x v="24"/>
    <n v="7434752.7699999996"/>
  </r>
  <r>
    <x v="0"/>
    <x v="33"/>
    <x v="0"/>
    <x v="5"/>
    <x v="10"/>
    <n v="231150741.28"/>
  </r>
  <r>
    <x v="0"/>
    <x v="67"/>
    <x v="0"/>
    <x v="6"/>
    <x v="1"/>
    <n v="88000"/>
  </r>
  <r>
    <x v="0"/>
    <x v="27"/>
    <x v="0"/>
    <x v="3"/>
    <x v="1"/>
    <n v="8304000"/>
  </r>
  <r>
    <x v="0"/>
    <x v="72"/>
    <x v="0"/>
    <x v="1"/>
    <x v="6"/>
    <n v="234565.2"/>
  </r>
  <r>
    <x v="1"/>
    <x v="6"/>
    <x v="0"/>
    <x v="1"/>
    <x v="19"/>
    <n v="4259679.72"/>
  </r>
  <r>
    <x v="1"/>
    <x v="59"/>
    <x v="0"/>
    <x v="1"/>
    <x v="15"/>
    <n v="1742701.65"/>
  </r>
  <r>
    <x v="0"/>
    <x v="30"/>
    <x v="0"/>
    <x v="1"/>
    <x v="15"/>
    <n v="1065944776.49"/>
  </r>
  <r>
    <x v="0"/>
    <x v="63"/>
    <x v="0"/>
    <x v="2"/>
    <x v="23"/>
    <n v="7590990.8099999996"/>
  </r>
  <r>
    <x v="1"/>
    <x v="34"/>
    <x v="0"/>
    <x v="1"/>
    <x v="23"/>
    <n v="111904896.5"/>
  </r>
  <r>
    <x v="0"/>
    <x v="5"/>
    <x v="0"/>
    <x v="2"/>
    <x v="11"/>
    <n v="2402000"/>
  </r>
  <r>
    <x v="1"/>
    <x v="65"/>
    <x v="0"/>
    <x v="6"/>
    <x v="13"/>
    <n v="21000"/>
  </r>
  <r>
    <x v="0"/>
    <x v="16"/>
    <x v="0"/>
    <x v="1"/>
    <x v="9"/>
    <n v="8581112.6699999999"/>
  </r>
  <r>
    <x v="0"/>
    <x v="76"/>
    <x v="0"/>
    <x v="8"/>
    <x v="19"/>
    <n v="123529.59"/>
  </r>
  <r>
    <x v="1"/>
    <x v="23"/>
    <x v="0"/>
    <x v="10"/>
    <x v="19"/>
    <n v="685698.76"/>
  </r>
  <r>
    <x v="1"/>
    <x v="76"/>
    <x v="0"/>
    <x v="10"/>
    <x v="5"/>
    <n v="5.4"/>
  </r>
  <r>
    <x v="1"/>
    <x v="88"/>
    <x v="0"/>
    <x v="1"/>
    <x v="15"/>
    <n v="33478.949999999997"/>
  </r>
  <r>
    <x v="0"/>
    <x v="66"/>
    <x v="0"/>
    <x v="1"/>
    <x v="20"/>
    <n v="5354729.9000000004"/>
  </r>
  <r>
    <x v="0"/>
    <x v="85"/>
    <x v="0"/>
    <x v="1"/>
    <x v="16"/>
    <n v="1805418.18"/>
  </r>
  <r>
    <x v="0"/>
    <x v="36"/>
    <x v="0"/>
    <x v="6"/>
    <x v="2"/>
    <n v="1000"/>
  </r>
  <r>
    <x v="1"/>
    <x v="80"/>
    <x v="0"/>
    <x v="1"/>
    <x v="11"/>
    <n v="2427545.94"/>
  </r>
  <r>
    <x v="0"/>
    <x v="45"/>
    <x v="0"/>
    <x v="1"/>
    <x v="6"/>
    <n v="77547343.549999997"/>
  </r>
  <r>
    <x v="0"/>
    <x v="4"/>
    <x v="0"/>
    <x v="1"/>
    <x v="11"/>
    <n v="12125928602.280001"/>
  </r>
  <r>
    <x v="1"/>
    <x v="52"/>
    <x v="0"/>
    <x v="1"/>
    <x v="19"/>
    <n v="2914956.17"/>
  </r>
  <r>
    <x v="0"/>
    <x v="71"/>
    <x v="0"/>
    <x v="1"/>
    <x v="25"/>
    <n v="595112.32999999996"/>
  </r>
  <r>
    <x v="1"/>
    <x v="74"/>
    <x v="0"/>
    <x v="1"/>
    <x v="20"/>
    <n v="158274.45000000001"/>
  </r>
  <r>
    <x v="0"/>
    <x v="20"/>
    <x v="0"/>
    <x v="10"/>
    <x v="20"/>
    <n v="7868811.7599999998"/>
  </r>
  <r>
    <x v="1"/>
    <x v="68"/>
    <x v="0"/>
    <x v="1"/>
    <x v="20"/>
    <n v="2292991.84"/>
  </r>
  <r>
    <x v="0"/>
    <x v="13"/>
    <x v="0"/>
    <x v="6"/>
    <x v="11"/>
    <n v="199837"/>
  </r>
  <r>
    <x v="1"/>
    <x v="40"/>
    <x v="0"/>
    <x v="10"/>
    <x v="6"/>
    <n v="223527.28"/>
  </r>
  <r>
    <x v="0"/>
    <x v="36"/>
    <x v="0"/>
    <x v="3"/>
    <x v="2"/>
    <n v="2725000"/>
  </r>
  <r>
    <x v="0"/>
    <x v="4"/>
    <x v="0"/>
    <x v="1"/>
    <x v="23"/>
    <n v="12861093673.08"/>
  </r>
  <r>
    <x v="0"/>
    <x v="42"/>
    <x v="0"/>
    <x v="1"/>
    <x v="5"/>
    <n v="10929283.35"/>
  </r>
  <r>
    <x v="1"/>
    <x v="75"/>
    <x v="0"/>
    <x v="1"/>
    <x v="6"/>
    <n v="28625.200000000001"/>
  </r>
  <r>
    <x v="0"/>
    <x v="60"/>
    <x v="0"/>
    <x v="1"/>
    <x v="11"/>
    <n v="317199.18"/>
  </r>
  <r>
    <x v="1"/>
    <x v="9"/>
    <x v="0"/>
    <x v="3"/>
    <x v="7"/>
    <n v="3031302.45"/>
  </r>
  <r>
    <x v="0"/>
    <x v="24"/>
    <x v="0"/>
    <x v="1"/>
    <x v="10"/>
    <n v="15414000"/>
  </r>
  <r>
    <x v="1"/>
    <x v="3"/>
    <x v="0"/>
    <x v="1"/>
    <x v="25"/>
    <n v="164105.84"/>
  </r>
  <r>
    <x v="1"/>
    <x v="13"/>
    <x v="0"/>
    <x v="1"/>
    <x v="2"/>
    <n v="231593.48"/>
  </r>
  <r>
    <x v="0"/>
    <x v="66"/>
    <x v="0"/>
    <x v="1"/>
    <x v="19"/>
    <n v="7041959.2800000003"/>
  </r>
  <r>
    <x v="1"/>
    <x v="66"/>
    <x v="0"/>
    <x v="1"/>
    <x v="0"/>
    <n v="1843855.19"/>
  </r>
  <r>
    <x v="1"/>
    <x v="86"/>
    <x v="0"/>
    <x v="1"/>
    <x v="25"/>
    <n v="-293078.46000000002"/>
  </r>
  <r>
    <x v="0"/>
    <x v="77"/>
    <x v="0"/>
    <x v="1"/>
    <x v="5"/>
    <n v="1728914.02"/>
  </r>
  <r>
    <x v="0"/>
    <x v="55"/>
    <x v="0"/>
    <x v="1"/>
    <x v="3"/>
    <n v="360422.59"/>
  </r>
  <r>
    <x v="0"/>
    <x v="64"/>
    <x v="0"/>
    <x v="1"/>
    <x v="15"/>
    <n v="189112.36"/>
  </r>
  <r>
    <x v="0"/>
    <x v="28"/>
    <x v="0"/>
    <x v="3"/>
    <x v="22"/>
    <n v="17631922.739999998"/>
  </r>
  <r>
    <x v="1"/>
    <x v="6"/>
    <x v="0"/>
    <x v="3"/>
    <x v="5"/>
    <n v="142205.32999999999"/>
  </r>
  <r>
    <x v="0"/>
    <x v="53"/>
    <x v="0"/>
    <x v="1"/>
    <x v="17"/>
    <n v="5058314.97"/>
  </r>
  <r>
    <x v="1"/>
    <x v="20"/>
    <x v="0"/>
    <x v="1"/>
    <x v="7"/>
    <n v="197818102.78"/>
  </r>
  <r>
    <x v="0"/>
    <x v="76"/>
    <x v="0"/>
    <x v="1"/>
    <x v="5"/>
    <n v="29458412.649999999"/>
  </r>
  <r>
    <x v="0"/>
    <x v="8"/>
    <x v="0"/>
    <x v="1"/>
    <x v="3"/>
    <n v="46173357.880000003"/>
  </r>
  <r>
    <x v="0"/>
    <x v="4"/>
    <x v="0"/>
    <x v="11"/>
    <x v="10"/>
    <n v="172990839.02000001"/>
  </r>
  <r>
    <x v="0"/>
    <x v="29"/>
    <x v="0"/>
    <x v="1"/>
    <x v="18"/>
    <n v="1218552.82"/>
  </r>
  <r>
    <x v="0"/>
    <x v="80"/>
    <x v="0"/>
    <x v="1"/>
    <x v="16"/>
    <n v="29905236.98"/>
  </r>
  <r>
    <x v="1"/>
    <x v="7"/>
    <x v="0"/>
    <x v="1"/>
    <x v="1"/>
    <n v="162253.96"/>
  </r>
  <r>
    <x v="0"/>
    <x v="40"/>
    <x v="0"/>
    <x v="1"/>
    <x v="22"/>
    <n v="238160657.13"/>
  </r>
  <r>
    <x v="1"/>
    <x v="65"/>
    <x v="0"/>
    <x v="1"/>
    <x v="10"/>
    <n v="-109716.89"/>
  </r>
  <r>
    <x v="0"/>
    <x v="66"/>
    <x v="0"/>
    <x v="1"/>
    <x v="5"/>
    <n v="8029348.2999999998"/>
  </r>
  <r>
    <x v="0"/>
    <x v="19"/>
    <x v="0"/>
    <x v="2"/>
    <x v="2"/>
    <n v="142064.65"/>
  </r>
  <r>
    <x v="1"/>
    <x v="4"/>
    <x v="0"/>
    <x v="5"/>
    <x v="19"/>
    <n v="-1133755.57"/>
  </r>
  <r>
    <x v="0"/>
    <x v="6"/>
    <x v="0"/>
    <x v="1"/>
    <x v="4"/>
    <n v="521308220.80000001"/>
  </r>
  <r>
    <x v="1"/>
    <x v="46"/>
    <x v="0"/>
    <x v="1"/>
    <x v="6"/>
    <n v="22011.4"/>
  </r>
  <r>
    <x v="1"/>
    <x v="36"/>
    <x v="0"/>
    <x v="3"/>
    <x v="5"/>
    <n v="0"/>
  </r>
  <r>
    <x v="0"/>
    <x v="9"/>
    <x v="0"/>
    <x v="12"/>
    <x v="12"/>
    <n v="13358001.789999999"/>
  </r>
  <r>
    <x v="1"/>
    <x v="15"/>
    <x v="0"/>
    <x v="1"/>
    <x v="12"/>
    <n v="463422.27"/>
  </r>
  <r>
    <x v="0"/>
    <x v="3"/>
    <x v="0"/>
    <x v="1"/>
    <x v="13"/>
    <n v="2119467.0099999998"/>
  </r>
  <r>
    <x v="1"/>
    <x v="65"/>
    <x v="0"/>
    <x v="10"/>
    <x v="19"/>
    <n v="166892.69"/>
  </r>
  <r>
    <x v="1"/>
    <x v="30"/>
    <x v="0"/>
    <x v="1"/>
    <x v="14"/>
    <n v="26962.6"/>
  </r>
  <r>
    <x v="0"/>
    <x v="11"/>
    <x v="0"/>
    <x v="3"/>
    <x v="15"/>
    <n v="16997000"/>
  </r>
  <r>
    <x v="1"/>
    <x v="84"/>
    <x v="0"/>
    <x v="1"/>
    <x v="14"/>
    <n v="-449857.47"/>
  </r>
  <r>
    <x v="1"/>
    <x v="32"/>
    <x v="0"/>
    <x v="1"/>
    <x v="14"/>
    <n v="1100090.52"/>
  </r>
  <r>
    <x v="1"/>
    <x v="2"/>
    <x v="0"/>
    <x v="1"/>
    <x v="18"/>
    <n v="86768.08"/>
  </r>
  <r>
    <x v="1"/>
    <x v="42"/>
    <x v="0"/>
    <x v="1"/>
    <x v="11"/>
    <n v="32442.57"/>
  </r>
  <r>
    <x v="0"/>
    <x v="102"/>
    <x v="0"/>
    <x v="1"/>
    <x v="25"/>
    <n v="183326"/>
  </r>
  <r>
    <x v="0"/>
    <x v="75"/>
    <x v="0"/>
    <x v="1"/>
    <x v="19"/>
    <n v="201917.87"/>
  </r>
  <r>
    <x v="1"/>
    <x v="31"/>
    <x v="0"/>
    <x v="1"/>
    <x v="13"/>
    <n v="1977229.3"/>
  </r>
  <r>
    <x v="1"/>
    <x v="63"/>
    <x v="0"/>
    <x v="1"/>
    <x v="21"/>
    <n v="11736"/>
  </r>
  <r>
    <x v="0"/>
    <x v="43"/>
    <x v="0"/>
    <x v="1"/>
    <x v="24"/>
    <n v="1230692.04"/>
  </r>
  <r>
    <x v="0"/>
    <x v="67"/>
    <x v="0"/>
    <x v="6"/>
    <x v="0"/>
    <n v="88000"/>
  </r>
  <r>
    <x v="1"/>
    <x v="63"/>
    <x v="0"/>
    <x v="1"/>
    <x v="24"/>
    <n v="45680.36"/>
  </r>
  <r>
    <x v="0"/>
    <x v="37"/>
    <x v="0"/>
    <x v="1"/>
    <x v="14"/>
    <n v="10209039.4"/>
  </r>
  <r>
    <x v="0"/>
    <x v="49"/>
    <x v="0"/>
    <x v="1"/>
    <x v="21"/>
    <n v="2401744.11"/>
  </r>
  <r>
    <x v="0"/>
    <x v="80"/>
    <x v="0"/>
    <x v="1"/>
    <x v="13"/>
    <n v="29605513.780000001"/>
  </r>
  <r>
    <x v="1"/>
    <x v="15"/>
    <x v="0"/>
    <x v="10"/>
    <x v="25"/>
    <n v="335931.28"/>
  </r>
  <r>
    <x v="0"/>
    <x v="40"/>
    <x v="0"/>
    <x v="10"/>
    <x v="10"/>
    <n v="7772588.96"/>
  </r>
  <r>
    <x v="1"/>
    <x v="31"/>
    <x v="0"/>
    <x v="1"/>
    <x v="9"/>
    <n v="980131.33"/>
  </r>
  <r>
    <x v="1"/>
    <x v="47"/>
    <x v="0"/>
    <x v="1"/>
    <x v="0"/>
    <n v="10934510.210000001"/>
  </r>
  <r>
    <x v="0"/>
    <x v="82"/>
    <x v="0"/>
    <x v="1"/>
    <x v="3"/>
    <n v="1382595.33"/>
  </r>
  <r>
    <x v="0"/>
    <x v="27"/>
    <x v="0"/>
    <x v="1"/>
    <x v="15"/>
    <n v="31525000"/>
  </r>
  <r>
    <x v="0"/>
    <x v="87"/>
    <x v="0"/>
    <x v="1"/>
    <x v="20"/>
    <n v="1490828.27"/>
  </r>
  <r>
    <x v="0"/>
    <x v="40"/>
    <x v="0"/>
    <x v="1"/>
    <x v="18"/>
    <n v="737655001.70000005"/>
  </r>
  <r>
    <x v="1"/>
    <x v="22"/>
    <x v="0"/>
    <x v="8"/>
    <x v="19"/>
    <n v="452132.07"/>
  </r>
  <r>
    <x v="1"/>
    <x v="22"/>
    <x v="0"/>
    <x v="1"/>
    <x v="17"/>
    <n v="6547619.5499999998"/>
  </r>
  <r>
    <x v="1"/>
    <x v="58"/>
    <x v="0"/>
    <x v="8"/>
    <x v="14"/>
    <n v="14329.52"/>
  </r>
  <r>
    <x v="1"/>
    <x v="4"/>
    <x v="0"/>
    <x v="11"/>
    <x v="5"/>
    <n v="-146871.87"/>
  </r>
  <r>
    <x v="1"/>
    <x v="10"/>
    <x v="0"/>
    <x v="1"/>
    <x v="19"/>
    <n v="91099.839999999997"/>
  </r>
  <r>
    <x v="1"/>
    <x v="85"/>
    <x v="0"/>
    <x v="1"/>
    <x v="11"/>
    <n v="66647.89"/>
  </r>
  <r>
    <x v="1"/>
    <x v="68"/>
    <x v="0"/>
    <x v="1"/>
    <x v="10"/>
    <n v="2599109.9500000002"/>
  </r>
  <r>
    <x v="0"/>
    <x v="9"/>
    <x v="0"/>
    <x v="1"/>
    <x v="17"/>
    <n v="545396347.39999998"/>
  </r>
  <r>
    <x v="1"/>
    <x v="20"/>
    <x v="0"/>
    <x v="10"/>
    <x v="5"/>
    <n v="1817055.1"/>
  </r>
  <r>
    <x v="1"/>
    <x v="53"/>
    <x v="0"/>
    <x v="9"/>
    <x v="10"/>
    <n v="104156.23"/>
  </r>
  <r>
    <x v="1"/>
    <x v="18"/>
    <x v="0"/>
    <x v="1"/>
    <x v="15"/>
    <n v="326177.87"/>
  </r>
  <r>
    <x v="1"/>
    <x v="36"/>
    <x v="0"/>
    <x v="1"/>
    <x v="18"/>
    <n v="271.64999999999998"/>
  </r>
  <r>
    <x v="0"/>
    <x v="25"/>
    <x v="0"/>
    <x v="1"/>
    <x v="2"/>
    <n v="2262289.1800000002"/>
  </r>
  <r>
    <x v="0"/>
    <x v="42"/>
    <x v="0"/>
    <x v="1"/>
    <x v="17"/>
    <n v="8437858.4600000009"/>
  </r>
  <r>
    <x v="1"/>
    <x v="55"/>
    <x v="0"/>
    <x v="1"/>
    <x v="13"/>
    <n v="26013.74"/>
  </r>
  <r>
    <x v="0"/>
    <x v="52"/>
    <x v="0"/>
    <x v="6"/>
    <x v="0"/>
    <n v="748000"/>
  </r>
  <r>
    <x v="0"/>
    <x v="86"/>
    <x v="0"/>
    <x v="1"/>
    <x v="16"/>
    <n v="1405086.22"/>
  </r>
  <r>
    <x v="1"/>
    <x v="67"/>
    <x v="0"/>
    <x v="1"/>
    <x v="14"/>
    <n v="-507281.08"/>
  </r>
  <r>
    <x v="1"/>
    <x v="11"/>
    <x v="0"/>
    <x v="1"/>
    <x v="3"/>
    <n v="3704550.11"/>
  </r>
  <r>
    <x v="1"/>
    <x v="74"/>
    <x v="0"/>
    <x v="1"/>
    <x v="14"/>
    <n v="122793.03"/>
  </r>
  <r>
    <x v="1"/>
    <x v="40"/>
    <x v="0"/>
    <x v="1"/>
    <x v="23"/>
    <n v="86742431.900000006"/>
  </r>
  <r>
    <x v="0"/>
    <x v="79"/>
    <x v="0"/>
    <x v="1"/>
    <x v="21"/>
    <n v="49475011.780000001"/>
  </r>
  <r>
    <x v="0"/>
    <x v="4"/>
    <x v="0"/>
    <x v="2"/>
    <x v="23"/>
    <n v="1636127.21"/>
  </r>
  <r>
    <x v="1"/>
    <x v="53"/>
    <x v="0"/>
    <x v="1"/>
    <x v="16"/>
    <n v="203521"/>
  </r>
  <r>
    <x v="1"/>
    <x v="53"/>
    <x v="0"/>
    <x v="1"/>
    <x v="23"/>
    <n v="1022919.62"/>
  </r>
  <r>
    <x v="0"/>
    <x v="66"/>
    <x v="0"/>
    <x v="2"/>
    <x v="4"/>
    <n v="1801617.82"/>
  </r>
  <r>
    <x v="0"/>
    <x v="30"/>
    <x v="0"/>
    <x v="1"/>
    <x v="11"/>
    <n v="1179217812.47"/>
  </r>
  <r>
    <x v="0"/>
    <x v="88"/>
    <x v="0"/>
    <x v="1"/>
    <x v="23"/>
    <n v="1090720.73"/>
  </r>
  <r>
    <x v="0"/>
    <x v="28"/>
    <x v="0"/>
    <x v="1"/>
    <x v="2"/>
    <n v="293925873.22000003"/>
  </r>
  <r>
    <x v="1"/>
    <x v="30"/>
    <x v="0"/>
    <x v="1"/>
    <x v="0"/>
    <n v="80624.179999999993"/>
  </r>
  <r>
    <x v="1"/>
    <x v="51"/>
    <x v="0"/>
    <x v="1"/>
    <x v="11"/>
    <n v="55253.17"/>
  </r>
  <r>
    <x v="0"/>
    <x v="6"/>
    <x v="0"/>
    <x v="1"/>
    <x v="2"/>
    <n v="353534516.07999998"/>
  </r>
  <r>
    <x v="1"/>
    <x v="7"/>
    <x v="0"/>
    <x v="1"/>
    <x v="2"/>
    <n v="198018.6"/>
  </r>
  <r>
    <x v="0"/>
    <x v="67"/>
    <x v="0"/>
    <x v="6"/>
    <x v="2"/>
    <n v="88000"/>
  </r>
  <r>
    <x v="1"/>
    <x v="19"/>
    <x v="0"/>
    <x v="2"/>
    <x v="9"/>
    <n v="6332.8"/>
  </r>
  <r>
    <x v="0"/>
    <x v="40"/>
    <x v="0"/>
    <x v="1"/>
    <x v="13"/>
    <n v="700892039.17999995"/>
  </r>
  <r>
    <x v="1"/>
    <x v="14"/>
    <x v="0"/>
    <x v="1"/>
    <x v="16"/>
    <n v="112280.18"/>
  </r>
  <r>
    <x v="1"/>
    <x v="17"/>
    <x v="0"/>
    <x v="1"/>
    <x v="4"/>
    <n v="1351337.46"/>
  </r>
  <r>
    <x v="1"/>
    <x v="32"/>
    <x v="0"/>
    <x v="1"/>
    <x v="18"/>
    <n v="591608.23"/>
  </r>
  <r>
    <x v="0"/>
    <x v="79"/>
    <x v="0"/>
    <x v="9"/>
    <x v="10"/>
    <n v="28294987.73"/>
  </r>
  <r>
    <x v="1"/>
    <x v="20"/>
    <x v="0"/>
    <x v="8"/>
    <x v="6"/>
    <n v="9264046.7200000007"/>
  </r>
  <r>
    <x v="1"/>
    <x v="39"/>
    <x v="0"/>
    <x v="1"/>
    <x v="9"/>
    <n v="8790.4699999999993"/>
  </r>
  <r>
    <x v="0"/>
    <x v="78"/>
    <x v="0"/>
    <x v="1"/>
    <x v="24"/>
    <n v="2047454.25"/>
  </r>
  <r>
    <x v="0"/>
    <x v="22"/>
    <x v="0"/>
    <x v="5"/>
    <x v="6"/>
    <n v="24000000"/>
  </r>
  <r>
    <x v="0"/>
    <x v="75"/>
    <x v="0"/>
    <x v="1"/>
    <x v="9"/>
    <n v="458169.47"/>
  </r>
  <r>
    <x v="0"/>
    <x v="9"/>
    <x v="0"/>
    <x v="2"/>
    <x v="9"/>
    <n v="99485705.959999993"/>
  </r>
  <r>
    <x v="0"/>
    <x v="36"/>
    <x v="0"/>
    <x v="3"/>
    <x v="0"/>
    <n v="2725000"/>
  </r>
  <r>
    <x v="0"/>
    <x v="11"/>
    <x v="0"/>
    <x v="1"/>
    <x v="12"/>
    <n v="172470741.69"/>
  </r>
  <r>
    <x v="1"/>
    <x v="57"/>
    <x v="0"/>
    <x v="1"/>
    <x v="11"/>
    <n v="272835.06"/>
  </r>
  <r>
    <x v="0"/>
    <x v="8"/>
    <x v="0"/>
    <x v="4"/>
    <x v="13"/>
    <n v="1207281"/>
  </r>
  <r>
    <x v="0"/>
    <x v="50"/>
    <x v="0"/>
    <x v="3"/>
    <x v="16"/>
    <n v="9538000"/>
  </r>
  <r>
    <x v="0"/>
    <x v="13"/>
    <x v="0"/>
    <x v="1"/>
    <x v="11"/>
    <n v="3631556.86"/>
  </r>
  <r>
    <x v="0"/>
    <x v="37"/>
    <x v="0"/>
    <x v="1"/>
    <x v="3"/>
    <n v="13907607.18"/>
  </r>
  <r>
    <x v="1"/>
    <x v="13"/>
    <x v="0"/>
    <x v="1"/>
    <x v="3"/>
    <n v="148260.38"/>
  </r>
  <r>
    <x v="0"/>
    <x v="15"/>
    <x v="0"/>
    <x v="1"/>
    <x v="12"/>
    <n v="9982523.6999999993"/>
  </r>
  <r>
    <x v="0"/>
    <x v="75"/>
    <x v="0"/>
    <x v="1"/>
    <x v="5"/>
    <n v="398922.29"/>
  </r>
  <r>
    <x v="0"/>
    <x v="41"/>
    <x v="0"/>
    <x v="1"/>
    <x v="20"/>
    <n v="41500888.100000001"/>
  </r>
  <r>
    <x v="0"/>
    <x v="65"/>
    <x v="0"/>
    <x v="6"/>
    <x v="1"/>
    <n v="803000"/>
  </r>
  <r>
    <x v="0"/>
    <x v="73"/>
    <x v="0"/>
    <x v="6"/>
    <x v="13"/>
    <n v="3000"/>
  </r>
  <r>
    <x v="1"/>
    <x v="65"/>
    <x v="0"/>
    <x v="1"/>
    <x v="9"/>
    <n v="2647661.9700000002"/>
  </r>
  <r>
    <x v="1"/>
    <x v="11"/>
    <x v="0"/>
    <x v="6"/>
    <x v="2"/>
    <n v="7600225"/>
  </r>
  <r>
    <x v="0"/>
    <x v="90"/>
    <x v="0"/>
    <x v="1"/>
    <x v="18"/>
    <n v="167204.44"/>
  </r>
  <r>
    <x v="0"/>
    <x v="3"/>
    <x v="0"/>
    <x v="1"/>
    <x v="21"/>
    <n v="2560872.4500000002"/>
  </r>
  <r>
    <x v="0"/>
    <x v="10"/>
    <x v="0"/>
    <x v="1"/>
    <x v="3"/>
    <n v="1407981.47"/>
  </r>
  <r>
    <x v="1"/>
    <x v="29"/>
    <x v="0"/>
    <x v="1"/>
    <x v="18"/>
    <n v="77025.279999999999"/>
  </r>
  <r>
    <x v="1"/>
    <x v="32"/>
    <x v="0"/>
    <x v="7"/>
    <x v="4"/>
    <n v="1152037.22"/>
  </r>
  <r>
    <x v="0"/>
    <x v="44"/>
    <x v="0"/>
    <x v="1"/>
    <x v="5"/>
    <n v="20381747.07"/>
  </r>
  <r>
    <x v="1"/>
    <x v="31"/>
    <x v="0"/>
    <x v="1"/>
    <x v="7"/>
    <n v="1629682.38"/>
  </r>
  <r>
    <x v="1"/>
    <x v="22"/>
    <x v="0"/>
    <x v="10"/>
    <x v="20"/>
    <n v="-23754.41"/>
  </r>
  <r>
    <x v="1"/>
    <x v="2"/>
    <x v="0"/>
    <x v="1"/>
    <x v="1"/>
    <n v="-134909.48000000001"/>
  </r>
  <r>
    <x v="0"/>
    <x v="39"/>
    <x v="0"/>
    <x v="6"/>
    <x v="1"/>
    <n v="14000"/>
  </r>
  <r>
    <x v="0"/>
    <x v="58"/>
    <x v="0"/>
    <x v="1"/>
    <x v="24"/>
    <n v="12891509.85"/>
  </r>
  <r>
    <x v="1"/>
    <x v="20"/>
    <x v="0"/>
    <x v="1"/>
    <x v="11"/>
    <n v="213120479.99000001"/>
  </r>
  <r>
    <x v="1"/>
    <x v="22"/>
    <x v="0"/>
    <x v="8"/>
    <x v="5"/>
    <n v="926864.79"/>
  </r>
  <r>
    <x v="1"/>
    <x v="41"/>
    <x v="0"/>
    <x v="1"/>
    <x v="7"/>
    <n v="-5144315.8499999996"/>
  </r>
  <r>
    <x v="1"/>
    <x v="76"/>
    <x v="0"/>
    <x v="1"/>
    <x v="13"/>
    <n v="2995715.3"/>
  </r>
  <r>
    <x v="0"/>
    <x v="6"/>
    <x v="0"/>
    <x v="3"/>
    <x v="18"/>
    <n v="7853000"/>
  </r>
  <r>
    <x v="0"/>
    <x v="41"/>
    <x v="0"/>
    <x v="6"/>
    <x v="2"/>
    <n v="1620000"/>
  </r>
  <r>
    <x v="0"/>
    <x v="16"/>
    <x v="0"/>
    <x v="1"/>
    <x v="6"/>
    <n v="5300318.97"/>
  </r>
  <r>
    <x v="0"/>
    <x v="20"/>
    <x v="0"/>
    <x v="1"/>
    <x v="17"/>
    <n v="3592317702.96"/>
  </r>
  <r>
    <x v="0"/>
    <x v="66"/>
    <x v="0"/>
    <x v="1"/>
    <x v="3"/>
    <n v="13713140.48"/>
  </r>
  <r>
    <x v="0"/>
    <x v="46"/>
    <x v="0"/>
    <x v="1"/>
    <x v="9"/>
    <n v="375494.64"/>
  </r>
  <r>
    <x v="1"/>
    <x v="4"/>
    <x v="0"/>
    <x v="3"/>
    <x v="4"/>
    <n v="289116821.63999999"/>
  </r>
  <r>
    <x v="0"/>
    <x v="73"/>
    <x v="0"/>
    <x v="1"/>
    <x v="8"/>
    <n v="5498407.79"/>
  </r>
  <r>
    <x v="1"/>
    <x v="62"/>
    <x v="0"/>
    <x v="1"/>
    <x v="14"/>
    <n v="65115.35"/>
  </r>
  <r>
    <x v="1"/>
    <x v="82"/>
    <x v="0"/>
    <x v="1"/>
    <x v="2"/>
    <n v="269573.56"/>
  </r>
  <r>
    <x v="1"/>
    <x v="33"/>
    <x v="0"/>
    <x v="1"/>
    <x v="0"/>
    <n v="-106214308.14"/>
  </r>
  <r>
    <x v="0"/>
    <x v="57"/>
    <x v="0"/>
    <x v="1"/>
    <x v="17"/>
    <n v="1129601.51"/>
  </r>
  <r>
    <x v="1"/>
    <x v="45"/>
    <x v="0"/>
    <x v="1"/>
    <x v="12"/>
    <n v="4713998.26"/>
  </r>
  <r>
    <x v="0"/>
    <x v="22"/>
    <x v="0"/>
    <x v="1"/>
    <x v="0"/>
    <n v="63084399.899999999"/>
  </r>
  <r>
    <x v="0"/>
    <x v="27"/>
    <x v="0"/>
    <x v="1"/>
    <x v="4"/>
    <n v="65664000"/>
  </r>
  <r>
    <x v="0"/>
    <x v="9"/>
    <x v="0"/>
    <x v="3"/>
    <x v="13"/>
    <n v="19807939.649999999"/>
  </r>
  <r>
    <x v="1"/>
    <x v="10"/>
    <x v="0"/>
    <x v="1"/>
    <x v="1"/>
    <n v="64471.77"/>
  </r>
  <r>
    <x v="1"/>
    <x v="16"/>
    <x v="0"/>
    <x v="1"/>
    <x v="11"/>
    <n v="476054.44"/>
  </r>
  <r>
    <x v="1"/>
    <x v="9"/>
    <x v="0"/>
    <x v="3"/>
    <x v="21"/>
    <n v="11771545.01"/>
  </r>
  <r>
    <x v="0"/>
    <x v="0"/>
    <x v="0"/>
    <x v="3"/>
    <x v="1"/>
    <n v="12305167.4"/>
  </r>
  <r>
    <x v="0"/>
    <x v="74"/>
    <x v="0"/>
    <x v="1"/>
    <x v="4"/>
    <n v="4992339.5"/>
  </r>
  <r>
    <x v="1"/>
    <x v="20"/>
    <x v="0"/>
    <x v="1"/>
    <x v="16"/>
    <n v="257820399.16"/>
  </r>
  <r>
    <x v="0"/>
    <x v="4"/>
    <x v="0"/>
    <x v="11"/>
    <x v="20"/>
    <n v="195172421.16"/>
  </r>
  <r>
    <x v="1"/>
    <x v="3"/>
    <x v="0"/>
    <x v="1"/>
    <x v="15"/>
    <n v="21987.26"/>
  </r>
  <r>
    <x v="0"/>
    <x v="80"/>
    <x v="0"/>
    <x v="1"/>
    <x v="7"/>
    <n v="31413573.210000001"/>
  </r>
  <r>
    <x v="1"/>
    <x v="87"/>
    <x v="0"/>
    <x v="1"/>
    <x v="17"/>
    <n v="54796.66"/>
  </r>
  <r>
    <x v="1"/>
    <x v="87"/>
    <x v="0"/>
    <x v="1"/>
    <x v="19"/>
    <n v="273828.46999999997"/>
  </r>
  <r>
    <x v="0"/>
    <x v="94"/>
    <x v="0"/>
    <x v="1"/>
    <x v="10"/>
    <n v="8203170.5599999996"/>
  </r>
  <r>
    <x v="0"/>
    <x v="27"/>
    <x v="0"/>
    <x v="1"/>
    <x v="20"/>
    <n v="40819938.020000003"/>
  </r>
  <r>
    <x v="0"/>
    <x v="13"/>
    <x v="0"/>
    <x v="1"/>
    <x v="23"/>
    <n v="4434574.17"/>
  </r>
  <r>
    <x v="0"/>
    <x v="20"/>
    <x v="0"/>
    <x v="8"/>
    <x v="5"/>
    <n v="27942612.010000002"/>
  </r>
  <r>
    <x v="0"/>
    <x v="19"/>
    <x v="0"/>
    <x v="1"/>
    <x v="0"/>
    <n v="1428392.62"/>
  </r>
  <r>
    <x v="0"/>
    <x v="15"/>
    <x v="0"/>
    <x v="8"/>
    <x v="17"/>
    <n v="462584.66"/>
  </r>
  <r>
    <x v="1"/>
    <x v="14"/>
    <x v="0"/>
    <x v="1"/>
    <x v="25"/>
    <n v="53084.33"/>
  </r>
  <r>
    <x v="0"/>
    <x v="50"/>
    <x v="0"/>
    <x v="1"/>
    <x v="17"/>
    <n v="44039402.030000001"/>
  </r>
  <r>
    <x v="0"/>
    <x v="56"/>
    <x v="0"/>
    <x v="1"/>
    <x v="16"/>
    <n v="217744.07"/>
  </r>
  <r>
    <x v="0"/>
    <x v="20"/>
    <x v="0"/>
    <x v="1"/>
    <x v="8"/>
    <n v="2487869828.9299998"/>
  </r>
  <r>
    <x v="0"/>
    <x v="65"/>
    <x v="0"/>
    <x v="1"/>
    <x v="1"/>
    <n v="10388618.42"/>
  </r>
  <r>
    <x v="0"/>
    <x v="71"/>
    <x v="0"/>
    <x v="1"/>
    <x v="3"/>
    <n v="646312.9"/>
  </r>
  <r>
    <x v="0"/>
    <x v="93"/>
    <x v="0"/>
    <x v="1"/>
    <x v="13"/>
    <n v="13559695.73"/>
  </r>
  <r>
    <x v="1"/>
    <x v="27"/>
    <x v="0"/>
    <x v="1"/>
    <x v="13"/>
    <n v="-1201964.51"/>
  </r>
  <r>
    <x v="0"/>
    <x v="32"/>
    <x v="0"/>
    <x v="1"/>
    <x v="24"/>
    <n v="12540049.140000001"/>
  </r>
  <r>
    <x v="1"/>
    <x v="6"/>
    <x v="0"/>
    <x v="1"/>
    <x v="8"/>
    <n v="22927.62"/>
  </r>
  <r>
    <x v="1"/>
    <x v="78"/>
    <x v="0"/>
    <x v="1"/>
    <x v="3"/>
    <n v="62219.68"/>
  </r>
  <r>
    <x v="1"/>
    <x v="67"/>
    <x v="0"/>
    <x v="1"/>
    <x v="18"/>
    <n v="-255733.8"/>
  </r>
  <r>
    <x v="1"/>
    <x v="19"/>
    <x v="0"/>
    <x v="1"/>
    <x v="8"/>
    <n v="82909.09"/>
  </r>
  <r>
    <x v="1"/>
    <x v="44"/>
    <x v="0"/>
    <x v="1"/>
    <x v="23"/>
    <n v="3202397.5"/>
  </r>
  <r>
    <x v="1"/>
    <x v="37"/>
    <x v="0"/>
    <x v="1"/>
    <x v="19"/>
    <n v="780134.8"/>
  </r>
  <r>
    <x v="1"/>
    <x v="66"/>
    <x v="0"/>
    <x v="1"/>
    <x v="13"/>
    <n v="303489.03000000003"/>
  </r>
  <r>
    <x v="0"/>
    <x v="47"/>
    <x v="0"/>
    <x v="5"/>
    <x v="20"/>
    <n v="14513866.74"/>
  </r>
  <r>
    <x v="1"/>
    <x v="4"/>
    <x v="0"/>
    <x v="6"/>
    <x v="1"/>
    <n v="-6854.71"/>
  </r>
  <r>
    <x v="1"/>
    <x v="73"/>
    <x v="0"/>
    <x v="1"/>
    <x v="6"/>
    <n v="208440.65"/>
  </r>
  <r>
    <x v="0"/>
    <x v="3"/>
    <x v="0"/>
    <x v="6"/>
    <x v="25"/>
    <n v="18000"/>
  </r>
  <r>
    <x v="0"/>
    <x v="5"/>
    <x v="0"/>
    <x v="3"/>
    <x v="11"/>
    <n v="6915500"/>
  </r>
  <r>
    <x v="1"/>
    <x v="79"/>
    <x v="0"/>
    <x v="9"/>
    <x v="5"/>
    <n v="3040571.19"/>
  </r>
  <r>
    <x v="1"/>
    <x v="54"/>
    <x v="0"/>
    <x v="1"/>
    <x v="2"/>
    <n v="99878.79"/>
  </r>
  <r>
    <x v="0"/>
    <x v="71"/>
    <x v="0"/>
    <x v="1"/>
    <x v="15"/>
    <n v="698734.82"/>
  </r>
  <r>
    <x v="0"/>
    <x v="51"/>
    <x v="0"/>
    <x v="1"/>
    <x v="8"/>
    <n v="962894.34"/>
  </r>
  <r>
    <x v="1"/>
    <x v="90"/>
    <x v="0"/>
    <x v="1"/>
    <x v="13"/>
    <n v="7354.12"/>
  </r>
  <r>
    <x v="1"/>
    <x v="1"/>
    <x v="0"/>
    <x v="1"/>
    <x v="12"/>
    <n v="382860.31"/>
  </r>
  <r>
    <x v="1"/>
    <x v="22"/>
    <x v="0"/>
    <x v="1"/>
    <x v="8"/>
    <n v="7831364.79"/>
  </r>
  <r>
    <x v="0"/>
    <x v="20"/>
    <x v="0"/>
    <x v="10"/>
    <x v="10"/>
    <n v="8552408.9800000004"/>
  </r>
  <r>
    <x v="0"/>
    <x v="71"/>
    <x v="0"/>
    <x v="6"/>
    <x v="2"/>
    <n v="102000"/>
  </r>
  <r>
    <x v="0"/>
    <x v="24"/>
    <x v="0"/>
    <x v="1"/>
    <x v="14"/>
    <n v="281716393.45999998"/>
  </r>
  <r>
    <x v="0"/>
    <x v="77"/>
    <x v="0"/>
    <x v="1"/>
    <x v="17"/>
    <n v="1382147.8"/>
  </r>
  <r>
    <x v="0"/>
    <x v="75"/>
    <x v="0"/>
    <x v="1"/>
    <x v="22"/>
    <n v="465336.2"/>
  </r>
  <r>
    <x v="1"/>
    <x v="36"/>
    <x v="0"/>
    <x v="1"/>
    <x v="5"/>
    <n v="0"/>
  </r>
  <r>
    <x v="1"/>
    <x v="34"/>
    <x v="0"/>
    <x v="2"/>
    <x v="23"/>
    <n v="3680244.44"/>
  </r>
  <r>
    <x v="1"/>
    <x v="59"/>
    <x v="0"/>
    <x v="1"/>
    <x v="25"/>
    <n v="8514942.2699999996"/>
  </r>
  <r>
    <x v="1"/>
    <x v="37"/>
    <x v="0"/>
    <x v="1"/>
    <x v="5"/>
    <n v="1065604.6100000001"/>
  </r>
  <r>
    <x v="1"/>
    <x v="20"/>
    <x v="0"/>
    <x v="1"/>
    <x v="6"/>
    <n v="100909471.23999999"/>
  </r>
  <r>
    <x v="1"/>
    <x v="22"/>
    <x v="0"/>
    <x v="1"/>
    <x v="22"/>
    <n v="6572553.8300000001"/>
  </r>
  <r>
    <x v="1"/>
    <x v="72"/>
    <x v="0"/>
    <x v="7"/>
    <x v="17"/>
    <n v="0"/>
  </r>
  <r>
    <x v="1"/>
    <x v="40"/>
    <x v="0"/>
    <x v="10"/>
    <x v="13"/>
    <n v="1314657.48"/>
  </r>
  <r>
    <x v="1"/>
    <x v="74"/>
    <x v="0"/>
    <x v="1"/>
    <x v="10"/>
    <n v="132434.1"/>
  </r>
  <r>
    <x v="0"/>
    <x v="31"/>
    <x v="0"/>
    <x v="1"/>
    <x v="14"/>
    <n v="21009417.25"/>
  </r>
  <r>
    <x v="1"/>
    <x v="65"/>
    <x v="0"/>
    <x v="10"/>
    <x v="14"/>
    <n v="16114.65"/>
  </r>
  <r>
    <x v="0"/>
    <x v="46"/>
    <x v="0"/>
    <x v="1"/>
    <x v="13"/>
    <n v="786309.94"/>
  </r>
  <r>
    <x v="1"/>
    <x v="99"/>
    <x v="0"/>
    <x v="1"/>
    <x v="0"/>
    <n v="0"/>
  </r>
  <r>
    <x v="0"/>
    <x v="4"/>
    <x v="0"/>
    <x v="3"/>
    <x v="25"/>
    <n v="101200759.11"/>
  </r>
  <r>
    <x v="1"/>
    <x v="52"/>
    <x v="0"/>
    <x v="10"/>
    <x v="24"/>
    <n v="9325.48"/>
  </r>
  <r>
    <x v="1"/>
    <x v="59"/>
    <x v="0"/>
    <x v="7"/>
    <x v="6"/>
    <n v="4570.01"/>
  </r>
  <r>
    <x v="1"/>
    <x v="41"/>
    <x v="0"/>
    <x v="1"/>
    <x v="17"/>
    <n v="1957283.52"/>
  </r>
  <r>
    <x v="0"/>
    <x v="41"/>
    <x v="0"/>
    <x v="6"/>
    <x v="1"/>
    <n v="1619500"/>
  </r>
  <r>
    <x v="0"/>
    <x v="69"/>
    <x v="0"/>
    <x v="1"/>
    <x v="14"/>
    <n v="752076.33"/>
  </r>
  <r>
    <x v="1"/>
    <x v="5"/>
    <x v="0"/>
    <x v="1"/>
    <x v="3"/>
    <n v="4121361.47"/>
  </r>
  <r>
    <x v="0"/>
    <x v="55"/>
    <x v="0"/>
    <x v="1"/>
    <x v="2"/>
    <n v="603153.61"/>
  </r>
  <r>
    <x v="0"/>
    <x v="82"/>
    <x v="0"/>
    <x v="6"/>
    <x v="0"/>
    <n v="107000"/>
  </r>
  <r>
    <x v="1"/>
    <x v="56"/>
    <x v="0"/>
    <x v="1"/>
    <x v="3"/>
    <n v="20829.5"/>
  </r>
  <r>
    <x v="0"/>
    <x v="9"/>
    <x v="0"/>
    <x v="1"/>
    <x v="9"/>
    <n v="732974509.78999996"/>
  </r>
  <r>
    <x v="1"/>
    <x v="16"/>
    <x v="0"/>
    <x v="1"/>
    <x v="23"/>
    <n v="951221.43"/>
  </r>
  <r>
    <x v="1"/>
    <x v="7"/>
    <x v="0"/>
    <x v="1"/>
    <x v="10"/>
    <n v="221961.77"/>
  </r>
  <r>
    <x v="1"/>
    <x v="28"/>
    <x v="0"/>
    <x v="2"/>
    <x v="9"/>
    <n v="-126199.79"/>
  </r>
  <r>
    <x v="0"/>
    <x v="4"/>
    <x v="0"/>
    <x v="0"/>
    <x v="2"/>
    <n v="42601844.560000002"/>
  </r>
  <r>
    <x v="1"/>
    <x v="29"/>
    <x v="0"/>
    <x v="1"/>
    <x v="8"/>
    <n v="74790.53"/>
  </r>
  <r>
    <x v="0"/>
    <x v="1"/>
    <x v="0"/>
    <x v="6"/>
    <x v="11"/>
    <n v="295000"/>
  </r>
  <r>
    <x v="1"/>
    <x v="26"/>
    <x v="0"/>
    <x v="1"/>
    <x v="10"/>
    <n v="86546.59"/>
  </r>
  <r>
    <x v="0"/>
    <x v="5"/>
    <x v="0"/>
    <x v="1"/>
    <x v="25"/>
    <n v="66762767.350000001"/>
  </r>
  <r>
    <x v="0"/>
    <x v="50"/>
    <x v="0"/>
    <x v="3"/>
    <x v="13"/>
    <n v="4314000"/>
  </r>
  <r>
    <x v="0"/>
    <x v="11"/>
    <x v="0"/>
    <x v="1"/>
    <x v="21"/>
    <n v="172641900.31"/>
  </r>
  <r>
    <x v="1"/>
    <x v="25"/>
    <x v="0"/>
    <x v="1"/>
    <x v="22"/>
    <n v="130209.04"/>
  </r>
  <r>
    <x v="1"/>
    <x v="79"/>
    <x v="0"/>
    <x v="9"/>
    <x v="19"/>
    <n v="-639979.98"/>
  </r>
  <r>
    <x v="0"/>
    <x v="75"/>
    <x v="0"/>
    <x v="1"/>
    <x v="17"/>
    <n v="232110.51"/>
  </r>
  <r>
    <x v="0"/>
    <x v="9"/>
    <x v="0"/>
    <x v="1"/>
    <x v="7"/>
    <n v="646838436.85000002"/>
  </r>
  <r>
    <x v="0"/>
    <x v="28"/>
    <x v="0"/>
    <x v="1"/>
    <x v="0"/>
    <n v="267134249.15000001"/>
  </r>
  <r>
    <x v="1"/>
    <x v="8"/>
    <x v="0"/>
    <x v="4"/>
    <x v="25"/>
    <n v="0"/>
  </r>
  <r>
    <x v="1"/>
    <x v="19"/>
    <x v="0"/>
    <x v="1"/>
    <x v="18"/>
    <n v="56887.22"/>
  </r>
  <r>
    <x v="0"/>
    <x v="52"/>
    <x v="0"/>
    <x v="1"/>
    <x v="3"/>
    <n v="4266000.01"/>
  </r>
  <r>
    <x v="1"/>
    <x v="19"/>
    <x v="0"/>
    <x v="1"/>
    <x v="20"/>
    <n v="27162.66"/>
  </r>
  <r>
    <x v="0"/>
    <x v="48"/>
    <x v="0"/>
    <x v="1"/>
    <x v="3"/>
    <n v="232552"/>
  </r>
  <r>
    <x v="0"/>
    <x v="20"/>
    <x v="0"/>
    <x v="6"/>
    <x v="11"/>
    <n v="49084000"/>
  </r>
  <r>
    <x v="0"/>
    <x v="57"/>
    <x v="0"/>
    <x v="1"/>
    <x v="5"/>
    <n v="1336790.02"/>
  </r>
  <r>
    <x v="0"/>
    <x v="22"/>
    <x v="0"/>
    <x v="1"/>
    <x v="2"/>
    <n v="99301548.909999996"/>
  </r>
  <r>
    <x v="1"/>
    <x v="47"/>
    <x v="0"/>
    <x v="1"/>
    <x v="14"/>
    <n v="10732793.77"/>
  </r>
  <r>
    <x v="0"/>
    <x v="57"/>
    <x v="0"/>
    <x v="1"/>
    <x v="13"/>
    <n v="1140142.0900000001"/>
  </r>
  <r>
    <x v="1"/>
    <x v="40"/>
    <x v="0"/>
    <x v="1"/>
    <x v="21"/>
    <n v="51516920.670000002"/>
  </r>
  <r>
    <x v="1"/>
    <x v="42"/>
    <x v="0"/>
    <x v="1"/>
    <x v="12"/>
    <n v="436176.27"/>
  </r>
  <r>
    <x v="0"/>
    <x v="71"/>
    <x v="0"/>
    <x v="1"/>
    <x v="24"/>
    <n v="465369.26"/>
  </r>
  <r>
    <x v="0"/>
    <x v="1"/>
    <x v="0"/>
    <x v="1"/>
    <x v="7"/>
    <n v="5897313.6699999999"/>
  </r>
  <r>
    <x v="1"/>
    <x v="43"/>
    <x v="0"/>
    <x v="1"/>
    <x v="14"/>
    <n v="43738.83"/>
  </r>
  <r>
    <x v="1"/>
    <x v="22"/>
    <x v="0"/>
    <x v="8"/>
    <x v="17"/>
    <n v="667693.82999999996"/>
  </r>
  <r>
    <x v="0"/>
    <x v="16"/>
    <x v="0"/>
    <x v="1"/>
    <x v="7"/>
    <n v="7169250.5599999996"/>
  </r>
  <r>
    <x v="0"/>
    <x v="97"/>
    <x v="0"/>
    <x v="1"/>
    <x v="4"/>
    <n v="2489260.11"/>
  </r>
  <r>
    <x v="1"/>
    <x v="2"/>
    <x v="0"/>
    <x v="1"/>
    <x v="8"/>
    <n v="-121056.97"/>
  </r>
  <r>
    <x v="0"/>
    <x v="5"/>
    <x v="0"/>
    <x v="1"/>
    <x v="21"/>
    <n v="20984193.82"/>
  </r>
  <r>
    <x v="0"/>
    <x v="1"/>
    <x v="0"/>
    <x v="1"/>
    <x v="9"/>
    <n v="8574875.6300000008"/>
  </r>
  <r>
    <x v="0"/>
    <x v="90"/>
    <x v="0"/>
    <x v="1"/>
    <x v="0"/>
    <n v="207560.36"/>
  </r>
  <r>
    <x v="0"/>
    <x v="4"/>
    <x v="0"/>
    <x v="2"/>
    <x v="11"/>
    <n v="542745.89"/>
  </r>
  <r>
    <x v="1"/>
    <x v="27"/>
    <x v="0"/>
    <x v="1"/>
    <x v="5"/>
    <n v="0"/>
  </r>
  <r>
    <x v="1"/>
    <x v="76"/>
    <x v="0"/>
    <x v="8"/>
    <x v="6"/>
    <n v="2184.79"/>
  </r>
  <r>
    <x v="1"/>
    <x v="20"/>
    <x v="0"/>
    <x v="5"/>
    <x v="21"/>
    <n v="0"/>
  </r>
  <r>
    <x v="1"/>
    <x v="82"/>
    <x v="0"/>
    <x v="1"/>
    <x v="0"/>
    <n v="190748.09"/>
  </r>
  <r>
    <x v="0"/>
    <x v="50"/>
    <x v="0"/>
    <x v="1"/>
    <x v="13"/>
    <n v="45024664.310000002"/>
  </r>
  <r>
    <x v="1"/>
    <x v="20"/>
    <x v="0"/>
    <x v="10"/>
    <x v="6"/>
    <n v="3915225.77"/>
  </r>
  <r>
    <x v="1"/>
    <x v="73"/>
    <x v="0"/>
    <x v="9"/>
    <x v="14"/>
    <n v="811151.79"/>
  </r>
  <r>
    <x v="0"/>
    <x v="23"/>
    <x v="0"/>
    <x v="1"/>
    <x v="0"/>
    <n v="19100338.890000001"/>
  </r>
  <r>
    <x v="1"/>
    <x v="40"/>
    <x v="0"/>
    <x v="8"/>
    <x v="6"/>
    <n v="-663745.09"/>
  </r>
  <r>
    <x v="0"/>
    <x v="76"/>
    <x v="0"/>
    <x v="10"/>
    <x v="10"/>
    <n v="6726895.8700000001"/>
  </r>
  <r>
    <x v="1"/>
    <x v="56"/>
    <x v="0"/>
    <x v="1"/>
    <x v="15"/>
    <n v="14559.24"/>
  </r>
  <r>
    <x v="1"/>
    <x v="33"/>
    <x v="0"/>
    <x v="5"/>
    <x v="10"/>
    <n v="-638229.18000000005"/>
  </r>
  <r>
    <x v="1"/>
    <x v="64"/>
    <x v="0"/>
    <x v="1"/>
    <x v="0"/>
    <n v="18181.25"/>
  </r>
  <r>
    <x v="0"/>
    <x v="31"/>
    <x v="0"/>
    <x v="6"/>
    <x v="1"/>
    <n v="1470500"/>
  </r>
  <r>
    <x v="1"/>
    <x v="32"/>
    <x v="0"/>
    <x v="7"/>
    <x v="3"/>
    <n v="100000"/>
  </r>
  <r>
    <x v="1"/>
    <x v="65"/>
    <x v="0"/>
    <x v="10"/>
    <x v="20"/>
    <n v="-444682.89"/>
  </r>
  <r>
    <x v="0"/>
    <x v="48"/>
    <x v="0"/>
    <x v="1"/>
    <x v="25"/>
    <n v="87836"/>
  </r>
  <r>
    <x v="0"/>
    <x v="75"/>
    <x v="0"/>
    <x v="7"/>
    <x v="14"/>
    <n v="8800"/>
  </r>
  <r>
    <x v="1"/>
    <x v="64"/>
    <x v="0"/>
    <x v="1"/>
    <x v="14"/>
    <n v="893.41"/>
  </r>
  <r>
    <x v="0"/>
    <x v="72"/>
    <x v="0"/>
    <x v="1"/>
    <x v="17"/>
    <n v="290346.43"/>
  </r>
  <r>
    <x v="1"/>
    <x v="32"/>
    <x v="0"/>
    <x v="1"/>
    <x v="1"/>
    <n v="116999.98"/>
  </r>
  <r>
    <x v="1"/>
    <x v="24"/>
    <x v="0"/>
    <x v="1"/>
    <x v="20"/>
    <n v="36230006.43"/>
  </r>
  <r>
    <x v="1"/>
    <x v="44"/>
    <x v="0"/>
    <x v="1"/>
    <x v="16"/>
    <n v="8967439.0600000005"/>
  </r>
  <r>
    <x v="0"/>
    <x v="7"/>
    <x v="0"/>
    <x v="1"/>
    <x v="3"/>
    <n v="3713337.59"/>
  </r>
  <r>
    <x v="1"/>
    <x v="55"/>
    <x v="0"/>
    <x v="1"/>
    <x v="19"/>
    <n v="64918.76"/>
  </r>
  <r>
    <x v="1"/>
    <x v="78"/>
    <x v="0"/>
    <x v="1"/>
    <x v="10"/>
    <n v="131842.9"/>
  </r>
  <r>
    <x v="0"/>
    <x v="57"/>
    <x v="0"/>
    <x v="1"/>
    <x v="1"/>
    <n v="1412604.36"/>
  </r>
  <r>
    <x v="0"/>
    <x v="90"/>
    <x v="0"/>
    <x v="6"/>
    <x v="1"/>
    <n v="15000"/>
  </r>
  <r>
    <x v="1"/>
    <x v="43"/>
    <x v="0"/>
    <x v="1"/>
    <x v="3"/>
    <n v="135427.14000000001"/>
  </r>
  <r>
    <x v="0"/>
    <x v="89"/>
    <x v="0"/>
    <x v="1"/>
    <x v="11"/>
    <n v="240915.78"/>
  </r>
  <r>
    <x v="0"/>
    <x v="11"/>
    <x v="0"/>
    <x v="2"/>
    <x v="23"/>
    <n v="16896000"/>
  </r>
  <r>
    <x v="1"/>
    <x v="75"/>
    <x v="0"/>
    <x v="1"/>
    <x v="7"/>
    <n v="-1925.89"/>
  </r>
  <r>
    <x v="0"/>
    <x v="60"/>
    <x v="0"/>
    <x v="1"/>
    <x v="25"/>
    <n v="343054.08000000002"/>
  </r>
  <r>
    <x v="1"/>
    <x v="45"/>
    <x v="0"/>
    <x v="1"/>
    <x v="21"/>
    <n v="4607757.2699999996"/>
  </r>
  <r>
    <x v="0"/>
    <x v="86"/>
    <x v="0"/>
    <x v="1"/>
    <x v="11"/>
    <n v="1860270.11"/>
  </r>
  <r>
    <x v="1"/>
    <x v="4"/>
    <x v="0"/>
    <x v="2"/>
    <x v="2"/>
    <n v="267300.84999999998"/>
  </r>
  <r>
    <x v="1"/>
    <x v="4"/>
    <x v="0"/>
    <x v="1"/>
    <x v="24"/>
    <n v="4278373.13"/>
  </r>
  <r>
    <x v="0"/>
    <x v="45"/>
    <x v="0"/>
    <x v="1"/>
    <x v="9"/>
    <n v="149965577.88"/>
  </r>
  <r>
    <x v="1"/>
    <x v="53"/>
    <x v="0"/>
    <x v="9"/>
    <x v="20"/>
    <n v="-86902.13"/>
  </r>
  <r>
    <x v="1"/>
    <x v="77"/>
    <x v="0"/>
    <x v="1"/>
    <x v="13"/>
    <n v="84054.54"/>
  </r>
  <r>
    <x v="0"/>
    <x v="25"/>
    <x v="0"/>
    <x v="1"/>
    <x v="1"/>
    <n v="1355668.95"/>
  </r>
  <r>
    <x v="0"/>
    <x v="0"/>
    <x v="0"/>
    <x v="6"/>
    <x v="1"/>
    <n v="468000"/>
  </r>
  <r>
    <x v="0"/>
    <x v="17"/>
    <x v="0"/>
    <x v="1"/>
    <x v="16"/>
    <n v="8212623.1900000004"/>
  </r>
  <r>
    <x v="1"/>
    <x v="33"/>
    <x v="0"/>
    <x v="5"/>
    <x v="19"/>
    <n v="725729.06"/>
  </r>
  <r>
    <x v="0"/>
    <x v="76"/>
    <x v="0"/>
    <x v="8"/>
    <x v="17"/>
    <n v="37319.599999999999"/>
  </r>
  <r>
    <x v="1"/>
    <x v="33"/>
    <x v="0"/>
    <x v="5"/>
    <x v="20"/>
    <n v="-32083.78"/>
  </r>
  <r>
    <x v="0"/>
    <x v="18"/>
    <x v="0"/>
    <x v="1"/>
    <x v="23"/>
    <n v="16459569.789999999"/>
  </r>
  <r>
    <x v="0"/>
    <x v="2"/>
    <x v="0"/>
    <x v="1"/>
    <x v="2"/>
    <n v="4128603.03"/>
  </r>
  <r>
    <x v="0"/>
    <x v="19"/>
    <x v="0"/>
    <x v="1"/>
    <x v="4"/>
    <n v="2072067.14"/>
  </r>
  <r>
    <x v="1"/>
    <x v="17"/>
    <x v="0"/>
    <x v="1"/>
    <x v="15"/>
    <n v="659991.94999999995"/>
  </r>
  <r>
    <x v="0"/>
    <x v="56"/>
    <x v="0"/>
    <x v="1"/>
    <x v="6"/>
    <n v="185798.52"/>
  </r>
  <r>
    <x v="1"/>
    <x v="54"/>
    <x v="0"/>
    <x v="1"/>
    <x v="15"/>
    <n v="45885.15"/>
  </r>
  <r>
    <x v="0"/>
    <x v="70"/>
    <x v="0"/>
    <x v="1"/>
    <x v="3"/>
    <n v="992640.65"/>
  </r>
  <r>
    <x v="0"/>
    <x v="11"/>
    <x v="0"/>
    <x v="1"/>
    <x v="6"/>
    <n v="188199493.78999999"/>
  </r>
  <r>
    <x v="1"/>
    <x v="80"/>
    <x v="0"/>
    <x v="1"/>
    <x v="25"/>
    <n v="1491348.83"/>
  </r>
  <r>
    <x v="1"/>
    <x v="19"/>
    <x v="0"/>
    <x v="1"/>
    <x v="1"/>
    <n v="158004.03"/>
  </r>
  <r>
    <x v="0"/>
    <x v="25"/>
    <x v="0"/>
    <x v="6"/>
    <x v="1"/>
    <n v="81000"/>
  </r>
  <r>
    <x v="0"/>
    <x v="50"/>
    <x v="0"/>
    <x v="3"/>
    <x v="17"/>
    <n v="2147000"/>
  </r>
  <r>
    <x v="1"/>
    <x v="19"/>
    <x v="0"/>
    <x v="6"/>
    <x v="0"/>
    <n v="-1000"/>
  </r>
  <r>
    <x v="0"/>
    <x v="20"/>
    <x v="0"/>
    <x v="7"/>
    <x v="20"/>
    <n v="315000"/>
  </r>
  <r>
    <x v="0"/>
    <x v="79"/>
    <x v="0"/>
    <x v="1"/>
    <x v="25"/>
    <n v="43631039.18"/>
  </r>
  <r>
    <x v="0"/>
    <x v="11"/>
    <x v="0"/>
    <x v="3"/>
    <x v="25"/>
    <n v="12994000"/>
  </r>
  <r>
    <x v="0"/>
    <x v="4"/>
    <x v="0"/>
    <x v="11"/>
    <x v="13"/>
    <n v="349553537.19"/>
  </r>
  <r>
    <x v="1"/>
    <x v="33"/>
    <x v="0"/>
    <x v="1"/>
    <x v="19"/>
    <n v="662359.19999999995"/>
  </r>
  <r>
    <x v="1"/>
    <x v="72"/>
    <x v="0"/>
    <x v="1"/>
    <x v="8"/>
    <n v="0"/>
  </r>
  <r>
    <x v="1"/>
    <x v="57"/>
    <x v="0"/>
    <x v="1"/>
    <x v="1"/>
    <n v="-11608.04"/>
  </r>
  <r>
    <x v="0"/>
    <x v="2"/>
    <x v="0"/>
    <x v="1"/>
    <x v="25"/>
    <n v="326096.21999999997"/>
  </r>
  <r>
    <x v="0"/>
    <x v="20"/>
    <x v="0"/>
    <x v="10"/>
    <x v="6"/>
    <n v="9076774.2300000004"/>
  </r>
  <r>
    <x v="0"/>
    <x v="35"/>
    <x v="0"/>
    <x v="1"/>
    <x v="15"/>
    <n v="68939032"/>
  </r>
  <r>
    <x v="0"/>
    <x v="67"/>
    <x v="0"/>
    <x v="1"/>
    <x v="14"/>
    <n v="2140250.4"/>
  </r>
  <r>
    <x v="1"/>
    <x v="32"/>
    <x v="0"/>
    <x v="1"/>
    <x v="4"/>
    <n v="2438738.59"/>
  </r>
  <r>
    <x v="0"/>
    <x v="59"/>
    <x v="0"/>
    <x v="10"/>
    <x v="5"/>
    <n v="254127.41"/>
  </r>
  <r>
    <x v="0"/>
    <x v="28"/>
    <x v="0"/>
    <x v="0"/>
    <x v="15"/>
    <n v="73500000"/>
  </r>
  <r>
    <x v="1"/>
    <x v="76"/>
    <x v="0"/>
    <x v="1"/>
    <x v="1"/>
    <n v="2025508.3"/>
  </r>
  <r>
    <x v="0"/>
    <x v="59"/>
    <x v="0"/>
    <x v="1"/>
    <x v="6"/>
    <n v="38245568.969999999"/>
  </r>
  <r>
    <x v="1"/>
    <x v="46"/>
    <x v="0"/>
    <x v="1"/>
    <x v="17"/>
    <n v="-36590.9"/>
  </r>
  <r>
    <x v="1"/>
    <x v="70"/>
    <x v="0"/>
    <x v="1"/>
    <x v="9"/>
    <n v="-384312.4"/>
  </r>
  <r>
    <x v="0"/>
    <x v="6"/>
    <x v="0"/>
    <x v="3"/>
    <x v="4"/>
    <n v="23225314.300000001"/>
  </r>
  <r>
    <x v="0"/>
    <x v="30"/>
    <x v="0"/>
    <x v="1"/>
    <x v="13"/>
    <n v="703174914.12"/>
  </r>
  <r>
    <x v="0"/>
    <x v="80"/>
    <x v="0"/>
    <x v="6"/>
    <x v="13"/>
    <n v="167000"/>
  </r>
  <r>
    <x v="1"/>
    <x v="41"/>
    <x v="0"/>
    <x v="1"/>
    <x v="16"/>
    <n v="5413406.1399999997"/>
  </r>
  <r>
    <x v="1"/>
    <x v="60"/>
    <x v="0"/>
    <x v="1"/>
    <x v="25"/>
    <n v="-5376.17"/>
  </r>
  <r>
    <x v="1"/>
    <x v="82"/>
    <x v="0"/>
    <x v="1"/>
    <x v="17"/>
    <n v="-474950.97"/>
  </r>
  <r>
    <x v="1"/>
    <x v="30"/>
    <x v="0"/>
    <x v="1"/>
    <x v="8"/>
    <n v="2323266.1"/>
  </r>
  <r>
    <x v="1"/>
    <x v="4"/>
    <x v="0"/>
    <x v="2"/>
    <x v="22"/>
    <n v="-919087.01"/>
  </r>
  <r>
    <x v="1"/>
    <x v="60"/>
    <x v="0"/>
    <x v="1"/>
    <x v="21"/>
    <n v="8275.19"/>
  </r>
  <r>
    <x v="1"/>
    <x v="67"/>
    <x v="0"/>
    <x v="1"/>
    <x v="24"/>
    <n v="-7838.55"/>
  </r>
  <r>
    <x v="1"/>
    <x v="33"/>
    <x v="0"/>
    <x v="1"/>
    <x v="22"/>
    <n v="-322650107.08999997"/>
  </r>
  <r>
    <x v="1"/>
    <x v="49"/>
    <x v="0"/>
    <x v="1"/>
    <x v="1"/>
    <n v="88415.48"/>
  </r>
  <r>
    <x v="1"/>
    <x v="51"/>
    <x v="0"/>
    <x v="1"/>
    <x v="13"/>
    <n v="26123.3"/>
  </r>
  <r>
    <x v="0"/>
    <x v="6"/>
    <x v="0"/>
    <x v="2"/>
    <x v="4"/>
    <n v="35697495.079999998"/>
  </r>
  <r>
    <x v="0"/>
    <x v="10"/>
    <x v="0"/>
    <x v="1"/>
    <x v="18"/>
    <n v="0"/>
  </r>
  <r>
    <x v="0"/>
    <x v="10"/>
    <x v="0"/>
    <x v="1"/>
    <x v="10"/>
    <n v="1929479.86"/>
  </r>
  <r>
    <x v="0"/>
    <x v="36"/>
    <x v="0"/>
    <x v="1"/>
    <x v="12"/>
    <n v="17728751.210000001"/>
  </r>
  <r>
    <x v="0"/>
    <x v="67"/>
    <x v="0"/>
    <x v="1"/>
    <x v="19"/>
    <n v="1282838.31"/>
  </r>
  <r>
    <x v="1"/>
    <x v="4"/>
    <x v="0"/>
    <x v="11"/>
    <x v="10"/>
    <n v="1829464.8"/>
  </r>
  <r>
    <x v="1"/>
    <x v="46"/>
    <x v="0"/>
    <x v="1"/>
    <x v="5"/>
    <n v="22766.82"/>
  </r>
  <r>
    <x v="0"/>
    <x v="36"/>
    <x v="0"/>
    <x v="3"/>
    <x v="7"/>
    <n v="2768000"/>
  </r>
  <r>
    <x v="0"/>
    <x v="9"/>
    <x v="0"/>
    <x v="3"/>
    <x v="12"/>
    <n v="35847019.729999997"/>
  </r>
  <r>
    <x v="0"/>
    <x v="52"/>
    <x v="0"/>
    <x v="6"/>
    <x v="1"/>
    <n v="750000"/>
  </r>
  <r>
    <x v="0"/>
    <x v="16"/>
    <x v="0"/>
    <x v="1"/>
    <x v="25"/>
    <n v="6779551.9299999997"/>
  </r>
  <r>
    <x v="1"/>
    <x v="46"/>
    <x v="0"/>
    <x v="1"/>
    <x v="13"/>
    <n v="-49678.28"/>
  </r>
  <r>
    <x v="1"/>
    <x v="16"/>
    <x v="0"/>
    <x v="1"/>
    <x v="8"/>
    <n v="345974.24"/>
  </r>
  <r>
    <x v="0"/>
    <x v="28"/>
    <x v="0"/>
    <x v="0"/>
    <x v="3"/>
    <n v="67500000"/>
  </r>
  <r>
    <x v="1"/>
    <x v="67"/>
    <x v="0"/>
    <x v="2"/>
    <x v="9"/>
    <n v="41.18"/>
  </r>
  <r>
    <x v="0"/>
    <x v="27"/>
    <x v="0"/>
    <x v="1"/>
    <x v="14"/>
    <n v="40067171.299999997"/>
  </r>
  <r>
    <x v="0"/>
    <x v="54"/>
    <x v="0"/>
    <x v="1"/>
    <x v="1"/>
    <n v="1148317.71"/>
  </r>
  <r>
    <x v="1"/>
    <x v="82"/>
    <x v="0"/>
    <x v="1"/>
    <x v="19"/>
    <n v="59672.71"/>
  </r>
  <r>
    <x v="1"/>
    <x v="11"/>
    <x v="0"/>
    <x v="1"/>
    <x v="21"/>
    <n v="-3179900.31"/>
  </r>
  <r>
    <x v="0"/>
    <x v="54"/>
    <x v="0"/>
    <x v="1"/>
    <x v="0"/>
    <n v="1095752.4099999999"/>
  </r>
  <r>
    <x v="0"/>
    <x v="10"/>
    <x v="0"/>
    <x v="6"/>
    <x v="1"/>
    <n v="64000"/>
  </r>
  <r>
    <x v="0"/>
    <x v="15"/>
    <x v="0"/>
    <x v="1"/>
    <x v="2"/>
    <n v="18771486.890000001"/>
  </r>
  <r>
    <x v="1"/>
    <x v="6"/>
    <x v="0"/>
    <x v="3"/>
    <x v="23"/>
    <n v="11486.15"/>
  </r>
  <r>
    <x v="0"/>
    <x v="85"/>
    <x v="0"/>
    <x v="6"/>
    <x v="2"/>
    <n v="190000"/>
  </r>
  <r>
    <x v="1"/>
    <x v="60"/>
    <x v="0"/>
    <x v="1"/>
    <x v="12"/>
    <n v="5751.42"/>
  </r>
  <r>
    <x v="1"/>
    <x v="79"/>
    <x v="0"/>
    <x v="1"/>
    <x v="7"/>
    <n v="2216439.21"/>
  </r>
  <r>
    <x v="0"/>
    <x v="22"/>
    <x v="0"/>
    <x v="5"/>
    <x v="20"/>
    <n v="24490303"/>
  </r>
  <r>
    <x v="0"/>
    <x v="49"/>
    <x v="0"/>
    <x v="1"/>
    <x v="6"/>
    <n v="2363184.77"/>
  </r>
  <r>
    <x v="0"/>
    <x v="13"/>
    <x v="0"/>
    <x v="6"/>
    <x v="2"/>
    <n v="236163"/>
  </r>
  <r>
    <x v="1"/>
    <x v="41"/>
    <x v="0"/>
    <x v="1"/>
    <x v="23"/>
    <n v="44920944.310000002"/>
  </r>
  <r>
    <x v="1"/>
    <x v="27"/>
    <x v="0"/>
    <x v="1"/>
    <x v="25"/>
    <n v="0"/>
  </r>
  <r>
    <x v="0"/>
    <x v="86"/>
    <x v="0"/>
    <x v="1"/>
    <x v="15"/>
    <n v="1332919.6200000001"/>
  </r>
  <r>
    <x v="1"/>
    <x v="11"/>
    <x v="0"/>
    <x v="1"/>
    <x v="12"/>
    <n v="-1785446.88"/>
  </r>
  <r>
    <x v="1"/>
    <x v="43"/>
    <x v="0"/>
    <x v="1"/>
    <x v="9"/>
    <n v="158374.45000000001"/>
  </r>
  <r>
    <x v="0"/>
    <x v="52"/>
    <x v="0"/>
    <x v="1"/>
    <x v="22"/>
    <n v="15228055.42"/>
  </r>
  <r>
    <x v="1"/>
    <x v="30"/>
    <x v="0"/>
    <x v="1"/>
    <x v="5"/>
    <n v="52338.2"/>
  </r>
  <r>
    <x v="1"/>
    <x v="51"/>
    <x v="0"/>
    <x v="1"/>
    <x v="22"/>
    <n v="35624.120000000003"/>
  </r>
  <r>
    <x v="0"/>
    <x v="60"/>
    <x v="0"/>
    <x v="6"/>
    <x v="2"/>
    <n v="22196.59"/>
  </r>
  <r>
    <x v="1"/>
    <x v="6"/>
    <x v="0"/>
    <x v="3"/>
    <x v="25"/>
    <n v="84875.43"/>
  </r>
  <r>
    <x v="0"/>
    <x v="55"/>
    <x v="0"/>
    <x v="1"/>
    <x v="22"/>
    <n v="440357.21"/>
  </r>
  <r>
    <x v="1"/>
    <x v="93"/>
    <x v="0"/>
    <x v="1"/>
    <x v="17"/>
    <n v="649531.57999999996"/>
  </r>
  <r>
    <x v="0"/>
    <x v="1"/>
    <x v="0"/>
    <x v="1"/>
    <x v="6"/>
    <n v="4414818.2699999996"/>
  </r>
  <r>
    <x v="1"/>
    <x v="32"/>
    <x v="0"/>
    <x v="7"/>
    <x v="6"/>
    <n v="4515.54"/>
  </r>
  <r>
    <x v="1"/>
    <x v="8"/>
    <x v="0"/>
    <x v="1"/>
    <x v="25"/>
    <n v="4730978.4800000004"/>
  </r>
  <r>
    <x v="0"/>
    <x v="65"/>
    <x v="0"/>
    <x v="6"/>
    <x v="2"/>
    <n v="1602000"/>
  </r>
  <r>
    <x v="1"/>
    <x v="90"/>
    <x v="0"/>
    <x v="1"/>
    <x v="18"/>
    <n v="3891.17"/>
  </r>
  <r>
    <x v="0"/>
    <x v="47"/>
    <x v="0"/>
    <x v="7"/>
    <x v="25"/>
    <n v="20000"/>
  </r>
  <r>
    <x v="0"/>
    <x v="21"/>
    <x v="0"/>
    <x v="1"/>
    <x v="23"/>
    <n v="13225623.789999999"/>
  </r>
  <r>
    <x v="0"/>
    <x v="43"/>
    <x v="0"/>
    <x v="1"/>
    <x v="16"/>
    <n v="2157027.02"/>
  </r>
  <r>
    <x v="1"/>
    <x v="54"/>
    <x v="0"/>
    <x v="1"/>
    <x v="25"/>
    <n v="63287.74"/>
  </r>
  <r>
    <x v="0"/>
    <x v="59"/>
    <x v="0"/>
    <x v="1"/>
    <x v="7"/>
    <n v="34142663.549999997"/>
  </r>
  <r>
    <x v="0"/>
    <x v="82"/>
    <x v="0"/>
    <x v="1"/>
    <x v="11"/>
    <n v="2526151.39"/>
  </r>
  <r>
    <x v="1"/>
    <x v="20"/>
    <x v="0"/>
    <x v="8"/>
    <x v="25"/>
    <n v="4958570.37"/>
  </r>
  <r>
    <x v="0"/>
    <x v="70"/>
    <x v="0"/>
    <x v="1"/>
    <x v="13"/>
    <n v="2908440.49"/>
  </r>
  <r>
    <x v="0"/>
    <x v="2"/>
    <x v="0"/>
    <x v="1"/>
    <x v="23"/>
    <n v="6266407.9199999999"/>
  </r>
  <r>
    <x v="0"/>
    <x v="64"/>
    <x v="0"/>
    <x v="1"/>
    <x v="14"/>
    <n v="189912.32000000001"/>
  </r>
  <r>
    <x v="1"/>
    <x v="16"/>
    <x v="0"/>
    <x v="1"/>
    <x v="16"/>
    <n v="654910.07999999996"/>
  </r>
  <r>
    <x v="0"/>
    <x v="76"/>
    <x v="0"/>
    <x v="10"/>
    <x v="13"/>
    <n v="692980.98"/>
  </r>
  <r>
    <x v="0"/>
    <x v="23"/>
    <x v="0"/>
    <x v="1"/>
    <x v="5"/>
    <n v="51009.61"/>
  </r>
  <r>
    <x v="1"/>
    <x v="4"/>
    <x v="0"/>
    <x v="1"/>
    <x v="16"/>
    <n v="841528.34"/>
  </r>
  <r>
    <x v="0"/>
    <x v="55"/>
    <x v="0"/>
    <x v="1"/>
    <x v="1"/>
    <n v="418729.06"/>
  </r>
  <r>
    <x v="0"/>
    <x v="14"/>
    <x v="0"/>
    <x v="1"/>
    <x v="25"/>
    <n v="1075226.45"/>
  </r>
  <r>
    <x v="0"/>
    <x v="29"/>
    <x v="0"/>
    <x v="1"/>
    <x v="8"/>
    <n v="1586761.23"/>
  </r>
  <r>
    <x v="0"/>
    <x v="28"/>
    <x v="0"/>
    <x v="2"/>
    <x v="4"/>
    <n v="127056713.37"/>
  </r>
  <r>
    <x v="0"/>
    <x v="73"/>
    <x v="0"/>
    <x v="1"/>
    <x v="10"/>
    <n v="1740065.79"/>
  </r>
  <r>
    <x v="0"/>
    <x v="24"/>
    <x v="0"/>
    <x v="1"/>
    <x v="8"/>
    <n v="36110000"/>
  </r>
  <r>
    <x v="0"/>
    <x v="3"/>
    <x v="0"/>
    <x v="1"/>
    <x v="5"/>
    <n v="2676807.16"/>
  </r>
  <r>
    <x v="1"/>
    <x v="95"/>
    <x v="0"/>
    <x v="1"/>
    <x v="23"/>
    <n v="146651.47"/>
  </r>
  <r>
    <x v="1"/>
    <x v="45"/>
    <x v="0"/>
    <x v="1"/>
    <x v="13"/>
    <n v="5807933.9400000004"/>
  </r>
  <r>
    <x v="1"/>
    <x v="4"/>
    <x v="0"/>
    <x v="3"/>
    <x v="22"/>
    <n v="-410082.24"/>
  </r>
  <r>
    <x v="1"/>
    <x v="89"/>
    <x v="0"/>
    <x v="1"/>
    <x v="11"/>
    <n v="114084.22"/>
  </r>
  <r>
    <x v="1"/>
    <x v="45"/>
    <x v="0"/>
    <x v="1"/>
    <x v="9"/>
    <n v="8185154.5099999998"/>
  </r>
  <r>
    <x v="0"/>
    <x v="32"/>
    <x v="0"/>
    <x v="1"/>
    <x v="22"/>
    <n v="5300329.54"/>
  </r>
  <r>
    <x v="1"/>
    <x v="9"/>
    <x v="0"/>
    <x v="6"/>
    <x v="25"/>
    <n v="11757300"/>
  </r>
  <r>
    <x v="0"/>
    <x v="96"/>
    <x v="0"/>
    <x v="1"/>
    <x v="3"/>
    <n v="386345.95"/>
  </r>
  <r>
    <x v="1"/>
    <x v="82"/>
    <x v="0"/>
    <x v="1"/>
    <x v="9"/>
    <n v="367549.65"/>
  </r>
  <r>
    <x v="0"/>
    <x v="50"/>
    <x v="0"/>
    <x v="1"/>
    <x v="10"/>
    <n v="42831427.399999999"/>
  </r>
  <r>
    <x v="0"/>
    <x v="30"/>
    <x v="0"/>
    <x v="1"/>
    <x v="16"/>
    <n v="1075938054.0799999"/>
  </r>
  <r>
    <x v="0"/>
    <x v="35"/>
    <x v="0"/>
    <x v="1"/>
    <x v="4"/>
    <n v="103022231"/>
  </r>
  <r>
    <x v="1"/>
    <x v="11"/>
    <x v="0"/>
    <x v="1"/>
    <x v="7"/>
    <n v="-5917847.7699999996"/>
  </r>
  <r>
    <x v="1"/>
    <x v="76"/>
    <x v="0"/>
    <x v="1"/>
    <x v="10"/>
    <n v="534435.37"/>
  </r>
  <r>
    <x v="1"/>
    <x v="34"/>
    <x v="0"/>
    <x v="0"/>
    <x v="23"/>
    <n v="3372898.89"/>
  </r>
  <r>
    <x v="0"/>
    <x v="48"/>
    <x v="0"/>
    <x v="1"/>
    <x v="20"/>
    <n v="489823"/>
  </r>
  <r>
    <x v="1"/>
    <x v="74"/>
    <x v="0"/>
    <x v="1"/>
    <x v="4"/>
    <n v="493647.85"/>
  </r>
  <r>
    <x v="1"/>
    <x v="8"/>
    <x v="0"/>
    <x v="1"/>
    <x v="23"/>
    <n v="27757710.219999999"/>
  </r>
  <r>
    <x v="1"/>
    <x v="28"/>
    <x v="0"/>
    <x v="1"/>
    <x v="2"/>
    <n v="2342784.89"/>
  </r>
  <r>
    <x v="1"/>
    <x v="86"/>
    <x v="0"/>
    <x v="1"/>
    <x v="12"/>
    <n v="85656.63"/>
  </r>
  <r>
    <x v="1"/>
    <x v="65"/>
    <x v="0"/>
    <x v="10"/>
    <x v="17"/>
    <n v="202875.23"/>
  </r>
  <r>
    <x v="1"/>
    <x v="58"/>
    <x v="0"/>
    <x v="1"/>
    <x v="18"/>
    <n v="1441703.23"/>
  </r>
  <r>
    <x v="0"/>
    <x v="25"/>
    <x v="0"/>
    <x v="1"/>
    <x v="19"/>
    <n v="904969.08"/>
  </r>
  <r>
    <x v="0"/>
    <x v="50"/>
    <x v="0"/>
    <x v="3"/>
    <x v="12"/>
    <n v="9474000"/>
  </r>
  <r>
    <x v="0"/>
    <x v="73"/>
    <x v="0"/>
    <x v="1"/>
    <x v="22"/>
    <n v="5569879.5"/>
  </r>
  <r>
    <x v="0"/>
    <x v="57"/>
    <x v="0"/>
    <x v="9"/>
    <x v="25"/>
    <n v="100000"/>
  </r>
  <r>
    <x v="1"/>
    <x v="93"/>
    <x v="0"/>
    <x v="1"/>
    <x v="21"/>
    <n v="881378.88"/>
  </r>
  <r>
    <x v="1"/>
    <x v="55"/>
    <x v="0"/>
    <x v="1"/>
    <x v="20"/>
    <n v="21626.55"/>
  </r>
  <r>
    <x v="1"/>
    <x v="40"/>
    <x v="0"/>
    <x v="1"/>
    <x v="16"/>
    <n v="68553790.560000002"/>
  </r>
  <r>
    <x v="0"/>
    <x v="9"/>
    <x v="0"/>
    <x v="3"/>
    <x v="9"/>
    <n v="75150384.420000002"/>
  </r>
  <r>
    <x v="0"/>
    <x v="93"/>
    <x v="0"/>
    <x v="6"/>
    <x v="13"/>
    <n v="80000"/>
  </r>
  <r>
    <x v="0"/>
    <x v="11"/>
    <x v="0"/>
    <x v="1"/>
    <x v="16"/>
    <n v="173078691.49000001"/>
  </r>
  <r>
    <x v="0"/>
    <x v="5"/>
    <x v="0"/>
    <x v="1"/>
    <x v="12"/>
    <n v="41712036.079999998"/>
  </r>
  <r>
    <x v="0"/>
    <x v="62"/>
    <x v="0"/>
    <x v="10"/>
    <x v="24"/>
    <n v="5674200.1399999997"/>
  </r>
  <r>
    <x v="0"/>
    <x v="36"/>
    <x v="0"/>
    <x v="1"/>
    <x v="2"/>
    <n v="30839000"/>
  </r>
  <r>
    <x v="0"/>
    <x v="97"/>
    <x v="0"/>
    <x v="1"/>
    <x v="2"/>
    <n v="574193.44999999995"/>
  </r>
  <r>
    <x v="0"/>
    <x v="3"/>
    <x v="0"/>
    <x v="1"/>
    <x v="6"/>
    <n v="1414593.19"/>
  </r>
  <r>
    <x v="0"/>
    <x v="59"/>
    <x v="0"/>
    <x v="1"/>
    <x v="23"/>
    <n v="135991511.81999999"/>
  </r>
  <r>
    <x v="0"/>
    <x v="83"/>
    <x v="0"/>
    <x v="1"/>
    <x v="15"/>
    <n v="213986"/>
  </r>
  <r>
    <x v="0"/>
    <x v="56"/>
    <x v="0"/>
    <x v="1"/>
    <x v="21"/>
    <n v="235659.03"/>
  </r>
  <r>
    <x v="0"/>
    <x v="34"/>
    <x v="0"/>
    <x v="0"/>
    <x v="11"/>
    <n v="39916410.219999999"/>
  </r>
  <r>
    <x v="0"/>
    <x v="6"/>
    <x v="0"/>
    <x v="3"/>
    <x v="8"/>
    <n v="10726000"/>
  </r>
  <r>
    <x v="0"/>
    <x v="103"/>
    <x v="0"/>
    <x v="1"/>
    <x v="22"/>
    <n v="446848.95"/>
  </r>
  <r>
    <x v="0"/>
    <x v="37"/>
    <x v="0"/>
    <x v="9"/>
    <x v="13"/>
    <n v="474323.64"/>
  </r>
  <r>
    <x v="1"/>
    <x v="9"/>
    <x v="0"/>
    <x v="1"/>
    <x v="11"/>
    <n v="13158085.85"/>
  </r>
  <r>
    <x v="0"/>
    <x v="9"/>
    <x v="0"/>
    <x v="1"/>
    <x v="13"/>
    <n v="575288892.88"/>
  </r>
  <r>
    <x v="0"/>
    <x v="31"/>
    <x v="0"/>
    <x v="1"/>
    <x v="10"/>
    <n v="20104123.579999998"/>
  </r>
  <r>
    <x v="0"/>
    <x v="63"/>
    <x v="0"/>
    <x v="1"/>
    <x v="24"/>
    <n v="1269588.6399999999"/>
  </r>
  <r>
    <x v="0"/>
    <x v="62"/>
    <x v="0"/>
    <x v="10"/>
    <x v="25"/>
    <n v="6110417.9900000002"/>
  </r>
  <r>
    <x v="1"/>
    <x v="65"/>
    <x v="0"/>
    <x v="10"/>
    <x v="10"/>
    <n v="465930"/>
  </r>
  <r>
    <x v="1"/>
    <x v="37"/>
    <x v="0"/>
    <x v="1"/>
    <x v="1"/>
    <n v="2267389.59"/>
  </r>
  <r>
    <x v="1"/>
    <x v="29"/>
    <x v="0"/>
    <x v="1"/>
    <x v="17"/>
    <n v="87497.21"/>
  </r>
  <r>
    <x v="1"/>
    <x v="0"/>
    <x v="0"/>
    <x v="1"/>
    <x v="1"/>
    <n v="31226968.629999999"/>
  </r>
  <r>
    <x v="0"/>
    <x v="2"/>
    <x v="0"/>
    <x v="1"/>
    <x v="4"/>
    <n v="7343318.6100000003"/>
  </r>
  <r>
    <x v="0"/>
    <x v="0"/>
    <x v="0"/>
    <x v="3"/>
    <x v="0"/>
    <n v="1739142.33"/>
  </r>
  <r>
    <x v="0"/>
    <x v="73"/>
    <x v="0"/>
    <x v="1"/>
    <x v="17"/>
    <n v="1994731.56"/>
  </r>
  <r>
    <x v="0"/>
    <x v="65"/>
    <x v="0"/>
    <x v="1"/>
    <x v="14"/>
    <n v="3905965.55"/>
  </r>
  <r>
    <x v="0"/>
    <x v="59"/>
    <x v="0"/>
    <x v="1"/>
    <x v="11"/>
    <n v="63875654.869999997"/>
  </r>
  <r>
    <x v="0"/>
    <x v="87"/>
    <x v="0"/>
    <x v="1"/>
    <x v="14"/>
    <n v="1396559.07"/>
  </r>
  <r>
    <x v="1"/>
    <x v="62"/>
    <x v="0"/>
    <x v="10"/>
    <x v="14"/>
    <n v="-67345.850000000006"/>
  </r>
  <r>
    <x v="0"/>
    <x v="74"/>
    <x v="0"/>
    <x v="1"/>
    <x v="2"/>
    <n v="4525684.68"/>
  </r>
  <r>
    <x v="1"/>
    <x v="34"/>
    <x v="0"/>
    <x v="1"/>
    <x v="11"/>
    <n v="-65590216.810000002"/>
  </r>
  <r>
    <x v="0"/>
    <x v="0"/>
    <x v="0"/>
    <x v="0"/>
    <x v="8"/>
    <n v="40000000"/>
  </r>
  <r>
    <x v="0"/>
    <x v="40"/>
    <x v="0"/>
    <x v="10"/>
    <x v="14"/>
    <n v="10285876.210000001"/>
  </r>
  <r>
    <x v="1"/>
    <x v="18"/>
    <x v="0"/>
    <x v="1"/>
    <x v="2"/>
    <n v="783586.79"/>
  </r>
  <r>
    <x v="1"/>
    <x v="80"/>
    <x v="0"/>
    <x v="1"/>
    <x v="12"/>
    <n v="-675134.77"/>
  </r>
  <r>
    <x v="1"/>
    <x v="5"/>
    <x v="0"/>
    <x v="1"/>
    <x v="25"/>
    <n v="11231.15"/>
  </r>
  <r>
    <x v="1"/>
    <x v="56"/>
    <x v="0"/>
    <x v="1"/>
    <x v="11"/>
    <n v="29460.59"/>
  </r>
  <r>
    <x v="0"/>
    <x v="6"/>
    <x v="0"/>
    <x v="6"/>
    <x v="1"/>
    <n v="26118061.379999999"/>
  </r>
  <r>
    <x v="0"/>
    <x v="8"/>
    <x v="0"/>
    <x v="6"/>
    <x v="11"/>
    <n v="2286000"/>
  </r>
  <r>
    <x v="0"/>
    <x v="23"/>
    <x v="0"/>
    <x v="1"/>
    <x v="8"/>
    <n v="11520814.560000001"/>
  </r>
  <r>
    <x v="0"/>
    <x v="40"/>
    <x v="0"/>
    <x v="10"/>
    <x v="20"/>
    <n v="9149769.4499999993"/>
  </r>
  <r>
    <x v="0"/>
    <x v="53"/>
    <x v="0"/>
    <x v="9"/>
    <x v="24"/>
    <n v="509362.43"/>
  </r>
  <r>
    <x v="1"/>
    <x v="6"/>
    <x v="0"/>
    <x v="1"/>
    <x v="5"/>
    <n v="1308700.78"/>
  </r>
  <r>
    <x v="0"/>
    <x v="49"/>
    <x v="0"/>
    <x v="1"/>
    <x v="12"/>
    <n v="2238163.46"/>
  </r>
  <r>
    <x v="0"/>
    <x v="7"/>
    <x v="0"/>
    <x v="1"/>
    <x v="15"/>
    <n v="3778181.57"/>
  </r>
  <r>
    <x v="1"/>
    <x v="44"/>
    <x v="0"/>
    <x v="1"/>
    <x v="6"/>
    <n v="2043523.02"/>
  </r>
  <r>
    <x v="0"/>
    <x v="0"/>
    <x v="0"/>
    <x v="0"/>
    <x v="18"/>
    <n v="38000000"/>
  </r>
  <r>
    <x v="1"/>
    <x v="2"/>
    <x v="0"/>
    <x v="1"/>
    <x v="0"/>
    <n v="-10244.549999999999"/>
  </r>
  <r>
    <x v="1"/>
    <x v="4"/>
    <x v="0"/>
    <x v="6"/>
    <x v="0"/>
    <n v="45061.06"/>
  </r>
  <r>
    <x v="0"/>
    <x v="25"/>
    <x v="0"/>
    <x v="1"/>
    <x v="14"/>
    <n v="1014599.2"/>
  </r>
  <r>
    <x v="0"/>
    <x v="88"/>
    <x v="0"/>
    <x v="1"/>
    <x v="16"/>
    <n v="605934.27"/>
  </r>
  <r>
    <x v="0"/>
    <x v="47"/>
    <x v="0"/>
    <x v="1"/>
    <x v="15"/>
    <n v="45193112.189999998"/>
  </r>
  <r>
    <x v="0"/>
    <x v="44"/>
    <x v="0"/>
    <x v="1"/>
    <x v="7"/>
    <n v="12633500.9"/>
  </r>
  <r>
    <x v="1"/>
    <x v="32"/>
    <x v="0"/>
    <x v="7"/>
    <x v="25"/>
    <n v="-496663.27"/>
  </r>
  <r>
    <x v="0"/>
    <x v="37"/>
    <x v="0"/>
    <x v="6"/>
    <x v="2"/>
    <n v="518000"/>
  </r>
  <r>
    <x v="0"/>
    <x v="78"/>
    <x v="0"/>
    <x v="1"/>
    <x v="3"/>
    <n v="1928780.32"/>
  </r>
  <r>
    <x v="1"/>
    <x v="71"/>
    <x v="0"/>
    <x v="1"/>
    <x v="0"/>
    <n v="38140.980000000003"/>
  </r>
  <r>
    <x v="1"/>
    <x v="75"/>
    <x v="0"/>
    <x v="1"/>
    <x v="17"/>
    <n v="4246.1499999999996"/>
  </r>
  <r>
    <x v="0"/>
    <x v="21"/>
    <x v="0"/>
    <x v="1"/>
    <x v="0"/>
    <n v="4425723.62"/>
  </r>
  <r>
    <x v="1"/>
    <x v="85"/>
    <x v="0"/>
    <x v="1"/>
    <x v="12"/>
    <n v="103770.09"/>
  </r>
  <r>
    <x v="1"/>
    <x v="24"/>
    <x v="0"/>
    <x v="9"/>
    <x v="24"/>
    <n v="3581500"/>
  </r>
  <r>
    <x v="1"/>
    <x v="47"/>
    <x v="0"/>
    <x v="7"/>
    <x v="23"/>
    <n v="6224.5"/>
  </r>
  <r>
    <x v="0"/>
    <x v="93"/>
    <x v="0"/>
    <x v="1"/>
    <x v="8"/>
    <n v="14326856.789999999"/>
  </r>
  <r>
    <x v="1"/>
    <x v="40"/>
    <x v="0"/>
    <x v="10"/>
    <x v="17"/>
    <n v="-209586.89"/>
  </r>
  <r>
    <x v="1"/>
    <x v="56"/>
    <x v="0"/>
    <x v="1"/>
    <x v="25"/>
    <n v="7521.22"/>
  </r>
  <r>
    <x v="0"/>
    <x v="8"/>
    <x v="0"/>
    <x v="1"/>
    <x v="24"/>
    <n v="13831374.199999999"/>
  </r>
  <r>
    <x v="1"/>
    <x v="47"/>
    <x v="0"/>
    <x v="9"/>
    <x v="17"/>
    <n v="86181.67"/>
  </r>
  <r>
    <x v="0"/>
    <x v="29"/>
    <x v="0"/>
    <x v="1"/>
    <x v="10"/>
    <n v="1224177.3"/>
  </r>
  <r>
    <x v="0"/>
    <x v="56"/>
    <x v="0"/>
    <x v="1"/>
    <x v="12"/>
    <n v="191036.42"/>
  </r>
  <r>
    <x v="0"/>
    <x v="35"/>
    <x v="0"/>
    <x v="1"/>
    <x v="21"/>
    <n v="62946435.770000003"/>
  </r>
  <r>
    <x v="0"/>
    <x v="85"/>
    <x v="0"/>
    <x v="1"/>
    <x v="25"/>
    <n v="3032261.38"/>
  </r>
  <r>
    <x v="0"/>
    <x v="68"/>
    <x v="0"/>
    <x v="1"/>
    <x v="14"/>
    <n v="173110548.34"/>
  </r>
  <r>
    <x v="0"/>
    <x v="6"/>
    <x v="0"/>
    <x v="1"/>
    <x v="0"/>
    <n v="325012706.12"/>
  </r>
  <r>
    <x v="1"/>
    <x v="49"/>
    <x v="0"/>
    <x v="1"/>
    <x v="24"/>
    <n v="140675.9"/>
  </r>
  <r>
    <x v="0"/>
    <x v="55"/>
    <x v="0"/>
    <x v="1"/>
    <x v="10"/>
    <n v="300276.7"/>
  </r>
  <r>
    <x v="1"/>
    <x v="25"/>
    <x v="0"/>
    <x v="1"/>
    <x v="5"/>
    <n v="60756.4"/>
  </r>
  <r>
    <x v="0"/>
    <x v="36"/>
    <x v="0"/>
    <x v="1"/>
    <x v="19"/>
    <n v="22388343"/>
  </r>
  <r>
    <x v="0"/>
    <x v="51"/>
    <x v="0"/>
    <x v="1"/>
    <x v="5"/>
    <n v="1444050.65"/>
  </r>
  <r>
    <x v="0"/>
    <x v="50"/>
    <x v="0"/>
    <x v="2"/>
    <x v="9"/>
    <n v="2011000"/>
  </r>
  <r>
    <x v="0"/>
    <x v="96"/>
    <x v="0"/>
    <x v="1"/>
    <x v="16"/>
    <n v="419063.55"/>
  </r>
  <r>
    <x v="1"/>
    <x v="52"/>
    <x v="0"/>
    <x v="1"/>
    <x v="10"/>
    <n v="1706167.08"/>
  </r>
  <r>
    <x v="1"/>
    <x v="52"/>
    <x v="0"/>
    <x v="1"/>
    <x v="17"/>
    <n v="3129391.66"/>
  </r>
  <r>
    <x v="0"/>
    <x v="28"/>
    <x v="0"/>
    <x v="3"/>
    <x v="9"/>
    <n v="42828000"/>
  </r>
  <r>
    <x v="1"/>
    <x v="0"/>
    <x v="0"/>
    <x v="0"/>
    <x v="16"/>
    <n v="4100175.72"/>
  </r>
  <r>
    <x v="1"/>
    <x v="62"/>
    <x v="0"/>
    <x v="1"/>
    <x v="3"/>
    <n v="2937154.88"/>
  </r>
  <r>
    <x v="1"/>
    <x v="55"/>
    <x v="0"/>
    <x v="1"/>
    <x v="1"/>
    <n v="48004.85"/>
  </r>
  <r>
    <x v="1"/>
    <x v="46"/>
    <x v="0"/>
    <x v="1"/>
    <x v="23"/>
    <n v="107015.3"/>
  </r>
  <r>
    <x v="0"/>
    <x v="46"/>
    <x v="0"/>
    <x v="1"/>
    <x v="5"/>
    <n v="713866.5"/>
  </r>
  <r>
    <x v="1"/>
    <x v="4"/>
    <x v="0"/>
    <x v="1"/>
    <x v="3"/>
    <n v="14624373.359999999"/>
  </r>
  <r>
    <x v="0"/>
    <x v="76"/>
    <x v="0"/>
    <x v="1"/>
    <x v="22"/>
    <n v="28965731.350000001"/>
  </r>
  <r>
    <x v="0"/>
    <x v="19"/>
    <x v="0"/>
    <x v="6"/>
    <x v="0"/>
    <n v="85000"/>
  </r>
  <r>
    <x v="0"/>
    <x v="15"/>
    <x v="0"/>
    <x v="4"/>
    <x v="17"/>
    <n v="463310.65"/>
  </r>
  <r>
    <x v="1"/>
    <x v="4"/>
    <x v="0"/>
    <x v="2"/>
    <x v="4"/>
    <n v="2169644.92"/>
  </r>
  <r>
    <x v="0"/>
    <x v="4"/>
    <x v="0"/>
    <x v="8"/>
    <x v="24"/>
    <n v="-36553.74"/>
  </r>
  <r>
    <x v="0"/>
    <x v="63"/>
    <x v="0"/>
    <x v="7"/>
    <x v="17"/>
    <n v="46035"/>
  </r>
  <r>
    <x v="1"/>
    <x v="21"/>
    <x v="0"/>
    <x v="1"/>
    <x v="18"/>
    <n v="-1805943.81"/>
  </r>
  <r>
    <x v="0"/>
    <x v="66"/>
    <x v="0"/>
    <x v="1"/>
    <x v="2"/>
    <n v="9121044.0199999996"/>
  </r>
  <r>
    <x v="1"/>
    <x v="4"/>
    <x v="0"/>
    <x v="3"/>
    <x v="2"/>
    <n v="847590931.36000001"/>
  </r>
  <r>
    <x v="1"/>
    <x v="4"/>
    <x v="0"/>
    <x v="3"/>
    <x v="0"/>
    <n v="681192.43"/>
  </r>
  <r>
    <x v="0"/>
    <x v="22"/>
    <x v="0"/>
    <x v="1"/>
    <x v="10"/>
    <n v="134710795.34"/>
  </r>
  <r>
    <x v="0"/>
    <x v="57"/>
    <x v="0"/>
    <x v="1"/>
    <x v="0"/>
    <n v="1200013.6200000001"/>
  </r>
  <r>
    <x v="0"/>
    <x v="79"/>
    <x v="0"/>
    <x v="7"/>
    <x v="6"/>
    <n v="79639.839999999997"/>
  </r>
  <r>
    <x v="0"/>
    <x v="21"/>
    <x v="0"/>
    <x v="1"/>
    <x v="9"/>
    <n v="6961076.0700000003"/>
  </r>
  <r>
    <x v="1"/>
    <x v="22"/>
    <x v="0"/>
    <x v="10"/>
    <x v="10"/>
    <n v="1237357.29"/>
  </r>
  <r>
    <x v="0"/>
    <x v="57"/>
    <x v="0"/>
    <x v="1"/>
    <x v="9"/>
    <n v="2061852.44"/>
  </r>
  <r>
    <x v="0"/>
    <x v="30"/>
    <x v="0"/>
    <x v="1"/>
    <x v="25"/>
    <n v="850458963.40999997"/>
  </r>
  <r>
    <x v="1"/>
    <x v="66"/>
    <x v="0"/>
    <x v="1"/>
    <x v="1"/>
    <n v="2329789.9300000002"/>
  </r>
  <r>
    <x v="0"/>
    <x v="3"/>
    <x v="0"/>
    <x v="1"/>
    <x v="12"/>
    <n v="2568278.11"/>
  </r>
  <r>
    <x v="1"/>
    <x v="59"/>
    <x v="0"/>
    <x v="9"/>
    <x v="20"/>
    <n v="180143.98"/>
  </r>
  <r>
    <x v="1"/>
    <x v="79"/>
    <x v="0"/>
    <x v="6"/>
    <x v="2"/>
    <n v="35961.1"/>
  </r>
  <r>
    <x v="1"/>
    <x v="53"/>
    <x v="0"/>
    <x v="1"/>
    <x v="11"/>
    <n v="211222.61"/>
  </r>
  <r>
    <x v="0"/>
    <x v="15"/>
    <x v="0"/>
    <x v="1"/>
    <x v="21"/>
    <n v="10187881.73"/>
  </r>
  <r>
    <x v="1"/>
    <x v="61"/>
    <x v="0"/>
    <x v="1"/>
    <x v="8"/>
    <n v="0"/>
  </r>
  <r>
    <x v="0"/>
    <x v="9"/>
    <x v="0"/>
    <x v="1"/>
    <x v="8"/>
    <n v="528026689.54000002"/>
  </r>
  <r>
    <x v="0"/>
    <x v="69"/>
    <x v="0"/>
    <x v="6"/>
    <x v="13"/>
    <n v="4000"/>
  </r>
  <r>
    <x v="0"/>
    <x v="61"/>
    <x v="0"/>
    <x v="1"/>
    <x v="14"/>
    <n v="1770900.85"/>
  </r>
  <r>
    <x v="1"/>
    <x v="65"/>
    <x v="0"/>
    <x v="1"/>
    <x v="18"/>
    <n v="768965.83"/>
  </r>
  <r>
    <x v="0"/>
    <x v="24"/>
    <x v="0"/>
    <x v="1"/>
    <x v="18"/>
    <n v="24612000"/>
  </r>
  <r>
    <x v="1"/>
    <x v="47"/>
    <x v="0"/>
    <x v="5"/>
    <x v="5"/>
    <n v="4397706.41"/>
  </r>
  <r>
    <x v="1"/>
    <x v="24"/>
    <x v="0"/>
    <x v="1"/>
    <x v="18"/>
    <n v="728000"/>
  </r>
  <r>
    <x v="1"/>
    <x v="89"/>
    <x v="0"/>
    <x v="1"/>
    <x v="10"/>
    <n v="76015.539999999994"/>
  </r>
  <r>
    <x v="0"/>
    <x v="27"/>
    <x v="0"/>
    <x v="3"/>
    <x v="18"/>
    <n v="8041000"/>
  </r>
  <r>
    <x v="1"/>
    <x v="25"/>
    <x v="0"/>
    <x v="1"/>
    <x v="1"/>
    <n v="209320.48"/>
  </r>
  <r>
    <x v="0"/>
    <x v="75"/>
    <x v="0"/>
    <x v="1"/>
    <x v="20"/>
    <n v="209811.35"/>
  </r>
  <r>
    <x v="0"/>
    <x v="41"/>
    <x v="0"/>
    <x v="1"/>
    <x v="19"/>
    <n v="22694860.449999999"/>
  </r>
  <r>
    <x v="1"/>
    <x v="55"/>
    <x v="0"/>
    <x v="1"/>
    <x v="5"/>
    <n v="24422.81"/>
  </r>
  <r>
    <x v="1"/>
    <x v="79"/>
    <x v="0"/>
    <x v="1"/>
    <x v="2"/>
    <n v="4154853.04"/>
  </r>
  <r>
    <x v="0"/>
    <x v="33"/>
    <x v="0"/>
    <x v="1"/>
    <x v="4"/>
    <n v="4007178105.75"/>
  </r>
  <r>
    <x v="0"/>
    <x v="59"/>
    <x v="0"/>
    <x v="7"/>
    <x v="13"/>
    <n v="82703.25"/>
  </r>
  <r>
    <x v="0"/>
    <x v="27"/>
    <x v="0"/>
    <x v="1"/>
    <x v="5"/>
    <n v="45771000"/>
  </r>
  <r>
    <x v="1"/>
    <x v="28"/>
    <x v="0"/>
    <x v="0"/>
    <x v="7"/>
    <n v="419664.93"/>
  </r>
  <r>
    <x v="1"/>
    <x v="82"/>
    <x v="0"/>
    <x v="1"/>
    <x v="10"/>
    <n v="-29783.25"/>
  </r>
  <r>
    <x v="1"/>
    <x v="37"/>
    <x v="0"/>
    <x v="1"/>
    <x v="14"/>
    <n v="815921.26"/>
  </r>
  <r>
    <x v="0"/>
    <x v="22"/>
    <x v="0"/>
    <x v="8"/>
    <x v="20"/>
    <n v="3921391.8"/>
  </r>
  <r>
    <x v="1"/>
    <x v="55"/>
    <x v="0"/>
    <x v="1"/>
    <x v="0"/>
    <n v="43641.9"/>
  </r>
  <r>
    <x v="0"/>
    <x v="40"/>
    <x v="0"/>
    <x v="8"/>
    <x v="5"/>
    <n v="1256269.6299999999"/>
  </r>
  <r>
    <x v="0"/>
    <x v="54"/>
    <x v="0"/>
    <x v="1"/>
    <x v="3"/>
    <n v="959153.61"/>
  </r>
  <r>
    <x v="1"/>
    <x v="74"/>
    <x v="0"/>
    <x v="1"/>
    <x v="8"/>
    <n v="99148.41"/>
  </r>
  <r>
    <x v="1"/>
    <x v="18"/>
    <x v="0"/>
    <x v="1"/>
    <x v="0"/>
    <n v="791819.08"/>
  </r>
  <r>
    <x v="1"/>
    <x v="15"/>
    <x v="0"/>
    <x v="1"/>
    <x v="4"/>
    <n v="2042197.74"/>
  </r>
  <r>
    <x v="0"/>
    <x v="88"/>
    <x v="0"/>
    <x v="1"/>
    <x v="7"/>
    <n v="616377.68999999994"/>
  </r>
  <r>
    <x v="1"/>
    <x v="75"/>
    <x v="0"/>
    <x v="1"/>
    <x v="12"/>
    <n v="19502.68"/>
  </r>
  <r>
    <x v="1"/>
    <x v="65"/>
    <x v="0"/>
    <x v="1"/>
    <x v="19"/>
    <n v="915465.56"/>
  </r>
  <r>
    <x v="0"/>
    <x v="38"/>
    <x v="0"/>
    <x v="1"/>
    <x v="23"/>
    <n v="4858777.0999999996"/>
  </r>
  <r>
    <x v="0"/>
    <x v="49"/>
    <x v="0"/>
    <x v="1"/>
    <x v="25"/>
    <n v="3328473.08"/>
  </r>
  <r>
    <x v="1"/>
    <x v="2"/>
    <x v="0"/>
    <x v="9"/>
    <x v="25"/>
    <n v="-383689.18"/>
  </r>
  <r>
    <x v="1"/>
    <x v="11"/>
    <x v="0"/>
    <x v="1"/>
    <x v="25"/>
    <n v="10603759.130000001"/>
  </r>
  <r>
    <x v="1"/>
    <x v="41"/>
    <x v="0"/>
    <x v="1"/>
    <x v="5"/>
    <n v="5420948.96"/>
  </r>
  <r>
    <x v="0"/>
    <x v="46"/>
    <x v="0"/>
    <x v="1"/>
    <x v="6"/>
    <n v="606174.34"/>
  </r>
  <r>
    <x v="0"/>
    <x v="45"/>
    <x v="0"/>
    <x v="6"/>
    <x v="11"/>
    <n v="6743000"/>
  </r>
  <r>
    <x v="0"/>
    <x v="47"/>
    <x v="0"/>
    <x v="9"/>
    <x v="19"/>
    <n v="1573960.4"/>
  </r>
  <r>
    <x v="1"/>
    <x v="6"/>
    <x v="0"/>
    <x v="3"/>
    <x v="16"/>
    <n v="15662.16"/>
  </r>
  <r>
    <x v="0"/>
    <x v="15"/>
    <x v="0"/>
    <x v="1"/>
    <x v="11"/>
    <n v="18168323.600000001"/>
  </r>
  <r>
    <x v="0"/>
    <x v="32"/>
    <x v="0"/>
    <x v="1"/>
    <x v="2"/>
    <n v="13962670.189999999"/>
  </r>
  <r>
    <x v="1"/>
    <x v="5"/>
    <x v="0"/>
    <x v="3"/>
    <x v="15"/>
    <n v="925809.23"/>
  </r>
  <r>
    <x v="1"/>
    <x v="6"/>
    <x v="0"/>
    <x v="1"/>
    <x v="10"/>
    <n v="144353.29"/>
  </r>
  <r>
    <x v="1"/>
    <x v="77"/>
    <x v="0"/>
    <x v="1"/>
    <x v="12"/>
    <n v="76321.34"/>
  </r>
  <r>
    <x v="1"/>
    <x v="108"/>
    <x v="0"/>
    <x v="1"/>
    <x v="19"/>
    <n v="15000"/>
  </r>
  <r>
    <x v="0"/>
    <x v="89"/>
    <x v="0"/>
    <x v="1"/>
    <x v="14"/>
    <n v="1311353.68"/>
  </r>
  <r>
    <x v="1"/>
    <x v="15"/>
    <x v="0"/>
    <x v="4"/>
    <x v="13"/>
    <n v="288075.87"/>
  </r>
  <r>
    <x v="0"/>
    <x v="11"/>
    <x v="0"/>
    <x v="6"/>
    <x v="25"/>
    <n v="1225000"/>
  </r>
  <r>
    <x v="0"/>
    <x v="51"/>
    <x v="0"/>
    <x v="1"/>
    <x v="13"/>
    <n v="1521084.76"/>
  </r>
  <r>
    <x v="0"/>
    <x v="80"/>
    <x v="0"/>
    <x v="6"/>
    <x v="25"/>
    <n v="262000"/>
  </r>
  <r>
    <x v="1"/>
    <x v="5"/>
    <x v="0"/>
    <x v="1"/>
    <x v="15"/>
    <n v="4629066"/>
  </r>
  <r>
    <x v="0"/>
    <x v="0"/>
    <x v="0"/>
    <x v="0"/>
    <x v="1"/>
    <n v="29415528.640000001"/>
  </r>
  <r>
    <x v="0"/>
    <x v="52"/>
    <x v="0"/>
    <x v="10"/>
    <x v="25"/>
    <n v="23000"/>
  </r>
  <r>
    <x v="0"/>
    <x v="94"/>
    <x v="0"/>
    <x v="1"/>
    <x v="20"/>
    <n v="0"/>
  </r>
  <r>
    <x v="1"/>
    <x v="18"/>
    <x v="0"/>
    <x v="1"/>
    <x v="3"/>
    <n v="225805.3"/>
  </r>
  <r>
    <x v="1"/>
    <x v="9"/>
    <x v="0"/>
    <x v="3"/>
    <x v="12"/>
    <n v="11618485.970000001"/>
  </r>
  <r>
    <x v="0"/>
    <x v="82"/>
    <x v="0"/>
    <x v="7"/>
    <x v="11"/>
    <n v="60000"/>
  </r>
  <r>
    <x v="0"/>
    <x v="20"/>
    <x v="0"/>
    <x v="7"/>
    <x v="2"/>
    <n v="61681"/>
  </r>
  <r>
    <x v="0"/>
    <x v="23"/>
    <x v="0"/>
    <x v="1"/>
    <x v="18"/>
    <n v="12552930.960000001"/>
  </r>
  <r>
    <x v="1"/>
    <x v="42"/>
    <x v="0"/>
    <x v="1"/>
    <x v="16"/>
    <n v="791624.7"/>
  </r>
  <r>
    <x v="1"/>
    <x v="57"/>
    <x v="0"/>
    <x v="1"/>
    <x v="23"/>
    <n v="1115750.75"/>
  </r>
  <r>
    <x v="0"/>
    <x v="44"/>
    <x v="0"/>
    <x v="1"/>
    <x v="6"/>
    <n v="21688511.48"/>
  </r>
  <r>
    <x v="0"/>
    <x v="23"/>
    <x v="0"/>
    <x v="10"/>
    <x v="10"/>
    <n v="8688641.5899999999"/>
  </r>
  <r>
    <x v="1"/>
    <x v="68"/>
    <x v="0"/>
    <x v="1"/>
    <x v="19"/>
    <n v="4292601.79"/>
  </r>
  <r>
    <x v="0"/>
    <x v="40"/>
    <x v="0"/>
    <x v="8"/>
    <x v="17"/>
    <n v="1342347.5"/>
  </r>
  <r>
    <x v="1"/>
    <x v="38"/>
    <x v="0"/>
    <x v="1"/>
    <x v="23"/>
    <n v="434354.96"/>
  </r>
  <r>
    <x v="1"/>
    <x v="73"/>
    <x v="0"/>
    <x v="9"/>
    <x v="24"/>
    <n v="86338.89"/>
  </r>
  <r>
    <x v="1"/>
    <x v="91"/>
    <x v="0"/>
    <x v="1"/>
    <x v="4"/>
    <n v="4348224.95"/>
  </r>
  <r>
    <x v="1"/>
    <x v="49"/>
    <x v="0"/>
    <x v="1"/>
    <x v="25"/>
    <n v="229014.19"/>
  </r>
  <r>
    <x v="0"/>
    <x v="90"/>
    <x v="0"/>
    <x v="6"/>
    <x v="2"/>
    <n v="30000"/>
  </r>
  <r>
    <x v="0"/>
    <x v="67"/>
    <x v="0"/>
    <x v="1"/>
    <x v="24"/>
    <n v="1806767.68"/>
  </r>
  <r>
    <x v="0"/>
    <x v="12"/>
    <x v="0"/>
    <x v="1"/>
    <x v="4"/>
    <n v="36927000"/>
  </r>
  <r>
    <x v="0"/>
    <x v="78"/>
    <x v="0"/>
    <x v="1"/>
    <x v="15"/>
    <n v="1899301.99"/>
  </r>
  <r>
    <x v="0"/>
    <x v="35"/>
    <x v="0"/>
    <x v="1"/>
    <x v="6"/>
    <n v="26687636"/>
  </r>
  <r>
    <x v="0"/>
    <x v="36"/>
    <x v="0"/>
    <x v="1"/>
    <x v="3"/>
    <n v="18350000"/>
  </r>
  <r>
    <x v="0"/>
    <x v="9"/>
    <x v="0"/>
    <x v="6"/>
    <x v="13"/>
    <n v="800200"/>
  </r>
  <r>
    <x v="1"/>
    <x v="78"/>
    <x v="0"/>
    <x v="1"/>
    <x v="0"/>
    <n v="49754.42"/>
  </r>
  <r>
    <x v="1"/>
    <x v="60"/>
    <x v="0"/>
    <x v="1"/>
    <x v="2"/>
    <n v="25936.66"/>
  </r>
  <r>
    <x v="1"/>
    <x v="8"/>
    <x v="0"/>
    <x v="1"/>
    <x v="4"/>
    <n v="31315587.829999998"/>
  </r>
  <r>
    <x v="0"/>
    <x v="59"/>
    <x v="0"/>
    <x v="9"/>
    <x v="20"/>
    <n v="208095.65"/>
  </r>
  <r>
    <x v="0"/>
    <x v="1"/>
    <x v="0"/>
    <x v="1"/>
    <x v="17"/>
    <n v="4988405.8499999996"/>
  </r>
  <r>
    <x v="0"/>
    <x v="86"/>
    <x v="0"/>
    <x v="1"/>
    <x v="23"/>
    <n v="3317939.54"/>
  </r>
  <r>
    <x v="1"/>
    <x v="96"/>
    <x v="0"/>
    <x v="1"/>
    <x v="15"/>
    <n v="43213.78"/>
  </r>
  <r>
    <x v="0"/>
    <x v="11"/>
    <x v="0"/>
    <x v="3"/>
    <x v="11"/>
    <n v="16998000"/>
  </r>
  <r>
    <x v="0"/>
    <x v="66"/>
    <x v="0"/>
    <x v="6"/>
    <x v="0"/>
    <n v="717000"/>
  </r>
  <r>
    <x v="0"/>
    <x v="14"/>
    <x v="0"/>
    <x v="6"/>
    <x v="11"/>
    <n v="127000"/>
  </r>
  <r>
    <x v="0"/>
    <x v="60"/>
    <x v="0"/>
    <x v="1"/>
    <x v="21"/>
    <n v="252544.11"/>
  </r>
  <r>
    <x v="0"/>
    <x v="67"/>
    <x v="0"/>
    <x v="1"/>
    <x v="15"/>
    <n v="1437215.96"/>
  </r>
  <r>
    <x v="1"/>
    <x v="32"/>
    <x v="0"/>
    <x v="1"/>
    <x v="10"/>
    <n v="574963.24"/>
  </r>
  <r>
    <x v="1"/>
    <x v="47"/>
    <x v="0"/>
    <x v="6"/>
    <x v="1"/>
    <n v="1657711"/>
  </r>
  <r>
    <x v="0"/>
    <x v="33"/>
    <x v="0"/>
    <x v="1"/>
    <x v="24"/>
    <n v="6657742.5499999998"/>
  </r>
  <r>
    <x v="0"/>
    <x v="77"/>
    <x v="0"/>
    <x v="1"/>
    <x v="19"/>
    <n v="1314161.6499999999"/>
  </r>
  <r>
    <x v="1"/>
    <x v="21"/>
    <x v="0"/>
    <x v="1"/>
    <x v="1"/>
    <n v="-107749.05"/>
  </r>
  <r>
    <x v="1"/>
    <x v="83"/>
    <x v="0"/>
    <x v="1"/>
    <x v="3"/>
    <n v="12420"/>
  </r>
  <r>
    <x v="0"/>
    <x v="40"/>
    <x v="0"/>
    <x v="1"/>
    <x v="5"/>
    <n v="819827249.61000001"/>
  </r>
  <r>
    <x v="1"/>
    <x v="19"/>
    <x v="0"/>
    <x v="1"/>
    <x v="10"/>
    <n v="45214.23"/>
  </r>
  <r>
    <x v="0"/>
    <x v="5"/>
    <x v="0"/>
    <x v="3"/>
    <x v="12"/>
    <n v="5818131.4699999997"/>
  </r>
  <r>
    <x v="1"/>
    <x v="44"/>
    <x v="0"/>
    <x v="1"/>
    <x v="11"/>
    <n v="751698.26"/>
  </r>
  <r>
    <x v="1"/>
    <x v="88"/>
    <x v="0"/>
    <x v="1"/>
    <x v="25"/>
    <n v="37423.879999999997"/>
  </r>
  <r>
    <x v="1"/>
    <x v="37"/>
    <x v="0"/>
    <x v="1"/>
    <x v="20"/>
    <n v="449030.69"/>
  </r>
  <r>
    <x v="1"/>
    <x v="24"/>
    <x v="0"/>
    <x v="1"/>
    <x v="17"/>
    <n v="36741797.609999999"/>
  </r>
  <r>
    <x v="1"/>
    <x v="95"/>
    <x v="0"/>
    <x v="1"/>
    <x v="4"/>
    <n v="0"/>
  </r>
  <r>
    <x v="0"/>
    <x v="2"/>
    <x v="0"/>
    <x v="9"/>
    <x v="5"/>
    <n v="3314068.49"/>
  </r>
  <r>
    <x v="1"/>
    <x v="74"/>
    <x v="0"/>
    <x v="1"/>
    <x v="19"/>
    <n v="310339.09999999998"/>
  </r>
  <r>
    <x v="0"/>
    <x v="63"/>
    <x v="0"/>
    <x v="1"/>
    <x v="12"/>
    <n v="4024587.28"/>
  </r>
  <r>
    <x v="0"/>
    <x v="82"/>
    <x v="0"/>
    <x v="1"/>
    <x v="24"/>
    <n v="1192865.8799999999"/>
  </r>
  <r>
    <x v="0"/>
    <x v="27"/>
    <x v="0"/>
    <x v="1"/>
    <x v="2"/>
    <n v="56791515"/>
  </r>
  <r>
    <x v="1"/>
    <x v="4"/>
    <x v="0"/>
    <x v="1"/>
    <x v="15"/>
    <n v="36398954.350000001"/>
  </r>
  <r>
    <x v="1"/>
    <x v="19"/>
    <x v="0"/>
    <x v="1"/>
    <x v="0"/>
    <n v="150241.95000000001"/>
  </r>
  <r>
    <x v="1"/>
    <x v="79"/>
    <x v="0"/>
    <x v="1"/>
    <x v="14"/>
    <n v="4441638.45"/>
  </r>
  <r>
    <x v="1"/>
    <x v="64"/>
    <x v="0"/>
    <x v="1"/>
    <x v="4"/>
    <n v="25786.87"/>
  </r>
  <r>
    <x v="0"/>
    <x v="50"/>
    <x v="0"/>
    <x v="1"/>
    <x v="9"/>
    <n v="60220000"/>
  </r>
  <r>
    <x v="0"/>
    <x v="31"/>
    <x v="0"/>
    <x v="1"/>
    <x v="1"/>
    <n v="22347019.260000002"/>
  </r>
  <r>
    <x v="1"/>
    <x v="56"/>
    <x v="0"/>
    <x v="1"/>
    <x v="24"/>
    <n v="17202.400000000001"/>
  </r>
  <r>
    <x v="1"/>
    <x v="9"/>
    <x v="0"/>
    <x v="3"/>
    <x v="16"/>
    <n v="6803212.3300000001"/>
  </r>
  <r>
    <x v="0"/>
    <x v="90"/>
    <x v="0"/>
    <x v="1"/>
    <x v="14"/>
    <n v="165555.82999999999"/>
  </r>
  <r>
    <x v="0"/>
    <x v="47"/>
    <x v="0"/>
    <x v="1"/>
    <x v="3"/>
    <n v="45542994.469999999"/>
  </r>
  <r>
    <x v="1"/>
    <x v="40"/>
    <x v="0"/>
    <x v="1"/>
    <x v="13"/>
    <n v="44217996.75"/>
  </r>
  <r>
    <x v="0"/>
    <x v="57"/>
    <x v="0"/>
    <x v="1"/>
    <x v="19"/>
    <n v="136349.74"/>
  </r>
  <r>
    <x v="0"/>
    <x v="79"/>
    <x v="0"/>
    <x v="1"/>
    <x v="18"/>
    <n v="32151845.199999999"/>
  </r>
  <r>
    <x v="0"/>
    <x v="64"/>
    <x v="0"/>
    <x v="1"/>
    <x v="21"/>
    <n v="189137.53"/>
  </r>
  <r>
    <x v="1"/>
    <x v="59"/>
    <x v="0"/>
    <x v="9"/>
    <x v="10"/>
    <n v="-8058"/>
  </r>
  <r>
    <x v="0"/>
    <x v="79"/>
    <x v="0"/>
    <x v="1"/>
    <x v="23"/>
    <n v="35888336.130000003"/>
  </r>
  <r>
    <x v="0"/>
    <x v="56"/>
    <x v="0"/>
    <x v="1"/>
    <x v="22"/>
    <n v="203080.37"/>
  </r>
  <r>
    <x v="0"/>
    <x v="28"/>
    <x v="0"/>
    <x v="6"/>
    <x v="0"/>
    <n v="276000"/>
  </r>
  <r>
    <x v="0"/>
    <x v="56"/>
    <x v="0"/>
    <x v="1"/>
    <x v="9"/>
    <n v="396140.31"/>
  </r>
  <r>
    <x v="1"/>
    <x v="62"/>
    <x v="0"/>
    <x v="1"/>
    <x v="9"/>
    <n v="4618194.26"/>
  </r>
  <r>
    <x v="1"/>
    <x v="73"/>
    <x v="0"/>
    <x v="1"/>
    <x v="5"/>
    <n v="378053.65"/>
  </r>
  <r>
    <x v="0"/>
    <x v="0"/>
    <x v="0"/>
    <x v="3"/>
    <x v="7"/>
    <n v="16742325.33"/>
  </r>
  <r>
    <x v="0"/>
    <x v="58"/>
    <x v="0"/>
    <x v="6"/>
    <x v="0"/>
    <n v="1223000"/>
  </r>
  <r>
    <x v="0"/>
    <x v="11"/>
    <x v="0"/>
    <x v="1"/>
    <x v="13"/>
    <n v="219509589.62"/>
  </r>
  <r>
    <x v="0"/>
    <x v="65"/>
    <x v="0"/>
    <x v="1"/>
    <x v="9"/>
    <n v="18162511.899999999"/>
  </r>
  <r>
    <x v="1"/>
    <x v="23"/>
    <x v="0"/>
    <x v="10"/>
    <x v="13"/>
    <n v="701771.44"/>
  </r>
  <r>
    <x v="1"/>
    <x v="93"/>
    <x v="0"/>
    <x v="1"/>
    <x v="24"/>
    <n v="559100.18000000005"/>
  </r>
  <r>
    <x v="0"/>
    <x v="92"/>
    <x v="0"/>
    <x v="1"/>
    <x v="18"/>
    <n v="2512983.58"/>
  </r>
  <r>
    <x v="0"/>
    <x v="73"/>
    <x v="0"/>
    <x v="1"/>
    <x v="12"/>
    <n v="5661353.5300000003"/>
  </r>
  <r>
    <x v="1"/>
    <x v="33"/>
    <x v="0"/>
    <x v="1"/>
    <x v="24"/>
    <n v="9144.1200000000008"/>
  </r>
  <r>
    <x v="0"/>
    <x v="24"/>
    <x v="0"/>
    <x v="2"/>
    <x v="9"/>
    <n v="39000000"/>
  </r>
  <r>
    <x v="0"/>
    <x v="89"/>
    <x v="0"/>
    <x v="1"/>
    <x v="7"/>
    <n v="42251.5"/>
  </r>
  <r>
    <x v="1"/>
    <x v="50"/>
    <x v="0"/>
    <x v="1"/>
    <x v="13"/>
    <n v="1877594.69"/>
  </r>
  <r>
    <x v="1"/>
    <x v="5"/>
    <x v="0"/>
    <x v="1"/>
    <x v="6"/>
    <n v="747874.46"/>
  </r>
  <r>
    <x v="0"/>
    <x v="40"/>
    <x v="0"/>
    <x v="10"/>
    <x v="13"/>
    <n v="10083498.66"/>
  </r>
  <r>
    <x v="1"/>
    <x v="43"/>
    <x v="0"/>
    <x v="1"/>
    <x v="25"/>
    <n v="174862.45"/>
  </r>
  <r>
    <x v="0"/>
    <x v="4"/>
    <x v="0"/>
    <x v="3"/>
    <x v="2"/>
    <n v="140318440.31"/>
  </r>
  <r>
    <x v="0"/>
    <x v="36"/>
    <x v="0"/>
    <x v="1"/>
    <x v="1"/>
    <n v="26608000"/>
  </r>
  <r>
    <x v="1"/>
    <x v="68"/>
    <x v="0"/>
    <x v="1"/>
    <x v="17"/>
    <n v="331537.45"/>
  </r>
  <r>
    <x v="0"/>
    <x v="16"/>
    <x v="0"/>
    <x v="6"/>
    <x v="1"/>
    <n v="334000"/>
  </r>
  <r>
    <x v="0"/>
    <x v="66"/>
    <x v="0"/>
    <x v="2"/>
    <x v="22"/>
    <n v="3528558.23"/>
  </r>
  <r>
    <x v="0"/>
    <x v="11"/>
    <x v="0"/>
    <x v="2"/>
    <x v="4"/>
    <n v="23152000"/>
  </r>
  <r>
    <x v="1"/>
    <x v="60"/>
    <x v="0"/>
    <x v="1"/>
    <x v="14"/>
    <n v="8766.3799999999992"/>
  </r>
  <r>
    <x v="1"/>
    <x v="76"/>
    <x v="0"/>
    <x v="1"/>
    <x v="25"/>
    <n v="-808682.38"/>
  </r>
  <r>
    <x v="1"/>
    <x v="66"/>
    <x v="0"/>
    <x v="1"/>
    <x v="25"/>
    <n v="314661.86"/>
  </r>
  <r>
    <x v="0"/>
    <x v="11"/>
    <x v="0"/>
    <x v="3"/>
    <x v="4"/>
    <n v="16998000"/>
  </r>
  <r>
    <x v="0"/>
    <x v="42"/>
    <x v="0"/>
    <x v="1"/>
    <x v="8"/>
    <n v="7878297.0599999996"/>
  </r>
  <r>
    <x v="1"/>
    <x v="18"/>
    <x v="0"/>
    <x v="1"/>
    <x v="1"/>
    <n v="18651.48"/>
  </r>
  <r>
    <x v="0"/>
    <x v="87"/>
    <x v="0"/>
    <x v="1"/>
    <x v="5"/>
    <n v="1741119.57"/>
  </r>
  <r>
    <x v="0"/>
    <x v="16"/>
    <x v="0"/>
    <x v="1"/>
    <x v="18"/>
    <n v="6328971.9199999999"/>
  </r>
  <r>
    <x v="0"/>
    <x v="45"/>
    <x v="0"/>
    <x v="1"/>
    <x v="19"/>
    <n v="68719323.829999998"/>
  </r>
  <r>
    <x v="0"/>
    <x v="77"/>
    <x v="0"/>
    <x v="1"/>
    <x v="6"/>
    <n v="1311776.5"/>
  </r>
  <r>
    <x v="1"/>
    <x v="0"/>
    <x v="0"/>
    <x v="1"/>
    <x v="16"/>
    <n v="18357406.789999999"/>
  </r>
  <r>
    <x v="1"/>
    <x v="23"/>
    <x v="0"/>
    <x v="10"/>
    <x v="6"/>
    <n v="623553.03"/>
  </r>
  <r>
    <x v="0"/>
    <x v="57"/>
    <x v="0"/>
    <x v="1"/>
    <x v="10"/>
    <n v="155712.57"/>
  </r>
  <r>
    <x v="1"/>
    <x v="25"/>
    <x v="0"/>
    <x v="1"/>
    <x v="6"/>
    <n v="48862.87"/>
  </r>
  <r>
    <x v="0"/>
    <x v="62"/>
    <x v="0"/>
    <x v="1"/>
    <x v="24"/>
    <n v="395181.59"/>
  </r>
  <r>
    <x v="1"/>
    <x v="8"/>
    <x v="0"/>
    <x v="1"/>
    <x v="20"/>
    <n v="821755.18"/>
  </r>
  <r>
    <x v="1"/>
    <x v="48"/>
    <x v="0"/>
    <x v="1"/>
    <x v="18"/>
    <n v="321724.31"/>
  </r>
  <r>
    <x v="0"/>
    <x v="47"/>
    <x v="0"/>
    <x v="9"/>
    <x v="14"/>
    <n v="1759750.86"/>
  </r>
  <r>
    <x v="0"/>
    <x v="59"/>
    <x v="0"/>
    <x v="7"/>
    <x v="6"/>
    <n v="20429.990000000002"/>
  </r>
  <r>
    <x v="1"/>
    <x v="80"/>
    <x v="0"/>
    <x v="1"/>
    <x v="6"/>
    <n v="1197964.3799999999"/>
  </r>
  <r>
    <x v="0"/>
    <x v="58"/>
    <x v="0"/>
    <x v="6"/>
    <x v="1"/>
    <n v="1225000"/>
  </r>
  <r>
    <x v="0"/>
    <x v="79"/>
    <x v="0"/>
    <x v="7"/>
    <x v="19"/>
    <n v="456648.57"/>
  </r>
  <r>
    <x v="0"/>
    <x v="28"/>
    <x v="0"/>
    <x v="6"/>
    <x v="2"/>
    <n v="276000"/>
  </r>
  <r>
    <x v="1"/>
    <x v="7"/>
    <x v="0"/>
    <x v="1"/>
    <x v="9"/>
    <n v="206129.33"/>
  </r>
  <r>
    <x v="1"/>
    <x v="45"/>
    <x v="0"/>
    <x v="1"/>
    <x v="24"/>
    <n v="4461870.38"/>
  </r>
  <r>
    <x v="0"/>
    <x v="65"/>
    <x v="0"/>
    <x v="1"/>
    <x v="5"/>
    <n v="5749337.8799999999"/>
  </r>
  <r>
    <x v="0"/>
    <x v="14"/>
    <x v="0"/>
    <x v="1"/>
    <x v="9"/>
    <n v="2459223.38"/>
  </r>
  <r>
    <x v="1"/>
    <x v="9"/>
    <x v="0"/>
    <x v="3"/>
    <x v="25"/>
    <n v="18028963.210000001"/>
  </r>
  <r>
    <x v="1"/>
    <x v="40"/>
    <x v="0"/>
    <x v="1"/>
    <x v="8"/>
    <n v="48194314.009999998"/>
  </r>
  <r>
    <x v="0"/>
    <x v="62"/>
    <x v="0"/>
    <x v="4"/>
    <x v="25"/>
    <n v="2228193.73"/>
  </r>
  <r>
    <x v="1"/>
    <x v="54"/>
    <x v="0"/>
    <x v="1"/>
    <x v="9"/>
    <n v="105930.62"/>
  </r>
  <r>
    <x v="0"/>
    <x v="47"/>
    <x v="0"/>
    <x v="1"/>
    <x v="11"/>
    <n v="66291236.229999997"/>
  </r>
  <r>
    <x v="1"/>
    <x v="14"/>
    <x v="0"/>
    <x v="1"/>
    <x v="15"/>
    <n v="101587.15"/>
  </r>
  <r>
    <x v="1"/>
    <x v="22"/>
    <x v="0"/>
    <x v="1"/>
    <x v="2"/>
    <n v="26329941.75"/>
  </r>
  <r>
    <x v="1"/>
    <x v="11"/>
    <x v="0"/>
    <x v="1"/>
    <x v="1"/>
    <n v="2500611.2599999998"/>
  </r>
  <r>
    <x v="0"/>
    <x v="54"/>
    <x v="0"/>
    <x v="1"/>
    <x v="21"/>
    <n v="939542.32"/>
  </r>
  <r>
    <x v="1"/>
    <x v="15"/>
    <x v="0"/>
    <x v="4"/>
    <x v="5"/>
    <n v="-0.31"/>
  </r>
  <r>
    <x v="0"/>
    <x v="23"/>
    <x v="0"/>
    <x v="6"/>
    <x v="0"/>
    <n v="230000"/>
  </r>
  <r>
    <x v="0"/>
    <x v="17"/>
    <x v="0"/>
    <x v="6"/>
    <x v="5"/>
    <n v="22000"/>
  </r>
  <r>
    <x v="0"/>
    <x v="65"/>
    <x v="0"/>
    <x v="10"/>
    <x v="19"/>
    <n v="506107.31"/>
  </r>
  <r>
    <x v="1"/>
    <x v="64"/>
    <x v="0"/>
    <x v="1"/>
    <x v="8"/>
    <n v="16725.36"/>
  </r>
  <r>
    <x v="0"/>
    <x v="95"/>
    <x v="0"/>
    <x v="1"/>
    <x v="25"/>
    <n v="79700.19"/>
  </r>
  <r>
    <x v="1"/>
    <x v="96"/>
    <x v="0"/>
    <x v="1"/>
    <x v="3"/>
    <n v="22512.47"/>
  </r>
  <r>
    <x v="0"/>
    <x v="36"/>
    <x v="0"/>
    <x v="1"/>
    <x v="6"/>
    <n v="23121200"/>
  </r>
  <r>
    <x v="0"/>
    <x v="41"/>
    <x v="0"/>
    <x v="1"/>
    <x v="6"/>
    <n v="42842095.859999999"/>
  </r>
  <r>
    <x v="0"/>
    <x v="79"/>
    <x v="0"/>
    <x v="7"/>
    <x v="0"/>
    <n v="73584.429999999993"/>
  </r>
  <r>
    <x v="0"/>
    <x v="10"/>
    <x v="0"/>
    <x v="1"/>
    <x v="23"/>
    <n v="1861343.74"/>
  </r>
  <r>
    <x v="1"/>
    <x v="7"/>
    <x v="0"/>
    <x v="1"/>
    <x v="18"/>
    <n v="180639.38"/>
  </r>
  <r>
    <x v="0"/>
    <x v="54"/>
    <x v="0"/>
    <x v="1"/>
    <x v="13"/>
    <n v="940303.66"/>
  </r>
  <r>
    <x v="1"/>
    <x v="55"/>
    <x v="0"/>
    <x v="1"/>
    <x v="8"/>
    <n v="65383.5"/>
  </r>
  <r>
    <x v="0"/>
    <x v="47"/>
    <x v="0"/>
    <x v="1"/>
    <x v="7"/>
    <n v="46509882.079999998"/>
  </r>
  <r>
    <x v="0"/>
    <x v="47"/>
    <x v="0"/>
    <x v="1"/>
    <x v="6"/>
    <n v="50464461.57"/>
  </r>
  <r>
    <x v="0"/>
    <x v="67"/>
    <x v="0"/>
    <x v="2"/>
    <x v="9"/>
    <n v="51022.7"/>
  </r>
  <r>
    <x v="0"/>
    <x v="20"/>
    <x v="0"/>
    <x v="5"/>
    <x v="17"/>
    <n v="312946961.54000002"/>
  </r>
  <r>
    <x v="1"/>
    <x v="28"/>
    <x v="0"/>
    <x v="3"/>
    <x v="1"/>
    <n v="0"/>
  </r>
  <r>
    <x v="1"/>
    <x v="17"/>
    <x v="0"/>
    <x v="1"/>
    <x v="10"/>
    <n v="53046.31"/>
  </r>
  <r>
    <x v="1"/>
    <x v="85"/>
    <x v="0"/>
    <x v="1"/>
    <x v="4"/>
    <n v="290404.78000000003"/>
  </r>
  <r>
    <x v="1"/>
    <x v="71"/>
    <x v="0"/>
    <x v="1"/>
    <x v="24"/>
    <n v="23664.31"/>
  </r>
  <r>
    <x v="0"/>
    <x v="33"/>
    <x v="0"/>
    <x v="1"/>
    <x v="0"/>
    <n v="2751980002.3600001"/>
  </r>
  <r>
    <x v="0"/>
    <x v="20"/>
    <x v="0"/>
    <x v="10"/>
    <x v="14"/>
    <n v="11509411.4"/>
  </r>
  <r>
    <x v="0"/>
    <x v="5"/>
    <x v="0"/>
    <x v="1"/>
    <x v="15"/>
    <n v="38375934"/>
  </r>
  <r>
    <x v="0"/>
    <x v="17"/>
    <x v="0"/>
    <x v="1"/>
    <x v="13"/>
    <n v="6530105.4400000004"/>
  </r>
  <r>
    <x v="0"/>
    <x v="54"/>
    <x v="0"/>
    <x v="6"/>
    <x v="13"/>
    <n v="5000"/>
  </r>
  <r>
    <x v="1"/>
    <x v="85"/>
    <x v="0"/>
    <x v="1"/>
    <x v="2"/>
    <n v="133768.99"/>
  </r>
  <r>
    <x v="0"/>
    <x v="1"/>
    <x v="0"/>
    <x v="1"/>
    <x v="19"/>
    <n v="4054210.43"/>
  </r>
  <r>
    <x v="0"/>
    <x v="78"/>
    <x v="0"/>
    <x v="1"/>
    <x v="21"/>
    <n v="2603251.73"/>
  </r>
  <r>
    <x v="0"/>
    <x v="75"/>
    <x v="0"/>
    <x v="1"/>
    <x v="10"/>
    <n v="203386.73"/>
  </r>
  <r>
    <x v="1"/>
    <x v="58"/>
    <x v="0"/>
    <x v="1"/>
    <x v="25"/>
    <n v="2473541.13"/>
  </r>
  <r>
    <x v="0"/>
    <x v="8"/>
    <x v="0"/>
    <x v="4"/>
    <x v="25"/>
    <n v="3175000"/>
  </r>
  <r>
    <x v="0"/>
    <x v="42"/>
    <x v="0"/>
    <x v="1"/>
    <x v="19"/>
    <n v="11562380.390000001"/>
  </r>
  <r>
    <x v="1"/>
    <x v="22"/>
    <x v="0"/>
    <x v="8"/>
    <x v="6"/>
    <n v="763891.24"/>
  </r>
  <r>
    <x v="0"/>
    <x v="37"/>
    <x v="0"/>
    <x v="1"/>
    <x v="18"/>
    <n v="13138819.35"/>
  </r>
  <r>
    <x v="1"/>
    <x v="73"/>
    <x v="0"/>
    <x v="9"/>
    <x v="25"/>
    <n v="1416464.27"/>
  </r>
  <r>
    <x v="0"/>
    <x v="70"/>
    <x v="0"/>
    <x v="1"/>
    <x v="2"/>
    <n v="2845101.2"/>
  </r>
  <r>
    <x v="0"/>
    <x v="75"/>
    <x v="0"/>
    <x v="1"/>
    <x v="14"/>
    <n v="193031.38"/>
  </r>
  <r>
    <x v="0"/>
    <x v="7"/>
    <x v="0"/>
    <x v="1"/>
    <x v="7"/>
    <n v="4314642.82"/>
  </r>
  <r>
    <x v="1"/>
    <x v="24"/>
    <x v="0"/>
    <x v="7"/>
    <x v="19"/>
    <n v="-17600"/>
  </r>
  <r>
    <x v="0"/>
    <x v="86"/>
    <x v="0"/>
    <x v="1"/>
    <x v="22"/>
    <n v="1251890.24"/>
  </r>
  <r>
    <x v="0"/>
    <x v="19"/>
    <x v="0"/>
    <x v="1"/>
    <x v="22"/>
    <n v="872719.52"/>
  </r>
  <r>
    <x v="0"/>
    <x v="20"/>
    <x v="0"/>
    <x v="5"/>
    <x v="5"/>
    <n v="415066603.87"/>
  </r>
  <r>
    <x v="0"/>
    <x v="57"/>
    <x v="0"/>
    <x v="1"/>
    <x v="20"/>
    <n v="189418.43"/>
  </r>
  <r>
    <x v="0"/>
    <x v="30"/>
    <x v="0"/>
    <x v="1"/>
    <x v="2"/>
    <n v="1205704439.24"/>
  </r>
  <r>
    <x v="1"/>
    <x v="24"/>
    <x v="0"/>
    <x v="1"/>
    <x v="13"/>
    <n v="79393377.5"/>
  </r>
  <r>
    <x v="0"/>
    <x v="17"/>
    <x v="0"/>
    <x v="1"/>
    <x v="14"/>
    <n v="5621419.8799999999"/>
  </r>
  <r>
    <x v="0"/>
    <x v="47"/>
    <x v="0"/>
    <x v="1"/>
    <x v="18"/>
    <n v="86546398.519999996"/>
  </r>
  <r>
    <x v="1"/>
    <x v="17"/>
    <x v="0"/>
    <x v="1"/>
    <x v="9"/>
    <n v="1826803.68"/>
  </r>
  <r>
    <x v="0"/>
    <x v="39"/>
    <x v="0"/>
    <x v="1"/>
    <x v="11"/>
    <n v="188322.93"/>
  </r>
  <r>
    <x v="1"/>
    <x v="20"/>
    <x v="0"/>
    <x v="8"/>
    <x v="10"/>
    <n v="8354405.8899999997"/>
  </r>
  <r>
    <x v="0"/>
    <x v="56"/>
    <x v="0"/>
    <x v="1"/>
    <x v="0"/>
    <n v="227850.5"/>
  </r>
  <r>
    <x v="1"/>
    <x v="4"/>
    <x v="0"/>
    <x v="1"/>
    <x v="7"/>
    <n v="50208365.600000001"/>
  </r>
  <r>
    <x v="0"/>
    <x v="18"/>
    <x v="0"/>
    <x v="1"/>
    <x v="18"/>
    <n v="8117799.2300000004"/>
  </r>
  <r>
    <x v="0"/>
    <x v="27"/>
    <x v="0"/>
    <x v="3"/>
    <x v="11"/>
    <n v="8380000"/>
  </r>
  <r>
    <x v="1"/>
    <x v="58"/>
    <x v="0"/>
    <x v="1"/>
    <x v="17"/>
    <n v="786385.35"/>
  </r>
  <r>
    <x v="0"/>
    <x v="5"/>
    <x v="0"/>
    <x v="1"/>
    <x v="10"/>
    <n v="59839191.810000002"/>
  </r>
  <r>
    <x v="1"/>
    <x v="58"/>
    <x v="0"/>
    <x v="8"/>
    <x v="6"/>
    <n v="13920.87"/>
  </r>
  <r>
    <x v="0"/>
    <x v="75"/>
    <x v="0"/>
    <x v="1"/>
    <x v="25"/>
    <n v="248478.33"/>
  </r>
  <r>
    <x v="1"/>
    <x v="87"/>
    <x v="0"/>
    <x v="1"/>
    <x v="25"/>
    <n v="166636.69"/>
  </r>
  <r>
    <x v="0"/>
    <x v="57"/>
    <x v="0"/>
    <x v="1"/>
    <x v="24"/>
    <n v="137997.22"/>
  </r>
  <r>
    <x v="1"/>
    <x v="53"/>
    <x v="0"/>
    <x v="1"/>
    <x v="19"/>
    <n v="366571.16"/>
  </r>
  <r>
    <x v="1"/>
    <x v="9"/>
    <x v="0"/>
    <x v="3"/>
    <x v="1"/>
    <n v="6661342.0899999999"/>
  </r>
  <r>
    <x v="0"/>
    <x v="8"/>
    <x v="0"/>
    <x v="1"/>
    <x v="17"/>
    <n v="18749718.489999998"/>
  </r>
  <r>
    <x v="1"/>
    <x v="12"/>
    <x v="0"/>
    <x v="1"/>
    <x v="23"/>
    <n v="10853.5"/>
  </r>
  <r>
    <x v="1"/>
    <x v="47"/>
    <x v="0"/>
    <x v="1"/>
    <x v="13"/>
    <n v="12233840.939999999"/>
  </r>
  <r>
    <x v="0"/>
    <x v="86"/>
    <x v="0"/>
    <x v="1"/>
    <x v="2"/>
    <n v="2119561.58"/>
  </r>
  <r>
    <x v="1"/>
    <x v="47"/>
    <x v="0"/>
    <x v="7"/>
    <x v="8"/>
    <n v="88920"/>
  </r>
  <r>
    <x v="0"/>
    <x v="75"/>
    <x v="0"/>
    <x v="6"/>
    <x v="0"/>
    <n v="13000"/>
  </r>
  <r>
    <x v="0"/>
    <x v="45"/>
    <x v="0"/>
    <x v="1"/>
    <x v="24"/>
    <n v="66184112.509999998"/>
  </r>
  <r>
    <x v="0"/>
    <x v="4"/>
    <x v="0"/>
    <x v="3"/>
    <x v="17"/>
    <n v="10217000"/>
  </r>
  <r>
    <x v="1"/>
    <x v="6"/>
    <x v="0"/>
    <x v="1"/>
    <x v="15"/>
    <n v="180527.32"/>
  </r>
  <r>
    <x v="0"/>
    <x v="1"/>
    <x v="0"/>
    <x v="1"/>
    <x v="25"/>
    <n v="5694158.7400000002"/>
  </r>
  <r>
    <x v="0"/>
    <x v="57"/>
    <x v="0"/>
    <x v="1"/>
    <x v="4"/>
    <n v="7551482.4800000004"/>
  </r>
  <r>
    <x v="1"/>
    <x v="2"/>
    <x v="0"/>
    <x v="1"/>
    <x v="12"/>
    <n v="146431.70000000001"/>
  </r>
  <r>
    <x v="1"/>
    <x v="27"/>
    <x v="0"/>
    <x v="6"/>
    <x v="25"/>
    <n v="0"/>
  </r>
  <r>
    <x v="1"/>
    <x v="53"/>
    <x v="0"/>
    <x v="1"/>
    <x v="1"/>
    <n v="221179.03"/>
  </r>
  <r>
    <x v="1"/>
    <x v="43"/>
    <x v="0"/>
    <x v="1"/>
    <x v="7"/>
    <n v="181997.65"/>
  </r>
  <r>
    <x v="1"/>
    <x v="15"/>
    <x v="0"/>
    <x v="1"/>
    <x v="5"/>
    <n v="597788.49"/>
  </r>
  <r>
    <x v="1"/>
    <x v="52"/>
    <x v="0"/>
    <x v="1"/>
    <x v="11"/>
    <n v="961469.7"/>
  </r>
  <r>
    <x v="1"/>
    <x v="45"/>
    <x v="0"/>
    <x v="1"/>
    <x v="0"/>
    <n v="5479892.2300000004"/>
  </r>
  <r>
    <x v="0"/>
    <x v="67"/>
    <x v="0"/>
    <x v="1"/>
    <x v="7"/>
    <n v="5028.79"/>
  </r>
  <r>
    <x v="1"/>
    <x v="97"/>
    <x v="0"/>
    <x v="1"/>
    <x v="11"/>
    <n v="0"/>
  </r>
  <r>
    <x v="0"/>
    <x v="24"/>
    <x v="0"/>
    <x v="1"/>
    <x v="12"/>
    <n v="70259052.959999993"/>
  </r>
  <r>
    <x v="0"/>
    <x v="59"/>
    <x v="0"/>
    <x v="9"/>
    <x v="6"/>
    <n v="452473.23"/>
  </r>
  <r>
    <x v="0"/>
    <x v="6"/>
    <x v="0"/>
    <x v="1"/>
    <x v="12"/>
    <n v="259692516.24000001"/>
  </r>
  <r>
    <x v="1"/>
    <x v="8"/>
    <x v="0"/>
    <x v="1"/>
    <x v="6"/>
    <n v="1193784"/>
  </r>
  <r>
    <x v="0"/>
    <x v="88"/>
    <x v="0"/>
    <x v="1"/>
    <x v="10"/>
    <n v="434111.26"/>
  </r>
  <r>
    <x v="1"/>
    <x v="14"/>
    <x v="0"/>
    <x v="1"/>
    <x v="9"/>
    <n v="274301.56"/>
  </r>
  <r>
    <x v="1"/>
    <x v="96"/>
    <x v="0"/>
    <x v="0"/>
    <x v="7"/>
    <n v="19154.05"/>
  </r>
  <r>
    <x v="1"/>
    <x v="79"/>
    <x v="0"/>
    <x v="1"/>
    <x v="8"/>
    <n v="5821665.3899999997"/>
  </r>
  <r>
    <x v="0"/>
    <x v="33"/>
    <x v="0"/>
    <x v="1"/>
    <x v="22"/>
    <n v="2129964840.53"/>
  </r>
  <r>
    <x v="0"/>
    <x v="14"/>
    <x v="0"/>
    <x v="1"/>
    <x v="10"/>
    <n v="763388.34"/>
  </r>
  <r>
    <x v="0"/>
    <x v="55"/>
    <x v="0"/>
    <x v="1"/>
    <x v="8"/>
    <n v="328494.34000000003"/>
  </r>
  <r>
    <x v="0"/>
    <x v="73"/>
    <x v="0"/>
    <x v="1"/>
    <x v="25"/>
    <n v="2404946.7000000002"/>
  </r>
  <r>
    <x v="1"/>
    <x v="73"/>
    <x v="0"/>
    <x v="9"/>
    <x v="13"/>
    <n v="-1413777.51"/>
  </r>
  <r>
    <x v="1"/>
    <x v="66"/>
    <x v="0"/>
    <x v="1"/>
    <x v="21"/>
    <n v="4238764.8899999997"/>
  </r>
  <r>
    <x v="0"/>
    <x v="35"/>
    <x v="0"/>
    <x v="1"/>
    <x v="10"/>
    <n v="21800761"/>
  </r>
  <r>
    <x v="0"/>
    <x v="1"/>
    <x v="0"/>
    <x v="1"/>
    <x v="24"/>
    <n v="4209758.79"/>
  </r>
  <r>
    <x v="1"/>
    <x v="16"/>
    <x v="0"/>
    <x v="1"/>
    <x v="19"/>
    <n v="355805.23"/>
  </r>
  <r>
    <x v="0"/>
    <x v="8"/>
    <x v="0"/>
    <x v="10"/>
    <x v="19"/>
    <n v="13627042.960000001"/>
  </r>
  <r>
    <x v="0"/>
    <x v="45"/>
    <x v="0"/>
    <x v="6"/>
    <x v="1"/>
    <n v="6745000"/>
  </r>
  <r>
    <x v="0"/>
    <x v="52"/>
    <x v="0"/>
    <x v="10"/>
    <x v="14"/>
    <n v="28617.85"/>
  </r>
  <r>
    <x v="0"/>
    <x v="30"/>
    <x v="0"/>
    <x v="1"/>
    <x v="22"/>
    <n v="943715102.69000006"/>
  </r>
  <r>
    <x v="1"/>
    <x v="93"/>
    <x v="0"/>
    <x v="1"/>
    <x v="4"/>
    <n v="1535869.38"/>
  </r>
  <r>
    <x v="1"/>
    <x v="80"/>
    <x v="0"/>
    <x v="1"/>
    <x v="18"/>
    <n v="1572548.67"/>
  </r>
  <r>
    <x v="0"/>
    <x v="55"/>
    <x v="0"/>
    <x v="6"/>
    <x v="11"/>
    <n v="23000"/>
  </r>
  <r>
    <x v="0"/>
    <x v="17"/>
    <x v="0"/>
    <x v="1"/>
    <x v="2"/>
    <n v="12782148.640000001"/>
  </r>
  <r>
    <x v="0"/>
    <x v="78"/>
    <x v="0"/>
    <x v="1"/>
    <x v="18"/>
    <n v="1963205.86"/>
  </r>
  <r>
    <x v="0"/>
    <x v="46"/>
    <x v="0"/>
    <x v="1"/>
    <x v="24"/>
    <n v="817094.72"/>
  </r>
  <r>
    <x v="1"/>
    <x v="25"/>
    <x v="0"/>
    <x v="1"/>
    <x v="24"/>
    <n v="55926.06"/>
  </r>
  <r>
    <x v="1"/>
    <x v="86"/>
    <x v="0"/>
    <x v="1"/>
    <x v="9"/>
    <n v="397825.92"/>
  </r>
  <r>
    <x v="1"/>
    <x v="94"/>
    <x v="0"/>
    <x v="1"/>
    <x v="24"/>
    <n v="1032860.61"/>
  </r>
  <r>
    <x v="0"/>
    <x v="86"/>
    <x v="0"/>
    <x v="1"/>
    <x v="1"/>
    <n v="1488099.07"/>
  </r>
  <r>
    <x v="0"/>
    <x v="4"/>
    <x v="0"/>
    <x v="3"/>
    <x v="9"/>
    <n v="133056.64000000001"/>
  </r>
  <r>
    <x v="0"/>
    <x v="89"/>
    <x v="0"/>
    <x v="1"/>
    <x v="13"/>
    <n v="1543960.9"/>
  </r>
  <r>
    <x v="1"/>
    <x v="15"/>
    <x v="0"/>
    <x v="1"/>
    <x v="1"/>
    <n v="1571123.61"/>
  </r>
  <r>
    <x v="0"/>
    <x v="0"/>
    <x v="0"/>
    <x v="1"/>
    <x v="16"/>
    <n v="70695237.269999996"/>
  </r>
  <r>
    <x v="1"/>
    <x v="30"/>
    <x v="0"/>
    <x v="1"/>
    <x v="7"/>
    <n v="34188.14"/>
  </r>
  <r>
    <x v="0"/>
    <x v="36"/>
    <x v="0"/>
    <x v="1"/>
    <x v="7"/>
    <n v="25710009"/>
  </r>
  <r>
    <x v="0"/>
    <x v="32"/>
    <x v="0"/>
    <x v="1"/>
    <x v="9"/>
    <n v="8494058.2400000002"/>
  </r>
  <r>
    <x v="1"/>
    <x v="79"/>
    <x v="0"/>
    <x v="6"/>
    <x v="17"/>
    <n v="3124"/>
  </r>
  <r>
    <x v="1"/>
    <x v="8"/>
    <x v="0"/>
    <x v="10"/>
    <x v="5"/>
    <n v="3007168.57"/>
  </r>
  <r>
    <x v="1"/>
    <x v="76"/>
    <x v="0"/>
    <x v="1"/>
    <x v="14"/>
    <n v="805502.71"/>
  </r>
  <r>
    <x v="0"/>
    <x v="11"/>
    <x v="0"/>
    <x v="3"/>
    <x v="22"/>
    <n v="5668500"/>
  </r>
  <r>
    <x v="0"/>
    <x v="43"/>
    <x v="0"/>
    <x v="1"/>
    <x v="20"/>
    <n v="1264189.1499999999"/>
  </r>
  <r>
    <x v="1"/>
    <x v="49"/>
    <x v="0"/>
    <x v="1"/>
    <x v="13"/>
    <n v="76205.77"/>
  </r>
  <r>
    <x v="0"/>
    <x v="85"/>
    <x v="0"/>
    <x v="1"/>
    <x v="19"/>
    <n v="2466233.54"/>
  </r>
  <r>
    <x v="0"/>
    <x v="88"/>
    <x v="0"/>
    <x v="1"/>
    <x v="1"/>
    <n v="750252.66"/>
  </r>
  <r>
    <x v="1"/>
    <x v="33"/>
    <x v="0"/>
    <x v="1"/>
    <x v="23"/>
    <n v="57166162.170000002"/>
  </r>
  <r>
    <x v="0"/>
    <x v="20"/>
    <x v="0"/>
    <x v="1"/>
    <x v="15"/>
    <n v="2721786823.6700001"/>
  </r>
  <r>
    <x v="1"/>
    <x v="10"/>
    <x v="0"/>
    <x v="1"/>
    <x v="21"/>
    <n v="54050.59"/>
  </r>
  <r>
    <x v="1"/>
    <x v="26"/>
    <x v="0"/>
    <x v="1"/>
    <x v="25"/>
    <n v="116419.78"/>
  </r>
  <r>
    <x v="1"/>
    <x v="58"/>
    <x v="0"/>
    <x v="1"/>
    <x v="16"/>
    <n v="1307530.8899999999"/>
  </r>
  <r>
    <x v="0"/>
    <x v="27"/>
    <x v="0"/>
    <x v="1"/>
    <x v="7"/>
    <n v="48158000"/>
  </r>
  <r>
    <x v="0"/>
    <x v="90"/>
    <x v="0"/>
    <x v="1"/>
    <x v="11"/>
    <n v="210403.8"/>
  </r>
  <r>
    <x v="1"/>
    <x v="62"/>
    <x v="0"/>
    <x v="1"/>
    <x v="23"/>
    <n v="1580690.68"/>
  </r>
  <r>
    <x v="1"/>
    <x v="85"/>
    <x v="0"/>
    <x v="1"/>
    <x v="14"/>
    <n v="93121.68"/>
  </r>
  <r>
    <x v="0"/>
    <x v="64"/>
    <x v="0"/>
    <x v="1"/>
    <x v="17"/>
    <n v="213244.64"/>
  </r>
  <r>
    <x v="0"/>
    <x v="33"/>
    <x v="0"/>
    <x v="6"/>
    <x v="11"/>
    <n v="3125755.46"/>
  </r>
  <r>
    <x v="1"/>
    <x v="80"/>
    <x v="0"/>
    <x v="1"/>
    <x v="20"/>
    <n v="1163089.4099999999"/>
  </r>
  <r>
    <x v="0"/>
    <x v="60"/>
    <x v="0"/>
    <x v="1"/>
    <x v="18"/>
    <n v="223316.9"/>
  </r>
  <r>
    <x v="1"/>
    <x v="37"/>
    <x v="0"/>
    <x v="1"/>
    <x v="25"/>
    <n v="1797994.8"/>
  </r>
  <r>
    <x v="1"/>
    <x v="3"/>
    <x v="0"/>
    <x v="1"/>
    <x v="18"/>
    <n v="90176.29"/>
  </r>
  <r>
    <x v="1"/>
    <x v="55"/>
    <x v="0"/>
    <x v="1"/>
    <x v="7"/>
    <n v="51751.1"/>
  </r>
  <r>
    <x v="1"/>
    <x v="10"/>
    <x v="0"/>
    <x v="1"/>
    <x v="25"/>
    <n v="121964.43"/>
  </r>
  <r>
    <x v="1"/>
    <x v="110"/>
    <x v="0"/>
    <x v="7"/>
    <x v="24"/>
    <n v="45621.2"/>
  </r>
  <r>
    <x v="0"/>
    <x v="57"/>
    <x v="0"/>
    <x v="9"/>
    <x v="10"/>
    <n v="57337.87"/>
  </r>
  <r>
    <x v="0"/>
    <x v="77"/>
    <x v="0"/>
    <x v="1"/>
    <x v="24"/>
    <n v="1387660.92"/>
  </r>
  <r>
    <x v="1"/>
    <x v="53"/>
    <x v="0"/>
    <x v="9"/>
    <x v="6"/>
    <n v="81089.899999999994"/>
  </r>
  <r>
    <x v="1"/>
    <x v="36"/>
    <x v="0"/>
    <x v="1"/>
    <x v="12"/>
    <n v="-751.21"/>
  </r>
  <r>
    <x v="0"/>
    <x v="10"/>
    <x v="0"/>
    <x v="1"/>
    <x v="21"/>
    <n v="1860512.33"/>
  </r>
  <r>
    <x v="0"/>
    <x v="5"/>
    <x v="0"/>
    <x v="1"/>
    <x v="0"/>
    <n v="74902000"/>
  </r>
  <r>
    <x v="0"/>
    <x v="4"/>
    <x v="0"/>
    <x v="1"/>
    <x v="19"/>
    <n v="4579000653.5100002"/>
  </r>
  <r>
    <x v="1"/>
    <x v="23"/>
    <x v="0"/>
    <x v="10"/>
    <x v="24"/>
    <n v="-32753.05"/>
  </r>
  <r>
    <x v="0"/>
    <x v="11"/>
    <x v="0"/>
    <x v="1"/>
    <x v="1"/>
    <n v="197615388.74000001"/>
  </r>
  <r>
    <x v="0"/>
    <x v="65"/>
    <x v="0"/>
    <x v="1"/>
    <x v="16"/>
    <n v="9854360.9499999993"/>
  </r>
  <r>
    <x v="0"/>
    <x v="91"/>
    <x v="0"/>
    <x v="1"/>
    <x v="22"/>
    <n v="-42113.11"/>
  </r>
  <r>
    <x v="1"/>
    <x v="5"/>
    <x v="0"/>
    <x v="3"/>
    <x v="18"/>
    <n v="921782.2"/>
  </r>
  <r>
    <x v="1"/>
    <x v="65"/>
    <x v="0"/>
    <x v="6"/>
    <x v="2"/>
    <n v="-801000"/>
  </r>
  <r>
    <x v="1"/>
    <x v="40"/>
    <x v="0"/>
    <x v="6"/>
    <x v="2"/>
    <n v="3678603"/>
  </r>
  <r>
    <x v="0"/>
    <x v="49"/>
    <x v="0"/>
    <x v="1"/>
    <x v="1"/>
    <n v="2385584.52"/>
  </r>
  <r>
    <x v="1"/>
    <x v="82"/>
    <x v="0"/>
    <x v="7"/>
    <x v="20"/>
    <n v="205227.17"/>
  </r>
  <r>
    <x v="0"/>
    <x v="24"/>
    <x v="0"/>
    <x v="1"/>
    <x v="6"/>
    <n v="14562000"/>
  </r>
  <r>
    <x v="1"/>
    <x v="86"/>
    <x v="0"/>
    <x v="1"/>
    <x v="17"/>
    <n v="-27310"/>
  </r>
  <r>
    <x v="1"/>
    <x v="37"/>
    <x v="0"/>
    <x v="1"/>
    <x v="21"/>
    <n v="979226.76"/>
  </r>
  <r>
    <x v="1"/>
    <x v="28"/>
    <x v="0"/>
    <x v="0"/>
    <x v="9"/>
    <n v="157805.76999999999"/>
  </r>
  <r>
    <x v="0"/>
    <x v="36"/>
    <x v="0"/>
    <x v="3"/>
    <x v="23"/>
    <n v="2725000"/>
  </r>
  <r>
    <x v="1"/>
    <x v="77"/>
    <x v="0"/>
    <x v="1"/>
    <x v="14"/>
    <n v="83077.08"/>
  </r>
  <r>
    <x v="1"/>
    <x v="72"/>
    <x v="0"/>
    <x v="1"/>
    <x v="20"/>
    <n v="46847.15"/>
  </r>
  <r>
    <x v="0"/>
    <x v="32"/>
    <x v="0"/>
    <x v="1"/>
    <x v="5"/>
    <n v="11650302.99"/>
  </r>
  <r>
    <x v="0"/>
    <x v="40"/>
    <x v="0"/>
    <x v="1"/>
    <x v="24"/>
    <n v="468396604.73000002"/>
  </r>
  <r>
    <x v="0"/>
    <x v="65"/>
    <x v="0"/>
    <x v="1"/>
    <x v="12"/>
    <n v="3648504.61"/>
  </r>
  <r>
    <x v="0"/>
    <x v="35"/>
    <x v="0"/>
    <x v="6"/>
    <x v="9"/>
    <n v="7100000"/>
  </r>
  <r>
    <x v="0"/>
    <x v="76"/>
    <x v="0"/>
    <x v="8"/>
    <x v="25"/>
    <n v="2569644.4500000002"/>
  </r>
  <r>
    <x v="0"/>
    <x v="25"/>
    <x v="0"/>
    <x v="1"/>
    <x v="16"/>
    <n v="1243877.58"/>
  </r>
  <r>
    <x v="0"/>
    <x v="33"/>
    <x v="0"/>
    <x v="1"/>
    <x v="9"/>
    <n v="3085131389.9099998"/>
  </r>
  <r>
    <x v="1"/>
    <x v="23"/>
    <x v="0"/>
    <x v="6"/>
    <x v="1"/>
    <n v="230000"/>
  </r>
  <r>
    <x v="1"/>
    <x v="9"/>
    <x v="0"/>
    <x v="6"/>
    <x v="0"/>
    <n v="3772139.31"/>
  </r>
  <r>
    <x v="0"/>
    <x v="65"/>
    <x v="0"/>
    <x v="1"/>
    <x v="11"/>
    <n v="11375035.73"/>
  </r>
  <r>
    <x v="0"/>
    <x v="64"/>
    <x v="0"/>
    <x v="1"/>
    <x v="9"/>
    <n v="444586.06"/>
  </r>
  <r>
    <x v="0"/>
    <x v="53"/>
    <x v="0"/>
    <x v="1"/>
    <x v="24"/>
    <n v="5504429.1699999999"/>
  </r>
  <r>
    <x v="1"/>
    <x v="72"/>
    <x v="0"/>
    <x v="1"/>
    <x v="19"/>
    <n v="-12023.39"/>
  </r>
  <r>
    <x v="0"/>
    <x v="6"/>
    <x v="0"/>
    <x v="1"/>
    <x v="6"/>
    <n v="311608263.63999999"/>
  </r>
  <r>
    <x v="1"/>
    <x v="69"/>
    <x v="0"/>
    <x v="1"/>
    <x v="25"/>
    <n v="25389.8"/>
  </r>
  <r>
    <x v="0"/>
    <x v="25"/>
    <x v="0"/>
    <x v="1"/>
    <x v="6"/>
    <n v="1091745.82"/>
  </r>
  <r>
    <x v="1"/>
    <x v="40"/>
    <x v="0"/>
    <x v="10"/>
    <x v="24"/>
    <n v="859551.39"/>
  </r>
  <r>
    <x v="0"/>
    <x v="66"/>
    <x v="0"/>
    <x v="1"/>
    <x v="12"/>
    <n v="13716241.619999999"/>
  </r>
  <r>
    <x v="0"/>
    <x v="73"/>
    <x v="0"/>
    <x v="9"/>
    <x v="19"/>
    <n v="4113576.46"/>
  </r>
  <r>
    <x v="1"/>
    <x v="44"/>
    <x v="0"/>
    <x v="1"/>
    <x v="14"/>
    <n v="1493155.73"/>
  </r>
  <r>
    <x v="1"/>
    <x v="13"/>
    <x v="0"/>
    <x v="1"/>
    <x v="16"/>
    <n v="619354.67000000004"/>
  </r>
  <r>
    <x v="1"/>
    <x v="15"/>
    <x v="0"/>
    <x v="10"/>
    <x v="5"/>
    <n v="179743"/>
  </r>
  <r>
    <x v="1"/>
    <x v="50"/>
    <x v="0"/>
    <x v="1"/>
    <x v="14"/>
    <n v="2982633.2"/>
  </r>
  <r>
    <x v="0"/>
    <x v="70"/>
    <x v="0"/>
    <x v="1"/>
    <x v="5"/>
    <n v="3773727.86"/>
  </r>
  <r>
    <x v="1"/>
    <x v="20"/>
    <x v="0"/>
    <x v="8"/>
    <x v="20"/>
    <n v="17340155.199999999"/>
  </r>
  <r>
    <x v="1"/>
    <x v="39"/>
    <x v="0"/>
    <x v="1"/>
    <x v="15"/>
    <n v="183677.36"/>
  </r>
  <r>
    <x v="1"/>
    <x v="76"/>
    <x v="0"/>
    <x v="1"/>
    <x v="3"/>
    <n v="842003.31"/>
  </r>
  <r>
    <x v="0"/>
    <x v="71"/>
    <x v="0"/>
    <x v="1"/>
    <x v="20"/>
    <n v="444024.08"/>
  </r>
  <r>
    <x v="1"/>
    <x v="44"/>
    <x v="0"/>
    <x v="1"/>
    <x v="2"/>
    <n v="1625826.77"/>
  </r>
  <r>
    <x v="0"/>
    <x v="4"/>
    <x v="0"/>
    <x v="2"/>
    <x v="22"/>
    <n v="2004503.36"/>
  </r>
  <r>
    <x v="0"/>
    <x v="14"/>
    <x v="0"/>
    <x v="6"/>
    <x v="1"/>
    <n v="128000"/>
  </r>
  <r>
    <x v="0"/>
    <x v="20"/>
    <x v="0"/>
    <x v="1"/>
    <x v="25"/>
    <n v="4094156436.3600001"/>
  </r>
  <r>
    <x v="0"/>
    <x v="41"/>
    <x v="0"/>
    <x v="1"/>
    <x v="23"/>
    <n v="163324096.16"/>
  </r>
  <r>
    <x v="0"/>
    <x v="30"/>
    <x v="0"/>
    <x v="1"/>
    <x v="17"/>
    <n v="665469354.58000004"/>
  </r>
  <r>
    <x v="0"/>
    <x v="8"/>
    <x v="0"/>
    <x v="1"/>
    <x v="22"/>
    <n v="33407539.149999999"/>
  </r>
  <r>
    <x v="1"/>
    <x v="10"/>
    <x v="0"/>
    <x v="1"/>
    <x v="23"/>
    <n v="71584.070000000007"/>
  </r>
  <r>
    <x v="1"/>
    <x v="18"/>
    <x v="0"/>
    <x v="1"/>
    <x v="17"/>
    <n v="463356.12"/>
  </r>
  <r>
    <x v="0"/>
    <x v="41"/>
    <x v="0"/>
    <x v="9"/>
    <x v="10"/>
    <n v="1122084.77"/>
  </r>
  <r>
    <x v="1"/>
    <x v="47"/>
    <x v="0"/>
    <x v="6"/>
    <x v="11"/>
    <n v="1632164"/>
  </r>
  <r>
    <x v="0"/>
    <x v="59"/>
    <x v="0"/>
    <x v="1"/>
    <x v="2"/>
    <n v="80852948.469999999"/>
  </r>
  <r>
    <x v="0"/>
    <x v="73"/>
    <x v="0"/>
    <x v="1"/>
    <x v="11"/>
    <n v="7472555.2300000004"/>
  </r>
  <r>
    <x v="0"/>
    <x v="10"/>
    <x v="0"/>
    <x v="1"/>
    <x v="6"/>
    <n v="1963850.85"/>
  </r>
  <r>
    <x v="1"/>
    <x v="87"/>
    <x v="0"/>
    <x v="1"/>
    <x v="21"/>
    <n v="7647.69"/>
  </r>
  <r>
    <x v="0"/>
    <x v="9"/>
    <x v="0"/>
    <x v="1"/>
    <x v="24"/>
    <n v="477826267.26999998"/>
  </r>
  <r>
    <x v="1"/>
    <x v="46"/>
    <x v="0"/>
    <x v="1"/>
    <x v="20"/>
    <n v="-92845.5"/>
  </r>
  <r>
    <x v="1"/>
    <x v="82"/>
    <x v="0"/>
    <x v="1"/>
    <x v="7"/>
    <n v="136914.60999999999"/>
  </r>
  <r>
    <x v="1"/>
    <x v="49"/>
    <x v="0"/>
    <x v="1"/>
    <x v="9"/>
    <n v="296672.5"/>
  </r>
  <r>
    <x v="1"/>
    <x v="25"/>
    <x v="0"/>
    <x v="1"/>
    <x v="23"/>
    <n v="260756.98"/>
  </r>
  <r>
    <x v="1"/>
    <x v="71"/>
    <x v="0"/>
    <x v="1"/>
    <x v="12"/>
    <n v="26399.95"/>
  </r>
  <r>
    <x v="1"/>
    <x v="46"/>
    <x v="0"/>
    <x v="1"/>
    <x v="10"/>
    <n v="128516.65"/>
  </r>
  <r>
    <x v="1"/>
    <x v="8"/>
    <x v="0"/>
    <x v="1"/>
    <x v="1"/>
    <n v="4882319.91"/>
  </r>
  <r>
    <x v="0"/>
    <x v="54"/>
    <x v="0"/>
    <x v="6"/>
    <x v="1"/>
    <n v="65000"/>
  </r>
  <r>
    <x v="1"/>
    <x v="38"/>
    <x v="0"/>
    <x v="1"/>
    <x v="22"/>
    <n v="470794.66"/>
  </r>
  <r>
    <x v="1"/>
    <x v="0"/>
    <x v="0"/>
    <x v="1"/>
    <x v="25"/>
    <n v="15083149.18"/>
  </r>
  <r>
    <x v="1"/>
    <x v="20"/>
    <x v="0"/>
    <x v="1"/>
    <x v="1"/>
    <n v="252931654.87"/>
  </r>
  <r>
    <x v="0"/>
    <x v="68"/>
    <x v="0"/>
    <x v="1"/>
    <x v="12"/>
    <n v="187512960.31"/>
  </r>
  <r>
    <x v="0"/>
    <x v="41"/>
    <x v="0"/>
    <x v="9"/>
    <x v="20"/>
    <n v="2737181.34"/>
  </r>
  <r>
    <x v="0"/>
    <x v="71"/>
    <x v="0"/>
    <x v="1"/>
    <x v="19"/>
    <n v="423480.23"/>
  </r>
  <r>
    <x v="1"/>
    <x v="33"/>
    <x v="0"/>
    <x v="6"/>
    <x v="11"/>
    <n v="-358063.74"/>
  </r>
  <r>
    <x v="1"/>
    <x v="49"/>
    <x v="0"/>
    <x v="1"/>
    <x v="22"/>
    <n v="155181.5"/>
  </r>
  <r>
    <x v="0"/>
    <x v="18"/>
    <x v="0"/>
    <x v="1"/>
    <x v="22"/>
    <n v="6790255.9199999999"/>
  </r>
  <r>
    <x v="0"/>
    <x v="67"/>
    <x v="0"/>
    <x v="1"/>
    <x v="13"/>
    <n v="1656089.51"/>
  </r>
  <r>
    <x v="0"/>
    <x v="79"/>
    <x v="0"/>
    <x v="1"/>
    <x v="17"/>
    <n v="34637166.079999998"/>
  </r>
  <r>
    <x v="0"/>
    <x v="41"/>
    <x v="0"/>
    <x v="9"/>
    <x v="14"/>
    <n v="1010410.96"/>
  </r>
  <r>
    <x v="0"/>
    <x v="19"/>
    <x v="0"/>
    <x v="1"/>
    <x v="7"/>
    <n v="1346374.41"/>
  </r>
  <r>
    <x v="0"/>
    <x v="47"/>
    <x v="0"/>
    <x v="1"/>
    <x v="20"/>
    <n v="47883513.590000004"/>
  </r>
  <r>
    <x v="0"/>
    <x v="22"/>
    <x v="0"/>
    <x v="1"/>
    <x v="23"/>
    <n v="258413411.06999999"/>
  </r>
  <r>
    <x v="0"/>
    <x v="25"/>
    <x v="0"/>
    <x v="1"/>
    <x v="23"/>
    <n v="2374833.6800000002"/>
  </r>
  <r>
    <x v="0"/>
    <x v="29"/>
    <x v="0"/>
    <x v="1"/>
    <x v="21"/>
    <n v="1180600.75"/>
  </r>
  <r>
    <x v="1"/>
    <x v="22"/>
    <x v="0"/>
    <x v="10"/>
    <x v="25"/>
    <n v="476583.43"/>
  </r>
  <r>
    <x v="0"/>
    <x v="91"/>
    <x v="0"/>
    <x v="1"/>
    <x v="9"/>
    <n v="279765.96000000002"/>
  </r>
  <r>
    <x v="0"/>
    <x v="41"/>
    <x v="0"/>
    <x v="1"/>
    <x v="11"/>
    <n v="73775445.260000005"/>
  </r>
  <r>
    <x v="1"/>
    <x v="15"/>
    <x v="0"/>
    <x v="1"/>
    <x v="18"/>
    <n v="611510.49"/>
  </r>
  <r>
    <x v="1"/>
    <x v="40"/>
    <x v="0"/>
    <x v="1"/>
    <x v="1"/>
    <n v="66909391.409999996"/>
  </r>
  <r>
    <x v="0"/>
    <x v="32"/>
    <x v="0"/>
    <x v="1"/>
    <x v="17"/>
    <n v="9801048.6199999992"/>
  </r>
  <r>
    <x v="1"/>
    <x v="24"/>
    <x v="0"/>
    <x v="9"/>
    <x v="5"/>
    <n v="-6878.23"/>
  </r>
  <r>
    <x v="0"/>
    <x v="74"/>
    <x v="0"/>
    <x v="1"/>
    <x v="12"/>
    <n v="1861315.92"/>
  </r>
  <r>
    <x v="0"/>
    <x v="30"/>
    <x v="0"/>
    <x v="1"/>
    <x v="18"/>
    <n v="970029153.41999996"/>
  </r>
  <r>
    <x v="0"/>
    <x v="16"/>
    <x v="0"/>
    <x v="1"/>
    <x v="2"/>
    <n v="8703530.7899999991"/>
  </r>
  <r>
    <x v="1"/>
    <x v="40"/>
    <x v="0"/>
    <x v="1"/>
    <x v="2"/>
    <n v="75199738.430000007"/>
  </r>
  <r>
    <x v="0"/>
    <x v="4"/>
    <x v="0"/>
    <x v="2"/>
    <x v="9"/>
    <n v="765200.71"/>
  </r>
  <r>
    <x v="1"/>
    <x v="57"/>
    <x v="0"/>
    <x v="9"/>
    <x v="5"/>
    <n v="3459.29"/>
  </r>
  <r>
    <x v="1"/>
    <x v="75"/>
    <x v="0"/>
    <x v="1"/>
    <x v="4"/>
    <n v="75343"/>
  </r>
  <r>
    <x v="1"/>
    <x v="5"/>
    <x v="0"/>
    <x v="1"/>
    <x v="8"/>
    <n v="3985233.01"/>
  </r>
  <r>
    <x v="1"/>
    <x v="4"/>
    <x v="0"/>
    <x v="5"/>
    <x v="24"/>
    <n v="1628356.36"/>
  </r>
  <r>
    <x v="1"/>
    <x v="74"/>
    <x v="0"/>
    <x v="1"/>
    <x v="23"/>
    <n v="385425.91999999998"/>
  </r>
  <r>
    <x v="1"/>
    <x v="70"/>
    <x v="0"/>
    <x v="1"/>
    <x v="13"/>
    <n v="-563754.06000000006"/>
  </r>
  <r>
    <x v="1"/>
    <x v="33"/>
    <x v="0"/>
    <x v="1"/>
    <x v="21"/>
    <n v="964796.27"/>
  </r>
  <r>
    <x v="1"/>
    <x v="75"/>
    <x v="0"/>
    <x v="1"/>
    <x v="0"/>
    <n v="14492.75"/>
  </r>
  <r>
    <x v="0"/>
    <x v="0"/>
    <x v="0"/>
    <x v="0"/>
    <x v="12"/>
    <n v="38766077"/>
  </r>
  <r>
    <x v="0"/>
    <x v="25"/>
    <x v="0"/>
    <x v="1"/>
    <x v="13"/>
    <n v="1119243.82"/>
  </r>
  <r>
    <x v="0"/>
    <x v="60"/>
    <x v="0"/>
    <x v="6"/>
    <x v="1"/>
    <n v="14000"/>
  </r>
  <r>
    <x v="0"/>
    <x v="44"/>
    <x v="0"/>
    <x v="1"/>
    <x v="15"/>
    <n v="8846606.3599999994"/>
  </r>
  <r>
    <x v="0"/>
    <x v="27"/>
    <x v="0"/>
    <x v="6"/>
    <x v="25"/>
    <n v="2379000"/>
  </r>
  <r>
    <x v="1"/>
    <x v="8"/>
    <x v="0"/>
    <x v="1"/>
    <x v="17"/>
    <n v="753229.95"/>
  </r>
  <r>
    <x v="0"/>
    <x v="78"/>
    <x v="0"/>
    <x v="1"/>
    <x v="8"/>
    <n v="1783439.16"/>
  </r>
  <r>
    <x v="1"/>
    <x v="40"/>
    <x v="0"/>
    <x v="6"/>
    <x v="5"/>
    <n v="663033"/>
  </r>
  <r>
    <x v="0"/>
    <x v="21"/>
    <x v="0"/>
    <x v="1"/>
    <x v="7"/>
    <n v="3499572.85"/>
  </r>
  <r>
    <x v="1"/>
    <x v="29"/>
    <x v="0"/>
    <x v="1"/>
    <x v="3"/>
    <n v="95379.57"/>
  </r>
  <r>
    <x v="0"/>
    <x v="4"/>
    <x v="0"/>
    <x v="1"/>
    <x v="22"/>
    <n v="7156021353.1099997"/>
  </r>
  <r>
    <x v="0"/>
    <x v="13"/>
    <x v="0"/>
    <x v="6"/>
    <x v="1"/>
    <n v="220000"/>
  </r>
  <r>
    <x v="0"/>
    <x v="82"/>
    <x v="0"/>
    <x v="1"/>
    <x v="5"/>
    <n v="1882878.9"/>
  </r>
  <r>
    <x v="0"/>
    <x v="80"/>
    <x v="0"/>
    <x v="1"/>
    <x v="14"/>
    <n v="27532852.489999998"/>
  </r>
  <r>
    <x v="0"/>
    <x v="19"/>
    <x v="0"/>
    <x v="1"/>
    <x v="16"/>
    <n v="1153516.3999999999"/>
  </r>
  <r>
    <x v="0"/>
    <x v="6"/>
    <x v="0"/>
    <x v="1"/>
    <x v="7"/>
    <n v="317075769.73000002"/>
  </r>
  <r>
    <x v="0"/>
    <x v="93"/>
    <x v="0"/>
    <x v="1"/>
    <x v="3"/>
    <n v="14866601.779999999"/>
  </r>
  <r>
    <x v="0"/>
    <x v="82"/>
    <x v="0"/>
    <x v="7"/>
    <x v="20"/>
    <n v="4772.83"/>
  </r>
  <r>
    <x v="0"/>
    <x v="75"/>
    <x v="0"/>
    <x v="1"/>
    <x v="24"/>
    <n v="199803.88"/>
  </r>
  <r>
    <x v="0"/>
    <x v="72"/>
    <x v="0"/>
    <x v="1"/>
    <x v="14"/>
    <n v="249194.34"/>
  </r>
  <r>
    <x v="1"/>
    <x v="10"/>
    <x v="0"/>
    <x v="1"/>
    <x v="12"/>
    <n v="43087.03"/>
  </r>
  <r>
    <x v="0"/>
    <x v="11"/>
    <x v="0"/>
    <x v="1"/>
    <x v="18"/>
    <n v="135248558.84"/>
  </r>
  <r>
    <x v="1"/>
    <x v="47"/>
    <x v="0"/>
    <x v="5"/>
    <x v="24"/>
    <n v="449071.4"/>
  </r>
  <r>
    <x v="0"/>
    <x v="24"/>
    <x v="0"/>
    <x v="10"/>
    <x v="6"/>
    <n v="766000"/>
  </r>
  <r>
    <x v="0"/>
    <x v="65"/>
    <x v="0"/>
    <x v="1"/>
    <x v="13"/>
    <n v="3740301.59"/>
  </r>
  <r>
    <x v="0"/>
    <x v="67"/>
    <x v="0"/>
    <x v="1"/>
    <x v="17"/>
    <n v="1847769.31"/>
  </r>
  <r>
    <x v="1"/>
    <x v="39"/>
    <x v="0"/>
    <x v="1"/>
    <x v="11"/>
    <n v="14068.18"/>
  </r>
  <r>
    <x v="1"/>
    <x v="20"/>
    <x v="0"/>
    <x v="1"/>
    <x v="0"/>
    <n v="225930208.06999999"/>
  </r>
  <r>
    <x v="0"/>
    <x v="61"/>
    <x v="0"/>
    <x v="1"/>
    <x v="6"/>
    <n v="1000000"/>
  </r>
  <r>
    <x v="0"/>
    <x v="65"/>
    <x v="0"/>
    <x v="10"/>
    <x v="13"/>
    <n v="1328527.26"/>
  </r>
  <r>
    <x v="0"/>
    <x v="22"/>
    <x v="0"/>
    <x v="10"/>
    <x v="17"/>
    <n v="2068654.59"/>
  </r>
  <r>
    <x v="0"/>
    <x v="89"/>
    <x v="0"/>
    <x v="1"/>
    <x v="22"/>
    <n v="250212.4"/>
  </r>
  <r>
    <x v="1"/>
    <x v="64"/>
    <x v="0"/>
    <x v="1"/>
    <x v="13"/>
    <n v="10458.469999999999"/>
  </r>
  <r>
    <x v="0"/>
    <x v="48"/>
    <x v="0"/>
    <x v="1"/>
    <x v="9"/>
    <n v="134759"/>
  </r>
  <r>
    <x v="0"/>
    <x v="66"/>
    <x v="0"/>
    <x v="10"/>
    <x v="19"/>
    <n v="9268760.6999999993"/>
  </r>
  <r>
    <x v="1"/>
    <x v="41"/>
    <x v="0"/>
    <x v="1"/>
    <x v="3"/>
    <n v="8148188.4800000004"/>
  </r>
  <r>
    <x v="0"/>
    <x v="46"/>
    <x v="0"/>
    <x v="1"/>
    <x v="15"/>
    <n v="661710.47"/>
  </r>
  <r>
    <x v="0"/>
    <x v="58"/>
    <x v="0"/>
    <x v="1"/>
    <x v="1"/>
    <n v="10839999.529999999"/>
  </r>
  <r>
    <x v="1"/>
    <x v="24"/>
    <x v="0"/>
    <x v="1"/>
    <x v="24"/>
    <n v="27777462"/>
  </r>
  <r>
    <x v="0"/>
    <x v="47"/>
    <x v="0"/>
    <x v="6"/>
    <x v="13"/>
    <n v="144000"/>
  </r>
  <r>
    <x v="0"/>
    <x v="25"/>
    <x v="0"/>
    <x v="1"/>
    <x v="7"/>
    <n v="1276917.69"/>
  </r>
  <r>
    <x v="0"/>
    <x v="6"/>
    <x v="0"/>
    <x v="3"/>
    <x v="25"/>
    <n v="15831102.17"/>
  </r>
  <r>
    <x v="0"/>
    <x v="1"/>
    <x v="0"/>
    <x v="1"/>
    <x v="15"/>
    <n v="5253150.49"/>
  </r>
  <r>
    <x v="1"/>
    <x v="51"/>
    <x v="0"/>
    <x v="1"/>
    <x v="14"/>
    <n v="274199.82"/>
  </r>
  <r>
    <x v="0"/>
    <x v="58"/>
    <x v="0"/>
    <x v="1"/>
    <x v="8"/>
    <n v="15456150.07"/>
  </r>
  <r>
    <x v="0"/>
    <x v="83"/>
    <x v="0"/>
    <x v="1"/>
    <x v="18"/>
    <n v="495860.75"/>
  </r>
  <r>
    <x v="0"/>
    <x v="88"/>
    <x v="0"/>
    <x v="1"/>
    <x v="2"/>
    <n v="1305526.55"/>
  </r>
  <r>
    <x v="1"/>
    <x v="30"/>
    <x v="0"/>
    <x v="1"/>
    <x v="16"/>
    <n v="72057.41"/>
  </r>
  <r>
    <x v="1"/>
    <x v="66"/>
    <x v="0"/>
    <x v="1"/>
    <x v="24"/>
    <n v="384716.88"/>
  </r>
  <r>
    <x v="0"/>
    <x v="3"/>
    <x v="0"/>
    <x v="1"/>
    <x v="1"/>
    <n v="135000"/>
  </r>
  <r>
    <x v="0"/>
    <x v="28"/>
    <x v="0"/>
    <x v="0"/>
    <x v="4"/>
    <n v="34332395.479999997"/>
  </r>
  <r>
    <x v="0"/>
    <x v="20"/>
    <x v="0"/>
    <x v="10"/>
    <x v="21"/>
    <n v="0"/>
  </r>
  <r>
    <x v="0"/>
    <x v="71"/>
    <x v="0"/>
    <x v="1"/>
    <x v="18"/>
    <n v="653816.42000000004"/>
  </r>
  <r>
    <x v="1"/>
    <x v="4"/>
    <x v="0"/>
    <x v="1"/>
    <x v="22"/>
    <n v="1476351.1"/>
  </r>
  <r>
    <x v="0"/>
    <x v="55"/>
    <x v="0"/>
    <x v="1"/>
    <x v="6"/>
    <n v="300720.19"/>
  </r>
  <r>
    <x v="1"/>
    <x v="16"/>
    <x v="0"/>
    <x v="1"/>
    <x v="1"/>
    <n v="491376.17"/>
  </r>
  <r>
    <x v="0"/>
    <x v="40"/>
    <x v="0"/>
    <x v="8"/>
    <x v="25"/>
    <n v="1256334"/>
  </r>
  <r>
    <x v="1"/>
    <x v="89"/>
    <x v="0"/>
    <x v="6"/>
    <x v="11"/>
    <n v="40000"/>
  </r>
  <r>
    <x v="0"/>
    <x v="102"/>
    <x v="0"/>
    <x v="1"/>
    <x v="19"/>
    <n v="1601423.62"/>
  </r>
  <r>
    <x v="0"/>
    <x v="14"/>
    <x v="0"/>
    <x v="1"/>
    <x v="20"/>
    <n v="777042.96"/>
  </r>
  <r>
    <x v="1"/>
    <x v="22"/>
    <x v="0"/>
    <x v="1"/>
    <x v="25"/>
    <n v="7582728.4800000004"/>
  </r>
  <r>
    <x v="1"/>
    <x v="62"/>
    <x v="0"/>
    <x v="1"/>
    <x v="16"/>
    <n v="2064572.2"/>
  </r>
  <r>
    <x v="1"/>
    <x v="20"/>
    <x v="0"/>
    <x v="1"/>
    <x v="4"/>
    <n v="287831236.81999999"/>
  </r>
  <r>
    <x v="1"/>
    <x v="55"/>
    <x v="0"/>
    <x v="1"/>
    <x v="16"/>
    <n v="46267.83"/>
  </r>
  <r>
    <x v="0"/>
    <x v="67"/>
    <x v="0"/>
    <x v="1"/>
    <x v="9"/>
    <n v="2638574.6"/>
  </r>
  <r>
    <x v="0"/>
    <x v="4"/>
    <x v="0"/>
    <x v="1"/>
    <x v="14"/>
    <n v="5144527394.6400003"/>
  </r>
  <r>
    <x v="1"/>
    <x v="73"/>
    <x v="0"/>
    <x v="1"/>
    <x v="3"/>
    <n v="578955.93999999994"/>
  </r>
  <r>
    <x v="0"/>
    <x v="81"/>
    <x v="0"/>
    <x v="1"/>
    <x v="18"/>
    <n v="14710.52"/>
  </r>
  <r>
    <x v="1"/>
    <x v="19"/>
    <x v="0"/>
    <x v="1"/>
    <x v="12"/>
    <n v="25002.86"/>
  </r>
  <r>
    <x v="1"/>
    <x v="4"/>
    <x v="0"/>
    <x v="2"/>
    <x v="9"/>
    <n v="479015.69"/>
  </r>
  <r>
    <x v="1"/>
    <x v="37"/>
    <x v="0"/>
    <x v="1"/>
    <x v="23"/>
    <n v="25781054.41"/>
  </r>
  <r>
    <x v="0"/>
    <x v="11"/>
    <x v="0"/>
    <x v="3"/>
    <x v="17"/>
    <n v="3248000"/>
  </r>
  <r>
    <x v="0"/>
    <x v="20"/>
    <x v="0"/>
    <x v="1"/>
    <x v="3"/>
    <n v="2623059994.6799998"/>
  </r>
  <r>
    <x v="1"/>
    <x v="40"/>
    <x v="0"/>
    <x v="1"/>
    <x v="14"/>
    <n v="36240930.770000003"/>
  </r>
  <r>
    <x v="0"/>
    <x v="7"/>
    <x v="0"/>
    <x v="1"/>
    <x v="17"/>
    <n v="3962261.69"/>
  </r>
  <r>
    <x v="0"/>
    <x v="36"/>
    <x v="0"/>
    <x v="1"/>
    <x v="16"/>
    <n v="22302000"/>
  </r>
  <r>
    <x v="0"/>
    <x v="7"/>
    <x v="0"/>
    <x v="1"/>
    <x v="8"/>
    <n v="4078183.57"/>
  </r>
  <r>
    <x v="1"/>
    <x v="6"/>
    <x v="0"/>
    <x v="1"/>
    <x v="25"/>
    <n v="211498.18"/>
  </r>
  <r>
    <x v="0"/>
    <x v="74"/>
    <x v="0"/>
    <x v="1"/>
    <x v="16"/>
    <n v="2211160.6800000002"/>
  </r>
  <r>
    <x v="0"/>
    <x v="93"/>
    <x v="0"/>
    <x v="1"/>
    <x v="24"/>
    <n v="11475460.32"/>
  </r>
  <r>
    <x v="1"/>
    <x v="51"/>
    <x v="0"/>
    <x v="1"/>
    <x v="18"/>
    <n v="424111.54"/>
  </r>
  <r>
    <x v="0"/>
    <x v="62"/>
    <x v="0"/>
    <x v="1"/>
    <x v="16"/>
    <n v="35492292.770000003"/>
  </r>
  <r>
    <x v="1"/>
    <x v="58"/>
    <x v="0"/>
    <x v="7"/>
    <x v="10"/>
    <n v="8239.0499999999993"/>
  </r>
  <r>
    <x v="0"/>
    <x v="47"/>
    <x v="0"/>
    <x v="5"/>
    <x v="6"/>
    <n v="15643117.689999999"/>
  </r>
  <r>
    <x v="0"/>
    <x v="15"/>
    <x v="0"/>
    <x v="1"/>
    <x v="8"/>
    <n v="10041843.16"/>
  </r>
  <r>
    <x v="1"/>
    <x v="57"/>
    <x v="0"/>
    <x v="1"/>
    <x v="2"/>
    <n v="359369.03"/>
  </r>
  <r>
    <x v="0"/>
    <x v="52"/>
    <x v="0"/>
    <x v="1"/>
    <x v="23"/>
    <n v="31728023.460000001"/>
  </r>
  <r>
    <x v="0"/>
    <x v="20"/>
    <x v="0"/>
    <x v="6"/>
    <x v="0"/>
    <n v="57000000"/>
  </r>
  <r>
    <x v="0"/>
    <x v="60"/>
    <x v="0"/>
    <x v="1"/>
    <x v="10"/>
    <n v="276746.92"/>
  </r>
  <r>
    <x v="1"/>
    <x v="66"/>
    <x v="0"/>
    <x v="1"/>
    <x v="23"/>
    <n v="7144843.0800000001"/>
  </r>
  <r>
    <x v="1"/>
    <x v="18"/>
    <x v="0"/>
    <x v="1"/>
    <x v="16"/>
    <n v="534407.16"/>
  </r>
  <r>
    <x v="0"/>
    <x v="45"/>
    <x v="0"/>
    <x v="1"/>
    <x v="4"/>
    <n v="297673404.56"/>
  </r>
  <r>
    <x v="1"/>
    <x v="20"/>
    <x v="0"/>
    <x v="5"/>
    <x v="5"/>
    <n v="-49391873.899999999"/>
  </r>
  <r>
    <x v="1"/>
    <x v="23"/>
    <x v="0"/>
    <x v="1"/>
    <x v="3"/>
    <n v="4655849.8"/>
  </r>
  <r>
    <x v="0"/>
    <x v="36"/>
    <x v="0"/>
    <x v="6"/>
    <x v="11"/>
    <n v="1000"/>
  </r>
  <r>
    <x v="1"/>
    <x v="70"/>
    <x v="0"/>
    <x v="1"/>
    <x v="16"/>
    <n v="137329.93"/>
  </r>
  <r>
    <x v="1"/>
    <x v="42"/>
    <x v="0"/>
    <x v="1"/>
    <x v="1"/>
    <n v="-87965.52"/>
  </r>
  <r>
    <x v="0"/>
    <x v="33"/>
    <x v="0"/>
    <x v="1"/>
    <x v="7"/>
    <n v="2087662375.5999999"/>
  </r>
  <r>
    <x v="0"/>
    <x v="57"/>
    <x v="0"/>
    <x v="1"/>
    <x v="21"/>
    <n v="1719480.53"/>
  </r>
  <r>
    <x v="1"/>
    <x v="34"/>
    <x v="0"/>
    <x v="3"/>
    <x v="9"/>
    <n v="1410049.09"/>
  </r>
  <r>
    <x v="1"/>
    <x v="59"/>
    <x v="0"/>
    <x v="1"/>
    <x v="13"/>
    <n v="9751930.8000000007"/>
  </r>
  <r>
    <x v="1"/>
    <x v="16"/>
    <x v="0"/>
    <x v="1"/>
    <x v="14"/>
    <n v="196646.11"/>
  </r>
  <r>
    <x v="1"/>
    <x v="52"/>
    <x v="0"/>
    <x v="1"/>
    <x v="12"/>
    <n v="767739.42"/>
  </r>
  <r>
    <x v="0"/>
    <x v="15"/>
    <x v="0"/>
    <x v="6"/>
    <x v="0"/>
    <n v="22000"/>
  </r>
  <r>
    <x v="0"/>
    <x v="29"/>
    <x v="0"/>
    <x v="1"/>
    <x v="12"/>
    <n v="1131678.47"/>
  </r>
  <r>
    <x v="0"/>
    <x v="8"/>
    <x v="0"/>
    <x v="1"/>
    <x v="8"/>
    <n v="43377342.670000002"/>
  </r>
  <r>
    <x v="0"/>
    <x v="2"/>
    <x v="0"/>
    <x v="1"/>
    <x v="12"/>
    <n v="2263161.35"/>
  </r>
  <r>
    <x v="1"/>
    <x v="108"/>
    <x v="0"/>
    <x v="1"/>
    <x v="25"/>
    <n v="96000"/>
  </r>
  <r>
    <x v="0"/>
    <x v="8"/>
    <x v="0"/>
    <x v="1"/>
    <x v="19"/>
    <n v="12312603.77"/>
  </r>
  <r>
    <x v="1"/>
    <x v="50"/>
    <x v="0"/>
    <x v="2"/>
    <x v="4"/>
    <n v="0"/>
  </r>
  <r>
    <x v="0"/>
    <x v="82"/>
    <x v="0"/>
    <x v="1"/>
    <x v="22"/>
    <n v="1649060.42"/>
  </r>
  <r>
    <x v="1"/>
    <x v="58"/>
    <x v="0"/>
    <x v="8"/>
    <x v="13"/>
    <n v="-6823.87"/>
  </r>
  <r>
    <x v="0"/>
    <x v="39"/>
    <x v="0"/>
    <x v="1"/>
    <x v="16"/>
    <n v="150037.65"/>
  </r>
  <r>
    <x v="1"/>
    <x v="88"/>
    <x v="0"/>
    <x v="1"/>
    <x v="8"/>
    <n v="24983.33"/>
  </r>
  <r>
    <x v="0"/>
    <x v="4"/>
    <x v="0"/>
    <x v="1"/>
    <x v="1"/>
    <n v="10259935357.299999"/>
  </r>
  <r>
    <x v="1"/>
    <x v="81"/>
    <x v="0"/>
    <x v="1"/>
    <x v="8"/>
    <n v="100809.88"/>
  </r>
  <r>
    <x v="0"/>
    <x v="48"/>
    <x v="0"/>
    <x v="1"/>
    <x v="17"/>
    <n v="55234"/>
  </r>
  <r>
    <x v="1"/>
    <x v="61"/>
    <x v="0"/>
    <x v="1"/>
    <x v="21"/>
    <n v="210639.52"/>
  </r>
  <r>
    <x v="0"/>
    <x v="47"/>
    <x v="0"/>
    <x v="1"/>
    <x v="8"/>
    <n v="91033155.150000006"/>
  </r>
  <r>
    <x v="0"/>
    <x v="49"/>
    <x v="0"/>
    <x v="1"/>
    <x v="10"/>
    <n v="2795408.54"/>
  </r>
  <r>
    <x v="1"/>
    <x v="11"/>
    <x v="0"/>
    <x v="1"/>
    <x v="8"/>
    <n v="1934329.99"/>
  </r>
  <r>
    <x v="1"/>
    <x v="27"/>
    <x v="0"/>
    <x v="3"/>
    <x v="25"/>
    <n v="0"/>
  </r>
  <r>
    <x v="0"/>
    <x v="19"/>
    <x v="0"/>
    <x v="2"/>
    <x v="23"/>
    <n v="170115.46"/>
  </r>
  <r>
    <x v="0"/>
    <x v="31"/>
    <x v="0"/>
    <x v="6"/>
    <x v="25"/>
    <n v="229000"/>
  </r>
  <r>
    <x v="0"/>
    <x v="68"/>
    <x v="0"/>
    <x v="1"/>
    <x v="6"/>
    <n v="147933176.47999999"/>
  </r>
  <r>
    <x v="0"/>
    <x v="35"/>
    <x v="0"/>
    <x v="1"/>
    <x v="0"/>
    <n v="81859897"/>
  </r>
  <r>
    <x v="0"/>
    <x v="7"/>
    <x v="0"/>
    <x v="1"/>
    <x v="9"/>
    <n v="4780427.28"/>
  </r>
  <r>
    <x v="1"/>
    <x v="61"/>
    <x v="0"/>
    <x v="1"/>
    <x v="25"/>
    <n v="70469"/>
  </r>
  <r>
    <x v="0"/>
    <x v="3"/>
    <x v="0"/>
    <x v="1"/>
    <x v="10"/>
    <n v="1629853.4"/>
  </r>
  <r>
    <x v="0"/>
    <x v="58"/>
    <x v="0"/>
    <x v="1"/>
    <x v="20"/>
    <n v="11997477.970000001"/>
  </r>
  <r>
    <x v="1"/>
    <x v="43"/>
    <x v="0"/>
    <x v="1"/>
    <x v="12"/>
    <n v="111255.07"/>
  </r>
  <r>
    <x v="0"/>
    <x v="103"/>
    <x v="0"/>
    <x v="1"/>
    <x v="23"/>
    <n v="535684.80000000005"/>
  </r>
  <r>
    <x v="0"/>
    <x v="23"/>
    <x v="0"/>
    <x v="1"/>
    <x v="21"/>
    <n v="14400281.210000001"/>
  </r>
  <r>
    <x v="0"/>
    <x v="1"/>
    <x v="0"/>
    <x v="1"/>
    <x v="4"/>
    <n v="10890235.109999999"/>
  </r>
  <r>
    <x v="1"/>
    <x v="51"/>
    <x v="0"/>
    <x v="1"/>
    <x v="2"/>
    <n v="410618.22"/>
  </r>
  <r>
    <x v="0"/>
    <x v="61"/>
    <x v="0"/>
    <x v="1"/>
    <x v="12"/>
    <n v="931152.59"/>
  </r>
  <r>
    <x v="0"/>
    <x v="35"/>
    <x v="0"/>
    <x v="1"/>
    <x v="14"/>
    <n v="27760715"/>
  </r>
  <r>
    <x v="0"/>
    <x v="40"/>
    <x v="0"/>
    <x v="10"/>
    <x v="25"/>
    <n v="10593903.49"/>
  </r>
  <r>
    <x v="1"/>
    <x v="31"/>
    <x v="0"/>
    <x v="1"/>
    <x v="4"/>
    <n v="1502311.37"/>
  </r>
  <r>
    <x v="1"/>
    <x v="78"/>
    <x v="0"/>
    <x v="1"/>
    <x v="21"/>
    <n v="-62004.11"/>
  </r>
  <r>
    <x v="0"/>
    <x v="31"/>
    <x v="0"/>
    <x v="1"/>
    <x v="25"/>
    <n v="24873059.140000001"/>
  </r>
  <r>
    <x v="0"/>
    <x v="78"/>
    <x v="0"/>
    <x v="1"/>
    <x v="5"/>
    <n v="2742280.61"/>
  </r>
  <r>
    <x v="0"/>
    <x v="28"/>
    <x v="0"/>
    <x v="1"/>
    <x v="11"/>
    <n v="277513126.56999999"/>
  </r>
  <r>
    <x v="0"/>
    <x v="79"/>
    <x v="0"/>
    <x v="1"/>
    <x v="22"/>
    <n v="12372359.35"/>
  </r>
  <r>
    <x v="1"/>
    <x v="34"/>
    <x v="0"/>
    <x v="2"/>
    <x v="4"/>
    <n v="19248.04"/>
  </r>
  <r>
    <x v="1"/>
    <x v="22"/>
    <x v="0"/>
    <x v="8"/>
    <x v="20"/>
    <n v="688039.07"/>
  </r>
  <r>
    <x v="0"/>
    <x v="60"/>
    <x v="0"/>
    <x v="1"/>
    <x v="3"/>
    <n v="214146.45"/>
  </r>
  <r>
    <x v="0"/>
    <x v="65"/>
    <x v="0"/>
    <x v="1"/>
    <x v="24"/>
    <n v="7173248.75"/>
  </r>
  <r>
    <x v="1"/>
    <x v="90"/>
    <x v="0"/>
    <x v="1"/>
    <x v="0"/>
    <n v="8804.9500000000007"/>
  </r>
  <r>
    <x v="1"/>
    <x v="58"/>
    <x v="0"/>
    <x v="1"/>
    <x v="1"/>
    <n v="329449.65000000002"/>
  </r>
  <r>
    <x v="1"/>
    <x v="78"/>
    <x v="0"/>
    <x v="1"/>
    <x v="23"/>
    <n v="197941.67"/>
  </r>
  <r>
    <x v="0"/>
    <x v="80"/>
    <x v="0"/>
    <x v="1"/>
    <x v="19"/>
    <n v="24352207.050000001"/>
  </r>
  <r>
    <x v="1"/>
    <x v="54"/>
    <x v="0"/>
    <x v="1"/>
    <x v="21"/>
    <n v="35236.74"/>
  </r>
  <r>
    <x v="1"/>
    <x v="65"/>
    <x v="0"/>
    <x v="1"/>
    <x v="17"/>
    <n v="565347.68999999994"/>
  </r>
  <r>
    <x v="1"/>
    <x v="63"/>
    <x v="0"/>
    <x v="1"/>
    <x v="17"/>
    <n v="17142.84"/>
  </r>
  <r>
    <x v="0"/>
    <x v="20"/>
    <x v="0"/>
    <x v="8"/>
    <x v="20"/>
    <n v="35138484.100000001"/>
  </r>
  <r>
    <x v="1"/>
    <x v="67"/>
    <x v="0"/>
    <x v="1"/>
    <x v="3"/>
    <n v="108182.14"/>
  </r>
  <r>
    <x v="0"/>
    <x v="24"/>
    <x v="0"/>
    <x v="10"/>
    <x v="10"/>
    <n v="974000"/>
  </r>
  <r>
    <x v="1"/>
    <x v="28"/>
    <x v="0"/>
    <x v="1"/>
    <x v="4"/>
    <n v="2545661.54"/>
  </r>
  <r>
    <x v="1"/>
    <x v="3"/>
    <x v="0"/>
    <x v="1"/>
    <x v="14"/>
    <n v="-162787.41"/>
  </r>
  <r>
    <x v="1"/>
    <x v="88"/>
    <x v="0"/>
    <x v="1"/>
    <x v="21"/>
    <n v="24944.63"/>
  </r>
  <r>
    <x v="1"/>
    <x v="37"/>
    <x v="0"/>
    <x v="1"/>
    <x v="7"/>
    <n v="1416123.48"/>
  </r>
  <r>
    <x v="0"/>
    <x v="20"/>
    <x v="0"/>
    <x v="5"/>
    <x v="24"/>
    <n v="238613528.72"/>
  </r>
  <r>
    <x v="0"/>
    <x v="0"/>
    <x v="0"/>
    <x v="1"/>
    <x v="18"/>
    <n v="22360508.579999998"/>
  </r>
  <r>
    <x v="0"/>
    <x v="95"/>
    <x v="0"/>
    <x v="1"/>
    <x v="5"/>
    <n v="128474.09"/>
  </r>
  <r>
    <x v="1"/>
    <x v="64"/>
    <x v="0"/>
    <x v="1"/>
    <x v="11"/>
    <n v="15592.24"/>
  </r>
  <r>
    <x v="0"/>
    <x v="8"/>
    <x v="0"/>
    <x v="1"/>
    <x v="0"/>
    <n v="52820345.829999998"/>
  </r>
  <r>
    <x v="1"/>
    <x v="15"/>
    <x v="0"/>
    <x v="4"/>
    <x v="25"/>
    <n v="125689.26"/>
  </r>
  <r>
    <x v="1"/>
    <x v="44"/>
    <x v="0"/>
    <x v="1"/>
    <x v="8"/>
    <n v="255127.87"/>
  </r>
  <r>
    <x v="1"/>
    <x v="88"/>
    <x v="0"/>
    <x v="1"/>
    <x v="17"/>
    <n v="30086.38"/>
  </r>
  <r>
    <x v="0"/>
    <x v="20"/>
    <x v="0"/>
    <x v="8"/>
    <x v="10"/>
    <n v="33443058.350000001"/>
  </r>
  <r>
    <x v="1"/>
    <x v="68"/>
    <x v="0"/>
    <x v="1"/>
    <x v="14"/>
    <n v="1215275.26"/>
  </r>
  <r>
    <x v="1"/>
    <x v="22"/>
    <x v="0"/>
    <x v="8"/>
    <x v="14"/>
    <n v="569041.85"/>
  </r>
  <r>
    <x v="1"/>
    <x v="15"/>
    <x v="0"/>
    <x v="1"/>
    <x v="11"/>
    <n v="2417522.08"/>
  </r>
  <r>
    <x v="0"/>
    <x v="85"/>
    <x v="0"/>
    <x v="1"/>
    <x v="12"/>
    <n v="1936469.84"/>
  </r>
  <r>
    <x v="0"/>
    <x v="62"/>
    <x v="0"/>
    <x v="1"/>
    <x v="1"/>
    <n v="38401712.030000001"/>
  </r>
  <r>
    <x v="0"/>
    <x v="41"/>
    <x v="0"/>
    <x v="1"/>
    <x v="15"/>
    <n v="40169750.280000001"/>
  </r>
  <r>
    <x v="1"/>
    <x v="45"/>
    <x v="0"/>
    <x v="1"/>
    <x v="22"/>
    <n v="9739906.7899999991"/>
  </r>
  <r>
    <x v="1"/>
    <x v="19"/>
    <x v="0"/>
    <x v="1"/>
    <x v="16"/>
    <n v="131942.85"/>
  </r>
  <r>
    <x v="1"/>
    <x v="40"/>
    <x v="0"/>
    <x v="8"/>
    <x v="5"/>
    <n v="246486.11"/>
  </r>
  <r>
    <x v="0"/>
    <x v="40"/>
    <x v="0"/>
    <x v="1"/>
    <x v="4"/>
    <n v="1409704265.01"/>
  </r>
  <r>
    <x v="1"/>
    <x v="93"/>
    <x v="0"/>
    <x v="1"/>
    <x v="18"/>
    <n v="791984.48"/>
  </r>
  <r>
    <x v="1"/>
    <x v="80"/>
    <x v="0"/>
    <x v="1"/>
    <x v="3"/>
    <n v="1286760.3500000001"/>
  </r>
  <r>
    <x v="0"/>
    <x v="49"/>
    <x v="0"/>
    <x v="6"/>
    <x v="11"/>
    <n v="115000"/>
  </r>
  <r>
    <x v="1"/>
    <x v="22"/>
    <x v="0"/>
    <x v="1"/>
    <x v="16"/>
    <n v="8339804.4400000004"/>
  </r>
  <r>
    <x v="0"/>
    <x v="73"/>
    <x v="0"/>
    <x v="9"/>
    <x v="13"/>
    <n v="7118109.1399999997"/>
  </r>
  <r>
    <x v="0"/>
    <x v="100"/>
    <x v="0"/>
    <x v="1"/>
    <x v="22"/>
    <n v="127910.07"/>
  </r>
  <r>
    <x v="0"/>
    <x v="46"/>
    <x v="0"/>
    <x v="1"/>
    <x v="25"/>
    <n v="786220.34"/>
  </r>
  <r>
    <x v="1"/>
    <x v="20"/>
    <x v="0"/>
    <x v="10"/>
    <x v="20"/>
    <n v="2535417.23"/>
  </r>
  <r>
    <x v="1"/>
    <x v="54"/>
    <x v="0"/>
    <x v="1"/>
    <x v="24"/>
    <n v="82072.81"/>
  </r>
  <r>
    <x v="0"/>
    <x v="22"/>
    <x v="0"/>
    <x v="1"/>
    <x v="25"/>
    <n v="54979405.049999997"/>
  </r>
  <r>
    <x v="1"/>
    <x v="25"/>
    <x v="0"/>
    <x v="1"/>
    <x v="2"/>
    <n v="172156.68"/>
  </r>
  <r>
    <x v="1"/>
    <x v="22"/>
    <x v="0"/>
    <x v="1"/>
    <x v="6"/>
    <n v="6615337.5199999996"/>
  </r>
  <r>
    <x v="0"/>
    <x v="43"/>
    <x v="0"/>
    <x v="1"/>
    <x v="7"/>
    <n v="2556534.11"/>
  </r>
  <r>
    <x v="1"/>
    <x v="20"/>
    <x v="0"/>
    <x v="1"/>
    <x v="17"/>
    <n v="264844409.44"/>
  </r>
  <r>
    <x v="0"/>
    <x v="14"/>
    <x v="0"/>
    <x v="1"/>
    <x v="24"/>
    <n v="822417.89"/>
  </r>
  <r>
    <x v="1"/>
    <x v="71"/>
    <x v="0"/>
    <x v="1"/>
    <x v="10"/>
    <n v="17428.330000000002"/>
  </r>
  <r>
    <x v="1"/>
    <x v="20"/>
    <x v="0"/>
    <x v="10"/>
    <x v="14"/>
    <n v="1490587.91"/>
  </r>
  <r>
    <x v="0"/>
    <x v="73"/>
    <x v="0"/>
    <x v="1"/>
    <x v="14"/>
    <n v="1890849.16"/>
  </r>
  <r>
    <x v="1"/>
    <x v="76"/>
    <x v="0"/>
    <x v="10"/>
    <x v="19"/>
    <n v="-73374.62"/>
  </r>
  <r>
    <x v="0"/>
    <x v="26"/>
    <x v="0"/>
    <x v="1"/>
    <x v="19"/>
    <n v="823021.23"/>
  </r>
  <r>
    <x v="0"/>
    <x v="3"/>
    <x v="0"/>
    <x v="6"/>
    <x v="13"/>
    <n v="9000"/>
  </r>
  <r>
    <x v="0"/>
    <x v="73"/>
    <x v="0"/>
    <x v="1"/>
    <x v="2"/>
    <n v="5332241.07"/>
  </r>
  <r>
    <x v="0"/>
    <x v="46"/>
    <x v="0"/>
    <x v="1"/>
    <x v="23"/>
    <n v="1156440.25"/>
  </r>
  <r>
    <x v="0"/>
    <x v="20"/>
    <x v="0"/>
    <x v="1"/>
    <x v="16"/>
    <n v="2774225095.0700002"/>
  </r>
  <r>
    <x v="0"/>
    <x v="74"/>
    <x v="0"/>
    <x v="1"/>
    <x v="20"/>
    <n v="1769907.53"/>
  </r>
  <r>
    <x v="0"/>
    <x v="111"/>
    <x v="0"/>
    <x v="1"/>
    <x v="11"/>
    <n v="50000"/>
  </r>
  <r>
    <x v="0"/>
    <x v="11"/>
    <x v="0"/>
    <x v="6"/>
    <x v="1"/>
    <n v="15506000"/>
  </r>
  <r>
    <x v="1"/>
    <x v="39"/>
    <x v="0"/>
    <x v="1"/>
    <x v="2"/>
    <n v="8423.98"/>
  </r>
  <r>
    <x v="1"/>
    <x v="31"/>
    <x v="0"/>
    <x v="1"/>
    <x v="23"/>
    <n v="1976367.19"/>
  </r>
  <r>
    <x v="0"/>
    <x v="26"/>
    <x v="0"/>
    <x v="6"/>
    <x v="13"/>
    <n v="4000"/>
  </r>
  <r>
    <x v="0"/>
    <x v="78"/>
    <x v="0"/>
    <x v="1"/>
    <x v="10"/>
    <n v="2023720.85"/>
  </r>
  <r>
    <x v="1"/>
    <x v="43"/>
    <x v="0"/>
    <x v="1"/>
    <x v="1"/>
    <n v="124435.76"/>
  </r>
  <r>
    <x v="1"/>
    <x v="2"/>
    <x v="0"/>
    <x v="1"/>
    <x v="7"/>
    <n v="-246668.5"/>
  </r>
  <r>
    <x v="0"/>
    <x v="21"/>
    <x v="0"/>
    <x v="1"/>
    <x v="8"/>
    <n v="3675321.36"/>
  </r>
  <r>
    <x v="1"/>
    <x v="4"/>
    <x v="0"/>
    <x v="1"/>
    <x v="21"/>
    <n v="6910281.0099999998"/>
  </r>
  <r>
    <x v="0"/>
    <x v="32"/>
    <x v="0"/>
    <x v="1"/>
    <x v="18"/>
    <n v="6348474.9699999997"/>
  </r>
  <r>
    <x v="0"/>
    <x v="89"/>
    <x v="0"/>
    <x v="1"/>
    <x v="20"/>
    <n v="1228066.51"/>
  </r>
  <r>
    <x v="0"/>
    <x v="93"/>
    <x v="0"/>
    <x v="6"/>
    <x v="11"/>
    <n v="746000"/>
  </r>
  <r>
    <x v="0"/>
    <x v="41"/>
    <x v="0"/>
    <x v="1"/>
    <x v="2"/>
    <n v="100591716.45"/>
  </r>
  <r>
    <x v="1"/>
    <x v="4"/>
    <x v="0"/>
    <x v="8"/>
    <x v="19"/>
    <n v="-1809455.37"/>
  </r>
  <r>
    <x v="1"/>
    <x v="41"/>
    <x v="0"/>
    <x v="1"/>
    <x v="6"/>
    <n v="5107541.13"/>
  </r>
  <r>
    <x v="0"/>
    <x v="7"/>
    <x v="0"/>
    <x v="1"/>
    <x v="20"/>
    <n v="3897454.49"/>
  </r>
  <r>
    <x v="1"/>
    <x v="4"/>
    <x v="0"/>
    <x v="0"/>
    <x v="4"/>
    <n v="21200.49"/>
  </r>
  <r>
    <x v="1"/>
    <x v="24"/>
    <x v="0"/>
    <x v="7"/>
    <x v="24"/>
    <n v="17600"/>
  </r>
  <r>
    <x v="0"/>
    <x v="22"/>
    <x v="0"/>
    <x v="6"/>
    <x v="1"/>
    <n v="809000"/>
  </r>
  <r>
    <x v="0"/>
    <x v="22"/>
    <x v="0"/>
    <x v="1"/>
    <x v="3"/>
    <n v="51988423.670000002"/>
  </r>
  <r>
    <x v="0"/>
    <x v="4"/>
    <x v="0"/>
    <x v="3"/>
    <x v="11"/>
    <n v="1024137766.23"/>
  </r>
  <r>
    <x v="0"/>
    <x v="25"/>
    <x v="0"/>
    <x v="1"/>
    <x v="8"/>
    <n v="1109442.1100000001"/>
  </r>
  <r>
    <x v="1"/>
    <x v="5"/>
    <x v="0"/>
    <x v="1"/>
    <x v="20"/>
    <n v="2023.28"/>
  </r>
  <r>
    <x v="0"/>
    <x v="36"/>
    <x v="0"/>
    <x v="3"/>
    <x v="17"/>
    <n v="705000"/>
  </r>
  <r>
    <x v="0"/>
    <x v="14"/>
    <x v="0"/>
    <x v="1"/>
    <x v="21"/>
    <n v="936524.28"/>
  </r>
  <r>
    <x v="0"/>
    <x v="67"/>
    <x v="0"/>
    <x v="1"/>
    <x v="22"/>
    <n v="1500809.72"/>
  </r>
  <r>
    <x v="0"/>
    <x v="70"/>
    <x v="0"/>
    <x v="1"/>
    <x v="6"/>
    <n v="2669034.5099999998"/>
  </r>
  <r>
    <x v="0"/>
    <x v="40"/>
    <x v="0"/>
    <x v="1"/>
    <x v="1"/>
    <n v="920478286.47000003"/>
  </r>
  <r>
    <x v="1"/>
    <x v="14"/>
    <x v="0"/>
    <x v="1"/>
    <x v="8"/>
    <n v="103398.9"/>
  </r>
  <r>
    <x v="1"/>
    <x v="77"/>
    <x v="0"/>
    <x v="1"/>
    <x v="24"/>
    <n v="60134.31"/>
  </r>
  <r>
    <x v="0"/>
    <x v="70"/>
    <x v="0"/>
    <x v="6"/>
    <x v="13"/>
    <n v="6000"/>
  </r>
  <r>
    <x v="1"/>
    <x v="47"/>
    <x v="0"/>
    <x v="1"/>
    <x v="24"/>
    <n v="7981251.3399999999"/>
  </r>
  <r>
    <x v="1"/>
    <x v="55"/>
    <x v="0"/>
    <x v="1"/>
    <x v="2"/>
    <n v="39822.050000000003"/>
  </r>
  <r>
    <x v="0"/>
    <x v="47"/>
    <x v="0"/>
    <x v="6"/>
    <x v="1"/>
    <n v="212850.07"/>
  </r>
  <r>
    <x v="1"/>
    <x v="3"/>
    <x v="0"/>
    <x v="1"/>
    <x v="0"/>
    <n v="0"/>
  </r>
  <r>
    <x v="0"/>
    <x v="52"/>
    <x v="0"/>
    <x v="1"/>
    <x v="20"/>
    <n v="28488034.579999998"/>
  </r>
  <r>
    <x v="1"/>
    <x v="47"/>
    <x v="0"/>
    <x v="9"/>
    <x v="5"/>
    <n v="-8886.1"/>
  </r>
  <r>
    <x v="0"/>
    <x v="66"/>
    <x v="0"/>
    <x v="1"/>
    <x v="18"/>
    <n v="14240042.84"/>
  </r>
  <r>
    <x v="1"/>
    <x v="42"/>
    <x v="0"/>
    <x v="1"/>
    <x v="22"/>
    <n v="1708516.9"/>
  </r>
  <r>
    <x v="0"/>
    <x v="5"/>
    <x v="0"/>
    <x v="1"/>
    <x v="6"/>
    <n v="53283562.369999997"/>
  </r>
  <r>
    <x v="0"/>
    <x v="6"/>
    <x v="0"/>
    <x v="1"/>
    <x v="8"/>
    <n v="201233062.99000001"/>
  </r>
  <r>
    <x v="0"/>
    <x v="58"/>
    <x v="0"/>
    <x v="6"/>
    <x v="11"/>
    <n v="1223004"/>
  </r>
  <r>
    <x v="1"/>
    <x v="17"/>
    <x v="0"/>
    <x v="1"/>
    <x v="23"/>
    <n v="1799471.67"/>
  </r>
  <r>
    <x v="0"/>
    <x v="77"/>
    <x v="0"/>
    <x v="1"/>
    <x v="20"/>
    <n v="1369226.54"/>
  </r>
  <r>
    <x v="1"/>
    <x v="14"/>
    <x v="0"/>
    <x v="1"/>
    <x v="23"/>
    <n v="182476.15"/>
  </r>
  <r>
    <x v="1"/>
    <x v="20"/>
    <x v="0"/>
    <x v="8"/>
    <x v="24"/>
    <n v="15389717.82"/>
  </r>
  <r>
    <x v="0"/>
    <x v="5"/>
    <x v="0"/>
    <x v="1"/>
    <x v="7"/>
    <n v="67187723.120000005"/>
  </r>
  <r>
    <x v="1"/>
    <x v="41"/>
    <x v="0"/>
    <x v="9"/>
    <x v="24"/>
    <n v="-218508.32"/>
  </r>
  <r>
    <x v="0"/>
    <x v="59"/>
    <x v="0"/>
    <x v="1"/>
    <x v="25"/>
    <n v="47382624.549999997"/>
  </r>
  <r>
    <x v="1"/>
    <x v="63"/>
    <x v="0"/>
    <x v="1"/>
    <x v="23"/>
    <n v="1107146.73"/>
  </r>
  <r>
    <x v="1"/>
    <x v="28"/>
    <x v="0"/>
    <x v="2"/>
    <x v="22"/>
    <n v="-1339366.5"/>
  </r>
  <r>
    <x v="1"/>
    <x v="23"/>
    <x v="0"/>
    <x v="10"/>
    <x v="5"/>
    <n v="3509103.85"/>
  </r>
  <r>
    <x v="0"/>
    <x v="27"/>
    <x v="0"/>
    <x v="3"/>
    <x v="12"/>
    <n v="7995000"/>
  </r>
  <r>
    <x v="0"/>
    <x v="18"/>
    <x v="0"/>
    <x v="1"/>
    <x v="1"/>
    <n v="10272616.35"/>
  </r>
  <r>
    <x v="1"/>
    <x v="33"/>
    <x v="0"/>
    <x v="1"/>
    <x v="7"/>
    <n v="-60734603.25"/>
  </r>
  <r>
    <x v="1"/>
    <x v="17"/>
    <x v="0"/>
    <x v="1"/>
    <x v="7"/>
    <n v="817498.49"/>
  </r>
  <r>
    <x v="1"/>
    <x v="76"/>
    <x v="0"/>
    <x v="7"/>
    <x v="23"/>
    <n v="1550000"/>
  </r>
  <r>
    <x v="0"/>
    <x v="99"/>
    <x v="0"/>
    <x v="1"/>
    <x v="9"/>
    <n v="3600000"/>
  </r>
  <r>
    <x v="1"/>
    <x v="55"/>
    <x v="0"/>
    <x v="6"/>
    <x v="11"/>
    <n v="-13000"/>
  </r>
  <r>
    <x v="0"/>
    <x v="44"/>
    <x v="0"/>
    <x v="1"/>
    <x v="4"/>
    <n v="46334278.240000002"/>
  </r>
  <r>
    <x v="0"/>
    <x v="39"/>
    <x v="0"/>
    <x v="1"/>
    <x v="12"/>
    <n v="3165.26"/>
  </r>
  <r>
    <x v="0"/>
    <x v="11"/>
    <x v="0"/>
    <x v="1"/>
    <x v="10"/>
    <n v="195893949.91999999"/>
  </r>
  <r>
    <x v="0"/>
    <x v="50"/>
    <x v="0"/>
    <x v="2"/>
    <x v="11"/>
    <n v="1594000"/>
  </r>
  <r>
    <x v="0"/>
    <x v="52"/>
    <x v="0"/>
    <x v="1"/>
    <x v="8"/>
    <n v="8955000"/>
  </r>
  <r>
    <x v="1"/>
    <x v="9"/>
    <x v="0"/>
    <x v="1"/>
    <x v="2"/>
    <n v="22633493.899999999"/>
  </r>
  <r>
    <x v="0"/>
    <x v="3"/>
    <x v="0"/>
    <x v="1"/>
    <x v="14"/>
    <n v="1535632.83"/>
  </r>
  <r>
    <x v="0"/>
    <x v="36"/>
    <x v="0"/>
    <x v="3"/>
    <x v="16"/>
    <n v="2725000"/>
  </r>
  <r>
    <x v="1"/>
    <x v="28"/>
    <x v="0"/>
    <x v="1"/>
    <x v="3"/>
    <n v="1098568.56"/>
  </r>
  <r>
    <x v="0"/>
    <x v="27"/>
    <x v="0"/>
    <x v="3"/>
    <x v="16"/>
    <n v="8304000"/>
  </r>
  <r>
    <x v="0"/>
    <x v="13"/>
    <x v="0"/>
    <x v="1"/>
    <x v="18"/>
    <n v="2788356.2"/>
  </r>
  <r>
    <x v="0"/>
    <x v="73"/>
    <x v="0"/>
    <x v="1"/>
    <x v="23"/>
    <n v="14776687.34"/>
  </r>
  <r>
    <x v="0"/>
    <x v="20"/>
    <x v="0"/>
    <x v="5"/>
    <x v="20"/>
    <n v="304605885.72000003"/>
  </r>
  <r>
    <x v="0"/>
    <x v="85"/>
    <x v="0"/>
    <x v="1"/>
    <x v="5"/>
    <n v="2816932.08"/>
  </r>
  <r>
    <x v="1"/>
    <x v="11"/>
    <x v="0"/>
    <x v="1"/>
    <x v="18"/>
    <n v="-1548608.84"/>
  </r>
  <r>
    <x v="1"/>
    <x v="103"/>
    <x v="0"/>
    <x v="1"/>
    <x v="4"/>
    <n v="31474.59"/>
  </r>
  <r>
    <x v="0"/>
    <x v="24"/>
    <x v="0"/>
    <x v="1"/>
    <x v="21"/>
    <n v="35876207.719999999"/>
  </r>
  <r>
    <x v="1"/>
    <x v="41"/>
    <x v="0"/>
    <x v="1"/>
    <x v="25"/>
    <n v="3850021.54"/>
  </r>
  <r>
    <x v="0"/>
    <x v="4"/>
    <x v="0"/>
    <x v="0"/>
    <x v="11"/>
    <n v="35628913.149999999"/>
  </r>
  <r>
    <x v="1"/>
    <x v="44"/>
    <x v="0"/>
    <x v="1"/>
    <x v="10"/>
    <n v="484454.53"/>
  </r>
  <r>
    <x v="1"/>
    <x v="50"/>
    <x v="0"/>
    <x v="1"/>
    <x v="3"/>
    <n v="378531.42"/>
  </r>
  <r>
    <x v="0"/>
    <x v="55"/>
    <x v="0"/>
    <x v="1"/>
    <x v="23"/>
    <n v="775081.04"/>
  </r>
  <r>
    <x v="1"/>
    <x v="30"/>
    <x v="0"/>
    <x v="1"/>
    <x v="6"/>
    <n v="47855.59"/>
  </r>
  <r>
    <x v="0"/>
    <x v="53"/>
    <x v="0"/>
    <x v="6"/>
    <x v="2"/>
    <n v="337004"/>
  </r>
  <r>
    <x v="0"/>
    <x v="49"/>
    <x v="0"/>
    <x v="1"/>
    <x v="14"/>
    <n v="2428244.89"/>
  </r>
  <r>
    <x v="1"/>
    <x v="67"/>
    <x v="0"/>
    <x v="1"/>
    <x v="12"/>
    <n v="-516941.66"/>
  </r>
  <r>
    <x v="0"/>
    <x v="11"/>
    <x v="0"/>
    <x v="1"/>
    <x v="0"/>
    <n v="213276379.16"/>
  </r>
  <r>
    <x v="1"/>
    <x v="7"/>
    <x v="0"/>
    <x v="1"/>
    <x v="23"/>
    <n v="287987.25"/>
  </r>
  <r>
    <x v="1"/>
    <x v="59"/>
    <x v="0"/>
    <x v="1"/>
    <x v="9"/>
    <n v="11591563.34"/>
  </r>
  <r>
    <x v="0"/>
    <x v="10"/>
    <x v="0"/>
    <x v="1"/>
    <x v="7"/>
    <n v="1529648.1"/>
  </r>
  <r>
    <x v="0"/>
    <x v="42"/>
    <x v="0"/>
    <x v="1"/>
    <x v="24"/>
    <n v="8331081.1200000001"/>
  </r>
  <r>
    <x v="1"/>
    <x v="91"/>
    <x v="0"/>
    <x v="1"/>
    <x v="23"/>
    <n v="-193795.67"/>
  </r>
  <r>
    <x v="0"/>
    <x v="85"/>
    <x v="0"/>
    <x v="1"/>
    <x v="10"/>
    <n v="2583246.84"/>
  </r>
  <r>
    <x v="0"/>
    <x v="1"/>
    <x v="0"/>
    <x v="6"/>
    <x v="2"/>
    <n v="295000"/>
  </r>
  <r>
    <x v="0"/>
    <x v="18"/>
    <x v="0"/>
    <x v="1"/>
    <x v="5"/>
    <n v="8521782.6199999992"/>
  </r>
  <r>
    <x v="0"/>
    <x v="51"/>
    <x v="0"/>
    <x v="1"/>
    <x v="3"/>
    <n v="754501.35"/>
  </r>
  <r>
    <x v="0"/>
    <x v="62"/>
    <x v="0"/>
    <x v="1"/>
    <x v="6"/>
    <n v="567923.43000000005"/>
  </r>
  <r>
    <x v="1"/>
    <x v="3"/>
    <x v="0"/>
    <x v="1"/>
    <x v="9"/>
    <n v="61813.04"/>
  </r>
  <r>
    <x v="0"/>
    <x v="15"/>
    <x v="0"/>
    <x v="1"/>
    <x v="1"/>
    <n v="13443070.710000001"/>
  </r>
  <r>
    <x v="0"/>
    <x v="53"/>
    <x v="0"/>
    <x v="1"/>
    <x v="4"/>
    <n v="20638112.059999999"/>
  </r>
  <r>
    <x v="0"/>
    <x v="40"/>
    <x v="0"/>
    <x v="1"/>
    <x v="3"/>
    <n v="789606982.67999995"/>
  </r>
  <r>
    <x v="1"/>
    <x v="54"/>
    <x v="0"/>
    <x v="1"/>
    <x v="8"/>
    <n v="34581.14"/>
  </r>
  <r>
    <x v="0"/>
    <x v="70"/>
    <x v="0"/>
    <x v="1"/>
    <x v="22"/>
    <n v="2473986.37"/>
  </r>
  <r>
    <x v="0"/>
    <x v="11"/>
    <x v="0"/>
    <x v="1"/>
    <x v="14"/>
    <n v="189800802.68000001"/>
  </r>
  <r>
    <x v="1"/>
    <x v="67"/>
    <x v="0"/>
    <x v="2"/>
    <x v="11"/>
    <n v="-0.65"/>
  </r>
  <r>
    <x v="1"/>
    <x v="93"/>
    <x v="0"/>
    <x v="1"/>
    <x v="20"/>
    <n v="575909.44999999995"/>
  </r>
  <r>
    <x v="1"/>
    <x v="65"/>
    <x v="0"/>
    <x v="1"/>
    <x v="25"/>
    <n v="464583.46"/>
  </r>
  <r>
    <x v="1"/>
    <x v="18"/>
    <x v="0"/>
    <x v="1"/>
    <x v="7"/>
    <n v="172993.76"/>
  </r>
  <r>
    <x v="0"/>
    <x v="51"/>
    <x v="0"/>
    <x v="6"/>
    <x v="0"/>
    <n v="81116.14"/>
  </r>
  <r>
    <x v="1"/>
    <x v="91"/>
    <x v="0"/>
    <x v="1"/>
    <x v="16"/>
    <n v="0"/>
  </r>
  <r>
    <x v="1"/>
    <x v="30"/>
    <x v="0"/>
    <x v="1"/>
    <x v="13"/>
    <n v="23885.919999999998"/>
  </r>
  <r>
    <x v="0"/>
    <x v="58"/>
    <x v="0"/>
    <x v="1"/>
    <x v="10"/>
    <n v="11507574.779999999"/>
  </r>
  <r>
    <x v="1"/>
    <x v="78"/>
    <x v="0"/>
    <x v="1"/>
    <x v="13"/>
    <n v="111040.95"/>
  </r>
  <r>
    <x v="0"/>
    <x v="31"/>
    <x v="0"/>
    <x v="1"/>
    <x v="21"/>
    <n v="23824041.890000001"/>
  </r>
  <r>
    <x v="0"/>
    <x v="9"/>
    <x v="0"/>
    <x v="1"/>
    <x v="3"/>
    <n v="599527607.54999995"/>
  </r>
  <r>
    <x v="1"/>
    <x v="88"/>
    <x v="0"/>
    <x v="1"/>
    <x v="18"/>
    <n v="24777.69"/>
  </r>
  <r>
    <x v="1"/>
    <x v="32"/>
    <x v="0"/>
    <x v="1"/>
    <x v="6"/>
    <n v="701331.86"/>
  </r>
  <r>
    <x v="1"/>
    <x v="68"/>
    <x v="0"/>
    <x v="1"/>
    <x v="24"/>
    <n v="4190154.66"/>
  </r>
  <r>
    <x v="1"/>
    <x v="10"/>
    <x v="0"/>
    <x v="1"/>
    <x v="24"/>
    <n v="-28645.919999999998"/>
  </r>
  <r>
    <x v="0"/>
    <x v="28"/>
    <x v="0"/>
    <x v="3"/>
    <x v="11"/>
    <n v="52383858.560000002"/>
  </r>
  <r>
    <x v="0"/>
    <x v="10"/>
    <x v="0"/>
    <x v="1"/>
    <x v="12"/>
    <n v="1544075.43"/>
  </r>
  <r>
    <x v="1"/>
    <x v="89"/>
    <x v="0"/>
    <x v="1"/>
    <x v="25"/>
    <n v="86771.51"/>
  </r>
  <r>
    <x v="0"/>
    <x v="30"/>
    <x v="0"/>
    <x v="1"/>
    <x v="9"/>
    <n v="1265286768.01"/>
  </r>
  <r>
    <x v="0"/>
    <x v="66"/>
    <x v="0"/>
    <x v="1"/>
    <x v="25"/>
    <n v="8350683.3700000001"/>
  </r>
  <r>
    <x v="0"/>
    <x v="73"/>
    <x v="0"/>
    <x v="9"/>
    <x v="5"/>
    <n v="5016127.7300000004"/>
  </r>
  <r>
    <x v="0"/>
    <x v="27"/>
    <x v="0"/>
    <x v="3"/>
    <x v="25"/>
    <n v="6707000"/>
  </r>
  <r>
    <x v="1"/>
    <x v="53"/>
    <x v="0"/>
    <x v="7"/>
    <x v="24"/>
    <n v="0"/>
  </r>
  <r>
    <x v="0"/>
    <x v="67"/>
    <x v="0"/>
    <x v="6"/>
    <x v="11"/>
    <n v="88000"/>
  </r>
  <r>
    <x v="1"/>
    <x v="4"/>
    <x v="0"/>
    <x v="1"/>
    <x v="5"/>
    <n v="-3110168.53"/>
  </r>
  <r>
    <x v="1"/>
    <x v="9"/>
    <x v="0"/>
    <x v="2"/>
    <x v="2"/>
    <n v="9549680.9700000007"/>
  </r>
  <r>
    <x v="0"/>
    <x v="43"/>
    <x v="0"/>
    <x v="1"/>
    <x v="5"/>
    <n v="2277631.2999999998"/>
  </r>
  <r>
    <x v="1"/>
    <x v="52"/>
    <x v="0"/>
    <x v="1"/>
    <x v="25"/>
    <n v="4617052.95"/>
  </r>
  <r>
    <x v="1"/>
    <x v="54"/>
    <x v="0"/>
    <x v="1"/>
    <x v="13"/>
    <n v="44028.03"/>
  </r>
  <r>
    <x v="1"/>
    <x v="9"/>
    <x v="0"/>
    <x v="3"/>
    <x v="2"/>
    <n v="7308281.04"/>
  </r>
  <r>
    <x v="0"/>
    <x v="90"/>
    <x v="0"/>
    <x v="1"/>
    <x v="12"/>
    <n v="168726.26"/>
  </r>
  <r>
    <x v="0"/>
    <x v="32"/>
    <x v="0"/>
    <x v="7"/>
    <x v="10"/>
    <n v="1931087.4"/>
  </r>
  <r>
    <x v="0"/>
    <x v="48"/>
    <x v="0"/>
    <x v="1"/>
    <x v="5"/>
    <n v="194706"/>
  </r>
  <r>
    <x v="0"/>
    <x v="15"/>
    <x v="0"/>
    <x v="4"/>
    <x v="25"/>
    <n v="801310.74"/>
  </r>
  <r>
    <x v="0"/>
    <x v="69"/>
    <x v="0"/>
    <x v="1"/>
    <x v="12"/>
    <n v="782347.51"/>
  </r>
  <r>
    <x v="0"/>
    <x v="18"/>
    <x v="0"/>
    <x v="1"/>
    <x v="8"/>
    <n v="7690287.9900000002"/>
  </r>
  <r>
    <x v="1"/>
    <x v="21"/>
    <x v="0"/>
    <x v="1"/>
    <x v="15"/>
    <n v="550106.34"/>
  </r>
  <r>
    <x v="1"/>
    <x v="45"/>
    <x v="0"/>
    <x v="1"/>
    <x v="14"/>
    <n v="5035813.32"/>
  </r>
  <r>
    <x v="0"/>
    <x v="48"/>
    <x v="0"/>
    <x v="1"/>
    <x v="8"/>
    <n v="245203"/>
  </r>
  <r>
    <x v="1"/>
    <x v="2"/>
    <x v="0"/>
    <x v="1"/>
    <x v="21"/>
    <n v="708730.59"/>
  </r>
  <r>
    <x v="1"/>
    <x v="4"/>
    <x v="0"/>
    <x v="3"/>
    <x v="23"/>
    <n v="678085.22"/>
  </r>
  <r>
    <x v="1"/>
    <x v="42"/>
    <x v="0"/>
    <x v="1"/>
    <x v="18"/>
    <n v="329713.84999999998"/>
  </r>
  <r>
    <x v="1"/>
    <x v="26"/>
    <x v="0"/>
    <x v="1"/>
    <x v="21"/>
    <n v="48996.94"/>
  </r>
  <r>
    <x v="0"/>
    <x v="64"/>
    <x v="0"/>
    <x v="6"/>
    <x v="13"/>
    <n v="1000"/>
  </r>
  <r>
    <x v="1"/>
    <x v="78"/>
    <x v="0"/>
    <x v="1"/>
    <x v="7"/>
    <n v="-12622.4"/>
  </r>
  <r>
    <x v="0"/>
    <x v="63"/>
    <x v="0"/>
    <x v="2"/>
    <x v="2"/>
    <n v="2007507.61"/>
  </r>
  <r>
    <x v="0"/>
    <x v="63"/>
    <x v="0"/>
    <x v="1"/>
    <x v="19"/>
    <n v="1080759.75"/>
  </r>
  <r>
    <x v="1"/>
    <x v="15"/>
    <x v="0"/>
    <x v="1"/>
    <x v="17"/>
    <n v="15557.6"/>
  </r>
  <r>
    <x v="0"/>
    <x v="6"/>
    <x v="0"/>
    <x v="3"/>
    <x v="23"/>
    <n v="18653421.969999999"/>
  </r>
  <r>
    <x v="0"/>
    <x v="11"/>
    <x v="0"/>
    <x v="3"/>
    <x v="8"/>
    <n v="16533000"/>
  </r>
  <r>
    <x v="0"/>
    <x v="36"/>
    <x v="0"/>
    <x v="1"/>
    <x v="9"/>
    <n v="31983624.18"/>
  </r>
  <r>
    <x v="1"/>
    <x v="51"/>
    <x v="0"/>
    <x v="1"/>
    <x v="0"/>
    <n v="271546.28999999998"/>
  </r>
  <r>
    <x v="1"/>
    <x v="41"/>
    <x v="0"/>
    <x v="9"/>
    <x v="19"/>
    <n v="221724.04"/>
  </r>
  <r>
    <x v="1"/>
    <x v="42"/>
    <x v="0"/>
    <x v="1"/>
    <x v="10"/>
    <n v="-699085.17"/>
  </r>
  <r>
    <x v="0"/>
    <x v="54"/>
    <x v="0"/>
    <x v="1"/>
    <x v="8"/>
    <n v="965286.8"/>
  </r>
  <r>
    <x v="0"/>
    <x v="42"/>
    <x v="0"/>
    <x v="1"/>
    <x v="4"/>
    <n v="40020064.350000001"/>
  </r>
  <r>
    <x v="1"/>
    <x v="37"/>
    <x v="0"/>
    <x v="9"/>
    <x v="14"/>
    <n v="-20675.169999999998"/>
  </r>
  <r>
    <x v="1"/>
    <x v="14"/>
    <x v="0"/>
    <x v="1"/>
    <x v="19"/>
    <n v="48452.18"/>
  </r>
  <r>
    <x v="0"/>
    <x v="43"/>
    <x v="0"/>
    <x v="1"/>
    <x v="19"/>
    <n v="1362335.41"/>
  </r>
  <r>
    <x v="0"/>
    <x v="6"/>
    <x v="0"/>
    <x v="3"/>
    <x v="11"/>
    <n v="19401365.649999999"/>
  </r>
  <r>
    <x v="0"/>
    <x v="85"/>
    <x v="0"/>
    <x v="6"/>
    <x v="1"/>
    <n v="95000"/>
  </r>
  <r>
    <x v="0"/>
    <x v="50"/>
    <x v="0"/>
    <x v="3"/>
    <x v="2"/>
    <n v="9538000"/>
  </r>
  <r>
    <x v="0"/>
    <x v="12"/>
    <x v="0"/>
    <x v="1"/>
    <x v="7"/>
    <n v="36827000"/>
  </r>
  <r>
    <x v="0"/>
    <x v="59"/>
    <x v="0"/>
    <x v="1"/>
    <x v="18"/>
    <n v="24252136.719999999"/>
  </r>
  <r>
    <x v="0"/>
    <x v="85"/>
    <x v="0"/>
    <x v="1"/>
    <x v="2"/>
    <n v="2189418.44"/>
  </r>
  <r>
    <x v="1"/>
    <x v="18"/>
    <x v="0"/>
    <x v="1"/>
    <x v="9"/>
    <n v="791578.2"/>
  </r>
  <r>
    <x v="1"/>
    <x v="5"/>
    <x v="0"/>
    <x v="1"/>
    <x v="13"/>
    <n v="31450.6"/>
  </r>
  <r>
    <x v="1"/>
    <x v="14"/>
    <x v="0"/>
    <x v="1"/>
    <x v="20"/>
    <n v="42251.82"/>
  </r>
  <r>
    <x v="0"/>
    <x v="10"/>
    <x v="0"/>
    <x v="6"/>
    <x v="13"/>
    <n v="5000"/>
  </r>
  <r>
    <x v="1"/>
    <x v="59"/>
    <x v="0"/>
    <x v="10"/>
    <x v="10"/>
    <n v="105145.15"/>
  </r>
  <r>
    <x v="0"/>
    <x v="9"/>
    <x v="0"/>
    <x v="2"/>
    <x v="4"/>
    <n v="143308981.40000001"/>
  </r>
  <r>
    <x v="1"/>
    <x v="62"/>
    <x v="0"/>
    <x v="1"/>
    <x v="7"/>
    <n v="2652424.71"/>
  </r>
  <r>
    <x v="0"/>
    <x v="18"/>
    <x v="0"/>
    <x v="1"/>
    <x v="9"/>
    <n v="14231705.57"/>
  </r>
  <r>
    <x v="1"/>
    <x v="52"/>
    <x v="0"/>
    <x v="1"/>
    <x v="7"/>
    <n v="13331.93"/>
  </r>
  <r>
    <x v="1"/>
    <x v="4"/>
    <x v="0"/>
    <x v="3"/>
    <x v="16"/>
    <n v="-37999938.340000004"/>
  </r>
  <r>
    <x v="0"/>
    <x v="25"/>
    <x v="0"/>
    <x v="1"/>
    <x v="11"/>
    <n v="2191427.0099999998"/>
  </r>
  <r>
    <x v="1"/>
    <x v="28"/>
    <x v="0"/>
    <x v="1"/>
    <x v="11"/>
    <n v="2305302.59"/>
  </r>
  <r>
    <x v="1"/>
    <x v="76"/>
    <x v="0"/>
    <x v="7"/>
    <x v="25"/>
    <n v="100000"/>
  </r>
  <r>
    <x v="0"/>
    <x v="65"/>
    <x v="0"/>
    <x v="10"/>
    <x v="6"/>
    <n v="989183.51"/>
  </r>
  <r>
    <x v="1"/>
    <x v="63"/>
    <x v="0"/>
    <x v="1"/>
    <x v="19"/>
    <n v="139126.39999999999"/>
  </r>
  <r>
    <x v="0"/>
    <x v="101"/>
    <x v="0"/>
    <x v="1"/>
    <x v="9"/>
    <n v="312715.98"/>
  </r>
  <r>
    <x v="0"/>
    <x v="14"/>
    <x v="0"/>
    <x v="1"/>
    <x v="19"/>
    <n v="758276.32"/>
  </r>
  <r>
    <x v="0"/>
    <x v="50"/>
    <x v="0"/>
    <x v="3"/>
    <x v="4"/>
    <n v="9538000"/>
  </r>
  <r>
    <x v="1"/>
    <x v="98"/>
    <x v="0"/>
    <x v="1"/>
    <x v="5"/>
    <n v="58642.34"/>
  </r>
  <r>
    <x v="0"/>
    <x v="62"/>
    <x v="0"/>
    <x v="1"/>
    <x v="13"/>
    <n v="7992190.3399999999"/>
  </r>
  <r>
    <x v="1"/>
    <x v="67"/>
    <x v="0"/>
    <x v="1"/>
    <x v="6"/>
    <n v="-621005.85"/>
  </r>
  <r>
    <x v="0"/>
    <x v="62"/>
    <x v="0"/>
    <x v="10"/>
    <x v="5"/>
    <n v="6482223.54"/>
  </r>
  <r>
    <x v="0"/>
    <x v="5"/>
    <x v="0"/>
    <x v="1"/>
    <x v="22"/>
    <n v="35576860"/>
  </r>
  <r>
    <x v="0"/>
    <x v="44"/>
    <x v="0"/>
    <x v="1"/>
    <x v="24"/>
    <n v="9169954.0199999996"/>
  </r>
  <r>
    <x v="0"/>
    <x v="4"/>
    <x v="0"/>
    <x v="8"/>
    <x v="19"/>
    <n v="1809407.18"/>
  </r>
  <r>
    <x v="1"/>
    <x v="5"/>
    <x v="0"/>
    <x v="1"/>
    <x v="7"/>
    <n v="276.88"/>
  </r>
  <r>
    <x v="1"/>
    <x v="106"/>
    <x v="0"/>
    <x v="1"/>
    <x v="3"/>
    <n v="0"/>
  </r>
  <r>
    <x v="0"/>
    <x v="93"/>
    <x v="0"/>
    <x v="1"/>
    <x v="25"/>
    <n v="15040828.859999999"/>
  </r>
  <r>
    <x v="1"/>
    <x v="52"/>
    <x v="0"/>
    <x v="10"/>
    <x v="17"/>
    <n v="0"/>
  </r>
  <r>
    <x v="0"/>
    <x v="28"/>
    <x v="0"/>
    <x v="3"/>
    <x v="15"/>
    <n v="52432716.119999997"/>
  </r>
  <r>
    <x v="1"/>
    <x v="63"/>
    <x v="0"/>
    <x v="1"/>
    <x v="5"/>
    <n v="6737.25"/>
  </r>
  <r>
    <x v="0"/>
    <x v="71"/>
    <x v="0"/>
    <x v="1"/>
    <x v="5"/>
    <n v="638948.56000000006"/>
  </r>
  <r>
    <x v="0"/>
    <x v="26"/>
    <x v="0"/>
    <x v="1"/>
    <x v="13"/>
    <n v="1425030.6"/>
  </r>
  <r>
    <x v="0"/>
    <x v="4"/>
    <x v="0"/>
    <x v="6"/>
    <x v="5"/>
    <n v="203624000"/>
  </r>
  <r>
    <x v="1"/>
    <x v="79"/>
    <x v="0"/>
    <x v="1"/>
    <x v="1"/>
    <n v="3388604.02"/>
  </r>
  <r>
    <x v="1"/>
    <x v="87"/>
    <x v="0"/>
    <x v="1"/>
    <x v="24"/>
    <n v="-19082.48"/>
  </r>
  <r>
    <x v="0"/>
    <x v="59"/>
    <x v="0"/>
    <x v="1"/>
    <x v="20"/>
    <n v="37754833.909999996"/>
  </r>
  <r>
    <x v="0"/>
    <x v="49"/>
    <x v="0"/>
    <x v="1"/>
    <x v="20"/>
    <n v="2865078.17"/>
  </r>
  <r>
    <x v="1"/>
    <x v="28"/>
    <x v="0"/>
    <x v="3"/>
    <x v="3"/>
    <n v="25949231.93"/>
  </r>
  <r>
    <x v="0"/>
    <x v="5"/>
    <x v="0"/>
    <x v="1"/>
    <x v="1"/>
    <n v="70475706.549999997"/>
  </r>
  <r>
    <x v="0"/>
    <x v="101"/>
    <x v="0"/>
    <x v="1"/>
    <x v="16"/>
    <n v="157622.06"/>
  </r>
  <r>
    <x v="1"/>
    <x v="82"/>
    <x v="0"/>
    <x v="1"/>
    <x v="6"/>
    <n v="50292.12"/>
  </r>
  <r>
    <x v="0"/>
    <x v="43"/>
    <x v="0"/>
    <x v="1"/>
    <x v="17"/>
    <n v="1911414.27"/>
  </r>
  <r>
    <x v="0"/>
    <x v="15"/>
    <x v="0"/>
    <x v="6"/>
    <x v="2"/>
    <n v="22000"/>
  </r>
  <r>
    <x v="0"/>
    <x v="43"/>
    <x v="0"/>
    <x v="1"/>
    <x v="9"/>
    <n v="3714805.94"/>
  </r>
  <r>
    <x v="1"/>
    <x v="58"/>
    <x v="0"/>
    <x v="1"/>
    <x v="9"/>
    <n v="4144668.93"/>
  </r>
  <r>
    <x v="0"/>
    <x v="88"/>
    <x v="0"/>
    <x v="6"/>
    <x v="2"/>
    <n v="54000"/>
  </r>
  <r>
    <x v="0"/>
    <x v="66"/>
    <x v="0"/>
    <x v="1"/>
    <x v="16"/>
    <n v="14287783.74"/>
  </r>
  <r>
    <x v="0"/>
    <x v="53"/>
    <x v="0"/>
    <x v="1"/>
    <x v="15"/>
    <n v="4833953.63"/>
  </r>
  <r>
    <x v="1"/>
    <x v="102"/>
    <x v="0"/>
    <x v="1"/>
    <x v="5"/>
    <n v="16666"/>
  </r>
  <r>
    <x v="1"/>
    <x v="88"/>
    <x v="0"/>
    <x v="1"/>
    <x v="19"/>
    <n v="32071.88"/>
  </r>
  <r>
    <x v="0"/>
    <x v="17"/>
    <x v="0"/>
    <x v="1"/>
    <x v="0"/>
    <n v="9368942.7799999993"/>
  </r>
  <r>
    <x v="1"/>
    <x v="32"/>
    <x v="0"/>
    <x v="7"/>
    <x v="13"/>
    <n v="-147103.42000000001"/>
  </r>
  <r>
    <x v="1"/>
    <x v="64"/>
    <x v="0"/>
    <x v="1"/>
    <x v="7"/>
    <n v="13774.38"/>
  </r>
  <r>
    <x v="1"/>
    <x v="88"/>
    <x v="0"/>
    <x v="1"/>
    <x v="20"/>
    <n v="-5540.28"/>
  </r>
  <r>
    <x v="1"/>
    <x v="90"/>
    <x v="0"/>
    <x v="1"/>
    <x v="3"/>
    <n v="5753.65"/>
  </r>
  <r>
    <x v="0"/>
    <x v="61"/>
    <x v="0"/>
    <x v="10"/>
    <x v="17"/>
    <n v="483344.5"/>
  </r>
  <r>
    <x v="0"/>
    <x v="75"/>
    <x v="0"/>
    <x v="6"/>
    <x v="2"/>
    <n v="26000"/>
  </r>
  <r>
    <x v="0"/>
    <x v="62"/>
    <x v="0"/>
    <x v="10"/>
    <x v="13"/>
    <n v="6501507.2599999998"/>
  </r>
  <r>
    <x v="0"/>
    <x v="76"/>
    <x v="0"/>
    <x v="6"/>
    <x v="2"/>
    <n v="1650000"/>
  </r>
  <r>
    <x v="1"/>
    <x v="59"/>
    <x v="0"/>
    <x v="1"/>
    <x v="7"/>
    <n v="5188950.55"/>
  </r>
  <r>
    <x v="0"/>
    <x v="79"/>
    <x v="0"/>
    <x v="1"/>
    <x v="1"/>
    <n v="15693761.210000001"/>
  </r>
  <r>
    <x v="0"/>
    <x v="42"/>
    <x v="0"/>
    <x v="1"/>
    <x v="15"/>
    <n v="5806636.25"/>
  </r>
  <r>
    <x v="1"/>
    <x v="76"/>
    <x v="0"/>
    <x v="1"/>
    <x v="4"/>
    <n v="4311798.13"/>
  </r>
  <r>
    <x v="1"/>
    <x v="53"/>
    <x v="0"/>
    <x v="1"/>
    <x v="10"/>
    <n v="232544.32"/>
  </r>
  <r>
    <x v="1"/>
    <x v="79"/>
    <x v="0"/>
    <x v="7"/>
    <x v="20"/>
    <n v="57349.599999999999"/>
  </r>
  <r>
    <x v="1"/>
    <x v="11"/>
    <x v="0"/>
    <x v="1"/>
    <x v="20"/>
    <n v="-5472651.3099999996"/>
  </r>
  <r>
    <x v="1"/>
    <x v="52"/>
    <x v="0"/>
    <x v="10"/>
    <x v="5"/>
    <n v="24000"/>
  </r>
  <r>
    <x v="0"/>
    <x v="61"/>
    <x v="0"/>
    <x v="10"/>
    <x v="13"/>
    <n v="200655.5"/>
  </r>
  <r>
    <x v="0"/>
    <x v="66"/>
    <x v="0"/>
    <x v="10"/>
    <x v="17"/>
    <n v="8504337.8699999992"/>
  </r>
  <r>
    <x v="0"/>
    <x v="20"/>
    <x v="0"/>
    <x v="5"/>
    <x v="19"/>
    <n v="213029752.59999999"/>
  </r>
  <r>
    <x v="0"/>
    <x v="43"/>
    <x v="0"/>
    <x v="6"/>
    <x v="1"/>
    <n v="86500"/>
  </r>
  <r>
    <x v="0"/>
    <x v="73"/>
    <x v="0"/>
    <x v="9"/>
    <x v="20"/>
    <n v="6045518.8300000001"/>
  </r>
  <r>
    <x v="0"/>
    <x v="5"/>
    <x v="0"/>
    <x v="1"/>
    <x v="8"/>
    <n v="29743766.989999998"/>
  </r>
  <r>
    <x v="1"/>
    <x v="14"/>
    <x v="0"/>
    <x v="1"/>
    <x v="5"/>
    <n v="42952.88"/>
  </r>
  <r>
    <x v="0"/>
    <x v="73"/>
    <x v="0"/>
    <x v="6"/>
    <x v="2"/>
    <n v="127000"/>
  </r>
  <r>
    <x v="0"/>
    <x v="31"/>
    <x v="0"/>
    <x v="1"/>
    <x v="12"/>
    <n v="22088341.02"/>
  </r>
  <r>
    <x v="1"/>
    <x v="41"/>
    <x v="0"/>
    <x v="9"/>
    <x v="5"/>
    <n v="-111682.91"/>
  </r>
  <r>
    <x v="1"/>
    <x v="79"/>
    <x v="0"/>
    <x v="1"/>
    <x v="6"/>
    <n v="3903804.56"/>
  </r>
  <r>
    <x v="1"/>
    <x v="33"/>
    <x v="0"/>
    <x v="1"/>
    <x v="16"/>
    <n v="58779602.43"/>
  </r>
  <r>
    <x v="1"/>
    <x v="17"/>
    <x v="0"/>
    <x v="1"/>
    <x v="17"/>
    <n v="185285"/>
  </r>
  <r>
    <x v="1"/>
    <x v="80"/>
    <x v="0"/>
    <x v="1"/>
    <x v="22"/>
    <n v="1758120.2"/>
  </r>
  <r>
    <x v="1"/>
    <x v="50"/>
    <x v="0"/>
    <x v="1"/>
    <x v="19"/>
    <n v="1517286.48"/>
  </r>
  <r>
    <x v="0"/>
    <x v="47"/>
    <x v="0"/>
    <x v="1"/>
    <x v="5"/>
    <n v="67123496.909999996"/>
  </r>
  <r>
    <x v="0"/>
    <x v="56"/>
    <x v="0"/>
    <x v="1"/>
    <x v="20"/>
    <n v="184702.87"/>
  </r>
  <r>
    <x v="0"/>
    <x v="80"/>
    <x v="0"/>
    <x v="1"/>
    <x v="3"/>
    <n v="27461277.809999999"/>
  </r>
  <r>
    <x v="0"/>
    <x v="60"/>
    <x v="0"/>
    <x v="1"/>
    <x v="9"/>
    <n v="393942.68"/>
  </r>
  <r>
    <x v="1"/>
    <x v="9"/>
    <x v="0"/>
    <x v="1"/>
    <x v="18"/>
    <n v="-47873095.82"/>
  </r>
  <r>
    <x v="1"/>
    <x v="93"/>
    <x v="0"/>
    <x v="1"/>
    <x v="1"/>
    <n v="1071842.75"/>
  </r>
  <r>
    <x v="1"/>
    <x v="28"/>
    <x v="0"/>
    <x v="3"/>
    <x v="2"/>
    <n v="-216296.95999999999"/>
  </r>
  <r>
    <x v="0"/>
    <x v="28"/>
    <x v="0"/>
    <x v="0"/>
    <x v="0"/>
    <n v="60461918.350000001"/>
  </r>
  <r>
    <x v="0"/>
    <x v="73"/>
    <x v="0"/>
    <x v="1"/>
    <x v="15"/>
    <n v="7201338.0599999996"/>
  </r>
  <r>
    <x v="0"/>
    <x v="59"/>
    <x v="0"/>
    <x v="1"/>
    <x v="19"/>
    <n v="42305563.43"/>
  </r>
  <r>
    <x v="1"/>
    <x v="0"/>
    <x v="0"/>
    <x v="7"/>
    <x v="13"/>
    <n v="187818.78"/>
  </r>
  <r>
    <x v="1"/>
    <x v="51"/>
    <x v="0"/>
    <x v="1"/>
    <x v="10"/>
    <n v="313247.39"/>
  </r>
  <r>
    <x v="0"/>
    <x v="17"/>
    <x v="0"/>
    <x v="1"/>
    <x v="18"/>
    <n v="6916939.3399999999"/>
  </r>
  <r>
    <x v="1"/>
    <x v="42"/>
    <x v="0"/>
    <x v="1"/>
    <x v="0"/>
    <n v="1737031.5"/>
  </r>
  <r>
    <x v="0"/>
    <x v="34"/>
    <x v="0"/>
    <x v="3"/>
    <x v="22"/>
    <n v="55585156.390000001"/>
  </r>
  <r>
    <x v="0"/>
    <x v="20"/>
    <x v="0"/>
    <x v="5"/>
    <x v="14"/>
    <n v="306629226.02999997"/>
  </r>
  <r>
    <x v="0"/>
    <x v="86"/>
    <x v="0"/>
    <x v="7"/>
    <x v="15"/>
    <n v="80689.990000000005"/>
  </r>
  <r>
    <x v="0"/>
    <x v="9"/>
    <x v="0"/>
    <x v="3"/>
    <x v="3"/>
    <n v="36111481.759999998"/>
  </r>
  <r>
    <x v="0"/>
    <x v="16"/>
    <x v="0"/>
    <x v="1"/>
    <x v="14"/>
    <n v="5620129.4000000004"/>
  </r>
  <r>
    <x v="1"/>
    <x v="29"/>
    <x v="0"/>
    <x v="1"/>
    <x v="15"/>
    <n v="91136.9"/>
  </r>
  <r>
    <x v="1"/>
    <x v="62"/>
    <x v="0"/>
    <x v="4"/>
    <x v="17"/>
    <n v="194657.43"/>
  </r>
  <r>
    <x v="0"/>
    <x v="86"/>
    <x v="0"/>
    <x v="1"/>
    <x v="0"/>
    <n v="1561096.32"/>
  </r>
  <r>
    <x v="1"/>
    <x v="44"/>
    <x v="0"/>
    <x v="1"/>
    <x v="18"/>
    <n v="1482510.2"/>
  </r>
  <r>
    <x v="0"/>
    <x v="0"/>
    <x v="0"/>
    <x v="1"/>
    <x v="7"/>
    <n v="76404267.260000005"/>
  </r>
  <r>
    <x v="1"/>
    <x v="20"/>
    <x v="0"/>
    <x v="3"/>
    <x v="8"/>
    <n v="75524.98"/>
  </r>
  <r>
    <x v="1"/>
    <x v="32"/>
    <x v="0"/>
    <x v="1"/>
    <x v="11"/>
    <n v="1573752.1"/>
  </r>
  <r>
    <x v="1"/>
    <x v="36"/>
    <x v="0"/>
    <x v="3"/>
    <x v="15"/>
    <n v="-1"/>
  </r>
  <r>
    <x v="1"/>
    <x v="32"/>
    <x v="0"/>
    <x v="1"/>
    <x v="23"/>
    <n v="-429034.56"/>
  </r>
  <r>
    <x v="1"/>
    <x v="59"/>
    <x v="0"/>
    <x v="1"/>
    <x v="5"/>
    <n v="6013398.4500000002"/>
  </r>
  <r>
    <x v="0"/>
    <x v="48"/>
    <x v="0"/>
    <x v="1"/>
    <x v="13"/>
    <n v="136809"/>
  </r>
  <r>
    <x v="1"/>
    <x v="1"/>
    <x v="0"/>
    <x v="1"/>
    <x v="10"/>
    <n v="317876.71000000002"/>
  </r>
  <r>
    <x v="1"/>
    <x v="45"/>
    <x v="0"/>
    <x v="1"/>
    <x v="18"/>
    <n v="4995625.6399999997"/>
  </r>
  <r>
    <x v="0"/>
    <x v="91"/>
    <x v="0"/>
    <x v="1"/>
    <x v="7"/>
    <n v="563923.49"/>
  </r>
  <r>
    <x v="0"/>
    <x v="110"/>
    <x v="0"/>
    <x v="7"/>
    <x v="24"/>
    <n v="79712"/>
  </r>
  <r>
    <x v="1"/>
    <x v="56"/>
    <x v="0"/>
    <x v="1"/>
    <x v="17"/>
    <n v="9467.92"/>
  </r>
  <r>
    <x v="1"/>
    <x v="9"/>
    <x v="0"/>
    <x v="1"/>
    <x v="14"/>
    <n v="4248656.2699999996"/>
  </r>
  <r>
    <x v="1"/>
    <x v="43"/>
    <x v="0"/>
    <x v="1"/>
    <x v="6"/>
    <n v="80923.89"/>
  </r>
  <r>
    <x v="1"/>
    <x v="14"/>
    <x v="0"/>
    <x v="1"/>
    <x v="0"/>
    <n v="105879.97"/>
  </r>
  <r>
    <x v="1"/>
    <x v="4"/>
    <x v="0"/>
    <x v="3"/>
    <x v="12"/>
    <n v="354949.53"/>
  </r>
  <r>
    <x v="1"/>
    <x v="54"/>
    <x v="0"/>
    <x v="1"/>
    <x v="6"/>
    <n v="129811.68"/>
  </r>
  <r>
    <x v="0"/>
    <x v="63"/>
    <x v="0"/>
    <x v="1"/>
    <x v="5"/>
    <n v="250462.69"/>
  </r>
  <r>
    <x v="0"/>
    <x v="18"/>
    <x v="0"/>
    <x v="1"/>
    <x v="10"/>
    <n v="7064766.2300000004"/>
  </r>
  <r>
    <x v="0"/>
    <x v="26"/>
    <x v="0"/>
    <x v="1"/>
    <x v="21"/>
    <n v="1555815.85"/>
  </r>
  <r>
    <x v="0"/>
    <x v="2"/>
    <x v="0"/>
    <x v="1"/>
    <x v="9"/>
    <n v="4840819.33"/>
  </r>
  <r>
    <x v="0"/>
    <x v="80"/>
    <x v="0"/>
    <x v="1"/>
    <x v="2"/>
    <n v="34421439.259999998"/>
  </r>
  <r>
    <x v="0"/>
    <x v="65"/>
    <x v="0"/>
    <x v="10"/>
    <x v="5"/>
    <n v="958224.59"/>
  </r>
  <r>
    <x v="0"/>
    <x v="15"/>
    <x v="0"/>
    <x v="6"/>
    <x v="1"/>
    <n v="22000"/>
  </r>
  <r>
    <x v="0"/>
    <x v="82"/>
    <x v="0"/>
    <x v="1"/>
    <x v="7"/>
    <n v="1784085.39"/>
  </r>
  <r>
    <x v="1"/>
    <x v="56"/>
    <x v="0"/>
    <x v="1"/>
    <x v="22"/>
    <n v="27030.46"/>
  </r>
  <r>
    <x v="0"/>
    <x v="42"/>
    <x v="0"/>
    <x v="6"/>
    <x v="2"/>
    <n v="1046000"/>
  </r>
  <r>
    <x v="1"/>
    <x v="40"/>
    <x v="0"/>
    <x v="7"/>
    <x v="25"/>
    <n v="104805.06"/>
  </r>
  <r>
    <x v="0"/>
    <x v="51"/>
    <x v="0"/>
    <x v="1"/>
    <x v="15"/>
    <n v="1304624.8"/>
  </r>
  <r>
    <x v="0"/>
    <x v="74"/>
    <x v="0"/>
    <x v="1"/>
    <x v="13"/>
    <n v="1937783.47"/>
  </r>
  <r>
    <x v="1"/>
    <x v="72"/>
    <x v="0"/>
    <x v="1"/>
    <x v="10"/>
    <n v="57725.53"/>
  </r>
  <r>
    <x v="0"/>
    <x v="54"/>
    <x v="0"/>
    <x v="1"/>
    <x v="17"/>
    <n v="931742.85"/>
  </r>
  <r>
    <x v="0"/>
    <x v="43"/>
    <x v="0"/>
    <x v="1"/>
    <x v="18"/>
    <n v="2035861.79"/>
  </r>
  <r>
    <x v="0"/>
    <x v="26"/>
    <x v="0"/>
    <x v="1"/>
    <x v="12"/>
    <n v="1420555.15"/>
  </r>
  <r>
    <x v="0"/>
    <x v="6"/>
    <x v="0"/>
    <x v="1"/>
    <x v="21"/>
    <n v="269533017.24000001"/>
  </r>
  <r>
    <x v="1"/>
    <x v="11"/>
    <x v="0"/>
    <x v="1"/>
    <x v="19"/>
    <n v="5345433.74"/>
  </r>
  <r>
    <x v="0"/>
    <x v="59"/>
    <x v="0"/>
    <x v="1"/>
    <x v="0"/>
    <n v="45078770.530000001"/>
  </r>
  <r>
    <x v="1"/>
    <x v="76"/>
    <x v="0"/>
    <x v="1"/>
    <x v="0"/>
    <n v="956994.11"/>
  </r>
  <r>
    <x v="0"/>
    <x v="13"/>
    <x v="0"/>
    <x v="6"/>
    <x v="0"/>
    <n v="218000"/>
  </r>
  <r>
    <x v="1"/>
    <x v="84"/>
    <x v="0"/>
    <x v="1"/>
    <x v="25"/>
    <n v="-533750.35"/>
  </r>
  <r>
    <x v="1"/>
    <x v="76"/>
    <x v="0"/>
    <x v="10"/>
    <x v="25"/>
    <n v="78464.350000000006"/>
  </r>
  <r>
    <x v="0"/>
    <x v="67"/>
    <x v="0"/>
    <x v="1"/>
    <x v="16"/>
    <n v="1673127.79"/>
  </r>
  <r>
    <x v="1"/>
    <x v="34"/>
    <x v="0"/>
    <x v="0"/>
    <x v="9"/>
    <n v="3377774.54"/>
  </r>
  <r>
    <x v="0"/>
    <x v="16"/>
    <x v="0"/>
    <x v="6"/>
    <x v="2"/>
    <n v="337000"/>
  </r>
  <r>
    <x v="1"/>
    <x v="70"/>
    <x v="0"/>
    <x v="1"/>
    <x v="6"/>
    <n v="-416099.79"/>
  </r>
  <r>
    <x v="1"/>
    <x v="4"/>
    <x v="0"/>
    <x v="0"/>
    <x v="23"/>
    <n v="23810.01"/>
  </r>
  <r>
    <x v="0"/>
    <x v="79"/>
    <x v="0"/>
    <x v="10"/>
    <x v="24"/>
    <n v="783371.8"/>
  </r>
  <r>
    <x v="1"/>
    <x v="3"/>
    <x v="0"/>
    <x v="1"/>
    <x v="8"/>
    <n v="113664.25"/>
  </r>
  <r>
    <x v="0"/>
    <x v="13"/>
    <x v="0"/>
    <x v="1"/>
    <x v="1"/>
    <n v="3407795.34"/>
  </r>
  <r>
    <x v="0"/>
    <x v="42"/>
    <x v="0"/>
    <x v="6"/>
    <x v="1"/>
    <n v="1044000"/>
  </r>
  <r>
    <x v="0"/>
    <x v="5"/>
    <x v="0"/>
    <x v="1"/>
    <x v="20"/>
    <n v="57963622.770000003"/>
  </r>
  <r>
    <x v="0"/>
    <x v="43"/>
    <x v="0"/>
    <x v="1"/>
    <x v="8"/>
    <n v="1896677.45"/>
  </r>
  <r>
    <x v="0"/>
    <x v="74"/>
    <x v="0"/>
    <x v="1"/>
    <x v="17"/>
    <n v="1848509.4"/>
  </r>
  <r>
    <x v="0"/>
    <x v="46"/>
    <x v="0"/>
    <x v="1"/>
    <x v="3"/>
    <n v="695543.9"/>
  </r>
  <r>
    <x v="0"/>
    <x v="14"/>
    <x v="0"/>
    <x v="1"/>
    <x v="2"/>
    <n v="2269653.06"/>
  </r>
  <r>
    <x v="1"/>
    <x v="64"/>
    <x v="0"/>
    <x v="1"/>
    <x v="16"/>
    <n v="17770.810000000001"/>
  </r>
  <r>
    <x v="0"/>
    <x v="18"/>
    <x v="0"/>
    <x v="1"/>
    <x v="20"/>
    <n v="7379281.3200000003"/>
  </r>
  <r>
    <x v="1"/>
    <x v="3"/>
    <x v="0"/>
    <x v="1"/>
    <x v="10"/>
    <n v="84683.14"/>
  </r>
  <r>
    <x v="1"/>
    <x v="72"/>
    <x v="0"/>
    <x v="1"/>
    <x v="14"/>
    <n v="-7856.34"/>
  </r>
  <r>
    <x v="1"/>
    <x v="93"/>
    <x v="0"/>
    <x v="1"/>
    <x v="2"/>
    <n v="1131721.6000000001"/>
  </r>
  <r>
    <x v="0"/>
    <x v="35"/>
    <x v="0"/>
    <x v="1"/>
    <x v="20"/>
    <n v="22654592"/>
  </r>
  <r>
    <x v="0"/>
    <x v="28"/>
    <x v="0"/>
    <x v="1"/>
    <x v="16"/>
    <n v="269889630"/>
  </r>
  <r>
    <x v="1"/>
    <x v="68"/>
    <x v="0"/>
    <x v="1"/>
    <x v="21"/>
    <n v="913941.5"/>
  </r>
  <r>
    <x v="0"/>
    <x v="30"/>
    <x v="0"/>
    <x v="1"/>
    <x v="8"/>
    <n v="938289215.37"/>
  </r>
  <r>
    <x v="1"/>
    <x v="34"/>
    <x v="0"/>
    <x v="1"/>
    <x v="0"/>
    <n v="28136163.940000001"/>
  </r>
  <r>
    <x v="0"/>
    <x v="4"/>
    <x v="0"/>
    <x v="0"/>
    <x v="23"/>
    <n v="65965202.75"/>
  </r>
  <r>
    <x v="1"/>
    <x v="46"/>
    <x v="0"/>
    <x v="1"/>
    <x v="14"/>
    <n v="80588.75"/>
  </r>
  <r>
    <x v="1"/>
    <x v="85"/>
    <x v="0"/>
    <x v="1"/>
    <x v="22"/>
    <n v="146510.38"/>
  </r>
  <r>
    <x v="1"/>
    <x v="47"/>
    <x v="0"/>
    <x v="1"/>
    <x v="6"/>
    <n v="7501954.2599999998"/>
  </r>
  <r>
    <x v="0"/>
    <x v="56"/>
    <x v="0"/>
    <x v="1"/>
    <x v="1"/>
    <n v="235467.27"/>
  </r>
  <r>
    <x v="1"/>
    <x v="33"/>
    <x v="0"/>
    <x v="1"/>
    <x v="12"/>
    <n v="945244.91"/>
  </r>
  <r>
    <x v="0"/>
    <x v="20"/>
    <x v="0"/>
    <x v="10"/>
    <x v="25"/>
    <n v="6914858.0300000003"/>
  </r>
  <r>
    <x v="1"/>
    <x v="48"/>
    <x v="0"/>
    <x v="1"/>
    <x v="7"/>
    <n v="437512"/>
  </r>
  <r>
    <x v="1"/>
    <x v="54"/>
    <x v="0"/>
    <x v="1"/>
    <x v="1"/>
    <n v="97538.9"/>
  </r>
  <r>
    <x v="1"/>
    <x v="73"/>
    <x v="0"/>
    <x v="9"/>
    <x v="6"/>
    <n v="-500211.88"/>
  </r>
  <r>
    <x v="1"/>
    <x v="9"/>
    <x v="0"/>
    <x v="1"/>
    <x v="1"/>
    <n v="12096272"/>
  </r>
  <r>
    <x v="1"/>
    <x v="59"/>
    <x v="0"/>
    <x v="1"/>
    <x v="17"/>
    <n v="2212571.52"/>
  </r>
  <r>
    <x v="0"/>
    <x v="22"/>
    <x v="0"/>
    <x v="5"/>
    <x v="24"/>
    <n v="22122535"/>
  </r>
  <r>
    <x v="0"/>
    <x v="61"/>
    <x v="0"/>
    <x v="7"/>
    <x v="17"/>
    <n v="147000"/>
  </r>
  <r>
    <x v="0"/>
    <x v="28"/>
    <x v="0"/>
    <x v="0"/>
    <x v="2"/>
    <n v="50477678.090000004"/>
  </r>
  <r>
    <x v="0"/>
    <x v="71"/>
    <x v="0"/>
    <x v="1"/>
    <x v="9"/>
    <n v="861405.63"/>
  </r>
  <r>
    <x v="1"/>
    <x v="1"/>
    <x v="0"/>
    <x v="1"/>
    <x v="14"/>
    <n v="288196.53000000003"/>
  </r>
  <r>
    <x v="0"/>
    <x v="53"/>
    <x v="0"/>
    <x v="9"/>
    <x v="17"/>
    <n v="1990199.54"/>
  </r>
  <r>
    <x v="0"/>
    <x v="40"/>
    <x v="0"/>
    <x v="1"/>
    <x v="15"/>
    <n v="795103312.39999998"/>
  </r>
  <r>
    <x v="0"/>
    <x v="4"/>
    <x v="0"/>
    <x v="1"/>
    <x v="8"/>
    <n v="6779885566.6000004"/>
  </r>
  <r>
    <x v="0"/>
    <x v="78"/>
    <x v="0"/>
    <x v="1"/>
    <x v="17"/>
    <n v="2296207.3199999998"/>
  </r>
  <r>
    <x v="1"/>
    <x v="19"/>
    <x v="0"/>
    <x v="1"/>
    <x v="11"/>
    <n v="233415.26"/>
  </r>
  <r>
    <x v="0"/>
    <x v="59"/>
    <x v="0"/>
    <x v="1"/>
    <x v="1"/>
    <n v="40086076.369999997"/>
  </r>
  <r>
    <x v="1"/>
    <x v="22"/>
    <x v="0"/>
    <x v="1"/>
    <x v="15"/>
    <n v="9664985.8499999996"/>
  </r>
  <r>
    <x v="0"/>
    <x v="88"/>
    <x v="0"/>
    <x v="1"/>
    <x v="14"/>
    <n v="461578.29"/>
  </r>
  <r>
    <x v="0"/>
    <x v="9"/>
    <x v="0"/>
    <x v="2"/>
    <x v="2"/>
    <n v="75876133.010000005"/>
  </r>
  <r>
    <x v="1"/>
    <x v="51"/>
    <x v="0"/>
    <x v="1"/>
    <x v="1"/>
    <n v="-252456.47"/>
  </r>
  <r>
    <x v="0"/>
    <x v="20"/>
    <x v="0"/>
    <x v="5"/>
    <x v="10"/>
    <n v="376282126.69"/>
  </r>
  <r>
    <x v="0"/>
    <x v="22"/>
    <x v="0"/>
    <x v="1"/>
    <x v="21"/>
    <n v="68120129.739999995"/>
  </r>
  <r>
    <x v="1"/>
    <x v="53"/>
    <x v="0"/>
    <x v="1"/>
    <x v="14"/>
    <n v="161247.49"/>
  </r>
  <r>
    <x v="1"/>
    <x v="88"/>
    <x v="0"/>
    <x v="1"/>
    <x v="1"/>
    <n v="56747.34"/>
  </r>
  <r>
    <x v="0"/>
    <x v="28"/>
    <x v="0"/>
    <x v="6"/>
    <x v="11"/>
    <n v="276000"/>
  </r>
  <r>
    <x v="0"/>
    <x v="76"/>
    <x v="0"/>
    <x v="1"/>
    <x v="11"/>
    <n v="49775548.75"/>
  </r>
  <r>
    <x v="1"/>
    <x v="68"/>
    <x v="0"/>
    <x v="1"/>
    <x v="25"/>
    <n v="1757585.63"/>
  </r>
  <r>
    <x v="0"/>
    <x v="69"/>
    <x v="0"/>
    <x v="1"/>
    <x v="25"/>
    <n v="857707.76"/>
  </r>
  <r>
    <x v="0"/>
    <x v="36"/>
    <x v="0"/>
    <x v="1"/>
    <x v="25"/>
    <n v="29747000"/>
  </r>
  <r>
    <x v="1"/>
    <x v="45"/>
    <x v="0"/>
    <x v="1"/>
    <x v="10"/>
    <n v="4590440.96"/>
  </r>
  <r>
    <x v="0"/>
    <x v="68"/>
    <x v="0"/>
    <x v="3"/>
    <x v="25"/>
    <n v="63208122.18"/>
  </r>
  <r>
    <x v="0"/>
    <x v="58"/>
    <x v="0"/>
    <x v="7"/>
    <x v="0"/>
    <n v="85091.64"/>
  </r>
  <r>
    <x v="1"/>
    <x v="56"/>
    <x v="0"/>
    <x v="1"/>
    <x v="8"/>
    <n v="10627.92"/>
  </r>
  <r>
    <x v="1"/>
    <x v="40"/>
    <x v="0"/>
    <x v="1"/>
    <x v="10"/>
    <n v="31119855.780000001"/>
  </r>
  <r>
    <x v="1"/>
    <x v="45"/>
    <x v="0"/>
    <x v="1"/>
    <x v="2"/>
    <n v="7966759.5499999998"/>
  </r>
  <r>
    <x v="0"/>
    <x v="90"/>
    <x v="0"/>
    <x v="1"/>
    <x v="25"/>
    <n v="154544.39000000001"/>
  </r>
  <r>
    <x v="0"/>
    <x v="47"/>
    <x v="0"/>
    <x v="1"/>
    <x v="22"/>
    <n v="214492588.53"/>
  </r>
  <r>
    <x v="1"/>
    <x v="92"/>
    <x v="0"/>
    <x v="1"/>
    <x v="18"/>
    <n v="242016.42"/>
  </r>
  <r>
    <x v="0"/>
    <x v="47"/>
    <x v="0"/>
    <x v="7"/>
    <x v="2"/>
    <n v="700000"/>
  </r>
  <r>
    <x v="0"/>
    <x v="68"/>
    <x v="0"/>
    <x v="1"/>
    <x v="21"/>
    <n v="193820050.94"/>
  </r>
  <r>
    <x v="0"/>
    <x v="23"/>
    <x v="0"/>
    <x v="1"/>
    <x v="23"/>
    <n v="33789279.840000004"/>
  </r>
  <r>
    <x v="0"/>
    <x v="17"/>
    <x v="0"/>
    <x v="1"/>
    <x v="10"/>
    <n v="6188555.0899999999"/>
  </r>
  <r>
    <x v="0"/>
    <x v="66"/>
    <x v="0"/>
    <x v="1"/>
    <x v="7"/>
    <n v="15192319.390000001"/>
  </r>
  <r>
    <x v="1"/>
    <x v="60"/>
    <x v="0"/>
    <x v="7"/>
    <x v="20"/>
    <n v="7440"/>
  </r>
  <r>
    <x v="0"/>
    <x v="47"/>
    <x v="0"/>
    <x v="9"/>
    <x v="25"/>
    <n v="1898372.52"/>
  </r>
  <r>
    <x v="0"/>
    <x v="73"/>
    <x v="0"/>
    <x v="1"/>
    <x v="24"/>
    <n v="2270988.98"/>
  </r>
  <r>
    <x v="0"/>
    <x v="40"/>
    <x v="0"/>
    <x v="8"/>
    <x v="24"/>
    <n v="884171.9"/>
  </r>
  <r>
    <x v="0"/>
    <x v="25"/>
    <x v="0"/>
    <x v="1"/>
    <x v="12"/>
    <n v="1135404.44"/>
  </r>
  <r>
    <x v="1"/>
    <x v="85"/>
    <x v="0"/>
    <x v="1"/>
    <x v="8"/>
    <n v="92540.96"/>
  </r>
  <r>
    <x v="0"/>
    <x v="85"/>
    <x v="0"/>
    <x v="1"/>
    <x v="4"/>
    <n v="3737697.46"/>
  </r>
  <r>
    <x v="0"/>
    <x v="3"/>
    <x v="0"/>
    <x v="1"/>
    <x v="0"/>
    <n v="28966.86"/>
  </r>
  <r>
    <x v="0"/>
    <x v="27"/>
    <x v="0"/>
    <x v="3"/>
    <x v="21"/>
    <n v="8046000"/>
  </r>
  <r>
    <x v="1"/>
    <x v="101"/>
    <x v="0"/>
    <x v="1"/>
    <x v="25"/>
    <n v="18378.89"/>
  </r>
  <r>
    <x v="0"/>
    <x v="108"/>
    <x v="0"/>
    <x v="7"/>
    <x v="17"/>
    <n v="571000"/>
  </r>
  <r>
    <x v="1"/>
    <x v="58"/>
    <x v="0"/>
    <x v="1"/>
    <x v="13"/>
    <n v="910530.9"/>
  </r>
  <r>
    <x v="1"/>
    <x v="20"/>
    <x v="0"/>
    <x v="6"/>
    <x v="5"/>
    <n v="378906.66"/>
  </r>
  <r>
    <x v="1"/>
    <x v="55"/>
    <x v="0"/>
    <x v="1"/>
    <x v="12"/>
    <n v="26442.27"/>
  </r>
  <r>
    <x v="0"/>
    <x v="85"/>
    <x v="0"/>
    <x v="6"/>
    <x v="0"/>
    <n v="95000"/>
  </r>
  <r>
    <x v="0"/>
    <x v="21"/>
    <x v="0"/>
    <x v="1"/>
    <x v="16"/>
    <n v="2789667.42"/>
  </r>
  <r>
    <x v="0"/>
    <x v="36"/>
    <x v="0"/>
    <x v="3"/>
    <x v="21"/>
    <n v="2725000"/>
  </r>
  <r>
    <x v="0"/>
    <x v="15"/>
    <x v="0"/>
    <x v="1"/>
    <x v="18"/>
    <n v="9943133.4000000004"/>
  </r>
  <r>
    <x v="1"/>
    <x v="9"/>
    <x v="0"/>
    <x v="6"/>
    <x v="2"/>
    <n v="1291166.58"/>
  </r>
  <r>
    <x v="0"/>
    <x v="73"/>
    <x v="0"/>
    <x v="9"/>
    <x v="10"/>
    <n v="7664519.3499999996"/>
  </r>
  <r>
    <x v="1"/>
    <x v="79"/>
    <x v="0"/>
    <x v="1"/>
    <x v="18"/>
    <n v="1223409.02"/>
  </r>
  <r>
    <x v="0"/>
    <x v="6"/>
    <x v="0"/>
    <x v="2"/>
    <x v="23"/>
    <n v="27428531.920000002"/>
  </r>
  <r>
    <x v="0"/>
    <x v="8"/>
    <x v="0"/>
    <x v="10"/>
    <x v="14"/>
    <n v="19979848.84"/>
  </r>
  <r>
    <x v="0"/>
    <x v="58"/>
    <x v="0"/>
    <x v="8"/>
    <x v="20"/>
    <n v="148877.62"/>
  </r>
  <r>
    <x v="0"/>
    <x v="20"/>
    <x v="0"/>
    <x v="1"/>
    <x v="24"/>
    <n v="2624267355.4200001"/>
  </r>
  <r>
    <x v="0"/>
    <x v="52"/>
    <x v="0"/>
    <x v="10"/>
    <x v="20"/>
    <n v="4836.2"/>
  </r>
  <r>
    <x v="0"/>
    <x v="11"/>
    <x v="0"/>
    <x v="6"/>
    <x v="5"/>
    <n v="1225000"/>
  </r>
  <r>
    <x v="1"/>
    <x v="2"/>
    <x v="0"/>
    <x v="1"/>
    <x v="23"/>
    <n v="1960592.08"/>
  </r>
  <r>
    <x v="1"/>
    <x v="66"/>
    <x v="0"/>
    <x v="1"/>
    <x v="11"/>
    <n v="2027731.87"/>
  </r>
  <r>
    <x v="1"/>
    <x v="74"/>
    <x v="0"/>
    <x v="1"/>
    <x v="12"/>
    <n v="105576.87"/>
  </r>
  <r>
    <x v="0"/>
    <x v="32"/>
    <x v="0"/>
    <x v="7"/>
    <x v="8"/>
    <n v="500000"/>
  </r>
  <r>
    <x v="0"/>
    <x v="62"/>
    <x v="0"/>
    <x v="1"/>
    <x v="17"/>
    <n v="1168424.46"/>
  </r>
  <r>
    <x v="0"/>
    <x v="67"/>
    <x v="0"/>
    <x v="1"/>
    <x v="6"/>
    <n v="2270418"/>
  </r>
  <r>
    <x v="1"/>
    <x v="79"/>
    <x v="0"/>
    <x v="7"/>
    <x v="19"/>
    <n v="-356648.57"/>
  </r>
  <r>
    <x v="0"/>
    <x v="55"/>
    <x v="0"/>
    <x v="1"/>
    <x v="11"/>
    <n v="539384.14"/>
  </r>
  <r>
    <x v="1"/>
    <x v="49"/>
    <x v="0"/>
    <x v="1"/>
    <x v="5"/>
    <n v="207489.36"/>
  </r>
  <r>
    <x v="1"/>
    <x v="52"/>
    <x v="0"/>
    <x v="1"/>
    <x v="21"/>
    <n v="1192786.7"/>
  </r>
  <r>
    <x v="0"/>
    <x v="64"/>
    <x v="0"/>
    <x v="1"/>
    <x v="5"/>
    <n v="486792.86"/>
  </r>
  <r>
    <x v="0"/>
    <x v="6"/>
    <x v="0"/>
    <x v="1"/>
    <x v="23"/>
    <n v="424006320.74000001"/>
  </r>
  <r>
    <x v="1"/>
    <x v="31"/>
    <x v="0"/>
    <x v="1"/>
    <x v="3"/>
    <n v="1006315.3"/>
  </r>
  <r>
    <x v="0"/>
    <x v="39"/>
    <x v="0"/>
    <x v="1"/>
    <x v="21"/>
    <n v="110960.77"/>
  </r>
  <r>
    <x v="0"/>
    <x v="31"/>
    <x v="0"/>
    <x v="6"/>
    <x v="11"/>
    <n v="1466000"/>
  </r>
  <r>
    <x v="0"/>
    <x v="56"/>
    <x v="0"/>
    <x v="1"/>
    <x v="2"/>
    <n v="281642.69"/>
  </r>
  <r>
    <x v="1"/>
    <x v="71"/>
    <x v="0"/>
    <x v="1"/>
    <x v="6"/>
    <n v="23597"/>
  </r>
  <r>
    <x v="1"/>
    <x v="85"/>
    <x v="0"/>
    <x v="1"/>
    <x v="0"/>
    <n v="125823.03"/>
  </r>
  <r>
    <x v="1"/>
    <x v="20"/>
    <x v="0"/>
    <x v="1"/>
    <x v="14"/>
    <n v="206299621.68000001"/>
  </r>
  <r>
    <x v="1"/>
    <x v="67"/>
    <x v="0"/>
    <x v="1"/>
    <x v="21"/>
    <n v="-341872.05"/>
  </r>
  <r>
    <x v="0"/>
    <x v="0"/>
    <x v="0"/>
    <x v="1"/>
    <x v="21"/>
    <n v="55712852.32"/>
  </r>
  <r>
    <x v="0"/>
    <x v="20"/>
    <x v="0"/>
    <x v="6"/>
    <x v="1"/>
    <n v="71608000"/>
  </r>
  <r>
    <x v="0"/>
    <x v="50"/>
    <x v="0"/>
    <x v="1"/>
    <x v="15"/>
    <n v="31431542.440000001"/>
  </r>
  <r>
    <x v="1"/>
    <x v="83"/>
    <x v="0"/>
    <x v="1"/>
    <x v="7"/>
    <n v="10833"/>
  </r>
  <r>
    <x v="0"/>
    <x v="65"/>
    <x v="0"/>
    <x v="1"/>
    <x v="6"/>
    <n v="3193786.65"/>
  </r>
  <r>
    <x v="0"/>
    <x v="11"/>
    <x v="0"/>
    <x v="1"/>
    <x v="20"/>
    <n v="199650315.78999999"/>
  </r>
  <r>
    <x v="1"/>
    <x v="58"/>
    <x v="0"/>
    <x v="1"/>
    <x v="7"/>
    <n v="2349051.66"/>
  </r>
  <r>
    <x v="0"/>
    <x v="15"/>
    <x v="0"/>
    <x v="1"/>
    <x v="22"/>
    <n v="17118577.719999999"/>
  </r>
  <r>
    <x v="0"/>
    <x v="16"/>
    <x v="0"/>
    <x v="1"/>
    <x v="3"/>
    <n v="6581122.5599999996"/>
  </r>
  <r>
    <x v="1"/>
    <x v="82"/>
    <x v="0"/>
    <x v="1"/>
    <x v="16"/>
    <n v="94287.73"/>
  </r>
  <r>
    <x v="0"/>
    <x v="58"/>
    <x v="0"/>
    <x v="1"/>
    <x v="19"/>
    <n v="11525826.189999999"/>
  </r>
  <r>
    <x v="0"/>
    <x v="18"/>
    <x v="0"/>
    <x v="6"/>
    <x v="13"/>
    <n v="50000"/>
  </r>
  <r>
    <x v="0"/>
    <x v="76"/>
    <x v="0"/>
    <x v="1"/>
    <x v="15"/>
    <n v="29727751.829999998"/>
  </r>
  <r>
    <x v="0"/>
    <x v="1"/>
    <x v="0"/>
    <x v="1"/>
    <x v="3"/>
    <n v="6776133.6799999997"/>
  </r>
  <r>
    <x v="1"/>
    <x v="18"/>
    <x v="0"/>
    <x v="1"/>
    <x v="13"/>
    <n v="146236.32"/>
  </r>
  <r>
    <x v="0"/>
    <x v="64"/>
    <x v="0"/>
    <x v="1"/>
    <x v="22"/>
    <n v="227053.33"/>
  </r>
  <r>
    <x v="0"/>
    <x v="70"/>
    <x v="0"/>
    <x v="1"/>
    <x v="20"/>
    <n v="2898618.87"/>
  </r>
  <r>
    <x v="0"/>
    <x v="82"/>
    <x v="0"/>
    <x v="1"/>
    <x v="17"/>
    <n v="2107950.9700000002"/>
  </r>
  <r>
    <x v="0"/>
    <x v="60"/>
    <x v="0"/>
    <x v="1"/>
    <x v="20"/>
    <n v="262197.56"/>
  </r>
  <r>
    <x v="1"/>
    <x v="62"/>
    <x v="0"/>
    <x v="1"/>
    <x v="25"/>
    <n v="1801320.56"/>
  </r>
  <r>
    <x v="1"/>
    <x v="77"/>
    <x v="0"/>
    <x v="1"/>
    <x v="10"/>
    <n v="70541.94"/>
  </r>
  <r>
    <x v="0"/>
    <x v="60"/>
    <x v="0"/>
    <x v="6"/>
    <x v="13"/>
    <n v="1000"/>
  </r>
  <r>
    <x v="1"/>
    <x v="5"/>
    <x v="0"/>
    <x v="1"/>
    <x v="17"/>
    <n v="889.89"/>
  </r>
  <r>
    <x v="0"/>
    <x v="37"/>
    <x v="0"/>
    <x v="1"/>
    <x v="21"/>
    <n v="11028772.460000001"/>
  </r>
  <r>
    <x v="0"/>
    <x v="5"/>
    <x v="0"/>
    <x v="3"/>
    <x v="0"/>
    <n v="6912000"/>
  </r>
  <r>
    <x v="1"/>
    <x v="56"/>
    <x v="0"/>
    <x v="1"/>
    <x v="19"/>
    <n v="13632.08"/>
  </r>
  <r>
    <x v="0"/>
    <x v="70"/>
    <x v="0"/>
    <x v="6"/>
    <x v="1"/>
    <n v="61000"/>
  </r>
  <r>
    <x v="0"/>
    <x v="89"/>
    <x v="0"/>
    <x v="1"/>
    <x v="17"/>
    <n v="1533497.35"/>
  </r>
  <r>
    <x v="0"/>
    <x v="70"/>
    <x v="0"/>
    <x v="1"/>
    <x v="19"/>
    <n v="2606842.7400000002"/>
  </r>
  <r>
    <x v="0"/>
    <x v="28"/>
    <x v="0"/>
    <x v="2"/>
    <x v="11"/>
    <n v="41015476.109999999"/>
  </r>
  <r>
    <x v="0"/>
    <x v="47"/>
    <x v="0"/>
    <x v="1"/>
    <x v="19"/>
    <n v="55250209.350000001"/>
  </r>
  <r>
    <x v="0"/>
    <x v="42"/>
    <x v="0"/>
    <x v="1"/>
    <x v="2"/>
    <n v="20917139.710000001"/>
  </r>
  <r>
    <x v="0"/>
    <x v="11"/>
    <x v="0"/>
    <x v="3"/>
    <x v="18"/>
    <n v="16532000"/>
  </r>
  <r>
    <x v="1"/>
    <x v="23"/>
    <x v="0"/>
    <x v="10"/>
    <x v="25"/>
    <n v="1783470.61"/>
  </r>
  <r>
    <x v="0"/>
    <x v="65"/>
    <x v="0"/>
    <x v="1"/>
    <x v="7"/>
    <n v="6688646.8899999997"/>
  </r>
  <r>
    <x v="1"/>
    <x v="59"/>
    <x v="0"/>
    <x v="10"/>
    <x v="19"/>
    <n v="1446.11"/>
  </r>
  <r>
    <x v="0"/>
    <x v="47"/>
    <x v="0"/>
    <x v="1"/>
    <x v="17"/>
    <n v="51770897.960000001"/>
  </r>
  <r>
    <x v="0"/>
    <x v="4"/>
    <x v="0"/>
    <x v="1"/>
    <x v="0"/>
    <n v="11836409517.610001"/>
  </r>
  <r>
    <x v="1"/>
    <x v="15"/>
    <x v="0"/>
    <x v="1"/>
    <x v="0"/>
    <n v="2070170.99"/>
  </r>
  <r>
    <x v="0"/>
    <x v="4"/>
    <x v="0"/>
    <x v="3"/>
    <x v="8"/>
    <n v="25108846.949999999"/>
  </r>
  <r>
    <x v="0"/>
    <x v="38"/>
    <x v="0"/>
    <x v="1"/>
    <x v="4"/>
    <n v="7394711.1100000003"/>
  </r>
  <r>
    <x v="1"/>
    <x v="50"/>
    <x v="0"/>
    <x v="1"/>
    <x v="10"/>
    <n v="1312100.8"/>
  </r>
  <r>
    <x v="1"/>
    <x v="74"/>
    <x v="0"/>
    <x v="1"/>
    <x v="11"/>
    <n v="536505.01"/>
  </r>
  <r>
    <x v="0"/>
    <x v="4"/>
    <x v="0"/>
    <x v="6"/>
    <x v="13"/>
    <n v="35515000"/>
  </r>
  <r>
    <x v="1"/>
    <x v="25"/>
    <x v="0"/>
    <x v="1"/>
    <x v="15"/>
    <n v="51176.18"/>
  </r>
  <r>
    <x v="0"/>
    <x v="54"/>
    <x v="0"/>
    <x v="1"/>
    <x v="22"/>
    <n v="812790.34"/>
  </r>
  <r>
    <x v="1"/>
    <x v="82"/>
    <x v="0"/>
    <x v="1"/>
    <x v="12"/>
    <n v="92200.01"/>
  </r>
  <r>
    <x v="0"/>
    <x v="54"/>
    <x v="0"/>
    <x v="1"/>
    <x v="9"/>
    <n v="1356773.06"/>
  </r>
  <r>
    <x v="1"/>
    <x v="52"/>
    <x v="0"/>
    <x v="1"/>
    <x v="24"/>
    <n v="2856777.42"/>
  </r>
  <r>
    <x v="1"/>
    <x v="16"/>
    <x v="0"/>
    <x v="1"/>
    <x v="18"/>
    <n v="275027.74"/>
  </r>
  <r>
    <x v="1"/>
    <x v="76"/>
    <x v="0"/>
    <x v="7"/>
    <x v="15"/>
    <n v="673720.5"/>
  </r>
  <r>
    <x v="0"/>
    <x v="20"/>
    <x v="0"/>
    <x v="6"/>
    <x v="2"/>
    <n v="51564000"/>
  </r>
  <r>
    <x v="0"/>
    <x v="14"/>
    <x v="0"/>
    <x v="1"/>
    <x v="14"/>
    <n v="933006.29"/>
  </r>
  <r>
    <x v="0"/>
    <x v="2"/>
    <x v="0"/>
    <x v="1"/>
    <x v="7"/>
    <n v="2611668.5"/>
  </r>
  <r>
    <x v="1"/>
    <x v="20"/>
    <x v="0"/>
    <x v="1"/>
    <x v="2"/>
    <n v="106275725.26000001"/>
  </r>
  <r>
    <x v="0"/>
    <x v="33"/>
    <x v="0"/>
    <x v="1"/>
    <x v="5"/>
    <n v="296802.98"/>
  </r>
  <r>
    <x v="0"/>
    <x v="60"/>
    <x v="0"/>
    <x v="1"/>
    <x v="22"/>
    <n v="109739.89"/>
  </r>
  <r>
    <x v="0"/>
    <x v="63"/>
    <x v="0"/>
    <x v="1"/>
    <x v="0"/>
    <n v="35000"/>
  </r>
  <r>
    <x v="1"/>
    <x v="58"/>
    <x v="0"/>
    <x v="8"/>
    <x v="17"/>
    <n v="21626.97"/>
  </r>
  <r>
    <x v="0"/>
    <x v="69"/>
    <x v="0"/>
    <x v="1"/>
    <x v="21"/>
    <n v="884012.45"/>
  </r>
  <r>
    <x v="0"/>
    <x v="53"/>
    <x v="0"/>
    <x v="1"/>
    <x v="2"/>
    <n v="8749214.4600000009"/>
  </r>
  <r>
    <x v="1"/>
    <x v="34"/>
    <x v="0"/>
    <x v="3"/>
    <x v="22"/>
    <n v="9483927.1999999993"/>
  </r>
  <r>
    <x v="0"/>
    <x v="47"/>
    <x v="0"/>
    <x v="7"/>
    <x v="14"/>
    <n v="40000"/>
  </r>
  <r>
    <x v="1"/>
    <x v="17"/>
    <x v="0"/>
    <x v="1"/>
    <x v="5"/>
    <n v="1082959.1499999999"/>
  </r>
  <r>
    <x v="1"/>
    <x v="9"/>
    <x v="0"/>
    <x v="1"/>
    <x v="10"/>
    <n v="16711878.439999999"/>
  </r>
  <r>
    <x v="1"/>
    <x v="75"/>
    <x v="0"/>
    <x v="1"/>
    <x v="2"/>
    <n v="-5926.19"/>
  </r>
  <r>
    <x v="1"/>
    <x v="93"/>
    <x v="0"/>
    <x v="1"/>
    <x v="14"/>
    <n v="548295.73"/>
  </r>
  <r>
    <x v="1"/>
    <x v="75"/>
    <x v="0"/>
    <x v="1"/>
    <x v="14"/>
    <n v="12815.92"/>
  </r>
  <r>
    <x v="1"/>
    <x v="44"/>
    <x v="0"/>
    <x v="1"/>
    <x v="19"/>
    <n v="345628.58"/>
  </r>
  <r>
    <x v="1"/>
    <x v="45"/>
    <x v="0"/>
    <x v="1"/>
    <x v="1"/>
    <n v="5028660.59"/>
  </r>
  <r>
    <x v="0"/>
    <x v="90"/>
    <x v="0"/>
    <x v="1"/>
    <x v="21"/>
    <n v="147131.57999999999"/>
  </r>
  <r>
    <x v="1"/>
    <x v="47"/>
    <x v="0"/>
    <x v="9"/>
    <x v="14"/>
    <n v="-21811.78"/>
  </r>
  <r>
    <x v="1"/>
    <x v="86"/>
    <x v="0"/>
    <x v="1"/>
    <x v="5"/>
    <n v="-427817.55"/>
  </r>
  <r>
    <x v="1"/>
    <x v="57"/>
    <x v="0"/>
    <x v="1"/>
    <x v="3"/>
    <n v="40582.980000000003"/>
  </r>
  <r>
    <x v="0"/>
    <x v="1"/>
    <x v="0"/>
    <x v="6"/>
    <x v="1"/>
    <n v="295500"/>
  </r>
  <r>
    <x v="1"/>
    <x v="56"/>
    <x v="0"/>
    <x v="1"/>
    <x v="5"/>
    <n v="-18678.8"/>
  </r>
  <r>
    <x v="1"/>
    <x v="40"/>
    <x v="0"/>
    <x v="1"/>
    <x v="4"/>
    <n v="-165562864.28"/>
  </r>
  <r>
    <x v="0"/>
    <x v="4"/>
    <x v="0"/>
    <x v="3"/>
    <x v="7"/>
    <n v="111025480.19"/>
  </r>
  <r>
    <x v="0"/>
    <x v="45"/>
    <x v="0"/>
    <x v="1"/>
    <x v="3"/>
    <n v="100392852.8"/>
  </r>
  <r>
    <x v="0"/>
    <x v="84"/>
    <x v="0"/>
    <x v="1"/>
    <x v="17"/>
    <n v="787697.4"/>
  </r>
  <r>
    <x v="0"/>
    <x v="32"/>
    <x v="0"/>
    <x v="1"/>
    <x v="16"/>
    <n v="626152.21"/>
  </r>
  <r>
    <x v="0"/>
    <x v="64"/>
    <x v="0"/>
    <x v="1"/>
    <x v="19"/>
    <n v="217122.02"/>
  </r>
  <r>
    <x v="0"/>
    <x v="41"/>
    <x v="0"/>
    <x v="9"/>
    <x v="19"/>
    <n v="1143827.4099999999"/>
  </r>
  <r>
    <x v="1"/>
    <x v="71"/>
    <x v="0"/>
    <x v="1"/>
    <x v="21"/>
    <n v="23534.59"/>
  </r>
  <r>
    <x v="0"/>
    <x v="24"/>
    <x v="0"/>
    <x v="8"/>
    <x v="25"/>
    <n v="1000"/>
  </r>
  <r>
    <x v="0"/>
    <x v="65"/>
    <x v="0"/>
    <x v="1"/>
    <x v="23"/>
    <n v="22878909.870000001"/>
  </r>
  <r>
    <x v="0"/>
    <x v="45"/>
    <x v="0"/>
    <x v="6"/>
    <x v="0"/>
    <n v="6743000"/>
  </r>
  <r>
    <x v="0"/>
    <x v="32"/>
    <x v="0"/>
    <x v="7"/>
    <x v="20"/>
    <n v="0"/>
  </r>
  <r>
    <x v="0"/>
    <x v="34"/>
    <x v="0"/>
    <x v="1"/>
    <x v="2"/>
    <n v="757850888.83000004"/>
  </r>
  <r>
    <x v="1"/>
    <x v="93"/>
    <x v="0"/>
    <x v="1"/>
    <x v="10"/>
    <n v="448749.55"/>
  </r>
  <r>
    <x v="0"/>
    <x v="36"/>
    <x v="0"/>
    <x v="3"/>
    <x v="12"/>
    <n v="2692000"/>
  </r>
  <r>
    <x v="1"/>
    <x v="83"/>
    <x v="0"/>
    <x v="1"/>
    <x v="16"/>
    <n v="37798"/>
  </r>
  <r>
    <x v="1"/>
    <x v="58"/>
    <x v="0"/>
    <x v="1"/>
    <x v="6"/>
    <n v="703126.82"/>
  </r>
  <r>
    <x v="1"/>
    <x v="4"/>
    <x v="0"/>
    <x v="7"/>
    <x v="1"/>
    <n v="17000"/>
  </r>
  <r>
    <x v="1"/>
    <x v="65"/>
    <x v="0"/>
    <x v="1"/>
    <x v="24"/>
    <n v="-426317.09"/>
  </r>
  <r>
    <x v="1"/>
    <x v="63"/>
    <x v="0"/>
    <x v="2"/>
    <x v="22"/>
    <n v="-609684.69999999995"/>
  </r>
  <r>
    <x v="1"/>
    <x v="37"/>
    <x v="0"/>
    <x v="1"/>
    <x v="11"/>
    <n v="-4290178.57"/>
  </r>
  <r>
    <x v="1"/>
    <x v="73"/>
    <x v="0"/>
    <x v="1"/>
    <x v="2"/>
    <n v="1721073.91"/>
  </r>
  <r>
    <x v="0"/>
    <x v="82"/>
    <x v="0"/>
    <x v="6"/>
    <x v="11"/>
    <n v="107000"/>
  </r>
  <r>
    <x v="0"/>
    <x v="41"/>
    <x v="0"/>
    <x v="1"/>
    <x v="25"/>
    <n v="48336014.329999998"/>
  </r>
  <r>
    <x v="0"/>
    <x v="89"/>
    <x v="0"/>
    <x v="1"/>
    <x v="1"/>
    <n v="182301.55"/>
  </r>
  <r>
    <x v="1"/>
    <x v="34"/>
    <x v="0"/>
    <x v="1"/>
    <x v="22"/>
    <n v="70781530.469999999"/>
  </r>
  <r>
    <x v="0"/>
    <x v="22"/>
    <x v="0"/>
    <x v="1"/>
    <x v="16"/>
    <n v="51049117.479999997"/>
  </r>
  <r>
    <x v="0"/>
    <x v="63"/>
    <x v="0"/>
    <x v="2"/>
    <x v="4"/>
    <n v="5592920.8799999999"/>
  </r>
  <r>
    <x v="1"/>
    <x v="86"/>
    <x v="0"/>
    <x v="1"/>
    <x v="22"/>
    <n v="135947.32999999999"/>
  </r>
  <r>
    <x v="1"/>
    <x v="4"/>
    <x v="0"/>
    <x v="1"/>
    <x v="17"/>
    <n v="11220028.68"/>
  </r>
  <r>
    <x v="0"/>
    <x v="75"/>
    <x v="0"/>
    <x v="1"/>
    <x v="23"/>
    <n v="498495.21"/>
  </r>
  <r>
    <x v="0"/>
    <x v="32"/>
    <x v="0"/>
    <x v="7"/>
    <x v="14"/>
    <n v="7442.12"/>
  </r>
  <r>
    <x v="1"/>
    <x v="19"/>
    <x v="0"/>
    <x v="2"/>
    <x v="11"/>
    <n v="5333.36"/>
  </r>
  <r>
    <x v="0"/>
    <x v="65"/>
    <x v="0"/>
    <x v="1"/>
    <x v="21"/>
    <n v="5164735.4000000004"/>
  </r>
  <r>
    <x v="0"/>
    <x v="55"/>
    <x v="0"/>
    <x v="1"/>
    <x v="7"/>
    <n v="420568.47"/>
  </r>
  <r>
    <x v="1"/>
    <x v="90"/>
    <x v="0"/>
    <x v="1"/>
    <x v="15"/>
    <n v="5879.99"/>
  </r>
  <r>
    <x v="0"/>
    <x v="64"/>
    <x v="0"/>
    <x v="1"/>
    <x v="8"/>
    <n v="209752.46"/>
  </r>
  <r>
    <x v="1"/>
    <x v="85"/>
    <x v="0"/>
    <x v="1"/>
    <x v="20"/>
    <n v="70673.25"/>
  </r>
  <r>
    <x v="1"/>
    <x v="8"/>
    <x v="0"/>
    <x v="1"/>
    <x v="13"/>
    <n v="1554152.9"/>
  </r>
  <r>
    <x v="0"/>
    <x v="47"/>
    <x v="0"/>
    <x v="1"/>
    <x v="9"/>
    <n v="132456246.73999999"/>
  </r>
  <r>
    <x v="1"/>
    <x v="19"/>
    <x v="0"/>
    <x v="2"/>
    <x v="23"/>
    <n v="-2328.21"/>
  </r>
  <r>
    <x v="1"/>
    <x v="20"/>
    <x v="0"/>
    <x v="5"/>
    <x v="17"/>
    <n v="16364038.460000001"/>
  </r>
  <r>
    <x v="0"/>
    <x v="33"/>
    <x v="0"/>
    <x v="1"/>
    <x v="8"/>
    <n v="2034425037.6600001"/>
  </r>
  <r>
    <x v="1"/>
    <x v="4"/>
    <x v="0"/>
    <x v="10"/>
    <x v="19"/>
    <n v="-10817585.58"/>
  </r>
  <r>
    <x v="1"/>
    <x v="50"/>
    <x v="0"/>
    <x v="1"/>
    <x v="20"/>
    <n v="1275836.6200000001"/>
  </r>
  <r>
    <x v="1"/>
    <x v="60"/>
    <x v="0"/>
    <x v="1"/>
    <x v="7"/>
    <n v="24678.06"/>
  </r>
  <r>
    <x v="1"/>
    <x v="20"/>
    <x v="0"/>
    <x v="8"/>
    <x v="14"/>
    <n v="7424416.0899999999"/>
  </r>
  <r>
    <x v="1"/>
    <x v="49"/>
    <x v="0"/>
    <x v="1"/>
    <x v="17"/>
    <n v="250585.8"/>
  </r>
  <r>
    <x v="1"/>
    <x v="81"/>
    <x v="0"/>
    <x v="1"/>
    <x v="9"/>
    <n v="44907.11"/>
  </r>
  <r>
    <x v="0"/>
    <x v="5"/>
    <x v="0"/>
    <x v="3"/>
    <x v="2"/>
    <n v="6915500"/>
  </r>
  <r>
    <x v="0"/>
    <x v="52"/>
    <x v="0"/>
    <x v="6"/>
    <x v="13"/>
    <n v="0"/>
  </r>
  <r>
    <x v="1"/>
    <x v="41"/>
    <x v="0"/>
    <x v="1"/>
    <x v="4"/>
    <n v="8724022.9900000002"/>
  </r>
  <r>
    <x v="1"/>
    <x v="50"/>
    <x v="0"/>
    <x v="1"/>
    <x v="15"/>
    <n v="-2192542.44"/>
  </r>
  <r>
    <x v="1"/>
    <x v="8"/>
    <x v="0"/>
    <x v="10"/>
    <x v="13"/>
    <n v="1788889.59"/>
  </r>
  <r>
    <x v="1"/>
    <x v="1"/>
    <x v="0"/>
    <x v="1"/>
    <x v="1"/>
    <n v="555895.98"/>
  </r>
  <r>
    <x v="1"/>
    <x v="8"/>
    <x v="0"/>
    <x v="10"/>
    <x v="17"/>
    <n v="2803529.96"/>
  </r>
  <r>
    <x v="1"/>
    <x v="41"/>
    <x v="0"/>
    <x v="1"/>
    <x v="24"/>
    <n v="2374417.54"/>
  </r>
  <r>
    <x v="1"/>
    <x v="53"/>
    <x v="0"/>
    <x v="1"/>
    <x v="0"/>
    <n v="1764324.24"/>
  </r>
  <r>
    <x v="0"/>
    <x v="32"/>
    <x v="0"/>
    <x v="1"/>
    <x v="7"/>
    <n v="2759932.59"/>
  </r>
  <r>
    <x v="1"/>
    <x v="85"/>
    <x v="0"/>
    <x v="1"/>
    <x v="19"/>
    <n v="117869.39"/>
  </r>
  <r>
    <x v="1"/>
    <x v="7"/>
    <x v="0"/>
    <x v="1"/>
    <x v="7"/>
    <n v="222193.16"/>
  </r>
  <r>
    <x v="0"/>
    <x v="41"/>
    <x v="0"/>
    <x v="1"/>
    <x v="12"/>
    <n v="32157433.460000001"/>
  </r>
  <r>
    <x v="0"/>
    <x v="80"/>
    <x v="0"/>
    <x v="1"/>
    <x v="4"/>
    <n v="49637387.020000003"/>
  </r>
  <r>
    <x v="1"/>
    <x v="62"/>
    <x v="0"/>
    <x v="1"/>
    <x v="11"/>
    <n v="2828422.07"/>
  </r>
  <r>
    <x v="1"/>
    <x v="20"/>
    <x v="0"/>
    <x v="5"/>
    <x v="13"/>
    <n v="18420434.949999999"/>
  </r>
  <r>
    <x v="1"/>
    <x v="40"/>
    <x v="0"/>
    <x v="8"/>
    <x v="14"/>
    <n v="1108836.32"/>
  </r>
  <r>
    <x v="0"/>
    <x v="14"/>
    <x v="0"/>
    <x v="1"/>
    <x v="15"/>
    <n v="1842952.85"/>
  </r>
  <r>
    <x v="0"/>
    <x v="0"/>
    <x v="0"/>
    <x v="1"/>
    <x v="12"/>
    <n v="16931087.199999999"/>
  </r>
  <r>
    <x v="1"/>
    <x v="85"/>
    <x v="0"/>
    <x v="1"/>
    <x v="10"/>
    <n v="131283.75"/>
  </r>
  <r>
    <x v="0"/>
    <x v="51"/>
    <x v="0"/>
    <x v="6"/>
    <x v="2"/>
    <n v="854.06"/>
  </r>
  <r>
    <x v="0"/>
    <x v="22"/>
    <x v="0"/>
    <x v="8"/>
    <x v="25"/>
    <n v="2625414.59"/>
  </r>
  <r>
    <x v="0"/>
    <x v="41"/>
    <x v="0"/>
    <x v="1"/>
    <x v="21"/>
    <n v="44171030.43"/>
  </r>
  <r>
    <x v="0"/>
    <x v="14"/>
    <x v="0"/>
    <x v="1"/>
    <x v="3"/>
    <n v="1814643.45"/>
  </r>
  <r>
    <x v="0"/>
    <x v="67"/>
    <x v="0"/>
    <x v="1"/>
    <x v="5"/>
    <n v="1674926.02"/>
  </r>
  <r>
    <x v="1"/>
    <x v="73"/>
    <x v="0"/>
    <x v="1"/>
    <x v="0"/>
    <n v="356588.92"/>
  </r>
  <r>
    <x v="1"/>
    <x v="38"/>
    <x v="0"/>
    <x v="1"/>
    <x v="9"/>
    <n v="1572620.77"/>
  </r>
  <r>
    <x v="0"/>
    <x v="17"/>
    <x v="0"/>
    <x v="1"/>
    <x v="20"/>
    <n v="5975600.7400000002"/>
  </r>
  <r>
    <x v="0"/>
    <x v="37"/>
    <x v="0"/>
    <x v="1"/>
    <x v="7"/>
    <n v="15475082.99"/>
  </r>
  <r>
    <x v="0"/>
    <x v="30"/>
    <x v="0"/>
    <x v="1"/>
    <x v="19"/>
    <n v="658407002"/>
  </r>
  <r>
    <x v="0"/>
    <x v="70"/>
    <x v="0"/>
    <x v="1"/>
    <x v="9"/>
    <n v="3132259.42"/>
  </r>
  <r>
    <x v="0"/>
    <x v="62"/>
    <x v="0"/>
    <x v="1"/>
    <x v="12"/>
    <n v="21927701.670000002"/>
  </r>
  <r>
    <x v="0"/>
    <x v="8"/>
    <x v="0"/>
    <x v="1"/>
    <x v="18"/>
    <n v="42259479.390000001"/>
  </r>
  <r>
    <x v="0"/>
    <x v="49"/>
    <x v="0"/>
    <x v="1"/>
    <x v="0"/>
    <n v="2673377.5"/>
  </r>
  <r>
    <x v="1"/>
    <x v="42"/>
    <x v="0"/>
    <x v="1"/>
    <x v="2"/>
    <n v="2942557.97"/>
  </r>
  <r>
    <x v="0"/>
    <x v="64"/>
    <x v="0"/>
    <x v="6"/>
    <x v="1"/>
    <n v="13000"/>
  </r>
  <r>
    <x v="0"/>
    <x v="49"/>
    <x v="0"/>
    <x v="1"/>
    <x v="22"/>
    <n v="2399732.79"/>
  </r>
  <r>
    <x v="1"/>
    <x v="27"/>
    <x v="0"/>
    <x v="1"/>
    <x v="11"/>
    <n v="306816.77"/>
  </r>
  <r>
    <x v="0"/>
    <x v="76"/>
    <x v="0"/>
    <x v="8"/>
    <x v="24"/>
    <n v="68842.37"/>
  </r>
  <r>
    <x v="0"/>
    <x v="22"/>
    <x v="0"/>
    <x v="1"/>
    <x v="12"/>
    <n v="30273664.710000001"/>
  </r>
  <r>
    <x v="0"/>
    <x v="60"/>
    <x v="0"/>
    <x v="1"/>
    <x v="8"/>
    <n v="231680.04"/>
  </r>
  <r>
    <x v="0"/>
    <x v="34"/>
    <x v="0"/>
    <x v="3"/>
    <x v="0"/>
    <n v="13307250.23"/>
  </r>
  <r>
    <x v="1"/>
    <x v="13"/>
    <x v="0"/>
    <x v="1"/>
    <x v="9"/>
    <n v="171413.28"/>
  </r>
  <r>
    <x v="0"/>
    <x v="6"/>
    <x v="0"/>
    <x v="1"/>
    <x v="16"/>
    <n v="279236397.87"/>
  </r>
  <r>
    <x v="0"/>
    <x v="10"/>
    <x v="0"/>
    <x v="1"/>
    <x v="16"/>
    <n v="1481790.6"/>
  </r>
  <r>
    <x v="0"/>
    <x v="5"/>
    <x v="0"/>
    <x v="3"/>
    <x v="1"/>
    <n v="6919000"/>
  </r>
  <r>
    <x v="0"/>
    <x v="64"/>
    <x v="0"/>
    <x v="7"/>
    <x v="14"/>
    <n v="13100"/>
  </r>
  <r>
    <x v="1"/>
    <x v="70"/>
    <x v="0"/>
    <x v="1"/>
    <x v="7"/>
    <n v="-42352.82"/>
  </r>
  <r>
    <x v="1"/>
    <x v="3"/>
    <x v="0"/>
    <x v="1"/>
    <x v="19"/>
    <n v="160682.31"/>
  </r>
  <r>
    <x v="0"/>
    <x v="80"/>
    <x v="0"/>
    <x v="6"/>
    <x v="2"/>
    <n v="2133000"/>
  </r>
  <r>
    <x v="0"/>
    <x v="4"/>
    <x v="0"/>
    <x v="3"/>
    <x v="22"/>
    <n v="633917.31999999995"/>
  </r>
  <r>
    <x v="0"/>
    <x v="76"/>
    <x v="0"/>
    <x v="6"/>
    <x v="0"/>
    <n v="1650000"/>
  </r>
  <r>
    <x v="0"/>
    <x v="30"/>
    <x v="0"/>
    <x v="1"/>
    <x v="20"/>
    <n v="609299277.96000004"/>
  </r>
  <r>
    <x v="0"/>
    <x v="88"/>
    <x v="0"/>
    <x v="1"/>
    <x v="4"/>
    <n v="1302946.3"/>
  </r>
  <r>
    <x v="0"/>
    <x v="85"/>
    <x v="0"/>
    <x v="1"/>
    <x v="15"/>
    <n v="1790189.49"/>
  </r>
  <r>
    <x v="0"/>
    <x v="49"/>
    <x v="0"/>
    <x v="1"/>
    <x v="19"/>
    <n v="2578925.7400000002"/>
  </r>
  <r>
    <x v="0"/>
    <x v="34"/>
    <x v="0"/>
    <x v="1"/>
    <x v="0"/>
    <n v="512737311.75999999"/>
  </r>
  <r>
    <x v="0"/>
    <x v="4"/>
    <x v="0"/>
    <x v="1"/>
    <x v="20"/>
    <n v="4964257132.6099997"/>
  </r>
  <r>
    <x v="1"/>
    <x v="28"/>
    <x v="0"/>
    <x v="1"/>
    <x v="15"/>
    <n v="1603004.61"/>
  </r>
  <r>
    <x v="0"/>
    <x v="44"/>
    <x v="0"/>
    <x v="1"/>
    <x v="2"/>
    <n v="15145381.609999999"/>
  </r>
  <r>
    <x v="0"/>
    <x v="37"/>
    <x v="0"/>
    <x v="1"/>
    <x v="12"/>
    <n v="13330723.220000001"/>
  </r>
  <r>
    <x v="1"/>
    <x v="15"/>
    <x v="0"/>
    <x v="1"/>
    <x v="22"/>
    <n v="6673142.9100000001"/>
  </r>
  <r>
    <x v="0"/>
    <x v="109"/>
    <x v="0"/>
    <x v="1"/>
    <x v="13"/>
    <n v="300000"/>
  </r>
  <r>
    <x v="0"/>
    <x v="35"/>
    <x v="0"/>
    <x v="1"/>
    <x v="1"/>
    <n v="77352127"/>
  </r>
  <r>
    <x v="1"/>
    <x v="75"/>
    <x v="0"/>
    <x v="1"/>
    <x v="3"/>
    <n v="44119.35"/>
  </r>
  <r>
    <x v="0"/>
    <x v="78"/>
    <x v="0"/>
    <x v="1"/>
    <x v="9"/>
    <n v="1994952.49"/>
  </r>
  <r>
    <x v="0"/>
    <x v="93"/>
    <x v="0"/>
    <x v="1"/>
    <x v="4"/>
    <n v="23900101.41"/>
  </r>
  <r>
    <x v="0"/>
    <x v="4"/>
    <x v="0"/>
    <x v="1"/>
    <x v="18"/>
    <n v="6719806163.0799999"/>
  </r>
  <r>
    <x v="0"/>
    <x v="52"/>
    <x v="0"/>
    <x v="1"/>
    <x v="11"/>
    <n v="15048225.09"/>
  </r>
  <r>
    <x v="1"/>
    <x v="48"/>
    <x v="0"/>
    <x v="1"/>
    <x v="16"/>
    <n v="0"/>
  </r>
  <r>
    <x v="0"/>
    <x v="15"/>
    <x v="0"/>
    <x v="1"/>
    <x v="0"/>
    <n v="15835926.74"/>
  </r>
  <r>
    <x v="1"/>
    <x v="85"/>
    <x v="0"/>
    <x v="1"/>
    <x v="1"/>
    <n v="215337.89"/>
  </r>
  <r>
    <x v="0"/>
    <x v="64"/>
    <x v="0"/>
    <x v="1"/>
    <x v="18"/>
    <n v="178989.16"/>
  </r>
  <r>
    <x v="1"/>
    <x v="52"/>
    <x v="0"/>
    <x v="1"/>
    <x v="16"/>
    <n v="889378.57"/>
  </r>
  <r>
    <x v="0"/>
    <x v="77"/>
    <x v="0"/>
    <x v="1"/>
    <x v="25"/>
    <n v="1616982.04"/>
  </r>
  <r>
    <x v="0"/>
    <x v="81"/>
    <x v="0"/>
    <x v="1"/>
    <x v="20"/>
    <n v="19375.29"/>
  </r>
  <r>
    <x v="0"/>
    <x v="63"/>
    <x v="0"/>
    <x v="1"/>
    <x v="2"/>
    <n v="327627.52000000002"/>
  </r>
  <r>
    <x v="0"/>
    <x v="2"/>
    <x v="0"/>
    <x v="1"/>
    <x v="16"/>
    <n v="2404730.7000000002"/>
  </r>
  <r>
    <x v="1"/>
    <x v="23"/>
    <x v="0"/>
    <x v="1"/>
    <x v="15"/>
    <n v="2933425.89"/>
  </r>
  <r>
    <x v="1"/>
    <x v="69"/>
    <x v="0"/>
    <x v="1"/>
    <x v="24"/>
    <n v="60950.8"/>
  </r>
  <r>
    <x v="0"/>
    <x v="47"/>
    <x v="0"/>
    <x v="9"/>
    <x v="24"/>
    <n v="1580515.01"/>
  </r>
  <r>
    <x v="0"/>
    <x v="63"/>
    <x v="0"/>
    <x v="1"/>
    <x v="4"/>
    <n v="21087363.93"/>
  </r>
  <r>
    <x v="0"/>
    <x v="71"/>
    <x v="0"/>
    <x v="6"/>
    <x v="13"/>
    <n v="3000"/>
  </r>
  <r>
    <x v="1"/>
    <x v="3"/>
    <x v="0"/>
    <x v="1"/>
    <x v="20"/>
    <n v="-67281.34"/>
  </r>
  <r>
    <x v="0"/>
    <x v="35"/>
    <x v="0"/>
    <x v="1"/>
    <x v="2"/>
    <n v="78570320"/>
  </r>
  <r>
    <x v="1"/>
    <x v="29"/>
    <x v="0"/>
    <x v="1"/>
    <x v="24"/>
    <n v="55738.95"/>
  </r>
  <r>
    <x v="1"/>
    <x v="28"/>
    <x v="0"/>
    <x v="0"/>
    <x v="22"/>
    <n v="-122650.64"/>
  </r>
  <r>
    <x v="0"/>
    <x v="40"/>
    <x v="0"/>
    <x v="6"/>
    <x v="11"/>
    <n v="40459397"/>
  </r>
  <r>
    <x v="1"/>
    <x v="40"/>
    <x v="0"/>
    <x v="6"/>
    <x v="0"/>
    <n v="4541736"/>
  </r>
  <r>
    <x v="0"/>
    <x v="19"/>
    <x v="0"/>
    <x v="1"/>
    <x v="13"/>
    <n v="552980"/>
  </r>
  <r>
    <x v="1"/>
    <x v="70"/>
    <x v="0"/>
    <x v="1"/>
    <x v="12"/>
    <n v="-41303.269999999997"/>
  </r>
  <r>
    <x v="0"/>
    <x v="79"/>
    <x v="0"/>
    <x v="1"/>
    <x v="9"/>
    <n v="24455819.780000001"/>
  </r>
  <r>
    <x v="1"/>
    <x v="32"/>
    <x v="0"/>
    <x v="7"/>
    <x v="9"/>
    <n v="-667434.62"/>
  </r>
  <r>
    <x v="1"/>
    <x v="60"/>
    <x v="0"/>
    <x v="1"/>
    <x v="16"/>
    <n v="25323.98"/>
  </r>
  <r>
    <x v="1"/>
    <x v="6"/>
    <x v="0"/>
    <x v="1"/>
    <x v="24"/>
    <n v="1933820.88"/>
  </r>
  <r>
    <x v="1"/>
    <x v="44"/>
    <x v="0"/>
    <x v="1"/>
    <x v="20"/>
    <n v="1190742.01"/>
  </r>
  <r>
    <x v="0"/>
    <x v="32"/>
    <x v="0"/>
    <x v="1"/>
    <x v="13"/>
    <n v="12604988.98"/>
  </r>
  <r>
    <x v="1"/>
    <x v="76"/>
    <x v="0"/>
    <x v="10"/>
    <x v="24"/>
    <n v="691839.13"/>
  </r>
  <r>
    <x v="0"/>
    <x v="79"/>
    <x v="0"/>
    <x v="1"/>
    <x v="20"/>
    <n v="30884055.059999999"/>
  </r>
  <r>
    <x v="0"/>
    <x v="20"/>
    <x v="0"/>
    <x v="8"/>
    <x v="24"/>
    <n v="47934775.719999999"/>
  </r>
  <r>
    <x v="0"/>
    <x v="85"/>
    <x v="0"/>
    <x v="1"/>
    <x v="0"/>
    <n v="1947148.1"/>
  </r>
  <r>
    <x v="0"/>
    <x v="76"/>
    <x v="0"/>
    <x v="1"/>
    <x v="24"/>
    <n v="21515258.75"/>
  </r>
  <r>
    <x v="1"/>
    <x v="82"/>
    <x v="0"/>
    <x v="1"/>
    <x v="13"/>
    <n v="-25790.86"/>
  </r>
  <r>
    <x v="0"/>
    <x v="71"/>
    <x v="0"/>
    <x v="1"/>
    <x v="22"/>
    <n v="355595.92"/>
  </r>
  <r>
    <x v="0"/>
    <x v="58"/>
    <x v="0"/>
    <x v="1"/>
    <x v="22"/>
    <n v="4995365.59"/>
  </r>
  <r>
    <x v="1"/>
    <x v="47"/>
    <x v="0"/>
    <x v="1"/>
    <x v="17"/>
    <n v="10808143.74"/>
  </r>
  <r>
    <x v="0"/>
    <x v="74"/>
    <x v="0"/>
    <x v="1"/>
    <x v="7"/>
    <n v="2279387.91"/>
  </r>
  <r>
    <x v="0"/>
    <x v="73"/>
    <x v="0"/>
    <x v="6"/>
    <x v="0"/>
    <n v="127000"/>
  </r>
  <r>
    <x v="1"/>
    <x v="89"/>
    <x v="0"/>
    <x v="1"/>
    <x v="7"/>
    <n v="17310.349999999999"/>
  </r>
  <r>
    <x v="1"/>
    <x v="31"/>
    <x v="0"/>
    <x v="1"/>
    <x v="24"/>
    <n v="1057923.6000000001"/>
  </r>
  <r>
    <x v="0"/>
    <x v="19"/>
    <x v="0"/>
    <x v="1"/>
    <x v="17"/>
    <n v="577826.71"/>
  </r>
  <r>
    <x v="1"/>
    <x v="37"/>
    <x v="0"/>
    <x v="1"/>
    <x v="12"/>
    <n v="1804308.85"/>
  </r>
  <r>
    <x v="1"/>
    <x v="4"/>
    <x v="0"/>
    <x v="3"/>
    <x v="11"/>
    <n v="742.1"/>
  </r>
  <r>
    <x v="1"/>
    <x v="19"/>
    <x v="0"/>
    <x v="1"/>
    <x v="23"/>
    <n v="141888.21"/>
  </r>
  <r>
    <x v="0"/>
    <x v="82"/>
    <x v="0"/>
    <x v="1"/>
    <x v="9"/>
    <n v="3113450.33"/>
  </r>
  <r>
    <x v="0"/>
    <x v="60"/>
    <x v="0"/>
    <x v="1"/>
    <x v="1"/>
    <n v="246621.1"/>
  </r>
  <r>
    <x v="0"/>
    <x v="54"/>
    <x v="0"/>
    <x v="1"/>
    <x v="18"/>
    <n v="896503.65"/>
  </r>
  <r>
    <x v="0"/>
    <x v="24"/>
    <x v="0"/>
    <x v="1"/>
    <x v="11"/>
    <n v="111527755.31999999"/>
  </r>
  <r>
    <x v="1"/>
    <x v="17"/>
    <x v="0"/>
    <x v="1"/>
    <x v="22"/>
    <n v="326398.46000000002"/>
  </r>
  <r>
    <x v="0"/>
    <x v="20"/>
    <x v="0"/>
    <x v="1"/>
    <x v="4"/>
    <n v="4795150671.2700005"/>
  </r>
  <r>
    <x v="0"/>
    <x v="66"/>
    <x v="0"/>
    <x v="1"/>
    <x v="24"/>
    <n v="7207624"/>
  </r>
  <r>
    <x v="0"/>
    <x v="34"/>
    <x v="0"/>
    <x v="2"/>
    <x v="4"/>
    <n v="3869493.45"/>
  </r>
  <r>
    <x v="0"/>
    <x v="40"/>
    <x v="0"/>
    <x v="1"/>
    <x v="25"/>
    <n v="797587185.96000004"/>
  </r>
  <r>
    <x v="0"/>
    <x v="24"/>
    <x v="0"/>
    <x v="1"/>
    <x v="16"/>
    <n v="60607541.810000002"/>
  </r>
  <r>
    <x v="0"/>
    <x v="58"/>
    <x v="0"/>
    <x v="1"/>
    <x v="9"/>
    <n v="11038913.17"/>
  </r>
  <r>
    <x v="0"/>
    <x v="45"/>
    <x v="0"/>
    <x v="1"/>
    <x v="2"/>
    <n v="128640100.03"/>
  </r>
  <r>
    <x v="1"/>
    <x v="7"/>
    <x v="0"/>
    <x v="1"/>
    <x v="21"/>
    <n v="131241.74"/>
  </r>
  <r>
    <x v="0"/>
    <x v="56"/>
    <x v="0"/>
    <x v="1"/>
    <x v="4"/>
    <n v="559106.64"/>
  </r>
  <r>
    <x v="1"/>
    <x v="80"/>
    <x v="0"/>
    <x v="1"/>
    <x v="19"/>
    <n v="967995.51"/>
  </r>
  <r>
    <x v="1"/>
    <x v="66"/>
    <x v="0"/>
    <x v="1"/>
    <x v="12"/>
    <n v="3640450.95"/>
  </r>
  <r>
    <x v="1"/>
    <x v="66"/>
    <x v="0"/>
    <x v="10"/>
    <x v="6"/>
    <n v="3229747.72"/>
  </r>
  <r>
    <x v="0"/>
    <x v="78"/>
    <x v="0"/>
    <x v="1"/>
    <x v="22"/>
    <n v="947073.58"/>
  </r>
  <r>
    <x v="1"/>
    <x v="5"/>
    <x v="0"/>
    <x v="1"/>
    <x v="5"/>
    <n v="510.92"/>
  </r>
  <r>
    <x v="1"/>
    <x v="11"/>
    <x v="0"/>
    <x v="1"/>
    <x v="9"/>
    <n v="39223"/>
  </r>
  <r>
    <x v="0"/>
    <x v="18"/>
    <x v="0"/>
    <x v="1"/>
    <x v="19"/>
    <n v="6696572.3200000003"/>
  </r>
  <r>
    <x v="1"/>
    <x v="70"/>
    <x v="0"/>
    <x v="1"/>
    <x v="17"/>
    <n v="394406.87"/>
  </r>
  <r>
    <x v="1"/>
    <x v="53"/>
    <x v="0"/>
    <x v="1"/>
    <x v="18"/>
    <n v="225737.7"/>
  </r>
  <r>
    <x v="1"/>
    <x v="53"/>
    <x v="0"/>
    <x v="1"/>
    <x v="20"/>
    <n v="319028.7"/>
  </r>
  <r>
    <x v="0"/>
    <x v="5"/>
    <x v="0"/>
    <x v="1"/>
    <x v="19"/>
    <n v="53388576.310000002"/>
  </r>
  <r>
    <x v="0"/>
    <x v="71"/>
    <x v="0"/>
    <x v="1"/>
    <x v="17"/>
    <n v="546652.84"/>
  </r>
  <r>
    <x v="0"/>
    <x v="8"/>
    <x v="0"/>
    <x v="1"/>
    <x v="9"/>
    <n v="68420818.150000006"/>
  </r>
  <r>
    <x v="0"/>
    <x v="4"/>
    <x v="0"/>
    <x v="3"/>
    <x v="13"/>
    <n v="14858000"/>
  </r>
  <r>
    <x v="0"/>
    <x v="90"/>
    <x v="0"/>
    <x v="1"/>
    <x v="23"/>
    <n v="263253.94"/>
  </r>
  <r>
    <x v="1"/>
    <x v="65"/>
    <x v="0"/>
    <x v="10"/>
    <x v="6"/>
    <n v="31709.7"/>
  </r>
  <r>
    <x v="0"/>
    <x v="30"/>
    <x v="0"/>
    <x v="1"/>
    <x v="5"/>
    <n v="714178530.01999998"/>
  </r>
  <r>
    <x v="0"/>
    <x v="4"/>
    <x v="0"/>
    <x v="1"/>
    <x v="10"/>
    <n v="4892700331.1499996"/>
  </r>
  <r>
    <x v="1"/>
    <x v="19"/>
    <x v="0"/>
    <x v="1"/>
    <x v="25"/>
    <n v="32773.81"/>
  </r>
  <r>
    <x v="1"/>
    <x v="4"/>
    <x v="0"/>
    <x v="0"/>
    <x v="11"/>
    <n v="-23958.67"/>
  </r>
  <r>
    <x v="0"/>
    <x v="58"/>
    <x v="0"/>
    <x v="1"/>
    <x v="18"/>
    <n v="16663933.880000001"/>
  </r>
  <r>
    <x v="1"/>
    <x v="78"/>
    <x v="0"/>
    <x v="1"/>
    <x v="16"/>
    <n v="126096.8"/>
  </r>
  <r>
    <x v="1"/>
    <x v="80"/>
    <x v="0"/>
    <x v="1"/>
    <x v="0"/>
    <n v="2066076.93"/>
  </r>
  <r>
    <x v="0"/>
    <x v="63"/>
    <x v="0"/>
    <x v="1"/>
    <x v="17"/>
    <n v="42857.16"/>
  </r>
  <r>
    <x v="0"/>
    <x v="24"/>
    <x v="0"/>
    <x v="1"/>
    <x v="23"/>
    <n v="1979074000"/>
  </r>
  <r>
    <x v="1"/>
    <x v="16"/>
    <x v="0"/>
    <x v="1"/>
    <x v="10"/>
    <n v="234991.37"/>
  </r>
  <r>
    <x v="0"/>
    <x v="9"/>
    <x v="0"/>
    <x v="3"/>
    <x v="25"/>
    <n v="37699426.640000001"/>
  </r>
  <r>
    <x v="0"/>
    <x v="27"/>
    <x v="0"/>
    <x v="1"/>
    <x v="16"/>
    <n v="38603000"/>
  </r>
  <r>
    <x v="0"/>
    <x v="28"/>
    <x v="0"/>
    <x v="2"/>
    <x v="23"/>
    <n v="113750273.25"/>
  </r>
  <r>
    <x v="0"/>
    <x v="50"/>
    <x v="0"/>
    <x v="1"/>
    <x v="23"/>
    <n v="64862000"/>
  </r>
  <r>
    <x v="0"/>
    <x v="23"/>
    <x v="0"/>
    <x v="1"/>
    <x v="11"/>
    <n v="20618269.309999999"/>
  </r>
  <r>
    <x v="0"/>
    <x v="37"/>
    <x v="0"/>
    <x v="1"/>
    <x v="6"/>
    <n v="7218483.8399999999"/>
  </r>
  <r>
    <x v="0"/>
    <x v="10"/>
    <x v="0"/>
    <x v="1"/>
    <x v="13"/>
    <n v="1945468.65"/>
  </r>
  <r>
    <x v="1"/>
    <x v="25"/>
    <x v="0"/>
    <x v="1"/>
    <x v="11"/>
    <n v="324334.96999999997"/>
  </r>
  <r>
    <x v="0"/>
    <x v="66"/>
    <x v="0"/>
    <x v="10"/>
    <x v="13"/>
    <n v="8470540.9399999995"/>
  </r>
  <r>
    <x v="0"/>
    <x v="78"/>
    <x v="0"/>
    <x v="1"/>
    <x v="19"/>
    <n v="1923032.24"/>
  </r>
  <r>
    <x v="0"/>
    <x v="58"/>
    <x v="0"/>
    <x v="1"/>
    <x v="5"/>
    <n v="20006624.52"/>
  </r>
  <r>
    <x v="1"/>
    <x v="52"/>
    <x v="0"/>
    <x v="1"/>
    <x v="23"/>
    <n v="2187333.83"/>
  </r>
  <r>
    <x v="0"/>
    <x v="79"/>
    <x v="0"/>
    <x v="9"/>
    <x v="13"/>
    <n v="15478639.35"/>
  </r>
  <r>
    <x v="0"/>
    <x v="37"/>
    <x v="0"/>
    <x v="1"/>
    <x v="17"/>
    <n v="11159772.43"/>
  </r>
  <r>
    <x v="1"/>
    <x v="5"/>
    <x v="0"/>
    <x v="3"/>
    <x v="8"/>
    <n v="797042.88"/>
  </r>
  <r>
    <x v="1"/>
    <x v="15"/>
    <x v="0"/>
    <x v="1"/>
    <x v="13"/>
    <n v="7751.85"/>
  </r>
  <r>
    <x v="1"/>
    <x v="79"/>
    <x v="0"/>
    <x v="6"/>
    <x v="13"/>
    <n v="-2480"/>
  </r>
  <r>
    <x v="1"/>
    <x v="40"/>
    <x v="0"/>
    <x v="1"/>
    <x v="0"/>
    <n v="76873559.599999994"/>
  </r>
  <r>
    <x v="0"/>
    <x v="57"/>
    <x v="0"/>
    <x v="1"/>
    <x v="12"/>
    <n v="1272881.19"/>
  </r>
  <r>
    <x v="1"/>
    <x v="59"/>
    <x v="0"/>
    <x v="7"/>
    <x v="20"/>
    <n v="2601.6"/>
  </r>
  <r>
    <x v="0"/>
    <x v="60"/>
    <x v="0"/>
    <x v="1"/>
    <x v="5"/>
    <n v="396033.42"/>
  </r>
  <r>
    <x v="0"/>
    <x v="52"/>
    <x v="0"/>
    <x v="1"/>
    <x v="18"/>
    <n v="8379000"/>
  </r>
  <r>
    <x v="1"/>
    <x v="66"/>
    <x v="0"/>
    <x v="10"/>
    <x v="13"/>
    <n v="3591938.42"/>
  </r>
  <r>
    <x v="0"/>
    <x v="3"/>
    <x v="0"/>
    <x v="6"/>
    <x v="5"/>
    <n v="18000"/>
  </r>
  <r>
    <x v="0"/>
    <x v="7"/>
    <x v="0"/>
    <x v="1"/>
    <x v="13"/>
    <n v="4247157.63"/>
  </r>
  <r>
    <x v="0"/>
    <x v="60"/>
    <x v="0"/>
    <x v="6"/>
    <x v="0"/>
    <n v="14000"/>
  </r>
  <r>
    <x v="1"/>
    <x v="60"/>
    <x v="0"/>
    <x v="1"/>
    <x v="6"/>
    <n v="13625.48"/>
  </r>
  <r>
    <x v="0"/>
    <x v="19"/>
    <x v="0"/>
    <x v="1"/>
    <x v="6"/>
    <n v="609886.16"/>
  </r>
  <r>
    <x v="0"/>
    <x v="8"/>
    <x v="0"/>
    <x v="10"/>
    <x v="20"/>
    <n v="13669143.140000001"/>
  </r>
  <r>
    <x v="1"/>
    <x v="55"/>
    <x v="0"/>
    <x v="1"/>
    <x v="25"/>
    <n v="43502.3"/>
  </r>
  <r>
    <x v="1"/>
    <x v="47"/>
    <x v="0"/>
    <x v="1"/>
    <x v="12"/>
    <n v="12176692.41"/>
  </r>
  <r>
    <x v="1"/>
    <x v="11"/>
    <x v="0"/>
    <x v="3"/>
    <x v="13"/>
    <n v="0"/>
  </r>
  <r>
    <x v="1"/>
    <x v="58"/>
    <x v="0"/>
    <x v="7"/>
    <x v="0"/>
    <n v="4900"/>
  </r>
  <r>
    <x v="0"/>
    <x v="70"/>
    <x v="0"/>
    <x v="1"/>
    <x v="17"/>
    <n v="1413137.38"/>
  </r>
  <r>
    <x v="0"/>
    <x v="27"/>
    <x v="0"/>
    <x v="3"/>
    <x v="23"/>
    <n v="8414000"/>
  </r>
  <r>
    <x v="1"/>
    <x v="67"/>
    <x v="0"/>
    <x v="2"/>
    <x v="23"/>
    <n v="0"/>
  </r>
  <r>
    <x v="1"/>
    <x v="25"/>
    <x v="0"/>
    <x v="1"/>
    <x v="25"/>
    <n v="23855.38"/>
  </r>
  <r>
    <x v="1"/>
    <x v="58"/>
    <x v="0"/>
    <x v="7"/>
    <x v="19"/>
    <n v="0"/>
  </r>
  <r>
    <x v="1"/>
    <x v="26"/>
    <x v="0"/>
    <x v="1"/>
    <x v="24"/>
    <n v="49937.8"/>
  </r>
  <r>
    <x v="0"/>
    <x v="20"/>
    <x v="0"/>
    <x v="10"/>
    <x v="24"/>
    <n v="6556574.1500000004"/>
  </r>
  <r>
    <x v="1"/>
    <x v="59"/>
    <x v="0"/>
    <x v="1"/>
    <x v="8"/>
    <n v="6761909.1699999999"/>
  </r>
  <r>
    <x v="0"/>
    <x v="27"/>
    <x v="0"/>
    <x v="1"/>
    <x v="25"/>
    <n v="48911000"/>
  </r>
  <r>
    <x v="1"/>
    <x v="47"/>
    <x v="0"/>
    <x v="5"/>
    <x v="25"/>
    <n v="2589809.4500000002"/>
  </r>
  <r>
    <x v="1"/>
    <x v="48"/>
    <x v="0"/>
    <x v="1"/>
    <x v="23"/>
    <n v="464499"/>
  </r>
  <r>
    <x v="0"/>
    <x v="81"/>
    <x v="0"/>
    <x v="1"/>
    <x v="10"/>
    <n v="677120.72"/>
  </r>
  <r>
    <x v="0"/>
    <x v="75"/>
    <x v="0"/>
    <x v="1"/>
    <x v="15"/>
    <n v="204091.05"/>
  </r>
  <r>
    <x v="1"/>
    <x v="4"/>
    <x v="0"/>
    <x v="1"/>
    <x v="9"/>
    <n v="-360965816.29000002"/>
  </r>
  <r>
    <x v="1"/>
    <x v="57"/>
    <x v="0"/>
    <x v="1"/>
    <x v="14"/>
    <n v="127972.11"/>
  </r>
  <r>
    <x v="0"/>
    <x v="28"/>
    <x v="0"/>
    <x v="3"/>
    <x v="3"/>
    <n v="25835118.57"/>
  </r>
  <r>
    <x v="0"/>
    <x v="44"/>
    <x v="0"/>
    <x v="1"/>
    <x v="3"/>
    <n v="10530644.689999999"/>
  </r>
  <r>
    <x v="0"/>
    <x v="12"/>
    <x v="0"/>
    <x v="1"/>
    <x v="16"/>
    <n v="36927000"/>
  </r>
  <r>
    <x v="0"/>
    <x v="39"/>
    <x v="0"/>
    <x v="1"/>
    <x v="23"/>
    <n v="226137.01"/>
  </r>
  <r>
    <x v="0"/>
    <x v="59"/>
    <x v="0"/>
    <x v="10"/>
    <x v="14"/>
    <n v="242594.17"/>
  </r>
  <r>
    <x v="0"/>
    <x v="58"/>
    <x v="0"/>
    <x v="2"/>
    <x v="9"/>
    <n v="100000"/>
  </r>
  <r>
    <x v="1"/>
    <x v="90"/>
    <x v="0"/>
    <x v="1"/>
    <x v="25"/>
    <n v="4455.6099999999997"/>
  </r>
  <r>
    <x v="1"/>
    <x v="47"/>
    <x v="0"/>
    <x v="1"/>
    <x v="16"/>
    <n v="11553433.59"/>
  </r>
  <r>
    <x v="1"/>
    <x v="1"/>
    <x v="0"/>
    <x v="1"/>
    <x v="2"/>
    <n v="1392891.16"/>
  </r>
  <r>
    <x v="0"/>
    <x v="17"/>
    <x v="0"/>
    <x v="6"/>
    <x v="2"/>
    <n v="411000"/>
  </r>
  <r>
    <x v="0"/>
    <x v="50"/>
    <x v="0"/>
    <x v="1"/>
    <x v="21"/>
    <n v="28051593.93"/>
  </r>
  <r>
    <x v="1"/>
    <x v="97"/>
    <x v="0"/>
    <x v="1"/>
    <x v="23"/>
    <n v="380441.32"/>
  </r>
  <r>
    <x v="1"/>
    <x v="6"/>
    <x v="0"/>
    <x v="1"/>
    <x v="23"/>
    <n v="709791.26"/>
  </r>
  <r>
    <x v="0"/>
    <x v="34"/>
    <x v="0"/>
    <x v="1"/>
    <x v="4"/>
    <n v="1394890820.3299999"/>
  </r>
  <r>
    <x v="0"/>
    <x v="6"/>
    <x v="0"/>
    <x v="2"/>
    <x v="11"/>
    <n v="12373226.26"/>
  </r>
  <r>
    <x v="1"/>
    <x v="84"/>
    <x v="0"/>
    <x v="1"/>
    <x v="21"/>
    <n v="-129687.81"/>
  </r>
  <r>
    <x v="1"/>
    <x v="76"/>
    <x v="0"/>
    <x v="8"/>
    <x v="14"/>
    <n v="2891.63"/>
  </r>
  <r>
    <x v="1"/>
    <x v="97"/>
    <x v="0"/>
    <x v="7"/>
    <x v="13"/>
    <n v="27425"/>
  </r>
  <r>
    <x v="1"/>
    <x v="67"/>
    <x v="0"/>
    <x v="1"/>
    <x v="23"/>
    <n v="332849.15000000002"/>
  </r>
  <r>
    <x v="1"/>
    <x v="60"/>
    <x v="0"/>
    <x v="1"/>
    <x v="5"/>
    <n v="28118.86"/>
  </r>
  <r>
    <x v="1"/>
    <x v="59"/>
    <x v="0"/>
    <x v="1"/>
    <x v="19"/>
    <n v="2873500.24"/>
  </r>
  <r>
    <x v="0"/>
    <x v="11"/>
    <x v="0"/>
    <x v="1"/>
    <x v="2"/>
    <n v="239491873.25999999"/>
  </r>
  <r>
    <x v="0"/>
    <x v="53"/>
    <x v="0"/>
    <x v="2"/>
    <x v="4"/>
    <n v="100000"/>
  </r>
  <r>
    <x v="0"/>
    <x v="51"/>
    <x v="0"/>
    <x v="1"/>
    <x v="4"/>
    <n v="3095305.89"/>
  </r>
  <r>
    <x v="0"/>
    <x v="4"/>
    <x v="0"/>
    <x v="0"/>
    <x v="7"/>
    <n v="10649019.68"/>
  </r>
  <r>
    <x v="0"/>
    <x v="28"/>
    <x v="0"/>
    <x v="0"/>
    <x v="1"/>
    <n v="58845778.880000003"/>
  </r>
  <r>
    <x v="0"/>
    <x v="32"/>
    <x v="0"/>
    <x v="6"/>
    <x v="11"/>
    <n v="622000"/>
  </r>
  <r>
    <x v="1"/>
    <x v="62"/>
    <x v="0"/>
    <x v="10"/>
    <x v="6"/>
    <n v="536100.31999999995"/>
  </r>
  <r>
    <x v="1"/>
    <x v="8"/>
    <x v="0"/>
    <x v="1"/>
    <x v="18"/>
    <n v="6589640.04"/>
  </r>
  <r>
    <x v="1"/>
    <x v="16"/>
    <x v="0"/>
    <x v="1"/>
    <x v="20"/>
    <n v="231667.72"/>
  </r>
  <r>
    <x v="1"/>
    <x v="17"/>
    <x v="0"/>
    <x v="1"/>
    <x v="13"/>
    <n v="721477.44"/>
  </r>
  <r>
    <x v="0"/>
    <x v="50"/>
    <x v="0"/>
    <x v="6"/>
    <x v="2"/>
    <n v="1961000"/>
  </r>
  <r>
    <x v="1"/>
    <x v="71"/>
    <x v="0"/>
    <x v="1"/>
    <x v="16"/>
    <n v="53561.13"/>
  </r>
  <r>
    <x v="0"/>
    <x v="34"/>
    <x v="0"/>
    <x v="0"/>
    <x v="22"/>
    <n v="5510076.3099999996"/>
  </r>
  <r>
    <x v="1"/>
    <x v="28"/>
    <x v="0"/>
    <x v="3"/>
    <x v="0"/>
    <n v="0"/>
  </r>
  <r>
    <x v="0"/>
    <x v="76"/>
    <x v="0"/>
    <x v="1"/>
    <x v="25"/>
    <n v="37760458.049999997"/>
  </r>
  <r>
    <x v="1"/>
    <x v="57"/>
    <x v="0"/>
    <x v="1"/>
    <x v="10"/>
    <n v="-12712.19"/>
  </r>
  <r>
    <x v="0"/>
    <x v="53"/>
    <x v="0"/>
    <x v="1"/>
    <x v="3"/>
    <n v="5200130.55"/>
  </r>
  <r>
    <x v="1"/>
    <x v="20"/>
    <x v="0"/>
    <x v="10"/>
    <x v="24"/>
    <n v="669927.59"/>
  </r>
  <r>
    <x v="1"/>
    <x v="4"/>
    <x v="0"/>
    <x v="3"/>
    <x v="21"/>
    <n v="135956.79999999999"/>
  </r>
  <r>
    <x v="0"/>
    <x v="26"/>
    <x v="0"/>
    <x v="1"/>
    <x v="6"/>
    <n v="864519.67"/>
  </r>
  <r>
    <x v="0"/>
    <x v="28"/>
    <x v="0"/>
    <x v="1"/>
    <x v="23"/>
    <n v="241772874.03999999"/>
  </r>
  <r>
    <x v="1"/>
    <x v="7"/>
    <x v="0"/>
    <x v="1"/>
    <x v="13"/>
    <n v="119481.88"/>
  </r>
  <r>
    <x v="0"/>
    <x v="22"/>
    <x v="0"/>
    <x v="10"/>
    <x v="6"/>
    <n v="3414593.36"/>
  </r>
  <r>
    <x v="0"/>
    <x v="68"/>
    <x v="0"/>
    <x v="3"/>
    <x v="21"/>
    <n v="59205594.789999999"/>
  </r>
  <r>
    <x v="1"/>
    <x v="59"/>
    <x v="0"/>
    <x v="1"/>
    <x v="22"/>
    <n v="8952100.0700000003"/>
  </r>
  <r>
    <x v="0"/>
    <x v="12"/>
    <x v="0"/>
    <x v="1"/>
    <x v="9"/>
    <n v="36930986"/>
  </r>
  <r>
    <x v="0"/>
    <x v="93"/>
    <x v="0"/>
    <x v="1"/>
    <x v="15"/>
    <n v="14949513.83"/>
  </r>
  <r>
    <x v="1"/>
    <x v="57"/>
    <x v="0"/>
    <x v="9"/>
    <x v="13"/>
    <n v="37115.65"/>
  </r>
  <r>
    <x v="0"/>
    <x v="8"/>
    <x v="0"/>
    <x v="10"/>
    <x v="10"/>
    <n v="12263454.23"/>
  </r>
  <r>
    <x v="0"/>
    <x v="4"/>
    <x v="0"/>
    <x v="3"/>
    <x v="5"/>
    <n v="106142058.3"/>
  </r>
  <r>
    <x v="1"/>
    <x v="88"/>
    <x v="0"/>
    <x v="1"/>
    <x v="9"/>
    <n v="275843.5"/>
  </r>
  <r>
    <x v="0"/>
    <x v="57"/>
    <x v="0"/>
    <x v="1"/>
    <x v="2"/>
    <n v="1016329.25"/>
  </r>
  <r>
    <x v="1"/>
    <x v="88"/>
    <x v="0"/>
    <x v="1"/>
    <x v="22"/>
    <n v="70421.289999999994"/>
  </r>
  <r>
    <x v="1"/>
    <x v="60"/>
    <x v="0"/>
    <x v="1"/>
    <x v="13"/>
    <n v="-8405.4500000000007"/>
  </r>
  <r>
    <x v="1"/>
    <x v="88"/>
    <x v="0"/>
    <x v="6"/>
    <x v="1"/>
    <n v="13292.44"/>
  </r>
  <r>
    <x v="1"/>
    <x v="57"/>
    <x v="0"/>
    <x v="9"/>
    <x v="17"/>
    <n v="111200.63"/>
  </r>
  <r>
    <x v="0"/>
    <x v="31"/>
    <x v="0"/>
    <x v="1"/>
    <x v="11"/>
    <n v="25953549.690000001"/>
  </r>
  <r>
    <x v="1"/>
    <x v="42"/>
    <x v="0"/>
    <x v="1"/>
    <x v="20"/>
    <n v="627654.41"/>
  </r>
  <r>
    <x v="1"/>
    <x v="65"/>
    <x v="0"/>
    <x v="1"/>
    <x v="23"/>
    <n v="-44680.72"/>
  </r>
  <r>
    <x v="0"/>
    <x v="6"/>
    <x v="0"/>
    <x v="1"/>
    <x v="13"/>
    <n v="351555388.32999998"/>
  </r>
  <r>
    <x v="0"/>
    <x v="22"/>
    <x v="0"/>
    <x v="10"/>
    <x v="13"/>
    <n v="2635223.6800000002"/>
  </r>
  <r>
    <x v="0"/>
    <x v="66"/>
    <x v="0"/>
    <x v="6"/>
    <x v="11"/>
    <n v="850571.85"/>
  </r>
  <r>
    <x v="0"/>
    <x v="52"/>
    <x v="0"/>
    <x v="10"/>
    <x v="10"/>
    <n v="37734.39"/>
  </r>
  <r>
    <x v="0"/>
    <x v="62"/>
    <x v="0"/>
    <x v="10"/>
    <x v="19"/>
    <n v="5484392.21"/>
  </r>
  <r>
    <x v="1"/>
    <x v="18"/>
    <x v="0"/>
    <x v="1"/>
    <x v="6"/>
    <n v="503525.49"/>
  </r>
  <r>
    <x v="0"/>
    <x v="9"/>
    <x v="0"/>
    <x v="1"/>
    <x v="4"/>
    <n v="915601083.59000003"/>
  </r>
  <r>
    <x v="0"/>
    <x v="49"/>
    <x v="0"/>
    <x v="6"/>
    <x v="13"/>
    <n v="13000"/>
  </r>
  <r>
    <x v="1"/>
    <x v="64"/>
    <x v="0"/>
    <x v="1"/>
    <x v="17"/>
    <n v="-234.22"/>
  </r>
  <r>
    <x v="1"/>
    <x v="90"/>
    <x v="0"/>
    <x v="1"/>
    <x v="24"/>
    <n v="7682.85"/>
  </r>
  <r>
    <x v="1"/>
    <x v="9"/>
    <x v="0"/>
    <x v="6"/>
    <x v="1"/>
    <n v="4566256.34"/>
  </r>
  <r>
    <x v="1"/>
    <x v="1"/>
    <x v="0"/>
    <x v="1"/>
    <x v="0"/>
    <n v="879762.52"/>
  </r>
  <r>
    <x v="1"/>
    <x v="17"/>
    <x v="0"/>
    <x v="1"/>
    <x v="8"/>
    <n v="604025.99"/>
  </r>
  <r>
    <x v="0"/>
    <x v="53"/>
    <x v="0"/>
    <x v="9"/>
    <x v="13"/>
    <n v="2297906.42"/>
  </r>
  <r>
    <x v="1"/>
    <x v="41"/>
    <x v="0"/>
    <x v="9"/>
    <x v="17"/>
    <n v="71402.3"/>
  </r>
  <r>
    <x v="0"/>
    <x v="11"/>
    <x v="0"/>
    <x v="3"/>
    <x v="5"/>
    <n v="20890000"/>
  </r>
  <r>
    <x v="1"/>
    <x v="48"/>
    <x v="0"/>
    <x v="1"/>
    <x v="12"/>
    <n v="469030"/>
  </r>
  <r>
    <x v="1"/>
    <x v="79"/>
    <x v="0"/>
    <x v="9"/>
    <x v="24"/>
    <n v="873091.01"/>
  </r>
  <r>
    <x v="0"/>
    <x v="64"/>
    <x v="0"/>
    <x v="1"/>
    <x v="20"/>
    <n v="204843.57"/>
  </r>
  <r>
    <x v="0"/>
    <x v="5"/>
    <x v="0"/>
    <x v="1"/>
    <x v="14"/>
    <n v="55702875.060000002"/>
  </r>
  <r>
    <x v="1"/>
    <x v="108"/>
    <x v="0"/>
    <x v="7"/>
    <x v="6"/>
    <n v="304000"/>
  </r>
  <r>
    <x v="1"/>
    <x v="23"/>
    <x v="0"/>
    <x v="1"/>
    <x v="4"/>
    <n v="11012882.91"/>
  </r>
  <r>
    <x v="1"/>
    <x v="80"/>
    <x v="0"/>
    <x v="1"/>
    <x v="1"/>
    <n v="2137368.9500000002"/>
  </r>
  <r>
    <x v="1"/>
    <x v="73"/>
    <x v="0"/>
    <x v="1"/>
    <x v="4"/>
    <n v="3761326.0800000001"/>
  </r>
  <r>
    <x v="0"/>
    <x v="50"/>
    <x v="0"/>
    <x v="3"/>
    <x v="15"/>
    <n v="9538000"/>
  </r>
  <r>
    <x v="1"/>
    <x v="73"/>
    <x v="0"/>
    <x v="1"/>
    <x v="14"/>
    <n v="248825.01"/>
  </r>
  <r>
    <x v="1"/>
    <x v="33"/>
    <x v="0"/>
    <x v="1"/>
    <x v="11"/>
    <n v="-66791646.719999999"/>
  </r>
  <r>
    <x v="0"/>
    <x v="88"/>
    <x v="0"/>
    <x v="6"/>
    <x v="0"/>
    <n v="13707.56"/>
  </r>
  <r>
    <x v="0"/>
    <x v="65"/>
    <x v="0"/>
    <x v="10"/>
    <x v="17"/>
    <n v="813419.27"/>
  </r>
  <r>
    <x v="1"/>
    <x v="62"/>
    <x v="0"/>
    <x v="10"/>
    <x v="13"/>
    <n v="297763.55"/>
  </r>
  <r>
    <x v="0"/>
    <x v="81"/>
    <x v="0"/>
    <x v="1"/>
    <x v="2"/>
    <n v="402194.8"/>
  </r>
  <r>
    <x v="0"/>
    <x v="56"/>
    <x v="0"/>
    <x v="1"/>
    <x v="14"/>
    <n v="189322.45"/>
  </r>
  <r>
    <x v="1"/>
    <x v="79"/>
    <x v="0"/>
    <x v="9"/>
    <x v="25"/>
    <n v="2680214.7400000002"/>
  </r>
  <r>
    <x v="1"/>
    <x v="100"/>
    <x v="0"/>
    <x v="1"/>
    <x v="23"/>
    <n v="16723.21"/>
  </r>
  <r>
    <x v="0"/>
    <x v="16"/>
    <x v="0"/>
    <x v="1"/>
    <x v="24"/>
    <n v="5019042.83"/>
  </r>
  <r>
    <x v="1"/>
    <x v="2"/>
    <x v="0"/>
    <x v="1"/>
    <x v="11"/>
    <n v="953479.31"/>
  </r>
  <r>
    <x v="1"/>
    <x v="82"/>
    <x v="0"/>
    <x v="1"/>
    <x v="21"/>
    <n v="366265.7"/>
  </r>
  <r>
    <x v="1"/>
    <x v="56"/>
    <x v="0"/>
    <x v="1"/>
    <x v="20"/>
    <n v="21367.86"/>
  </r>
  <r>
    <x v="0"/>
    <x v="61"/>
    <x v="0"/>
    <x v="7"/>
    <x v="10"/>
    <n v="55000"/>
  </r>
  <r>
    <x v="1"/>
    <x v="0"/>
    <x v="0"/>
    <x v="1"/>
    <x v="12"/>
    <n v="2194018.5"/>
  </r>
  <r>
    <x v="1"/>
    <x v="32"/>
    <x v="0"/>
    <x v="1"/>
    <x v="16"/>
    <n v="2759846.79"/>
  </r>
  <r>
    <x v="1"/>
    <x v="59"/>
    <x v="0"/>
    <x v="10"/>
    <x v="20"/>
    <n v="-107471.09"/>
  </r>
  <r>
    <x v="1"/>
    <x v="80"/>
    <x v="0"/>
    <x v="6"/>
    <x v="1"/>
    <n v="-139000"/>
  </r>
  <r>
    <x v="0"/>
    <x v="45"/>
    <x v="0"/>
    <x v="1"/>
    <x v="15"/>
    <n v="99128056.680000007"/>
  </r>
  <r>
    <x v="1"/>
    <x v="14"/>
    <x v="0"/>
    <x v="1"/>
    <x v="22"/>
    <n v="173355.12"/>
  </r>
  <r>
    <x v="0"/>
    <x v="14"/>
    <x v="0"/>
    <x v="6"/>
    <x v="0"/>
    <n v="127000"/>
  </r>
  <r>
    <x v="1"/>
    <x v="3"/>
    <x v="0"/>
    <x v="1"/>
    <x v="5"/>
    <n v="91913.32"/>
  </r>
  <r>
    <x v="1"/>
    <x v="33"/>
    <x v="0"/>
    <x v="7"/>
    <x v="9"/>
    <n v="450000"/>
  </r>
  <r>
    <x v="0"/>
    <x v="85"/>
    <x v="0"/>
    <x v="1"/>
    <x v="20"/>
    <n v="2364510.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E00-000001000000}" name="PivotTable5" cacheId="6"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fieldListSortAscending="1">
  <location ref="B15:F995" firstHeaderRow="1" firstDataRow="2" firstDataCol="2" rowPageCount="2" colPageCount="1"/>
  <pivotFields count="9">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1"/>
        <item x="0"/>
      </items>
      <extLst>
        <ext xmlns:x14="http://schemas.microsoft.com/office/spreadsheetml/2009/9/main" uri="{2946ED86-A175-432a-8AC1-64E0C546D7DE}">
          <x14:pivotField fillDownLabels="1"/>
        </ext>
      </extLst>
    </pivotField>
    <pivotField axis="axisRow" compact="0" outline="0" showAll="0" defaultSubtotal="0">
      <items count="569">
        <item x="0"/>
        <item x="27"/>
        <item x="28"/>
        <item x="272"/>
        <item x="232"/>
        <item x="48"/>
        <item x="419"/>
        <item x="458"/>
        <item x="420"/>
        <item x="216"/>
        <item x="421"/>
        <item x="170"/>
        <item m="1" x="562"/>
        <item x="233"/>
        <item x="377"/>
        <item x="459"/>
        <item x="37"/>
        <item x="299"/>
        <item x="169"/>
        <item x="171"/>
        <item x="365"/>
        <item x="378"/>
        <item x="273"/>
        <item x="158"/>
        <item x="460"/>
        <item x="157"/>
        <item x="379"/>
        <item x="336"/>
        <item x="345"/>
        <item x="346"/>
        <item x="217"/>
        <item x="131"/>
        <item x="261"/>
        <item x="190"/>
        <item x="191"/>
        <item x="159"/>
        <item x="192"/>
        <item x="274"/>
        <item x="461"/>
        <item x="271"/>
        <item x="160"/>
        <item x="355"/>
        <item x="172"/>
        <item x="250"/>
        <item x="234"/>
        <item x="235"/>
        <item x="462"/>
        <item x="435"/>
        <item x="288"/>
        <item x="275"/>
        <item x="193"/>
        <item x="276"/>
        <item x="1"/>
        <item x="78"/>
        <item x="126"/>
        <item x="194"/>
        <item x="262"/>
        <item x="277"/>
        <item x="380"/>
        <item x="500"/>
        <item x="331"/>
        <item x="334"/>
        <item x="325"/>
        <item x="337"/>
        <item x="335"/>
        <item x="236"/>
        <item x="49"/>
        <item x="74"/>
        <item x="79"/>
        <item x="237"/>
        <item x="238"/>
        <item x="251"/>
        <item x="437"/>
        <item x="381"/>
        <item x="75"/>
        <item x="463"/>
        <item x="44"/>
        <item x="438"/>
        <item x="270"/>
        <item x="188"/>
        <item x="36"/>
        <item x="201"/>
        <item x="202"/>
        <item x="252"/>
        <item x="80"/>
        <item x="195"/>
        <item x="464"/>
        <item x="128"/>
        <item x="141"/>
        <item x="263"/>
        <item x="127"/>
        <item x="375"/>
        <item x="422"/>
        <item x="290"/>
        <item x="366"/>
        <item x="218"/>
        <item x="368"/>
        <item x="369"/>
        <item x="353"/>
        <item x="439"/>
        <item x="359"/>
        <item x="360"/>
        <item x="361"/>
        <item x="423"/>
        <item x="370"/>
        <item m="1" x="535"/>
        <item x="8"/>
        <item x="440"/>
        <item x="278"/>
        <item x="33"/>
        <item x="372"/>
        <item x="253"/>
        <item x="203"/>
        <item x="212"/>
        <item x="213"/>
        <item x="81"/>
        <item x="16"/>
        <item x="347"/>
        <item x="254"/>
        <item x="17"/>
        <item x="364"/>
        <item x="408"/>
        <item x="82"/>
        <item x="382"/>
        <item x="2"/>
        <item m="1" x="559"/>
        <item x="441"/>
        <item x="442"/>
        <item x="443"/>
        <item x="64"/>
        <item x="383"/>
        <item x="495"/>
        <item x="501"/>
        <item x="356"/>
        <item x="371"/>
        <item m="1" x="519"/>
        <item x="465"/>
        <item x="384"/>
        <item x="209"/>
        <item x="291"/>
        <item x="496"/>
        <item x="279"/>
        <item x="487"/>
        <item x="488"/>
        <item x="83"/>
        <item x="65"/>
        <item x="444"/>
        <item x="50"/>
        <item x="268"/>
        <item x="489"/>
        <item x="293"/>
        <item x="497"/>
        <item x="165"/>
        <item x="66"/>
        <item x="332"/>
        <item x="374"/>
        <item x="327"/>
        <item x="239"/>
        <item x="328"/>
        <item x="329"/>
        <item x="445"/>
        <item x="51"/>
        <item x="85"/>
        <item x="324"/>
        <item x="21"/>
        <item x="196"/>
        <item x="86"/>
        <item x="357"/>
        <item x="67"/>
        <item x="467"/>
        <item x="425"/>
        <item x="280"/>
        <item x="241"/>
        <item x="385"/>
        <item x="219"/>
        <item x="181"/>
        <item x="468"/>
        <item x="29"/>
        <item x="243"/>
        <item m="1" x="528"/>
        <item x="281"/>
        <item m="1" x="529"/>
        <item x="204"/>
        <item x="498"/>
        <item x="245"/>
        <item x="117"/>
        <item x="386"/>
        <item x="387"/>
        <item x="133"/>
        <item x="134"/>
        <item m="1" x="533"/>
        <item m="1" x="542"/>
        <item m="1" x="534"/>
        <item x="388"/>
        <item x="294"/>
        <item x="295"/>
        <item x="296"/>
        <item x="32"/>
        <item x="297"/>
        <item x="341"/>
        <item x="129"/>
        <item x="147"/>
        <item x="389"/>
        <item x="338"/>
        <item x="340"/>
        <item x="373"/>
        <item m="1" x="548"/>
        <item x="314"/>
        <item x="210"/>
        <item m="1" x="550"/>
        <item x="470"/>
        <item x="472"/>
        <item x="161"/>
        <item x="26"/>
        <item x="474"/>
        <item x="390"/>
        <item x="68"/>
        <item x="321"/>
        <item x="475"/>
        <item m="1" x="512"/>
        <item x="322"/>
        <item x="185"/>
        <item x="318"/>
        <item x="69"/>
        <item x="447"/>
        <item x="448"/>
        <item x="257"/>
        <item x="38"/>
        <item x="189"/>
        <item x="88"/>
        <item m="1" x="530"/>
        <item x="391"/>
        <item x="449"/>
        <item x="9"/>
        <item x="109"/>
        <item m="1" x="532"/>
        <item x="392"/>
        <item x="197"/>
        <item x="289"/>
        <item x="282"/>
        <item x="10"/>
        <item x="393"/>
        <item x="265"/>
        <item x="18"/>
        <item x="349"/>
        <item x="354"/>
        <item m="1" x="546"/>
        <item x="394"/>
        <item x="410"/>
        <item x="396"/>
        <item x="198"/>
        <item x="152"/>
        <item x="221"/>
        <item x="284"/>
        <item x="453"/>
        <item x="222"/>
        <item x="93"/>
        <item x="429"/>
        <item x="430"/>
        <item x="426"/>
        <item x="427"/>
        <item x="186"/>
        <item x="187"/>
        <item x="247"/>
        <item x="248"/>
        <item x="162"/>
        <item x="76"/>
        <item x="11"/>
        <item x="12"/>
        <item x="13"/>
        <item x="101"/>
        <item x="286"/>
        <item x="455"/>
        <item x="3"/>
        <item x="5"/>
        <item x="7"/>
        <item x="14"/>
        <item x="15"/>
        <item x="60"/>
        <item x="71"/>
        <item x="53"/>
        <item x="405"/>
        <item x="344"/>
        <item x="61"/>
        <item x="54"/>
        <item x="22"/>
        <item x="120"/>
        <item x="173"/>
        <item x="72"/>
        <item x="150"/>
        <item x="121"/>
        <item x="142"/>
        <item x="143"/>
        <item x="55"/>
        <item x="25"/>
        <item x="503"/>
        <item x="456"/>
        <item x="225"/>
        <item x="163"/>
        <item x="122"/>
        <item x="167"/>
        <item x="168"/>
        <item x="123"/>
        <item x="56"/>
        <item x="205"/>
        <item x="125"/>
        <item x="316"/>
        <item x="62"/>
        <item x="148"/>
        <item x="179"/>
        <item x="307"/>
        <item x="180"/>
        <item x="102"/>
        <item x="323"/>
        <item x="330"/>
        <item x="457"/>
        <item x="206"/>
        <item x="249"/>
        <item x="200"/>
        <item x="492"/>
        <item x="103"/>
        <item x="207"/>
        <item x="317"/>
        <item x="31"/>
        <item x="416"/>
        <item x="417"/>
        <item x="174"/>
        <item x="313"/>
        <item x="57"/>
        <item x="342"/>
        <item x="20"/>
        <item x="63"/>
        <item x="504"/>
        <item x="269"/>
        <item x="406"/>
        <item x="367"/>
        <item x="151"/>
        <item x="116"/>
        <item x="208"/>
        <item x="24"/>
        <item x="154"/>
        <item x="182"/>
        <item x="226"/>
        <item x="139"/>
        <item x="228"/>
        <item x="104"/>
        <item x="308"/>
        <item x="309"/>
        <item x="105"/>
        <item x="106"/>
        <item x="215"/>
        <item x="310"/>
        <item x="311"/>
        <item m="1" x="547"/>
        <item x="493"/>
        <item x="73"/>
        <item x="483"/>
        <item x="312"/>
        <item x="155"/>
        <item x="153"/>
        <item x="230"/>
        <item x="107"/>
        <item x="156"/>
        <item x="231"/>
        <item x="298"/>
        <item m="1" x="514"/>
        <item x="132"/>
        <item x="466"/>
        <item x="303"/>
        <item x="363"/>
        <item x="482"/>
        <item x="178"/>
        <item x="227"/>
        <item x="229"/>
        <item x="415"/>
        <item x="446"/>
        <item x="124"/>
        <item m="1" x="524"/>
        <item x="450"/>
        <item x="220"/>
        <item x="246"/>
        <item m="1" x="540"/>
        <item m="1" x="545"/>
        <item x="499"/>
        <item x="469"/>
        <item m="1" x="536"/>
        <item m="1" x="543"/>
        <item m="1" x="544"/>
        <item x="90"/>
        <item x="91"/>
        <item m="1" x="552"/>
        <item x="110"/>
        <item x="89"/>
        <item m="1" x="525"/>
        <item x="177"/>
        <item x="23"/>
        <item m="1" x="563"/>
        <item x="176"/>
        <item m="1" x="551"/>
        <item x="183"/>
        <item x="242"/>
        <item x="258"/>
        <item x="264"/>
        <item x="266"/>
        <item m="1" x="560"/>
        <item x="319"/>
        <item x="320"/>
        <item x="6"/>
        <item x="326"/>
        <item x="333"/>
        <item m="1" x="557"/>
        <item m="1" x="510"/>
        <item x="407"/>
        <item x="409"/>
        <item x="412"/>
        <item m="1" x="549"/>
        <item x="413"/>
        <item x="414"/>
        <item x="424"/>
        <item x="428"/>
        <item x="431"/>
        <item x="432"/>
        <item m="1" x="526"/>
        <item x="433"/>
        <item x="434"/>
        <item x="484"/>
        <item x="485"/>
        <item x="505"/>
        <item m="1" x="554"/>
        <item x="4"/>
        <item x="39"/>
        <item x="40"/>
        <item x="45"/>
        <item x="52"/>
        <item m="1" x="531"/>
        <item x="34"/>
        <item m="1" x="517"/>
        <item x="98"/>
        <item m="1" x="515"/>
        <item x="111"/>
        <item x="135"/>
        <item x="144"/>
        <item x="145"/>
        <item x="146"/>
        <item x="175"/>
        <item x="211"/>
        <item x="255"/>
        <item x="256"/>
        <item x="259"/>
        <item x="138"/>
        <item m="1" x="523"/>
        <item m="1" x="556"/>
        <item x="304"/>
        <item x="306"/>
        <item m="1" x="553"/>
        <item x="362"/>
        <item x="376"/>
        <item x="397"/>
        <item m="1" x="508"/>
        <item x="398"/>
        <item x="400"/>
        <item x="92"/>
        <item x="451"/>
        <item m="1" x="521"/>
        <item x="491"/>
        <item m="1" x="561"/>
        <item m="1" x="555"/>
        <item x="84"/>
        <item x="87"/>
        <item x="166"/>
        <item x="184"/>
        <item x="199"/>
        <item x="244"/>
        <item x="267"/>
        <item x="283"/>
        <item m="1" x="522"/>
        <item x="490"/>
        <item m="1" x="506"/>
        <item x="77"/>
        <item x="42"/>
        <item x="43"/>
        <item x="46"/>
        <item x="47"/>
        <item m="1" x="520"/>
        <item m="1" x="509"/>
        <item x="70"/>
        <item x="292"/>
        <item x="95"/>
        <item x="96"/>
        <item x="164"/>
        <item x="112"/>
        <item x="113"/>
        <item m="1" x="539"/>
        <item x="118"/>
        <item m="1" x="513"/>
        <item m="1" x="564"/>
        <item x="130"/>
        <item x="136"/>
        <item x="137"/>
        <item m="1" x="541"/>
        <item x="149"/>
        <item x="214"/>
        <item x="223"/>
        <item x="240"/>
        <item x="287"/>
        <item m="1" x="511"/>
        <item x="300"/>
        <item m="1" x="507"/>
        <item x="302"/>
        <item x="305"/>
        <item x="315"/>
        <item m="1" x="516"/>
        <item x="343"/>
        <item x="351"/>
        <item m="1" x="558"/>
        <item x="358"/>
        <item x="19"/>
        <item x="350"/>
        <item m="1" x="518"/>
        <item x="395"/>
        <item x="399"/>
        <item x="401"/>
        <item x="402"/>
        <item x="119"/>
        <item x="418"/>
        <item m="1" x="537"/>
        <item x="436"/>
        <item x="114"/>
        <item x="452"/>
        <item x="454"/>
        <item x="471"/>
        <item x="473"/>
        <item x="476"/>
        <item x="477"/>
        <item x="478"/>
        <item x="479"/>
        <item x="480"/>
        <item m="1" x="538"/>
        <item m="1" x="527"/>
        <item x="35"/>
        <item x="41"/>
        <item x="58"/>
        <item x="59"/>
        <item x="94"/>
        <item x="97"/>
        <item x="100"/>
        <item x="30"/>
        <item m="1" x="565"/>
        <item m="1" x="566"/>
        <item x="260"/>
        <item x="285"/>
        <item m="1" x="567"/>
        <item x="301"/>
        <item x="339"/>
        <item x="352"/>
        <item x="403"/>
        <item x="404"/>
        <item x="411"/>
        <item m="1" x="568"/>
        <item x="99"/>
        <item x="108"/>
        <item x="115"/>
        <item x="140"/>
        <item x="224"/>
        <item x="348"/>
        <item x="481"/>
        <item x="486"/>
        <item x="494"/>
        <item x="5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8">
        <item m="1" x="2"/>
        <item m="1" x="7"/>
        <item m="1" x="6"/>
        <item m="1" x="5"/>
        <item m="1" x="4"/>
        <item m="1" x="3"/>
        <item x="0"/>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3">
        <item x="0"/>
        <item x="1"/>
        <item x="2"/>
        <item x="3"/>
        <item x="4"/>
        <item x="5"/>
        <item x="6"/>
        <item x="7"/>
        <item x="8"/>
        <item x="9"/>
        <item x="10"/>
        <item x="11"/>
        <item m="1" x="112"/>
        <item x="12"/>
        <item x="13"/>
        <item x="14"/>
        <item x="15"/>
        <item x="16"/>
        <item x="17"/>
        <item x="18"/>
        <item x="19"/>
        <item x="20"/>
        <item x="21"/>
        <item x="22"/>
        <item x="23"/>
        <item x="24"/>
        <item x="25"/>
        <item m="1" x="110"/>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m="1" x="111"/>
        <item x="79"/>
        <item x="80"/>
        <item x="81"/>
        <item x="82"/>
        <item x="83"/>
        <item x="84"/>
        <item x="85"/>
        <item x="86"/>
        <item x="87"/>
        <item x="88"/>
        <item x="89"/>
        <item x="90"/>
        <item x="91"/>
        <item x="92"/>
        <item x="93"/>
        <item x="94"/>
        <item x="95"/>
        <item x="96"/>
        <item x="97"/>
        <item x="98"/>
        <item x="99"/>
        <item x="100"/>
        <item x="101"/>
        <item x="102"/>
        <item x="103"/>
        <item x="104"/>
        <item x="105"/>
        <item x="106"/>
        <item x="107"/>
        <item m="1" x="109"/>
        <item x="108"/>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s>
  <rowFields count="2">
    <field x="7"/>
    <field x="3"/>
  </rowFields>
  <rowItems count="979">
    <i>
      <x/>
      <x/>
    </i>
    <i r="1">
      <x v="52"/>
    </i>
    <i r="1">
      <x v="106"/>
    </i>
    <i r="1">
      <x v="124"/>
    </i>
    <i r="1">
      <x v="233"/>
    </i>
    <i r="1">
      <x v="240"/>
    </i>
    <i r="1">
      <x v="267"/>
    </i>
    <i r="1">
      <x v="268"/>
    </i>
    <i r="1">
      <x v="269"/>
    </i>
    <i r="1">
      <x v="273"/>
    </i>
    <i r="1">
      <x v="274"/>
    </i>
    <i r="1">
      <x v="275"/>
    </i>
    <i r="1">
      <x v="276"/>
    </i>
    <i r="1">
      <x v="277"/>
    </i>
    <i r="1">
      <x v="407"/>
    </i>
    <i r="1">
      <x v="429"/>
    </i>
    <i>
      <x v="1"/>
      <x/>
    </i>
    <i>
      <x v="2"/>
      <x/>
    </i>
    <i>
      <x v="3"/>
      <x v="116"/>
    </i>
    <i r="1">
      <x v="119"/>
    </i>
    <i r="1">
      <x v="243"/>
    </i>
    <i r="1">
      <x v="516"/>
    </i>
    <i>
      <x v="4"/>
      <x v="164"/>
    </i>
    <i r="1">
      <x v="330"/>
    </i>
    <i>
      <x v="5"/>
      <x v="116"/>
    </i>
    <i r="1">
      <x v="330"/>
    </i>
    <i>
      <x v="6"/>
      <x/>
    </i>
    <i r="1">
      <x v="285"/>
    </i>
    <i r="1">
      <x v="339"/>
    </i>
    <i r="1">
      <x v="395"/>
    </i>
    <i>
      <x v="7"/>
      <x/>
    </i>
    <i>
      <x v="8"/>
      <x/>
    </i>
    <i r="1">
      <x v="294"/>
    </i>
    <i>
      <x v="9"/>
      <x/>
    </i>
    <i>
      <x v="10"/>
      <x/>
    </i>
    <i r="1">
      <x v="213"/>
    </i>
    <i>
      <x v="11"/>
      <x/>
    </i>
    <i>
      <x v="13"/>
      <x/>
    </i>
    <i>
      <x v="14"/>
      <x/>
    </i>
    <i>
      <x v="15"/>
      <x/>
    </i>
    <i r="1">
      <x v="1"/>
    </i>
    <i r="1">
      <x v="2"/>
    </i>
    <i r="1">
      <x v="177"/>
    </i>
    <i r="1">
      <x v="323"/>
    </i>
    <i r="1">
      <x v="546"/>
    </i>
    <i>
      <x v="16"/>
      <x/>
    </i>
    <i r="1">
      <x v="1"/>
    </i>
    <i r="1">
      <x v="177"/>
    </i>
    <i>
      <x v="17"/>
      <x/>
    </i>
    <i r="1">
      <x v="177"/>
    </i>
    <i r="1">
      <x v="197"/>
    </i>
    <i>
      <x v="18"/>
      <x/>
    </i>
    <i r="1">
      <x v="80"/>
    </i>
    <i r="1">
      <x v="109"/>
    </i>
    <i r="1">
      <x v="330"/>
    </i>
    <i r="1">
      <x v="435"/>
    </i>
    <i r="1">
      <x v="539"/>
    </i>
    <i>
      <x v="19"/>
      <x/>
    </i>
    <i r="1">
      <x v="2"/>
    </i>
    <i r="1">
      <x v="16"/>
    </i>
    <i r="1">
      <x v="227"/>
    </i>
    <i r="1">
      <x v="430"/>
    </i>
    <i r="1">
      <x v="431"/>
    </i>
    <i r="1">
      <x v="435"/>
    </i>
    <i r="1">
      <x v="479"/>
    </i>
    <i r="1">
      <x v="480"/>
    </i>
    <i r="1">
      <x v="540"/>
    </i>
    <i r="1">
      <x v="546"/>
    </i>
    <i>
      <x v="20"/>
      <x/>
    </i>
    <i r="1">
      <x v="2"/>
    </i>
    <i r="1">
      <x v="76"/>
    </i>
    <i>
      <x v="21"/>
      <x/>
    </i>
    <i r="1">
      <x v="432"/>
    </i>
    <i>
      <x v="22"/>
      <x v="481"/>
    </i>
    <i r="1">
      <x v="482"/>
    </i>
    <i>
      <x v="23"/>
      <x/>
    </i>
    <i r="1">
      <x v="1"/>
    </i>
    <i r="1">
      <x v="5"/>
    </i>
    <i r="1">
      <x v="52"/>
    </i>
    <i r="1">
      <x v="66"/>
    </i>
    <i r="1">
      <x v="147"/>
    </i>
    <i r="1">
      <x v="161"/>
    </i>
    <i r="1">
      <x v="280"/>
    </i>
    <i r="1">
      <x v="284"/>
    </i>
    <i r="1">
      <x v="293"/>
    </i>
    <i r="1">
      <x v="303"/>
    </i>
    <i r="1">
      <x v="328"/>
    </i>
    <i r="1">
      <x v="433"/>
    </i>
    <i r="1">
      <x v="541"/>
    </i>
    <i>
      <x v="24"/>
      <x/>
    </i>
    <i r="1">
      <x v="542"/>
    </i>
    <i>
      <x v="25"/>
      <x/>
    </i>
    <i>
      <x v="26"/>
      <x v="278"/>
    </i>
    <i>
      <x v="28"/>
      <x/>
    </i>
    <i r="1">
      <x v="283"/>
    </i>
    <i r="1">
      <x v="307"/>
    </i>
    <i r="1">
      <x v="330"/>
    </i>
    <i r="1">
      <x v="331"/>
    </i>
    <i>
      <x v="29"/>
      <x/>
    </i>
    <i>
      <x v="30"/>
      <x/>
    </i>
    <i r="1">
      <x v="1"/>
    </i>
    <i r="1">
      <x v="129"/>
    </i>
    <i r="1">
      <x v="145"/>
    </i>
    <i r="1">
      <x v="153"/>
    </i>
    <i r="1">
      <x v="168"/>
    </i>
    <i r="1">
      <x v="197"/>
    </i>
    <i r="1">
      <x v="216"/>
    </i>
    <i r="1">
      <x v="223"/>
    </i>
    <i r="1">
      <x v="279"/>
    </i>
    <i r="1">
      <x v="288"/>
    </i>
    <i r="1">
      <x v="293"/>
    </i>
    <i r="1">
      <x v="355"/>
    </i>
    <i r="1">
      <x v="485"/>
    </i>
    <i>
      <x v="31"/>
      <x/>
    </i>
    <i r="1">
      <x v="435"/>
    </i>
    <i>
      <x v="32"/>
      <x v="67"/>
    </i>
    <i r="1">
      <x v="74"/>
    </i>
    <i r="1">
      <x v="266"/>
    </i>
    <i>
      <x v="33"/>
      <x/>
    </i>
    <i r="1">
      <x v="1"/>
    </i>
    <i r="1">
      <x v="2"/>
    </i>
    <i r="1">
      <x v="52"/>
    </i>
    <i r="1">
      <x v="53"/>
    </i>
    <i r="1">
      <x v="68"/>
    </i>
    <i r="1">
      <x v="84"/>
    </i>
    <i r="1">
      <x v="109"/>
    </i>
    <i r="1">
      <x v="115"/>
    </i>
    <i r="1">
      <x v="122"/>
    </i>
    <i r="1">
      <x v="144"/>
    </i>
    <i r="1">
      <x v="162"/>
    </i>
    <i r="1">
      <x v="166"/>
    </i>
    <i r="1">
      <x v="197"/>
    </i>
    <i r="1">
      <x v="229"/>
    </i>
    <i r="1">
      <x v="234"/>
    </i>
    <i r="1">
      <x v="256"/>
    </i>
    <i r="1">
      <x v="270"/>
    </i>
    <i r="1">
      <x v="273"/>
    </i>
    <i r="1">
      <x v="312"/>
    </i>
    <i r="1">
      <x v="320"/>
    </i>
    <i r="1">
      <x v="345"/>
    </i>
    <i r="1">
      <x v="348"/>
    </i>
    <i r="1">
      <x v="349"/>
    </i>
    <i r="1">
      <x v="361"/>
    </i>
    <i r="1">
      <x v="388"/>
    </i>
    <i r="1">
      <x v="389"/>
    </i>
    <i r="1">
      <x v="391"/>
    </i>
    <i r="1">
      <x v="392"/>
    </i>
    <i r="1">
      <x v="430"/>
    </i>
    <i r="1">
      <x v="437"/>
    </i>
    <i r="1">
      <x v="439"/>
    </i>
    <i r="1">
      <x v="461"/>
    </i>
    <i r="1">
      <x v="467"/>
    </i>
    <i r="1">
      <x v="468"/>
    </i>
    <i r="1">
      <x v="478"/>
    </i>
    <i r="1">
      <x v="480"/>
    </i>
    <i r="1">
      <x v="487"/>
    </i>
    <i r="1">
      <x v="488"/>
    </i>
    <i r="1">
      <x v="490"/>
    </i>
    <i r="1">
      <x v="491"/>
    </i>
    <i r="1">
      <x v="516"/>
    </i>
    <i r="1">
      <x v="527"/>
    </i>
    <i r="1">
      <x v="542"/>
    </i>
    <i r="1">
      <x v="543"/>
    </i>
    <i r="1">
      <x v="544"/>
    </i>
    <i r="1">
      <x v="545"/>
    </i>
    <i r="1">
      <x v="559"/>
    </i>
    <i r="1">
      <x v="560"/>
    </i>
    <i r="1">
      <x v="561"/>
    </i>
    <i>
      <x v="34"/>
      <x/>
    </i>
    <i r="1">
      <x v="116"/>
    </i>
    <i r="1">
      <x v="337"/>
    </i>
    <i>
      <x v="35"/>
      <x/>
    </i>
    <i r="1">
      <x v="1"/>
    </i>
    <i r="1">
      <x v="2"/>
    </i>
    <i r="1">
      <x v="52"/>
    </i>
    <i r="1">
      <x v="116"/>
    </i>
    <i r="1">
      <x v="119"/>
    </i>
    <i r="1">
      <x v="185"/>
    </i>
    <i r="1">
      <x v="284"/>
    </i>
    <i r="1">
      <x v="286"/>
    </i>
    <i r="1">
      <x v="290"/>
    </i>
    <i r="1">
      <x v="299"/>
    </i>
    <i r="1">
      <x v="302"/>
    </i>
    <i r="1">
      <x v="305"/>
    </i>
    <i r="1">
      <x v="376"/>
    </i>
    <i r="1">
      <x v="480"/>
    </i>
    <i r="1">
      <x v="493"/>
    </i>
    <i r="1">
      <x v="523"/>
    </i>
    <i r="1">
      <x v="542"/>
    </i>
    <i>
      <x v="36"/>
      <x/>
    </i>
    <i r="1">
      <x v="1"/>
    </i>
    <i r="1">
      <x v="2"/>
    </i>
    <i r="1">
      <x v="31"/>
    </i>
    <i r="1">
      <x v="54"/>
    </i>
    <i r="1">
      <x v="87"/>
    </i>
    <i r="1">
      <x v="88"/>
    </i>
    <i r="1">
      <x v="90"/>
    </i>
    <i r="1">
      <x v="188"/>
    </i>
    <i r="1">
      <x v="189"/>
    </i>
    <i r="1">
      <x v="200"/>
    </i>
    <i r="1">
      <x v="270"/>
    </i>
    <i r="1">
      <x v="285"/>
    </i>
    <i r="1">
      <x v="291"/>
    </i>
    <i r="1">
      <x v="292"/>
    </i>
    <i r="1">
      <x v="343"/>
    </i>
    <i r="1">
      <x v="366"/>
    </i>
    <i r="1">
      <x v="395"/>
    </i>
    <i r="1">
      <x v="440"/>
    </i>
    <i r="1">
      <x v="441"/>
    </i>
    <i r="1">
      <x v="442"/>
    </i>
    <i r="1">
      <x v="443"/>
    </i>
    <i r="1">
      <x v="449"/>
    </i>
    <i r="1">
      <x v="478"/>
    </i>
    <i r="1">
      <x v="493"/>
    </i>
    <i r="1">
      <x v="496"/>
    </i>
    <i r="1">
      <x v="497"/>
    </i>
    <i r="1">
      <x v="498"/>
    </i>
    <i r="1">
      <x v="546"/>
    </i>
    <i r="1">
      <x v="562"/>
    </i>
    <i>
      <x v="37"/>
      <x v="201"/>
    </i>
    <i r="1">
      <x v="308"/>
    </i>
    <i r="1">
      <x v="500"/>
    </i>
    <i>
      <x v="38"/>
      <x v="289"/>
    </i>
    <i r="1">
      <x v="336"/>
    </i>
    <i r="1">
      <x v="337"/>
    </i>
    <i>
      <x v="39"/>
      <x v="153"/>
    </i>
    <i r="1">
      <x v="251"/>
    </i>
    <i r="1">
      <x v="359"/>
    </i>
    <i>
      <x v="40"/>
      <x/>
    </i>
    <i>
      <x v="41"/>
      <x/>
    </i>
    <i>
      <x v="42"/>
      <x/>
    </i>
    <i r="1">
      <x v="1"/>
    </i>
    <i>
      <x v="43"/>
      <x/>
    </i>
    <i r="1">
      <x v="339"/>
    </i>
    <i r="1">
      <x v="340"/>
    </i>
    <i r="1">
      <x v="358"/>
    </i>
    <i r="1">
      <x v="362"/>
    </i>
    <i>
      <x v="44"/>
      <x v="25"/>
    </i>
    <i>
      <x v="45"/>
      <x/>
    </i>
    <i r="1">
      <x v="23"/>
    </i>
    <i r="1">
      <x v="35"/>
    </i>
    <i r="1">
      <x v="40"/>
    </i>
    <i r="1">
      <x v="212"/>
    </i>
    <i r="1">
      <x v="265"/>
    </i>
    <i r="1">
      <x v="430"/>
    </i>
    <i r="1">
      <x v="542"/>
    </i>
    <i>
      <x v="46"/>
      <x/>
    </i>
    <i>
      <x v="47"/>
      <x/>
    </i>
    <i r="1">
      <x v="243"/>
    </i>
    <i r="1">
      <x v="298"/>
    </i>
    <i r="1">
      <x v="489"/>
    </i>
    <i>
      <x v="48"/>
      <x v="1"/>
    </i>
    <i r="1">
      <x v="152"/>
    </i>
    <i r="1">
      <x v="469"/>
    </i>
    <i>
      <x v="49"/>
      <x/>
    </i>
    <i r="1">
      <x v="1"/>
    </i>
    <i r="1">
      <x v="300"/>
    </i>
    <i r="1">
      <x v="301"/>
    </i>
    <i>
      <x v="50"/>
      <x v="18"/>
    </i>
    <i>
      <x v="51"/>
      <x v="11"/>
    </i>
    <i>
      <x v="52"/>
      <x v="19"/>
    </i>
    <i>
      <x v="53"/>
      <x/>
    </i>
    <i r="1">
      <x v="2"/>
    </i>
    <i r="1">
      <x v="42"/>
    </i>
    <i r="1">
      <x v="52"/>
    </i>
    <i r="1">
      <x v="84"/>
    </i>
    <i r="1">
      <x v="287"/>
    </i>
    <i r="1">
      <x v="326"/>
    </i>
    <i r="1">
      <x v="394"/>
    </i>
    <i r="1">
      <x v="397"/>
    </i>
    <i r="1">
      <x v="439"/>
    </i>
    <i r="1">
      <x v="444"/>
    </i>
    <i r="1">
      <x v="488"/>
    </i>
    <i r="1">
      <x v="516"/>
    </i>
    <i r="1">
      <x v="542"/>
    </i>
    <i r="1">
      <x v="543"/>
    </i>
    <i>
      <x v="54"/>
      <x v="309"/>
    </i>
    <i r="1">
      <x v="311"/>
    </i>
    <i r="1">
      <x v="371"/>
    </i>
    <i>
      <x v="55"/>
      <x v="175"/>
    </i>
    <i r="1">
      <x v="341"/>
    </i>
    <i r="1">
      <x v="343"/>
    </i>
    <i>
      <x v="56"/>
      <x/>
    </i>
    <i r="1">
      <x v="1"/>
    </i>
    <i r="1">
      <x v="2"/>
    </i>
    <i r="1">
      <x v="153"/>
    </i>
    <i r="1">
      <x v="270"/>
    </i>
    <i r="1">
      <x v="312"/>
    </i>
    <i>
      <x v="57"/>
      <x v="243"/>
    </i>
    <i r="1">
      <x v="399"/>
    </i>
    <i>
      <x v="58"/>
      <x/>
    </i>
    <i r="1">
      <x v="79"/>
    </i>
    <i r="1">
      <x v="129"/>
    </i>
    <i r="1">
      <x v="221"/>
    </i>
    <i r="1">
      <x v="261"/>
    </i>
    <i r="1">
      <x v="262"/>
    </i>
    <i r="1">
      <x v="399"/>
    </i>
    <i r="1">
      <x v="470"/>
    </i>
    <i>
      <x v="59"/>
      <x v="228"/>
    </i>
    <i>
      <x v="60"/>
      <x/>
    </i>
    <i r="1">
      <x v="1"/>
    </i>
    <i r="1">
      <x v="2"/>
    </i>
    <i r="1">
      <x v="19"/>
    </i>
    <i r="1">
      <x v="33"/>
    </i>
    <i r="1">
      <x v="34"/>
    </i>
    <i r="1">
      <x v="36"/>
    </i>
    <i r="1">
      <x v="50"/>
    </i>
    <i r="1">
      <x v="52"/>
    </i>
    <i r="1">
      <x v="55"/>
    </i>
    <i r="1">
      <x v="80"/>
    </i>
    <i r="1">
      <x v="81"/>
    </i>
    <i r="1">
      <x v="82"/>
    </i>
    <i r="1">
      <x v="85"/>
    </i>
    <i r="1">
      <x v="112"/>
    </i>
    <i r="1">
      <x v="153"/>
    </i>
    <i r="1">
      <x v="164"/>
    </i>
    <i r="1">
      <x v="165"/>
    </i>
    <i r="1">
      <x v="182"/>
    </i>
    <i r="1">
      <x v="237"/>
    </i>
    <i r="1">
      <x v="243"/>
    </i>
    <i r="1">
      <x v="250"/>
    </i>
    <i r="1">
      <x v="251"/>
    </i>
    <i r="1">
      <x v="304"/>
    </i>
    <i r="1">
      <x v="316"/>
    </i>
    <i r="1">
      <x v="318"/>
    </i>
    <i r="1">
      <x v="321"/>
    </i>
    <i r="1">
      <x v="338"/>
    </i>
    <i r="1">
      <x v="430"/>
    </i>
    <i r="1">
      <x v="471"/>
    </i>
    <i>
      <x v="61"/>
      <x/>
    </i>
    <i r="1">
      <x v="2"/>
    </i>
    <i r="1">
      <x v="19"/>
    </i>
    <i r="1">
      <x v="34"/>
    </i>
    <i r="1">
      <x v="52"/>
    </i>
    <i r="1">
      <x v="138"/>
    </i>
    <i r="1">
      <x v="208"/>
    </i>
    <i r="1">
      <x v="445"/>
    </i>
    <i>
      <x v="62"/>
      <x v="112"/>
    </i>
    <i r="1">
      <x v="113"/>
    </i>
    <i r="1">
      <x v="114"/>
    </i>
    <i r="1">
      <x v="350"/>
    </i>
    <i r="1">
      <x v="501"/>
    </i>
    <i>
      <x v="63"/>
      <x/>
    </i>
    <i>
      <x v="64"/>
      <x/>
    </i>
    <i r="1">
      <x v="1"/>
    </i>
    <i r="1">
      <x v="9"/>
    </i>
    <i r="1">
      <x v="30"/>
    </i>
    <i r="1">
      <x v="95"/>
    </i>
    <i r="1">
      <x v="174"/>
    </i>
    <i r="1">
      <x v="175"/>
    </i>
    <i r="1">
      <x v="252"/>
    </i>
    <i r="1">
      <x v="255"/>
    </i>
    <i r="1">
      <x v="297"/>
    </i>
    <i r="1">
      <x v="341"/>
    </i>
    <i r="1">
      <x v="342"/>
    </i>
    <i r="1">
      <x v="343"/>
    </i>
    <i r="1">
      <x v="344"/>
    </i>
    <i r="1">
      <x v="360"/>
    </i>
    <i r="1">
      <x v="363"/>
    </i>
    <i r="1">
      <x v="372"/>
    </i>
    <i r="1">
      <x v="373"/>
    </i>
    <i r="1">
      <x v="379"/>
    </i>
    <i r="1">
      <x v="435"/>
    </i>
    <i r="1">
      <x v="502"/>
    </i>
    <i r="1">
      <x v="542"/>
    </i>
    <i r="1">
      <x v="546"/>
    </i>
    <i r="1">
      <x v="563"/>
    </i>
    <i>
      <x v="65"/>
      <x/>
    </i>
    <i r="1">
      <x v="4"/>
    </i>
    <i r="1">
      <x v="13"/>
    </i>
    <i r="1">
      <x v="43"/>
    </i>
    <i r="1">
      <x v="44"/>
    </i>
    <i r="1">
      <x v="45"/>
    </i>
    <i r="1">
      <x v="65"/>
    </i>
    <i r="1">
      <x v="69"/>
    </i>
    <i r="1">
      <x v="70"/>
    </i>
    <i r="1">
      <x v="71"/>
    </i>
    <i r="1">
      <x v="83"/>
    </i>
    <i r="1">
      <x v="111"/>
    </i>
    <i r="1">
      <x v="112"/>
    </i>
    <i r="1">
      <x v="113"/>
    </i>
    <i r="1">
      <x v="116"/>
    </i>
    <i r="1">
      <x v="118"/>
    </i>
    <i r="1">
      <x v="157"/>
    </i>
    <i r="1">
      <x v="164"/>
    </i>
    <i r="1">
      <x v="172"/>
    </i>
    <i r="1">
      <x v="178"/>
    </i>
    <i r="1">
      <x v="184"/>
    </i>
    <i r="1">
      <x v="226"/>
    </i>
    <i r="1">
      <x v="234"/>
    </i>
    <i r="1">
      <x v="263"/>
    </i>
    <i r="1">
      <x v="264"/>
    </i>
    <i r="1">
      <x v="317"/>
    </i>
    <i r="1">
      <x v="380"/>
    </i>
    <i r="1">
      <x v="400"/>
    </i>
    <i r="1">
      <x v="401"/>
    </i>
    <i r="1">
      <x v="446"/>
    </i>
    <i r="1">
      <x v="447"/>
    </i>
    <i r="1">
      <x v="448"/>
    </i>
    <i r="1">
      <x v="472"/>
    </i>
    <i r="1">
      <x v="489"/>
    </i>
    <i r="1">
      <x v="503"/>
    </i>
    <i r="1">
      <x v="523"/>
    </i>
    <i r="1">
      <x v="549"/>
    </i>
    <i>
      <x v="66"/>
      <x/>
    </i>
    <i r="1">
      <x v="1"/>
    </i>
    <i r="1">
      <x v="32"/>
    </i>
    <i r="1">
      <x v="52"/>
    </i>
    <i r="1">
      <x v="55"/>
    </i>
    <i r="1">
      <x v="56"/>
    </i>
    <i r="1">
      <x v="89"/>
    </i>
    <i r="1">
      <x v="175"/>
    </i>
    <i r="1">
      <x v="242"/>
    </i>
    <i r="1">
      <x v="402"/>
    </i>
    <i r="1">
      <x v="403"/>
    </i>
    <i r="1">
      <x v="543"/>
    </i>
    <i>
      <x v="67"/>
      <x/>
    </i>
    <i r="1">
      <x v="284"/>
    </i>
    <i r="1">
      <x v="299"/>
    </i>
    <i>
      <x v="68"/>
      <x/>
    </i>
    <i r="1">
      <x v="1"/>
    </i>
    <i r="1">
      <x v="2"/>
    </i>
    <i r="1">
      <x v="39"/>
    </i>
    <i r="1">
      <x v="52"/>
    </i>
    <i r="1">
      <x v="78"/>
    </i>
    <i r="1">
      <x v="148"/>
    </i>
    <i r="1">
      <x v="333"/>
    </i>
    <i r="1">
      <x v="439"/>
    </i>
    <i r="1">
      <x v="449"/>
    </i>
    <i r="1">
      <x v="473"/>
    </i>
    <i r="1">
      <x v="478"/>
    </i>
    <i r="1">
      <x v="490"/>
    </i>
    <i r="1">
      <x v="542"/>
    </i>
    <i>
      <x v="69"/>
      <x/>
    </i>
    <i r="1">
      <x v="1"/>
    </i>
    <i r="1">
      <x v="2"/>
    </i>
    <i r="1">
      <x v="3"/>
    </i>
    <i r="1">
      <x v="16"/>
    </i>
    <i r="1">
      <x v="22"/>
    </i>
    <i r="1">
      <x v="31"/>
    </i>
    <i r="1">
      <x v="37"/>
    </i>
    <i r="1">
      <x v="48"/>
    </i>
    <i r="1">
      <x v="49"/>
    </i>
    <i r="1">
      <x v="51"/>
    </i>
    <i r="1">
      <x v="52"/>
    </i>
    <i r="1">
      <x v="57"/>
    </i>
    <i r="1">
      <x v="108"/>
    </i>
    <i r="1">
      <x v="141"/>
    </i>
    <i r="1">
      <x v="171"/>
    </i>
    <i r="1">
      <x v="180"/>
    </i>
    <i r="1">
      <x v="216"/>
    </i>
    <i r="1">
      <x v="227"/>
    </i>
    <i r="1">
      <x v="239"/>
    </i>
    <i r="1">
      <x v="253"/>
    </i>
    <i r="1">
      <x v="270"/>
    </i>
    <i r="1">
      <x v="271"/>
    </i>
    <i r="1">
      <x v="341"/>
    </i>
    <i r="1">
      <x v="343"/>
    </i>
    <i r="1">
      <x v="430"/>
    </i>
    <i r="1">
      <x v="431"/>
    </i>
    <i r="1">
      <x v="439"/>
    </i>
    <i r="1">
      <x v="474"/>
    </i>
    <i r="1">
      <x v="480"/>
    </i>
    <i r="1">
      <x v="493"/>
    </i>
    <i r="1">
      <x v="504"/>
    </i>
    <i r="1">
      <x v="523"/>
    </i>
    <i r="1">
      <x v="542"/>
    </i>
    <i r="1">
      <x v="543"/>
    </i>
    <i r="1">
      <x v="546"/>
    </i>
    <i r="1">
      <x v="550"/>
    </i>
    <i>
      <x v="70"/>
      <x/>
    </i>
    <i r="1">
      <x v="1"/>
    </i>
    <i r="1">
      <x v="2"/>
    </i>
    <i r="1">
      <x v="39"/>
    </i>
    <i r="1">
      <x v="52"/>
    </i>
    <i r="1">
      <x v="93"/>
    </i>
    <i r="1">
      <x v="139"/>
    </i>
    <i r="1">
      <x v="238"/>
    </i>
    <i r="1">
      <x v="542"/>
    </i>
    <i>
      <x v="71"/>
      <x/>
    </i>
    <i r="1">
      <x v="1"/>
    </i>
    <i r="1">
      <x v="2"/>
    </i>
    <i r="1">
      <x v="52"/>
    </i>
    <i r="1">
      <x v="87"/>
    </i>
    <i r="1">
      <x v="138"/>
    </i>
    <i r="1">
      <x v="150"/>
    </i>
    <i r="1">
      <x v="194"/>
    </i>
    <i r="1">
      <x v="195"/>
    </i>
    <i r="1">
      <x v="196"/>
    </i>
    <i r="1">
      <x v="198"/>
    </i>
    <i r="1">
      <x v="435"/>
    </i>
    <i r="1">
      <x v="478"/>
    </i>
    <i r="1">
      <x v="486"/>
    </i>
    <i r="1">
      <x v="542"/>
    </i>
    <i r="1">
      <x v="546"/>
    </i>
    <i>
      <x v="72"/>
      <x/>
    </i>
    <i r="1">
      <x v="1"/>
    </i>
    <i r="1">
      <x v="2"/>
    </i>
    <i r="1">
      <x v="52"/>
    </i>
    <i r="1">
      <x v="138"/>
    </i>
    <i r="1">
      <x v="153"/>
    </i>
    <i r="1">
      <x v="251"/>
    </i>
    <i r="1">
      <x v="364"/>
    </i>
    <i r="1">
      <x v="439"/>
    </i>
    <i r="1">
      <x v="480"/>
    </i>
    <i r="1">
      <x v="542"/>
    </i>
    <i r="1">
      <x v="546"/>
    </i>
    <i>
      <x v="73"/>
      <x/>
    </i>
    <i r="1">
      <x v="1"/>
    </i>
    <i r="1">
      <x v="2"/>
    </i>
    <i r="1">
      <x v="17"/>
    </i>
    <i>
      <x v="74"/>
      <x/>
    </i>
    <i r="1">
      <x v="1"/>
    </i>
    <i r="1">
      <x v="2"/>
    </i>
    <i r="1">
      <x v="87"/>
    </i>
    <i r="1">
      <x v="196"/>
    </i>
    <i r="1">
      <x v="310"/>
    </i>
    <i r="1">
      <x v="346"/>
    </i>
    <i r="1">
      <x v="347"/>
    </i>
    <i r="1">
      <x v="351"/>
    </i>
    <i r="1">
      <x v="352"/>
    </i>
    <i r="1">
      <x v="357"/>
    </i>
    <i r="1">
      <x v="368"/>
    </i>
    <i r="1">
      <x v="435"/>
    </i>
    <i r="1">
      <x v="452"/>
    </i>
    <i r="1">
      <x v="453"/>
    </i>
    <i r="1">
      <x v="506"/>
    </i>
    <i r="1">
      <x v="508"/>
    </i>
    <i r="1">
      <x v="509"/>
    </i>
    <i r="1">
      <x v="540"/>
    </i>
    <i r="1">
      <x v="552"/>
    </i>
    <i>
      <x v="75"/>
      <x v="327"/>
    </i>
    <i>
      <x v="76"/>
      <x/>
    </i>
    <i r="1">
      <x v="1"/>
    </i>
    <i r="1">
      <x v="2"/>
    </i>
    <i r="1">
      <x v="52"/>
    </i>
    <i r="1">
      <x v="87"/>
    </i>
    <i r="1">
      <x v="196"/>
    </i>
    <i r="1">
      <x v="207"/>
    </i>
    <i r="1">
      <x v="222"/>
    </i>
    <i r="1">
      <x v="270"/>
    </i>
    <i r="1">
      <x v="306"/>
    </i>
    <i r="1">
      <x v="322"/>
    </i>
    <i r="1">
      <x v="330"/>
    </i>
    <i r="1">
      <x v="348"/>
    </i>
    <i r="1">
      <x v="405"/>
    </i>
    <i r="1">
      <x v="406"/>
    </i>
    <i r="1">
      <x v="407"/>
    </i>
    <i r="1">
      <x v="435"/>
    </i>
    <i r="1">
      <x v="461"/>
    </i>
    <i r="1">
      <x v="478"/>
    </i>
    <i r="1">
      <x v="480"/>
    </i>
    <i r="1">
      <x v="486"/>
    </i>
    <i r="1">
      <x v="510"/>
    </i>
    <i r="1">
      <x v="542"/>
    </i>
    <i r="1">
      <x v="546"/>
    </i>
    <i>
      <x v="77"/>
      <x/>
    </i>
    <i r="1">
      <x v="2"/>
    </i>
    <i r="1">
      <x v="52"/>
    </i>
    <i r="1">
      <x v="217"/>
    </i>
    <i>
      <x v="78"/>
      <x/>
    </i>
    <i r="1">
      <x v="2"/>
    </i>
    <i r="1">
      <x v="52"/>
    </i>
    <i r="1">
      <x v="220"/>
    </i>
    <i>
      <x v="79"/>
      <x/>
    </i>
    <i r="1">
      <x v="1"/>
    </i>
    <i r="1">
      <x v="2"/>
    </i>
    <i r="1">
      <x v="313"/>
    </i>
    <i r="1">
      <x v="435"/>
    </i>
    <i r="1">
      <x v="480"/>
    </i>
    <i r="1">
      <x v="542"/>
    </i>
    <i>
      <x v="80"/>
      <x/>
    </i>
    <i r="1">
      <x v="1"/>
    </i>
    <i r="1">
      <x v="2"/>
    </i>
    <i r="1">
      <x v="52"/>
    </i>
    <i r="1">
      <x v="116"/>
    </i>
    <i r="1">
      <x v="163"/>
    </i>
    <i r="1">
      <x v="542"/>
    </i>
    <i>
      <x v="82"/>
      <x/>
    </i>
    <i r="1">
      <x v="22"/>
    </i>
    <i r="1">
      <x v="52"/>
    </i>
    <i r="1">
      <x v="62"/>
    </i>
    <i r="1">
      <x v="87"/>
    </i>
    <i r="1">
      <x v="109"/>
    </i>
    <i r="1">
      <x v="116"/>
    </i>
    <i r="1">
      <x v="156"/>
    </i>
    <i r="1">
      <x v="158"/>
    </i>
    <i r="1">
      <x v="159"/>
    </i>
    <i r="1">
      <x v="171"/>
    </i>
    <i r="1">
      <x v="243"/>
    </i>
    <i r="1">
      <x v="270"/>
    </i>
    <i r="1">
      <x v="314"/>
    </i>
    <i r="1">
      <x v="341"/>
    </i>
    <i r="1">
      <x v="343"/>
    </i>
    <i r="1">
      <x v="408"/>
    </i>
    <i r="1">
      <x v="430"/>
    </i>
    <i r="1">
      <x v="435"/>
    </i>
    <i r="1">
      <x v="439"/>
    </i>
    <i r="1">
      <x v="480"/>
    </i>
    <i r="1">
      <x v="493"/>
    </i>
    <i r="1">
      <x v="542"/>
    </i>
    <i r="1">
      <x v="543"/>
    </i>
    <i r="1">
      <x v="546"/>
    </i>
    <i>
      <x v="83"/>
      <x/>
    </i>
    <i r="1">
      <x v="52"/>
    </i>
    <i r="1">
      <x v="60"/>
    </i>
    <i r="1">
      <x v="87"/>
    </i>
    <i r="1">
      <x v="154"/>
    </i>
    <i r="1">
      <x v="156"/>
    </i>
    <i r="1">
      <x v="158"/>
    </i>
    <i r="1">
      <x v="159"/>
    </i>
    <i r="1">
      <x v="243"/>
    </i>
    <i r="1">
      <x v="270"/>
    </i>
    <i r="1">
      <x v="430"/>
    </i>
    <i r="1">
      <x v="435"/>
    </i>
    <i r="1">
      <x v="542"/>
    </i>
    <i>
      <x v="84"/>
      <x/>
    </i>
    <i r="1">
      <x v="52"/>
    </i>
    <i r="1">
      <x v="87"/>
    </i>
    <i r="1">
      <x v="156"/>
    </i>
    <i r="1">
      <x v="158"/>
    </i>
    <i r="1">
      <x v="159"/>
    </i>
    <i r="1">
      <x v="409"/>
    </i>
    <i r="1">
      <x v="435"/>
    </i>
    <i r="1">
      <x v="542"/>
    </i>
    <i>
      <x v="85"/>
      <x/>
    </i>
    <i r="1">
      <x v="52"/>
    </i>
    <i r="1">
      <x v="61"/>
    </i>
    <i r="1">
      <x v="87"/>
    </i>
    <i r="1">
      <x v="156"/>
    </i>
    <i r="1">
      <x v="158"/>
    </i>
    <i r="1">
      <x v="159"/>
    </i>
    <i r="1">
      <x v="435"/>
    </i>
    <i r="1">
      <x v="542"/>
    </i>
    <i>
      <x v="86"/>
      <x/>
    </i>
    <i r="1">
      <x v="27"/>
    </i>
    <i r="1">
      <x v="52"/>
    </i>
    <i r="1">
      <x v="64"/>
    </i>
    <i r="1">
      <x v="87"/>
    </i>
    <i r="1">
      <x v="156"/>
    </i>
    <i r="1">
      <x v="158"/>
    </i>
    <i r="1">
      <x v="159"/>
    </i>
    <i r="1">
      <x v="435"/>
    </i>
    <i r="1">
      <x v="542"/>
    </i>
    <i>
      <x v="87"/>
      <x/>
    </i>
    <i r="1">
      <x v="52"/>
    </i>
    <i r="1">
      <x v="63"/>
    </i>
    <i r="1">
      <x v="87"/>
    </i>
    <i r="1">
      <x v="156"/>
    </i>
    <i r="1">
      <x v="158"/>
    </i>
    <i r="1">
      <x v="159"/>
    </i>
    <i r="1">
      <x v="243"/>
    </i>
    <i r="1">
      <x v="435"/>
    </i>
    <i r="1">
      <x v="542"/>
    </i>
    <i>
      <x v="88"/>
      <x/>
    </i>
    <i r="1">
      <x v="1"/>
    </i>
    <i r="1">
      <x v="2"/>
    </i>
    <i r="1">
      <x v="52"/>
    </i>
    <i>
      <x v="89"/>
      <x/>
    </i>
    <i r="1">
      <x v="52"/>
    </i>
    <i r="1">
      <x v="203"/>
    </i>
    <i r="1">
      <x v="273"/>
    </i>
    <i r="1">
      <x v="553"/>
    </i>
    <i>
      <x v="90"/>
      <x/>
    </i>
    <i r="1">
      <x v="52"/>
    </i>
    <i r="1">
      <x v="204"/>
    </i>
    <i>
      <x v="91"/>
      <x v="20"/>
    </i>
    <i r="1">
      <x v="27"/>
    </i>
    <i r="1">
      <x v="28"/>
    </i>
    <i r="1">
      <x v="29"/>
    </i>
    <i r="1">
      <x v="41"/>
    </i>
    <i r="1">
      <x v="53"/>
    </i>
    <i r="1">
      <x v="94"/>
    </i>
    <i r="1">
      <x v="96"/>
    </i>
    <i r="1">
      <x v="97"/>
    </i>
    <i r="1">
      <x v="98"/>
    </i>
    <i r="1">
      <x v="100"/>
    </i>
    <i r="1">
      <x v="101"/>
    </i>
    <i r="1">
      <x v="102"/>
    </i>
    <i r="1">
      <x v="104"/>
    </i>
    <i r="1">
      <x v="106"/>
    </i>
    <i r="1">
      <x v="112"/>
    </i>
    <i r="1">
      <x v="116"/>
    </i>
    <i r="1">
      <x v="117"/>
    </i>
    <i r="1">
      <x v="118"/>
    </i>
    <i r="1">
      <x v="119"/>
    </i>
    <i r="1">
      <x v="120"/>
    </i>
    <i r="1">
      <x v="133"/>
    </i>
    <i r="1">
      <x v="134"/>
    </i>
    <i r="1">
      <x v="167"/>
    </i>
    <i r="1">
      <x v="182"/>
    </i>
    <i r="1">
      <x v="199"/>
    </i>
    <i r="1">
      <x v="233"/>
    </i>
    <i r="1">
      <x v="234"/>
    </i>
    <i r="1">
      <x v="240"/>
    </i>
    <i r="1">
      <x v="243"/>
    </i>
    <i r="1">
      <x v="244"/>
    </i>
    <i r="1">
      <x v="245"/>
    </i>
    <i r="1">
      <x v="282"/>
    </i>
    <i r="1">
      <x v="316"/>
    </i>
    <i r="1">
      <x v="321"/>
    </i>
    <i r="1">
      <x v="329"/>
    </i>
    <i r="1">
      <x v="335"/>
    </i>
    <i r="1">
      <x v="338"/>
    </i>
    <i r="1">
      <x v="369"/>
    </i>
    <i r="1">
      <x v="455"/>
    </i>
    <i r="1">
      <x v="461"/>
    </i>
    <i r="1">
      <x v="480"/>
    </i>
    <i r="1">
      <x v="489"/>
    </i>
    <i r="1">
      <x v="512"/>
    </i>
    <i r="1">
      <x v="513"/>
    </i>
    <i r="1">
      <x v="515"/>
    </i>
    <i r="1">
      <x v="516"/>
    </i>
    <i r="1">
      <x v="517"/>
    </i>
    <i r="1">
      <x v="554"/>
    </i>
    <i r="1">
      <x v="564"/>
    </i>
    <i>
      <x v="92"/>
      <x v="110"/>
    </i>
    <i r="1">
      <x v="116"/>
    </i>
    <i r="1">
      <x v="205"/>
    </i>
    <i r="1">
      <x v="512"/>
    </i>
    <i>
      <x v="93"/>
      <x v="91"/>
    </i>
    <i r="1">
      <x v="155"/>
    </i>
    <i r="1">
      <x v="456"/>
    </i>
    <i r="1">
      <x v="512"/>
    </i>
    <i r="1">
      <x v="517"/>
    </i>
    <i>
      <x v="94"/>
      <x v="116"/>
    </i>
    <i r="1">
      <x v="182"/>
    </i>
    <i r="1">
      <x v="243"/>
    </i>
    <i r="1">
      <x v="316"/>
    </i>
    <i r="1">
      <x v="321"/>
    </i>
    <i r="1">
      <x v="338"/>
    </i>
    <i>
      <x v="95"/>
      <x v="104"/>
    </i>
    <i r="1">
      <x v="243"/>
    </i>
    <i>
      <x v="96"/>
      <x/>
    </i>
    <i r="1">
      <x v="1"/>
    </i>
    <i r="1">
      <x v="2"/>
    </i>
    <i r="1">
      <x v="542"/>
    </i>
    <i>
      <x v="97"/>
      <x/>
    </i>
    <i r="1">
      <x v="1"/>
    </i>
    <i r="1">
      <x v="2"/>
    </i>
    <i r="1">
      <x v="14"/>
    </i>
    <i r="1">
      <x v="21"/>
    </i>
    <i r="1">
      <x v="22"/>
    </i>
    <i r="1">
      <x v="26"/>
    </i>
    <i r="1">
      <x v="40"/>
    </i>
    <i r="1">
      <x v="52"/>
    </i>
    <i r="1">
      <x v="58"/>
    </i>
    <i r="1">
      <x v="73"/>
    </i>
    <i r="1">
      <x v="121"/>
    </i>
    <i r="1">
      <x v="123"/>
    </i>
    <i r="1">
      <x v="130"/>
    </i>
    <i r="1">
      <x v="137"/>
    </i>
    <i r="1">
      <x v="141"/>
    </i>
    <i r="1">
      <x v="173"/>
    </i>
    <i r="1">
      <x v="175"/>
    </i>
    <i r="1">
      <x v="186"/>
    </i>
    <i r="1">
      <x v="187"/>
    </i>
    <i r="1">
      <x v="193"/>
    </i>
    <i r="1">
      <x v="202"/>
    </i>
    <i r="1">
      <x v="215"/>
    </i>
    <i r="1">
      <x v="231"/>
    </i>
    <i r="1">
      <x v="236"/>
    </i>
    <i r="1">
      <x v="241"/>
    </i>
    <i r="1">
      <x v="242"/>
    </i>
    <i r="1">
      <x v="247"/>
    </i>
    <i r="1">
      <x v="248"/>
    </i>
    <i r="1">
      <x v="249"/>
    </i>
    <i r="1">
      <x v="281"/>
    </i>
    <i r="1">
      <x v="334"/>
    </i>
    <i r="1">
      <x v="412"/>
    </i>
    <i r="1">
      <x v="413"/>
    </i>
    <i r="1">
      <x v="414"/>
    </i>
    <i r="1">
      <x v="416"/>
    </i>
    <i r="1">
      <x v="417"/>
    </i>
    <i r="1">
      <x v="429"/>
    </i>
    <i r="1">
      <x v="430"/>
    </i>
    <i r="1">
      <x v="439"/>
    </i>
    <i r="1">
      <x v="457"/>
    </i>
    <i r="1">
      <x v="459"/>
    </i>
    <i r="1">
      <x v="460"/>
    </i>
    <i r="1">
      <x v="461"/>
    </i>
    <i r="1">
      <x v="516"/>
    </i>
    <i r="1">
      <x v="519"/>
    </i>
    <i r="1">
      <x v="520"/>
    </i>
    <i r="1">
      <x v="521"/>
    </i>
    <i r="1">
      <x v="522"/>
    </i>
    <i r="1">
      <x v="523"/>
    </i>
    <i r="1">
      <x v="542"/>
    </i>
    <i r="1">
      <x v="543"/>
    </i>
    <i r="1">
      <x v="555"/>
    </i>
    <i r="1">
      <x v="556"/>
    </i>
    <i r="1">
      <x v="557"/>
    </i>
    <i>
      <x v="98"/>
      <x v="1"/>
    </i>
    <i r="1">
      <x v="324"/>
    </i>
    <i r="1">
      <x v="325"/>
    </i>
    <i r="1">
      <x v="374"/>
    </i>
    <i>
      <x v="99"/>
      <x/>
    </i>
    <i r="1">
      <x v="524"/>
    </i>
    <i r="1">
      <x v="542"/>
    </i>
    <i>
      <x v="100"/>
      <x/>
    </i>
    <i r="1">
      <x v="1"/>
    </i>
    <i r="1">
      <x v="6"/>
    </i>
    <i r="1">
      <x v="8"/>
    </i>
    <i r="1">
      <x v="10"/>
    </i>
    <i r="1">
      <x v="22"/>
    </i>
    <i r="1">
      <x v="52"/>
    </i>
    <i r="1">
      <x v="92"/>
    </i>
    <i r="1">
      <x v="103"/>
    </i>
    <i r="1">
      <x v="116"/>
    </i>
    <i r="1">
      <x v="170"/>
    </i>
    <i r="1">
      <x v="243"/>
    </i>
    <i r="1">
      <x v="259"/>
    </i>
    <i r="1">
      <x v="260"/>
    </i>
    <i r="1">
      <x v="418"/>
    </i>
    <i r="1">
      <x v="419"/>
    </i>
    <i r="1">
      <x v="430"/>
    </i>
    <i r="1">
      <x v="516"/>
    </i>
    <i r="1">
      <x v="542"/>
    </i>
    <i r="1">
      <x v="543"/>
    </i>
    <i>
      <x v="101"/>
      <x/>
    </i>
    <i r="1">
      <x v="1"/>
    </i>
    <i r="1">
      <x v="2"/>
    </i>
    <i r="1">
      <x v="22"/>
    </i>
    <i r="1">
      <x v="52"/>
    </i>
    <i r="1">
      <x v="157"/>
    </i>
    <i r="1">
      <x v="257"/>
    </i>
    <i r="1">
      <x v="258"/>
    </i>
    <i r="1">
      <x v="273"/>
    </i>
    <i r="1">
      <x v="420"/>
    </i>
    <i r="1">
      <x v="421"/>
    </i>
    <i r="1">
      <x v="423"/>
    </i>
    <i r="1">
      <x v="523"/>
    </i>
    <i r="1">
      <x v="527"/>
    </i>
    <i r="1">
      <x v="543"/>
    </i>
    <i>
      <x v="102"/>
      <x/>
    </i>
    <i r="1">
      <x v="523"/>
    </i>
    <i>
      <x v="103"/>
      <x/>
    </i>
    <i r="1">
      <x v="1"/>
    </i>
    <i r="1">
      <x v="52"/>
    </i>
    <i r="1">
      <x v="53"/>
    </i>
    <i r="1">
      <x v="424"/>
    </i>
    <i r="1">
      <x v="430"/>
    </i>
    <i r="1">
      <x v="523"/>
    </i>
    <i r="1">
      <x v="542"/>
    </i>
    <i r="1">
      <x v="543"/>
    </i>
    <i>
      <x v="104"/>
      <x/>
    </i>
    <i r="1">
      <x v="1"/>
    </i>
    <i r="1">
      <x v="2"/>
    </i>
    <i r="1">
      <x v="8"/>
    </i>
    <i r="1">
      <x v="22"/>
    </i>
    <i r="1">
      <x v="47"/>
    </i>
    <i r="1">
      <x v="52"/>
    </i>
    <i r="1">
      <x v="72"/>
    </i>
    <i r="1">
      <x v="77"/>
    </i>
    <i r="1">
      <x v="99"/>
    </i>
    <i r="1">
      <x v="107"/>
    </i>
    <i r="1">
      <x v="111"/>
    </i>
    <i r="1">
      <x v="126"/>
    </i>
    <i r="1">
      <x v="127"/>
    </i>
    <i r="1">
      <x v="128"/>
    </i>
    <i r="1">
      <x v="146"/>
    </i>
    <i r="1">
      <x v="160"/>
    </i>
    <i r="1">
      <x v="224"/>
    </i>
    <i r="1">
      <x v="225"/>
    </i>
    <i r="1">
      <x v="232"/>
    </i>
    <i r="1">
      <x v="242"/>
    </i>
    <i r="1">
      <x v="254"/>
    </i>
    <i r="1">
      <x v="272"/>
    </i>
    <i r="1">
      <x v="273"/>
    </i>
    <i r="1">
      <x v="296"/>
    </i>
    <i r="1">
      <x v="315"/>
    </i>
    <i r="1">
      <x v="375"/>
    </i>
    <i r="1">
      <x v="378"/>
    </i>
    <i r="1">
      <x v="430"/>
    </i>
    <i r="1">
      <x v="439"/>
    </i>
    <i r="1">
      <x v="462"/>
    </i>
    <i r="1">
      <x v="526"/>
    </i>
    <i r="1">
      <x v="528"/>
    </i>
    <i r="1">
      <x v="529"/>
    </i>
    <i r="1">
      <x v="542"/>
    </i>
    <i r="1">
      <x v="543"/>
    </i>
    <i>
      <x v="105"/>
      <x/>
    </i>
    <i r="1">
      <x v="1"/>
    </i>
    <i r="1">
      <x v="22"/>
    </i>
    <i r="1">
      <x v="430"/>
    </i>
    <i>
      <x v="106"/>
      <x/>
    </i>
    <i r="1">
      <x v="1"/>
    </i>
    <i r="1">
      <x v="2"/>
    </i>
    <i r="1">
      <x v="7"/>
    </i>
    <i r="1">
      <x v="8"/>
    </i>
    <i r="1">
      <x v="15"/>
    </i>
    <i r="1">
      <x v="22"/>
    </i>
    <i r="1">
      <x v="24"/>
    </i>
    <i r="1">
      <x v="38"/>
    </i>
    <i r="1">
      <x v="46"/>
    </i>
    <i r="1">
      <x v="52"/>
    </i>
    <i r="1">
      <x v="55"/>
    </i>
    <i r="1">
      <x v="75"/>
    </i>
    <i r="1">
      <x v="86"/>
    </i>
    <i r="1">
      <x v="136"/>
    </i>
    <i r="1">
      <x v="157"/>
    </i>
    <i r="1">
      <x v="169"/>
    </i>
    <i r="1">
      <x v="176"/>
    </i>
    <i r="1">
      <x v="210"/>
    </i>
    <i r="1">
      <x v="211"/>
    </i>
    <i r="1">
      <x v="214"/>
    </i>
    <i r="1">
      <x v="218"/>
    </i>
    <i r="1">
      <x v="241"/>
    </i>
    <i r="1">
      <x v="317"/>
    </i>
    <i r="1">
      <x v="356"/>
    </i>
    <i r="1">
      <x v="367"/>
    </i>
    <i r="1">
      <x v="370"/>
    </i>
    <i r="1">
      <x v="384"/>
    </i>
    <i r="1">
      <x v="425"/>
    </i>
    <i r="1">
      <x v="426"/>
    </i>
    <i r="1">
      <x v="430"/>
    </i>
    <i r="1">
      <x v="439"/>
    </i>
    <i r="1">
      <x v="516"/>
    </i>
    <i r="1">
      <x v="530"/>
    </i>
    <i r="1">
      <x v="531"/>
    </i>
    <i r="1">
      <x v="532"/>
    </i>
    <i r="1">
      <x v="533"/>
    </i>
    <i r="1">
      <x v="534"/>
    </i>
    <i r="1">
      <x v="535"/>
    </i>
    <i r="1">
      <x v="536"/>
    </i>
    <i r="1">
      <x v="542"/>
    </i>
    <i r="1">
      <x v="543"/>
    </i>
    <i r="1">
      <x v="565"/>
    </i>
    <i r="1">
      <x v="566"/>
    </i>
    <i>
      <x v="107"/>
      <x/>
    </i>
    <i r="1">
      <x v="1"/>
    </i>
    <i r="1">
      <x v="2"/>
    </i>
    <i r="1">
      <x v="22"/>
    </i>
    <i r="1">
      <x v="52"/>
    </i>
    <i r="1">
      <x v="116"/>
    </i>
    <i r="1">
      <x v="142"/>
    </i>
    <i r="1">
      <x v="143"/>
    </i>
    <i r="1">
      <x v="149"/>
    </i>
    <i r="1">
      <x v="193"/>
    </i>
    <i r="1">
      <x v="273"/>
    </i>
    <i r="1">
      <x v="319"/>
    </i>
    <i r="1">
      <x v="354"/>
    </i>
    <i r="1">
      <x v="430"/>
    </i>
    <i r="1">
      <x v="464"/>
    </i>
    <i r="1">
      <x v="476"/>
    </i>
    <i r="1">
      <x v="480"/>
    </i>
    <i r="1">
      <x v="542"/>
    </i>
    <i r="1">
      <x v="543"/>
    </i>
    <i r="1">
      <x v="567"/>
    </i>
    <i>
      <x v="108"/>
      <x/>
    </i>
    <i r="1">
      <x v="1"/>
    </i>
    <i r="1">
      <x v="2"/>
    </i>
    <i r="1">
      <x v="131"/>
    </i>
    <i r="1">
      <x v="140"/>
    </i>
    <i r="1">
      <x v="151"/>
    </i>
    <i r="1">
      <x v="183"/>
    </i>
    <i r="1">
      <x v="383"/>
    </i>
    <i r="1">
      <x v="435"/>
    </i>
    <i r="1">
      <x v="449"/>
    </i>
    <i r="1">
      <x v="542"/>
    </i>
    <i>
      <x v="109"/>
      <x/>
    </i>
    <i r="1">
      <x v="52"/>
    </i>
    <i r="1">
      <x v="59"/>
    </i>
    <i r="1">
      <x v="87"/>
    </i>
    <i r="1">
      <x v="132"/>
    </i>
    <i r="1">
      <x v="156"/>
    </i>
    <i r="1">
      <x v="158"/>
    </i>
    <i r="1">
      <x v="159"/>
    </i>
    <i r="1">
      <x v="295"/>
    </i>
    <i r="1">
      <x v="332"/>
    </i>
    <i r="1">
      <x v="427"/>
    </i>
    <i r="1">
      <x v="435"/>
    </i>
    <i r="1">
      <x v="439"/>
    </i>
    <i r="1">
      <x v="542"/>
    </i>
    <i r="1">
      <x v="568"/>
    </i>
    <i>
      <x v="110"/>
      <x/>
    </i>
    <i>
      <x v="112"/>
      <x/>
    </i>
    <i r="1">
      <x v="228"/>
    </i>
    <i t="grand">
      <x/>
    </i>
  </rowItems>
  <colFields count="1">
    <field x="5"/>
  </colFields>
  <colItems count="3">
    <i>
      <x v="6"/>
    </i>
    <i>
      <x v="7"/>
    </i>
    <i t="grand">
      <x/>
    </i>
  </colItems>
  <pageFields count="2">
    <pageField fld="2" hier="-1"/>
    <pageField fld="8" hier="-1"/>
  </pageFields>
  <dataFields count="1">
    <dataField name="Sum of Amount" fld="6" baseField="7" baseItem="4" numFmtId="3"/>
  </dataFields>
  <formats count="5">
    <format dxfId="4955">
      <pivotArea outline="0" fieldPosition="0">
        <references count="3">
          <reference field="3" count="1" selected="0">
            <x v="159"/>
          </reference>
          <reference field="5" count="0" selected="0"/>
          <reference field="7" count="1" selected="0">
            <x v="82"/>
          </reference>
        </references>
      </pivotArea>
    </format>
    <format dxfId="4954">
      <pivotArea outline="0" fieldPosition="0">
        <references count="3">
          <reference field="3" count="1" selected="0">
            <x v="0"/>
          </reference>
          <reference field="5" count="0" selected="0"/>
          <reference field="7" count="1" selected="0">
            <x v="82"/>
          </reference>
        </references>
      </pivotArea>
    </format>
    <format dxfId="4953">
      <pivotArea outline="0" fieldPosition="0">
        <references count="3">
          <reference field="3" count="1" selected="0">
            <x v="0"/>
          </reference>
          <reference field="5" count="0" selected="0"/>
          <reference field="7" count="1" selected="0">
            <x v="109"/>
          </reference>
        </references>
      </pivotArea>
    </format>
    <format dxfId="4952">
      <pivotArea outline="0" fieldPosition="0">
        <references count="3">
          <reference field="3" count="1" selected="0">
            <x v="159"/>
          </reference>
          <reference field="5" count="0" selected="0"/>
          <reference field="7" count="1" selected="0">
            <x v="109"/>
          </reference>
        </references>
      </pivotArea>
    </format>
    <format dxfId="4951">
      <pivotArea outline="0" fieldPosition="0">
        <references count="2">
          <reference field="3" count="1" selected="0">
            <x v="196"/>
          </reference>
          <reference field="7" count="1" selected="0">
            <x v="7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2200-000002000000}" name="PivotTable7" cacheId="30" applyNumberFormats="0" applyBorderFormats="0" applyFontFormats="0" applyPatternFormats="0" applyAlignmentFormats="0" applyWidthHeightFormats="1" dataCaption="Values" updatedVersion="8" minRefreshableVersion="3" colGrandTotals="0" itemPrintTitles="1" createdVersion="5" indent="0" outline="1" outlineData="1" multipleFieldFilters="0" fieldListSortAscending="1">
  <location ref="A175:L185" firstHeaderRow="1" firstDataRow="3" firstDataCol="1" rowPageCount="1" colPageCount="1"/>
  <pivotFields count="12">
    <pivotField axis="axisCol" showAll="0" defaultSubtotal="0">
      <items count="2">
        <item x="0"/>
        <item x="1"/>
      </items>
    </pivotField>
    <pivotField showAll="0" defaultSubtotal="0"/>
    <pivotField axis="axisRow" showAll="0" defaultSubtotal="0">
      <items count="7">
        <item x="0"/>
        <item x="1"/>
        <item x="5"/>
        <item x="6"/>
        <item x="2"/>
        <item x="4"/>
        <item x="3"/>
      </items>
    </pivotField>
    <pivotField axis="axisPage" showAll="0" defaultSubtotal="0">
      <items count="1">
        <item x="0"/>
      </items>
    </pivotField>
    <pivotField showAll="0" defaultSubtotal="0"/>
    <pivotField showAll="0" defaultSubtotal="0"/>
    <pivotField showAll="0" defaultSubtotal="0"/>
    <pivotField showAll="0" defaultSubtotal="0"/>
    <pivotField axis="axisCol" showAll="0" sortType="ascending" defaultSubtotal="0">
      <items count="11">
        <item x="0"/>
        <item x="1"/>
        <item x="2"/>
        <item x="3"/>
        <item x="4"/>
        <item x="5"/>
        <item x="6"/>
        <item x="7"/>
        <item x="8"/>
        <item x="9"/>
        <item x="10"/>
      </items>
    </pivotField>
    <pivotField showAll="0" defaultSubtotal="0"/>
    <pivotField dataField="1" showAll="0" defaultSubtotal="0"/>
    <pivotField showAll="0" defaultSubtotal="0"/>
  </pivotFields>
  <rowFields count="1">
    <field x="2"/>
  </rowFields>
  <rowItems count="8">
    <i>
      <x/>
    </i>
    <i>
      <x v="1"/>
    </i>
    <i>
      <x v="2"/>
    </i>
    <i>
      <x v="3"/>
    </i>
    <i>
      <x v="4"/>
    </i>
    <i>
      <x v="5"/>
    </i>
    <i>
      <x v="6"/>
    </i>
    <i t="grand">
      <x/>
    </i>
  </rowItems>
  <colFields count="2">
    <field x="8"/>
    <field x="0"/>
  </colFields>
  <colItems count="11">
    <i>
      <x/>
      <x/>
    </i>
    <i>
      <x v="1"/>
      <x/>
    </i>
    <i>
      <x v="2"/>
      <x/>
    </i>
    <i>
      <x v="3"/>
      <x/>
    </i>
    <i>
      <x v="4"/>
      <x/>
    </i>
    <i>
      <x v="5"/>
      <x/>
    </i>
    <i>
      <x v="6"/>
      <x/>
    </i>
    <i>
      <x v="7"/>
      <x/>
    </i>
    <i>
      <x v="8"/>
      <x/>
    </i>
    <i>
      <x v="9"/>
      <x/>
    </i>
    <i>
      <x v="10"/>
      <x v="1"/>
    </i>
  </colItems>
  <pageFields count="1">
    <pageField fld="3" hier="-1"/>
  </pageFields>
  <dataFields count="1">
    <dataField name="Sum of Amount" fld="10" baseField="2" baseItem="2" numFmtId="3"/>
  </dataFields>
  <formats count="59">
    <format dxfId="117">
      <pivotArea dataOnly="0" labelOnly="1" fieldPosition="0">
        <references count="1">
          <reference field="8" count="0"/>
        </references>
      </pivotArea>
    </format>
    <format dxfId="116">
      <pivotArea dataOnly="0" labelOnly="1" fieldPosition="0">
        <references count="2">
          <reference field="0" count="0"/>
          <reference field="8" count="0" selected="0"/>
        </references>
      </pivotArea>
    </format>
    <format dxfId="115">
      <pivotArea type="all" dataOnly="0" outline="0" fieldPosition="0"/>
    </format>
    <format dxfId="114">
      <pivotArea outline="0" collapsedLevelsAreSubtotals="1" fieldPosition="0"/>
    </format>
    <format dxfId="113">
      <pivotArea type="origin" dataOnly="0" labelOnly="1" outline="0" fieldPosition="0"/>
    </format>
    <format dxfId="112">
      <pivotArea field="8" type="button" dataOnly="0" labelOnly="1" outline="0" axis="axisCol" fieldPosition="0"/>
    </format>
    <format dxfId="111">
      <pivotArea field="0" type="button" dataOnly="0" labelOnly="1" outline="0" axis="axisCol" fieldPosition="1"/>
    </format>
    <format dxfId="110">
      <pivotArea type="topRight" dataOnly="0" labelOnly="1" outline="0" fieldPosition="0"/>
    </format>
    <format dxfId="109">
      <pivotArea field="2" type="button" dataOnly="0" labelOnly="1" outline="0" axis="axisRow" fieldPosition="0"/>
    </format>
    <format dxfId="108">
      <pivotArea dataOnly="0" labelOnly="1" fieldPosition="0">
        <references count="1">
          <reference field="2" count="0"/>
        </references>
      </pivotArea>
    </format>
    <format dxfId="107">
      <pivotArea dataOnly="0" labelOnly="1" grandRow="1" outline="0" fieldPosition="0"/>
    </format>
    <format dxfId="106">
      <pivotArea dataOnly="0" labelOnly="1" fieldPosition="0">
        <references count="1">
          <reference field="8" count="0"/>
        </references>
      </pivotArea>
    </format>
    <format dxfId="105">
      <pivotArea dataOnly="0" labelOnly="1" fieldPosition="0">
        <references count="2">
          <reference field="0" count="1">
            <x v="0"/>
          </reference>
          <reference field="8" count="1" selected="0">
            <x v="0"/>
          </reference>
        </references>
      </pivotArea>
    </format>
    <format dxfId="104">
      <pivotArea dataOnly="0" labelOnly="1" fieldPosition="0">
        <references count="2">
          <reference field="0" count="1">
            <x v="1"/>
          </reference>
          <reference field="8" count="1" selected="0">
            <x v="1"/>
          </reference>
        </references>
      </pivotArea>
    </format>
    <format dxfId="103">
      <pivotArea dataOnly="0" labelOnly="1" fieldPosition="0">
        <references count="2">
          <reference field="0" count="1">
            <x v="1"/>
          </reference>
          <reference field="8" count="1" selected="0">
            <x v="2"/>
          </reference>
        </references>
      </pivotArea>
    </format>
    <format dxfId="102">
      <pivotArea type="all" dataOnly="0" outline="0" fieldPosition="0"/>
    </format>
    <format dxfId="101">
      <pivotArea outline="0" collapsedLevelsAreSubtotals="1" fieldPosition="0"/>
    </format>
    <format dxfId="100">
      <pivotArea type="origin" dataOnly="0" labelOnly="1" outline="0" fieldPosition="0"/>
    </format>
    <format dxfId="99">
      <pivotArea field="8" type="button" dataOnly="0" labelOnly="1" outline="0" axis="axisCol" fieldPosition="0"/>
    </format>
    <format dxfId="98">
      <pivotArea field="0" type="button" dataOnly="0" labelOnly="1" outline="0" axis="axisCol" fieldPosition="1"/>
    </format>
    <format dxfId="97">
      <pivotArea type="topRight" dataOnly="0" labelOnly="1" outline="0" fieldPosition="0"/>
    </format>
    <format dxfId="96">
      <pivotArea field="2" type="button" dataOnly="0" labelOnly="1" outline="0" axis="axisRow" fieldPosition="0"/>
    </format>
    <format dxfId="95">
      <pivotArea dataOnly="0" labelOnly="1" fieldPosition="0">
        <references count="1">
          <reference field="2" count="0"/>
        </references>
      </pivotArea>
    </format>
    <format dxfId="94">
      <pivotArea dataOnly="0" labelOnly="1" grandRow="1" outline="0" fieldPosition="0"/>
    </format>
    <format dxfId="93">
      <pivotArea dataOnly="0" labelOnly="1" fieldPosition="0">
        <references count="1">
          <reference field="8" count="0"/>
        </references>
      </pivotArea>
    </format>
    <format dxfId="92">
      <pivotArea dataOnly="0" labelOnly="1" fieldPosition="0">
        <references count="2">
          <reference field="0" count="1">
            <x v="0"/>
          </reference>
          <reference field="8" count="1" selected="0">
            <x v="0"/>
          </reference>
        </references>
      </pivotArea>
    </format>
    <format dxfId="91">
      <pivotArea dataOnly="0" labelOnly="1" fieldPosition="0">
        <references count="2">
          <reference field="0" count="1">
            <x v="1"/>
          </reference>
          <reference field="8" count="1" selected="0">
            <x v="1"/>
          </reference>
        </references>
      </pivotArea>
    </format>
    <format dxfId="90">
      <pivotArea dataOnly="0" labelOnly="1" fieldPosition="0">
        <references count="2">
          <reference field="0" count="1">
            <x v="1"/>
          </reference>
          <reference field="8" count="1" selected="0">
            <x v="2"/>
          </reference>
        </references>
      </pivotArea>
    </format>
    <format dxfId="89">
      <pivotArea type="all" dataOnly="0" outline="0" fieldPosition="0"/>
    </format>
    <format dxfId="88">
      <pivotArea outline="0" collapsedLevelsAreSubtotals="1" fieldPosition="0"/>
    </format>
    <format dxfId="87">
      <pivotArea type="origin" dataOnly="0" labelOnly="1" outline="0" fieldPosition="0"/>
    </format>
    <format dxfId="86">
      <pivotArea field="8" type="button" dataOnly="0" labelOnly="1" outline="0" axis="axisCol" fieldPosition="0"/>
    </format>
    <format dxfId="85">
      <pivotArea field="0" type="button" dataOnly="0" labelOnly="1" outline="0" axis="axisCol" fieldPosition="1"/>
    </format>
    <format dxfId="84">
      <pivotArea type="topRight" dataOnly="0" labelOnly="1" outline="0" fieldPosition="0"/>
    </format>
    <format dxfId="83">
      <pivotArea field="2" type="button" dataOnly="0" labelOnly="1" outline="0" axis="axisRow" fieldPosition="0"/>
    </format>
    <format dxfId="82">
      <pivotArea dataOnly="0" labelOnly="1" fieldPosition="0">
        <references count="1">
          <reference field="2" count="0"/>
        </references>
      </pivotArea>
    </format>
    <format dxfId="81">
      <pivotArea dataOnly="0" labelOnly="1" grandRow="1" outline="0" fieldPosition="0"/>
    </format>
    <format dxfId="80">
      <pivotArea dataOnly="0" labelOnly="1" fieldPosition="0">
        <references count="1">
          <reference field="8" count="0"/>
        </references>
      </pivotArea>
    </format>
    <format dxfId="79">
      <pivotArea dataOnly="0" labelOnly="1" fieldPosition="0">
        <references count="2">
          <reference field="0" count="1">
            <x v="0"/>
          </reference>
          <reference field="8" count="1" selected="0">
            <x v="0"/>
          </reference>
        </references>
      </pivotArea>
    </format>
    <format dxfId="78">
      <pivotArea dataOnly="0" labelOnly="1" fieldPosition="0">
        <references count="2">
          <reference field="0" count="1">
            <x v="0"/>
          </reference>
          <reference field="8" count="1" selected="0">
            <x v="1"/>
          </reference>
        </references>
      </pivotArea>
    </format>
    <format dxfId="77">
      <pivotArea dataOnly="0" labelOnly="1" fieldPosition="0">
        <references count="2">
          <reference field="0" count="1">
            <x v="0"/>
          </reference>
          <reference field="8" count="1" selected="0">
            <x v="2"/>
          </reference>
        </references>
      </pivotArea>
    </format>
    <format dxfId="76">
      <pivotArea dataOnly="0" labelOnly="1" fieldPosition="0">
        <references count="2">
          <reference field="0" count="1">
            <x v="1"/>
          </reference>
          <reference field="8" count="1" selected="0">
            <x v="3"/>
          </reference>
        </references>
      </pivotArea>
    </format>
    <format dxfId="75">
      <pivotArea dataOnly="0" labelOnly="1" fieldPosition="0">
        <references count="2">
          <reference field="0" count="1">
            <x v="1"/>
          </reference>
          <reference field="8" count="1" selected="0">
            <x v="4"/>
          </reference>
        </references>
      </pivotArea>
    </format>
    <format dxfId="74">
      <pivotArea type="all" dataOnly="0" outline="0" fieldPosition="0"/>
    </format>
    <format dxfId="73">
      <pivotArea outline="0" collapsedLevelsAreSubtotals="1" fieldPosition="0"/>
    </format>
    <format dxfId="72">
      <pivotArea type="origin" dataOnly="0" labelOnly="1" outline="0" fieldPosition="0"/>
    </format>
    <format dxfId="71">
      <pivotArea field="8" type="button" dataOnly="0" labelOnly="1" outline="0" axis="axisCol" fieldPosition="0"/>
    </format>
    <format dxfId="70">
      <pivotArea field="0" type="button" dataOnly="0" labelOnly="1" outline="0" axis="axisCol" fieldPosition="1"/>
    </format>
    <format dxfId="69">
      <pivotArea type="topRight" dataOnly="0" labelOnly="1" outline="0" fieldPosition="0"/>
    </format>
    <format dxfId="68">
      <pivotArea field="2" type="button" dataOnly="0" labelOnly="1" outline="0" axis="axisRow" fieldPosition="0"/>
    </format>
    <format dxfId="67">
      <pivotArea dataOnly="0" labelOnly="1" fieldPosition="0">
        <references count="1">
          <reference field="2" count="0"/>
        </references>
      </pivotArea>
    </format>
    <format dxfId="66">
      <pivotArea dataOnly="0" labelOnly="1" grandRow="1" outline="0" fieldPosition="0"/>
    </format>
    <format dxfId="65">
      <pivotArea dataOnly="0" labelOnly="1" fieldPosition="0">
        <references count="1">
          <reference field="8" count="0"/>
        </references>
      </pivotArea>
    </format>
    <format dxfId="64">
      <pivotArea dataOnly="0" labelOnly="1" fieldPosition="0">
        <references count="2">
          <reference field="0" count="1">
            <x v="0"/>
          </reference>
          <reference field="8" count="1" selected="0">
            <x v="0"/>
          </reference>
        </references>
      </pivotArea>
    </format>
    <format dxfId="63">
      <pivotArea dataOnly="0" labelOnly="1" fieldPosition="0">
        <references count="2">
          <reference field="0" count="1">
            <x v="0"/>
          </reference>
          <reference field="8" count="1" selected="0">
            <x v="1"/>
          </reference>
        </references>
      </pivotArea>
    </format>
    <format dxfId="62">
      <pivotArea dataOnly="0" labelOnly="1" fieldPosition="0">
        <references count="2">
          <reference field="0" count="1">
            <x v="0"/>
          </reference>
          <reference field="8" count="1" selected="0">
            <x v="2"/>
          </reference>
        </references>
      </pivotArea>
    </format>
    <format dxfId="61">
      <pivotArea dataOnly="0" labelOnly="1" fieldPosition="0">
        <references count="2">
          <reference field="0" count="1">
            <x v="1"/>
          </reference>
          <reference field="8" count="1" selected="0">
            <x v="3"/>
          </reference>
        </references>
      </pivotArea>
    </format>
    <format dxfId="60">
      <pivotArea dataOnly="0" labelOnly="1" fieldPosition="0">
        <references count="2">
          <reference field="0" count="1">
            <x v="1"/>
          </reference>
          <reference field="8" count="1" selected="0">
            <x v="4"/>
          </reference>
        </references>
      </pivotArea>
    </format>
    <format dxfId="5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PivotTable1" cacheId="0" dataOnRows="1" applyNumberFormats="0" applyBorderFormats="0" applyFontFormats="0" applyPatternFormats="0" applyAlignmentFormats="0" applyWidthHeightFormats="1" dataCaption="Data" updatedVersion="3" showMemberPropertyTips="0" useAutoFormatting="1" colGrandTotals="0" itemPrintTitles="1" createdVersion="1" indent="0" compact="0" compactData="0" gridDropZones="1" fieldListSortAscending="1">
  <location ref="A29:O38" firstHeaderRow="1" firstDataRow="2" firstDataCol="1"/>
  <pivotFields count="8">
    <pivotField axis="axisCol" compact="0" outline="0" subtotalTop="0" showAll="0" includeNewItemsInFilter="1">
      <items count="15">
        <item x="0"/>
        <item x="1"/>
        <item x="2"/>
        <item x="3"/>
        <item x="4"/>
        <item x="5"/>
        <item x="6"/>
        <item x="7"/>
        <item x="8"/>
        <item x="9"/>
        <item x="10"/>
        <item x="11"/>
        <item x="12"/>
        <item x="13"/>
        <item t="default"/>
      </items>
    </pivotField>
    <pivotField axis="axisRow" compact="0" outline="0" subtotalTop="0" showAll="0" includeNewItemsInFilter="1">
      <items count="8">
        <item x="0"/>
        <item x="1"/>
        <item x="2"/>
        <item x="3"/>
        <item x="4"/>
        <item x="5"/>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s>
  <rowFields count="1">
    <field x="1"/>
  </rowFields>
  <rowItems count="8">
    <i>
      <x/>
    </i>
    <i>
      <x v="1"/>
    </i>
    <i>
      <x v="2"/>
    </i>
    <i>
      <x v="3"/>
    </i>
    <i>
      <x v="4"/>
    </i>
    <i>
      <x v="5"/>
    </i>
    <i>
      <x v="6"/>
    </i>
    <i t="grand">
      <x/>
    </i>
  </rowItems>
  <colFields count="1">
    <field x="0"/>
  </colFields>
  <colItems count="14">
    <i>
      <x/>
    </i>
    <i>
      <x v="1"/>
    </i>
    <i>
      <x v="2"/>
    </i>
    <i>
      <x v="3"/>
    </i>
    <i>
      <x v="4"/>
    </i>
    <i>
      <x v="5"/>
    </i>
    <i>
      <x v="6"/>
    </i>
    <i>
      <x v="7"/>
    </i>
    <i>
      <x v="8"/>
    </i>
    <i>
      <x v="9"/>
    </i>
    <i>
      <x v="10"/>
    </i>
    <i>
      <x v="11"/>
    </i>
    <i>
      <x v="12"/>
    </i>
    <i>
      <x v="13"/>
    </i>
  </colItems>
  <dataFields count="1">
    <dataField name="Sum of amount" fld="7" baseField="0" baseItem="0" numFmtId="3"/>
  </dataFields>
  <formats count="1">
    <format dxfId="118">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2200-000001000000}" name="PivotTable2" cacheId="1" dataOnRows="1" applyNumberFormats="0" applyBorderFormats="0" applyFontFormats="0" applyPatternFormats="0" applyAlignmentFormats="0" applyWidthHeightFormats="1" dataCaption="Data" updatedVersion="6" minRefreshableVersion="3" asteriskTotals="1" showMemberPropertyTips="0" colGrandTotals="0" itemPrintTitles="1" indent="0" compact="0" compactData="0" gridDropZones="1" fieldListSortAscending="1">
  <location ref="A160:S170" firstHeaderRow="1" firstDataRow="3" firstDataCol="3" rowPageCount="5" colPageCount="1"/>
  <pivotFields count="18">
    <pivotField compact="0" outline="0" subtotalTop="0" showAll="0" includeNewItemsInFilter="1"/>
    <pivotField axis="axisCol" compact="0" outline="0" subtotalTop="0" showAll="0" includeNewItemsInFilter="1" defaultSubtotal="0">
      <items count="2">
        <item n="Actuals" x="0"/>
        <item n="Estimates" m="1" x="1"/>
      </items>
    </pivotField>
    <pivotField axis="axisPage" compact="0" outline="0" subtotalTop="0" showAll="0" includeNewItemsInFilter="1">
      <items count="4">
        <item x="0"/>
        <item x="1"/>
        <item m="1" x="2"/>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125">
        <item sd="0" m="1" x="103"/>
        <item sd="0" m="1" x="109"/>
        <item sd="0" m="1" x="81"/>
        <item sd="0" m="1" x="82"/>
        <item sd="0" m="1" x="83"/>
        <item sd="0" m="1" x="84"/>
        <item sd="0" m="1" x="85"/>
        <item sd="0" m="1" x="87"/>
        <item sd="0" m="1" x="65"/>
        <item sd="0" m="1" x="48"/>
        <item sd="0" m="1" x="49"/>
        <item sd="0" m="1" x="29"/>
        <item sd="0" m="1" x="31"/>
        <item sd="0" m="1" x="32"/>
        <item sd="0" m="1" x="33"/>
        <item sd="0" m="1" x="20"/>
        <item sd="0" m="1" x="23"/>
        <item sd="0" m="1" x="24"/>
        <item sd="0" m="1" x="25"/>
        <item sd="0" m="1" x="99"/>
        <item sd="0" m="1" x="101"/>
        <item sd="0" m="1" x="74"/>
        <item sd="0" m="1" x="75"/>
        <item sd="0" m="1" x="76"/>
        <item sd="0" m="1" x="77"/>
        <item sd="0" m="1" x="79"/>
        <item sd="0" m="1" x="58"/>
        <item sd="0" m="1" x="63"/>
        <item sd="0" m="1" x="64"/>
        <item sd="0" m="1" x="67"/>
        <item sd="0" m="1" x="68"/>
        <item sd="0" m="1" x="69"/>
        <item sd="0" m="1" x="70"/>
        <item sd="0" m="1" x="71"/>
        <item sd="0" m="1" x="72"/>
        <item sd="0" m="1" x="73"/>
        <item sd="0" m="1" x="50"/>
        <item sd="0" m="1" x="51"/>
        <item sd="0" m="1" x="52"/>
        <item sd="0" m="1" x="54"/>
        <item sd="0" m="1" x="55"/>
        <item sd="0" m="1" x="57"/>
        <item sd="0" m="1" x="34"/>
        <item sd="0" m="1" x="35"/>
        <item sd="0" m="1" x="36"/>
        <item sd="0" m="1" x="38"/>
        <item sd="0" m="1" x="26"/>
        <item sd="0" m="1" x="122"/>
        <item sd="0" m="1" x="123"/>
        <item sd="0" m="1" x="8"/>
        <item sd="0" m="1" x="102"/>
        <item sd="0" m="1" x="107"/>
        <item sd="0" m="1" x="80"/>
        <item sd="0" m="1" x="86"/>
        <item sd="0" m="1" x="47"/>
        <item sd="0" m="1" x="28"/>
        <item sd="0" m="1" x="30"/>
        <item sd="0" m="1" x="44"/>
        <item sd="0" m="1" x="27"/>
        <item sd="0" m="1" x="9"/>
        <item sd="0" m="1" x="11"/>
        <item sd="0" m="1" x="15"/>
        <item sd="0" m="1" x="16"/>
        <item sd="0" m="1" x="111"/>
        <item sd="0" m="1" x="89"/>
        <item sd="0" m="1" x="91"/>
        <item sd="0" m="1" x="66"/>
        <item sd="0" m="1" x="37"/>
        <item sd="0" m="1" x="17"/>
        <item sd="0" m="1" x="19"/>
        <item sd="0" m="1" x="21"/>
        <item sd="0" m="1" x="22"/>
        <item sd="0" m="1" x="114"/>
        <item sd="0" m="1" x="118"/>
        <item sd="0" m="1" x="94"/>
        <item sd="0" m="1" x="56"/>
        <item sd="0" m="1" x="59"/>
        <item sd="0" m="1" x="61"/>
        <item sd="0" m="1" x="39"/>
        <item sd="0" m="1" x="40"/>
        <item sd="0" m="1" x="41"/>
        <item sd="0" m="1" x="42"/>
        <item sd="0" m="1" x="43"/>
        <item sd="0" m="1" x="45"/>
        <item sd="0" m="1" x="46"/>
        <item sd="0" x="4"/>
        <item sd="0" x="0"/>
        <item sd="0" x="1"/>
        <item sd="0" x="5"/>
        <item sd="0" x="6"/>
        <item sd="0" m="1" x="13"/>
        <item sd="0" x="2"/>
        <item sd="0" m="1" x="112"/>
        <item sd="0" m="1" x="88"/>
        <item sd="0" m="1" x="90"/>
        <item sd="0" m="1" x="104"/>
        <item sd="0" m="1" x="105"/>
        <item sd="0" m="1" x="106"/>
        <item sd="0" m="1" x="108"/>
        <item sd="0" m="1" x="78"/>
        <item sd="0" m="1" x="113"/>
        <item sd="0" m="1" x="115"/>
        <item sd="0" m="1" x="116"/>
        <item sd="0" m="1" x="117"/>
        <item sd="0" m="1" x="119"/>
        <item sd="0" m="1" x="120"/>
        <item sd="0" m="1" x="92"/>
        <item sd="0" m="1" x="95"/>
        <item sd="0" m="1" x="97"/>
        <item sd="0" m="1" x="98"/>
        <item sd="0" m="1" x="53"/>
        <item sd="0" m="1" x="60"/>
        <item sd="0" m="1" x="121"/>
        <item sd="0" m="1" x="100"/>
        <item sd="0" x="3"/>
        <item sd="0" m="1" x="12"/>
        <item sd="0" m="1" x="14"/>
        <item sd="0" m="1" x="18"/>
        <item sd="0" m="1" x="93"/>
        <item sd="0" m="1" x="96"/>
        <item sd="0" m="1" x="10"/>
        <item sd="0" m="1" x="110"/>
        <item sd="0" m="1" x="7"/>
        <item sd="0" m="1" x="62"/>
        <item t="default" sd="0"/>
      </items>
    </pivotField>
    <pivotField compact="0" outline="0" subtotalTop="0" showAll="0" includeNewItemsInFilter="1"/>
    <pivotField axis="axisPage" compact="0" outline="0" subtotalTop="0" showAll="0" includeNewItemsInFilter="1">
      <items count="569">
        <item m="1" x="67"/>
        <item m="1" x="72"/>
        <item m="1" x="75"/>
        <item m="1" x="78"/>
        <item m="1" x="87"/>
        <item m="1" x="91"/>
        <item m="1" x="247"/>
        <item m="1" x="258"/>
        <item m="1" x="270"/>
        <item m="1" x="280"/>
        <item m="1" x="286"/>
        <item m="1" x="287"/>
        <item m="1" x="305"/>
        <item m="1" x="359"/>
        <item m="1" x="361"/>
        <item m="1" x="364"/>
        <item m="1" x="368"/>
        <item m="1" x="380"/>
        <item m="1" x="384"/>
        <item m="1" x="387"/>
        <item m="1" x="398"/>
        <item m="1" x="403"/>
        <item m="1" x="407"/>
        <item m="1" x="408"/>
        <item m="1" x="411"/>
        <item m="1" x="414"/>
        <item m="1" x="419"/>
        <item m="1" x="427"/>
        <item m="1" x="444"/>
        <item m="1" x="450"/>
        <item m="1" x="493"/>
        <item m="1" x="497"/>
        <item m="1" x="499"/>
        <item m="1" x="504"/>
        <item m="1" x="508"/>
        <item m="1" x="519"/>
        <item m="1" x="522"/>
        <item m="1" x="530"/>
        <item m="1" x="539"/>
        <item m="1" x="541"/>
        <item m="1" x="543"/>
        <item m="1" x="544"/>
        <item m="1" x="548"/>
        <item m="1" x="553"/>
        <item m="1" x="558"/>
        <item m="1" x="35"/>
        <item m="1" x="38"/>
        <item m="1" x="42"/>
        <item m="1" x="46"/>
        <item m="1" x="48"/>
        <item m="1" x="53"/>
        <item m="1" x="71"/>
        <item m="1" x="81"/>
        <item m="1" x="85"/>
        <item m="1" x="95"/>
        <item m="1" x="99"/>
        <item m="1" x="101"/>
        <item m="1" x="102"/>
        <item m="1" x="103"/>
        <item m="1" x="112"/>
        <item m="1" x="119"/>
        <item m="1" x="126"/>
        <item m="1" x="131"/>
        <item m="1" x="209"/>
        <item m="1" x="218"/>
        <item m="1" x="221"/>
        <item m="1" x="224"/>
        <item m="1" x="227"/>
        <item m="1" x="239"/>
        <item m="1" x="242"/>
        <item m="1" x="256"/>
        <item m="1" x="261"/>
        <item m="1" x="262"/>
        <item m="1" x="268"/>
        <item m="1" x="273"/>
        <item m="1" x="282"/>
        <item m="1" x="331"/>
        <item m="1" x="333"/>
        <item m="1" x="335"/>
        <item m="1" x="336"/>
        <item m="1" x="338"/>
        <item m="1" x="340"/>
        <item m="1" x="342"/>
        <item m="1" x="348"/>
        <item m="1" x="354"/>
        <item m="1" x="366"/>
        <item m="1" x="370"/>
        <item m="1" x="373"/>
        <item m="1" x="374"/>
        <item m="1" x="375"/>
        <item m="1" x="377"/>
        <item m="1" x="381"/>
        <item m="1" x="388"/>
        <item m="1" x="396"/>
        <item m="1" x="481"/>
        <item m="1" x="482"/>
        <item m="1" x="483"/>
        <item m="1" x="487"/>
        <item m="1" x="495"/>
        <item m="1" x="498"/>
        <item m="1" x="500"/>
        <item m="1" x="503"/>
        <item m="1" x="509"/>
        <item m="1" x="510"/>
        <item m="1" x="511"/>
        <item m="1" x="518"/>
        <item m="1" x="524"/>
        <item m="1" x="529"/>
        <item m="1" x="533"/>
        <item m="1" x="28"/>
        <item m="1" x="29"/>
        <item m="1" x="30"/>
        <item m="1" x="31"/>
        <item m="1" x="32"/>
        <item m="1" x="33"/>
        <item m="1" x="37"/>
        <item m="1" x="40"/>
        <item m="1" x="44"/>
        <item m="1" x="47"/>
        <item m="1" x="49"/>
        <item m="1" x="50"/>
        <item m="1" x="52"/>
        <item m="1" x="56"/>
        <item m="1" x="57"/>
        <item m="1" x="58"/>
        <item m="1" x="59"/>
        <item m="1" x="60"/>
        <item m="1" x="62"/>
        <item m="1" x="68"/>
        <item m="1" x="83"/>
        <item m="1" x="88"/>
        <item m="1" x="200"/>
        <item m="1" x="201"/>
        <item m="1" x="202"/>
        <item m="1" x="203"/>
        <item m="1" x="204"/>
        <item m="1" x="205"/>
        <item m="1" x="208"/>
        <item m="1" x="210"/>
        <item m="1" x="212"/>
        <item m="1" x="217"/>
        <item m="1" x="219"/>
        <item m="1" x="223"/>
        <item m="1" x="226"/>
        <item m="1" x="229"/>
        <item m="1" x="230"/>
        <item m="1" x="231"/>
        <item m="1" x="232"/>
        <item m="1" x="233"/>
        <item m="1" x="234"/>
        <item m="1" x="236"/>
        <item m="1" x="244"/>
        <item m="1" x="250"/>
        <item m="1" x="378"/>
        <item m="1" x="385"/>
        <item m="1" x="389"/>
        <item m="1" x="394"/>
        <item m="1" x="399"/>
        <item m="1" x="404"/>
        <item m="1" x="405"/>
        <item m="1" x="422"/>
        <item m="1" x="428"/>
        <item m="1" x="432"/>
        <item m="1" x="439"/>
        <item m="1" x="445"/>
        <item m="1" x="451"/>
        <item m="1" x="453"/>
        <item m="1" x="455"/>
        <item m="1" x="457"/>
        <item m="1" x="460"/>
        <item m="1" x="465"/>
        <item m="1" x="468"/>
        <item m="1" x="515"/>
        <item m="1" x="517"/>
        <item m="1" x="520"/>
        <item m="1" x="523"/>
        <item m="1" x="531"/>
        <item m="1" x="537"/>
        <item m="1" x="550"/>
        <item m="1" x="554"/>
        <item m="1" x="556"/>
        <item m="1" x="559"/>
        <item m="1" x="562"/>
        <item m="1" x="565"/>
        <item m="1" x="1"/>
        <item m="1" x="2"/>
        <item m="1" x="3"/>
        <item m="1" x="6"/>
        <item m="1" x="15"/>
        <item m="1" x="19"/>
        <item m="1" x="21"/>
        <item m="1" x="63"/>
        <item m="1" x="82"/>
        <item m="1" x="86"/>
        <item m="1" x="96"/>
        <item m="1" x="97"/>
        <item m="1" x="109"/>
        <item m="1" x="115"/>
        <item m="1" x="122"/>
        <item m="1" x="127"/>
        <item m="1" x="132"/>
        <item m="1" x="137"/>
        <item m="1" x="141"/>
        <item m="1" x="142"/>
        <item m="1" x="143"/>
        <item m="1" x="145"/>
        <item m="1" x="151"/>
        <item m="1" x="158"/>
        <item m="1" x="166"/>
        <item m="1" x="172"/>
        <item m="1" x="235"/>
        <item m="1" x="243"/>
        <item m="1" x="246"/>
        <item m="1" x="257"/>
        <item m="1" x="260"/>
        <item m="1" x="346"/>
        <item m="1" x="349"/>
        <item m="1" x="355"/>
        <item m="1" x="357"/>
        <item m="1" x="360"/>
        <item m="1" x="362"/>
        <item m="1" x="367"/>
        <item m="1" x="371"/>
        <item x="0"/>
        <item m="1" x="379"/>
        <item m="1" x="382"/>
        <item m="1" x="390"/>
        <item m="1" x="392"/>
        <item m="1" x="401"/>
        <item m="1" x="406"/>
        <item m="1" x="409"/>
        <item m="1" x="410"/>
        <item m="1" x="412"/>
        <item m="1" x="417"/>
        <item m="1" x="424"/>
        <item m="1" x="441"/>
        <item m="1" x="447"/>
        <item m="1" x="492"/>
        <item m="1" x="496"/>
        <item m="1" x="501"/>
        <item m="1" x="506"/>
        <item m="1" x="507"/>
        <item m="1" x="516"/>
        <item m="1" x="521"/>
        <item m="1" x="527"/>
        <item m="1" x="534"/>
        <item m="1" x="535"/>
        <item m="1" x="538"/>
        <item m="1" x="540"/>
        <item m="1" x="542"/>
        <item m="1" x="546"/>
        <item m="1" x="557"/>
        <item m="1" x="561"/>
        <item m="1" x="563"/>
        <item m="1" x="34"/>
        <item m="1" x="41"/>
        <item m="1" x="45"/>
        <item m="1" x="51"/>
        <item m="1" x="55"/>
        <item m="1" x="64"/>
        <item m="1" x="69"/>
        <item m="1" x="79"/>
        <item m="1" x="89"/>
        <item m="1" x="92"/>
        <item m="1" x="98"/>
        <item m="1" x="100"/>
        <item m="1" x="118"/>
        <item m="1" x="125"/>
        <item m="1" x="130"/>
        <item m="1" x="211"/>
        <item m="1" x="213"/>
        <item m="1" x="215"/>
        <item m="1" x="220"/>
        <item m="1" x="237"/>
        <item m="1" x="240"/>
        <item m="1" x="248"/>
        <item m="1" x="251"/>
        <item m="1" x="254"/>
        <item m="1" x="265"/>
        <item m="1" x="330"/>
        <item m="1" x="332"/>
        <item m="1" x="334"/>
        <item m="1" x="337"/>
        <item m="1" x="339"/>
        <item m="1" x="341"/>
        <item m="1" x="343"/>
        <item m="1" x="480"/>
        <item m="1" x="484"/>
        <item m="1" x="485"/>
        <item m="1" x="486"/>
        <item m="1" x="488"/>
        <item m="1" x="489"/>
        <item m="1" x="490"/>
        <item m="1" x="491"/>
        <item m="1" x="107"/>
        <item m="1" x="110"/>
        <item m="1" x="113"/>
        <item m="1" x="116"/>
        <item m="1" x="120"/>
        <item m="1" x="123"/>
        <item m="1" x="128"/>
        <item m="1" x="133"/>
        <item m="1" x="140"/>
        <item m="1" x="266"/>
        <item m="1" x="271"/>
        <item m="1" x="274"/>
        <item m="1" x="277"/>
        <item m="1" x="279"/>
        <item m="1" x="283"/>
        <item m="1" x="284"/>
        <item m="1" x="285"/>
        <item m="1" x="383"/>
        <item m="1" x="386"/>
        <item m="1" x="391"/>
        <item m="1" x="393"/>
        <item m="1" x="397"/>
        <item m="1" x="402"/>
        <item m="1" x="525"/>
        <item m="1" x="528"/>
        <item m="1" x="65"/>
        <item m="1" x="76"/>
        <item m="1" x="84"/>
        <item m="1" x="238"/>
        <item m="1" x="241"/>
        <item m="1" x="259"/>
        <item m="1" x="345"/>
        <item m="1" x="351"/>
        <item m="1" x="353"/>
        <item m="1" x="365"/>
        <item m="1" x="369"/>
        <item m="1" x="372"/>
        <item m="1" x="494"/>
        <item m="1" x="502"/>
        <item m="1" x="505"/>
        <item m="1" x="36"/>
        <item m="1" x="39"/>
        <item m="1" x="43"/>
        <item m="1" x="54"/>
        <item m="1" x="206"/>
        <item m="1" x="207"/>
        <item m="1" x="214"/>
        <item m="1" x="216"/>
        <item m="1" x="222"/>
        <item m="1" x="225"/>
        <item m="1" x="228"/>
        <item m="1" x="418"/>
        <item m="1" x="429"/>
        <item m="1" x="434"/>
        <item m="1" x="437"/>
        <item m="1" x="454"/>
        <item m="1" x="567"/>
        <item m="1" x="106"/>
        <item m="1" x="276"/>
        <item m="1" x="395"/>
        <item m="1" x="400"/>
        <item m="1" x="513"/>
        <item m="1" x="526"/>
        <item m="1" x="532"/>
        <item m="1" x="536"/>
        <item m="1" x="74"/>
        <item m="1" x="344"/>
        <item m="1" x="347"/>
        <item m="1" x="350"/>
        <item m="1" x="352"/>
        <item m="1" x="356"/>
        <item m="1" x="358"/>
        <item m="1" x="363"/>
        <item m="1" x="152"/>
        <item m="1" x="160"/>
        <item m="1" x="164"/>
        <item m="1" x="167"/>
        <item m="1" x="174"/>
        <item m="1" x="177"/>
        <item m="1" x="288"/>
        <item m="1" x="290"/>
        <item m="1" x="296"/>
        <item m="1" x="299"/>
        <item m="1" x="302"/>
        <item m="1" x="307"/>
        <item m="1" x="309"/>
        <item m="1" x="416"/>
        <item m="1" x="420"/>
        <item m="1" x="423"/>
        <item m="1" x="433"/>
        <item m="1" x="440"/>
        <item m="1" x="446"/>
        <item m="1" x="551"/>
        <item m="1" x="555"/>
        <item m="1" x="560"/>
        <item m="1" x="564"/>
        <item m="1" x="566"/>
        <item m="1" x="105"/>
        <item m="1" x="108"/>
        <item m="1" x="111"/>
        <item m="1" x="114"/>
        <item m="1" x="117"/>
        <item m="1" x="121"/>
        <item m="1" x="134"/>
        <item m="1" x="138"/>
        <item m="1" x="264"/>
        <item m="1" x="269"/>
        <item m="1" x="275"/>
        <item m="1" x="376"/>
        <item m="1" x="512"/>
        <item m="1" x="514"/>
        <item m="1" x="61"/>
        <item m="1" x="70"/>
        <item m="1" x="73"/>
        <item m="1" x="77"/>
        <item m="1" x="80"/>
        <item m="1" x="90"/>
        <item m="1" x="94"/>
        <item m="1" x="245"/>
        <item m="1" x="249"/>
        <item m="1" x="252"/>
        <item m="1" x="253"/>
        <item m="1" x="255"/>
        <item m="1" x="459"/>
        <item m="1" x="461"/>
        <item m="1" x="466"/>
        <item m="1" x="469"/>
        <item m="1" x="472"/>
        <item m="1" x="473"/>
        <item m="1" x="7"/>
        <item m="1" x="9"/>
        <item m="1" x="12"/>
        <item m="1" x="16"/>
        <item m="1" x="17"/>
        <item m="1" x="155"/>
        <item m="1" x="159"/>
        <item m="1" x="163"/>
        <item m="1" x="169"/>
        <item m="1" x="175"/>
        <item m="1" x="292"/>
        <item m="1" x="297"/>
        <item m="1" x="300"/>
        <item m="1" x="303"/>
        <item m="1" x="308"/>
        <item m="1" x="415"/>
        <item m="1" x="425"/>
        <item m="1" x="430"/>
        <item m="1" x="435"/>
        <item m="1" x="438"/>
        <item m="1" x="442"/>
        <item m="1" x="448"/>
        <item m="1" x="452"/>
        <item m="1" x="545"/>
        <item m="1" x="547"/>
        <item m="1" x="549"/>
        <item m="1" x="552"/>
        <item m="1" x="104"/>
        <item m="1" x="136"/>
        <item m="1" x="263"/>
        <item m="1" x="267"/>
        <item m="1" x="272"/>
        <item m="1" x="278"/>
        <item m="1" x="281"/>
        <item m="1" x="178"/>
        <item m="1" x="181"/>
        <item m="1" x="185"/>
        <item m="1" x="186"/>
        <item m="1" x="187"/>
        <item m="1" x="189"/>
        <item m="1" x="191"/>
        <item m="1" x="193"/>
        <item m="1" x="196"/>
        <item m="1" x="312"/>
        <item m="1" x="318"/>
        <item m="1" x="319"/>
        <item m="1" x="321"/>
        <item m="1" x="323"/>
        <item m="1" x="458"/>
        <item m="1" x="463"/>
        <item m="1" x="4"/>
        <item m="1" x="5"/>
        <item m="1" x="8"/>
        <item m="1" x="10"/>
        <item m="1" x="14"/>
        <item m="1" x="149"/>
        <item m="1" x="153"/>
        <item m="1" x="161"/>
        <item m="1" x="165"/>
        <item m="1" x="294"/>
        <item m="1" x="124"/>
        <item m="1" x="129"/>
        <item m="1" x="135"/>
        <item m="1" x="180"/>
        <item m="1" x="183"/>
        <item m="1" x="190"/>
        <item m="1" x="192"/>
        <item m="1" x="195"/>
        <item m="1" x="311"/>
        <item m="1" x="314"/>
        <item m="1" x="316"/>
        <item m="1" x="317"/>
        <item m="1" x="320"/>
        <item m="1" x="324"/>
        <item m="1" x="326"/>
        <item m="1" x="462"/>
        <item m="1" x="464"/>
        <item m="1" x="467"/>
        <item m="1" x="470"/>
        <item m="1" x="471"/>
        <item m="1" x="474"/>
        <item m="1" x="13"/>
        <item m="1" x="20"/>
        <item m="1" x="22"/>
        <item m="1" x="146"/>
        <item m="1" x="148"/>
        <item m="1" x="156"/>
        <item m="1" x="173"/>
        <item m="1" x="176"/>
        <item m="1" x="293"/>
        <item m="1" x="295"/>
        <item m="1" x="298"/>
        <item m="1" x="301"/>
        <item m="1" x="304"/>
        <item m="1" x="306"/>
        <item m="1" x="413"/>
        <item m="1" x="421"/>
        <item m="1" x="426"/>
        <item m="1" x="431"/>
        <item m="1" x="436"/>
        <item m="1" x="443"/>
        <item m="1" x="449"/>
        <item m="1" x="197"/>
        <item m="1" x="327"/>
        <item m="1" x="328"/>
        <item m="1" x="329"/>
        <item m="1" x="475"/>
        <item m="1" x="476"/>
        <item m="1" x="477"/>
        <item m="1" x="478"/>
        <item m="1" x="479"/>
        <item m="1" x="23"/>
        <item m="1" x="24"/>
        <item m="1" x="25"/>
        <item m="1" x="26"/>
        <item m="1" x="27"/>
        <item m="1" x="179"/>
        <item m="1" x="182"/>
        <item m="1" x="184"/>
        <item m="1" x="188"/>
        <item m="1" x="194"/>
        <item m="1" x="310"/>
        <item m="1" x="313"/>
        <item m="1" x="315"/>
        <item m="1" x="322"/>
        <item m="1" x="325"/>
        <item m="1" x="456"/>
        <item m="1" x="11"/>
        <item m="1" x="18"/>
        <item m="1" x="144"/>
        <item m="1" x="147"/>
        <item m="1" x="150"/>
        <item m="1" x="154"/>
        <item m="1" x="157"/>
        <item m="1" x="162"/>
        <item m="1" x="168"/>
        <item m="1" x="171"/>
        <item m="1" x="289"/>
        <item m="1" x="291"/>
        <item m="1" x="198"/>
        <item m="1" x="199"/>
        <item m="1" x="66"/>
        <item m="1" x="170"/>
        <item m="1" x="93"/>
        <item m="1" x="139"/>
        <item t="default"/>
      </items>
    </pivotField>
    <pivotField axis="axisPage" compact="0" outline="0" subtotalTop="0" showAll="0" includeNewItemsInFilter="1" sortType="ascending">
      <items count="638">
        <item m="1" x="371"/>
        <item m="1" x="382"/>
        <item m="1" x="143"/>
        <item m="1" x="199"/>
        <item m="1" x="368"/>
        <item m="1" x="483"/>
        <item m="1" x="83"/>
        <item m="1" x="251"/>
        <item m="1" x="113"/>
        <item m="1" x="111"/>
        <item m="1" x="230"/>
        <item m="1" x="64"/>
        <item m="1" x="291"/>
        <item m="1" x="511"/>
        <item m="1" x="616"/>
        <item m="1" x="202"/>
        <item m="1" x="569"/>
        <item m="1" x="277"/>
        <item m="1" x="603"/>
        <item m="1" x="335"/>
        <item m="1" x="312"/>
        <item m="1" x="222"/>
        <item m="1" x="619"/>
        <item m="1" x="352"/>
        <item m="1" x="466"/>
        <item m="1" x="484"/>
        <item m="1" x="413"/>
        <item m="1" x="21"/>
        <item m="1" x="600"/>
        <item m="1" x="223"/>
        <item m="1" x="509"/>
        <item m="1" x="170"/>
        <item m="1" x="314"/>
        <item m="1" x="358"/>
        <item m="1" x="429"/>
        <item m="1" x="289"/>
        <item m="1" x="201"/>
        <item m="1" x="149"/>
        <item m="1" x="423"/>
        <item m="1" x="167"/>
        <item m="1" x="406"/>
        <item m="1" x="365"/>
        <item m="1" x="635"/>
        <item m="1" x="500"/>
        <item m="1" x="42"/>
        <item m="1" x="354"/>
        <item m="1" x="621"/>
        <item m="1" x="293"/>
        <item m="1" x="575"/>
        <item m="1" x="318"/>
        <item m="1" x="7"/>
        <item m="1" x="315"/>
        <item m="1" x="267"/>
        <item m="1" x="367"/>
        <item m="1" x="34"/>
        <item m="1" x="302"/>
        <item m="1" x="612"/>
        <item m="1" x="71"/>
        <item m="1" x="232"/>
        <item m="1" x="591"/>
        <item m="1" x="543"/>
        <item m="1" x="488"/>
        <item m="1" x="633"/>
        <item m="1" x="243"/>
        <item m="1" x="567"/>
        <item m="1" x="189"/>
        <item m="1" x="441"/>
        <item m="1" x="9"/>
        <item m="1" x="370"/>
        <item m="1" x="592"/>
        <item m="1" x="218"/>
        <item m="1" x="272"/>
        <item m="1" x="273"/>
        <item m="1" x="378"/>
        <item m="1" x="541"/>
        <item m="1" x="65"/>
        <item m="1" x="73"/>
        <item m="1" x="419"/>
        <item m="1" x="504"/>
        <item m="1" x="530"/>
        <item m="1" x="176"/>
        <item m="1" x="18"/>
        <item m="1" x="75"/>
        <item m="1" x="257"/>
        <item m="1" x="195"/>
        <item m="1" x="43"/>
        <item m="1" x="196"/>
        <item m="1" x="162"/>
        <item m="1" x="197"/>
        <item m="1" x="552"/>
        <item m="1" x="50"/>
        <item m="1" x="240"/>
        <item m="1" x="124"/>
        <item m="1" x="63"/>
        <item m="1" x="457"/>
        <item m="1" x="188"/>
        <item m="1" x="418"/>
        <item m="1" x="288"/>
        <item m="1" x="316"/>
        <item m="1" x="461"/>
        <item m="1" x="570"/>
        <item m="1" x="210"/>
        <item m="1" x="333"/>
        <item m="1" x="96"/>
        <item m="1" x="48"/>
        <item m="1" x="426"/>
        <item m="1" x="539"/>
        <item m="1" x="253"/>
        <item m="1" x="88"/>
        <item m="1" x="582"/>
        <item m="1" x="361"/>
        <item m="1" x="82"/>
        <item m="1" x="173"/>
        <item m="1" x="473"/>
        <item m="1" x="5"/>
        <item m="1" x="286"/>
        <item m="1" x="363"/>
        <item m="1" x="306"/>
        <item m="1" x="40"/>
        <item m="1" x="301"/>
        <item m="1" x="347"/>
        <item m="1" x="325"/>
        <item m="1" x="6"/>
        <item m="1" x="327"/>
        <item m="1" x="146"/>
        <item m="1" x="561"/>
        <item m="1" x="86"/>
        <item m="1" x="585"/>
        <item m="1" x="295"/>
        <item m="1" x="126"/>
        <item m="1" x="618"/>
        <item m="1" x="38"/>
        <item m="1" x="381"/>
        <item m="1" x="550"/>
        <item m="1" x="587"/>
        <item m="1" x="422"/>
        <item m="1" x="238"/>
        <item m="1" x="583"/>
        <item m="1" x="140"/>
        <item m="1" x="507"/>
        <item m="1" x="290"/>
        <item m="1" x="604"/>
        <item m="1" x="68"/>
        <item m="1" x="588"/>
        <item m="1" x="163"/>
        <item m="1" x="425"/>
        <item m="1" x="169"/>
        <item m="1" x="142"/>
        <item m="1" x="362"/>
        <item m="1" x="66"/>
        <item m="1" x="503"/>
        <item m="1" x="372"/>
        <item m="1" x="1"/>
        <item m="1" x="485"/>
        <item m="1" x="212"/>
        <item m="1" x="106"/>
        <item m="1" x="534"/>
        <item m="1" x="304"/>
        <item m="1" x="246"/>
        <item m="1" x="172"/>
        <item m="1" x="338"/>
        <item m="1" x="505"/>
        <item m="1" x="125"/>
        <item m="1" x="103"/>
        <item m="1" x="181"/>
        <item m="1" x="360"/>
        <item m="1" x="531"/>
        <item m="1" x="53"/>
        <item m="1" x="25"/>
        <item m="1" x="545"/>
        <item m="1" x="271"/>
        <item m="1" x="586"/>
        <item m="1" x="350"/>
        <item m="1" x="120"/>
        <item m="1" x="26"/>
        <item m="1" x="344"/>
        <item m="1" x="185"/>
        <item m="1" x="209"/>
        <item m="1" x="14"/>
        <item m="1" x="533"/>
        <item m="1" x="228"/>
        <item m="1" x="110"/>
        <item m="1" x="118"/>
        <item m="1" x="33"/>
        <item m="1" x="47"/>
        <item m="1" x="430"/>
        <item m="1" x="496"/>
        <item m="1" x="132"/>
        <item m="1" x="410"/>
        <item m="1" x="307"/>
        <item m="1" x="502"/>
        <item m="1" x="336"/>
        <item m="1" x="123"/>
        <item m="1" x="3"/>
        <item m="1" x="20"/>
        <item m="1" x="515"/>
        <item m="1" x="458"/>
        <item m="1" x="388"/>
        <item m="1" x="252"/>
        <item m="1" x="342"/>
        <item m="1" x="436"/>
        <item m="1" x="205"/>
        <item m="1" x="468"/>
        <item m="1" x="137"/>
        <item m="1" x="97"/>
        <item m="1" x="448"/>
        <item m="1" x="497"/>
        <item m="1" x="384"/>
        <item m="1" x="389"/>
        <item m="1" x="376"/>
        <item m="1" x="135"/>
        <item m="1" x="518"/>
        <item m="1" x="76"/>
        <item m="1" x="437"/>
        <item m="1" x="459"/>
        <item m="1" x="233"/>
        <item m="1" x="281"/>
        <item m="1" x="39"/>
        <item m="1" x="283"/>
        <item m="1" x="156"/>
        <item m="1" x="227"/>
        <item m="1" x="374"/>
        <item m="1" x="8"/>
        <item m="1" x="528"/>
        <item m="1" x="477"/>
        <item m="1" x="565"/>
        <item m="1" x="58"/>
        <item m="1" x="69"/>
        <item m="1" x="455"/>
        <item m="1" x="279"/>
        <item m="1" x="72"/>
        <item m="1" x="544"/>
        <item m="1" x="475"/>
        <item m="1" x="469"/>
        <item m="1" x="411"/>
        <item m="1" x="393"/>
        <item m="1" x="84"/>
        <item m="1" x="555"/>
        <item m="1" x="95"/>
        <item m="1" x="46"/>
        <item m="1" x="148"/>
        <item m="1" x="175"/>
        <item m="1" x="11"/>
        <item m="1" x="10"/>
        <item m="1" x="269"/>
        <item m="1" x="510"/>
        <item m="1" x="494"/>
        <item m="1" x="520"/>
        <item m="1" x="182"/>
        <item m="1" x="442"/>
        <item m="1" x="495"/>
        <item m="1" x="309"/>
        <item m="1" x="244"/>
        <item m="1" x="576"/>
        <item m="1" x="105"/>
        <item m="1" x="179"/>
        <item m="1" x="287"/>
        <item x="0"/>
        <item m="1" x="278"/>
        <item m="1" x="155"/>
        <item m="1" x="270"/>
        <item m="1" x="311"/>
        <item m="1" x="631"/>
        <item m="1" x="472"/>
        <item m="1" x="349"/>
        <item m="1" x="67"/>
        <item m="1" x="54"/>
        <item m="1" x="99"/>
        <item m="1" x="613"/>
        <item m="1" x="359"/>
        <item m="1" x="285"/>
        <item m="1" x="280"/>
        <item m="1" x="571"/>
        <item m="1" x="94"/>
        <item m="1" x="625"/>
        <item m="1" x="164"/>
        <item m="1" x="299"/>
        <item m="1" x="204"/>
        <item m="1" x="463"/>
        <item m="1" x="478"/>
        <item m="1" x="177"/>
        <item m="1" x="159"/>
        <item m="1" x="636"/>
        <item m="1" x="112"/>
        <item m="1" x="292"/>
        <item m="1" x="59"/>
        <item m="1" x="562"/>
        <item m="1" x="77"/>
        <item m="1" x="394"/>
        <item m="1" x="308"/>
        <item m="1" x="601"/>
        <item m="1" x="351"/>
        <item m="1" x="80"/>
        <item m="1" x="450"/>
        <item m="1" x="213"/>
        <item m="1" x="214"/>
        <item m="1" x="216"/>
        <item m="1" x="405"/>
        <item m="1" x="334"/>
        <item m="1" x="317"/>
        <item m="1" x="498"/>
        <item m="1" x="470"/>
        <item m="1" x="415"/>
        <item m="1" x="452"/>
        <item m="1" x="523"/>
        <item m="1" x="16"/>
        <item m="1" x="345"/>
        <item m="1" x="632"/>
        <item m="1" x="549"/>
        <item m="1" x="321"/>
        <item m="1" x="174"/>
        <item m="1" x="339"/>
        <item m="1" x="607"/>
        <item m="1" x="609"/>
        <item m="1" x="37"/>
        <item m="1" x="145"/>
        <item m="1" x="628"/>
        <item m="1" x="564"/>
        <item m="1" x="319"/>
        <item m="1" x="224"/>
        <item m="1" x="153"/>
        <item m="1" x="417"/>
        <item m="1" x="474"/>
        <item m="1" x="139"/>
        <item m="1" x="401"/>
        <item m="1" x="282"/>
        <item m="1" x="35"/>
        <item m="1" x="144"/>
        <item m="1" x="428"/>
        <item m="1" x="547"/>
        <item m="1" x="161"/>
        <item m="1" x="446"/>
        <item m="1" x="432"/>
        <item m="1" x="198"/>
        <item m="1" x="524"/>
        <item m="1" x="121"/>
        <item m="1" x="180"/>
        <item m="1" x="157"/>
        <item m="1" x="434"/>
        <item m="1" x="27"/>
        <item m="1" x="396"/>
        <item m="1" x="187"/>
        <item m="1" x="116"/>
        <item m="1" x="391"/>
        <item m="1" x="536"/>
        <item m="1" x="420"/>
        <item m="1" x="617"/>
        <item m="1" x="160"/>
        <item m="1" x="184"/>
        <item m="1" x="250"/>
        <item m="1" x="119"/>
        <item m="1" x="2"/>
        <item m="1" x="262"/>
        <item m="1" x="62"/>
        <item m="1" x="577"/>
        <item m="1" x="402"/>
        <item m="1" x="236"/>
        <item m="1" x="44"/>
        <item m="1" x="330"/>
        <item m="1" x="36"/>
        <item m="1" x="211"/>
        <item m="1" x="627"/>
        <item m="1" x="242"/>
        <item m="1" x="323"/>
        <item m="1" x="487"/>
        <item m="1" x="128"/>
        <item m="1" x="529"/>
        <item m="1" x="259"/>
        <item m="1" x="138"/>
        <item m="1" x="379"/>
        <item m="1" x="519"/>
        <item m="1" x="499"/>
        <item m="1" x="31"/>
        <item m="1" x="208"/>
        <item m="1" x="403"/>
        <item m="1" x="383"/>
        <item m="1" x="551"/>
        <item m="1" x="554"/>
        <item m="1" x="256"/>
        <item m="1" x="387"/>
        <item m="1" x="572"/>
        <item m="1" x="241"/>
        <item m="1" x="150"/>
        <item m="1" x="61"/>
        <item m="1" x="353"/>
        <item m="1" x="104"/>
        <item m="1" x="542"/>
        <item m="1" x="535"/>
        <item m="1" x="491"/>
        <item m="1" x="4"/>
        <item m="1" x="19"/>
        <item m="1" x="532"/>
        <item m="1" x="266"/>
        <item m="1" x="200"/>
        <item m="1" x="79"/>
        <item m="1" x="397"/>
        <item m="1" x="56"/>
        <item m="1" x="57"/>
        <item m="1" x="234"/>
        <item m="1" x="178"/>
        <item m="1" x="191"/>
        <item m="1" x="414"/>
        <item m="1" x="248"/>
        <item m="1" x="390"/>
        <item m="1" x="254"/>
        <item m="1" x="356"/>
        <item m="1" x="12"/>
        <item m="1" x="594"/>
        <item m="1" x="130"/>
        <item m="1" x="322"/>
        <item m="1" x="386"/>
        <item m="1" x="563"/>
        <item m="1" x="443"/>
        <item m="1" x="556"/>
        <item m="1" x="136"/>
        <item m="1" x="166"/>
        <item m="1" x="22"/>
        <item m="1" x="203"/>
        <item m="1" x="23"/>
        <item m="1" x="608"/>
        <item m="1" x="369"/>
        <item m="1" x="90"/>
        <item m="1" x="454"/>
        <item m="1" x="131"/>
        <item m="1" x="421"/>
        <item m="1" x="399"/>
        <item m="1" x="168"/>
        <item m="1" x="630"/>
        <item m="1" x="332"/>
        <item m="1" x="346"/>
        <item m="1" x="29"/>
        <item m="1" x="268"/>
        <item m="1" x="98"/>
        <item m="1" x="453"/>
        <item m="1" x="101"/>
        <item m="1" x="85"/>
        <item m="1" x="465"/>
        <item m="1" x="522"/>
        <item m="1" x="366"/>
        <item m="1" x="260"/>
        <item m="1" x="537"/>
        <item m="1" x="30"/>
        <item m="1" x="108"/>
        <item m="1" x="462"/>
        <item m="1" x="593"/>
        <item m="1" x="559"/>
        <item m="1" x="560"/>
        <item m="1" x="624"/>
        <item m="1" x="231"/>
        <item m="1" x="595"/>
        <item m="1" x="375"/>
        <item m="1" x="91"/>
        <item m="1" x="445"/>
        <item m="1" x="364"/>
        <item m="1" x="489"/>
        <item m="1" x="194"/>
        <item m="1" x="481"/>
        <item m="1" x="610"/>
        <item m="1" x="444"/>
        <item m="1" x="192"/>
        <item m="1" x="207"/>
        <item m="1" x="274"/>
        <item m="1" x="225"/>
        <item m="1" x="239"/>
        <item m="1" x="476"/>
        <item m="1" x="341"/>
        <item m="1" x="439"/>
        <item m="1" x="51"/>
        <item m="1" x="245"/>
        <item m="1" x="357"/>
        <item m="1" x="45"/>
        <item m="1" x="276"/>
        <item m="1" x="479"/>
        <item m="1" x="320"/>
        <item m="1" x="407"/>
        <item m="1" x="343"/>
        <item m="1" x="329"/>
        <item m="1" x="525"/>
        <item m="1" x="580"/>
        <item m="1" x="599"/>
        <item m="1" x="385"/>
        <item m="1" x="392"/>
        <item m="1" x="373"/>
        <item m="1" x="235"/>
        <item m="1" x="55"/>
        <item m="1" x="313"/>
        <item m="1" x="217"/>
        <item m="1" x="255"/>
        <item m="1" x="87"/>
        <item m="1" x="328"/>
        <item m="1" x="456"/>
        <item m="1" x="622"/>
        <item m="1" x="527"/>
        <item m="1" x="514"/>
        <item m="1" x="573"/>
        <item m="1" x="377"/>
        <item m="1" x="206"/>
        <item m="1" x="261"/>
        <item m="1" x="305"/>
        <item m="1" x="294"/>
        <item m="1" x="395"/>
        <item m="1" x="512"/>
        <item m="1" x="78"/>
        <item m="1" x="460"/>
        <item m="1" x="348"/>
        <item m="1" x="17"/>
        <item m="1" x="409"/>
        <item m="1" x="615"/>
        <item m="1" x="449"/>
        <item m="1" x="471"/>
        <item m="1" x="538"/>
        <item m="1" x="486"/>
        <item m="1" x="431"/>
        <item m="1" x="614"/>
        <item m="1" x="190"/>
        <item m="1" x="141"/>
        <item m="1" x="602"/>
        <item m="1" x="15"/>
        <item m="1" x="41"/>
        <item m="1" x="229"/>
        <item m="1" x="540"/>
        <item m="1" x="568"/>
        <item m="1" x="589"/>
        <item m="1" x="623"/>
        <item m="1" x="521"/>
        <item m="1" x="134"/>
        <item m="1" x="404"/>
        <item m="1" x="165"/>
        <item m="1" x="152"/>
        <item m="1" x="275"/>
        <item m="1" x="127"/>
        <item m="1" x="435"/>
        <item m="1" x="490"/>
        <item m="1" x="107"/>
        <item m="1" x="13"/>
        <item m="1" x="219"/>
        <item m="1" x="284"/>
        <item m="1" x="557"/>
        <item m="1" x="226"/>
        <item m="1" x="263"/>
        <item m="1" x="28"/>
        <item m="1" x="516"/>
        <item m="1" x="115"/>
        <item m="1" x="629"/>
        <item m="1" x="114"/>
        <item m="1" x="492"/>
        <item m="1" x="297"/>
        <item m="1" x="605"/>
        <item m="1" x="171"/>
        <item m="1" x="117"/>
        <item m="1" x="247"/>
        <item m="1" x="451"/>
        <item m="1" x="513"/>
        <item m="1" x="408"/>
        <item m="1" x="584"/>
        <item m="1" x="626"/>
        <item m="1" x="49"/>
        <item m="1" x="158"/>
        <item m="1" x="100"/>
        <item m="1" x="324"/>
        <item m="1" x="493"/>
        <item m="1" x="310"/>
        <item m="1" x="154"/>
        <item m="1" x="147"/>
        <item m="1" x="590"/>
        <item m="1" x="215"/>
        <item m="1" x="398"/>
        <item m="1" x="337"/>
        <item m="1" x="546"/>
        <item m="1" x="70"/>
        <item m="1" x="102"/>
        <item m="1" x="480"/>
        <item m="1" x="133"/>
        <item m="1" x="340"/>
        <item m="1" x="220"/>
        <item m="1" x="32"/>
        <item m="1" x="611"/>
        <item m="1" x="331"/>
        <item m="1" x="296"/>
        <item m="1" x="60"/>
        <item m="1" x="52"/>
        <item m="1" x="122"/>
        <item m="1" x="89"/>
        <item m="1" x="193"/>
        <item m="1" x="92"/>
        <item m="1" x="93"/>
        <item m="1" x="424"/>
        <item m="1" x="265"/>
        <item m="1" x="221"/>
        <item m="1" x="526"/>
        <item m="1" x="412"/>
        <item m="1" x="606"/>
        <item m="1" x="467"/>
        <item m="1" x="258"/>
        <item m="1" x="237"/>
        <item m="1" x="249"/>
        <item m="1" x="596"/>
        <item m="1" x="74"/>
        <item m="1" x="440"/>
        <item m="1" x="186"/>
        <item m="1" x="447"/>
        <item m="1" x="264"/>
        <item m="1" x="427"/>
        <item m="1" x="380"/>
        <item m="1" x="433"/>
        <item m="1" x="597"/>
        <item m="1" x="598"/>
        <item m="1" x="508"/>
        <item m="1" x="506"/>
        <item m="1" x="300"/>
        <item m="1" x="566"/>
        <item m="1" x="482"/>
        <item m="1" x="620"/>
        <item m="1" x="581"/>
        <item m="1" x="553"/>
        <item m="1" x="634"/>
        <item m="1" x="298"/>
        <item m="1" x="355"/>
        <item m="1" x="151"/>
        <item m="1" x="438"/>
        <item m="1" x="303"/>
        <item m="1" x="517"/>
        <item m="1" x="578"/>
        <item m="1" x="464"/>
        <item m="1" x="501"/>
        <item m="1" x="183"/>
        <item m="1" x="24"/>
        <item m="1" x="81"/>
        <item m="1" x="416"/>
        <item m="1" x="326"/>
        <item m="1" x="129"/>
        <item m="1" x="574"/>
        <item m="1" x="548"/>
        <item m="1" x="558"/>
        <item m="1" x="579"/>
        <item m="1" x="400"/>
        <item m="1" x="109"/>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13">
        <item m="1" x="11"/>
        <item m="1" x="10"/>
        <item x="7"/>
        <item x="4"/>
        <item x="8"/>
        <item x="5"/>
        <item x="9"/>
        <item x="6"/>
        <item x="3"/>
        <item x="1"/>
        <item x="0"/>
        <item x="2"/>
        <item t="default"/>
      </items>
    </pivotField>
    <pivotField compact="0" outline="0" subtotalTop="0" showAll="0" includeNewItemsInFilter="1"/>
    <pivotField axis="axisRow" compact="0" outline="0" subtotalTop="0" showAll="0" includeNewItemsInFilter="1">
      <items count="357">
        <item m="1" x="258"/>
        <item m="1" x="179"/>
        <item x="44"/>
        <item m="1" x="234"/>
        <item x="19"/>
        <item m="1" x="140"/>
        <item m="1" x="156"/>
        <item x="5"/>
        <item x="31"/>
        <item m="1" x="88"/>
        <item m="1" x="84"/>
        <item m="1" x="261"/>
        <item m="1" x="122"/>
        <item m="1" x="91"/>
        <item m="1" x="239"/>
        <item m="1" x="169"/>
        <item m="1" x="144"/>
        <item x="6"/>
        <item m="1" x="270"/>
        <item m="1" x="146"/>
        <item m="1" x="269"/>
        <item m="1" x="314"/>
        <item m="1" x="64"/>
        <item m="1" x="196"/>
        <item m="1" x="76"/>
        <item m="1" x="301"/>
        <item m="1" x="232"/>
        <item m="1" x="129"/>
        <item m="1" x="77"/>
        <item m="1" x="304"/>
        <item m="1" x="161"/>
        <item m="1" x="147"/>
        <item x="0"/>
        <item m="1" x="70"/>
        <item m="1" x="96"/>
        <item m="1" x="116"/>
        <item x="52"/>
        <item m="1" x="159"/>
        <item m="1" x="58"/>
        <item m="1" x="115"/>
        <item m="1" x="263"/>
        <item m="1" x="219"/>
        <item m="1" x="282"/>
        <item m="1" x="284"/>
        <item m="1" x="195"/>
        <item m="1" x="102"/>
        <item m="1" x="257"/>
        <item x="30"/>
        <item m="1" x="127"/>
        <item x="48"/>
        <item m="1" x="141"/>
        <item m="1" x="183"/>
        <item m="1" x="247"/>
        <item m="1" x="173"/>
        <item m="1" x="237"/>
        <item m="1" x="204"/>
        <item m="1" x="207"/>
        <item x="20"/>
        <item m="1" x="318"/>
        <item m="1" x="280"/>
        <item m="1" x="344"/>
        <item m="1" x="131"/>
        <item m="1" x="206"/>
        <item m="1" x="80"/>
        <item m="1" x="273"/>
        <item m="1" x="287"/>
        <item m="1" x="192"/>
        <item m="1" x="138"/>
        <item m="1" x="340"/>
        <item x="7"/>
        <item m="1" x="250"/>
        <item m="1" x="165"/>
        <item x="29"/>
        <item m="1" x="106"/>
        <item m="1" x="238"/>
        <item m="1" x="342"/>
        <item m="1" x="306"/>
        <item x="27"/>
        <item x="17"/>
        <item m="1" x="311"/>
        <item m="1" x="74"/>
        <item x="25"/>
        <item m="1" x="353"/>
        <item m="1" x="208"/>
        <item m="1" x="214"/>
        <item m="1" x="201"/>
        <item m="1" x="346"/>
        <item m="1" x="211"/>
        <item m="1" x="135"/>
        <item x="1"/>
        <item m="1" x="217"/>
        <item m="1" x="262"/>
        <item m="1" x="171"/>
        <item m="1" x="333"/>
        <item m="1" x="275"/>
        <item m="1" x="296"/>
        <item m="1" x="348"/>
        <item m="1" x="118"/>
        <item m="1" x="71"/>
        <item x="50"/>
        <item m="1" x="321"/>
        <item x="23"/>
        <item m="1" x="128"/>
        <item m="1" x="175"/>
        <item m="1" x="307"/>
        <item x="3"/>
        <item m="1" x="107"/>
        <item m="1" x="317"/>
        <item m="1" x="110"/>
        <item m="1" x="231"/>
        <item x="8"/>
        <item m="1" x="215"/>
        <item m="1" x="119"/>
        <item m="1" x="194"/>
        <item m="1" x="240"/>
        <item m="1" x="149"/>
        <item m="1" x="328"/>
        <item m="1" x="170"/>
        <item m="1" x="132"/>
        <item m="1" x="73"/>
        <item m="1" x="202"/>
        <item m="1" x="266"/>
        <item m="1" x="303"/>
        <item m="1" x="112"/>
        <item m="1" x="220"/>
        <item m="1" x="337"/>
        <item m="1" x="265"/>
        <item m="1" x="137"/>
        <item m="1" x="145"/>
        <item x="26"/>
        <item m="1" x="180"/>
        <item x="18"/>
        <item m="1" x="227"/>
        <item x="4"/>
        <item m="1" x="59"/>
        <item m="1" x="199"/>
        <item m="1" x="212"/>
        <item m="1" x="354"/>
        <item m="1" x="278"/>
        <item m="1" x="95"/>
        <item m="1" x="244"/>
        <item m="1" x="99"/>
        <item m="1" x="61"/>
        <item m="1" x="113"/>
        <item m="1" x="163"/>
        <item m="1" x="162"/>
        <item m="1" x="123"/>
        <item m="1" x="188"/>
        <item m="1" x="291"/>
        <item m="1" x="117"/>
        <item x="22"/>
        <item m="1" x="236"/>
        <item m="1" x="281"/>
        <item m="1" x="230"/>
        <item m="1" x="272"/>
        <item m="1" x="351"/>
        <item m="1" x="279"/>
        <item m="1" x="345"/>
        <item m="1" x="100"/>
        <item m="1" x="309"/>
        <item m="1" x="218"/>
        <item m="1" x="153"/>
        <item m="1" x="124"/>
        <item m="1" x="82"/>
        <item m="1" x="136"/>
        <item m="1" x="294"/>
        <item m="1" x="65"/>
        <item m="1" x="254"/>
        <item m="1" x="352"/>
        <item m="1" x="248"/>
        <item m="1" x="191"/>
        <item m="1" x="326"/>
        <item m="1" x="264"/>
        <item m="1" x="150"/>
        <item m="1" x="154"/>
        <item m="1" x="283"/>
        <item m="1" x="229"/>
        <item m="1" x="329"/>
        <item m="1" x="90"/>
        <item m="1" x="111"/>
        <item m="1" x="336"/>
        <item m="1" x="203"/>
        <item m="1" x="105"/>
        <item m="1" x="187"/>
        <item m="1" x="89"/>
        <item m="1" x="151"/>
        <item m="1" x="60"/>
        <item m="1" x="347"/>
        <item m="1" x="339"/>
        <item m="1" x="249"/>
        <item m="1" x="252"/>
        <item x="47"/>
        <item m="1" x="160"/>
        <item m="1" x="62"/>
        <item m="1" x="109"/>
        <item m="1" x="168"/>
        <item m="1" x="216"/>
        <item m="1" x="330"/>
        <item x="49"/>
        <item m="1" x="142"/>
        <item m="1" x="338"/>
        <item m="1" x="319"/>
        <item m="1" x="85"/>
        <item m="1" x="81"/>
        <item x="24"/>
        <item m="1" x="66"/>
        <item m="1" x="133"/>
        <item m="1" x="251"/>
        <item m="1" x="315"/>
        <item m="1" x="285"/>
        <item m="1" x="69"/>
        <item m="1" x="134"/>
        <item m="1" x="313"/>
        <item m="1" x="316"/>
        <item m="1" x="271"/>
        <item m="1" x="63"/>
        <item m="1" x="225"/>
        <item m="1" x="190"/>
        <item x="37"/>
        <item m="1" x="292"/>
        <item m="1" x="193"/>
        <item m="1" x="120"/>
        <item m="1" x="108"/>
        <item m="1" x="274"/>
        <item m="1" x="104"/>
        <item m="1" x="334"/>
        <item x="55"/>
        <item m="1" x="186"/>
        <item m="1" x="341"/>
        <item m="1" x="197"/>
        <item m="1" x="72"/>
        <item m="1" x="178"/>
        <item x="32"/>
        <item m="1" x="245"/>
        <item m="1" x="226"/>
        <item m="1" x="103"/>
        <item m="1" x="331"/>
        <item m="1" x="78"/>
        <item x="34"/>
        <item m="1" x="205"/>
        <item x="21"/>
        <item m="1" x="101"/>
        <item x="39"/>
        <item x="35"/>
        <item m="1" x="224"/>
        <item m="1" x="310"/>
        <item m="1" x="302"/>
        <item m="1" x="143"/>
        <item m="1" x="139"/>
        <item m="1" x="155"/>
        <item m="1" x="324"/>
        <item x="16"/>
        <item m="1" x="157"/>
        <item m="1" x="349"/>
        <item m="1" x="298"/>
        <item x="36"/>
        <item m="1" x="268"/>
        <item m="1" x="75"/>
        <item m="1" x="228"/>
        <item m="1" x="121"/>
        <item m="1" x="79"/>
        <item m="1" x="323"/>
        <item m="1" x="87"/>
        <item x="40"/>
        <item m="1" x="166"/>
        <item x="41"/>
        <item m="1" x="267"/>
        <item m="1" x="286"/>
        <item x="28"/>
        <item m="1" x="68"/>
        <item m="1" x="83"/>
        <item m="1" x="290"/>
        <item m="1" x="182"/>
        <item m="1" x="174"/>
        <item m="1" x="126"/>
        <item m="1" x="97"/>
        <item m="1" x="253"/>
        <item m="1" x="242"/>
        <item m="1" x="256"/>
        <item m="1" x="181"/>
        <item m="1" x="325"/>
        <item m="1" x="259"/>
        <item m="1" x="167"/>
        <item m="1" x="56"/>
        <item m="1" x="233"/>
        <item x="33"/>
        <item m="1" x="130"/>
        <item x="9"/>
        <item m="1" x="92"/>
        <item m="1" x="293"/>
        <item m="1" x="246"/>
        <item m="1" x="114"/>
        <item m="1" x="177"/>
        <item m="1" x="158"/>
        <item m="1" x="295"/>
        <item m="1" x="148"/>
        <item m="1" x="297"/>
        <item m="1" x="221"/>
        <item m="1" x="210"/>
        <item m="1" x="308"/>
        <item m="1" x="223"/>
        <item m="1" x="172"/>
        <item m="1" x="355"/>
        <item m="1" x="241"/>
        <item m="1" x="289"/>
        <item x="38"/>
        <item m="1" x="209"/>
        <item m="1" x="288"/>
        <item x="45"/>
        <item m="1" x="57"/>
        <item m="1" x="67"/>
        <item m="1" x="213"/>
        <item m="1" x="300"/>
        <item m="1" x="255"/>
        <item x="42"/>
        <item m="1" x="305"/>
        <item x="46"/>
        <item m="1" x="335"/>
        <item m="1" x="125"/>
        <item m="1" x="260"/>
        <item m="1" x="94"/>
        <item m="1" x="243"/>
        <item m="1" x="164"/>
        <item m="1" x="350"/>
        <item m="1" x="93"/>
        <item m="1" x="176"/>
        <item m="1" x="343"/>
        <item m="1" x="98"/>
        <item m="1" x="198"/>
        <item m="1" x="332"/>
        <item m="1" x="277"/>
        <item x="11"/>
        <item m="1" x="299"/>
        <item x="2"/>
        <item x="13"/>
        <item m="1" x="312"/>
        <item m="1" x="276"/>
        <item x="14"/>
        <item m="1" x="189"/>
        <item m="1" x="322"/>
        <item x="15"/>
        <item m="1" x="235"/>
        <item m="1" x="152"/>
        <item x="10"/>
        <item m="1" x="327"/>
        <item m="1" x="184"/>
        <item m="1" x="86"/>
        <item x="12"/>
        <item m="1" x="222"/>
        <item m="1" x="320"/>
        <item m="1" x="200"/>
        <item m="1" x="185"/>
        <item x="43"/>
        <item x="51"/>
        <item x="53"/>
        <item x="54"/>
        <item t="default"/>
      </items>
    </pivotField>
    <pivotField axis="axisPage" compact="0" outline="0" subtotalTop="0" showAll="0" includeNewItemsInFilter="1">
      <items count="5">
        <item n="Budgeted" x="1"/>
        <item n="Higher Ed Non-Allotted" x="0"/>
        <item n="Mixed" m="1" x="2"/>
        <item n="Non-Budgeted" h="1" m="1" x="3"/>
        <item t="default"/>
      </items>
    </pivotField>
    <pivotField axis="axisCol" compact="0" outline="0" subtotalTop="0" showAll="0" includeNewItemsInFilter="1" sortType="ascending">
      <items count="17">
        <item x="0"/>
        <item x="1"/>
        <item x="2"/>
        <item x="3"/>
        <item x="4"/>
        <item x="5"/>
        <item x="6"/>
        <item x="7"/>
        <item x="9"/>
        <item x="8"/>
        <item x="10"/>
        <item x="11"/>
        <item x="12"/>
        <item x="13"/>
        <item x="14"/>
        <item x="15"/>
        <item t="default"/>
      </items>
    </pivotField>
    <pivotField axis="axisPage" compact="0" outline="0" subtotalTop="0" showAll="0" includeNewItemsInFilter="1">
      <items count="13">
        <item x="0"/>
        <item x="2"/>
        <item x="8"/>
        <item x="9"/>
        <item x="10"/>
        <item x="11"/>
        <item x="3"/>
        <item x="4"/>
        <item x="7"/>
        <item x="5"/>
        <item x="6"/>
        <item x="1"/>
        <item t="default"/>
      </items>
    </pivotField>
    <pivotField name="Sum of monthly_amount2" dataField="1" compact="0" outline="0" subtotalTop="0" showAll="0" includeNewItemsInFilter="1"/>
  </pivotFields>
  <rowFields count="3">
    <field x="5"/>
    <field x="11"/>
    <field x="13"/>
  </rowFields>
  <rowItems count="8">
    <i>
      <x v="85"/>
    </i>
    <i>
      <x v="86"/>
    </i>
    <i>
      <x v="87"/>
    </i>
    <i>
      <x v="88"/>
    </i>
    <i>
      <x v="89"/>
    </i>
    <i>
      <x v="91"/>
    </i>
    <i>
      <x v="114"/>
    </i>
    <i t="grand">
      <x/>
    </i>
  </rowItems>
  <colFields count="2">
    <field x="1"/>
    <field x="15"/>
  </colFields>
  <colItems count="16">
    <i>
      <x/>
      <x/>
    </i>
    <i r="1">
      <x v="1"/>
    </i>
    <i r="1">
      <x v="2"/>
    </i>
    <i r="1">
      <x v="3"/>
    </i>
    <i r="1">
      <x v="4"/>
    </i>
    <i r="1">
      <x v="5"/>
    </i>
    <i r="1">
      <x v="6"/>
    </i>
    <i r="1">
      <x v="7"/>
    </i>
    <i r="1">
      <x v="8"/>
    </i>
    <i r="1">
      <x v="9"/>
    </i>
    <i r="1">
      <x v="10"/>
    </i>
    <i r="1">
      <x v="11"/>
    </i>
    <i r="1">
      <x v="12"/>
    </i>
    <i r="1">
      <x v="13"/>
    </i>
    <i r="1">
      <x v="14"/>
    </i>
    <i r="1">
      <x v="15"/>
    </i>
  </colItems>
  <pageFields count="5">
    <pageField fld="14" hier="0"/>
    <pageField fld="2" hier="0"/>
    <pageField fld="16" hier="0"/>
    <pageField fld="8" hier="0"/>
    <pageField fld="7" hier="0"/>
  </pageFields>
  <dataFields count="1">
    <dataField name="Monthly Revenues" fld="17" baseField="0" baseItem="0" numFmtId="3"/>
  </dataFields>
  <formats count="4818">
    <format dxfId="4936">
      <pivotArea outline="0" fieldPosition="0">
        <references count="2">
          <reference field="1" count="1" selected="0">
            <x v="0"/>
          </reference>
          <reference field="15" count="1" selected="0">
            <x v="6"/>
          </reference>
        </references>
      </pivotArea>
    </format>
    <format dxfId="4935">
      <pivotArea type="topRight" dataOnly="0" labelOnly="1" outline="0" offset="A1" fieldPosition="0"/>
    </format>
    <format dxfId="4934">
      <pivotArea dataOnly="0" labelOnly="1" outline="0" fieldPosition="0">
        <references count="2">
          <reference field="1" count="1">
            <x v="0"/>
          </reference>
          <reference field="15" count="1" selected="0">
            <x v="6"/>
          </reference>
        </references>
      </pivotArea>
    </format>
    <format dxfId="4933">
      <pivotArea outline="0" fieldPosition="0"/>
    </format>
    <format dxfId="4932">
      <pivotArea field="15" type="button" dataOnly="0" labelOnly="1" outline="0" axis="axisCol" fieldPosition="1"/>
    </format>
    <format dxfId="4931">
      <pivotArea field="1" type="button" dataOnly="0" labelOnly="1" outline="0" axis="axisCol" fieldPosition="0"/>
    </format>
    <format dxfId="4930">
      <pivotArea type="topRight" dataOnly="0" labelOnly="1" outline="0" fieldPosition="0"/>
    </format>
    <format dxfId="4929">
      <pivotArea dataOnly="0" labelOnly="1" outline="0" fieldPosition="0">
        <references count="1">
          <reference field="15" count="0"/>
        </references>
      </pivotArea>
    </format>
    <format dxfId="4928">
      <pivotArea dataOnly="0" labelOnly="1" outline="0" fieldPosition="0">
        <references count="2">
          <reference field="1" count="0"/>
          <reference field="15" count="1" selected="0">
            <x v="6"/>
          </reference>
        </references>
      </pivotArea>
    </format>
    <format dxfId="4927">
      <pivotArea dataOnly="0" labelOnly="1" outline="0" fieldPosition="0">
        <references count="1">
          <reference field="1" count="1">
            <x v="0"/>
          </reference>
        </references>
      </pivotArea>
    </format>
    <format dxfId="4926">
      <pivotArea dataOnly="0" labelOnly="1" outline="0" fieldPosition="0">
        <references count="1">
          <reference field="1" count="1">
            <x v="1"/>
          </reference>
        </references>
      </pivotArea>
    </format>
    <format dxfId="4925">
      <pivotArea dataOnly="0" labelOnly="1" outline="0" offset="IV256" fieldPosition="0">
        <references count="1">
          <reference field="1" count="1">
            <x v="0"/>
          </reference>
        </references>
      </pivotArea>
    </format>
    <format dxfId="4924">
      <pivotArea dataOnly="0" labelOnly="1" outline="0" fieldPosition="0">
        <references count="2">
          <reference field="1" count="1" selected="0">
            <x v="0"/>
          </reference>
          <reference field="15" count="1">
            <x v="6"/>
          </reference>
        </references>
      </pivotArea>
    </format>
    <format dxfId="4923">
      <pivotArea outline="0" fieldPosition="0">
        <references count="2">
          <reference field="1" count="1" selected="0">
            <x v="0"/>
          </reference>
          <reference field="15" count="1" selected="0">
            <x v="6"/>
          </reference>
        </references>
      </pivotArea>
    </format>
    <format dxfId="4922">
      <pivotArea type="topRight" dataOnly="0" labelOnly="1" outline="0" offset="A1" fieldPosition="0"/>
    </format>
    <format dxfId="4921">
      <pivotArea dataOnly="0" labelOnly="1" outline="0" offset="IV256" fieldPosition="0">
        <references count="1">
          <reference field="1" count="1">
            <x v="0"/>
          </reference>
        </references>
      </pivotArea>
    </format>
    <format dxfId="4920">
      <pivotArea dataOnly="0" labelOnly="1" outline="0" fieldPosition="0">
        <references count="2">
          <reference field="1" count="1" selected="0">
            <x v="0"/>
          </reference>
          <reference field="15" count="1">
            <x v="6"/>
          </reference>
        </references>
      </pivotArea>
    </format>
    <format dxfId="4919">
      <pivotArea outline="0" fieldPosition="0">
        <references count="2">
          <reference field="1" count="1" selected="0">
            <x v="0"/>
          </reference>
          <reference field="15" count="1" selected="0">
            <x v="6"/>
          </reference>
        </references>
      </pivotArea>
    </format>
    <format dxfId="4918">
      <pivotArea type="topRight" dataOnly="0" labelOnly="1" outline="0" offset="A1" fieldPosition="0"/>
    </format>
    <format dxfId="4917">
      <pivotArea dataOnly="0" labelOnly="1" outline="0" offset="IV256" fieldPosition="0">
        <references count="1">
          <reference field="1" count="1">
            <x v="0"/>
          </reference>
        </references>
      </pivotArea>
    </format>
    <format dxfId="4916">
      <pivotArea dataOnly="0" labelOnly="1" outline="0" fieldPosition="0">
        <references count="2">
          <reference field="1" count="1" selected="0">
            <x v="0"/>
          </reference>
          <reference field="15" count="1">
            <x v="6"/>
          </reference>
        </references>
      </pivotArea>
    </format>
    <format dxfId="4915">
      <pivotArea dataOnly="0" labelOnly="1" outline="0" fieldPosition="0">
        <references count="1">
          <reference field="5" count="1">
            <x v="64"/>
          </reference>
        </references>
      </pivotArea>
    </format>
    <format dxfId="4914">
      <pivotArea outline="0" fieldPosition="0">
        <references count="1">
          <reference field="4294967294" count="1">
            <x v="0"/>
          </reference>
        </references>
      </pivotArea>
    </format>
    <format dxfId="4913">
      <pivotArea field="5" type="button" dataOnly="0" labelOnly="1" outline="0" axis="axisRow" fieldPosition="0"/>
    </format>
    <format dxfId="4912">
      <pivotArea dataOnly="0" labelOnly="1" grandRow="1" outline="0" offset="IV256" fieldPosition="0"/>
    </format>
    <format dxfId="4911">
      <pivotArea dataOnly="0" labelOnly="1" outline="0" fieldPosition="0">
        <references count="4">
          <reference field="5" count="6">
            <x v="32"/>
            <x v="47"/>
            <x v="61"/>
            <x v="64"/>
            <x v="78"/>
            <x v="110"/>
          </reference>
          <reference field="8" count="1" selected="0">
            <x v="0"/>
          </reference>
          <reference field="11" count="1" selected="0">
            <x v="0"/>
          </reference>
          <reference field="13" count="1" selected="0">
            <x v="3"/>
          </reference>
        </references>
      </pivotArea>
    </format>
    <format dxfId="4910">
      <pivotArea dataOnly="0" labelOnly="1" outline="0" fieldPosition="0">
        <references count="4">
          <reference field="5" count="1">
            <x v="47"/>
          </reference>
          <reference field="8" count="1" selected="0">
            <x v="0"/>
          </reference>
          <reference field="11" count="1" selected="0">
            <x v="0"/>
          </reference>
          <reference field="13" count="1" selected="0">
            <x v="16"/>
          </reference>
        </references>
      </pivotArea>
    </format>
    <format dxfId="4909">
      <pivotArea dataOnly="0" labelOnly="1" outline="0" fieldPosition="0">
        <references count="4">
          <reference field="5" count="1">
            <x v="47"/>
          </reference>
          <reference field="8" count="1" selected="0">
            <x v="0"/>
          </reference>
          <reference field="11" count="1" selected="0">
            <x v="0"/>
          </reference>
          <reference field="13" count="1" selected="0">
            <x v="22"/>
          </reference>
        </references>
      </pivotArea>
    </format>
    <format dxfId="4908">
      <pivotArea dataOnly="0" labelOnly="1" outline="0" fieldPosition="0">
        <references count="4">
          <reference field="5" count="1">
            <x v="47"/>
          </reference>
          <reference field="8" count="1" selected="0">
            <x v="0"/>
          </reference>
          <reference field="11" count="1" selected="0">
            <x v="0"/>
          </reference>
          <reference field="13" count="1" selected="0">
            <x v="27"/>
          </reference>
        </references>
      </pivotArea>
    </format>
    <format dxfId="4907">
      <pivotArea dataOnly="0" labelOnly="1" outline="0" fieldPosition="0">
        <references count="4">
          <reference field="5" count="1">
            <x v="47"/>
          </reference>
          <reference field="8" count="1" selected="0">
            <x v="0"/>
          </reference>
          <reference field="11" count="1" selected="0">
            <x v="0"/>
          </reference>
          <reference field="13" count="1" selected="0">
            <x v="34"/>
          </reference>
        </references>
      </pivotArea>
    </format>
    <format dxfId="4906">
      <pivotArea dataOnly="0" labelOnly="1" outline="0" fieldPosition="0">
        <references count="4">
          <reference field="5" count="1">
            <x v="47"/>
          </reference>
          <reference field="8" count="1" selected="0">
            <x v="0"/>
          </reference>
          <reference field="11" count="1" selected="0">
            <x v="0"/>
          </reference>
          <reference field="13" count="1" selected="0">
            <x v="41"/>
          </reference>
        </references>
      </pivotArea>
    </format>
    <format dxfId="4905">
      <pivotArea dataOnly="0" labelOnly="1" outline="0" fieldPosition="0">
        <references count="4">
          <reference field="5" count="1">
            <x v="47"/>
          </reference>
          <reference field="8" count="1" selected="0">
            <x v="0"/>
          </reference>
          <reference field="11" count="1" selected="0">
            <x v="0"/>
          </reference>
          <reference field="13" count="1" selected="0">
            <x v="64"/>
          </reference>
        </references>
      </pivotArea>
    </format>
    <format dxfId="4904">
      <pivotArea dataOnly="0" labelOnly="1" outline="0" fieldPosition="0">
        <references count="4">
          <reference field="5" count="1">
            <x v="47"/>
          </reference>
          <reference field="8" count="1" selected="0">
            <x v="0"/>
          </reference>
          <reference field="11" count="1" selected="0">
            <x v="0"/>
          </reference>
          <reference field="13" count="1" selected="0">
            <x v="67"/>
          </reference>
        </references>
      </pivotArea>
    </format>
    <format dxfId="4903">
      <pivotArea dataOnly="0" labelOnly="1" outline="0" fieldPosition="0">
        <references count="4">
          <reference field="5" count="1">
            <x v="47"/>
          </reference>
          <reference field="8" count="1" selected="0">
            <x v="0"/>
          </reference>
          <reference field="11" count="1" selected="0">
            <x v="0"/>
          </reference>
          <reference field="13" count="1" selected="0">
            <x v="73"/>
          </reference>
        </references>
      </pivotArea>
    </format>
    <format dxfId="4902">
      <pivotArea dataOnly="0" labelOnly="1" outline="0" fieldPosition="0">
        <references count="4">
          <reference field="5" count="1">
            <x v="47"/>
          </reference>
          <reference field="8" count="1" selected="0">
            <x v="0"/>
          </reference>
          <reference field="11" count="1" selected="0">
            <x v="0"/>
          </reference>
          <reference field="13" count="1" selected="0">
            <x v="88"/>
          </reference>
        </references>
      </pivotArea>
    </format>
    <format dxfId="4901">
      <pivotArea dataOnly="0" labelOnly="1" outline="0" fieldPosition="0">
        <references count="4">
          <reference field="5" count="1">
            <x v="47"/>
          </reference>
          <reference field="8" count="1" selected="0">
            <x v="0"/>
          </reference>
          <reference field="11" count="1" selected="0">
            <x v="0"/>
          </reference>
          <reference field="13" count="1" selected="0">
            <x v="91"/>
          </reference>
        </references>
      </pivotArea>
    </format>
    <format dxfId="4900">
      <pivotArea dataOnly="0" labelOnly="1" outline="0" fieldPosition="0">
        <references count="4">
          <reference field="5" count="1">
            <x v="47"/>
          </reference>
          <reference field="8" count="1" selected="0">
            <x v="0"/>
          </reference>
          <reference field="11" count="1" selected="0">
            <x v="0"/>
          </reference>
          <reference field="13" count="1" selected="0">
            <x v="97"/>
          </reference>
        </references>
      </pivotArea>
    </format>
    <format dxfId="4899">
      <pivotArea dataOnly="0" labelOnly="1" outline="0" fieldPosition="0">
        <references count="4">
          <reference field="5" count="1">
            <x v="47"/>
          </reference>
          <reference field="8" count="1" selected="0">
            <x v="0"/>
          </reference>
          <reference field="11" count="1" selected="0">
            <x v="0"/>
          </reference>
          <reference field="13" count="1" selected="0">
            <x v="98"/>
          </reference>
        </references>
      </pivotArea>
    </format>
    <format dxfId="4898">
      <pivotArea dataOnly="0" labelOnly="1" outline="0" fieldPosition="0">
        <references count="4">
          <reference field="5" count="2">
            <x v="52"/>
            <x v="116"/>
          </reference>
          <reference field="8" count="1" selected="0">
            <x v="0"/>
          </reference>
          <reference field="11" count="1" selected="0">
            <x v="0"/>
          </reference>
          <reference field="13" count="1" selected="0">
            <x v="107"/>
          </reference>
        </references>
      </pivotArea>
    </format>
    <format dxfId="4897">
      <pivotArea dataOnly="0" labelOnly="1" outline="0" fieldPosition="0">
        <references count="4">
          <reference field="5" count="1">
            <x v="47"/>
          </reference>
          <reference field="8" count="1" selected="0">
            <x v="0"/>
          </reference>
          <reference field="11" count="1" selected="0">
            <x v="0"/>
          </reference>
          <reference field="13" count="1" selected="0">
            <x v="118"/>
          </reference>
        </references>
      </pivotArea>
    </format>
    <format dxfId="4896">
      <pivotArea dataOnly="0" labelOnly="1" outline="0" fieldPosition="0">
        <references count="4">
          <reference field="5" count="1">
            <x v="47"/>
          </reference>
          <reference field="8" count="1" selected="0">
            <x v="0"/>
          </reference>
          <reference field="11" count="1" selected="0">
            <x v="0"/>
          </reference>
          <reference field="13" count="1" selected="0">
            <x v="120"/>
          </reference>
        </references>
      </pivotArea>
    </format>
    <format dxfId="4895">
      <pivotArea dataOnly="0" labelOnly="1" outline="0" fieldPosition="0">
        <references count="4">
          <reference field="5" count="1">
            <x v="47"/>
          </reference>
          <reference field="8" count="1" selected="0">
            <x v="0"/>
          </reference>
          <reference field="11" count="1" selected="0">
            <x v="0"/>
          </reference>
          <reference field="13" count="1" selected="0">
            <x v="122"/>
          </reference>
        </references>
      </pivotArea>
    </format>
    <format dxfId="4894">
      <pivotArea dataOnly="0" labelOnly="1" outline="0" fieldPosition="0">
        <references count="4">
          <reference field="5" count="1">
            <x v="47"/>
          </reference>
          <reference field="8" count="1" selected="0">
            <x v="0"/>
          </reference>
          <reference field="11" count="1" selected="0">
            <x v="0"/>
          </reference>
          <reference field="13" count="1" selected="0">
            <x v="123"/>
          </reference>
        </references>
      </pivotArea>
    </format>
    <format dxfId="4893">
      <pivotArea dataOnly="0" labelOnly="1" outline="0" fieldPosition="0">
        <references count="4">
          <reference field="5" count="1">
            <x v="47"/>
          </reference>
          <reference field="8" count="1" selected="0">
            <x v="0"/>
          </reference>
          <reference field="11" count="1" selected="0">
            <x v="0"/>
          </reference>
          <reference field="13" count="1" selected="0">
            <x v="126"/>
          </reference>
        </references>
      </pivotArea>
    </format>
    <format dxfId="4892">
      <pivotArea dataOnly="0" labelOnly="1" outline="0" fieldPosition="0">
        <references count="4">
          <reference field="5" count="1">
            <x v="54"/>
          </reference>
          <reference field="8" count="1" selected="0">
            <x v="0"/>
          </reference>
          <reference field="11" count="1" selected="0">
            <x v="0"/>
          </reference>
          <reference field="13" count="1" selected="0">
            <x v="132"/>
          </reference>
        </references>
      </pivotArea>
    </format>
    <format dxfId="4891">
      <pivotArea dataOnly="0" labelOnly="1" outline="0" fieldPosition="0">
        <references count="4">
          <reference field="5" count="1">
            <x v="47"/>
          </reference>
          <reference field="8" count="1" selected="0">
            <x v="0"/>
          </reference>
          <reference field="11" count="1" selected="0">
            <x v="0"/>
          </reference>
          <reference field="13" count="1" selected="0">
            <x v="142"/>
          </reference>
        </references>
      </pivotArea>
    </format>
    <format dxfId="4890">
      <pivotArea dataOnly="0" labelOnly="1" outline="0" fieldPosition="0">
        <references count="4">
          <reference field="5" count="1">
            <x v="47"/>
          </reference>
          <reference field="8" count="1" selected="0">
            <x v="0"/>
          </reference>
          <reference field="11" count="1" selected="0">
            <x v="0"/>
          </reference>
          <reference field="13" count="1" selected="0">
            <x v="143"/>
          </reference>
        </references>
      </pivotArea>
    </format>
    <format dxfId="4889">
      <pivotArea dataOnly="0" labelOnly="1" outline="0" fieldPosition="0">
        <references count="4">
          <reference field="5" count="1">
            <x v="64"/>
          </reference>
          <reference field="8" count="1" selected="0">
            <x v="0"/>
          </reference>
          <reference field="11" count="1" selected="0">
            <x v="0"/>
          </reference>
          <reference field="13" count="1" selected="0">
            <x v="148"/>
          </reference>
        </references>
      </pivotArea>
    </format>
    <format dxfId="4888">
      <pivotArea dataOnly="0" labelOnly="1" outline="0" fieldPosition="0">
        <references count="4">
          <reference field="5" count="2">
            <x v="47"/>
            <x v="64"/>
          </reference>
          <reference field="8" count="1" selected="0">
            <x v="0"/>
          </reference>
          <reference field="11" count="1" selected="0">
            <x v="0"/>
          </reference>
          <reference field="13" count="1" selected="0">
            <x v="160"/>
          </reference>
        </references>
      </pivotArea>
    </format>
    <format dxfId="4887">
      <pivotArea dataOnly="0" labelOnly="1" outline="0" fieldPosition="0">
        <references count="4">
          <reference field="5" count="1">
            <x v="47"/>
          </reference>
          <reference field="8" count="1" selected="0">
            <x v="0"/>
          </reference>
          <reference field="11" count="1" selected="0">
            <x v="0"/>
          </reference>
          <reference field="13" count="1" selected="0">
            <x v="162"/>
          </reference>
        </references>
      </pivotArea>
    </format>
    <format dxfId="4886">
      <pivotArea dataOnly="0" labelOnly="1" outline="0" fieldPosition="0">
        <references count="4">
          <reference field="5" count="3">
            <x v="64"/>
            <x v="68"/>
            <x v="95"/>
          </reference>
          <reference field="8" count="1" selected="0">
            <x v="0"/>
          </reference>
          <reference field="11" count="1" selected="0">
            <x v="0"/>
          </reference>
          <reference field="13" count="1" selected="0">
            <x v="165"/>
          </reference>
        </references>
      </pivotArea>
    </format>
    <format dxfId="4885">
      <pivotArea dataOnly="0" labelOnly="1" outline="0" fieldPosition="0">
        <references count="4">
          <reference field="5" count="1">
            <x v="47"/>
          </reference>
          <reference field="8" count="1" selected="0">
            <x v="0"/>
          </reference>
          <reference field="11" count="1" selected="0">
            <x v="0"/>
          </reference>
          <reference field="13" count="1" selected="0">
            <x v="174"/>
          </reference>
        </references>
      </pivotArea>
    </format>
    <format dxfId="4884">
      <pivotArea dataOnly="0" labelOnly="1" outline="0" fieldPosition="0">
        <references count="4">
          <reference field="5" count="2">
            <x v="47"/>
            <x v="119"/>
          </reference>
          <reference field="8" count="1" selected="0">
            <x v="0"/>
          </reference>
          <reference field="11" count="1" selected="0">
            <x v="0"/>
          </reference>
          <reference field="13" count="1" selected="0">
            <x v="182"/>
          </reference>
        </references>
      </pivotArea>
    </format>
    <format dxfId="4883">
      <pivotArea dataOnly="0" labelOnly="1" outline="0" fieldPosition="0">
        <references count="4">
          <reference field="5" count="1">
            <x v="64"/>
          </reference>
          <reference field="8" count="1" selected="0">
            <x v="0"/>
          </reference>
          <reference field="11" count="1" selected="0">
            <x v="0"/>
          </reference>
          <reference field="13" count="1" selected="0">
            <x v="185"/>
          </reference>
        </references>
      </pivotArea>
    </format>
    <format dxfId="4882">
      <pivotArea dataOnly="0" labelOnly="1" outline="0" fieldPosition="0">
        <references count="4">
          <reference field="5" count="2">
            <x v="47"/>
            <x v="110"/>
          </reference>
          <reference field="8" count="1" selected="0">
            <x v="0"/>
          </reference>
          <reference field="11" count="1" selected="0">
            <x v="0"/>
          </reference>
          <reference field="13" count="1" selected="0">
            <x v="188"/>
          </reference>
        </references>
      </pivotArea>
    </format>
    <format dxfId="4881">
      <pivotArea dataOnly="0" labelOnly="1" outline="0" fieldPosition="0">
        <references count="4">
          <reference field="5" count="1">
            <x v="47"/>
          </reference>
          <reference field="8" count="1" selected="0">
            <x v="0"/>
          </reference>
          <reference field="11" count="1" selected="0">
            <x v="0"/>
          </reference>
          <reference field="13" count="1" selected="0">
            <x v="192"/>
          </reference>
        </references>
      </pivotArea>
    </format>
    <format dxfId="4880">
      <pivotArea dataOnly="0" labelOnly="1" outline="0" fieldPosition="0">
        <references count="4">
          <reference field="5" count="1">
            <x v="47"/>
          </reference>
          <reference field="8" count="1" selected="0">
            <x v="0"/>
          </reference>
          <reference field="11" count="1" selected="0">
            <x v="0"/>
          </reference>
          <reference field="13" count="1" selected="0">
            <x v="213"/>
          </reference>
        </references>
      </pivotArea>
    </format>
    <format dxfId="4879">
      <pivotArea dataOnly="0" labelOnly="1" outline="0" fieldPosition="0">
        <references count="4">
          <reference field="5" count="4">
            <x v="47"/>
            <x v="52"/>
            <x v="56"/>
            <x v="119"/>
          </reference>
          <reference field="8" count="1" selected="0">
            <x v="0"/>
          </reference>
          <reference field="11" count="1" selected="0">
            <x v="0"/>
          </reference>
          <reference field="13" count="1" selected="0">
            <x v="221"/>
          </reference>
        </references>
      </pivotArea>
    </format>
    <format dxfId="4878">
      <pivotArea dataOnly="0" labelOnly="1" outline="0" fieldPosition="0">
        <references count="4">
          <reference field="5" count="1">
            <x v="47"/>
          </reference>
          <reference field="8" count="1" selected="0">
            <x v="0"/>
          </reference>
          <reference field="11" count="1" selected="0">
            <x v="0"/>
          </reference>
          <reference field="13" count="1" selected="0">
            <x v="231"/>
          </reference>
        </references>
      </pivotArea>
    </format>
    <format dxfId="4877">
      <pivotArea dataOnly="0" labelOnly="1" outline="0" fieldPosition="0">
        <references count="4">
          <reference field="5" count="2">
            <x v="0"/>
            <x v="64"/>
          </reference>
          <reference field="8" count="1" selected="0">
            <x v="0"/>
          </reference>
          <reference field="11" count="1" selected="0">
            <x v="0"/>
          </reference>
          <reference field="13" count="1" selected="0">
            <x v="252"/>
          </reference>
        </references>
      </pivotArea>
    </format>
    <format dxfId="4876">
      <pivotArea dataOnly="0" labelOnly="1" outline="0" fieldPosition="0">
        <references count="4">
          <reference field="5" count="1">
            <x v="0"/>
          </reference>
          <reference field="8" count="1" selected="0">
            <x v="0"/>
          </reference>
          <reference field="11" count="1" selected="0">
            <x v="0"/>
          </reference>
          <reference field="13" count="1" selected="0">
            <x v="257"/>
          </reference>
        </references>
      </pivotArea>
    </format>
    <format dxfId="4875">
      <pivotArea dataOnly="0" labelOnly="1" outline="0" fieldPosition="0">
        <references count="4">
          <reference field="5" count="1">
            <x v="0"/>
          </reference>
          <reference field="8" count="1" selected="0">
            <x v="0"/>
          </reference>
          <reference field="11" count="1" selected="0">
            <x v="0"/>
          </reference>
          <reference field="13" count="1" selected="0">
            <x v="258"/>
          </reference>
        </references>
      </pivotArea>
    </format>
    <format dxfId="4874">
      <pivotArea dataOnly="0" labelOnly="1" outline="0" fieldPosition="0">
        <references count="4">
          <reference field="5" count="1">
            <x v="0"/>
          </reference>
          <reference field="8" count="1" selected="0">
            <x v="0"/>
          </reference>
          <reference field="11" count="1" selected="0">
            <x v="0"/>
          </reference>
          <reference field="13" count="1" selected="0">
            <x v="261"/>
          </reference>
        </references>
      </pivotArea>
    </format>
    <format dxfId="4873">
      <pivotArea dataOnly="0" labelOnly="1" outline="0" fieldPosition="0">
        <references count="4">
          <reference field="5" count="1">
            <x v="0"/>
          </reference>
          <reference field="8" count="1" selected="0">
            <x v="0"/>
          </reference>
          <reference field="11" count="1" selected="0">
            <x v="0"/>
          </reference>
          <reference field="13" count="1" selected="0">
            <x v="283"/>
          </reference>
        </references>
      </pivotArea>
    </format>
    <format dxfId="4872">
      <pivotArea dataOnly="0" labelOnly="1" outline="0" fieldPosition="0">
        <references count="4">
          <reference field="5" count="2">
            <x v="47"/>
            <x v="64"/>
          </reference>
          <reference field="8" count="1" selected="0">
            <x v="0"/>
          </reference>
          <reference field="11" count="1" selected="0">
            <x v="0"/>
          </reference>
          <reference field="13" count="1" selected="0">
            <x v="288"/>
          </reference>
        </references>
      </pivotArea>
    </format>
    <format dxfId="4871">
      <pivotArea dataOnly="0" labelOnly="1" outline="0" fieldPosition="0">
        <references count="4">
          <reference field="5" count="1">
            <x v="47"/>
          </reference>
          <reference field="8" count="1" selected="0">
            <x v="0"/>
          </reference>
          <reference field="11" count="1" selected="0">
            <x v="0"/>
          </reference>
          <reference field="13" count="1" selected="0">
            <x v="311"/>
          </reference>
        </references>
      </pivotArea>
    </format>
    <format dxfId="4870">
      <pivotArea dataOnly="0" labelOnly="1" outline="0" fieldPosition="0">
        <references count="4">
          <reference field="5" count="1">
            <x v="53"/>
          </reference>
          <reference field="8" count="1" selected="0">
            <x v="0"/>
          </reference>
          <reference field="11" count="1" selected="0">
            <x v="1"/>
          </reference>
          <reference field="13" count="1" selected="0">
            <x v="0"/>
          </reference>
        </references>
      </pivotArea>
    </format>
    <format dxfId="4869">
      <pivotArea dataOnly="0" labelOnly="1" outline="0" fieldPosition="0">
        <references count="4">
          <reference field="5" count="1">
            <x v="64"/>
          </reference>
          <reference field="8" count="1" selected="0">
            <x v="0"/>
          </reference>
          <reference field="11" count="1" selected="0">
            <x v="1"/>
          </reference>
          <reference field="13" count="1" selected="0">
            <x v="6"/>
          </reference>
        </references>
      </pivotArea>
    </format>
    <format dxfId="4868">
      <pivotArea dataOnly="0" labelOnly="1" outline="0" fieldPosition="0">
        <references count="4">
          <reference field="5" count="1">
            <x v="111"/>
          </reference>
          <reference field="8" count="1" selected="0">
            <x v="0"/>
          </reference>
          <reference field="11" count="1" selected="0">
            <x v="1"/>
          </reference>
          <reference field="13" count="1" selected="0">
            <x v="9"/>
          </reference>
        </references>
      </pivotArea>
    </format>
    <format dxfId="4867">
      <pivotArea dataOnly="0" labelOnly="1" outline="0" fieldPosition="0">
        <references count="4">
          <reference field="5" count="1">
            <x v="64"/>
          </reference>
          <reference field="8" count="1" selected="0">
            <x v="0"/>
          </reference>
          <reference field="11" count="1" selected="0">
            <x v="1"/>
          </reference>
          <reference field="13" count="1" selected="0">
            <x v="30"/>
          </reference>
        </references>
      </pivotArea>
    </format>
    <format dxfId="4866">
      <pivotArea dataOnly="0" labelOnly="1" outline="0" fieldPosition="0">
        <references count="4">
          <reference field="5" count="1">
            <x v="64"/>
          </reference>
          <reference field="8" count="1" selected="0">
            <x v="0"/>
          </reference>
          <reference field="11" count="1" selected="0">
            <x v="1"/>
          </reference>
          <reference field="13" count="1" selected="0">
            <x v="31"/>
          </reference>
        </references>
      </pivotArea>
    </format>
    <format dxfId="4865">
      <pivotArea dataOnly="0" labelOnly="1" outline="0" fieldPosition="0">
        <references count="4">
          <reference field="5" count="1">
            <x v="64"/>
          </reference>
          <reference field="8" count="1" selected="0">
            <x v="0"/>
          </reference>
          <reference field="11" count="1" selected="0">
            <x v="1"/>
          </reference>
          <reference field="13" count="1" selected="0">
            <x v="33"/>
          </reference>
        </references>
      </pivotArea>
    </format>
    <format dxfId="4864">
      <pivotArea dataOnly="0" labelOnly="1" outline="0" fieldPosition="0">
        <references count="4">
          <reference field="5" count="1">
            <x v="64"/>
          </reference>
          <reference field="8" count="1" selected="0">
            <x v="0"/>
          </reference>
          <reference field="11" count="1" selected="0">
            <x v="1"/>
          </reference>
          <reference field="13" count="1" selected="0">
            <x v="46"/>
          </reference>
        </references>
      </pivotArea>
    </format>
    <format dxfId="4863">
      <pivotArea dataOnly="0" labelOnly="1" outline="0" fieldPosition="0">
        <references count="4">
          <reference field="5" count="1">
            <x v="47"/>
          </reference>
          <reference field="8" count="1" selected="0">
            <x v="0"/>
          </reference>
          <reference field="11" count="1" selected="0">
            <x v="1"/>
          </reference>
          <reference field="13" count="1" selected="0">
            <x v="51"/>
          </reference>
        </references>
      </pivotArea>
    </format>
    <format dxfId="4862">
      <pivotArea dataOnly="0" labelOnly="1" outline="0" fieldPosition="0">
        <references count="4">
          <reference field="5" count="1">
            <x v="52"/>
          </reference>
          <reference field="8" count="1" selected="0">
            <x v="0"/>
          </reference>
          <reference field="11" count="1" selected="0">
            <x v="1"/>
          </reference>
          <reference field="13" count="1" selected="0">
            <x v="56"/>
          </reference>
        </references>
      </pivotArea>
    </format>
    <format dxfId="4861">
      <pivotArea dataOnly="0" labelOnly="1" outline="0" fieldPosition="0">
        <references count="4">
          <reference field="5" count="1">
            <x v="64"/>
          </reference>
          <reference field="8" count="1" selected="0">
            <x v="0"/>
          </reference>
          <reference field="11" count="1" selected="0">
            <x v="1"/>
          </reference>
          <reference field="13" count="1" selected="0">
            <x v="63"/>
          </reference>
        </references>
      </pivotArea>
    </format>
    <format dxfId="4860">
      <pivotArea dataOnly="0" labelOnly="1" outline="0" fieldPosition="0">
        <references count="4">
          <reference field="5" count="1">
            <x v="23"/>
          </reference>
          <reference field="8" count="1" selected="0">
            <x v="0"/>
          </reference>
          <reference field="11" count="1" selected="0">
            <x v="1"/>
          </reference>
          <reference field="13" count="1" selected="0">
            <x v="70"/>
          </reference>
        </references>
      </pivotArea>
    </format>
    <format dxfId="4859">
      <pivotArea dataOnly="0" labelOnly="1" outline="0" fieldPosition="0">
        <references count="4">
          <reference field="5" count="2">
            <x v="56"/>
            <x v="64"/>
          </reference>
          <reference field="8" count="1" selected="0">
            <x v="0"/>
          </reference>
          <reference field="11" count="1" selected="0">
            <x v="1"/>
          </reference>
          <reference field="13" count="1" selected="0">
            <x v="75"/>
          </reference>
        </references>
      </pivotArea>
    </format>
    <format dxfId="4858">
      <pivotArea dataOnly="0" labelOnly="1" outline="0" fieldPosition="0">
        <references count="4">
          <reference field="5" count="1">
            <x v="63"/>
          </reference>
          <reference field="8" count="1" selected="0">
            <x v="0"/>
          </reference>
          <reference field="11" count="1" selected="0">
            <x v="1"/>
          </reference>
          <reference field="13" count="1" selected="0">
            <x v="85"/>
          </reference>
        </references>
      </pivotArea>
    </format>
    <format dxfId="4857">
      <pivotArea dataOnly="0" labelOnly="1" outline="0" fieldPosition="0">
        <references count="4">
          <reference field="5" count="1">
            <x v="64"/>
          </reference>
          <reference field="8" count="1" selected="0">
            <x v="0"/>
          </reference>
          <reference field="11" count="1" selected="0">
            <x v="1"/>
          </reference>
          <reference field="13" count="1" selected="0">
            <x v="87"/>
          </reference>
        </references>
      </pivotArea>
    </format>
    <format dxfId="4856">
      <pivotArea dataOnly="0" labelOnly="1" outline="0" fieldPosition="0">
        <references count="4">
          <reference field="5" count="2">
            <x v="63"/>
            <x v="110"/>
          </reference>
          <reference field="8" count="1" selected="0">
            <x v="0"/>
          </reference>
          <reference field="11" count="1" selected="0">
            <x v="1"/>
          </reference>
          <reference field="13" count="1" selected="0">
            <x v="90"/>
          </reference>
        </references>
      </pivotArea>
    </format>
    <format dxfId="4855">
      <pivotArea dataOnly="0" labelOnly="1" outline="0" fieldPosition="0">
        <references count="4">
          <reference field="5" count="1">
            <x v="23"/>
          </reference>
          <reference field="8" count="1" selected="0">
            <x v="0"/>
          </reference>
          <reference field="11" count="1" selected="0">
            <x v="1"/>
          </reference>
          <reference field="13" count="1" selected="0">
            <x v="94"/>
          </reference>
        </references>
      </pivotArea>
    </format>
    <format dxfId="4854">
      <pivotArea dataOnly="0" labelOnly="1" outline="0" fieldPosition="0">
        <references count="4">
          <reference field="5" count="1">
            <x v="63"/>
          </reference>
          <reference field="8" count="1" selected="0">
            <x v="0"/>
          </reference>
          <reference field="11" count="1" selected="0">
            <x v="1"/>
          </reference>
          <reference field="13" count="1" selected="0">
            <x v="103"/>
          </reference>
        </references>
      </pivotArea>
    </format>
    <format dxfId="4853">
      <pivotArea dataOnly="0" labelOnly="1" outline="0" fieldPosition="0">
        <references count="4">
          <reference field="5" count="1">
            <x v="64"/>
          </reference>
          <reference field="8" count="1" selected="0">
            <x v="0"/>
          </reference>
          <reference field="11" count="1" selected="0">
            <x v="1"/>
          </reference>
          <reference field="13" count="1" selected="0">
            <x v="109"/>
          </reference>
        </references>
      </pivotArea>
    </format>
    <format dxfId="4852">
      <pivotArea dataOnly="0" labelOnly="1" outline="0" fieldPosition="0">
        <references count="4">
          <reference field="5" count="2">
            <x v="76"/>
            <x v="81"/>
          </reference>
          <reference field="8" count="1" selected="0">
            <x v="0"/>
          </reference>
          <reference field="11" count="1" selected="0">
            <x v="1"/>
          </reference>
          <reference field="13" count="1" selected="0">
            <x v="115"/>
          </reference>
        </references>
      </pivotArea>
    </format>
    <format dxfId="4851">
      <pivotArea dataOnly="0" labelOnly="1" outline="0" fieldPosition="0">
        <references count="4">
          <reference field="5" count="1">
            <x v="64"/>
          </reference>
          <reference field="8" count="1" selected="0">
            <x v="0"/>
          </reference>
          <reference field="11" count="1" selected="0">
            <x v="1"/>
          </reference>
          <reference field="13" count="1" selected="0">
            <x v="121"/>
          </reference>
        </references>
      </pivotArea>
    </format>
    <format dxfId="4850">
      <pivotArea dataOnly="0" labelOnly="1" outline="0" fieldPosition="0">
        <references count="4">
          <reference field="5" count="1">
            <x v="108"/>
          </reference>
          <reference field="8" count="1" selected="0">
            <x v="0"/>
          </reference>
          <reference field="11" count="1" selected="0">
            <x v="1"/>
          </reference>
          <reference field="13" count="1" selected="0">
            <x v="125"/>
          </reference>
        </references>
      </pivotArea>
    </format>
    <format dxfId="4849">
      <pivotArea dataOnly="0" labelOnly="1" outline="0" fieldPosition="0">
        <references count="4">
          <reference field="5" count="1">
            <x v="31"/>
          </reference>
          <reference field="8" count="1" selected="0">
            <x v="0"/>
          </reference>
          <reference field="11" count="1" selected="0">
            <x v="1"/>
          </reference>
          <reference field="13" count="1" selected="0">
            <x v="127"/>
          </reference>
        </references>
      </pivotArea>
    </format>
    <format dxfId="4848">
      <pivotArea dataOnly="0" labelOnly="1" outline="0" fieldPosition="0">
        <references count="4">
          <reference field="5" count="2">
            <x v="68"/>
            <x v="70"/>
          </reference>
          <reference field="8" count="1" selected="0">
            <x v="0"/>
          </reference>
          <reference field="11" count="1" selected="0">
            <x v="1"/>
          </reference>
          <reference field="13" count="1" selected="0">
            <x v="138"/>
          </reference>
        </references>
      </pivotArea>
    </format>
    <format dxfId="4847">
      <pivotArea dataOnly="0" labelOnly="1" outline="0" fieldPosition="0">
        <references count="4">
          <reference field="5" count="1">
            <x v="81"/>
          </reference>
          <reference field="8" count="1" selected="0">
            <x v="0"/>
          </reference>
          <reference field="11" count="1" selected="0">
            <x v="1"/>
          </reference>
          <reference field="13" count="1" selected="0">
            <x v="147"/>
          </reference>
        </references>
      </pivotArea>
    </format>
    <format dxfId="4846">
      <pivotArea dataOnly="0" labelOnly="1" outline="0" fieldPosition="0">
        <references count="4">
          <reference field="5" count="1">
            <x v="108"/>
          </reference>
          <reference field="8" count="1" selected="0">
            <x v="0"/>
          </reference>
          <reference field="11" count="1" selected="0">
            <x v="1"/>
          </reference>
          <reference field="13" count="1" selected="0">
            <x v="149"/>
          </reference>
        </references>
      </pivotArea>
    </format>
    <format dxfId="4845">
      <pivotArea dataOnly="0" labelOnly="1" outline="0" fieldPosition="0">
        <references count="4">
          <reference field="5" count="1">
            <x v="52"/>
          </reference>
          <reference field="8" count="1" selected="0">
            <x v="0"/>
          </reference>
          <reference field="11" count="1" selected="0">
            <x v="1"/>
          </reference>
          <reference field="13" count="1" selected="0">
            <x v="151"/>
          </reference>
        </references>
      </pivotArea>
    </format>
    <format dxfId="4844">
      <pivotArea dataOnly="0" labelOnly="1" outline="0" fieldPosition="0">
        <references count="4">
          <reference field="5" count="1">
            <x v="64"/>
          </reference>
          <reference field="8" count="1" selected="0">
            <x v="0"/>
          </reference>
          <reference field="11" count="1" selected="0">
            <x v="1"/>
          </reference>
          <reference field="13" count="1" selected="0">
            <x v="157"/>
          </reference>
        </references>
      </pivotArea>
    </format>
    <format dxfId="4843">
      <pivotArea dataOnly="0" labelOnly="1" outline="0" fieldPosition="0">
        <references count="4">
          <reference field="5" count="1">
            <x v="60"/>
          </reference>
          <reference field="8" count="1" selected="0">
            <x v="0"/>
          </reference>
          <reference field="11" count="1" selected="0">
            <x v="1"/>
          </reference>
          <reference field="13" count="1" selected="0">
            <x v="161"/>
          </reference>
        </references>
      </pivotArea>
    </format>
    <format dxfId="4842">
      <pivotArea dataOnly="0" labelOnly="1" outline="0" fieldPosition="0">
        <references count="4">
          <reference field="5" count="1">
            <x v="70"/>
          </reference>
          <reference field="8" count="1" selected="0">
            <x v="0"/>
          </reference>
          <reference field="11" count="1" selected="0">
            <x v="1"/>
          </reference>
          <reference field="13" count="1" selected="0">
            <x v="167"/>
          </reference>
        </references>
      </pivotArea>
    </format>
    <format dxfId="4841">
      <pivotArea dataOnly="0" labelOnly="1" outline="0" fieldPosition="0">
        <references count="4">
          <reference field="5" count="2">
            <x v="64"/>
            <x v="101"/>
          </reference>
          <reference field="8" count="1" selected="0">
            <x v="0"/>
          </reference>
          <reference field="11" count="1" selected="0">
            <x v="1"/>
          </reference>
          <reference field="13" count="1" selected="0">
            <x v="169"/>
          </reference>
        </references>
      </pivotArea>
    </format>
    <format dxfId="4840">
      <pivotArea dataOnly="0" labelOnly="1" outline="0" fieldPosition="0">
        <references count="4">
          <reference field="5" count="1">
            <x v="64"/>
          </reference>
          <reference field="8" count="1" selected="0">
            <x v="0"/>
          </reference>
          <reference field="11" count="1" selected="0">
            <x v="1"/>
          </reference>
          <reference field="13" count="1" selected="0">
            <x v="171"/>
          </reference>
        </references>
      </pivotArea>
    </format>
    <format dxfId="4839">
      <pivotArea dataOnly="0" labelOnly="1" outline="0" fieldPosition="0">
        <references count="4">
          <reference field="5" count="1">
            <x v="64"/>
          </reference>
          <reference field="8" count="1" selected="0">
            <x v="0"/>
          </reference>
          <reference field="11" count="1" selected="0">
            <x v="1"/>
          </reference>
          <reference field="13" count="1" selected="0">
            <x v="179"/>
          </reference>
        </references>
      </pivotArea>
    </format>
    <format dxfId="4838">
      <pivotArea dataOnly="0" labelOnly="1" outline="0" fieldPosition="0">
        <references count="4">
          <reference field="5" count="1">
            <x v="70"/>
          </reference>
          <reference field="8" count="1" selected="0">
            <x v="0"/>
          </reference>
          <reference field="11" count="1" selected="0">
            <x v="1"/>
          </reference>
          <reference field="13" count="1" selected="0">
            <x v="187"/>
          </reference>
        </references>
      </pivotArea>
    </format>
    <format dxfId="4837">
      <pivotArea dataOnly="0" labelOnly="1" outline="0" fieldPosition="0">
        <references count="4">
          <reference field="5" count="1">
            <x v="70"/>
          </reference>
          <reference field="8" count="1" selected="0">
            <x v="0"/>
          </reference>
          <reference field="11" count="1" selected="0">
            <x v="1"/>
          </reference>
          <reference field="13" count="1" selected="0">
            <x v="195"/>
          </reference>
        </references>
      </pivotArea>
    </format>
    <format dxfId="4836">
      <pivotArea dataOnly="0" labelOnly="1" outline="0" fieldPosition="0">
        <references count="4">
          <reference field="5" count="1">
            <x v="70"/>
          </reference>
          <reference field="8" count="1" selected="0">
            <x v="0"/>
          </reference>
          <reference field="11" count="1" selected="0">
            <x v="1"/>
          </reference>
          <reference field="13" count="1" selected="0">
            <x v="196"/>
          </reference>
        </references>
      </pivotArea>
    </format>
    <format dxfId="4835">
      <pivotArea dataOnly="0" labelOnly="1" outline="0" fieldPosition="0">
        <references count="4">
          <reference field="5" count="1">
            <x v="64"/>
          </reference>
          <reference field="8" count="1" selected="0">
            <x v="0"/>
          </reference>
          <reference field="11" count="1" selected="0">
            <x v="1"/>
          </reference>
          <reference field="13" count="1" selected="0">
            <x v="214"/>
          </reference>
        </references>
      </pivotArea>
    </format>
    <format dxfId="4834">
      <pivotArea dataOnly="0" labelOnly="1" outline="0" fieldPosition="0">
        <references count="4">
          <reference field="5" count="1">
            <x v="101"/>
          </reference>
          <reference field="8" count="1" selected="0">
            <x v="0"/>
          </reference>
          <reference field="11" count="1" selected="0">
            <x v="1"/>
          </reference>
          <reference field="13" count="1" selected="0">
            <x v="215"/>
          </reference>
        </references>
      </pivotArea>
    </format>
    <format dxfId="4833">
      <pivotArea dataOnly="0" labelOnly="1" outline="0" fieldPosition="0">
        <references count="4">
          <reference field="5" count="1">
            <x v="63"/>
          </reference>
          <reference field="8" count="1" selected="0">
            <x v="0"/>
          </reference>
          <reference field="11" count="1" selected="0">
            <x v="1"/>
          </reference>
          <reference field="13" count="1" selected="0">
            <x v="216"/>
          </reference>
        </references>
      </pivotArea>
    </format>
    <format dxfId="4832">
      <pivotArea dataOnly="0" labelOnly="1" outline="0" fieldPosition="0">
        <references count="4">
          <reference field="5" count="1">
            <x v="110"/>
          </reference>
          <reference field="8" count="1" selected="0">
            <x v="0"/>
          </reference>
          <reference field="11" count="1" selected="0">
            <x v="1"/>
          </reference>
          <reference field="13" count="1" selected="0">
            <x v="222"/>
          </reference>
        </references>
      </pivotArea>
    </format>
    <format dxfId="4831">
      <pivotArea dataOnly="0" labelOnly="1" outline="0" fieldPosition="0">
        <references count="4">
          <reference field="5" count="2">
            <x v="31"/>
            <x v="64"/>
          </reference>
          <reference field="8" count="1" selected="0">
            <x v="0"/>
          </reference>
          <reference field="11" count="1" selected="0">
            <x v="1"/>
          </reference>
          <reference field="13" count="1" selected="0">
            <x v="225"/>
          </reference>
        </references>
      </pivotArea>
    </format>
    <format dxfId="4830">
      <pivotArea dataOnly="0" labelOnly="1" outline="0" fieldPosition="0">
        <references count="4">
          <reference field="5" count="2">
            <x v="64"/>
            <x v="110"/>
          </reference>
          <reference field="8" count="1" selected="0">
            <x v="0"/>
          </reference>
          <reference field="11" count="1" selected="0">
            <x v="1"/>
          </reference>
          <reference field="13" count="1" selected="0">
            <x v="230"/>
          </reference>
        </references>
      </pivotArea>
    </format>
    <format dxfId="4829">
      <pivotArea dataOnly="0" labelOnly="1" outline="0" fieldPosition="0">
        <references count="4">
          <reference field="5" count="1">
            <x v="64"/>
          </reference>
          <reference field="8" count="1" selected="0">
            <x v="0"/>
          </reference>
          <reference field="11" count="1" selected="0">
            <x v="1"/>
          </reference>
          <reference field="13" count="1" selected="0">
            <x v="233"/>
          </reference>
        </references>
      </pivotArea>
    </format>
    <format dxfId="4828">
      <pivotArea dataOnly="0" labelOnly="1" outline="0" fieldPosition="0">
        <references count="4">
          <reference field="5" count="1">
            <x v="101"/>
          </reference>
          <reference field="8" count="1" selected="0">
            <x v="0"/>
          </reference>
          <reference field="11" count="1" selected="0">
            <x v="1"/>
          </reference>
          <reference field="13" count="1" selected="0">
            <x v="241"/>
          </reference>
        </references>
      </pivotArea>
    </format>
    <format dxfId="4827">
      <pivotArea dataOnly="0" labelOnly="1" outline="0" fieldPosition="0">
        <references count="4">
          <reference field="5" count="1">
            <x v="110"/>
          </reference>
          <reference field="8" count="1" selected="0">
            <x v="0"/>
          </reference>
          <reference field="11" count="1" selected="0">
            <x v="1"/>
          </reference>
          <reference field="13" count="1" selected="0">
            <x v="253"/>
          </reference>
        </references>
      </pivotArea>
    </format>
    <format dxfId="4826">
      <pivotArea dataOnly="0" labelOnly="1" outline="0" fieldPosition="0">
        <references count="4">
          <reference field="5" count="1">
            <x v="116"/>
          </reference>
          <reference field="8" count="1" selected="0">
            <x v="0"/>
          </reference>
          <reference field="11" count="1" selected="0">
            <x v="1"/>
          </reference>
          <reference field="13" count="1" selected="0">
            <x v="256"/>
          </reference>
        </references>
      </pivotArea>
    </format>
    <format dxfId="4825">
      <pivotArea dataOnly="0" labelOnly="1" outline="0" fieldPosition="0">
        <references count="4">
          <reference field="5" count="1">
            <x v="0"/>
          </reference>
          <reference field="8" count="1" selected="0">
            <x v="0"/>
          </reference>
          <reference field="11" count="1" selected="0">
            <x v="1"/>
          </reference>
          <reference field="13" count="1" selected="0">
            <x v="277"/>
          </reference>
        </references>
      </pivotArea>
    </format>
    <format dxfId="4824">
      <pivotArea dataOnly="0" labelOnly="1" outline="0" fieldPosition="0">
        <references count="4">
          <reference field="5" count="10">
            <x v="23"/>
            <x v="32"/>
            <x v="47"/>
            <x v="60"/>
            <x v="63"/>
            <x v="64"/>
            <x v="70"/>
            <x v="101"/>
            <x v="108"/>
            <x v="120"/>
          </reference>
          <reference field="8" count="1" selected="0">
            <x v="0"/>
          </reference>
          <reference field="11" count="1" selected="0">
            <x v="1"/>
          </reference>
          <reference field="13" count="1" selected="0">
            <x v="286"/>
          </reference>
        </references>
      </pivotArea>
    </format>
    <format dxfId="4823">
      <pivotArea dataOnly="0" labelOnly="1" outline="0" fieldPosition="0">
        <references count="4">
          <reference field="5" count="1">
            <x v="86"/>
          </reference>
          <reference field="8" count="1" selected="0">
            <x v="0"/>
          </reference>
          <reference field="11" count="1" selected="0">
            <x v="2"/>
          </reference>
          <reference field="13" count="1" selected="0">
            <x v="1"/>
          </reference>
        </references>
      </pivotArea>
    </format>
    <format dxfId="4822">
      <pivotArea dataOnly="0" labelOnly="1" outline="0" fieldPosition="0">
        <references count="4">
          <reference field="5" count="1">
            <x v="23"/>
          </reference>
          <reference field="8" count="1" selected="0">
            <x v="0"/>
          </reference>
          <reference field="11" count="1" selected="0">
            <x v="2"/>
          </reference>
          <reference field="13" count="1" selected="0">
            <x v="10"/>
          </reference>
        </references>
      </pivotArea>
    </format>
    <format dxfId="4821">
      <pivotArea dataOnly="0" labelOnly="1" outline="0" fieldPosition="0">
        <references count="4">
          <reference field="5" count="8">
            <x v="1"/>
            <x v="32"/>
            <x v="56"/>
            <x v="71"/>
            <x v="92"/>
            <x v="100"/>
            <x v="101"/>
            <x v="103"/>
          </reference>
          <reference field="8" count="1" selected="0">
            <x v="0"/>
          </reference>
          <reference field="11" count="1" selected="0">
            <x v="2"/>
          </reference>
          <reference field="13" count="1" selected="0">
            <x v="18"/>
          </reference>
        </references>
      </pivotArea>
    </format>
    <format dxfId="4820">
      <pivotArea dataOnly="0" labelOnly="1" outline="0" fieldPosition="0">
        <references count="4">
          <reference field="5" count="1">
            <x v="23"/>
          </reference>
          <reference field="8" count="1" selected="0">
            <x v="0"/>
          </reference>
          <reference field="11" count="1" selected="0">
            <x v="2"/>
          </reference>
          <reference field="13" count="1" selected="0">
            <x v="21"/>
          </reference>
        </references>
      </pivotArea>
    </format>
    <format dxfId="4819">
      <pivotArea dataOnly="0" labelOnly="1" outline="0" fieldPosition="0">
        <references count="4">
          <reference field="5" count="7">
            <x v="32"/>
            <x v="35"/>
            <x v="42"/>
            <x v="60"/>
            <x v="65"/>
            <x v="110"/>
            <x v="111"/>
          </reference>
          <reference field="8" count="1" selected="0">
            <x v="0"/>
          </reference>
          <reference field="11" count="1" selected="0">
            <x v="2"/>
          </reference>
          <reference field="13" count="1" selected="0">
            <x v="23"/>
          </reference>
        </references>
      </pivotArea>
    </format>
    <format dxfId="4818">
      <pivotArea dataOnly="0" labelOnly="1" outline="0" fieldPosition="0">
        <references count="4">
          <reference field="5" count="15">
            <x v="32"/>
            <x v="50"/>
            <x v="68"/>
            <x v="70"/>
            <x v="78"/>
            <x v="82"/>
            <x v="92"/>
            <x v="100"/>
            <x v="101"/>
            <x v="103"/>
            <x v="104"/>
            <x v="106"/>
            <x v="108"/>
            <x v="110"/>
            <x v="111"/>
          </reference>
          <reference field="8" count="1" selected="0">
            <x v="0"/>
          </reference>
          <reference field="11" count="1" selected="0">
            <x v="2"/>
          </reference>
          <reference field="13" count="1" selected="0">
            <x v="35"/>
          </reference>
        </references>
      </pivotArea>
    </format>
    <format dxfId="4817">
      <pivotArea dataOnly="0" labelOnly="1" outline="0" fieldPosition="0">
        <references count="4">
          <reference field="5" count="8">
            <x v="32"/>
            <x v="60"/>
            <x v="65"/>
            <x v="101"/>
            <x v="103"/>
            <x v="104"/>
            <x v="108"/>
            <x v="110"/>
          </reference>
          <reference field="8" count="1" selected="0">
            <x v="0"/>
          </reference>
          <reference field="11" count="1" selected="0">
            <x v="2"/>
          </reference>
          <reference field="13" count="1" selected="0">
            <x v="38"/>
          </reference>
        </references>
      </pivotArea>
    </format>
    <format dxfId="4816">
      <pivotArea dataOnly="0" labelOnly="1" outline="0" fieldPosition="0">
        <references count="4">
          <reference field="5" count="5">
            <x v="1"/>
            <x v="65"/>
            <x v="78"/>
            <x v="101"/>
            <x v="108"/>
          </reference>
          <reference field="8" count="1" selected="0">
            <x v="0"/>
          </reference>
          <reference field="11" count="1" selected="0">
            <x v="2"/>
          </reference>
          <reference field="13" count="1" selected="0">
            <x v="44"/>
          </reference>
        </references>
      </pivotArea>
    </format>
    <format dxfId="4815">
      <pivotArea dataOnly="0" labelOnly="1" outline="0" fieldPosition="0">
        <references count="4">
          <reference field="5" count="3">
            <x v="32"/>
            <x v="42"/>
            <x v="63"/>
          </reference>
          <reference field="8" count="1" selected="0">
            <x v="0"/>
          </reference>
          <reference field="11" count="1" selected="0">
            <x v="2"/>
          </reference>
          <reference field="13" count="1" selected="0">
            <x v="50"/>
          </reference>
        </references>
      </pivotArea>
    </format>
    <format dxfId="4814">
      <pivotArea dataOnly="0" labelOnly="1" outline="0" fieldPosition="0">
        <references count="4">
          <reference field="5" count="10">
            <x v="1"/>
            <x v="32"/>
            <x v="51"/>
            <x v="82"/>
            <x v="101"/>
            <x v="103"/>
            <x v="104"/>
            <x v="108"/>
            <x v="110"/>
            <x v="111"/>
          </reference>
          <reference field="8" count="1" selected="0">
            <x v="0"/>
          </reference>
          <reference field="11" count="1" selected="0">
            <x v="2"/>
          </reference>
          <reference field="13" count="1" selected="0">
            <x v="52"/>
          </reference>
        </references>
      </pivotArea>
    </format>
    <format dxfId="4813">
      <pivotArea dataOnly="0" labelOnly="1" outline="0" fieldPosition="0">
        <references count="4">
          <reference field="5" count="11">
            <x v="32"/>
            <x v="34"/>
            <x v="51"/>
            <x v="60"/>
            <x v="63"/>
            <x v="65"/>
            <x v="68"/>
            <x v="70"/>
            <x v="72"/>
            <x v="78"/>
            <x v="108"/>
          </reference>
          <reference field="8" count="1" selected="0">
            <x v="0"/>
          </reference>
          <reference field="11" count="1" selected="0">
            <x v="2"/>
          </reference>
          <reference field="13" count="1" selected="0">
            <x v="55"/>
          </reference>
        </references>
      </pivotArea>
    </format>
    <format dxfId="4812">
      <pivotArea dataOnly="0" labelOnly="1" outline="0" fieldPosition="0">
        <references count="4">
          <reference field="5" count="4">
            <x v="68"/>
            <x v="71"/>
            <x v="81"/>
            <x v="112"/>
          </reference>
          <reference field="8" count="1" selected="0">
            <x v="0"/>
          </reference>
          <reference field="11" count="1" selected="0">
            <x v="2"/>
          </reference>
          <reference field="13" count="1" selected="0">
            <x v="60"/>
          </reference>
        </references>
      </pivotArea>
    </format>
    <format dxfId="4811">
      <pivotArea dataOnly="0" labelOnly="1" outline="0" fieldPosition="0">
        <references count="4">
          <reference field="5" count="5">
            <x v="34"/>
            <x v="65"/>
            <x v="103"/>
            <x v="104"/>
            <x v="110"/>
          </reference>
          <reference field="8" count="1" selected="0">
            <x v="0"/>
          </reference>
          <reference field="11" count="1" selected="0">
            <x v="2"/>
          </reference>
          <reference field="13" count="1" selected="0">
            <x v="71"/>
          </reference>
        </references>
      </pivotArea>
    </format>
    <format dxfId="4810">
      <pivotArea dataOnly="0" labelOnly="1" outline="0" fieldPosition="0">
        <references count="4">
          <reference field="5" count="1">
            <x v="20"/>
          </reference>
          <reference field="8" count="1" selected="0">
            <x v="0"/>
          </reference>
          <reference field="11" count="1" selected="0">
            <x v="2"/>
          </reference>
          <reference field="13" count="1" selected="0">
            <x v="76"/>
          </reference>
        </references>
      </pivotArea>
    </format>
    <format dxfId="4809">
      <pivotArea dataOnly="0" labelOnly="1" outline="0" fieldPosition="0">
        <references count="4">
          <reference field="5" count="1">
            <x v="42"/>
          </reference>
          <reference field="8" count="1" selected="0">
            <x v="0"/>
          </reference>
          <reference field="11" count="1" selected="0">
            <x v="2"/>
          </reference>
          <reference field="13" count="1" selected="0">
            <x v="106"/>
          </reference>
        </references>
      </pivotArea>
    </format>
    <format dxfId="4808">
      <pivotArea dataOnly="0" labelOnly="1" outline="0" fieldPosition="0">
        <references count="4">
          <reference field="5" count="1">
            <x v="65"/>
          </reference>
          <reference field="8" count="1" selected="0">
            <x v="0"/>
          </reference>
          <reference field="11" count="1" selected="0">
            <x v="2"/>
          </reference>
          <reference field="13" count="1" selected="0">
            <x v="135"/>
          </reference>
        </references>
      </pivotArea>
    </format>
    <format dxfId="4807">
      <pivotArea dataOnly="0" labelOnly="1" outline="0" fieldPosition="0">
        <references count="4">
          <reference field="5" count="1">
            <x v="23"/>
          </reference>
          <reference field="8" count="1" selected="0">
            <x v="0"/>
          </reference>
          <reference field="11" count="1" selected="0">
            <x v="2"/>
          </reference>
          <reference field="13" count="1" selected="0">
            <x v="139"/>
          </reference>
        </references>
      </pivotArea>
    </format>
    <format dxfId="4806">
      <pivotArea dataOnly="0" labelOnly="1" outline="0" fieldPosition="0">
        <references count="4">
          <reference field="5" count="1">
            <x v="65"/>
          </reference>
          <reference field="8" count="1" selected="0">
            <x v="0"/>
          </reference>
          <reference field="11" count="1" selected="0">
            <x v="2"/>
          </reference>
          <reference field="13" count="1" selected="0">
            <x v="144"/>
          </reference>
        </references>
      </pivotArea>
    </format>
    <format dxfId="4805">
      <pivotArea dataOnly="0" labelOnly="1" outline="0" fieldPosition="0">
        <references count="4">
          <reference field="5" count="17">
            <x v="20"/>
            <x v="32"/>
            <x v="35"/>
            <x v="42"/>
            <x v="56"/>
            <x v="60"/>
            <x v="65"/>
            <x v="70"/>
            <x v="71"/>
            <x v="72"/>
            <x v="73"/>
            <x v="100"/>
            <x v="101"/>
            <x v="103"/>
            <x v="108"/>
            <x v="110"/>
            <x v="111"/>
          </reference>
          <reference field="8" count="1" selected="0">
            <x v="0"/>
          </reference>
          <reference field="11" count="1" selected="0">
            <x v="2"/>
          </reference>
          <reference field="13" count="1" selected="0">
            <x v="173"/>
          </reference>
        </references>
      </pivotArea>
    </format>
    <format dxfId="4804">
      <pivotArea dataOnly="0" labelOnly="1" outline="0" fieldPosition="0">
        <references count="4">
          <reference field="5" count="1">
            <x v="110"/>
          </reference>
          <reference field="8" count="1" selected="0">
            <x v="0"/>
          </reference>
          <reference field="11" count="1" selected="0">
            <x v="2"/>
          </reference>
          <reference field="13" count="1" selected="0">
            <x v="190"/>
          </reference>
        </references>
      </pivotArea>
    </format>
    <format dxfId="4803">
      <pivotArea dataOnly="0" labelOnly="1" outline="0" fieldPosition="0">
        <references count="4">
          <reference field="5" count="3">
            <x v="71"/>
            <x v="76"/>
            <x v="81"/>
          </reference>
          <reference field="8" count="1" selected="0">
            <x v="0"/>
          </reference>
          <reference field="11" count="1" selected="0">
            <x v="2"/>
          </reference>
          <reference field="13" count="1" selected="0">
            <x v="204"/>
          </reference>
        </references>
      </pivotArea>
    </format>
    <format dxfId="4802">
      <pivotArea dataOnly="0" labelOnly="1" outline="0" fieldPosition="0">
        <references count="4">
          <reference field="5" count="8">
            <x v="19"/>
            <x v="32"/>
            <x v="70"/>
            <x v="101"/>
            <x v="103"/>
            <x v="109"/>
            <x v="110"/>
            <x v="111"/>
          </reference>
          <reference field="8" count="1" selected="0">
            <x v="0"/>
          </reference>
          <reference field="11" count="1" selected="0">
            <x v="2"/>
          </reference>
          <reference field="13" count="1" selected="0">
            <x v="205"/>
          </reference>
        </references>
      </pivotArea>
    </format>
    <format dxfId="4801">
      <pivotArea dataOnly="0" labelOnly="1" outline="0" fieldPosition="0">
        <references count="4">
          <reference field="5" count="5">
            <x v="32"/>
            <x v="65"/>
            <x v="70"/>
            <x v="101"/>
            <x v="108"/>
          </reference>
          <reference field="8" count="1" selected="0">
            <x v="0"/>
          </reference>
          <reference field="11" count="1" selected="0">
            <x v="2"/>
          </reference>
          <reference field="13" count="1" selected="0">
            <x v="232"/>
          </reference>
        </references>
      </pivotArea>
    </format>
    <format dxfId="4800">
      <pivotArea dataOnly="0" labelOnly="1" outline="0" fieldPosition="0">
        <references count="4">
          <reference field="5" count="7">
            <x v="32"/>
            <x v="34"/>
            <x v="60"/>
            <x v="65"/>
            <x v="78"/>
            <x v="101"/>
            <x v="108"/>
          </reference>
          <reference field="8" count="1" selected="0">
            <x v="0"/>
          </reference>
          <reference field="11" count="1" selected="0">
            <x v="2"/>
          </reference>
          <reference field="13" count="1" selected="0">
            <x v="235"/>
          </reference>
        </references>
      </pivotArea>
    </format>
    <format dxfId="4799">
      <pivotArea dataOnly="0" labelOnly="1" outline="0" fieldPosition="0">
        <references count="4">
          <reference field="5" count="7">
            <x v="32"/>
            <x v="68"/>
            <x v="72"/>
            <x v="73"/>
            <x v="76"/>
            <x v="78"/>
            <x v="81"/>
          </reference>
          <reference field="8" count="1" selected="0">
            <x v="0"/>
          </reference>
          <reference field="11" count="1" selected="0">
            <x v="2"/>
          </reference>
          <reference field="13" count="1" selected="0">
            <x v="238"/>
          </reference>
        </references>
      </pivotArea>
    </format>
    <format dxfId="4798">
      <pivotArea dataOnly="0" labelOnly="1" outline="0" fieldPosition="0">
        <references count="4">
          <reference field="5" count="1">
            <x v="23"/>
          </reference>
          <reference field="8" count="1" selected="0">
            <x v="0"/>
          </reference>
          <reference field="11" count="1" selected="0">
            <x v="2"/>
          </reference>
          <reference field="13" count="1" selected="0">
            <x v="249"/>
          </reference>
        </references>
      </pivotArea>
    </format>
    <format dxfId="4797">
      <pivotArea dataOnly="0" labelOnly="1" outline="0" fieldPosition="0">
        <references count="4">
          <reference field="5" count="1">
            <x v="68"/>
          </reference>
          <reference field="8" count="1" selected="0">
            <x v="0"/>
          </reference>
          <reference field="11" count="1" selected="0">
            <x v="2"/>
          </reference>
          <reference field="13" count="1" selected="0">
            <x v="254"/>
          </reference>
        </references>
      </pivotArea>
    </format>
    <format dxfId="4796">
      <pivotArea dataOnly="0" labelOnly="1" outline="0" fieldPosition="0">
        <references count="4">
          <reference field="5" count="12">
            <x v="16"/>
            <x v="23"/>
            <x v="29"/>
            <x v="32"/>
            <x v="34"/>
            <x v="52"/>
            <x v="68"/>
            <x v="69"/>
            <x v="70"/>
            <x v="78"/>
            <x v="84"/>
            <x v="111"/>
          </reference>
          <reference field="8" count="1" selected="0">
            <x v="0"/>
          </reference>
          <reference field="11" count="1" selected="0">
            <x v="2"/>
          </reference>
          <reference field="13" count="1" selected="0">
            <x v="263"/>
          </reference>
        </references>
      </pivotArea>
    </format>
    <format dxfId="4795">
      <pivotArea dataOnly="0" labelOnly="1" outline="0" fieldPosition="0">
        <references count="4">
          <reference field="5" count="3">
            <x v="34"/>
            <x v="78"/>
            <x v="112"/>
          </reference>
          <reference field="8" count="1" selected="0">
            <x v="0"/>
          </reference>
          <reference field="11" count="1" selected="0">
            <x v="2"/>
          </reference>
          <reference field="13" count="1" selected="0">
            <x v="265"/>
          </reference>
        </references>
      </pivotArea>
    </format>
    <format dxfId="4794">
      <pivotArea dataOnly="0" labelOnly="1" outline="0" fieldPosition="0">
        <references count="4">
          <reference field="5" count="1">
            <x v="68"/>
          </reference>
          <reference field="8" count="1" selected="0">
            <x v="0"/>
          </reference>
          <reference field="11" count="1" selected="0">
            <x v="2"/>
          </reference>
          <reference field="13" count="1" selected="0">
            <x v="270"/>
          </reference>
        </references>
      </pivotArea>
    </format>
    <format dxfId="4793">
      <pivotArea dataOnly="0" labelOnly="1" outline="0" fieldPosition="0">
        <references count="4">
          <reference field="5" count="2">
            <x v="68"/>
            <x v="112"/>
          </reference>
          <reference field="8" count="1" selected="0">
            <x v="0"/>
          </reference>
          <reference field="11" count="1" selected="0">
            <x v="2"/>
          </reference>
          <reference field="13" count="1" selected="0">
            <x v="276"/>
          </reference>
        </references>
      </pivotArea>
    </format>
    <format dxfId="4792">
      <pivotArea dataOnly="0" labelOnly="1" outline="0" fieldPosition="0">
        <references count="4">
          <reference field="5" count="15">
            <x v="20"/>
            <x v="32"/>
            <x v="34"/>
            <x v="56"/>
            <x v="60"/>
            <x v="65"/>
            <x v="68"/>
            <x v="70"/>
            <x v="71"/>
            <x v="72"/>
            <x v="73"/>
            <x v="101"/>
            <x v="103"/>
            <x v="108"/>
            <x v="110"/>
          </reference>
          <reference field="8" count="1" selected="0">
            <x v="0"/>
          </reference>
          <reference field="11" count="1" selected="0">
            <x v="2"/>
          </reference>
          <reference field="13" count="1" selected="0">
            <x v="279"/>
          </reference>
        </references>
      </pivotArea>
    </format>
    <format dxfId="4791">
      <pivotArea dataOnly="0" labelOnly="1" outline="0" fieldPosition="0">
        <references count="4">
          <reference field="5" count="1">
            <x v="1"/>
          </reference>
          <reference field="8" count="1" selected="0">
            <x v="0"/>
          </reference>
          <reference field="11" count="1" selected="0">
            <x v="2"/>
          </reference>
          <reference field="13" count="1" selected="0">
            <x v="282"/>
          </reference>
        </references>
      </pivotArea>
    </format>
    <format dxfId="4790">
      <pivotArea dataOnly="0" labelOnly="1" outline="0" fieldPosition="0">
        <references count="4">
          <reference field="5" count="2">
            <x v="68"/>
            <x v="108"/>
          </reference>
          <reference field="8" count="1" selected="0">
            <x v="0"/>
          </reference>
          <reference field="11" count="1" selected="0">
            <x v="2"/>
          </reference>
          <reference field="13" count="1" selected="0">
            <x v="285"/>
          </reference>
        </references>
      </pivotArea>
    </format>
    <format dxfId="4789">
      <pivotArea dataOnly="0" labelOnly="1" outline="0" fieldPosition="0">
        <references count="4">
          <reference field="5" count="1">
            <x v="1"/>
          </reference>
          <reference field="8" count="1" selected="0">
            <x v="0"/>
          </reference>
          <reference field="11" count="1" selected="0">
            <x v="2"/>
          </reference>
          <reference field="13" count="1" selected="0">
            <x v="289"/>
          </reference>
        </references>
      </pivotArea>
    </format>
    <format dxfId="4788">
      <pivotArea dataOnly="0" labelOnly="1" outline="0" fieldPosition="0">
        <references count="4">
          <reference field="5" count="11">
            <x v="12"/>
            <x v="29"/>
            <x v="50"/>
            <x v="61"/>
            <x v="65"/>
            <x v="68"/>
            <x v="71"/>
            <x v="72"/>
            <x v="103"/>
            <x v="108"/>
            <x v="110"/>
          </reference>
          <reference field="8" count="1" selected="0">
            <x v="0"/>
          </reference>
          <reference field="11" count="1" selected="0">
            <x v="3"/>
          </reference>
          <reference field="13" count="1" selected="0">
            <x v="7"/>
          </reference>
        </references>
      </pivotArea>
    </format>
    <format dxfId="4787">
      <pivotArea dataOnly="0" labelOnly="1" outline="0" fieldPosition="0">
        <references count="4">
          <reference field="5" count="1">
            <x v="72"/>
          </reference>
          <reference field="8" count="1" selected="0">
            <x v="0"/>
          </reference>
          <reference field="11" count="1" selected="0">
            <x v="3"/>
          </reference>
          <reference field="13" count="1" selected="0">
            <x v="14"/>
          </reference>
        </references>
      </pivotArea>
    </format>
    <format dxfId="4786">
      <pivotArea dataOnly="0" labelOnly="1" outline="0" fieldPosition="0">
        <references count="4">
          <reference field="5" count="19">
            <x v="3"/>
            <x v="12"/>
            <x v="13"/>
            <x v="14"/>
            <x v="22"/>
            <x v="29"/>
            <x v="31"/>
            <x v="42"/>
            <x v="53"/>
            <x v="57"/>
            <x v="60"/>
            <x v="63"/>
            <x v="68"/>
            <x v="70"/>
            <x v="72"/>
            <x v="101"/>
            <x v="108"/>
            <x v="110"/>
            <x v="111"/>
          </reference>
          <reference field="8" count="1" selected="0">
            <x v="0"/>
          </reference>
          <reference field="11" count="1" selected="0">
            <x v="3"/>
          </reference>
          <reference field="13" count="1" selected="0">
            <x v="17"/>
          </reference>
        </references>
      </pivotArea>
    </format>
    <format dxfId="4785">
      <pivotArea dataOnly="0" labelOnly="1" outline="0" fieldPosition="0">
        <references count="4">
          <reference field="5" count="2">
            <x v="68"/>
            <x v="72"/>
          </reference>
          <reference field="8" count="1" selected="0">
            <x v="0"/>
          </reference>
          <reference field="11" count="1" selected="0">
            <x v="3"/>
          </reference>
          <reference field="13" count="1" selected="0">
            <x v="25"/>
          </reference>
        </references>
      </pivotArea>
    </format>
    <format dxfId="4784">
      <pivotArea dataOnly="0" labelOnly="1" outline="0" fieldPosition="0">
        <references count="4">
          <reference field="5" count="4">
            <x v="32"/>
            <x v="111"/>
            <x v="116"/>
            <x v="117"/>
          </reference>
          <reference field="8" count="1" selected="0">
            <x v="0"/>
          </reference>
          <reference field="11" count="1" selected="0">
            <x v="3"/>
          </reference>
          <reference field="13" count="1" selected="0">
            <x v="29"/>
          </reference>
        </references>
      </pivotArea>
    </format>
    <format dxfId="4783">
      <pivotArea dataOnly="0" labelOnly="1" outline="0" fieldPosition="0">
        <references count="4">
          <reference field="5" count="25">
            <x v="4"/>
            <x v="14"/>
            <x v="16"/>
            <x v="22"/>
            <x v="23"/>
            <x v="24"/>
            <x v="32"/>
            <x v="35"/>
            <x v="41"/>
            <x v="42"/>
            <x v="60"/>
            <x v="63"/>
            <x v="65"/>
            <x v="68"/>
            <x v="70"/>
            <x v="72"/>
            <x v="73"/>
            <x v="74"/>
            <x v="84"/>
            <x v="101"/>
            <x v="106"/>
            <x v="108"/>
            <x v="110"/>
            <x v="114"/>
            <x v="117"/>
          </reference>
          <reference field="8" count="1" selected="0">
            <x v="0"/>
          </reference>
          <reference field="11" count="1" selected="0">
            <x v="3"/>
          </reference>
          <reference field="13" count="1" selected="0">
            <x v="32"/>
          </reference>
        </references>
      </pivotArea>
    </format>
    <format dxfId="4782">
      <pivotArea dataOnly="0" labelOnly="1" outline="0" fieldPosition="0">
        <references count="4">
          <reference field="5" count="3">
            <x v="47"/>
            <x v="68"/>
            <x v="72"/>
          </reference>
          <reference field="8" count="1" selected="0">
            <x v="0"/>
          </reference>
          <reference field="11" count="1" selected="0">
            <x v="3"/>
          </reference>
          <reference field="13" count="1" selected="0">
            <x v="36"/>
          </reference>
        </references>
      </pivotArea>
    </format>
    <format dxfId="4781">
      <pivotArea dataOnly="0" labelOnly="1" outline="0" fieldPosition="0">
        <references count="4">
          <reference field="5" count="1">
            <x v="32"/>
          </reference>
          <reference field="8" count="1" selected="0">
            <x v="0"/>
          </reference>
          <reference field="11" count="1" selected="0">
            <x v="3"/>
          </reference>
          <reference field="13" count="1" selected="0">
            <x v="49"/>
          </reference>
        </references>
      </pivotArea>
    </format>
    <format dxfId="4780">
      <pivotArea dataOnly="0" labelOnly="1" outline="0" fieldPosition="0">
        <references count="4">
          <reference field="5" count="3">
            <x v="65"/>
            <x v="68"/>
            <x v="110"/>
          </reference>
          <reference field="8" count="1" selected="0">
            <x v="0"/>
          </reference>
          <reference field="11" count="1" selected="0">
            <x v="3"/>
          </reference>
          <reference field="13" count="1" selected="0">
            <x v="54"/>
          </reference>
        </references>
      </pivotArea>
    </format>
    <format dxfId="4779">
      <pivotArea dataOnly="0" labelOnly="1" outline="0" fieldPosition="0">
        <references count="4">
          <reference field="5" count="25">
            <x v="4"/>
            <x v="12"/>
            <x v="23"/>
            <x v="32"/>
            <x v="35"/>
            <x v="47"/>
            <x v="56"/>
            <x v="61"/>
            <x v="65"/>
            <x v="68"/>
            <x v="70"/>
            <x v="71"/>
            <x v="72"/>
            <x v="73"/>
            <x v="78"/>
            <x v="79"/>
            <x v="80"/>
            <x v="81"/>
            <x v="84"/>
            <x v="101"/>
            <x v="103"/>
            <x v="106"/>
            <x v="108"/>
            <x v="110"/>
            <x v="111"/>
          </reference>
          <reference field="8" count="1" selected="0">
            <x v="0"/>
          </reference>
          <reference field="11" count="1" selected="0">
            <x v="3"/>
          </reference>
          <reference field="13" count="1" selected="0">
            <x v="57"/>
          </reference>
        </references>
      </pivotArea>
    </format>
    <format dxfId="4778">
      <pivotArea dataOnly="0" labelOnly="1" outline="0" fieldPosition="0">
        <references count="4">
          <reference field="5" count="2">
            <x v="63"/>
            <x v="72"/>
          </reference>
          <reference field="8" count="1" selected="0">
            <x v="0"/>
          </reference>
          <reference field="11" count="1" selected="0">
            <x v="3"/>
          </reference>
          <reference field="13" count="1" selected="0">
            <x v="62"/>
          </reference>
        </references>
      </pivotArea>
    </format>
    <format dxfId="4777">
      <pivotArea dataOnly="0" labelOnly="1" outline="0" fieldPosition="0">
        <references count="4">
          <reference field="5" count="23">
            <x v="10"/>
            <x v="19"/>
            <x v="23"/>
            <x v="32"/>
            <x v="34"/>
            <x v="35"/>
            <x v="47"/>
            <x v="50"/>
            <x v="52"/>
            <x v="60"/>
            <x v="61"/>
            <x v="64"/>
            <x v="65"/>
            <x v="68"/>
            <x v="70"/>
            <x v="72"/>
            <x v="76"/>
            <x v="78"/>
            <x v="86"/>
            <x v="108"/>
            <x v="110"/>
            <x v="112"/>
            <x v="114"/>
          </reference>
          <reference field="8" count="1" selected="0">
            <x v="0"/>
          </reference>
          <reference field="11" count="1" selected="0">
            <x v="3"/>
          </reference>
          <reference field="13" count="1" selected="0">
            <x v="69"/>
          </reference>
        </references>
      </pivotArea>
    </format>
    <format dxfId="4776">
      <pivotArea dataOnly="0" labelOnly="1" outline="0" fieldPosition="0">
        <references count="4">
          <reference field="5" count="12">
            <x v="11"/>
            <x v="23"/>
            <x v="32"/>
            <x v="33"/>
            <x v="47"/>
            <x v="63"/>
            <x v="68"/>
            <x v="70"/>
            <x v="92"/>
            <x v="101"/>
            <x v="108"/>
            <x v="110"/>
          </reference>
          <reference field="8" count="1" selected="0">
            <x v="0"/>
          </reference>
          <reference field="11" count="1" selected="0">
            <x v="3"/>
          </reference>
          <reference field="13" count="1" selected="0">
            <x v="78"/>
          </reference>
        </references>
      </pivotArea>
    </format>
    <format dxfId="4775">
      <pivotArea dataOnly="0" labelOnly="1" outline="0" fieldPosition="0">
        <references count="4">
          <reference field="5" count="1">
            <x v="68"/>
          </reference>
          <reference field="8" count="1" selected="0">
            <x v="0"/>
          </reference>
          <reference field="11" count="1" selected="0">
            <x v="3"/>
          </reference>
          <reference field="13" count="1" selected="0">
            <x v="83"/>
          </reference>
        </references>
      </pivotArea>
    </format>
    <format dxfId="4774">
      <pivotArea dataOnly="0" labelOnly="1" outline="0" fieldPosition="0">
        <references count="4">
          <reference field="5" count="3">
            <x v="86"/>
            <x v="91"/>
            <x v="114"/>
          </reference>
          <reference field="8" count="1" selected="0">
            <x v="0"/>
          </reference>
          <reference field="11" count="1" selected="0">
            <x v="3"/>
          </reference>
          <reference field="13" count="1" selected="0">
            <x v="89"/>
          </reference>
        </references>
      </pivotArea>
    </format>
    <format dxfId="4773">
      <pivotArea dataOnly="0" labelOnly="1" outline="0" fieldPosition="0">
        <references count="4">
          <reference field="5" count="6">
            <x v="12"/>
            <x v="14"/>
            <x v="16"/>
            <x v="23"/>
            <x v="29"/>
            <x v="110"/>
          </reference>
          <reference field="8" count="1" selected="0">
            <x v="0"/>
          </reference>
          <reference field="11" count="1" selected="0">
            <x v="3"/>
          </reference>
          <reference field="13" count="1" selected="0">
            <x v="92"/>
          </reference>
        </references>
      </pivotArea>
    </format>
    <format dxfId="4772">
      <pivotArea dataOnly="0" labelOnly="1" outline="0" fieldPosition="0">
        <references count="4">
          <reference field="5" count="2">
            <x v="65"/>
            <x v="110"/>
          </reference>
          <reference field="8" count="1" selected="0">
            <x v="0"/>
          </reference>
          <reference field="11" count="1" selected="0">
            <x v="3"/>
          </reference>
          <reference field="13" count="1" selected="0">
            <x v="100"/>
          </reference>
        </references>
      </pivotArea>
    </format>
    <format dxfId="4771">
      <pivotArea dataOnly="0" labelOnly="1" outline="0" fieldPosition="0">
        <references count="4">
          <reference field="5" count="3">
            <x v="23"/>
            <x v="68"/>
            <x v="86"/>
          </reference>
          <reference field="8" count="1" selected="0">
            <x v="0"/>
          </reference>
          <reference field="11" count="1" selected="0">
            <x v="3"/>
          </reference>
          <reference field="13" count="1" selected="0">
            <x v="101"/>
          </reference>
        </references>
      </pivotArea>
    </format>
    <format dxfId="4770">
      <pivotArea dataOnly="0" labelOnly="1" outline="0" fieldPosition="0">
        <references count="4">
          <reference field="5" count="1">
            <x v="108"/>
          </reference>
          <reference field="8" count="1" selected="0">
            <x v="0"/>
          </reference>
          <reference field="11" count="1" selected="0">
            <x v="3"/>
          </reference>
          <reference field="13" count="1" selected="0">
            <x v="131"/>
          </reference>
        </references>
      </pivotArea>
    </format>
    <format dxfId="4769">
      <pivotArea dataOnly="0" labelOnly="1" outline="0" fieldPosition="0">
        <references count="4">
          <reference field="5" count="7">
            <x v="22"/>
            <x v="42"/>
            <x v="47"/>
            <x v="60"/>
            <x v="80"/>
            <x v="92"/>
            <x v="110"/>
          </reference>
          <reference field="8" count="1" selected="0">
            <x v="0"/>
          </reference>
          <reference field="11" count="1" selected="0">
            <x v="3"/>
          </reference>
          <reference field="13" count="1" selected="0">
            <x v="134"/>
          </reference>
        </references>
      </pivotArea>
    </format>
    <format dxfId="4768">
      <pivotArea dataOnly="0" labelOnly="1" outline="0" fieldPosition="0">
        <references count="4">
          <reference field="5" count="1">
            <x v="32"/>
          </reference>
          <reference field="8" count="1" selected="0">
            <x v="0"/>
          </reference>
          <reference field="11" count="1" selected="0">
            <x v="3"/>
          </reference>
          <reference field="13" count="1" selected="0">
            <x v="146"/>
          </reference>
        </references>
      </pivotArea>
    </format>
    <format dxfId="4767">
      <pivotArea dataOnly="0" labelOnly="1" outline="0" fieldPosition="0">
        <references count="4">
          <reference field="5" count="5">
            <x v="68"/>
            <x v="86"/>
            <x v="108"/>
            <x v="110"/>
            <x v="112"/>
          </reference>
          <reference field="8" count="1" selected="0">
            <x v="0"/>
          </reference>
          <reference field="11" count="1" selected="0">
            <x v="3"/>
          </reference>
          <reference field="13" count="1" selected="0">
            <x v="156"/>
          </reference>
        </references>
      </pivotArea>
    </format>
    <format dxfId="4766">
      <pivotArea dataOnly="0" labelOnly="1" outline="0" fieldPosition="0">
        <references count="4">
          <reference field="5" count="1">
            <x v="16"/>
          </reference>
          <reference field="8" count="1" selected="0">
            <x v="0"/>
          </reference>
          <reference field="11" count="1" selected="0">
            <x v="3"/>
          </reference>
          <reference field="13" count="1" selected="0">
            <x v="212"/>
          </reference>
        </references>
      </pivotArea>
    </format>
    <format dxfId="4765">
      <pivotArea dataOnly="0" labelOnly="1" outline="0" fieldPosition="0">
        <references count="4">
          <reference field="5" count="1">
            <x v="117"/>
          </reference>
          <reference field="8" count="1" selected="0">
            <x v="0"/>
          </reference>
          <reference field="11" count="1" selected="0">
            <x v="3"/>
          </reference>
          <reference field="13" count="1" selected="0">
            <x v="218"/>
          </reference>
        </references>
      </pivotArea>
    </format>
    <format dxfId="4764">
      <pivotArea dataOnly="0" labelOnly="1" outline="0" fieldPosition="0">
        <references count="4">
          <reference field="5" count="1">
            <x v="56"/>
          </reference>
          <reference field="8" count="1" selected="0">
            <x v="0"/>
          </reference>
          <reference field="11" count="1" selected="0">
            <x v="3"/>
          </reference>
          <reference field="13" count="1" selected="0">
            <x v="239"/>
          </reference>
        </references>
      </pivotArea>
    </format>
    <format dxfId="4763">
      <pivotArea dataOnly="0" labelOnly="1" outline="0" fieldPosition="0">
        <references count="4">
          <reference field="5" count="50">
            <x v="3"/>
            <x v="4"/>
            <x v="9"/>
            <x v="12"/>
            <x v="13"/>
            <x v="14"/>
            <x v="17"/>
            <x v="19"/>
            <x v="22"/>
            <x v="23"/>
            <x v="24"/>
            <x v="25"/>
            <x v="28"/>
            <x v="32"/>
            <x v="34"/>
            <x v="35"/>
            <x v="37"/>
            <x v="40"/>
            <x v="42"/>
            <x v="47"/>
            <x v="50"/>
            <x v="52"/>
            <x v="56"/>
            <x v="60"/>
            <x v="63"/>
            <x v="64"/>
            <x v="65"/>
            <x v="68"/>
            <x v="69"/>
            <x v="70"/>
            <x v="71"/>
            <x v="72"/>
            <x v="74"/>
            <x v="76"/>
            <x v="78"/>
            <x v="79"/>
            <x v="80"/>
            <x v="81"/>
            <x v="82"/>
            <x v="89"/>
            <x v="91"/>
            <x v="100"/>
            <x v="101"/>
            <x v="103"/>
            <x v="107"/>
            <x v="108"/>
            <x v="110"/>
            <x v="111"/>
            <x v="112"/>
            <x v="114"/>
          </reference>
          <reference field="8" count="1" selected="0">
            <x v="0"/>
          </reference>
          <reference field="11" count="1" selected="0">
            <x v="3"/>
          </reference>
          <reference field="13" count="1" selected="0">
            <x v="240"/>
          </reference>
        </references>
      </pivotArea>
    </format>
    <format dxfId="4762">
      <pivotArea dataOnly="0" labelOnly="1" outline="0" fieldPosition="0">
        <references count="4">
          <reference field="5" count="1">
            <x v="123"/>
          </reference>
          <reference field="8" count="1" selected="0">
            <x v="0"/>
          </reference>
          <reference field="11" count="1" selected="0">
            <x v="3"/>
          </reference>
          <reference field="13" count="1" selected="0">
            <x v="240"/>
          </reference>
        </references>
      </pivotArea>
    </format>
    <format dxfId="4761">
      <pivotArea dataOnly="0" labelOnly="1" outline="0" fieldPosition="0">
        <references count="4">
          <reference field="5" count="50">
            <x v="3"/>
            <x v="4"/>
            <x v="6"/>
            <x v="8"/>
            <x v="11"/>
            <x v="12"/>
            <x v="13"/>
            <x v="14"/>
            <x v="15"/>
            <x v="16"/>
            <x v="18"/>
            <x v="21"/>
            <x v="22"/>
            <x v="23"/>
            <x v="24"/>
            <x v="25"/>
            <x v="27"/>
            <x v="28"/>
            <x v="29"/>
            <x v="30"/>
            <x v="32"/>
            <x v="33"/>
            <x v="34"/>
            <x v="35"/>
            <x v="40"/>
            <x v="41"/>
            <x v="42"/>
            <x v="47"/>
            <x v="48"/>
            <x v="50"/>
            <x v="60"/>
            <x v="63"/>
            <x v="64"/>
            <x v="65"/>
            <x v="66"/>
            <x v="67"/>
            <x v="68"/>
            <x v="69"/>
            <x v="70"/>
            <x v="71"/>
            <x v="72"/>
            <x v="73"/>
            <x v="74"/>
            <x v="76"/>
            <x v="78"/>
            <x v="79"/>
            <x v="81"/>
            <x v="84"/>
            <x v="92"/>
            <x v="94"/>
          </reference>
          <reference field="8" count="1" selected="0">
            <x v="0"/>
          </reference>
          <reference field="11" count="1" selected="0">
            <x v="3"/>
          </reference>
          <reference field="13" count="1" selected="0">
            <x v="242"/>
          </reference>
        </references>
      </pivotArea>
    </format>
    <format dxfId="4760">
      <pivotArea dataOnly="0" labelOnly="1" outline="0" fieldPosition="0">
        <references count="4">
          <reference field="5" count="13">
            <x v="100"/>
            <x v="101"/>
            <x v="103"/>
            <x v="104"/>
            <x v="105"/>
            <x v="106"/>
            <x v="107"/>
            <x v="108"/>
            <x v="109"/>
            <x v="110"/>
            <x v="111"/>
            <x v="114"/>
            <x v="122"/>
          </reference>
          <reference field="8" count="1" selected="0">
            <x v="0"/>
          </reference>
          <reference field="11" count="1" selected="0">
            <x v="3"/>
          </reference>
          <reference field="13" count="1" selected="0">
            <x v="242"/>
          </reference>
        </references>
      </pivotArea>
    </format>
    <format dxfId="4759">
      <pivotArea dataOnly="0" labelOnly="1" outline="0" fieldPosition="0">
        <references count="4">
          <reference field="5" count="50">
            <x v="3"/>
            <x v="4"/>
            <x v="6"/>
            <x v="10"/>
            <x v="12"/>
            <x v="13"/>
            <x v="14"/>
            <x v="15"/>
            <x v="16"/>
            <x v="19"/>
            <x v="20"/>
            <x v="21"/>
            <x v="22"/>
            <x v="23"/>
            <x v="24"/>
            <x v="25"/>
            <x v="27"/>
            <x v="28"/>
            <x v="29"/>
            <x v="32"/>
            <x v="34"/>
            <x v="35"/>
            <x v="40"/>
            <x v="41"/>
            <x v="42"/>
            <x v="47"/>
            <x v="48"/>
            <x v="50"/>
            <x v="60"/>
            <x v="63"/>
            <x v="64"/>
            <x v="65"/>
            <x v="66"/>
            <x v="67"/>
            <x v="68"/>
            <x v="69"/>
            <x v="70"/>
            <x v="71"/>
            <x v="72"/>
            <x v="73"/>
            <x v="74"/>
            <x v="76"/>
            <x v="78"/>
            <x v="79"/>
            <x v="81"/>
            <x v="82"/>
            <x v="91"/>
            <x v="92"/>
            <x v="94"/>
            <x v="100"/>
          </reference>
          <reference field="8" count="1" selected="0">
            <x v="0"/>
          </reference>
          <reference field="11" count="1" selected="0">
            <x v="3"/>
          </reference>
          <reference field="13" count="1" selected="0">
            <x v="243"/>
          </reference>
        </references>
      </pivotArea>
    </format>
    <format dxfId="4758">
      <pivotArea dataOnly="0" labelOnly="1" outline="0" fieldPosition="0">
        <references count="4">
          <reference field="5" count="11">
            <x v="101"/>
            <x v="103"/>
            <x v="104"/>
            <x v="105"/>
            <x v="106"/>
            <x v="107"/>
            <x v="108"/>
            <x v="110"/>
            <x v="111"/>
            <x v="114"/>
            <x v="115"/>
          </reference>
          <reference field="8" count="1" selected="0">
            <x v="0"/>
          </reference>
          <reference field="11" count="1" selected="0">
            <x v="3"/>
          </reference>
          <reference field="13" count="1" selected="0">
            <x v="243"/>
          </reference>
        </references>
      </pivotArea>
    </format>
    <format dxfId="4757">
      <pivotArea dataOnly="0" labelOnly="1" outline="0" fieldPosition="0">
        <references count="4">
          <reference field="5" count="2">
            <x v="65"/>
            <x v="76"/>
          </reference>
          <reference field="8" count="1" selected="0">
            <x v="0"/>
          </reference>
          <reference field="11" count="1" selected="0">
            <x v="3"/>
          </reference>
          <reference field="13" count="1" selected="0">
            <x v="245"/>
          </reference>
        </references>
      </pivotArea>
    </format>
    <format dxfId="4756">
      <pivotArea dataOnly="0" labelOnly="1" outline="0" fieldPosition="0">
        <references count="4">
          <reference field="5" count="1">
            <x v="32"/>
          </reference>
          <reference field="8" count="1" selected="0">
            <x v="0"/>
          </reference>
          <reference field="11" count="1" selected="0">
            <x v="3"/>
          </reference>
          <reference field="13" count="1" selected="0">
            <x v="247"/>
          </reference>
        </references>
      </pivotArea>
    </format>
    <format dxfId="4755">
      <pivotArea dataOnly="0" labelOnly="1" outline="0" fieldPosition="0">
        <references count="4">
          <reference field="5" count="3">
            <x v="72"/>
            <x v="78"/>
            <x v="79"/>
          </reference>
          <reference field="8" count="1" selected="0">
            <x v="0"/>
          </reference>
          <reference field="11" count="1" selected="0">
            <x v="3"/>
          </reference>
          <reference field="13" count="1" selected="0">
            <x v="248"/>
          </reference>
        </references>
      </pivotArea>
    </format>
    <format dxfId="4754">
      <pivotArea dataOnly="0" labelOnly="1" outline="0" fieldPosition="0">
        <references count="4">
          <reference field="5" count="17">
            <x v="14"/>
            <x v="23"/>
            <x v="42"/>
            <x v="47"/>
            <x v="56"/>
            <x v="60"/>
            <x v="63"/>
            <x v="64"/>
            <x v="68"/>
            <x v="70"/>
            <x v="71"/>
            <x v="72"/>
            <x v="78"/>
            <x v="79"/>
            <x v="80"/>
            <x v="82"/>
            <x v="107"/>
          </reference>
          <reference field="8" count="1" selected="0">
            <x v="0"/>
          </reference>
          <reference field="11" count="1" selected="0">
            <x v="3"/>
          </reference>
          <reference field="13" count="1" selected="0">
            <x v="251"/>
          </reference>
        </references>
      </pivotArea>
    </format>
    <format dxfId="4753">
      <pivotArea dataOnly="0" labelOnly="1" outline="0" fieldPosition="0">
        <references count="4">
          <reference field="5" count="1">
            <x v="78"/>
          </reference>
          <reference field="8" count="1" selected="0">
            <x v="0"/>
          </reference>
          <reference field="11" count="1" selected="0">
            <x v="3"/>
          </reference>
          <reference field="13" count="1" selected="0">
            <x v="259"/>
          </reference>
        </references>
      </pivotArea>
    </format>
    <format dxfId="4752">
      <pivotArea dataOnly="0" labelOnly="1" outline="0" fieldPosition="0">
        <references count="4">
          <reference field="5" count="50">
            <x v="0"/>
            <x v="2"/>
            <x v="8"/>
            <x v="10"/>
            <x v="12"/>
            <x v="13"/>
            <x v="15"/>
            <x v="16"/>
            <x v="18"/>
            <x v="19"/>
            <x v="22"/>
            <x v="23"/>
            <x v="24"/>
            <x v="30"/>
            <x v="32"/>
            <x v="34"/>
            <x v="35"/>
            <x v="40"/>
            <x v="41"/>
            <x v="42"/>
            <x v="47"/>
            <x v="48"/>
            <x v="53"/>
            <x v="56"/>
            <x v="60"/>
            <x v="63"/>
            <x v="64"/>
            <x v="65"/>
            <x v="66"/>
            <x v="67"/>
            <x v="68"/>
            <x v="69"/>
            <x v="70"/>
            <x v="71"/>
            <x v="72"/>
            <x v="73"/>
            <x v="74"/>
            <x v="76"/>
            <x v="78"/>
            <x v="80"/>
            <x v="81"/>
            <x v="84"/>
            <x v="85"/>
            <x v="86"/>
            <x v="92"/>
            <x v="100"/>
            <x v="101"/>
            <x v="103"/>
            <x v="105"/>
            <x v="106"/>
          </reference>
          <reference field="8" count="1" selected="0">
            <x v="0"/>
          </reference>
          <reference field="11" count="1" selected="0">
            <x v="3"/>
          </reference>
          <reference field="13" count="1" selected="0">
            <x v="287"/>
          </reference>
        </references>
      </pivotArea>
    </format>
    <format dxfId="4751">
      <pivotArea dataOnly="0" labelOnly="1" outline="0" fieldPosition="0">
        <references count="4">
          <reference field="5" count="8">
            <x v="107"/>
            <x v="108"/>
            <x v="109"/>
            <x v="111"/>
            <x v="112"/>
            <x v="114"/>
            <x v="116"/>
            <x v="117"/>
          </reference>
          <reference field="8" count="1" selected="0">
            <x v="0"/>
          </reference>
          <reference field="11" count="1" selected="0">
            <x v="3"/>
          </reference>
          <reference field="13" count="1" selected="0">
            <x v="287"/>
          </reference>
        </references>
      </pivotArea>
    </format>
    <format dxfId="4750">
      <pivotArea dataOnly="0" labelOnly="1" outline="0" fieldPosition="0">
        <references count="4">
          <reference field="5" count="20">
            <x v="3"/>
            <x v="12"/>
            <x v="13"/>
            <x v="14"/>
            <x v="16"/>
            <x v="22"/>
            <x v="29"/>
            <x v="42"/>
            <x v="53"/>
            <x v="60"/>
            <x v="63"/>
            <x v="66"/>
            <x v="68"/>
            <x v="70"/>
            <x v="72"/>
            <x v="101"/>
            <x v="108"/>
            <x v="110"/>
            <x v="111"/>
            <x v="116"/>
          </reference>
          <reference field="8" count="1" selected="0">
            <x v="0"/>
          </reference>
          <reference field="11" count="1" selected="0">
            <x v="3"/>
          </reference>
          <reference field="13" count="1" selected="0">
            <x v="305"/>
          </reference>
        </references>
      </pivotArea>
    </format>
    <format dxfId="4749">
      <pivotArea dataOnly="0" labelOnly="1" outline="0" fieldPosition="0">
        <references count="4">
          <reference field="5" count="2">
            <x v="111"/>
            <x v="117"/>
          </reference>
          <reference field="8" count="1" selected="0">
            <x v="0"/>
          </reference>
          <reference field="11" count="1" selected="0">
            <x v="3"/>
          </reference>
          <reference field="13" count="1" selected="0">
            <x v="314"/>
          </reference>
        </references>
      </pivotArea>
    </format>
    <format dxfId="4748">
      <pivotArea dataOnly="0" labelOnly="1" outline="0" fieldPosition="0">
        <references count="4">
          <reference field="5" count="1">
            <x v="56"/>
          </reference>
          <reference field="8" count="1" selected="0">
            <x v="0"/>
          </reference>
          <reference field="11" count="1" selected="0">
            <x v="3"/>
          </reference>
          <reference field="13" count="1" selected="0">
            <x v="317"/>
          </reference>
        </references>
      </pivotArea>
    </format>
    <format dxfId="4747">
      <pivotArea dataOnly="0" labelOnly="1" outline="0" fieldPosition="0">
        <references count="4">
          <reference field="5" count="1">
            <x v="71"/>
          </reference>
          <reference field="8" count="1" selected="0">
            <x v="0"/>
          </reference>
          <reference field="11" count="1" selected="0">
            <x v="4"/>
          </reference>
          <reference field="13" count="1" selected="0">
            <x v="84"/>
          </reference>
        </references>
      </pivotArea>
    </format>
    <format dxfId="4746">
      <pivotArea dataOnly="0" labelOnly="1" outline="0" fieldPosition="0">
        <references count="4">
          <reference field="5" count="1">
            <x v="60"/>
          </reference>
          <reference field="8" count="1" selected="0">
            <x v="0"/>
          </reference>
          <reference field="11" count="1" selected="0">
            <x v="4"/>
          </reference>
          <reference field="13" count="1" selected="0">
            <x v="95"/>
          </reference>
        </references>
      </pivotArea>
    </format>
    <format dxfId="4745">
      <pivotArea dataOnly="0" labelOnly="1" outline="0" fieldPosition="0">
        <references count="4">
          <reference field="5" count="1">
            <x v="32"/>
          </reference>
          <reference field="8" count="1" selected="0">
            <x v="0"/>
          </reference>
          <reference field="11" count="1" selected="0">
            <x v="4"/>
          </reference>
          <reference field="13" count="1" selected="0">
            <x v="119"/>
          </reference>
        </references>
      </pivotArea>
    </format>
    <format dxfId="4744">
      <pivotArea dataOnly="0" labelOnly="1" outline="0" fieldPosition="0">
        <references count="4">
          <reference field="5" count="29">
            <x v="12"/>
            <x v="16"/>
            <x v="23"/>
            <x v="24"/>
            <x v="26"/>
            <x v="32"/>
            <x v="34"/>
            <x v="35"/>
            <x v="60"/>
            <x v="65"/>
            <x v="68"/>
            <x v="70"/>
            <x v="71"/>
            <x v="73"/>
            <x v="76"/>
            <x v="80"/>
            <x v="81"/>
            <x v="82"/>
            <x v="91"/>
            <x v="92"/>
            <x v="100"/>
            <x v="101"/>
            <x v="103"/>
            <x v="104"/>
            <x v="108"/>
            <x v="110"/>
            <x v="111"/>
            <x v="112"/>
            <x v="114"/>
          </reference>
          <reference field="8" count="1" selected="0">
            <x v="0"/>
          </reference>
          <reference field="11" count="1" selected="0">
            <x v="4"/>
          </reference>
          <reference field="13" count="1" selected="0">
            <x v="133"/>
          </reference>
        </references>
      </pivotArea>
    </format>
    <format dxfId="4743">
      <pivotArea dataOnly="0" labelOnly="1" outline="0" fieldPosition="0">
        <references count="4">
          <reference field="5" count="12">
            <x v="21"/>
            <x v="23"/>
            <x v="32"/>
            <x v="34"/>
            <x v="51"/>
            <x v="60"/>
            <x v="61"/>
            <x v="68"/>
            <x v="70"/>
            <x v="101"/>
            <x v="108"/>
            <x v="112"/>
          </reference>
          <reference field="8" count="1" selected="0">
            <x v="0"/>
          </reference>
          <reference field="11" count="1" selected="0">
            <x v="4"/>
          </reference>
          <reference field="13" count="1" selected="0">
            <x v="150"/>
          </reference>
        </references>
      </pivotArea>
    </format>
    <format dxfId="4742">
      <pivotArea dataOnly="0" labelOnly="1" outline="0" fieldPosition="0">
        <references count="4">
          <reference field="5" count="17">
            <x v="15"/>
            <x v="16"/>
            <x v="21"/>
            <x v="29"/>
            <x v="30"/>
            <x v="32"/>
            <x v="66"/>
            <x v="69"/>
            <x v="70"/>
            <x v="71"/>
            <x v="79"/>
            <x v="82"/>
            <x v="85"/>
            <x v="92"/>
            <x v="108"/>
            <x v="110"/>
            <x v="112"/>
          </reference>
          <reference field="8" count="1" selected="0">
            <x v="0"/>
          </reference>
          <reference field="11" count="1" selected="0">
            <x v="4"/>
          </reference>
          <reference field="13" count="1" selected="0">
            <x v="158"/>
          </reference>
        </references>
      </pivotArea>
    </format>
    <format dxfId="4741">
      <pivotArea dataOnly="0" labelOnly="1" outline="0" fieldPosition="0">
        <references count="4">
          <reference field="5" count="11">
            <x v="32"/>
            <x v="60"/>
            <x v="65"/>
            <x v="70"/>
            <x v="72"/>
            <x v="79"/>
            <x v="101"/>
            <x v="108"/>
            <x v="112"/>
            <x v="119"/>
            <x v="121"/>
          </reference>
          <reference field="8" count="1" selected="0">
            <x v="0"/>
          </reference>
          <reference field="11" count="1" selected="0">
            <x v="4"/>
          </reference>
          <reference field="13" count="1" selected="0">
            <x v="280"/>
          </reference>
        </references>
      </pivotArea>
    </format>
    <format dxfId="4740">
      <pivotArea dataOnly="0" labelOnly="1" outline="0" fieldPosition="0">
        <references count="4">
          <reference field="5" count="8">
            <x v="38"/>
            <x v="47"/>
            <x v="51"/>
            <x v="86"/>
            <x v="91"/>
            <x v="108"/>
            <x v="115"/>
            <x v="116"/>
          </reference>
          <reference field="8" count="1" selected="0">
            <x v="0"/>
          </reference>
          <reference field="11" count="1" selected="0">
            <x v="5"/>
          </reference>
          <reference field="13" count="1" selected="0">
            <x v="77"/>
          </reference>
        </references>
      </pivotArea>
    </format>
    <format dxfId="4739">
      <pivotArea dataOnly="0" labelOnly="1" outline="0" fieldPosition="0">
        <references count="4">
          <reference field="5" count="8">
            <x v="44"/>
            <x v="47"/>
            <x v="64"/>
            <x v="85"/>
            <x v="86"/>
            <x v="91"/>
            <x v="114"/>
            <x v="116"/>
          </reference>
          <reference field="8" count="1" selected="0">
            <x v="0"/>
          </reference>
          <reference field="11" count="1" selected="0">
            <x v="5"/>
          </reference>
          <reference field="13" count="1" selected="0">
            <x v="81"/>
          </reference>
        </references>
      </pivotArea>
    </format>
    <format dxfId="4738">
      <pivotArea dataOnly="0" labelOnly="1" outline="0" fieldPosition="0">
        <references count="4">
          <reference field="5" count="13">
            <x v="29"/>
            <x v="32"/>
            <x v="34"/>
            <x v="42"/>
            <x v="52"/>
            <x v="60"/>
            <x v="68"/>
            <x v="71"/>
            <x v="78"/>
            <x v="81"/>
            <x v="100"/>
            <x v="101"/>
            <x v="108"/>
          </reference>
          <reference field="8" count="1" selected="0">
            <x v="0"/>
          </reference>
          <reference field="11" count="1" selected="0">
            <x v="5"/>
          </reference>
          <reference field="13" count="1" selected="0">
            <x v="96"/>
          </reference>
        </references>
      </pivotArea>
    </format>
    <format dxfId="4737">
      <pivotArea dataOnly="0" labelOnly="1" outline="0" fieldPosition="0">
        <references count="4">
          <reference field="5" count="1">
            <x v="116"/>
          </reference>
          <reference field="8" count="1" selected="0">
            <x v="0"/>
          </reference>
          <reference field="11" count="1" selected="0">
            <x v="5"/>
          </reference>
          <reference field="13" count="1" selected="0">
            <x v="108"/>
          </reference>
        </references>
      </pivotArea>
    </format>
    <format dxfId="4736">
      <pivotArea dataOnly="0" labelOnly="1" outline="0" fieldPosition="0">
        <references count="4">
          <reference field="5" count="1">
            <x v="116"/>
          </reference>
          <reference field="8" count="1" selected="0">
            <x v="0"/>
          </reference>
          <reference field="11" count="1" selected="0">
            <x v="5"/>
          </reference>
          <reference field="13" count="1" selected="0">
            <x v="112"/>
          </reference>
        </references>
      </pivotArea>
    </format>
    <format dxfId="4735">
      <pivotArea dataOnly="0" labelOnly="1" outline="0" fieldPosition="0">
        <references count="4">
          <reference field="5" count="1">
            <x v="116"/>
          </reference>
          <reference field="8" count="1" selected="0">
            <x v="0"/>
          </reference>
          <reference field="11" count="1" selected="0">
            <x v="5"/>
          </reference>
          <reference field="13" count="1" selected="0">
            <x v="114"/>
          </reference>
        </references>
      </pivotArea>
    </format>
    <format dxfId="4734">
      <pivotArea dataOnly="0" labelOnly="1" outline="0" fieldPosition="0">
        <references count="4">
          <reference field="5" count="1">
            <x v="116"/>
          </reference>
          <reference field="8" count="1" selected="0">
            <x v="0"/>
          </reference>
          <reference field="11" count="1" selected="0">
            <x v="5"/>
          </reference>
          <reference field="13" count="1" selected="0">
            <x v="117"/>
          </reference>
        </references>
      </pivotArea>
    </format>
    <format dxfId="4733">
      <pivotArea dataOnly="0" labelOnly="1" outline="0" fieldPosition="0">
        <references count="4">
          <reference field="5" count="1">
            <x v="116"/>
          </reference>
          <reference field="8" count="1" selected="0">
            <x v="0"/>
          </reference>
          <reference field="11" count="1" selected="0">
            <x v="5"/>
          </reference>
          <reference field="13" count="1" selected="0">
            <x v="124"/>
          </reference>
        </references>
      </pivotArea>
    </format>
    <format dxfId="4732">
      <pivotArea dataOnly="0" labelOnly="1" outline="0" fieldPosition="0">
        <references count="4">
          <reference field="5" count="1">
            <x v="38"/>
          </reference>
          <reference field="8" count="1" selected="0">
            <x v="0"/>
          </reference>
          <reference field="11" count="1" selected="0">
            <x v="5"/>
          </reference>
          <reference field="13" count="1" selected="0">
            <x v="145"/>
          </reference>
        </references>
      </pivotArea>
    </format>
    <format dxfId="4731">
      <pivotArea dataOnly="0" labelOnly="1" outline="0" fieldPosition="0">
        <references count="4">
          <reference field="5" count="1">
            <x v="116"/>
          </reference>
          <reference field="8" count="1" selected="0">
            <x v="0"/>
          </reference>
          <reference field="11" count="1" selected="0">
            <x v="5"/>
          </reference>
          <reference field="13" count="1" selected="0">
            <x v="154"/>
          </reference>
        </references>
      </pivotArea>
    </format>
    <format dxfId="4730">
      <pivotArea dataOnly="0" labelOnly="1" outline="0" fieldPosition="0">
        <references count="4">
          <reference field="5" count="1">
            <x v="47"/>
          </reference>
          <reference field="8" count="1" selected="0">
            <x v="0"/>
          </reference>
          <reference field="11" count="1" selected="0">
            <x v="5"/>
          </reference>
          <reference field="13" count="1" selected="0">
            <x v="159"/>
          </reference>
        </references>
      </pivotArea>
    </format>
    <format dxfId="4729">
      <pivotArea dataOnly="0" labelOnly="1" outline="0" fieldPosition="0">
        <references count="4">
          <reference field="5" count="1">
            <x v="116"/>
          </reference>
          <reference field="8" count="1" selected="0">
            <x v="0"/>
          </reference>
          <reference field="11" count="1" selected="0">
            <x v="5"/>
          </reference>
          <reference field="13" count="1" selected="0">
            <x v="166"/>
          </reference>
        </references>
      </pivotArea>
    </format>
    <format dxfId="4728">
      <pivotArea dataOnly="0" labelOnly="1" outline="0" fieldPosition="0">
        <references count="4">
          <reference field="5" count="1">
            <x v="116"/>
          </reference>
          <reference field="8" count="1" selected="0">
            <x v="0"/>
          </reference>
          <reference field="11" count="1" selected="0">
            <x v="5"/>
          </reference>
          <reference field="13" count="1" selected="0">
            <x v="168"/>
          </reference>
        </references>
      </pivotArea>
    </format>
    <format dxfId="4727">
      <pivotArea dataOnly="0" labelOnly="1" outline="0" fieldPosition="0">
        <references count="4">
          <reference field="5" count="1">
            <x v="116"/>
          </reference>
          <reference field="8" count="1" selected="0">
            <x v="0"/>
          </reference>
          <reference field="11" count="1" selected="0">
            <x v="5"/>
          </reference>
          <reference field="13" count="1" selected="0">
            <x v="170"/>
          </reference>
        </references>
      </pivotArea>
    </format>
    <format dxfId="4726">
      <pivotArea dataOnly="0" labelOnly="1" outline="0" fieldPosition="0">
        <references count="4">
          <reference field="5" count="1">
            <x v="116"/>
          </reference>
          <reference field="8" count="1" selected="0">
            <x v="0"/>
          </reference>
          <reference field="11" count="1" selected="0">
            <x v="5"/>
          </reference>
          <reference field="13" count="1" selected="0">
            <x v="175"/>
          </reference>
        </references>
      </pivotArea>
    </format>
    <format dxfId="4725">
      <pivotArea dataOnly="0" labelOnly="1" outline="0" fieldPosition="0">
        <references count="4">
          <reference field="5" count="1">
            <x v="116"/>
          </reference>
          <reference field="8" count="1" selected="0">
            <x v="0"/>
          </reference>
          <reference field="11" count="1" selected="0">
            <x v="5"/>
          </reference>
          <reference field="13" count="1" selected="0">
            <x v="178"/>
          </reference>
        </references>
      </pivotArea>
    </format>
    <format dxfId="4724">
      <pivotArea dataOnly="0" labelOnly="1" outline="0" fieldPosition="0">
        <references count="4">
          <reference field="5" count="1">
            <x v="116"/>
          </reference>
          <reference field="8" count="1" selected="0">
            <x v="0"/>
          </reference>
          <reference field="11" count="1" selected="0">
            <x v="5"/>
          </reference>
          <reference field="13" count="1" selected="0">
            <x v="180"/>
          </reference>
        </references>
      </pivotArea>
    </format>
    <format dxfId="4723">
      <pivotArea dataOnly="0" labelOnly="1" outline="0" fieldPosition="0">
        <references count="4">
          <reference field="5" count="1">
            <x v="116"/>
          </reference>
          <reference field="8" count="1" selected="0">
            <x v="0"/>
          </reference>
          <reference field="11" count="1" selected="0">
            <x v="5"/>
          </reference>
          <reference field="13" count="1" selected="0">
            <x v="184"/>
          </reference>
        </references>
      </pivotArea>
    </format>
    <format dxfId="4722">
      <pivotArea dataOnly="0" labelOnly="1" outline="0" fieldPosition="0">
        <references count="4">
          <reference field="5" count="1">
            <x v="116"/>
          </reference>
          <reference field="8" count="1" selected="0">
            <x v="0"/>
          </reference>
          <reference field="11" count="1" selected="0">
            <x v="5"/>
          </reference>
          <reference field="13" count="1" selected="0">
            <x v="206"/>
          </reference>
        </references>
      </pivotArea>
    </format>
    <format dxfId="4721">
      <pivotArea dataOnly="0" labelOnly="1" outline="0" fieldPosition="0">
        <references count="4">
          <reference field="5" count="1">
            <x v="50"/>
          </reference>
          <reference field="8" count="1" selected="0">
            <x v="0"/>
          </reference>
          <reference field="11" count="1" selected="0">
            <x v="5"/>
          </reference>
          <reference field="13" count="1" selected="0">
            <x v="210"/>
          </reference>
        </references>
      </pivotArea>
    </format>
    <format dxfId="4720">
      <pivotArea dataOnly="0" labelOnly="1" outline="0" fieldPosition="0">
        <references count="4">
          <reference field="5" count="17">
            <x v="10"/>
            <x v="16"/>
            <x v="17"/>
            <x v="35"/>
            <x v="47"/>
            <x v="50"/>
            <x v="51"/>
            <x v="60"/>
            <x v="61"/>
            <x v="63"/>
            <x v="68"/>
            <x v="70"/>
            <x v="72"/>
            <x v="101"/>
            <x v="106"/>
            <x v="108"/>
            <x v="109"/>
          </reference>
          <reference field="8" count="1" selected="0">
            <x v="0"/>
          </reference>
          <reference field="11" count="1" selected="0">
            <x v="5"/>
          </reference>
          <reference field="13" count="1" selected="0">
            <x v="226"/>
          </reference>
        </references>
      </pivotArea>
    </format>
    <format dxfId="4719">
      <pivotArea dataOnly="0" labelOnly="1" outline="0" fieldPosition="0">
        <references count="4">
          <reference field="5" count="2">
            <x v="72"/>
            <x v="108"/>
          </reference>
          <reference field="8" count="1" selected="0">
            <x v="0"/>
          </reference>
          <reference field="11" count="1" selected="0">
            <x v="5"/>
          </reference>
          <reference field="13" count="1" selected="0">
            <x v="229"/>
          </reference>
        </references>
      </pivotArea>
    </format>
    <format dxfId="4718">
      <pivotArea dataOnly="0" labelOnly="1" outline="0" fieldPosition="0">
        <references count="4">
          <reference field="5" count="1">
            <x v="2"/>
          </reference>
          <reference field="8" count="1" selected="0">
            <x v="0"/>
          </reference>
          <reference field="11" count="1" selected="0">
            <x v="5"/>
          </reference>
          <reference field="13" count="1" selected="0">
            <x v="268"/>
          </reference>
        </references>
      </pivotArea>
    </format>
    <format dxfId="4717">
      <pivotArea dataOnly="0" labelOnly="1" outline="0" fieldPosition="0">
        <references count="4">
          <reference field="5" count="1">
            <x v="116"/>
          </reference>
          <reference field="8" count="1" selected="0">
            <x v="0"/>
          </reference>
          <reference field="11" count="1" selected="0">
            <x v="5"/>
          </reference>
          <reference field="13" count="1" selected="0">
            <x v="306"/>
          </reference>
        </references>
      </pivotArea>
    </format>
    <format dxfId="4716">
      <pivotArea dataOnly="0" labelOnly="1" outline="0" fieldPosition="0">
        <references count="4">
          <reference field="5" count="1">
            <x v="116"/>
          </reference>
          <reference field="8" count="1" selected="0">
            <x v="0"/>
          </reference>
          <reference field="11" count="1" selected="0">
            <x v="5"/>
          </reference>
          <reference field="13" count="1" selected="0">
            <x v="307"/>
          </reference>
        </references>
      </pivotArea>
    </format>
    <format dxfId="4715">
      <pivotArea dataOnly="0" labelOnly="1" outline="0" fieldPosition="0">
        <references count="4">
          <reference field="5" count="1">
            <x v="116"/>
          </reference>
          <reference field="8" count="1" selected="0">
            <x v="0"/>
          </reference>
          <reference field="11" count="1" selected="0">
            <x v="5"/>
          </reference>
          <reference field="13" count="1" selected="0">
            <x v="309"/>
          </reference>
        </references>
      </pivotArea>
    </format>
    <format dxfId="4714">
      <pivotArea dataOnly="0" labelOnly="1" outline="0" fieldPosition="0">
        <references count="4">
          <reference field="5" count="1">
            <x v="116"/>
          </reference>
          <reference field="8" count="1" selected="0">
            <x v="0"/>
          </reference>
          <reference field="11" count="1" selected="0">
            <x v="5"/>
          </reference>
          <reference field="13" count="1" selected="0">
            <x v="312"/>
          </reference>
        </references>
      </pivotArea>
    </format>
    <format dxfId="4713">
      <pivotArea dataOnly="0" labelOnly="1" outline="0" fieldPosition="0">
        <references count="4">
          <reference field="5" count="1">
            <x v="64"/>
          </reference>
          <reference field="8" count="1" selected="0">
            <x v="0"/>
          </reference>
          <reference field="11" count="1" selected="0">
            <x v="6"/>
          </reference>
          <reference field="13" count="1" selected="0">
            <x v="68"/>
          </reference>
        </references>
      </pivotArea>
    </format>
    <format dxfId="4712">
      <pivotArea dataOnly="0" labelOnly="1" outline="0" fieldPosition="0">
        <references count="4">
          <reference field="5" count="2">
            <x v="32"/>
            <x v="101"/>
          </reference>
          <reference field="8" count="1" selected="0">
            <x v="0"/>
          </reference>
          <reference field="11" count="1" selected="0">
            <x v="6"/>
          </reference>
          <reference field="13" count="1" selected="0">
            <x v="207"/>
          </reference>
        </references>
      </pivotArea>
    </format>
    <format dxfId="4711">
      <pivotArea dataOnly="0" labelOnly="1" outline="0" fieldPosition="0">
        <references count="4">
          <reference field="5" count="2">
            <x v="68"/>
            <x v="108"/>
          </reference>
          <reference field="8" count="1" selected="0">
            <x v="0"/>
          </reference>
          <reference field="11" count="1" selected="0">
            <x v="7"/>
          </reference>
          <reference field="13" count="1" selected="0">
            <x v="2"/>
          </reference>
        </references>
      </pivotArea>
    </format>
    <format dxfId="4710">
      <pivotArea dataOnly="0" labelOnly="1" outline="0" fieldPosition="0">
        <references count="4">
          <reference field="5" count="8">
            <x v="29"/>
            <x v="47"/>
            <x v="64"/>
            <x v="68"/>
            <x v="73"/>
            <x v="76"/>
            <x v="108"/>
            <x v="114"/>
          </reference>
          <reference field="8" count="1" selected="0">
            <x v="0"/>
          </reference>
          <reference field="11" count="1" selected="0">
            <x v="7"/>
          </reference>
          <reference field="13" count="1" selected="0">
            <x v="8"/>
          </reference>
        </references>
      </pivotArea>
    </format>
    <format dxfId="4709">
      <pivotArea dataOnly="0" labelOnly="1" outline="0" fieldPosition="0">
        <references count="4">
          <reference field="5" count="1">
            <x v="68"/>
          </reference>
          <reference field="8" count="1" selected="0">
            <x v="0"/>
          </reference>
          <reference field="11" count="1" selected="0">
            <x v="7"/>
          </reference>
          <reference field="13" count="1" selected="0">
            <x v="11"/>
          </reference>
        </references>
      </pivotArea>
    </format>
    <format dxfId="4708">
      <pivotArea dataOnly="0" labelOnly="1" outline="0" fieldPosition="0">
        <references count="4">
          <reference field="5" count="1">
            <x v="68"/>
          </reference>
          <reference field="8" count="1" selected="0">
            <x v="0"/>
          </reference>
          <reference field="11" count="1" selected="0">
            <x v="7"/>
          </reference>
          <reference field="13" count="1" selected="0">
            <x v="13"/>
          </reference>
        </references>
      </pivotArea>
    </format>
    <format dxfId="4707">
      <pivotArea dataOnly="0" labelOnly="1" outline="0" fieldPosition="0">
        <references count="4">
          <reference field="5" count="26">
            <x v="19"/>
            <x v="22"/>
            <x v="23"/>
            <x v="29"/>
            <x v="32"/>
            <x v="34"/>
            <x v="40"/>
            <x v="41"/>
            <x v="52"/>
            <x v="60"/>
            <x v="64"/>
            <x v="65"/>
            <x v="68"/>
            <x v="70"/>
            <x v="71"/>
            <x v="72"/>
            <x v="73"/>
            <x v="76"/>
            <x v="78"/>
            <x v="81"/>
            <x v="92"/>
            <x v="100"/>
            <x v="106"/>
            <x v="108"/>
            <x v="111"/>
            <x v="112"/>
          </reference>
          <reference field="8" count="1" selected="0">
            <x v="0"/>
          </reference>
          <reference field="11" count="1" selected="0">
            <x v="7"/>
          </reference>
          <reference field="13" count="1" selected="0">
            <x v="72"/>
          </reference>
        </references>
      </pivotArea>
    </format>
    <format dxfId="4706">
      <pivotArea dataOnly="0" labelOnly="1" outline="0" fieldPosition="0">
        <references count="4">
          <reference field="5" count="9">
            <x v="12"/>
            <x v="14"/>
            <x v="64"/>
            <x v="70"/>
            <x v="71"/>
            <x v="92"/>
            <x v="101"/>
            <x v="103"/>
            <x v="108"/>
          </reference>
          <reference field="8" count="1" selected="0">
            <x v="0"/>
          </reference>
          <reference field="11" count="1" selected="0">
            <x v="7"/>
          </reference>
          <reference field="13" count="1" selected="0">
            <x v="93"/>
          </reference>
        </references>
      </pivotArea>
    </format>
    <format dxfId="4705">
      <pivotArea dataOnly="0" labelOnly="1" outline="0" fieldPosition="0">
        <references count="4">
          <reference field="5" count="3">
            <x v="64"/>
            <x v="70"/>
            <x v="72"/>
          </reference>
          <reference field="8" count="1" selected="0">
            <x v="0"/>
          </reference>
          <reference field="11" count="1" selected="0">
            <x v="7"/>
          </reference>
          <reference field="13" count="1" selected="0">
            <x v="129"/>
          </reference>
        </references>
      </pivotArea>
    </format>
    <format dxfId="4704">
      <pivotArea dataOnly="0" labelOnly="1" outline="0" fieldPosition="0">
        <references count="4">
          <reference field="5" count="3">
            <x v="29"/>
            <x v="47"/>
            <x v="68"/>
          </reference>
          <reference field="8" count="1" selected="0">
            <x v="0"/>
          </reference>
          <reference field="11" count="1" selected="0">
            <x v="7"/>
          </reference>
          <reference field="13" count="1" selected="0">
            <x v="308"/>
          </reference>
        </references>
      </pivotArea>
    </format>
    <format dxfId="4703">
      <pivotArea dataOnly="0" labelOnly="1" outline="0" fieldPosition="0">
        <references count="4">
          <reference field="5" count="1">
            <x v="63"/>
          </reference>
          <reference field="8" count="1" selected="0">
            <x v="1"/>
          </reference>
          <reference field="11" count="1" selected="0">
            <x v="1"/>
          </reference>
          <reference field="13" count="1" selected="0">
            <x v="216"/>
          </reference>
        </references>
      </pivotArea>
    </format>
    <format dxfId="4702">
      <pivotArea dataOnly="0" labelOnly="1" outline="0" fieldPosition="0">
        <references count="4">
          <reference field="5" count="1">
            <x v="70"/>
          </reference>
          <reference field="8" count="1" selected="0">
            <x v="1"/>
          </reference>
          <reference field="11" count="1" selected="0">
            <x v="1"/>
          </reference>
          <reference field="13" count="1" selected="0">
            <x v="286"/>
          </reference>
        </references>
      </pivotArea>
    </format>
    <format dxfId="4701">
      <pivotArea dataOnly="0" labelOnly="1" outline="0" fieldPosition="0">
        <references count="4">
          <reference field="5" count="1">
            <x v="70"/>
          </reference>
          <reference field="8" count="1" selected="0">
            <x v="1"/>
          </reference>
          <reference field="11" count="1" selected="0">
            <x v="3"/>
          </reference>
          <reference field="13" count="1" selected="0">
            <x v="32"/>
          </reference>
        </references>
      </pivotArea>
    </format>
    <format dxfId="4700">
      <pivotArea dataOnly="0" labelOnly="1" outline="0" fieldPosition="0">
        <references count="4">
          <reference field="5" count="1">
            <x v="70"/>
          </reference>
          <reference field="8" count="1" selected="0">
            <x v="1"/>
          </reference>
          <reference field="11" count="1" selected="0">
            <x v="3"/>
          </reference>
          <reference field="13" count="1" selected="0">
            <x v="69"/>
          </reference>
        </references>
      </pivotArea>
    </format>
    <format dxfId="4699">
      <pivotArea dataOnly="0" labelOnly="1" outline="0" fieldPosition="0">
        <references count="4">
          <reference field="5" count="1">
            <x v="70"/>
          </reference>
          <reference field="8" count="1" selected="0">
            <x v="1"/>
          </reference>
          <reference field="11" count="1" selected="0">
            <x v="3"/>
          </reference>
          <reference field="13" count="1" selected="0">
            <x v="240"/>
          </reference>
        </references>
      </pivotArea>
    </format>
    <format dxfId="4698">
      <pivotArea dataOnly="0" labelOnly="1" outline="0" fieldPosition="0">
        <references count="4">
          <reference field="5" count="2">
            <x v="68"/>
            <x v="70"/>
          </reference>
          <reference field="8" count="1" selected="0">
            <x v="1"/>
          </reference>
          <reference field="11" count="1" selected="0">
            <x v="3"/>
          </reference>
          <reference field="13" count="1" selected="0">
            <x v="243"/>
          </reference>
        </references>
      </pivotArea>
    </format>
    <format dxfId="4697">
      <pivotArea dataOnly="0" labelOnly="1" outline="0" fieldPosition="0">
        <references count="4">
          <reference field="5" count="1">
            <x v="70"/>
          </reference>
          <reference field="8" count="1" selected="0">
            <x v="1"/>
          </reference>
          <reference field="11" count="1" selected="0">
            <x v="4"/>
          </reference>
          <reference field="13" count="1" selected="0">
            <x v="280"/>
          </reference>
        </references>
      </pivotArea>
    </format>
    <format dxfId="4696">
      <pivotArea dataOnly="0" labelOnly="1" outline="0" fieldPosition="0">
        <references count="4">
          <reference field="5" count="1">
            <x v="70"/>
          </reference>
          <reference field="8" count="1" selected="0">
            <x v="1"/>
          </reference>
          <reference field="11" count="1" selected="0">
            <x v="5"/>
          </reference>
          <reference field="13" count="1" selected="0">
            <x v="96"/>
          </reference>
        </references>
      </pivotArea>
    </format>
    <format dxfId="4695">
      <pivotArea dataOnly="0" labelOnly="1" outline="0" fieldPosition="0">
        <references count="4">
          <reference field="5" count="1">
            <x v="64"/>
          </reference>
          <reference field="8" count="1" selected="0">
            <x v="3"/>
          </reference>
          <reference field="11" count="1" selected="0">
            <x v="1"/>
          </reference>
          <reference field="13" count="1" selected="0">
            <x v="26"/>
          </reference>
        </references>
      </pivotArea>
    </format>
    <format dxfId="4694">
      <pivotArea dataOnly="0" labelOnly="1" outline="0" fieldPosition="0">
        <references count="4">
          <reference field="5" count="1">
            <x v="31"/>
          </reference>
          <reference field="8" count="1" selected="0">
            <x v="3"/>
          </reference>
          <reference field="11" count="1" selected="0">
            <x v="1"/>
          </reference>
          <reference field="13" count="1" selected="0">
            <x v="225"/>
          </reference>
        </references>
      </pivotArea>
    </format>
    <format dxfId="4693">
      <pivotArea dataOnly="0" labelOnly="1" outline="0" fieldPosition="0">
        <references count="4">
          <reference field="5" count="1">
            <x v="68"/>
          </reference>
          <reference field="8" count="1" selected="0">
            <x v="3"/>
          </reference>
          <reference field="11" count="1" selected="0">
            <x v="2"/>
          </reference>
          <reference field="13" count="1" selected="0">
            <x v="263"/>
          </reference>
        </references>
      </pivotArea>
    </format>
    <format dxfId="4692">
      <pivotArea dataOnly="0" labelOnly="1" outline="0" fieldPosition="0">
        <references count="4">
          <reference field="5" count="1">
            <x v="64"/>
          </reference>
          <reference field="8" count="1" selected="0">
            <x v="3"/>
          </reference>
          <reference field="11" count="1" selected="0">
            <x v="3"/>
          </reference>
          <reference field="13" count="1" selected="0">
            <x v="242"/>
          </reference>
        </references>
      </pivotArea>
    </format>
    <format dxfId="4691">
      <pivotArea dataOnly="0" labelOnly="1" outline="0" fieldPosition="0">
        <references count="4">
          <reference field="5" count="1">
            <x v="20"/>
          </reference>
          <reference field="8" count="1" selected="0">
            <x v="3"/>
          </reference>
          <reference field="11" count="1" selected="0">
            <x v="5"/>
          </reference>
          <reference field="13" count="1" selected="0">
            <x v="255"/>
          </reference>
        </references>
      </pivotArea>
    </format>
    <format dxfId="4690">
      <pivotArea dataOnly="0" labelOnly="1" outline="0" fieldPosition="0">
        <references count="4">
          <reference field="5" count="1">
            <x v="64"/>
          </reference>
          <reference field="8" count="1" selected="0">
            <x v="4"/>
          </reference>
          <reference field="11" count="1" selected="0">
            <x v="1"/>
          </reference>
          <reference field="13" count="1" selected="0">
            <x v="59"/>
          </reference>
        </references>
      </pivotArea>
    </format>
    <format dxfId="4689">
      <pivotArea dataOnly="0" labelOnly="1" outline="0" fieldPosition="0">
        <references count="4">
          <reference field="5" count="1">
            <x v="64"/>
          </reference>
          <reference field="8" count="1" selected="0">
            <x v="4"/>
          </reference>
          <reference field="11" count="1" selected="0">
            <x v="3"/>
          </reference>
          <reference field="13" count="1" selected="0">
            <x v="69"/>
          </reference>
        </references>
      </pivotArea>
    </format>
    <format dxfId="4688">
      <pivotArea dataOnly="0" labelOnly="1" outline="0" fieldPosition="0">
        <references count="4">
          <reference field="5" count="1">
            <x v="64"/>
          </reference>
          <reference field="8" count="1" selected="0">
            <x v="4"/>
          </reference>
          <reference field="11" count="1" selected="0">
            <x v="3"/>
          </reference>
          <reference field="13" count="1" selected="0">
            <x v="240"/>
          </reference>
        </references>
      </pivotArea>
    </format>
    <format dxfId="4687">
      <pivotArea dataOnly="0" labelOnly="1" outline="0" fieldPosition="0">
        <references count="4">
          <reference field="5" count="1">
            <x v="64"/>
          </reference>
          <reference field="8" count="1" selected="0">
            <x v="4"/>
          </reference>
          <reference field="11" count="1" selected="0">
            <x v="3"/>
          </reference>
          <reference field="13" count="1" selected="0">
            <x v="242"/>
          </reference>
        </references>
      </pivotArea>
    </format>
    <format dxfId="4686">
      <pivotArea dataOnly="0" labelOnly="1" outline="0" fieldPosition="0">
        <references count="4">
          <reference field="5" count="1">
            <x v="20"/>
          </reference>
          <reference field="8" count="1" selected="0">
            <x v="4"/>
          </reference>
          <reference field="11" count="1" selected="0">
            <x v="5"/>
          </reference>
          <reference field="13" count="1" selected="0">
            <x v="255"/>
          </reference>
        </references>
      </pivotArea>
    </format>
    <format dxfId="4685">
      <pivotArea dataOnly="0" labelOnly="1" outline="0" fieldPosition="0">
        <references count="4">
          <reference field="5" count="1">
            <x v="64"/>
          </reference>
          <reference field="8" count="1" selected="0">
            <x v="4"/>
          </reference>
          <reference field="11" count="1" selected="0">
            <x v="7"/>
          </reference>
          <reference field="13" count="1" selected="0">
            <x v="8"/>
          </reference>
        </references>
      </pivotArea>
    </format>
    <format dxfId="4684">
      <pivotArea dataOnly="0" labelOnly="1" outline="0" fieldPosition="0">
        <references count="4">
          <reference field="5" count="1">
            <x v="23"/>
          </reference>
          <reference field="8" count="1" selected="0">
            <x v="5"/>
          </reference>
          <reference field="11" count="1" selected="0">
            <x v="3"/>
          </reference>
          <reference field="13" count="1" selected="0">
            <x v="32"/>
          </reference>
        </references>
      </pivotArea>
    </format>
    <format dxfId="4683">
      <pivotArea dataOnly="0" labelOnly="1" outline="0" fieldPosition="0">
        <references count="4">
          <reference field="5" count="1">
            <x v="23"/>
          </reference>
          <reference field="8" count="1" selected="0">
            <x v="5"/>
          </reference>
          <reference field="11" count="1" selected="0">
            <x v="3"/>
          </reference>
          <reference field="13" count="1" selected="0">
            <x v="69"/>
          </reference>
        </references>
      </pivotArea>
    </format>
    <format dxfId="4682">
      <pivotArea dataOnly="0" labelOnly="1" outline="0" fieldPosition="0">
        <references count="4">
          <reference field="5" count="1">
            <x v="23"/>
          </reference>
          <reference field="8" count="1" selected="0">
            <x v="5"/>
          </reference>
          <reference field="11" count="1" selected="0">
            <x v="3"/>
          </reference>
          <reference field="13" count="1" selected="0">
            <x v="78"/>
          </reference>
        </references>
      </pivotArea>
    </format>
    <format dxfId="4681">
      <pivotArea dataOnly="0" labelOnly="1" outline="0" fieldPosition="0">
        <references count="4">
          <reference field="5" count="2">
            <x v="14"/>
            <x v="23"/>
          </reference>
          <reference field="8" count="1" selected="0">
            <x v="5"/>
          </reference>
          <reference field="11" count="1" selected="0">
            <x v="3"/>
          </reference>
          <reference field="13" count="1" selected="0">
            <x v="92"/>
          </reference>
        </references>
      </pivotArea>
    </format>
    <format dxfId="4680">
      <pivotArea dataOnly="0" labelOnly="1" outline="0" fieldPosition="0">
        <references count="4">
          <reference field="5" count="1">
            <x v="23"/>
          </reference>
          <reference field="8" count="1" selected="0">
            <x v="5"/>
          </reference>
          <reference field="11" count="1" selected="0">
            <x v="3"/>
          </reference>
          <reference field="13" count="1" selected="0">
            <x v="101"/>
          </reference>
        </references>
      </pivotArea>
    </format>
    <format dxfId="4679">
      <pivotArea dataOnly="0" labelOnly="1" outline="0" fieldPosition="0">
        <references count="4">
          <reference field="5" count="1">
            <x v="23"/>
          </reference>
          <reference field="8" count="1" selected="0">
            <x v="5"/>
          </reference>
          <reference field="11" count="1" selected="0">
            <x v="3"/>
          </reference>
          <reference field="13" count="1" selected="0">
            <x v="240"/>
          </reference>
        </references>
      </pivotArea>
    </format>
    <format dxfId="4678">
      <pivotArea dataOnly="0" labelOnly="1" outline="0" fieldPosition="0">
        <references count="4">
          <reference field="5" count="1">
            <x v="23"/>
          </reference>
          <reference field="8" count="1" selected="0">
            <x v="5"/>
          </reference>
          <reference field="11" count="1" selected="0">
            <x v="3"/>
          </reference>
          <reference field="13" count="1" selected="0">
            <x v="242"/>
          </reference>
        </references>
      </pivotArea>
    </format>
    <format dxfId="4677">
      <pivotArea dataOnly="0" labelOnly="1" outline="0" fieldPosition="0">
        <references count="4">
          <reference field="5" count="1">
            <x v="23"/>
          </reference>
          <reference field="8" count="1" selected="0">
            <x v="5"/>
          </reference>
          <reference field="11" count="1" selected="0">
            <x v="3"/>
          </reference>
          <reference field="13" count="1" selected="0">
            <x v="243"/>
          </reference>
        </references>
      </pivotArea>
    </format>
    <format dxfId="4676">
      <pivotArea dataOnly="0" labelOnly="1" outline="0" fieldPosition="0">
        <references count="4">
          <reference field="5" count="1">
            <x v="23"/>
          </reference>
          <reference field="8" count="1" selected="0">
            <x v="5"/>
          </reference>
          <reference field="11" count="1" selected="0">
            <x v="3"/>
          </reference>
          <reference field="13" count="1" selected="0">
            <x v="251"/>
          </reference>
        </references>
      </pivotArea>
    </format>
    <format dxfId="4675">
      <pivotArea dataOnly="0" labelOnly="1" outline="0" fieldPosition="0">
        <references count="4">
          <reference field="5" count="2">
            <x v="23"/>
            <x v="64"/>
          </reference>
          <reference field="8" count="1" selected="0">
            <x v="5"/>
          </reference>
          <reference field="11" count="1" selected="0">
            <x v="3"/>
          </reference>
          <reference field="13" count="1" selected="0">
            <x v="287"/>
          </reference>
        </references>
      </pivotArea>
    </format>
    <format dxfId="4674">
      <pivotArea dataOnly="0" labelOnly="1" outline="0" fieldPosition="0">
        <references count="4">
          <reference field="5" count="1">
            <x v="23"/>
          </reference>
          <reference field="8" count="1" selected="0">
            <x v="5"/>
          </reference>
          <reference field="11" count="1" selected="0">
            <x v="5"/>
          </reference>
          <reference field="13" count="1" selected="0">
            <x v="77"/>
          </reference>
        </references>
      </pivotArea>
    </format>
    <format dxfId="4673">
      <pivotArea dataOnly="0" labelOnly="1" outline="0" fieldPosition="0">
        <references count="4">
          <reference field="5" count="2">
            <x v="20"/>
            <x v="116"/>
          </reference>
          <reference field="8" count="1" selected="0">
            <x v="5"/>
          </reference>
          <reference field="11" count="1" selected="0">
            <x v="5"/>
          </reference>
          <reference field="13" count="1" selected="0">
            <x v="81"/>
          </reference>
        </references>
      </pivotArea>
    </format>
    <format dxfId="4672">
      <pivotArea dataOnly="0" labelOnly="1" outline="0" fieldPosition="0">
        <references count="4">
          <reference field="5" count="1">
            <x v="23"/>
          </reference>
          <reference field="8" count="1" selected="0">
            <x v="5"/>
          </reference>
          <reference field="11" count="1" selected="0">
            <x v="5"/>
          </reference>
          <reference field="13" count="1" selected="0">
            <x v="229"/>
          </reference>
        </references>
      </pivotArea>
    </format>
    <format dxfId="4671">
      <pivotArea dataOnly="0" labelOnly="1" outline="0" fieldPosition="0">
        <references count="4">
          <reference field="5" count="1">
            <x v="23"/>
          </reference>
          <reference field="8" count="1" selected="0">
            <x v="5"/>
          </reference>
          <reference field="11" count="1" selected="0">
            <x v="7"/>
          </reference>
          <reference field="13" count="1" selected="0">
            <x v="72"/>
          </reference>
        </references>
      </pivotArea>
    </format>
    <format dxfId="4670">
      <pivotArea dataOnly="0" labelOnly="1" outline="0" fieldPosition="0">
        <references count="4">
          <reference field="5" count="1">
            <x v="103"/>
          </reference>
          <reference field="8" count="1" selected="0">
            <x v="6"/>
          </reference>
          <reference field="11" count="1" selected="0">
            <x v="3"/>
          </reference>
          <reference field="13" count="1" selected="0">
            <x v="7"/>
          </reference>
        </references>
      </pivotArea>
    </format>
    <format dxfId="4669">
      <pivotArea dataOnly="0" labelOnly="1" outline="0" fieldPosition="0">
        <references count="4">
          <reference field="5" count="1">
            <x v="103"/>
          </reference>
          <reference field="8" count="1" selected="0">
            <x v="6"/>
          </reference>
          <reference field="11" count="1" selected="0">
            <x v="3"/>
          </reference>
          <reference field="13" count="1" selected="0">
            <x v="100"/>
          </reference>
        </references>
      </pivotArea>
    </format>
    <format dxfId="4668">
      <pivotArea dataOnly="0" labelOnly="1" outline="0" fieldPosition="0">
        <references count="4">
          <reference field="5" count="1">
            <x v="103"/>
          </reference>
          <reference field="8" count="1" selected="0">
            <x v="6"/>
          </reference>
          <reference field="11" count="1" selected="0">
            <x v="3"/>
          </reference>
          <reference field="13" count="1" selected="0">
            <x v="134"/>
          </reference>
        </references>
      </pivotArea>
    </format>
    <format dxfId="4667">
      <pivotArea dataOnly="0" labelOnly="1" outline="0" fieldPosition="0">
        <references count="4">
          <reference field="5" count="1">
            <x v="103"/>
          </reference>
          <reference field="8" count="1" selected="0">
            <x v="6"/>
          </reference>
          <reference field="11" count="1" selected="0">
            <x v="3"/>
          </reference>
          <reference field="13" count="1" selected="0">
            <x v="242"/>
          </reference>
        </references>
      </pivotArea>
    </format>
    <format dxfId="4666">
      <pivotArea dataOnly="0" labelOnly="1" outline="0" fieldPosition="0">
        <references count="4">
          <reference field="5" count="1">
            <x v="103"/>
          </reference>
          <reference field="8" count="1" selected="0">
            <x v="6"/>
          </reference>
          <reference field="11" count="1" selected="0">
            <x v="3"/>
          </reference>
          <reference field="13" count="1" selected="0">
            <x v="243"/>
          </reference>
        </references>
      </pivotArea>
    </format>
    <format dxfId="4665">
      <pivotArea dataOnly="0" labelOnly="1" outline="0" fieldPosition="0">
        <references count="4">
          <reference field="5" count="1">
            <x v="103"/>
          </reference>
          <reference field="8" count="1" selected="0">
            <x v="6"/>
          </reference>
          <reference field="11" count="1" selected="0">
            <x v="3"/>
          </reference>
          <reference field="13" count="1" selected="0">
            <x v="251"/>
          </reference>
        </references>
      </pivotArea>
    </format>
    <format dxfId="4664">
      <pivotArea dataOnly="0" labelOnly="1" outline="0" fieldPosition="0">
        <references count="4">
          <reference field="5" count="1">
            <x v="103"/>
          </reference>
          <reference field="8" count="1" selected="0">
            <x v="6"/>
          </reference>
          <reference field="11" count="1" selected="0">
            <x v="3"/>
          </reference>
          <reference field="13" count="1" selected="0">
            <x v="287"/>
          </reference>
        </references>
      </pivotArea>
    </format>
    <format dxfId="4663">
      <pivotArea dataOnly="0" labelOnly="1" outline="0" fieldPosition="0">
        <references count="4">
          <reference field="5" count="1">
            <x v="103"/>
          </reference>
          <reference field="8" count="1" selected="0">
            <x v="6"/>
          </reference>
          <reference field="11" count="1" selected="0">
            <x v="3"/>
          </reference>
          <reference field="13" count="1" selected="0">
            <x v="305"/>
          </reference>
        </references>
      </pivotArea>
    </format>
    <format dxfId="4662">
      <pivotArea dataOnly="0" labelOnly="1" outline="0" fieldPosition="0">
        <references count="4">
          <reference field="5" count="1">
            <x v="103"/>
          </reference>
          <reference field="8" count="1" selected="0">
            <x v="6"/>
          </reference>
          <reference field="11" count="1" selected="0">
            <x v="7"/>
          </reference>
          <reference field="13" count="1" selected="0">
            <x v="93"/>
          </reference>
        </references>
      </pivotArea>
    </format>
    <format dxfId="4661">
      <pivotArea dataOnly="0" labelOnly="1" outline="0" fieldPosition="0">
        <references count="4">
          <reference field="5" count="1">
            <x v="110"/>
          </reference>
          <reference field="8" count="1" selected="0">
            <x v="7"/>
          </reference>
          <reference field="11" count="1" selected="0">
            <x v="2"/>
          </reference>
          <reference field="13" count="1" selected="0">
            <x v="190"/>
          </reference>
        </references>
      </pivotArea>
    </format>
    <format dxfId="4660">
      <pivotArea dataOnly="0" labelOnly="1" outline="0" fieldPosition="0">
        <references count="4">
          <reference field="5" count="1">
            <x v="110"/>
          </reference>
          <reference field="8" count="1" selected="0">
            <x v="7"/>
          </reference>
          <reference field="11" count="1" selected="0">
            <x v="3"/>
          </reference>
          <reference field="13" count="1" selected="0">
            <x v="7"/>
          </reference>
        </references>
      </pivotArea>
    </format>
    <format dxfId="4659">
      <pivotArea dataOnly="0" labelOnly="1" outline="0" fieldPosition="0">
        <references count="4">
          <reference field="5" count="1">
            <x v="110"/>
          </reference>
          <reference field="8" count="1" selected="0">
            <x v="7"/>
          </reference>
          <reference field="11" count="1" selected="0">
            <x v="3"/>
          </reference>
          <reference field="13" count="1" selected="0">
            <x v="17"/>
          </reference>
        </references>
      </pivotArea>
    </format>
    <format dxfId="4658">
      <pivotArea dataOnly="0" labelOnly="1" outline="0" fieldPosition="0">
        <references count="4">
          <reference field="5" count="1">
            <x v="110"/>
          </reference>
          <reference field="8" count="1" selected="0">
            <x v="7"/>
          </reference>
          <reference field="11" count="1" selected="0">
            <x v="3"/>
          </reference>
          <reference field="13" count="1" selected="0">
            <x v="29"/>
          </reference>
        </references>
      </pivotArea>
    </format>
    <format dxfId="4657">
      <pivotArea dataOnly="0" labelOnly="1" outline="0" fieldPosition="0">
        <references count="4">
          <reference field="5" count="1">
            <x v="110"/>
          </reference>
          <reference field="8" count="1" selected="0">
            <x v="7"/>
          </reference>
          <reference field="11" count="1" selected="0">
            <x v="3"/>
          </reference>
          <reference field="13" count="1" selected="0">
            <x v="32"/>
          </reference>
        </references>
      </pivotArea>
    </format>
    <format dxfId="4656">
      <pivotArea dataOnly="0" labelOnly="1" outline="0" fieldPosition="0">
        <references count="4">
          <reference field="5" count="1">
            <x v="110"/>
          </reference>
          <reference field="8" count="1" selected="0">
            <x v="7"/>
          </reference>
          <reference field="11" count="1" selected="0">
            <x v="3"/>
          </reference>
          <reference field="13" count="1" selected="0">
            <x v="54"/>
          </reference>
        </references>
      </pivotArea>
    </format>
    <format dxfId="4655">
      <pivotArea dataOnly="0" labelOnly="1" outline="0" fieldPosition="0">
        <references count="4">
          <reference field="5" count="1">
            <x v="110"/>
          </reference>
          <reference field="8" count="1" selected="0">
            <x v="7"/>
          </reference>
          <reference field="11" count="1" selected="0">
            <x v="3"/>
          </reference>
          <reference field="13" count="1" selected="0">
            <x v="57"/>
          </reference>
        </references>
      </pivotArea>
    </format>
    <format dxfId="4654">
      <pivotArea dataOnly="0" labelOnly="1" outline="0" fieldPosition="0">
        <references count="4">
          <reference field="5" count="1">
            <x v="110"/>
          </reference>
          <reference field="8" count="1" selected="0">
            <x v="7"/>
          </reference>
          <reference field="11" count="1" selected="0">
            <x v="3"/>
          </reference>
          <reference field="13" count="1" selected="0">
            <x v="69"/>
          </reference>
        </references>
      </pivotArea>
    </format>
    <format dxfId="4653">
      <pivotArea dataOnly="0" labelOnly="1" outline="0" fieldPosition="0">
        <references count="4">
          <reference field="5" count="1">
            <x v="110"/>
          </reference>
          <reference field="8" count="1" selected="0">
            <x v="7"/>
          </reference>
          <reference field="11" count="1" selected="0">
            <x v="3"/>
          </reference>
          <reference field="13" count="1" selected="0">
            <x v="78"/>
          </reference>
        </references>
      </pivotArea>
    </format>
    <format dxfId="4652">
      <pivotArea dataOnly="0" labelOnly="1" outline="0" fieldPosition="0">
        <references count="4">
          <reference field="5" count="1">
            <x v="110"/>
          </reference>
          <reference field="8" count="1" selected="0">
            <x v="7"/>
          </reference>
          <reference field="11" count="1" selected="0">
            <x v="3"/>
          </reference>
          <reference field="13" count="1" selected="0">
            <x v="92"/>
          </reference>
        </references>
      </pivotArea>
    </format>
    <format dxfId="4651">
      <pivotArea dataOnly="0" labelOnly="1" outline="0" fieldPosition="0">
        <references count="4">
          <reference field="5" count="1">
            <x v="110"/>
          </reference>
          <reference field="8" count="1" selected="0">
            <x v="7"/>
          </reference>
          <reference field="11" count="1" selected="0">
            <x v="3"/>
          </reference>
          <reference field="13" count="1" selected="0">
            <x v="100"/>
          </reference>
        </references>
      </pivotArea>
    </format>
    <format dxfId="4650">
      <pivotArea dataOnly="0" labelOnly="1" outline="0" fieldPosition="0">
        <references count="4">
          <reference field="5" count="1">
            <x v="110"/>
          </reference>
          <reference field="8" count="1" selected="0">
            <x v="7"/>
          </reference>
          <reference field="11" count="1" selected="0">
            <x v="3"/>
          </reference>
          <reference field="13" count="1" selected="0">
            <x v="240"/>
          </reference>
        </references>
      </pivotArea>
    </format>
    <format dxfId="4649">
      <pivotArea dataOnly="0" labelOnly="1" outline="0" fieldPosition="0">
        <references count="4">
          <reference field="5" count="1">
            <x v="110"/>
          </reference>
          <reference field="8" count="1" selected="0">
            <x v="7"/>
          </reference>
          <reference field="11" count="1" selected="0">
            <x v="3"/>
          </reference>
          <reference field="13" count="1" selected="0">
            <x v="242"/>
          </reference>
        </references>
      </pivotArea>
    </format>
    <format dxfId="4648">
      <pivotArea dataOnly="0" labelOnly="1" outline="0" fieldPosition="0">
        <references count="4">
          <reference field="5" count="1">
            <x v="110"/>
          </reference>
          <reference field="8" count="1" selected="0">
            <x v="7"/>
          </reference>
          <reference field="11" count="1" selected="0">
            <x v="3"/>
          </reference>
          <reference field="13" count="1" selected="0">
            <x v="243"/>
          </reference>
        </references>
      </pivotArea>
    </format>
    <format dxfId="4647">
      <pivotArea dataOnly="0" labelOnly="1" outline="0" fieldPosition="0">
        <references count="4">
          <reference field="5" count="3">
            <x v="110"/>
            <x v="116"/>
            <x v="117"/>
          </reference>
          <reference field="8" count="1" selected="0">
            <x v="7"/>
          </reference>
          <reference field="11" count="1" selected="0">
            <x v="3"/>
          </reference>
          <reference field="13" count="1" selected="0">
            <x v="287"/>
          </reference>
        </references>
      </pivotArea>
    </format>
    <format dxfId="4646">
      <pivotArea dataOnly="0" labelOnly="1" outline="0" fieldPosition="0">
        <references count="4">
          <reference field="5" count="1">
            <x v="110"/>
          </reference>
          <reference field="8" count="1" selected="0">
            <x v="7"/>
          </reference>
          <reference field="11" count="1" selected="0">
            <x v="3"/>
          </reference>
          <reference field="13" count="1" selected="0">
            <x v="305"/>
          </reference>
        </references>
      </pivotArea>
    </format>
    <format dxfId="4645">
      <pivotArea dataOnly="0" labelOnly="1" outline="0" fieldPosition="0">
        <references count="4">
          <reference field="5" count="2">
            <x v="20"/>
            <x v="116"/>
          </reference>
          <reference field="8" count="1" selected="0">
            <x v="7"/>
          </reference>
          <reference field="11" count="1" selected="0">
            <x v="5"/>
          </reference>
          <reference field="13" count="1" selected="0">
            <x v="81"/>
          </reference>
        </references>
      </pivotArea>
    </format>
    <format dxfId="4644">
      <pivotArea dataOnly="0" labelOnly="1" outline="0" fieldPosition="0">
        <references count="4">
          <reference field="5" count="1">
            <x v="20"/>
          </reference>
          <reference field="8" count="1" selected="0">
            <x v="7"/>
          </reference>
          <reference field="11" count="1" selected="0">
            <x v="5"/>
          </reference>
          <reference field="13" count="1" selected="0">
            <x v="255"/>
          </reference>
        </references>
      </pivotArea>
    </format>
    <format dxfId="4643">
      <pivotArea dataOnly="0" labelOnly="1" outline="0" fieldPosition="0">
        <references count="4">
          <reference field="5" count="1">
            <x v="45"/>
          </reference>
          <reference field="8" count="1" selected="0">
            <x v="8"/>
          </reference>
          <reference field="11" count="1" selected="0">
            <x v="5"/>
          </reference>
          <reference field="13" count="1" selected="0">
            <x v="77"/>
          </reference>
        </references>
      </pivotArea>
    </format>
    <format dxfId="4642">
      <pivotArea dataOnly="0" labelOnly="1" outline="0" fieldPosition="0">
        <references count="4">
          <reference field="5" count="1">
            <x v="64"/>
          </reference>
          <reference field="8" count="1" selected="0">
            <x v="9"/>
          </reference>
          <reference field="11" count="1" selected="0">
            <x v="0"/>
          </reference>
          <reference field="13" count="1" selected="0">
            <x v="53"/>
          </reference>
        </references>
      </pivotArea>
    </format>
    <format dxfId="4641">
      <pivotArea dataOnly="0" labelOnly="1" outline="0" fieldPosition="0">
        <references count="4">
          <reference field="5" count="1">
            <x v="110"/>
          </reference>
          <reference field="8" count="1" selected="0">
            <x v="9"/>
          </reference>
          <reference field="11" count="1" selected="0">
            <x v="3"/>
          </reference>
          <reference field="13" count="1" selected="0">
            <x v="69"/>
          </reference>
        </references>
      </pivotArea>
    </format>
    <format dxfId="4640">
      <pivotArea dataOnly="0" labelOnly="1" outline="0" fieldPosition="0">
        <references count="4">
          <reference field="5" count="1">
            <x v="110"/>
          </reference>
          <reference field="8" count="1" selected="0">
            <x v="9"/>
          </reference>
          <reference field="11" count="1" selected="0">
            <x v="3"/>
          </reference>
          <reference field="13" count="1" selected="0">
            <x v="242"/>
          </reference>
        </references>
      </pivotArea>
    </format>
    <format dxfId="4639">
      <pivotArea dataOnly="0" labelOnly="1" outline="0" fieldPosition="0">
        <references count="4">
          <reference field="5" count="2">
            <x v="108"/>
            <x v="110"/>
          </reference>
          <reference field="8" count="1" selected="0">
            <x v="9"/>
          </reference>
          <reference field="11" count="1" selected="0">
            <x v="3"/>
          </reference>
          <reference field="13" count="1" selected="0">
            <x v="243"/>
          </reference>
        </references>
      </pivotArea>
    </format>
    <format dxfId="4638">
      <pivotArea dataOnly="0" labelOnly="1" outline="0" fieldPosition="0">
        <references count="4">
          <reference field="5" count="1">
            <x v="110"/>
          </reference>
          <reference field="8" count="1" selected="0">
            <x v="9"/>
          </reference>
          <reference field="11" count="1" selected="0">
            <x v="3"/>
          </reference>
          <reference field="13" count="1" selected="0">
            <x v="305"/>
          </reference>
        </references>
      </pivotArea>
    </format>
    <format dxfId="4637">
      <pivotArea dataOnly="0" labelOnly="1" outline="0" fieldPosition="0">
        <references count="4">
          <reference field="5" count="1">
            <x v="20"/>
          </reference>
          <reference field="8" count="1" selected="0">
            <x v="9"/>
          </reference>
          <reference field="11" count="1" selected="0">
            <x v="5"/>
          </reference>
          <reference field="13" count="1" selected="0">
            <x v="81"/>
          </reference>
        </references>
      </pivotArea>
    </format>
    <format dxfId="4636">
      <pivotArea dataOnly="0" labelOnly="1" outline="0" fieldPosition="0">
        <references count="4">
          <reference field="5" count="1">
            <x v="108"/>
          </reference>
          <reference field="8" count="1" selected="0">
            <x v="9"/>
          </reference>
          <reference field="11" count="1" selected="0">
            <x v="5"/>
          </reference>
          <reference field="13" count="1" selected="0">
            <x v="96"/>
          </reference>
        </references>
      </pivotArea>
    </format>
    <format dxfId="4635">
      <pivotArea dataOnly="0" labelOnly="1" outline="0" fieldPosition="0">
        <references count="4">
          <reference field="5" count="1">
            <x v="20"/>
          </reference>
          <reference field="8" count="1" selected="0">
            <x v="9"/>
          </reference>
          <reference field="11" count="1" selected="0">
            <x v="5"/>
          </reference>
          <reference field="13" count="1" selected="0">
            <x v="255"/>
          </reference>
        </references>
      </pivotArea>
    </format>
    <format dxfId="4634">
      <pivotArea dataOnly="0" labelOnly="1" outline="0" fieldPosition="0">
        <references count="4">
          <reference field="5" count="2">
            <x v="116"/>
            <x v="117"/>
          </reference>
          <reference field="8" count="1" selected="0">
            <x v="13"/>
          </reference>
          <reference field="11" count="1" selected="0">
            <x v="3"/>
          </reference>
          <reference field="13" count="1" selected="0">
            <x v="29"/>
          </reference>
        </references>
      </pivotArea>
    </format>
    <format dxfId="4633">
      <pivotArea dataOnly="0" labelOnly="1" outline="0" fieldPosition="0">
        <references count="4">
          <reference field="5" count="1">
            <x v="117"/>
          </reference>
          <reference field="8" count="1" selected="0">
            <x v="13"/>
          </reference>
          <reference field="11" count="1" selected="0">
            <x v="3"/>
          </reference>
          <reference field="13" count="1" selected="0">
            <x v="218"/>
          </reference>
        </references>
      </pivotArea>
    </format>
    <format dxfId="4632">
      <pivotArea dataOnly="0" labelOnly="1" outline="0" fieldPosition="0">
        <references count="4">
          <reference field="5" count="1">
            <x v="85"/>
          </reference>
          <reference field="8" count="1" selected="0">
            <x v="13"/>
          </reference>
          <reference field="11" count="1" selected="0">
            <x v="5"/>
          </reference>
          <reference field="13" count="1" selected="0">
            <x v="77"/>
          </reference>
        </references>
      </pivotArea>
    </format>
    <format dxfId="4631">
      <pivotArea dataOnly="0" labelOnly="1" outline="0" fieldPosition="0">
        <references count="4">
          <reference field="5" count="1">
            <x v="2"/>
          </reference>
          <reference field="8" count="1" selected="0">
            <x v="13"/>
          </reference>
          <reference field="11" count="1" selected="0">
            <x v="6"/>
          </reference>
          <reference field="13" count="1" selected="0">
            <x v="191"/>
          </reference>
        </references>
      </pivotArea>
    </format>
    <format dxfId="4630">
      <pivotArea dataOnly="0" labelOnly="1" outline="0" fieldPosition="0">
        <references count="4">
          <reference field="5" count="1">
            <x v="2"/>
          </reference>
          <reference field="8" count="1" selected="0">
            <x v="13"/>
          </reference>
          <reference field="11" count="1" selected="0">
            <x v="6"/>
          </reference>
          <reference field="13" count="1" selected="0">
            <x v="199"/>
          </reference>
        </references>
      </pivotArea>
    </format>
    <format dxfId="4629">
      <pivotArea dataOnly="0" labelOnly="1" outline="0" fieldPosition="0">
        <references count="4">
          <reference field="5" count="1">
            <x v="64"/>
          </reference>
          <reference field="8" count="1" selected="0">
            <x v="14"/>
          </reference>
          <reference field="11" count="1" selected="0">
            <x v="0"/>
          </reference>
          <reference field="13" count="1" selected="0">
            <x v="53"/>
          </reference>
        </references>
      </pivotArea>
    </format>
    <format dxfId="4628">
      <pivotArea dataOnly="0" labelOnly="1" outline="0" fieldPosition="0">
        <references count="4">
          <reference field="5" count="1">
            <x v="64"/>
          </reference>
          <reference field="8" count="1" selected="0">
            <x v="14"/>
          </reference>
          <reference field="11" count="1" selected="0">
            <x v="1"/>
          </reference>
          <reference field="13" count="1" selected="0">
            <x v="169"/>
          </reference>
        </references>
      </pivotArea>
    </format>
    <format dxfId="4627">
      <pivotArea dataOnly="0" labelOnly="1" outline="0" fieldPosition="0">
        <references count="4">
          <reference field="5" count="1">
            <x v="103"/>
          </reference>
          <reference field="8" count="1" selected="0">
            <x v="14"/>
          </reference>
          <reference field="11" count="1" selected="0">
            <x v="3"/>
          </reference>
          <reference field="13" count="1" selected="0">
            <x v="57"/>
          </reference>
        </references>
      </pivotArea>
    </format>
    <format dxfId="4626">
      <pivotArea dataOnly="0" labelOnly="1" outline="0" fieldPosition="0">
        <references count="4">
          <reference field="5" count="1">
            <x v="103"/>
          </reference>
          <reference field="8" count="1" selected="0">
            <x v="14"/>
          </reference>
          <reference field="11" count="1" selected="0">
            <x v="3"/>
          </reference>
          <reference field="13" count="1" selected="0">
            <x v="242"/>
          </reference>
        </references>
      </pivotArea>
    </format>
    <format dxfId="4625">
      <pivotArea dataOnly="0" labelOnly="1" outline="0" fieldPosition="0">
        <references count="4">
          <reference field="5" count="1">
            <x v="103"/>
          </reference>
          <reference field="8" count="1" selected="0">
            <x v="14"/>
          </reference>
          <reference field="11" count="1" selected="0">
            <x v="3"/>
          </reference>
          <reference field="13" count="1" selected="0">
            <x v="243"/>
          </reference>
        </references>
      </pivotArea>
    </format>
    <format dxfId="4624">
      <pivotArea dataOnly="0" labelOnly="1" outline="0" fieldPosition="0">
        <references count="4">
          <reference field="5" count="1">
            <x v="64"/>
          </reference>
          <reference field="8" count="1" selected="0">
            <x v="14"/>
          </reference>
          <reference field="11" count="1" selected="0">
            <x v="7"/>
          </reference>
          <reference field="13" count="1" selected="0">
            <x v="129"/>
          </reference>
        </references>
      </pivotArea>
    </format>
    <format dxfId="4623">
      <pivotArea dataOnly="0" labelOnly="1" outline="0" fieldPosition="0">
        <references count="4">
          <reference field="5" count="2">
            <x v="47"/>
            <x v="113"/>
          </reference>
          <reference field="8" count="1" selected="0">
            <x v="16"/>
          </reference>
          <reference field="11" count="1" selected="0">
            <x v="0"/>
          </reference>
          <reference field="13" count="1" selected="0">
            <x v="165"/>
          </reference>
        </references>
      </pivotArea>
    </format>
    <format dxfId="4622">
      <pivotArea dataOnly="0" labelOnly="1" outline="0" fieldPosition="0">
        <references count="4">
          <reference field="5" count="1">
            <x v="113"/>
          </reference>
          <reference field="8" count="1" selected="0">
            <x v="16"/>
          </reference>
          <reference field="11" count="1" selected="0">
            <x v="3"/>
          </reference>
          <reference field="13" count="1" selected="0">
            <x v="240"/>
          </reference>
        </references>
      </pivotArea>
    </format>
    <format dxfId="4621">
      <pivotArea dataOnly="0" labelOnly="1" outline="0" fieldPosition="0">
        <references count="4">
          <reference field="5" count="1">
            <x v="116"/>
          </reference>
          <reference field="8" count="1" selected="0">
            <x v="16"/>
          </reference>
          <reference field="11" count="1" selected="0">
            <x v="5"/>
          </reference>
          <reference field="13" count="1" selected="0">
            <x v="81"/>
          </reference>
        </references>
      </pivotArea>
    </format>
    <format dxfId="4620">
      <pivotArea dataOnly="0" labelOnly="1" outline="0" fieldPosition="0">
        <references count="4">
          <reference field="5" count="1">
            <x v="64"/>
          </reference>
          <reference field="8" count="1" selected="0">
            <x v="18"/>
          </reference>
          <reference field="11" count="1" selected="0">
            <x v="1"/>
          </reference>
          <reference field="13" count="1" selected="0">
            <x v="111"/>
          </reference>
        </references>
      </pivotArea>
    </format>
    <format dxfId="4619">
      <pivotArea dataOnly="0" labelOnly="1" outline="0" fieldPosition="0">
        <references count="4">
          <reference field="5" count="1">
            <x v="64"/>
          </reference>
          <reference field="8" count="1" selected="0">
            <x v="18"/>
          </reference>
          <reference field="11" count="1" selected="0">
            <x v="3"/>
          </reference>
          <reference field="13" count="1" selected="0">
            <x v="240"/>
          </reference>
        </references>
      </pivotArea>
    </format>
    <format dxfId="4618">
      <pivotArea dataOnly="0" labelOnly="1" outline="0" fieldPosition="0">
        <references count="4">
          <reference field="5" count="1">
            <x v="64"/>
          </reference>
          <reference field="8" count="1" selected="0">
            <x v="18"/>
          </reference>
          <reference field="11" count="1" selected="0">
            <x v="3"/>
          </reference>
          <reference field="13" count="1" selected="0">
            <x v="242"/>
          </reference>
        </references>
      </pivotArea>
    </format>
    <format dxfId="4617">
      <pivotArea dataOnly="0" labelOnly="1" outline="0" fieldPosition="0">
        <references count="4">
          <reference field="5" count="1">
            <x v="64"/>
          </reference>
          <reference field="8" count="1" selected="0">
            <x v="18"/>
          </reference>
          <reference field="11" count="1" selected="0">
            <x v="3"/>
          </reference>
          <reference field="13" count="1" selected="0">
            <x v="243"/>
          </reference>
        </references>
      </pivotArea>
    </format>
    <format dxfId="4616">
      <pivotArea dataOnly="0" labelOnly="1" outline="0" fieldPosition="0">
        <references count="4">
          <reference field="5" count="1">
            <x v="64"/>
          </reference>
          <reference field="8" count="1" selected="0">
            <x v="18"/>
          </reference>
          <reference field="11" count="1" selected="0">
            <x v="3"/>
          </reference>
          <reference field="13" count="1" selected="0">
            <x v="251"/>
          </reference>
        </references>
      </pivotArea>
    </format>
    <format dxfId="4615">
      <pivotArea dataOnly="0" labelOnly="1" outline="0" fieldPosition="0">
        <references count="4">
          <reference field="5" count="1">
            <x v="20"/>
          </reference>
          <reference field="8" count="1" selected="0">
            <x v="18"/>
          </reference>
          <reference field="11" count="1" selected="0">
            <x v="5"/>
          </reference>
          <reference field="13" count="1" selected="0">
            <x v="81"/>
          </reference>
        </references>
      </pivotArea>
    </format>
    <format dxfId="4614">
      <pivotArea dataOnly="0" labelOnly="1" outline="0" fieldPosition="0">
        <references count="4">
          <reference field="5" count="1">
            <x v="20"/>
          </reference>
          <reference field="8" count="1" selected="0">
            <x v="18"/>
          </reference>
          <reference field="11" count="1" selected="0">
            <x v="5"/>
          </reference>
          <reference field="13" count="1" selected="0">
            <x v="255"/>
          </reference>
        </references>
      </pivotArea>
    </format>
    <format dxfId="4613">
      <pivotArea dataOnly="0" labelOnly="1" outline="0" fieldPosition="0">
        <references count="4">
          <reference field="5" count="1">
            <x v="57"/>
          </reference>
          <reference field="8" count="1" selected="0">
            <x v="19"/>
          </reference>
          <reference field="11" count="1" selected="0">
            <x v="1"/>
          </reference>
          <reference field="13" count="1" selected="0">
            <x v="9"/>
          </reference>
        </references>
      </pivotArea>
    </format>
    <format dxfId="4612">
      <pivotArea dataOnly="0" labelOnly="1" outline="0" fieldPosition="0">
        <references count="4">
          <reference field="5" count="1">
            <x v="57"/>
          </reference>
          <reference field="8" count="1" selected="0">
            <x v="19"/>
          </reference>
          <reference field="11" count="1" selected="0">
            <x v="1"/>
          </reference>
          <reference field="13" count="1" selected="0">
            <x v="200"/>
          </reference>
        </references>
      </pivotArea>
    </format>
    <format dxfId="4611">
      <pivotArea dataOnly="0" labelOnly="1" outline="0" fieldPosition="0">
        <references count="4">
          <reference field="5" count="1">
            <x v="57"/>
          </reference>
          <reference field="8" count="1" selected="0">
            <x v="19"/>
          </reference>
          <reference field="11" count="1" selected="0">
            <x v="1"/>
          </reference>
          <reference field="13" count="1" selected="0">
            <x v="230"/>
          </reference>
        </references>
      </pivotArea>
    </format>
    <format dxfId="4610">
      <pivotArea dataOnly="0" labelOnly="1" outline="0" fieldPosition="0">
        <references count="4">
          <reference field="5" count="1">
            <x v="57"/>
          </reference>
          <reference field="8" count="1" selected="0">
            <x v="19"/>
          </reference>
          <reference field="11" count="1" selected="0">
            <x v="1"/>
          </reference>
          <reference field="13" count="1" selected="0">
            <x v="286"/>
          </reference>
        </references>
      </pivotArea>
    </format>
    <format dxfId="4609">
      <pivotArea dataOnly="0" labelOnly="1" outline="0" fieldPosition="0">
        <references count="4">
          <reference field="5" count="2">
            <x v="116"/>
            <x v="117"/>
          </reference>
          <reference field="8" count="1" selected="0">
            <x v="19"/>
          </reference>
          <reference field="11" count="1" selected="0">
            <x v="3"/>
          </reference>
          <reference field="13" count="1" selected="0">
            <x v="29"/>
          </reference>
        </references>
      </pivotArea>
    </format>
    <format dxfId="4608">
      <pivotArea dataOnly="0" labelOnly="1" outline="0" fieldPosition="0">
        <references count="4">
          <reference field="5" count="1">
            <x v="117"/>
          </reference>
          <reference field="8" count="1" selected="0">
            <x v="19"/>
          </reference>
          <reference field="11" count="1" selected="0">
            <x v="3"/>
          </reference>
          <reference field="13" count="1" selected="0">
            <x v="218"/>
          </reference>
        </references>
      </pivotArea>
    </format>
    <format dxfId="4607">
      <pivotArea dataOnly="0" labelOnly="1" outline="0" fieldPosition="0">
        <references count="4">
          <reference field="5" count="1">
            <x v="57"/>
          </reference>
          <reference field="8" count="1" selected="0">
            <x v="19"/>
          </reference>
          <reference field="11" count="1" selected="0">
            <x v="3"/>
          </reference>
          <reference field="13" count="1" selected="0">
            <x v="240"/>
          </reference>
        </references>
      </pivotArea>
    </format>
    <format dxfId="4606">
      <pivotArea dataOnly="0" labelOnly="1" outline="0" fieldPosition="0">
        <references count="4">
          <reference field="5" count="1">
            <x v="57"/>
          </reference>
          <reference field="8" count="1" selected="0">
            <x v="19"/>
          </reference>
          <reference field="11" count="1" selected="0">
            <x v="3"/>
          </reference>
          <reference field="13" count="1" selected="0">
            <x v="242"/>
          </reference>
        </references>
      </pivotArea>
    </format>
    <format dxfId="4605">
      <pivotArea dataOnly="0" labelOnly="1" outline="0" fieldPosition="0">
        <references count="4">
          <reference field="5" count="1">
            <x v="57"/>
          </reference>
          <reference field="8" count="1" selected="0">
            <x v="19"/>
          </reference>
          <reference field="11" count="1" selected="0">
            <x v="3"/>
          </reference>
          <reference field="13" count="1" selected="0">
            <x v="243"/>
          </reference>
        </references>
      </pivotArea>
    </format>
    <format dxfId="4604">
      <pivotArea dataOnly="0" labelOnly="1" outline="0" fieldPosition="0">
        <references count="4">
          <reference field="5" count="1">
            <x v="117"/>
          </reference>
          <reference field="8" count="1" selected="0">
            <x v="19"/>
          </reference>
          <reference field="11" count="1" selected="0">
            <x v="3"/>
          </reference>
          <reference field="13" count="1" selected="0">
            <x v="314"/>
          </reference>
        </references>
      </pivotArea>
    </format>
    <format dxfId="4603">
      <pivotArea dataOnly="0" labelOnly="1" outline="0" fieldPosition="0">
        <references count="4">
          <reference field="5" count="1">
            <x v="64"/>
          </reference>
          <reference field="8" count="1" selected="0">
            <x v="20"/>
          </reference>
          <reference field="11" count="1" selected="0">
            <x v="1"/>
          </reference>
          <reference field="13" count="1" selected="0">
            <x v="214"/>
          </reference>
        </references>
      </pivotArea>
    </format>
    <format dxfId="4602">
      <pivotArea dataOnly="0" labelOnly="1" outline="0" fieldPosition="0">
        <references count="4">
          <reference field="5" count="1">
            <x v="72"/>
          </reference>
          <reference field="8" count="1" selected="0">
            <x v="20"/>
          </reference>
          <reference field="11" count="1" selected="0">
            <x v="3"/>
          </reference>
          <reference field="13" count="1" selected="0">
            <x v="14"/>
          </reference>
        </references>
      </pivotArea>
    </format>
    <format dxfId="4601">
      <pivotArea dataOnly="0" labelOnly="1" outline="0" fieldPosition="0">
        <references count="4">
          <reference field="5" count="1">
            <x v="64"/>
          </reference>
          <reference field="8" count="1" selected="0">
            <x v="20"/>
          </reference>
          <reference field="11" count="1" selected="0">
            <x v="3"/>
          </reference>
          <reference field="13" count="1" selected="0">
            <x v="78"/>
          </reference>
        </references>
      </pivotArea>
    </format>
    <format dxfId="4600">
      <pivotArea dataOnly="0" labelOnly="1" outline="0" fieldPosition="0">
        <references count="4">
          <reference field="5" count="1">
            <x v="64"/>
          </reference>
          <reference field="8" count="1" selected="0">
            <x v="20"/>
          </reference>
          <reference field="11" count="1" selected="0">
            <x v="3"/>
          </reference>
          <reference field="13" count="1" selected="0">
            <x v="240"/>
          </reference>
        </references>
      </pivotArea>
    </format>
    <format dxfId="4599">
      <pivotArea dataOnly="0" labelOnly="1" outline="0" fieldPosition="0">
        <references count="4">
          <reference field="5" count="1">
            <x v="64"/>
          </reference>
          <reference field="8" count="1" selected="0">
            <x v="20"/>
          </reference>
          <reference field="11" count="1" selected="0">
            <x v="3"/>
          </reference>
          <reference field="13" count="1" selected="0">
            <x v="242"/>
          </reference>
        </references>
      </pivotArea>
    </format>
    <format dxfId="4598">
      <pivotArea dataOnly="0" labelOnly="1" outline="0" fieldPosition="0">
        <references count="4">
          <reference field="5" count="1">
            <x v="64"/>
          </reference>
          <reference field="8" count="1" selected="0">
            <x v="20"/>
          </reference>
          <reference field="11" count="1" selected="0">
            <x v="3"/>
          </reference>
          <reference field="13" count="1" selected="0">
            <x v="251"/>
          </reference>
        </references>
      </pivotArea>
    </format>
    <format dxfId="4597">
      <pivotArea dataOnly="0" labelOnly="1" outline="0" fieldPosition="0">
        <references count="4">
          <reference field="5" count="1">
            <x v="64"/>
          </reference>
          <reference field="8" count="1" selected="0">
            <x v="20"/>
          </reference>
          <reference field="11" count="1" selected="0">
            <x v="3"/>
          </reference>
          <reference field="13" count="1" selected="0">
            <x v="287"/>
          </reference>
        </references>
      </pivotArea>
    </format>
    <format dxfId="4596">
      <pivotArea dataOnly="0" labelOnly="1" outline="0" fieldPosition="0">
        <references count="4">
          <reference field="5" count="1">
            <x v="20"/>
          </reference>
          <reference field="8" count="1" selected="0">
            <x v="20"/>
          </reference>
          <reference field="11" count="1" selected="0">
            <x v="5"/>
          </reference>
          <reference field="13" count="1" selected="0">
            <x v="81"/>
          </reference>
        </references>
      </pivotArea>
    </format>
    <format dxfId="4595">
      <pivotArea dataOnly="0" labelOnly="1" outline="0" fieldPosition="0">
        <references count="4">
          <reference field="5" count="1">
            <x v="20"/>
          </reference>
          <reference field="8" count="1" selected="0">
            <x v="20"/>
          </reference>
          <reference field="11" count="1" selected="0">
            <x v="5"/>
          </reference>
          <reference field="13" count="1" selected="0">
            <x v="255"/>
          </reference>
        </references>
      </pivotArea>
    </format>
    <format dxfId="4594">
      <pivotArea dataOnly="0" labelOnly="1" outline="0" fieldPosition="0">
        <references count="4">
          <reference field="5" count="1">
            <x v="64"/>
          </reference>
          <reference field="8" count="1" selected="0">
            <x v="20"/>
          </reference>
          <reference field="11" count="1" selected="0">
            <x v="7"/>
          </reference>
          <reference field="13" count="1" selected="0">
            <x v="8"/>
          </reference>
        </references>
      </pivotArea>
    </format>
    <format dxfId="4593">
      <pivotArea dataOnly="0" labelOnly="1" outline="0" fieldPosition="0">
        <references count="4">
          <reference field="5" count="1">
            <x v="64"/>
          </reference>
          <reference field="8" count="1" selected="0">
            <x v="20"/>
          </reference>
          <reference field="11" count="1" selected="0">
            <x v="7"/>
          </reference>
          <reference field="13" count="1" selected="0">
            <x v="93"/>
          </reference>
        </references>
      </pivotArea>
    </format>
    <format dxfId="4592">
      <pivotArea dataOnly="0" labelOnly="1" outline="0" fieldPosition="0">
        <references count="4">
          <reference field="5" count="1">
            <x v="64"/>
          </reference>
          <reference field="8" count="1" selected="0">
            <x v="20"/>
          </reference>
          <reference field="11" count="1" selected="0">
            <x v="7"/>
          </reference>
          <reference field="13" count="1" selected="0">
            <x v="129"/>
          </reference>
        </references>
      </pivotArea>
    </format>
    <format dxfId="4591">
      <pivotArea dataOnly="0" labelOnly="1" outline="0" fieldPosition="0">
        <references count="4">
          <reference field="5" count="1">
            <x v="64"/>
          </reference>
          <reference field="8" count="1" selected="0">
            <x v="20"/>
          </reference>
          <reference field="11" count="1" selected="0">
            <x v="7"/>
          </reference>
          <reference field="13" count="1" selected="0">
            <x v="308"/>
          </reference>
        </references>
      </pivotArea>
    </format>
    <format dxfId="4590">
      <pivotArea dataOnly="0" labelOnly="1" outline="0" fieldPosition="0">
        <references count="4">
          <reference field="5" count="1">
            <x v="101"/>
          </reference>
          <reference field="8" count="1" selected="0">
            <x v="21"/>
          </reference>
          <reference field="11" count="1" selected="0">
            <x v="1"/>
          </reference>
          <reference field="13" count="1" selected="0">
            <x v="208"/>
          </reference>
        </references>
      </pivotArea>
    </format>
    <format dxfId="4589">
      <pivotArea dataOnly="0" labelOnly="1" outline="0" fieldPosition="0">
        <references count="4">
          <reference field="5" count="1">
            <x v="101"/>
          </reference>
          <reference field="8" count="1" selected="0">
            <x v="21"/>
          </reference>
          <reference field="11" count="1" selected="0">
            <x v="1"/>
          </reference>
          <reference field="13" count="1" selected="0">
            <x v="246"/>
          </reference>
        </references>
      </pivotArea>
    </format>
    <format dxfId="4588">
      <pivotArea dataOnly="0" labelOnly="1" outline="0" fieldPosition="0">
        <references count="4">
          <reference field="5" count="1">
            <x v="45"/>
          </reference>
          <reference field="8" count="1" selected="0">
            <x v="21"/>
          </reference>
          <reference field="11" count="1" selected="0">
            <x v="3"/>
          </reference>
          <reference field="13" count="1" selected="0">
            <x v="4"/>
          </reference>
        </references>
      </pivotArea>
    </format>
    <format dxfId="4587">
      <pivotArea dataOnly="0" labelOnly="1" outline="0" fieldPosition="0">
        <references count="4">
          <reference field="5" count="1">
            <x v="101"/>
          </reference>
          <reference field="8" count="1" selected="0">
            <x v="21"/>
          </reference>
          <reference field="11" count="1" selected="0">
            <x v="3"/>
          </reference>
          <reference field="13" count="1" selected="0">
            <x v="17"/>
          </reference>
        </references>
      </pivotArea>
    </format>
    <format dxfId="4586">
      <pivotArea dataOnly="0" labelOnly="1" outline="0" fieldPosition="0">
        <references count="4">
          <reference field="5" count="1">
            <x v="45"/>
          </reference>
          <reference field="8" count="1" selected="0">
            <x v="21"/>
          </reference>
          <reference field="11" count="1" selected="0">
            <x v="3"/>
          </reference>
          <reference field="13" count="1" selected="0">
            <x v="218"/>
          </reference>
        </references>
      </pivotArea>
    </format>
    <format dxfId="4585">
      <pivotArea dataOnly="0" labelOnly="1" outline="0" fieldPosition="0">
        <references count="4">
          <reference field="5" count="1">
            <x v="101"/>
          </reference>
          <reference field="8" count="1" selected="0">
            <x v="21"/>
          </reference>
          <reference field="11" count="1" selected="0">
            <x v="3"/>
          </reference>
          <reference field="13" count="1" selected="0">
            <x v="242"/>
          </reference>
        </references>
      </pivotArea>
    </format>
    <format dxfId="4584">
      <pivotArea dataOnly="0" labelOnly="1" outline="0" fieldPosition="0">
        <references count="4">
          <reference field="5" count="1">
            <x v="101"/>
          </reference>
          <reference field="8" count="1" selected="0">
            <x v="21"/>
          </reference>
          <reference field="11" count="1" selected="0">
            <x v="3"/>
          </reference>
          <reference field="13" count="1" selected="0">
            <x v="243"/>
          </reference>
        </references>
      </pivotArea>
    </format>
    <format dxfId="4583">
      <pivotArea dataOnly="0" labelOnly="1" outline="0" fieldPosition="0">
        <references count="4">
          <reference field="5" count="1">
            <x v="101"/>
          </reference>
          <reference field="8" count="1" selected="0">
            <x v="21"/>
          </reference>
          <reference field="11" count="1" selected="0">
            <x v="3"/>
          </reference>
          <reference field="13" count="1" selected="0">
            <x v="287"/>
          </reference>
        </references>
      </pivotArea>
    </format>
    <format dxfId="4582">
      <pivotArea dataOnly="0" labelOnly="1" outline="0" fieldPosition="0">
        <references count="4">
          <reference field="5" count="1">
            <x v="101"/>
          </reference>
          <reference field="8" count="1" selected="0">
            <x v="21"/>
          </reference>
          <reference field="11" count="1" selected="0">
            <x v="3"/>
          </reference>
          <reference field="13" count="1" selected="0">
            <x v="305"/>
          </reference>
        </references>
      </pivotArea>
    </format>
    <format dxfId="4581">
      <pivotArea dataOnly="0" labelOnly="1" outline="0" fieldPosition="0">
        <references count="4">
          <reference field="5" count="1">
            <x v="45"/>
          </reference>
          <reference field="8" count="1" selected="0">
            <x v="21"/>
          </reference>
          <reference field="11" count="1" selected="0">
            <x v="3"/>
          </reference>
          <reference field="13" count="1" selected="0">
            <x v="314"/>
          </reference>
        </references>
      </pivotArea>
    </format>
    <format dxfId="4580">
      <pivotArea dataOnly="0" labelOnly="1" outline="0" fieldPosition="0">
        <references count="4">
          <reference field="5" count="3">
            <x v="20"/>
            <x v="45"/>
            <x v="116"/>
          </reference>
          <reference field="8" count="1" selected="0">
            <x v="21"/>
          </reference>
          <reference field="11" count="1" selected="0">
            <x v="5"/>
          </reference>
          <reference field="13" count="1" selected="0">
            <x v="81"/>
          </reference>
        </references>
      </pivotArea>
    </format>
    <format dxfId="4579">
      <pivotArea dataOnly="0" labelOnly="1" outline="0" fieldPosition="0">
        <references count="4">
          <reference field="5" count="1">
            <x v="45"/>
          </reference>
          <reference field="8" count="1" selected="0">
            <x v="21"/>
          </reference>
          <reference field="11" count="1" selected="0">
            <x v="5"/>
          </reference>
          <reference field="13" count="1" selected="0">
            <x v="86"/>
          </reference>
        </references>
      </pivotArea>
    </format>
    <format dxfId="4578">
      <pivotArea dataOnly="0" labelOnly="1" outline="0" fieldPosition="0">
        <references count="4">
          <reference field="5" count="1">
            <x v="101"/>
          </reference>
          <reference field="8" count="1" selected="0">
            <x v="21"/>
          </reference>
          <reference field="11" count="1" selected="0">
            <x v="7"/>
          </reference>
          <reference field="13" count="1" selected="0">
            <x v="93"/>
          </reference>
        </references>
      </pivotArea>
    </format>
    <format dxfId="4577">
      <pivotArea dataOnly="0" labelOnly="1" outline="0" fieldPosition="0">
        <references count="4">
          <reference field="5" count="1">
            <x v="110"/>
          </reference>
          <reference field="8" count="1" selected="0">
            <x v="23"/>
          </reference>
          <reference field="11" count="1" selected="0">
            <x v="2"/>
          </reference>
          <reference field="13" count="1" selected="0">
            <x v="173"/>
          </reference>
        </references>
      </pivotArea>
    </format>
    <format dxfId="4576">
      <pivotArea dataOnly="0" labelOnly="1" outline="0" fieldPosition="0">
        <references count="4">
          <reference field="5" count="1">
            <x v="110"/>
          </reference>
          <reference field="8" count="1" selected="0">
            <x v="23"/>
          </reference>
          <reference field="11" count="1" selected="0">
            <x v="3"/>
          </reference>
          <reference field="13" count="1" selected="0">
            <x v="7"/>
          </reference>
        </references>
      </pivotArea>
    </format>
    <format dxfId="4575">
      <pivotArea dataOnly="0" labelOnly="1" outline="0" fieldPosition="0">
        <references count="4">
          <reference field="5" count="2">
            <x v="110"/>
            <x v="119"/>
          </reference>
          <reference field="8" count="1" selected="0">
            <x v="23"/>
          </reference>
          <reference field="11" count="1" selected="0">
            <x v="3"/>
          </reference>
          <reference field="13" count="1" selected="0">
            <x v="17"/>
          </reference>
        </references>
      </pivotArea>
    </format>
    <format dxfId="4574">
      <pivotArea dataOnly="0" labelOnly="1" outline="0" fieldPosition="0">
        <references count="4">
          <reference field="5" count="1">
            <x v="110"/>
          </reference>
          <reference field="8" count="1" selected="0">
            <x v="23"/>
          </reference>
          <reference field="11" count="1" selected="0">
            <x v="3"/>
          </reference>
          <reference field="13" count="1" selected="0">
            <x v="32"/>
          </reference>
        </references>
      </pivotArea>
    </format>
    <format dxfId="4573">
      <pivotArea dataOnly="0" labelOnly="1" outline="0" fieldPosition="0">
        <references count="4">
          <reference field="5" count="1">
            <x v="110"/>
          </reference>
          <reference field="8" count="1" selected="0">
            <x v="23"/>
          </reference>
          <reference field="11" count="1" selected="0">
            <x v="3"/>
          </reference>
          <reference field="13" count="1" selected="0">
            <x v="69"/>
          </reference>
        </references>
      </pivotArea>
    </format>
    <format dxfId="4572">
      <pivotArea dataOnly="0" labelOnly="1" outline="0" fieldPosition="0">
        <references count="4">
          <reference field="5" count="1">
            <x v="110"/>
          </reference>
          <reference field="8" count="1" selected="0">
            <x v="23"/>
          </reference>
          <reference field="11" count="1" selected="0">
            <x v="3"/>
          </reference>
          <reference field="13" count="1" selected="0">
            <x v="78"/>
          </reference>
        </references>
      </pivotArea>
    </format>
    <format dxfId="4571">
      <pivotArea dataOnly="0" labelOnly="1" outline="0" fieldPosition="0">
        <references count="4">
          <reference field="5" count="2">
            <x v="110"/>
            <x v="119"/>
          </reference>
          <reference field="8" count="1" selected="0">
            <x v="23"/>
          </reference>
          <reference field="11" count="1" selected="0">
            <x v="3"/>
          </reference>
          <reference field="13" count="1" selected="0">
            <x v="92"/>
          </reference>
        </references>
      </pivotArea>
    </format>
    <format dxfId="4570">
      <pivotArea dataOnly="0" labelOnly="1" outline="0" fieldPosition="0">
        <references count="4">
          <reference field="5" count="1">
            <x v="110"/>
          </reference>
          <reference field="8" count="1" selected="0">
            <x v="23"/>
          </reference>
          <reference field="11" count="1" selected="0">
            <x v="3"/>
          </reference>
          <reference field="13" count="1" selected="0">
            <x v="242"/>
          </reference>
        </references>
      </pivotArea>
    </format>
    <format dxfId="4569">
      <pivotArea dataOnly="0" labelOnly="1" outline="0" fieldPosition="0">
        <references count="4">
          <reference field="5" count="1">
            <x v="110"/>
          </reference>
          <reference field="8" count="1" selected="0">
            <x v="23"/>
          </reference>
          <reference field="11" count="1" selected="0">
            <x v="3"/>
          </reference>
          <reference field="13" count="1" selected="0">
            <x v="243"/>
          </reference>
        </references>
      </pivotArea>
    </format>
    <format dxfId="4568">
      <pivotArea dataOnly="0" labelOnly="1" outline="0" fieldPosition="0">
        <references count="4">
          <reference field="5" count="2">
            <x v="116"/>
            <x v="117"/>
          </reference>
          <reference field="8" count="1" selected="0">
            <x v="23"/>
          </reference>
          <reference field="11" count="1" selected="0">
            <x v="3"/>
          </reference>
          <reference field="13" count="1" selected="0">
            <x v="287"/>
          </reference>
        </references>
      </pivotArea>
    </format>
    <format dxfId="4567">
      <pivotArea dataOnly="0" labelOnly="1" outline="0" fieldPosition="0">
        <references count="4">
          <reference field="5" count="1">
            <x v="110"/>
          </reference>
          <reference field="8" count="1" selected="0">
            <x v="23"/>
          </reference>
          <reference field="11" count="1" selected="0">
            <x v="3"/>
          </reference>
          <reference field="13" count="1" selected="0">
            <x v="305"/>
          </reference>
        </references>
      </pivotArea>
    </format>
    <format dxfId="4566">
      <pivotArea dataOnly="0" labelOnly="1" outline="0" fieldPosition="0">
        <references count="4">
          <reference field="5" count="2">
            <x v="20"/>
            <x v="116"/>
          </reference>
          <reference field="8" count="1" selected="0">
            <x v="23"/>
          </reference>
          <reference field="11" count="1" selected="0">
            <x v="5"/>
          </reference>
          <reference field="13" count="1" selected="0">
            <x v="81"/>
          </reference>
        </references>
      </pivotArea>
    </format>
    <format dxfId="4565">
      <pivotArea dataOnly="0" labelOnly="1" outline="0" fieldPosition="0">
        <references count="4">
          <reference field="5" count="1">
            <x v="20"/>
          </reference>
          <reference field="8" count="1" selected="0">
            <x v="23"/>
          </reference>
          <reference field="11" count="1" selected="0">
            <x v="5"/>
          </reference>
          <reference field="13" count="1" selected="0">
            <x v="255"/>
          </reference>
        </references>
      </pivotArea>
    </format>
    <format dxfId="4564">
      <pivotArea dataOnly="0" labelOnly="1" outline="0" fieldPosition="0">
        <references count="4">
          <reference field="5" count="1">
            <x v="64"/>
          </reference>
          <reference field="8" count="1" selected="0">
            <x v="24"/>
          </reference>
          <reference field="11" count="1" selected="0">
            <x v="0"/>
          </reference>
          <reference field="13" count="1" selected="0">
            <x v="185"/>
          </reference>
        </references>
      </pivotArea>
    </format>
    <format dxfId="4563">
      <pivotArea dataOnly="0" labelOnly="1" outline="0" fieldPosition="0">
        <references count="4">
          <reference field="5" count="2">
            <x v="116"/>
            <x v="117"/>
          </reference>
          <reference field="8" count="1" selected="0">
            <x v="24"/>
          </reference>
          <reference field="11" count="1" selected="0">
            <x v="3"/>
          </reference>
          <reference field="13" count="1" selected="0">
            <x v="29"/>
          </reference>
        </references>
      </pivotArea>
    </format>
    <format dxfId="4562">
      <pivotArea dataOnly="0" labelOnly="1" outline="0" fieldPosition="0">
        <references count="4">
          <reference field="5" count="1">
            <x v="117"/>
          </reference>
          <reference field="8" count="1" selected="0">
            <x v="24"/>
          </reference>
          <reference field="11" count="1" selected="0">
            <x v="3"/>
          </reference>
          <reference field="13" count="1" selected="0">
            <x v="218"/>
          </reference>
        </references>
      </pivotArea>
    </format>
    <format dxfId="4561">
      <pivotArea dataOnly="0" labelOnly="1" outline="0" fieldPosition="0">
        <references count="4">
          <reference field="5" count="1">
            <x v="117"/>
          </reference>
          <reference field="8" count="1" selected="0">
            <x v="24"/>
          </reference>
          <reference field="11" count="1" selected="0">
            <x v="3"/>
          </reference>
          <reference field="13" count="1" selected="0">
            <x v="314"/>
          </reference>
        </references>
      </pivotArea>
    </format>
    <format dxfId="4560">
      <pivotArea dataOnly="0" labelOnly="1" outline="0" fieldPosition="0">
        <references count="4">
          <reference field="5" count="1">
            <x v="116"/>
          </reference>
          <reference field="8" count="1" selected="0">
            <x v="24"/>
          </reference>
          <reference field="11" count="1" selected="0">
            <x v="5"/>
          </reference>
          <reference field="13" count="1" selected="0">
            <x v="108"/>
          </reference>
        </references>
      </pivotArea>
    </format>
    <format dxfId="4559">
      <pivotArea dataOnly="0" labelOnly="1" outline="0" fieldPosition="0">
        <references count="4">
          <reference field="5" count="1">
            <x v="64"/>
          </reference>
          <reference field="8" count="1" selected="0">
            <x v="25"/>
          </reference>
          <reference field="11" count="1" selected="0">
            <x v="0"/>
          </reference>
          <reference field="13" count="1" selected="0">
            <x v="185"/>
          </reference>
        </references>
      </pivotArea>
    </format>
    <format dxfId="4558">
      <pivotArea dataOnly="0" labelOnly="1" outline="0" fieldPosition="0">
        <references count="4">
          <reference field="5" count="1">
            <x v="64"/>
          </reference>
          <reference field="8" count="1" selected="0">
            <x v="25"/>
          </reference>
          <reference field="11" count="1" selected="0">
            <x v="1"/>
          </reference>
          <reference field="13" count="1" selected="0">
            <x v="169"/>
          </reference>
        </references>
      </pivotArea>
    </format>
    <format dxfId="4557">
      <pivotArea dataOnly="0" labelOnly="1" outline="0" fieldPosition="0">
        <references count="4">
          <reference field="5" count="2">
            <x v="116"/>
            <x v="117"/>
          </reference>
          <reference field="8" count="1" selected="0">
            <x v="25"/>
          </reference>
          <reference field="11" count="1" selected="0">
            <x v="3"/>
          </reference>
          <reference field="13" count="1" selected="0">
            <x v="29"/>
          </reference>
        </references>
      </pivotArea>
    </format>
    <format dxfId="4556">
      <pivotArea dataOnly="0" labelOnly="1" outline="0" fieldPosition="0">
        <references count="4">
          <reference field="5" count="1">
            <x v="117"/>
          </reference>
          <reference field="8" count="1" selected="0">
            <x v="25"/>
          </reference>
          <reference field="11" count="1" selected="0">
            <x v="3"/>
          </reference>
          <reference field="13" count="1" selected="0">
            <x v="218"/>
          </reference>
        </references>
      </pivotArea>
    </format>
    <format dxfId="4555">
      <pivotArea dataOnly="0" labelOnly="1" outline="0" fieldPosition="0">
        <references count="4">
          <reference field="5" count="1">
            <x v="117"/>
          </reference>
          <reference field="8" count="1" selected="0">
            <x v="25"/>
          </reference>
          <reference field="11" count="1" selected="0">
            <x v="3"/>
          </reference>
          <reference field="13" count="1" selected="0">
            <x v="314"/>
          </reference>
        </references>
      </pivotArea>
    </format>
    <format dxfId="4554">
      <pivotArea dataOnly="0" labelOnly="1" outline="0" fieldPosition="0">
        <references count="4">
          <reference field="5" count="1">
            <x v="116"/>
          </reference>
          <reference field="8" count="1" selected="0">
            <x v="25"/>
          </reference>
          <reference field="11" count="1" selected="0">
            <x v="5"/>
          </reference>
          <reference field="13" count="1" selected="0">
            <x v="112"/>
          </reference>
        </references>
      </pivotArea>
    </format>
    <format dxfId="4553">
      <pivotArea dataOnly="0" labelOnly="1" outline="0" fieldPosition="0">
        <references count="4">
          <reference field="5" count="1">
            <x v="70"/>
          </reference>
          <reference field="8" count="1" selected="0">
            <x v="26"/>
          </reference>
          <reference field="11" count="1" selected="0">
            <x v="1"/>
          </reference>
          <reference field="13" count="1" selected="0">
            <x v="24"/>
          </reference>
        </references>
      </pivotArea>
    </format>
    <format dxfId="4552">
      <pivotArea dataOnly="0" labelOnly="1" outline="0" fieldPosition="0">
        <references count="4">
          <reference field="5" count="1">
            <x v="70"/>
          </reference>
          <reference field="8" count="1" selected="0">
            <x v="26"/>
          </reference>
          <reference field="11" count="1" selected="0">
            <x v="1"/>
          </reference>
          <reference field="13" count="1" selected="0">
            <x v="56"/>
          </reference>
        </references>
      </pivotArea>
    </format>
    <format dxfId="4551">
      <pivotArea dataOnly="0" labelOnly="1" outline="0" fieldPosition="0">
        <references count="4">
          <reference field="5" count="1">
            <x v="70"/>
          </reference>
          <reference field="8" count="1" selected="0">
            <x v="26"/>
          </reference>
          <reference field="11" count="1" selected="0">
            <x v="1"/>
          </reference>
          <reference field="13" count="1" selected="0">
            <x v="65"/>
          </reference>
        </references>
      </pivotArea>
    </format>
    <format dxfId="4550">
      <pivotArea dataOnly="0" labelOnly="1" outline="0" fieldPosition="0">
        <references count="4">
          <reference field="5" count="1">
            <x v="70"/>
          </reference>
          <reference field="8" count="1" selected="0">
            <x v="26"/>
          </reference>
          <reference field="11" count="1" selected="0">
            <x v="1"/>
          </reference>
          <reference field="13" count="1" selected="0">
            <x v="138"/>
          </reference>
        </references>
      </pivotArea>
    </format>
    <format dxfId="4549">
      <pivotArea dataOnly="0" labelOnly="1" outline="0" fieldPosition="0">
        <references count="4">
          <reference field="5" count="1">
            <x v="70"/>
          </reference>
          <reference field="8" count="1" selected="0">
            <x v="26"/>
          </reference>
          <reference field="11" count="1" selected="0">
            <x v="1"/>
          </reference>
          <reference field="13" count="1" selected="0">
            <x v="164"/>
          </reference>
        </references>
      </pivotArea>
    </format>
    <format dxfId="4548">
      <pivotArea dataOnly="0" labelOnly="1" outline="0" fieldPosition="0">
        <references count="4">
          <reference field="5" count="1">
            <x v="70"/>
          </reference>
          <reference field="8" count="1" selected="0">
            <x v="26"/>
          </reference>
          <reference field="11" count="1" selected="0">
            <x v="1"/>
          </reference>
          <reference field="13" count="1" selected="0">
            <x v="167"/>
          </reference>
        </references>
      </pivotArea>
    </format>
    <format dxfId="4547">
      <pivotArea dataOnly="0" labelOnly="1" outline="0" fieldPosition="0">
        <references count="4">
          <reference field="5" count="1">
            <x v="70"/>
          </reference>
          <reference field="8" count="1" selected="0">
            <x v="26"/>
          </reference>
          <reference field="11" count="1" selected="0">
            <x v="1"/>
          </reference>
          <reference field="13" count="1" selected="0">
            <x v="181"/>
          </reference>
        </references>
      </pivotArea>
    </format>
    <format dxfId="4546">
      <pivotArea dataOnly="0" labelOnly="1" outline="0" fieldPosition="0">
        <references count="4">
          <reference field="5" count="1">
            <x v="70"/>
          </reference>
          <reference field="8" count="1" selected="0">
            <x v="26"/>
          </reference>
          <reference field="11" count="1" selected="0">
            <x v="1"/>
          </reference>
          <reference field="13" count="1" selected="0">
            <x v="187"/>
          </reference>
        </references>
      </pivotArea>
    </format>
    <format dxfId="4545">
      <pivotArea dataOnly="0" labelOnly="1" outline="0" fieldPosition="0">
        <references count="4">
          <reference field="5" count="1">
            <x v="70"/>
          </reference>
          <reference field="8" count="1" selected="0">
            <x v="26"/>
          </reference>
          <reference field="11" count="1" selected="0">
            <x v="1"/>
          </reference>
          <reference field="13" count="1" selected="0">
            <x v="193"/>
          </reference>
        </references>
      </pivotArea>
    </format>
    <format dxfId="4544">
      <pivotArea dataOnly="0" labelOnly="1" outline="0" fieldPosition="0">
        <references count="4">
          <reference field="5" count="1">
            <x v="70"/>
          </reference>
          <reference field="8" count="1" selected="0">
            <x v="26"/>
          </reference>
          <reference field="11" count="1" selected="0">
            <x v="1"/>
          </reference>
          <reference field="13" count="1" selected="0">
            <x v="195"/>
          </reference>
        </references>
      </pivotArea>
    </format>
    <format dxfId="4543">
      <pivotArea dataOnly="0" labelOnly="1" outline="0" fieldPosition="0">
        <references count="4">
          <reference field="5" count="1">
            <x v="70"/>
          </reference>
          <reference field="8" count="1" selected="0">
            <x v="26"/>
          </reference>
          <reference field="11" count="1" selected="0">
            <x v="1"/>
          </reference>
          <reference field="13" count="1" selected="0">
            <x v="196"/>
          </reference>
        </references>
      </pivotArea>
    </format>
    <format dxfId="4542">
      <pivotArea dataOnly="0" labelOnly="1" outline="0" fieldPosition="0">
        <references count="4">
          <reference field="5" count="1">
            <x v="70"/>
          </reference>
          <reference field="8" count="1" selected="0">
            <x v="26"/>
          </reference>
          <reference field="11" count="1" selected="0">
            <x v="1"/>
          </reference>
          <reference field="13" count="1" selected="0">
            <x v="202"/>
          </reference>
        </references>
      </pivotArea>
    </format>
    <format dxfId="4541">
      <pivotArea dataOnly="0" labelOnly="1" outline="0" fieldPosition="0">
        <references count="4">
          <reference field="5" count="1">
            <x v="70"/>
          </reference>
          <reference field="8" count="1" selected="0">
            <x v="26"/>
          </reference>
          <reference field="11" count="1" selected="0">
            <x v="1"/>
          </reference>
          <reference field="13" count="1" selected="0">
            <x v="220"/>
          </reference>
        </references>
      </pivotArea>
    </format>
    <format dxfId="4540">
      <pivotArea dataOnly="0" labelOnly="1" outline="0" fieldPosition="0">
        <references count="4">
          <reference field="5" count="1">
            <x v="70"/>
          </reference>
          <reference field="8" count="1" selected="0">
            <x v="26"/>
          </reference>
          <reference field="11" count="1" selected="0">
            <x v="1"/>
          </reference>
          <reference field="13" count="1" selected="0">
            <x v="228"/>
          </reference>
        </references>
      </pivotArea>
    </format>
    <format dxfId="4539">
      <pivotArea dataOnly="0" labelOnly="1" outline="0" fieldPosition="0">
        <references count="4">
          <reference field="5" count="1">
            <x v="70"/>
          </reference>
          <reference field="8" count="1" selected="0">
            <x v="26"/>
          </reference>
          <reference field="11" count="1" selected="0">
            <x v="1"/>
          </reference>
          <reference field="13" count="1" selected="0">
            <x v="237"/>
          </reference>
        </references>
      </pivotArea>
    </format>
    <format dxfId="4538">
      <pivotArea dataOnly="0" labelOnly="1" outline="0" fieldPosition="0">
        <references count="4">
          <reference field="5" count="1">
            <x v="70"/>
          </reference>
          <reference field="8" count="1" selected="0">
            <x v="26"/>
          </reference>
          <reference field="11" count="1" selected="0">
            <x v="1"/>
          </reference>
          <reference field="13" count="1" selected="0">
            <x v="269"/>
          </reference>
        </references>
      </pivotArea>
    </format>
    <format dxfId="4537">
      <pivotArea dataOnly="0" labelOnly="1" outline="0" fieldPosition="0">
        <references count="4">
          <reference field="5" count="1">
            <x v="70"/>
          </reference>
          <reference field="8" count="1" selected="0">
            <x v="26"/>
          </reference>
          <reference field="11" count="1" selected="0">
            <x v="1"/>
          </reference>
          <reference field="13" count="1" selected="0">
            <x v="286"/>
          </reference>
        </references>
      </pivotArea>
    </format>
    <format dxfId="4536">
      <pivotArea dataOnly="0" labelOnly="1" outline="0" fieldPosition="0">
        <references count="4">
          <reference field="5" count="1">
            <x v="70"/>
          </reference>
          <reference field="8" count="1" selected="0">
            <x v="26"/>
          </reference>
          <reference field="11" count="1" selected="0">
            <x v="1"/>
          </reference>
          <reference field="13" count="1" selected="0">
            <x v="315"/>
          </reference>
        </references>
      </pivotArea>
    </format>
    <format dxfId="4535">
      <pivotArea dataOnly="0" labelOnly="1" outline="0" fieldPosition="0">
        <references count="4">
          <reference field="5" count="2">
            <x v="70"/>
            <x v="119"/>
          </reference>
          <reference field="8" count="1" selected="0">
            <x v="26"/>
          </reference>
          <reference field="11" count="1" selected="0">
            <x v="3"/>
          </reference>
          <reference field="13" count="1" selected="0">
            <x v="17"/>
          </reference>
        </references>
      </pivotArea>
    </format>
    <format dxfId="4534">
      <pivotArea dataOnly="0" labelOnly="1" outline="0" fieldPosition="0">
        <references count="4">
          <reference field="5" count="1">
            <x v="70"/>
          </reference>
          <reference field="8" count="1" selected="0">
            <x v="26"/>
          </reference>
          <reference field="11" count="1" selected="0">
            <x v="3"/>
          </reference>
          <reference field="13" count="1" selected="0">
            <x v="32"/>
          </reference>
        </references>
      </pivotArea>
    </format>
    <format dxfId="4533">
      <pivotArea dataOnly="0" labelOnly="1" outline="0" fieldPosition="0">
        <references count="4">
          <reference field="5" count="1">
            <x v="70"/>
          </reference>
          <reference field="8" count="1" selected="0">
            <x v="26"/>
          </reference>
          <reference field="11" count="1" selected="0">
            <x v="3"/>
          </reference>
          <reference field="13" count="1" selected="0">
            <x v="78"/>
          </reference>
        </references>
      </pivotArea>
    </format>
    <format dxfId="4532">
      <pivotArea dataOnly="0" labelOnly="1" outline="0" fieldPosition="0">
        <references count="4">
          <reference field="5" count="1">
            <x v="70"/>
          </reference>
          <reference field="8" count="1" selected="0">
            <x v="26"/>
          </reference>
          <reference field="11" count="1" selected="0">
            <x v="3"/>
          </reference>
          <reference field="13" count="1" selected="0">
            <x v="240"/>
          </reference>
        </references>
      </pivotArea>
    </format>
    <format dxfId="4531">
      <pivotArea dataOnly="0" labelOnly="1" outline="0" fieldPosition="0">
        <references count="4">
          <reference field="5" count="1">
            <x v="70"/>
          </reference>
          <reference field="8" count="1" selected="0">
            <x v="26"/>
          </reference>
          <reference field="11" count="1" selected="0">
            <x v="3"/>
          </reference>
          <reference field="13" count="1" selected="0">
            <x v="242"/>
          </reference>
        </references>
      </pivotArea>
    </format>
    <format dxfId="4530">
      <pivotArea dataOnly="0" labelOnly="1" outline="0" fieldPosition="0">
        <references count="4">
          <reference field="5" count="1">
            <x v="70"/>
          </reference>
          <reference field="8" count="1" selected="0">
            <x v="26"/>
          </reference>
          <reference field="11" count="1" selected="0">
            <x v="3"/>
          </reference>
          <reference field="13" count="1" selected="0">
            <x v="243"/>
          </reference>
        </references>
      </pivotArea>
    </format>
    <format dxfId="4529">
      <pivotArea dataOnly="0" labelOnly="1" outline="0" fieldPosition="0">
        <references count="4">
          <reference field="5" count="1">
            <x v="70"/>
          </reference>
          <reference field="8" count="1" selected="0">
            <x v="26"/>
          </reference>
          <reference field="11" count="1" selected="0">
            <x v="3"/>
          </reference>
          <reference field="13" count="1" selected="0">
            <x v="251"/>
          </reference>
        </references>
      </pivotArea>
    </format>
    <format dxfId="4528">
      <pivotArea dataOnly="0" labelOnly="1" outline="0" fieldPosition="0">
        <references count="4">
          <reference field="5" count="1">
            <x v="70"/>
          </reference>
          <reference field="8" count="1" selected="0">
            <x v="26"/>
          </reference>
          <reference field="11" count="1" selected="0">
            <x v="3"/>
          </reference>
          <reference field="13" count="1" selected="0">
            <x v="287"/>
          </reference>
        </references>
      </pivotArea>
    </format>
    <format dxfId="4527">
      <pivotArea dataOnly="0" labelOnly="1" outline="0" fieldPosition="0">
        <references count="4">
          <reference field="5" count="1">
            <x v="70"/>
          </reference>
          <reference field="8" count="1" selected="0">
            <x v="26"/>
          </reference>
          <reference field="11" count="1" selected="0">
            <x v="3"/>
          </reference>
          <reference field="13" count="1" selected="0">
            <x v="305"/>
          </reference>
        </references>
      </pivotArea>
    </format>
    <format dxfId="4526">
      <pivotArea dataOnly="0" labelOnly="1" outline="0" fieldPosition="0">
        <references count="4">
          <reference field="5" count="1">
            <x v="70"/>
          </reference>
          <reference field="8" count="1" selected="0">
            <x v="26"/>
          </reference>
          <reference field="11" count="1" selected="0">
            <x v="4"/>
          </reference>
          <reference field="13" count="1" selected="0">
            <x v="280"/>
          </reference>
        </references>
      </pivotArea>
    </format>
    <format dxfId="4525">
      <pivotArea dataOnly="0" labelOnly="1" outline="0" fieldPosition="0">
        <references count="4">
          <reference field="5" count="2">
            <x v="20"/>
            <x v="116"/>
          </reference>
          <reference field="8" count="1" selected="0">
            <x v="26"/>
          </reference>
          <reference field="11" count="1" selected="0">
            <x v="5"/>
          </reference>
          <reference field="13" count="1" selected="0">
            <x v="81"/>
          </reference>
        </references>
      </pivotArea>
    </format>
    <format dxfId="4524">
      <pivotArea dataOnly="0" labelOnly="1" outline="0" fieldPosition="0">
        <references count="4">
          <reference field="5" count="1">
            <x v="70"/>
          </reference>
          <reference field="8" count="1" selected="0">
            <x v="26"/>
          </reference>
          <reference field="11" count="1" selected="0">
            <x v="5"/>
          </reference>
          <reference field="13" count="1" selected="0">
            <x v="96"/>
          </reference>
        </references>
      </pivotArea>
    </format>
    <format dxfId="4523">
      <pivotArea dataOnly="0" labelOnly="1" outline="0" fieldPosition="0">
        <references count="4">
          <reference field="5" count="1">
            <x v="20"/>
          </reference>
          <reference field="8" count="1" selected="0">
            <x v="26"/>
          </reference>
          <reference field="11" count="1" selected="0">
            <x v="5"/>
          </reference>
          <reference field="13" count="1" selected="0">
            <x v="255"/>
          </reference>
        </references>
      </pivotArea>
    </format>
    <format dxfId="4522">
      <pivotArea dataOnly="0" labelOnly="1" outline="0" fieldPosition="0">
        <references count="4">
          <reference field="5" count="1">
            <x v="70"/>
          </reference>
          <reference field="8" count="1" selected="0">
            <x v="26"/>
          </reference>
          <reference field="11" count="1" selected="0">
            <x v="7"/>
          </reference>
          <reference field="13" count="1" selected="0">
            <x v="129"/>
          </reference>
        </references>
      </pivotArea>
    </format>
    <format dxfId="4521">
      <pivotArea dataOnly="0" labelOnly="1" outline="0" fieldPosition="0">
        <references count="4">
          <reference field="5" count="1">
            <x v="73"/>
          </reference>
          <reference field="8" count="1" selected="0">
            <x v="27"/>
          </reference>
          <reference field="11" count="1" selected="0">
            <x v="3"/>
          </reference>
          <reference field="13" count="1" selected="0">
            <x v="57"/>
          </reference>
        </references>
      </pivotArea>
    </format>
    <format dxfId="4520">
      <pivotArea dataOnly="0" labelOnly="1" outline="0" fieldPosition="0">
        <references count="4">
          <reference field="5" count="1">
            <x v="73"/>
          </reference>
          <reference field="8" count="1" selected="0">
            <x v="27"/>
          </reference>
          <reference field="11" count="1" selected="0">
            <x v="3"/>
          </reference>
          <reference field="13" count="1" selected="0">
            <x v="287"/>
          </reference>
        </references>
      </pivotArea>
    </format>
    <format dxfId="4519">
      <pivotArea dataOnly="0" labelOnly="1" outline="0" fieldPosition="0">
        <references count="4">
          <reference field="5" count="1">
            <x v="73"/>
          </reference>
          <reference field="8" count="1" selected="0">
            <x v="27"/>
          </reference>
          <reference field="11" count="1" selected="0">
            <x v="4"/>
          </reference>
          <reference field="13" count="1" selected="0">
            <x v="133"/>
          </reference>
        </references>
      </pivotArea>
    </format>
    <format dxfId="4518">
      <pivotArea dataOnly="0" labelOnly="1" outline="0" fieldPosition="0">
        <references count="4">
          <reference field="5" count="1">
            <x v="73"/>
          </reference>
          <reference field="8" count="1" selected="0">
            <x v="27"/>
          </reference>
          <reference field="11" count="1" selected="0">
            <x v="7"/>
          </reference>
          <reference field="13" count="1" selected="0">
            <x v="72"/>
          </reference>
        </references>
      </pivotArea>
    </format>
    <format dxfId="4517">
      <pivotArea dataOnly="0" labelOnly="1" outline="0" fieldPosition="0">
        <references count="4">
          <reference field="5" count="1">
            <x v="53"/>
          </reference>
          <reference field="8" count="1" selected="0">
            <x v="28"/>
          </reference>
          <reference field="11" count="1" selected="0">
            <x v="1"/>
          </reference>
          <reference field="13" count="1" selected="0">
            <x v="0"/>
          </reference>
        </references>
      </pivotArea>
    </format>
    <format dxfId="4516">
      <pivotArea dataOnly="0" labelOnly="1" outline="0" fieldPosition="0">
        <references count="4">
          <reference field="5" count="1">
            <x v="53"/>
          </reference>
          <reference field="8" count="1" selected="0">
            <x v="28"/>
          </reference>
          <reference field="11" count="1" selected="0">
            <x v="3"/>
          </reference>
          <reference field="13" count="1" selected="0">
            <x v="17"/>
          </reference>
        </references>
      </pivotArea>
    </format>
    <format dxfId="4515">
      <pivotArea dataOnly="0" labelOnly="1" outline="0" fieldPosition="0">
        <references count="4">
          <reference field="5" count="1">
            <x v="53"/>
          </reference>
          <reference field="8" count="1" selected="0">
            <x v="28"/>
          </reference>
          <reference field="11" count="1" selected="0">
            <x v="3"/>
          </reference>
          <reference field="13" count="1" selected="0">
            <x v="242"/>
          </reference>
        </references>
      </pivotArea>
    </format>
    <format dxfId="4514">
      <pivotArea dataOnly="0" labelOnly="1" outline="0" fieldPosition="0">
        <references count="4">
          <reference field="5" count="1">
            <x v="53"/>
          </reference>
          <reference field="8" count="1" selected="0">
            <x v="28"/>
          </reference>
          <reference field="11" count="1" selected="0">
            <x v="3"/>
          </reference>
          <reference field="13" count="1" selected="0">
            <x v="243"/>
          </reference>
        </references>
      </pivotArea>
    </format>
    <format dxfId="4513">
      <pivotArea dataOnly="0" labelOnly="1" outline="0" fieldPosition="0">
        <references count="4">
          <reference field="5" count="1">
            <x v="53"/>
          </reference>
          <reference field="8" count="1" selected="0">
            <x v="28"/>
          </reference>
          <reference field="11" count="1" selected="0">
            <x v="3"/>
          </reference>
          <reference field="13" count="1" selected="0">
            <x v="287"/>
          </reference>
        </references>
      </pivotArea>
    </format>
    <format dxfId="4512">
      <pivotArea dataOnly="0" labelOnly="1" outline="0" fieldPosition="0">
        <references count="4">
          <reference field="5" count="2">
            <x v="20"/>
            <x v="116"/>
          </reference>
          <reference field="8" count="1" selected="0">
            <x v="28"/>
          </reference>
          <reference field="11" count="1" selected="0">
            <x v="5"/>
          </reference>
          <reference field="13" count="1" selected="0">
            <x v="81"/>
          </reference>
        </references>
      </pivotArea>
    </format>
    <format dxfId="4511">
      <pivotArea dataOnly="0" labelOnly="1" outline="0" fieldPosition="0">
        <references count="4">
          <reference field="5" count="1">
            <x v="53"/>
          </reference>
          <reference field="8" count="1" selected="0">
            <x v="28"/>
          </reference>
          <reference field="11" count="1" selected="0">
            <x v="7"/>
          </reference>
          <reference field="13" count="1" selected="0">
            <x v="72"/>
          </reference>
        </references>
      </pivotArea>
    </format>
    <format dxfId="4510">
      <pivotArea dataOnly="0" labelOnly="1" outline="0" fieldPosition="0">
        <references count="4">
          <reference field="5" count="1">
            <x v="70"/>
          </reference>
          <reference field="8" count="1" selected="0">
            <x v="29"/>
          </reference>
          <reference field="11" count="1" selected="0">
            <x v="1"/>
          </reference>
          <reference field="13" count="1" selected="0">
            <x v="167"/>
          </reference>
        </references>
      </pivotArea>
    </format>
    <format dxfId="4509">
      <pivotArea dataOnly="0" labelOnly="1" outline="0" fieldPosition="0">
        <references count="4">
          <reference field="5" count="4">
            <x v="60"/>
            <x v="116"/>
            <x v="119"/>
            <x v="120"/>
          </reference>
          <reference field="8" count="1" selected="0">
            <x v="29"/>
          </reference>
          <reference field="11" count="1" selected="0">
            <x v="1"/>
          </reference>
          <reference field="13" count="1" selected="0">
            <x v="286"/>
          </reference>
        </references>
      </pivotArea>
    </format>
    <format dxfId="4508">
      <pivotArea dataOnly="0" labelOnly="1" outline="0" fieldPosition="0">
        <references count="4">
          <reference field="5" count="1">
            <x v="70"/>
          </reference>
          <reference field="8" count="1" selected="0">
            <x v="29"/>
          </reference>
          <reference field="11" count="1" selected="0">
            <x v="2"/>
          </reference>
          <reference field="13" count="1" selected="0">
            <x v="173"/>
          </reference>
        </references>
      </pivotArea>
    </format>
    <format dxfId="4507">
      <pivotArea dataOnly="0" labelOnly="1" outline="0" fieldPosition="0">
        <references count="4">
          <reference field="5" count="1">
            <x v="70"/>
          </reference>
          <reference field="8" count="1" selected="0">
            <x v="29"/>
          </reference>
          <reference field="11" count="1" selected="0">
            <x v="3"/>
          </reference>
          <reference field="13" count="1" selected="0">
            <x v="69"/>
          </reference>
        </references>
      </pivotArea>
    </format>
    <format dxfId="4506">
      <pivotArea dataOnly="0" labelOnly="1" outline="0" fieldPosition="0">
        <references count="4">
          <reference field="5" count="6">
            <x v="60"/>
            <x v="70"/>
            <x v="116"/>
            <x v="119"/>
            <x v="120"/>
            <x v="121"/>
          </reference>
          <reference field="8" count="1" selected="0">
            <x v="29"/>
          </reference>
          <reference field="11" count="1" selected="0">
            <x v="3"/>
          </reference>
          <reference field="13" count="1" selected="0">
            <x v="78"/>
          </reference>
        </references>
      </pivotArea>
    </format>
    <format dxfId="4505">
      <pivotArea dataOnly="0" labelOnly="1" outline="0" fieldPosition="0">
        <references count="4">
          <reference field="5" count="1">
            <x v="56"/>
          </reference>
          <reference field="8" count="1" selected="0">
            <x v="29"/>
          </reference>
          <reference field="11" count="1" selected="0">
            <x v="3"/>
          </reference>
          <reference field="13" count="1" selected="0">
            <x v="239"/>
          </reference>
        </references>
      </pivotArea>
    </format>
    <format dxfId="4504">
      <pivotArea dataOnly="0" labelOnly="1" outline="0" fieldPosition="0">
        <references count="4">
          <reference field="5" count="1">
            <x v="60"/>
          </reference>
          <reference field="8" count="1" selected="0">
            <x v="29"/>
          </reference>
          <reference field="11" count="1" selected="0">
            <x v="3"/>
          </reference>
          <reference field="13" count="1" selected="0">
            <x v="240"/>
          </reference>
        </references>
      </pivotArea>
    </format>
    <format dxfId="4503">
      <pivotArea dataOnly="0" labelOnly="1" outline="0" fieldPosition="0">
        <references count="4">
          <reference field="5" count="2">
            <x v="60"/>
            <x v="61"/>
          </reference>
          <reference field="8" count="1" selected="0">
            <x v="29"/>
          </reference>
          <reference field="11" count="1" selected="0">
            <x v="3"/>
          </reference>
          <reference field="13" count="1" selected="0">
            <x v="242"/>
          </reference>
        </references>
      </pivotArea>
    </format>
    <format dxfId="4502">
      <pivotArea dataOnly="0" labelOnly="1" outline="0" fieldPosition="0">
        <references count="4">
          <reference field="5" count="1">
            <x v="60"/>
          </reference>
          <reference field="8" count="1" selected="0">
            <x v="29"/>
          </reference>
          <reference field="11" count="1" selected="0">
            <x v="3"/>
          </reference>
          <reference field="13" count="1" selected="0">
            <x v="243"/>
          </reference>
        </references>
      </pivotArea>
    </format>
    <format dxfId="4501">
      <pivotArea dataOnly="0" labelOnly="1" outline="0" fieldPosition="0">
        <references count="4">
          <reference field="5" count="1">
            <x v="0"/>
          </reference>
          <reference field="8" count="1" selected="0">
            <x v="29"/>
          </reference>
          <reference field="11" count="1" selected="0">
            <x v="3"/>
          </reference>
          <reference field="13" count="1" selected="0">
            <x v="259"/>
          </reference>
        </references>
      </pivotArea>
    </format>
    <format dxfId="4500">
      <pivotArea dataOnly="0" labelOnly="1" outline="0" fieldPosition="0">
        <references count="4">
          <reference field="5" count="1">
            <x v="60"/>
          </reference>
          <reference field="8" count="1" selected="0">
            <x v="29"/>
          </reference>
          <reference field="11" count="1" selected="0">
            <x v="3"/>
          </reference>
          <reference field="13" count="1" selected="0">
            <x v="287"/>
          </reference>
        </references>
      </pivotArea>
    </format>
    <format dxfId="4499">
      <pivotArea dataOnly="0" labelOnly="1" outline="0" fieldPosition="0">
        <references count="4">
          <reference field="5" count="1">
            <x v="56"/>
          </reference>
          <reference field="8" count="1" selected="0">
            <x v="29"/>
          </reference>
          <reference field="11" count="1" selected="0">
            <x v="3"/>
          </reference>
          <reference field="13" count="1" selected="0">
            <x v="317"/>
          </reference>
        </references>
      </pivotArea>
    </format>
    <format dxfId="4498">
      <pivotArea dataOnly="0" labelOnly="1" outline="0" fieldPosition="0">
        <references count="4">
          <reference field="5" count="1">
            <x v="0"/>
          </reference>
          <reference field="8" count="1" selected="0">
            <x v="29"/>
          </reference>
          <reference field="11" count="1" selected="0">
            <x v="3"/>
          </reference>
          <reference field="13" count="1" selected="0">
            <x v="320"/>
          </reference>
        </references>
      </pivotArea>
    </format>
    <format dxfId="4497">
      <pivotArea dataOnly="0" labelOnly="1" outline="0" fieldPosition="0">
        <references count="4">
          <reference field="5" count="1">
            <x v="70"/>
          </reference>
          <reference field="8" count="1" selected="0">
            <x v="29"/>
          </reference>
          <reference field="11" count="1" selected="0">
            <x v="4"/>
          </reference>
          <reference field="13" count="1" selected="0">
            <x v="280"/>
          </reference>
        </references>
      </pivotArea>
    </format>
    <format dxfId="4496">
      <pivotArea dataOnly="0" labelOnly="1" outline="0" fieldPosition="0">
        <references count="4">
          <reference field="5" count="2">
            <x v="20"/>
            <x v="116"/>
          </reference>
          <reference field="8" count="1" selected="0">
            <x v="29"/>
          </reference>
          <reference field="11" count="1" selected="0">
            <x v="5"/>
          </reference>
          <reference field="13" count="1" selected="0">
            <x v="81"/>
          </reference>
        </references>
      </pivotArea>
    </format>
    <format dxfId="4495">
      <pivotArea dataOnly="0" labelOnly="1" outline="0" fieldPosition="0">
        <references count="4">
          <reference field="5" count="1">
            <x v="60"/>
          </reference>
          <reference field="8" count="1" selected="0">
            <x v="29"/>
          </reference>
          <reference field="11" count="1" selected="0">
            <x v="5"/>
          </reference>
          <reference field="13" count="1" selected="0">
            <x v="96"/>
          </reference>
        </references>
      </pivotArea>
    </format>
    <format dxfId="4494">
      <pivotArea dataOnly="0" labelOnly="1" outline="0" fieldPosition="0">
        <references count="4">
          <reference field="5" count="1">
            <x v="60"/>
          </reference>
          <reference field="8" count="1" selected="0">
            <x v="29"/>
          </reference>
          <reference field="11" count="1" selected="0">
            <x v="7"/>
          </reference>
          <reference field="13" count="1" selected="0">
            <x v="72"/>
          </reference>
        </references>
      </pivotArea>
    </format>
    <format dxfId="4493">
      <pivotArea dataOnly="0" labelOnly="1" outline="0" fieldPosition="0">
        <references count="4">
          <reference field="5" count="2">
            <x v="116"/>
            <x v="117"/>
          </reference>
          <reference field="8" count="1" selected="0">
            <x v="30"/>
          </reference>
          <reference field="11" count="1" selected="0">
            <x v="3"/>
          </reference>
          <reference field="13" count="1" selected="0">
            <x v="29"/>
          </reference>
        </references>
      </pivotArea>
    </format>
    <format dxfId="4492">
      <pivotArea dataOnly="0" labelOnly="1" outline="0" fieldPosition="0">
        <references count="4">
          <reference field="5" count="1">
            <x v="117"/>
          </reference>
          <reference field="8" count="1" selected="0">
            <x v="30"/>
          </reference>
          <reference field="11" count="1" selected="0">
            <x v="3"/>
          </reference>
          <reference field="13" count="1" selected="0">
            <x v="218"/>
          </reference>
        </references>
      </pivotArea>
    </format>
    <format dxfId="4491">
      <pivotArea dataOnly="0" labelOnly="1" outline="0" fieldPosition="0">
        <references count="4">
          <reference field="5" count="1">
            <x v="95"/>
          </reference>
          <reference field="8" count="1" selected="0">
            <x v="30"/>
          </reference>
          <reference field="11" count="1" selected="0">
            <x v="3"/>
          </reference>
          <reference field="13" count="1" selected="0">
            <x v="287"/>
          </reference>
        </references>
      </pivotArea>
    </format>
    <format dxfId="4490">
      <pivotArea dataOnly="0" labelOnly="1" outline="0" fieldPosition="0">
        <references count="4">
          <reference field="5" count="1">
            <x v="117"/>
          </reference>
          <reference field="8" count="1" selected="0">
            <x v="30"/>
          </reference>
          <reference field="11" count="1" selected="0">
            <x v="3"/>
          </reference>
          <reference field="13" count="1" selected="0">
            <x v="314"/>
          </reference>
        </references>
      </pivotArea>
    </format>
    <format dxfId="4489">
      <pivotArea dataOnly="0" labelOnly="1" outline="0" fieldPosition="0">
        <references count="4">
          <reference field="5" count="1">
            <x v="95"/>
          </reference>
          <reference field="8" count="1" selected="0">
            <x v="30"/>
          </reference>
          <reference field="11" count="1" selected="0">
            <x v="6"/>
          </reference>
          <reference field="13" count="1" selected="0">
            <x v="207"/>
          </reference>
        </references>
      </pivotArea>
    </format>
    <format dxfId="4488">
      <pivotArea dataOnly="0" labelOnly="1" outline="0" fieldPosition="0">
        <references count="4">
          <reference field="5" count="1">
            <x v="103"/>
          </reference>
          <reference field="8" count="1" selected="0">
            <x v="31"/>
          </reference>
          <reference field="11" count="1" selected="0">
            <x v="3"/>
          </reference>
          <reference field="13" count="1" selected="0">
            <x v="7"/>
          </reference>
        </references>
      </pivotArea>
    </format>
    <format dxfId="4487">
      <pivotArea dataOnly="0" labelOnly="1" outline="0" fieldPosition="0">
        <references count="4">
          <reference field="5" count="1">
            <x v="103"/>
          </reference>
          <reference field="8" count="1" selected="0">
            <x v="31"/>
          </reference>
          <reference field="11" count="1" selected="0">
            <x v="3"/>
          </reference>
          <reference field="13" count="1" selected="0">
            <x v="57"/>
          </reference>
        </references>
      </pivotArea>
    </format>
    <format dxfId="4486">
      <pivotArea dataOnly="0" labelOnly="1" outline="0" fieldPosition="0">
        <references count="4">
          <reference field="5" count="1">
            <x v="103"/>
          </reference>
          <reference field="8" count="1" selected="0">
            <x v="31"/>
          </reference>
          <reference field="11" count="1" selected="0">
            <x v="3"/>
          </reference>
          <reference field="13" count="1" selected="0">
            <x v="287"/>
          </reference>
        </references>
      </pivotArea>
    </format>
    <format dxfId="4485">
      <pivotArea dataOnly="0" labelOnly="1" outline="0" fieldPosition="0">
        <references count="4">
          <reference field="5" count="1">
            <x v="103"/>
          </reference>
          <reference field="8" count="1" selected="0">
            <x v="31"/>
          </reference>
          <reference field="11" count="1" selected="0">
            <x v="7"/>
          </reference>
          <reference field="13" count="1" selected="0">
            <x v="93"/>
          </reference>
        </references>
      </pivotArea>
    </format>
    <format dxfId="4484">
      <pivotArea dataOnly="0" labelOnly="1" outline="0" fieldPosition="0">
        <references count="4">
          <reference field="5" count="1">
            <x v="101"/>
          </reference>
          <reference field="8" count="1" selected="0">
            <x v="32"/>
          </reference>
          <reference field="11" count="1" selected="0">
            <x v="3"/>
          </reference>
          <reference field="13" count="1" selected="0">
            <x v="32"/>
          </reference>
        </references>
      </pivotArea>
    </format>
    <format dxfId="4483">
      <pivotArea dataOnly="0" labelOnly="1" outline="0" fieldPosition="0">
        <references count="4">
          <reference field="5" count="1">
            <x v="101"/>
          </reference>
          <reference field="8" count="1" selected="0">
            <x v="32"/>
          </reference>
          <reference field="11" count="1" selected="0">
            <x v="3"/>
          </reference>
          <reference field="13" count="1" selected="0">
            <x v="242"/>
          </reference>
        </references>
      </pivotArea>
    </format>
    <format dxfId="4482">
      <pivotArea dataOnly="0" labelOnly="1" outline="0" fieldPosition="0">
        <references count="4">
          <reference field="5" count="1">
            <x v="101"/>
          </reference>
          <reference field="8" count="1" selected="0">
            <x v="32"/>
          </reference>
          <reference field="11" count="1" selected="0">
            <x v="3"/>
          </reference>
          <reference field="13" count="1" selected="0">
            <x v="243"/>
          </reference>
        </references>
      </pivotArea>
    </format>
    <format dxfId="4481">
      <pivotArea dataOnly="0" labelOnly="1" outline="0" fieldPosition="0">
        <references count="4">
          <reference field="5" count="1">
            <x v="116"/>
          </reference>
          <reference field="8" count="1" selected="0">
            <x v="32"/>
          </reference>
          <reference field="11" count="1" selected="0">
            <x v="5"/>
          </reference>
          <reference field="13" count="1" selected="0">
            <x v="166"/>
          </reference>
        </references>
      </pivotArea>
    </format>
    <format dxfId="4480">
      <pivotArea dataOnly="0" labelOnly="1" outline="0" fieldPosition="0">
        <references count="4">
          <reference field="5" count="1">
            <x v="110"/>
          </reference>
          <reference field="8" count="1" selected="0">
            <x v="33"/>
          </reference>
          <reference field="11" count="1" selected="0">
            <x v="3"/>
          </reference>
          <reference field="13" count="1" selected="0">
            <x v="7"/>
          </reference>
        </references>
      </pivotArea>
    </format>
    <format dxfId="4479">
      <pivotArea dataOnly="0" labelOnly="1" outline="0" fieldPosition="0">
        <references count="4">
          <reference field="5" count="1">
            <x v="110"/>
          </reference>
          <reference field="8" count="1" selected="0">
            <x v="33"/>
          </reference>
          <reference field="11" count="1" selected="0">
            <x v="3"/>
          </reference>
          <reference field="13" count="1" selected="0">
            <x v="17"/>
          </reference>
        </references>
      </pivotArea>
    </format>
    <format dxfId="4478">
      <pivotArea dataOnly="0" labelOnly="1" outline="0" fieldPosition="0">
        <references count="4">
          <reference field="5" count="1">
            <x v="110"/>
          </reference>
          <reference field="8" count="1" selected="0">
            <x v="33"/>
          </reference>
          <reference field="11" count="1" selected="0">
            <x v="3"/>
          </reference>
          <reference field="13" count="1" selected="0">
            <x v="29"/>
          </reference>
        </references>
      </pivotArea>
    </format>
    <format dxfId="4477">
      <pivotArea dataOnly="0" labelOnly="1" outline="0" fieldPosition="0">
        <references count="4">
          <reference field="5" count="1">
            <x v="110"/>
          </reference>
          <reference field="8" count="1" selected="0">
            <x v="33"/>
          </reference>
          <reference field="11" count="1" selected="0">
            <x v="3"/>
          </reference>
          <reference field="13" count="1" selected="0">
            <x v="32"/>
          </reference>
        </references>
      </pivotArea>
    </format>
    <format dxfId="4476">
      <pivotArea dataOnly="0" labelOnly="1" outline="0" fieldPosition="0">
        <references count="4">
          <reference field="5" count="1">
            <x v="110"/>
          </reference>
          <reference field="8" count="1" selected="0">
            <x v="33"/>
          </reference>
          <reference field="11" count="1" selected="0">
            <x v="3"/>
          </reference>
          <reference field="13" count="1" selected="0">
            <x v="54"/>
          </reference>
        </references>
      </pivotArea>
    </format>
    <format dxfId="4475">
      <pivotArea dataOnly="0" labelOnly="1" outline="0" fieldPosition="0">
        <references count="4">
          <reference field="5" count="1">
            <x v="110"/>
          </reference>
          <reference field="8" count="1" selected="0">
            <x v="33"/>
          </reference>
          <reference field="11" count="1" selected="0">
            <x v="3"/>
          </reference>
          <reference field="13" count="1" selected="0">
            <x v="57"/>
          </reference>
        </references>
      </pivotArea>
    </format>
    <format dxfId="4474">
      <pivotArea dataOnly="0" labelOnly="1" outline="0" fieldPosition="0">
        <references count="4">
          <reference field="5" count="1">
            <x v="111"/>
          </reference>
          <reference field="8" count="1" selected="0">
            <x v="33"/>
          </reference>
          <reference field="11" count="1" selected="0">
            <x v="3"/>
          </reference>
          <reference field="13" count="1" selected="0">
            <x v="240"/>
          </reference>
        </references>
      </pivotArea>
    </format>
    <format dxfId="4473">
      <pivotArea dataOnly="0" labelOnly="1" outline="0" fieldPosition="0">
        <references count="4">
          <reference field="5" count="4">
            <x v="70"/>
            <x v="108"/>
            <x v="110"/>
            <x v="111"/>
          </reference>
          <reference field="8" count="1" selected="0">
            <x v="33"/>
          </reference>
          <reference field="11" count="1" selected="0">
            <x v="3"/>
          </reference>
          <reference field="13" count="1" selected="0">
            <x v="242"/>
          </reference>
        </references>
      </pivotArea>
    </format>
    <format dxfId="4472">
      <pivotArea dataOnly="0" labelOnly="1" outline="0" fieldPosition="0">
        <references count="4">
          <reference field="5" count="3">
            <x v="104"/>
            <x v="108"/>
            <x v="110"/>
          </reference>
          <reference field="8" count="1" selected="0">
            <x v="33"/>
          </reference>
          <reference field="11" count="1" selected="0">
            <x v="3"/>
          </reference>
          <reference field="13" count="1" selected="0">
            <x v="243"/>
          </reference>
        </references>
      </pivotArea>
    </format>
    <format dxfId="4471">
      <pivotArea dataOnly="0" labelOnly="1" outline="0" fieldPosition="0">
        <references count="4">
          <reference field="5" count="1">
            <x v="0"/>
          </reference>
          <reference field="8" count="1" selected="0">
            <x v="33"/>
          </reference>
          <reference field="11" count="1" selected="0">
            <x v="3"/>
          </reference>
          <reference field="13" count="1" selected="0">
            <x v="262"/>
          </reference>
        </references>
      </pivotArea>
    </format>
    <format dxfId="4470">
      <pivotArea dataOnly="0" labelOnly="1" outline="0" fieldPosition="0">
        <references count="4">
          <reference field="5" count="2">
            <x v="116"/>
            <x v="117"/>
          </reference>
          <reference field="8" count="1" selected="0">
            <x v="33"/>
          </reference>
          <reference field="11" count="1" selected="0">
            <x v="3"/>
          </reference>
          <reference field="13" count="1" selected="0">
            <x v="287"/>
          </reference>
        </references>
      </pivotArea>
    </format>
    <format dxfId="4469">
      <pivotArea dataOnly="0" labelOnly="1" outline="0" fieldPosition="0">
        <references count="4">
          <reference field="5" count="1">
            <x v="110"/>
          </reference>
          <reference field="8" count="1" selected="0">
            <x v="33"/>
          </reference>
          <reference field="11" count="1" selected="0">
            <x v="3"/>
          </reference>
          <reference field="13" count="1" selected="0">
            <x v="305"/>
          </reference>
        </references>
      </pivotArea>
    </format>
    <format dxfId="4468">
      <pivotArea dataOnly="0" labelOnly="1" outline="0" fieldPosition="0">
        <references count="4">
          <reference field="5" count="2">
            <x v="20"/>
            <x v="116"/>
          </reference>
          <reference field="8" count="1" selected="0">
            <x v="33"/>
          </reference>
          <reference field="11" count="1" selected="0">
            <x v="5"/>
          </reference>
          <reference field="13" count="1" selected="0">
            <x v="81"/>
          </reference>
        </references>
      </pivotArea>
    </format>
    <format dxfId="4467">
      <pivotArea dataOnly="0" labelOnly="1" outline="0" fieldPosition="0">
        <references count="4">
          <reference field="5" count="1">
            <x v="108"/>
          </reference>
          <reference field="8" count="1" selected="0">
            <x v="33"/>
          </reference>
          <reference field="11" count="1" selected="0">
            <x v="5"/>
          </reference>
          <reference field="13" count="1" selected="0">
            <x v="96"/>
          </reference>
        </references>
      </pivotArea>
    </format>
    <format dxfId="4466">
      <pivotArea dataOnly="0" labelOnly="1" outline="0" fieldPosition="0">
        <references count="4">
          <reference field="5" count="1">
            <x v="20"/>
          </reference>
          <reference field="8" count="1" selected="0">
            <x v="33"/>
          </reference>
          <reference field="11" count="1" selected="0">
            <x v="5"/>
          </reference>
          <reference field="13" count="1" selected="0">
            <x v="255"/>
          </reference>
        </references>
      </pivotArea>
    </format>
    <format dxfId="4465">
      <pivotArea dataOnly="0" labelOnly="1" outline="0" fieldPosition="0">
        <references count="4">
          <reference field="5" count="1">
            <x v="61"/>
          </reference>
          <reference field="8" count="1" selected="0">
            <x v="34"/>
          </reference>
          <reference field="11" count="1" selected="0">
            <x v="0"/>
          </reference>
          <reference field="13" count="1" selected="0">
            <x v="3"/>
          </reference>
        </references>
      </pivotArea>
    </format>
    <format dxfId="4464">
      <pivotArea dataOnly="0" labelOnly="1" outline="0" fieldPosition="0">
        <references count="4">
          <reference field="5" count="1">
            <x v="61"/>
          </reference>
          <reference field="8" count="1" selected="0">
            <x v="34"/>
          </reference>
          <reference field="11" count="1" selected="0">
            <x v="2"/>
          </reference>
          <reference field="13" count="1" selected="0">
            <x v="23"/>
          </reference>
        </references>
      </pivotArea>
    </format>
    <format dxfId="4463">
      <pivotArea dataOnly="0" labelOnly="1" outline="0" fieldPosition="0">
        <references count="4">
          <reference field="5" count="2">
            <x v="61"/>
            <x v="63"/>
          </reference>
          <reference field="8" count="1" selected="0">
            <x v="34"/>
          </reference>
          <reference field="11" count="1" selected="0">
            <x v="2"/>
          </reference>
          <reference field="13" count="1" selected="0">
            <x v="55"/>
          </reference>
        </references>
      </pivotArea>
    </format>
    <format dxfId="4462">
      <pivotArea dataOnly="0" labelOnly="1" outline="0" fieldPosition="0">
        <references count="4">
          <reference field="5" count="1">
            <x v="61"/>
          </reference>
          <reference field="8" count="1" selected="0">
            <x v="34"/>
          </reference>
          <reference field="11" count="1" selected="0">
            <x v="2"/>
          </reference>
          <reference field="13" count="1" selected="0">
            <x v="173"/>
          </reference>
        </references>
      </pivotArea>
    </format>
    <format dxfId="4461">
      <pivotArea dataOnly="0" labelOnly="1" outline="0" fieldPosition="0">
        <references count="4">
          <reference field="5" count="1">
            <x v="61"/>
          </reference>
          <reference field="8" count="1" selected="0">
            <x v="34"/>
          </reference>
          <reference field="11" count="1" selected="0">
            <x v="3"/>
          </reference>
          <reference field="13" count="1" selected="0">
            <x v="7"/>
          </reference>
        </references>
      </pivotArea>
    </format>
    <format dxfId="4460">
      <pivotArea dataOnly="0" labelOnly="1" outline="0" fieldPosition="0">
        <references count="4">
          <reference field="5" count="4">
            <x v="16"/>
            <x v="60"/>
            <x v="116"/>
            <x v="120"/>
          </reference>
          <reference field="8" count="1" selected="0">
            <x v="34"/>
          </reference>
          <reference field="11" count="1" selected="0">
            <x v="3"/>
          </reference>
          <reference field="13" count="1" selected="0">
            <x v="17"/>
          </reference>
        </references>
      </pivotArea>
    </format>
    <format dxfId="4459">
      <pivotArea dataOnly="0" labelOnly="1" outline="0" fieldPosition="0">
        <references count="4">
          <reference field="5" count="1">
            <x v="72"/>
          </reference>
          <reference field="8" count="1" selected="0">
            <x v="34"/>
          </reference>
          <reference field="11" count="1" selected="0">
            <x v="3"/>
          </reference>
          <reference field="13" count="1" selected="0">
            <x v="25"/>
          </reference>
        </references>
      </pivotArea>
    </format>
    <format dxfId="4458">
      <pivotArea dataOnly="0" labelOnly="1" outline="0" fieldPosition="0">
        <references count="4">
          <reference field="5" count="2">
            <x v="116"/>
            <x v="117"/>
          </reference>
          <reference field="8" count="1" selected="0">
            <x v="34"/>
          </reference>
          <reference field="11" count="1" selected="0">
            <x v="3"/>
          </reference>
          <reference field="13" count="1" selected="0">
            <x v="29"/>
          </reference>
        </references>
      </pivotArea>
    </format>
    <format dxfId="4457">
      <pivotArea dataOnly="0" labelOnly="1" outline="0" fieldPosition="0">
        <references count="4">
          <reference field="5" count="1">
            <x v="72"/>
          </reference>
          <reference field="8" count="1" selected="0">
            <x v="34"/>
          </reference>
          <reference field="11" count="1" selected="0">
            <x v="3"/>
          </reference>
          <reference field="13" count="1" selected="0">
            <x v="49"/>
          </reference>
        </references>
      </pivotArea>
    </format>
    <format dxfId="4456">
      <pivotArea dataOnly="0" labelOnly="1" outline="0" fieldPosition="0">
        <references count="4">
          <reference field="5" count="1">
            <x v="61"/>
          </reference>
          <reference field="8" count="1" selected="0">
            <x v="34"/>
          </reference>
          <reference field="11" count="1" selected="0">
            <x v="3"/>
          </reference>
          <reference field="13" count="1" selected="0">
            <x v="57"/>
          </reference>
        </references>
      </pivotArea>
    </format>
    <format dxfId="4455">
      <pivotArea dataOnly="0" labelOnly="1" outline="0" fieldPosition="0">
        <references count="4">
          <reference field="5" count="2">
            <x v="63"/>
            <x v="72"/>
          </reference>
          <reference field="8" count="1" selected="0">
            <x v="34"/>
          </reference>
          <reference field="11" count="1" selected="0">
            <x v="3"/>
          </reference>
          <reference field="13" count="1" selected="0">
            <x v="62"/>
          </reference>
        </references>
      </pivotArea>
    </format>
    <format dxfId="4454">
      <pivotArea dataOnly="0" labelOnly="1" outline="0" fieldPosition="0">
        <references count="4">
          <reference field="5" count="1">
            <x v="61"/>
          </reference>
          <reference field="8" count="1" selected="0">
            <x v="34"/>
          </reference>
          <reference field="11" count="1" selected="0">
            <x v="3"/>
          </reference>
          <reference field="13" count="1" selected="0">
            <x v="69"/>
          </reference>
        </references>
      </pivotArea>
    </format>
    <format dxfId="4453">
      <pivotArea dataOnly="0" labelOnly="1" outline="0" fieldPosition="0">
        <references count="4">
          <reference field="5" count="1">
            <x v="16"/>
          </reference>
          <reference field="8" count="1" selected="0">
            <x v="34"/>
          </reference>
          <reference field="11" count="1" selected="0">
            <x v="3"/>
          </reference>
          <reference field="13" count="1" selected="0">
            <x v="78"/>
          </reference>
        </references>
      </pivotArea>
    </format>
    <format dxfId="4452">
      <pivotArea dataOnly="0" labelOnly="1" outline="0" fieldPosition="0">
        <references count="4">
          <reference field="5" count="1">
            <x v="16"/>
          </reference>
          <reference field="8" count="1" selected="0">
            <x v="34"/>
          </reference>
          <reference field="11" count="1" selected="0">
            <x v="3"/>
          </reference>
          <reference field="13" count="1" selected="0">
            <x v="212"/>
          </reference>
        </references>
      </pivotArea>
    </format>
    <format dxfId="4451">
      <pivotArea dataOnly="0" labelOnly="1" outline="0" fieldPosition="0">
        <references count="4">
          <reference field="5" count="1">
            <x v="117"/>
          </reference>
          <reference field="8" count="1" selected="0">
            <x v="34"/>
          </reference>
          <reference field="11" count="1" selected="0">
            <x v="3"/>
          </reference>
          <reference field="13" count="1" selected="0">
            <x v="218"/>
          </reference>
        </references>
      </pivotArea>
    </format>
    <format dxfId="4450">
      <pivotArea dataOnly="0" labelOnly="1" outline="0" fieldPosition="0">
        <references count="4">
          <reference field="5" count="6">
            <x v="16"/>
            <x v="17"/>
            <x v="63"/>
            <x v="68"/>
            <x v="72"/>
            <x v="78"/>
          </reference>
          <reference field="8" count="1" selected="0">
            <x v="34"/>
          </reference>
          <reference field="11" count="1" selected="0">
            <x v="3"/>
          </reference>
          <reference field="13" count="1" selected="0">
            <x v="240"/>
          </reference>
        </references>
      </pivotArea>
    </format>
    <format dxfId="4449">
      <pivotArea dataOnly="0" labelOnly="1" outline="0" fieldPosition="0">
        <references count="4">
          <reference field="5" count="8">
            <x v="16"/>
            <x v="17"/>
            <x v="32"/>
            <x v="60"/>
            <x v="61"/>
            <x v="63"/>
            <x v="72"/>
            <x v="108"/>
          </reference>
          <reference field="8" count="1" selected="0">
            <x v="34"/>
          </reference>
          <reference field="11" count="1" selected="0">
            <x v="3"/>
          </reference>
          <reference field="13" count="1" selected="0">
            <x v="242"/>
          </reference>
        </references>
      </pivotArea>
    </format>
    <format dxfId="4448">
      <pivotArea dataOnly="0" labelOnly="1" outline="0" fieldPosition="0">
        <references count="4">
          <reference field="5" count="7">
            <x v="16"/>
            <x v="17"/>
            <x v="60"/>
            <x v="61"/>
            <x v="63"/>
            <x v="72"/>
            <x v="108"/>
          </reference>
          <reference field="8" count="1" selected="0">
            <x v="34"/>
          </reference>
          <reference field="11" count="1" selected="0">
            <x v="3"/>
          </reference>
          <reference field="13" count="1" selected="0">
            <x v="243"/>
          </reference>
        </references>
      </pivotArea>
    </format>
    <format dxfId="4447">
      <pivotArea dataOnly="0" labelOnly="1" outline="0" fieldPosition="0">
        <references count="4">
          <reference field="5" count="1">
            <x v="16"/>
          </reference>
          <reference field="8" count="1" selected="0">
            <x v="34"/>
          </reference>
          <reference field="11" count="1" selected="0">
            <x v="3"/>
          </reference>
          <reference field="13" count="1" selected="0">
            <x v="247"/>
          </reference>
        </references>
      </pivotArea>
    </format>
    <format dxfId="4446">
      <pivotArea dataOnly="0" labelOnly="1" outline="0" fieldPosition="0">
        <references count="4">
          <reference field="5" count="5">
            <x v="16"/>
            <x v="32"/>
            <x v="60"/>
            <x v="63"/>
            <x v="108"/>
          </reference>
          <reference field="8" count="1" selected="0">
            <x v="34"/>
          </reference>
          <reference field="11" count="1" selected="0">
            <x v="3"/>
          </reference>
          <reference field="13" count="1" selected="0">
            <x v="287"/>
          </reference>
        </references>
      </pivotArea>
    </format>
    <format dxfId="4445">
      <pivotArea dataOnly="0" labelOnly="1" outline="0" fieldPosition="0">
        <references count="4">
          <reference field="5" count="4">
            <x v="16"/>
            <x v="60"/>
            <x v="116"/>
            <x v="120"/>
          </reference>
          <reference field="8" count="1" selected="0">
            <x v="34"/>
          </reference>
          <reference field="11" count="1" selected="0">
            <x v="3"/>
          </reference>
          <reference field="13" count="1" selected="0">
            <x v="305"/>
          </reference>
        </references>
      </pivotArea>
    </format>
    <format dxfId="4444">
      <pivotArea dataOnly="0" labelOnly="1" outline="0" fieldPosition="0">
        <references count="4">
          <reference field="5" count="2">
            <x v="32"/>
            <x v="72"/>
          </reference>
          <reference field="8" count="1" selected="0">
            <x v="34"/>
          </reference>
          <reference field="11" count="1" selected="0">
            <x v="4"/>
          </reference>
          <reference field="13" count="1" selected="0">
            <x v="133"/>
          </reference>
        </references>
      </pivotArea>
    </format>
    <format dxfId="4443">
      <pivotArea dataOnly="0" labelOnly="1" outline="0" fieldPosition="0">
        <references count="4">
          <reference field="5" count="1">
            <x v="20"/>
          </reference>
          <reference field="8" count="1" selected="0">
            <x v="34"/>
          </reference>
          <reference field="11" count="1" selected="0">
            <x v="5"/>
          </reference>
          <reference field="13" count="1" selected="0">
            <x v="77"/>
          </reference>
        </references>
      </pivotArea>
    </format>
    <format dxfId="4442">
      <pivotArea dataOnly="0" labelOnly="1" outline="0" fieldPosition="0">
        <references count="4">
          <reference field="5" count="1">
            <x v="116"/>
          </reference>
          <reference field="8" count="1" selected="0">
            <x v="34"/>
          </reference>
          <reference field="11" count="1" selected="0">
            <x v="5"/>
          </reference>
          <reference field="13" count="1" selected="0">
            <x v="81"/>
          </reference>
        </references>
      </pivotArea>
    </format>
    <format dxfId="4441">
      <pivotArea dataOnly="0" labelOnly="1" outline="0" fieldPosition="0">
        <references count="4">
          <reference field="5" count="8">
            <x v="16"/>
            <x v="17"/>
            <x v="29"/>
            <x v="60"/>
            <x v="61"/>
            <x v="63"/>
            <x v="72"/>
            <x v="108"/>
          </reference>
          <reference field="8" count="1" selected="0">
            <x v="34"/>
          </reference>
          <reference field="11" count="1" selected="0">
            <x v="5"/>
          </reference>
          <reference field="13" count="1" selected="0">
            <x v="96"/>
          </reference>
        </references>
      </pivotArea>
    </format>
    <format dxfId="4440">
      <pivotArea dataOnly="0" labelOnly="1" outline="0" fieldPosition="0">
        <references count="4">
          <reference field="5" count="1">
            <x v="108"/>
          </reference>
          <reference field="8" count="1" selected="0">
            <x v="34"/>
          </reference>
          <reference field="11" count="1" selected="0">
            <x v="5"/>
          </reference>
          <reference field="13" count="1" selected="0">
            <x v="226"/>
          </reference>
        </references>
      </pivotArea>
    </format>
    <format dxfId="4439">
      <pivotArea dataOnly="0" labelOnly="1" outline="0" fieldPosition="0">
        <references count="4">
          <reference field="5" count="9">
            <x v="16"/>
            <x v="17"/>
            <x v="51"/>
            <x v="60"/>
            <x v="61"/>
            <x v="63"/>
            <x v="68"/>
            <x v="72"/>
            <x v="108"/>
          </reference>
          <reference field="8" count="1" selected="0">
            <x v="34"/>
          </reference>
          <reference field="11" count="1" selected="0">
            <x v="5"/>
          </reference>
          <reference field="13" count="1" selected="0">
            <x v="229"/>
          </reference>
        </references>
      </pivotArea>
    </format>
    <format dxfId="4438">
      <pivotArea dataOnly="0" labelOnly="1" outline="0" fieldPosition="0">
        <references count="4">
          <reference field="5" count="1">
            <x v="20"/>
          </reference>
          <reference field="8" count="1" selected="0">
            <x v="34"/>
          </reference>
          <reference field="11" count="1" selected="0">
            <x v="5"/>
          </reference>
          <reference field="13" count="1" selected="0">
            <x v="255"/>
          </reference>
        </references>
      </pivotArea>
    </format>
    <format dxfId="4437">
      <pivotArea dataOnly="0" labelOnly="1" outline="0" fieldPosition="0">
        <references count="4">
          <reference field="5" count="1">
            <x v="2"/>
          </reference>
          <reference field="8" count="1" selected="0">
            <x v="34"/>
          </reference>
          <reference field="11" count="1" selected="0">
            <x v="5"/>
          </reference>
          <reference field="13" count="1" selected="0">
            <x v="268"/>
          </reference>
        </references>
      </pivotArea>
    </format>
    <format dxfId="4436">
      <pivotArea dataOnly="0" labelOnly="1" outline="0" fieldPosition="0">
        <references count="4">
          <reference field="5" count="2">
            <x v="60"/>
            <x v="108"/>
          </reference>
          <reference field="8" count="1" selected="0">
            <x v="34"/>
          </reference>
          <reference field="11" count="1" selected="0">
            <x v="7"/>
          </reference>
          <reference field="13" count="1" selected="0">
            <x v="72"/>
          </reference>
        </references>
      </pivotArea>
    </format>
    <format dxfId="4435">
      <pivotArea dataOnly="0" labelOnly="1" outline="0" fieldPosition="0">
        <references count="4">
          <reference field="5" count="1">
            <x v="47"/>
          </reference>
          <reference field="8" count="1" selected="0">
            <x v="35"/>
          </reference>
          <reference field="11" count="1" selected="0">
            <x v="0"/>
          </reference>
          <reference field="13" count="1" selected="0">
            <x v="221"/>
          </reference>
        </references>
      </pivotArea>
    </format>
    <format dxfId="4434">
      <pivotArea dataOnly="0" labelOnly="1" outline="0" fieldPosition="0">
        <references count="4">
          <reference field="5" count="1">
            <x v="47"/>
          </reference>
          <reference field="8" count="1" selected="0">
            <x v="35"/>
          </reference>
          <reference field="11" count="1" selected="0">
            <x v="0"/>
          </reference>
          <reference field="13" count="1" selected="0">
            <x v="231"/>
          </reference>
        </references>
      </pivotArea>
    </format>
    <format dxfId="4433">
      <pivotArea dataOnly="0" labelOnly="1" outline="0" fieldPosition="0">
        <references count="4">
          <reference field="5" count="1">
            <x v="0"/>
          </reference>
          <reference field="8" count="1" selected="0">
            <x v="35"/>
          </reference>
          <reference field="11" count="1" selected="0">
            <x v="0"/>
          </reference>
          <reference field="13" count="1" selected="0">
            <x v="281"/>
          </reference>
        </references>
      </pivotArea>
    </format>
    <format dxfId="4432">
      <pivotArea dataOnly="0" labelOnly="1" outline="0" fieldPosition="0">
        <references count="4">
          <reference field="5" count="1">
            <x v="47"/>
          </reference>
          <reference field="8" count="1" selected="0">
            <x v="35"/>
          </reference>
          <reference field="11" count="1" selected="0">
            <x v="3"/>
          </reference>
          <reference field="13" count="1" selected="0">
            <x v="242"/>
          </reference>
        </references>
      </pivotArea>
    </format>
    <format dxfId="4431">
      <pivotArea dataOnly="0" labelOnly="1" outline="0" fieldPosition="0">
        <references count="4">
          <reference field="5" count="1">
            <x v="47"/>
          </reference>
          <reference field="8" count="1" selected="0">
            <x v="35"/>
          </reference>
          <reference field="11" count="1" selected="0">
            <x v="3"/>
          </reference>
          <reference field="13" count="1" selected="0">
            <x v="243"/>
          </reference>
        </references>
      </pivotArea>
    </format>
    <format dxfId="4430">
      <pivotArea dataOnly="0" labelOnly="1" outline="0" fieldPosition="0">
        <references count="4">
          <reference field="5" count="1">
            <x v="20"/>
          </reference>
          <reference field="8" count="1" selected="0">
            <x v="35"/>
          </reference>
          <reference field="11" count="1" selected="0">
            <x v="5"/>
          </reference>
          <reference field="13" count="1" selected="0">
            <x v="81"/>
          </reference>
        </references>
      </pivotArea>
    </format>
    <format dxfId="4429">
      <pivotArea dataOnly="0" labelOnly="1" outline="0" fieldPosition="0">
        <references count="4">
          <reference field="5" count="1">
            <x v="116"/>
          </reference>
          <reference field="8" count="1" selected="0">
            <x v="35"/>
          </reference>
          <reference field="11" count="1" selected="0">
            <x v="5"/>
          </reference>
          <reference field="13" count="1" selected="0">
            <x v="114"/>
          </reference>
        </references>
      </pivotArea>
    </format>
    <format dxfId="4428">
      <pivotArea dataOnly="0" labelOnly="1" outline="0" fieldPosition="0">
        <references count="4">
          <reference field="5" count="1">
            <x v="47"/>
          </reference>
          <reference field="8" count="1" selected="0">
            <x v="35"/>
          </reference>
          <reference field="11" count="1" selected="0">
            <x v="7"/>
          </reference>
          <reference field="13" count="1" selected="0">
            <x v="8"/>
          </reference>
        </references>
      </pivotArea>
    </format>
    <format dxfId="4427">
      <pivotArea dataOnly="0" labelOnly="1" outline="0" fieldPosition="0">
        <references count="4">
          <reference field="5" count="1">
            <x v="110"/>
          </reference>
          <reference field="8" count="1" selected="0">
            <x v="36"/>
          </reference>
          <reference field="11" count="1" selected="0">
            <x v="2"/>
          </reference>
          <reference field="13" count="1" selected="0">
            <x v="23"/>
          </reference>
        </references>
      </pivotArea>
    </format>
    <format dxfId="4426">
      <pivotArea dataOnly="0" labelOnly="1" outline="0" fieldPosition="0">
        <references count="4">
          <reference field="5" count="1">
            <x v="110"/>
          </reference>
          <reference field="8" count="1" selected="0">
            <x v="36"/>
          </reference>
          <reference field="11" count="1" selected="0">
            <x v="2"/>
          </reference>
          <reference field="13" count="1" selected="0">
            <x v="279"/>
          </reference>
        </references>
      </pivotArea>
    </format>
    <format dxfId="4425">
      <pivotArea dataOnly="0" labelOnly="1" outline="0" fieldPosition="0">
        <references count="4">
          <reference field="5" count="1">
            <x v="110"/>
          </reference>
          <reference field="8" count="1" selected="0">
            <x v="36"/>
          </reference>
          <reference field="11" count="1" selected="0">
            <x v="3"/>
          </reference>
          <reference field="13" count="1" selected="0">
            <x v="17"/>
          </reference>
        </references>
      </pivotArea>
    </format>
    <format dxfId="4424">
      <pivotArea dataOnly="0" labelOnly="1" outline="0" fieldPosition="0">
        <references count="4">
          <reference field="5" count="1">
            <x v="110"/>
          </reference>
          <reference field="8" count="1" selected="0">
            <x v="36"/>
          </reference>
          <reference field="11" count="1" selected="0">
            <x v="3"/>
          </reference>
          <reference field="13" count="1" selected="0">
            <x v="32"/>
          </reference>
        </references>
      </pivotArea>
    </format>
    <format dxfId="4423">
      <pivotArea dataOnly="0" labelOnly="1" outline="0" fieldPosition="0">
        <references count="4">
          <reference field="5" count="1">
            <x v="110"/>
          </reference>
          <reference field="8" count="1" selected="0">
            <x v="36"/>
          </reference>
          <reference field="11" count="1" selected="0">
            <x v="3"/>
          </reference>
          <reference field="13" count="1" selected="0">
            <x v="69"/>
          </reference>
        </references>
      </pivotArea>
    </format>
    <format dxfId="4422">
      <pivotArea dataOnly="0" labelOnly="1" outline="0" fieldPosition="0">
        <references count="4">
          <reference field="5" count="1">
            <x v="110"/>
          </reference>
          <reference field="8" count="1" selected="0">
            <x v="36"/>
          </reference>
          <reference field="11" count="1" selected="0">
            <x v="3"/>
          </reference>
          <reference field="13" count="1" selected="0">
            <x v="78"/>
          </reference>
        </references>
      </pivotArea>
    </format>
    <format dxfId="4421">
      <pivotArea dataOnly="0" labelOnly="1" outline="0" fieldPosition="0">
        <references count="4">
          <reference field="5" count="1">
            <x v="110"/>
          </reference>
          <reference field="8" count="1" selected="0">
            <x v="36"/>
          </reference>
          <reference field="11" count="1" selected="0">
            <x v="3"/>
          </reference>
          <reference field="13" count="1" selected="0">
            <x v="100"/>
          </reference>
        </references>
      </pivotArea>
    </format>
    <format dxfId="4420">
      <pivotArea dataOnly="0" labelOnly="1" outline="0" fieldPosition="0">
        <references count="4">
          <reference field="5" count="1">
            <x v="110"/>
          </reference>
          <reference field="8" count="1" selected="0">
            <x v="36"/>
          </reference>
          <reference field="11" count="1" selected="0">
            <x v="3"/>
          </reference>
          <reference field="13" count="1" selected="0">
            <x v="240"/>
          </reference>
        </references>
      </pivotArea>
    </format>
    <format dxfId="4419">
      <pivotArea dataOnly="0" labelOnly="1" outline="0" fieldPosition="0">
        <references count="4">
          <reference field="5" count="1">
            <x v="110"/>
          </reference>
          <reference field="8" count="1" selected="0">
            <x v="36"/>
          </reference>
          <reference field="11" count="1" selected="0">
            <x v="3"/>
          </reference>
          <reference field="13" count="1" selected="0">
            <x v="242"/>
          </reference>
        </references>
      </pivotArea>
    </format>
    <format dxfId="4418">
      <pivotArea dataOnly="0" labelOnly="1" outline="0" fieldPosition="0">
        <references count="4">
          <reference field="5" count="1">
            <x v="110"/>
          </reference>
          <reference field="8" count="1" selected="0">
            <x v="36"/>
          </reference>
          <reference field="11" count="1" selected="0">
            <x v="3"/>
          </reference>
          <reference field="13" count="1" selected="0">
            <x v="243"/>
          </reference>
        </references>
      </pivotArea>
    </format>
    <format dxfId="4417">
      <pivotArea dataOnly="0" labelOnly="1" outline="0" fieldPosition="0">
        <references count="4">
          <reference field="5" count="2">
            <x v="116"/>
            <x v="117"/>
          </reference>
          <reference field="8" count="1" selected="0">
            <x v="36"/>
          </reference>
          <reference field="11" count="1" selected="0">
            <x v="3"/>
          </reference>
          <reference field="13" count="1" selected="0">
            <x v="287"/>
          </reference>
        </references>
      </pivotArea>
    </format>
    <format dxfId="4416">
      <pivotArea dataOnly="0" labelOnly="1" outline="0" fieldPosition="0">
        <references count="4">
          <reference field="5" count="1">
            <x v="110"/>
          </reference>
          <reference field="8" count="1" selected="0">
            <x v="36"/>
          </reference>
          <reference field="11" count="1" selected="0">
            <x v="3"/>
          </reference>
          <reference field="13" count="1" selected="0">
            <x v="305"/>
          </reference>
        </references>
      </pivotArea>
    </format>
    <format dxfId="4415">
      <pivotArea dataOnly="0" labelOnly="1" outline="0" fieldPosition="0">
        <references count="4">
          <reference field="5" count="2">
            <x v="116"/>
            <x v="117"/>
          </reference>
          <reference field="8" count="1" selected="0">
            <x v="37"/>
          </reference>
          <reference field="11" count="1" selected="0">
            <x v="3"/>
          </reference>
          <reference field="13" count="1" selected="0">
            <x v="29"/>
          </reference>
        </references>
      </pivotArea>
    </format>
    <format dxfId="4414">
      <pivotArea dataOnly="0" labelOnly="1" outline="0" fieldPosition="0">
        <references count="4">
          <reference field="5" count="1">
            <x v="45"/>
          </reference>
          <reference field="8" count="1" selected="0">
            <x v="37"/>
          </reference>
          <reference field="11" count="1" selected="0">
            <x v="3"/>
          </reference>
          <reference field="13" count="1" selected="0">
            <x v="32"/>
          </reference>
        </references>
      </pivotArea>
    </format>
    <format dxfId="4413">
      <pivotArea dataOnly="0" labelOnly="1" outline="0" fieldPosition="0">
        <references count="4">
          <reference field="5" count="1">
            <x v="117"/>
          </reference>
          <reference field="8" count="1" selected="0">
            <x v="37"/>
          </reference>
          <reference field="11" count="1" selected="0">
            <x v="3"/>
          </reference>
          <reference field="13" count="1" selected="0">
            <x v="218"/>
          </reference>
        </references>
      </pivotArea>
    </format>
    <format dxfId="4412">
      <pivotArea dataOnly="0" labelOnly="1" outline="0" fieldPosition="0">
        <references count="4">
          <reference field="5" count="1">
            <x v="45"/>
          </reference>
          <reference field="8" count="1" selected="0">
            <x v="37"/>
          </reference>
          <reference field="11" count="1" selected="0">
            <x v="3"/>
          </reference>
          <reference field="13" count="1" selected="0">
            <x v="240"/>
          </reference>
        </references>
      </pivotArea>
    </format>
    <format dxfId="4411">
      <pivotArea dataOnly="0" labelOnly="1" outline="0" fieldPosition="0">
        <references count="4">
          <reference field="5" count="1">
            <x v="45"/>
          </reference>
          <reference field="8" count="1" selected="0">
            <x v="37"/>
          </reference>
          <reference field="11" count="1" selected="0">
            <x v="3"/>
          </reference>
          <reference field="13" count="1" selected="0">
            <x v="242"/>
          </reference>
        </references>
      </pivotArea>
    </format>
    <format dxfId="4410">
      <pivotArea dataOnly="0" labelOnly="1" outline="0" fieldPosition="0">
        <references count="4">
          <reference field="5" count="1">
            <x v="45"/>
          </reference>
          <reference field="8" count="1" selected="0">
            <x v="37"/>
          </reference>
          <reference field="11" count="1" selected="0">
            <x v="3"/>
          </reference>
          <reference field="13" count="1" selected="0">
            <x v="243"/>
          </reference>
        </references>
      </pivotArea>
    </format>
    <format dxfId="4409">
      <pivotArea dataOnly="0" labelOnly="1" outline="0" fieldPosition="0">
        <references count="4">
          <reference field="5" count="1">
            <x v="45"/>
          </reference>
          <reference field="8" count="1" selected="0">
            <x v="37"/>
          </reference>
          <reference field="11" count="1" selected="0">
            <x v="3"/>
          </reference>
          <reference field="13" count="1" selected="0">
            <x v="287"/>
          </reference>
        </references>
      </pivotArea>
    </format>
    <format dxfId="4408">
      <pivotArea dataOnly="0" labelOnly="1" outline="0" fieldPosition="0">
        <references count="4">
          <reference field="5" count="1">
            <x v="117"/>
          </reference>
          <reference field="8" count="1" selected="0">
            <x v="37"/>
          </reference>
          <reference field="11" count="1" selected="0">
            <x v="3"/>
          </reference>
          <reference field="13" count="1" selected="0">
            <x v="314"/>
          </reference>
        </references>
      </pivotArea>
    </format>
    <format dxfId="4407">
      <pivotArea dataOnly="0" labelOnly="1" outline="0" fieldPosition="0">
        <references count="4">
          <reference field="5" count="1">
            <x v="45"/>
          </reference>
          <reference field="8" count="1" selected="0">
            <x v="37"/>
          </reference>
          <reference field="11" count="1" selected="0">
            <x v="5"/>
          </reference>
          <reference field="13" count="1" selected="0">
            <x v="77"/>
          </reference>
        </references>
      </pivotArea>
    </format>
    <format dxfId="4406">
      <pivotArea dataOnly="0" labelOnly="1" outline="0" fieldPosition="0">
        <references count="4">
          <reference field="5" count="1">
            <x v="20"/>
          </reference>
          <reference field="8" count="1" selected="0">
            <x v="37"/>
          </reference>
          <reference field="11" count="1" selected="0">
            <x v="5"/>
          </reference>
          <reference field="13" count="1" selected="0">
            <x v="81"/>
          </reference>
        </references>
      </pivotArea>
    </format>
    <format dxfId="4405">
      <pivotArea dataOnly="0" labelOnly="1" outline="0" fieldPosition="0">
        <references count="4">
          <reference field="5" count="1">
            <x v="45"/>
          </reference>
          <reference field="8" count="1" selected="0">
            <x v="37"/>
          </reference>
          <reference field="11" count="1" selected="0">
            <x v="5"/>
          </reference>
          <reference field="13" count="1" selected="0">
            <x v="86"/>
          </reference>
        </references>
      </pivotArea>
    </format>
    <format dxfId="4404">
      <pivotArea dataOnly="0" labelOnly="1" outline="0" fieldPosition="0">
        <references count="4">
          <reference field="5" count="1">
            <x v="45"/>
          </reference>
          <reference field="8" count="1" selected="0">
            <x v="37"/>
          </reference>
          <reference field="11" count="1" selected="0">
            <x v="5"/>
          </reference>
          <reference field="13" count="1" selected="0">
            <x v="96"/>
          </reference>
        </references>
      </pivotArea>
    </format>
    <format dxfId="4403">
      <pivotArea dataOnly="0" labelOnly="1" outline="0" fieldPosition="0">
        <references count="4">
          <reference field="5" count="1">
            <x v="101"/>
          </reference>
          <reference field="8" count="1" selected="0">
            <x v="38"/>
          </reference>
          <reference field="11" count="1" selected="0">
            <x v="3"/>
          </reference>
          <reference field="13" count="1" selected="0">
            <x v="32"/>
          </reference>
        </references>
      </pivotArea>
    </format>
    <format dxfId="4402">
      <pivotArea dataOnly="0" labelOnly="1" outline="0" fieldPosition="0">
        <references count="4">
          <reference field="5" count="1">
            <x v="101"/>
          </reference>
          <reference field="8" count="1" selected="0">
            <x v="38"/>
          </reference>
          <reference field="11" count="1" selected="0">
            <x v="3"/>
          </reference>
          <reference field="13" count="1" selected="0">
            <x v="287"/>
          </reference>
        </references>
      </pivotArea>
    </format>
    <format dxfId="4401">
      <pivotArea dataOnly="0" labelOnly="1" outline="0" fieldPosition="0">
        <references count="4">
          <reference field="5" count="1">
            <x v="20"/>
          </reference>
          <reference field="8" count="1" selected="0">
            <x v="38"/>
          </reference>
          <reference field="11" count="1" selected="0">
            <x v="5"/>
          </reference>
          <reference field="13" count="1" selected="0">
            <x v="77"/>
          </reference>
        </references>
      </pivotArea>
    </format>
    <format dxfId="4400">
      <pivotArea dataOnly="0" labelOnly="1" outline="0" fieldPosition="0">
        <references count="4">
          <reference field="5" count="1">
            <x v="116"/>
          </reference>
          <reference field="8" count="1" selected="0">
            <x v="38"/>
          </reference>
          <reference field="11" count="1" selected="0">
            <x v="5"/>
          </reference>
          <reference field="13" count="1" selected="0">
            <x v="81"/>
          </reference>
        </references>
      </pivotArea>
    </format>
    <format dxfId="4399">
      <pivotArea dataOnly="0" labelOnly="1" outline="0" fieldPosition="0">
        <references count="4">
          <reference field="5" count="1">
            <x v="101"/>
          </reference>
          <reference field="8" count="1" selected="0">
            <x v="38"/>
          </reference>
          <reference field="11" count="1" selected="0">
            <x v="6"/>
          </reference>
          <reference field="13" count="1" selected="0">
            <x v="207"/>
          </reference>
        </references>
      </pivotArea>
    </format>
    <format dxfId="4398">
      <pivotArea dataOnly="0" labelOnly="1" outline="0" fieldPosition="0">
        <references count="4">
          <reference field="5" count="1">
            <x v="101"/>
          </reference>
          <reference field="8" count="1" selected="0">
            <x v="38"/>
          </reference>
          <reference field="11" count="1" selected="0">
            <x v="7"/>
          </reference>
          <reference field="13" count="1" selected="0">
            <x v="93"/>
          </reference>
        </references>
      </pivotArea>
    </format>
    <format dxfId="4397">
      <pivotArea dataOnly="0" labelOnly="1" outline="0" fieldPosition="0">
        <references count="4">
          <reference field="5" count="1">
            <x v="110"/>
          </reference>
          <reference field="8" count="1" selected="0">
            <x v="39"/>
          </reference>
          <reference field="11" count="1" selected="0">
            <x v="3"/>
          </reference>
          <reference field="13" count="1" selected="0">
            <x v="7"/>
          </reference>
        </references>
      </pivotArea>
    </format>
    <format dxfId="4396">
      <pivotArea dataOnly="0" labelOnly="1" outline="0" fieldPosition="0">
        <references count="4">
          <reference field="5" count="1">
            <x v="110"/>
          </reference>
          <reference field="8" count="1" selected="0">
            <x v="39"/>
          </reference>
          <reference field="11" count="1" selected="0">
            <x v="3"/>
          </reference>
          <reference field="13" count="1" selected="0">
            <x v="17"/>
          </reference>
        </references>
      </pivotArea>
    </format>
    <format dxfId="4395">
      <pivotArea dataOnly="0" labelOnly="1" outline="0" fieldPosition="0">
        <references count="4">
          <reference field="5" count="2">
            <x v="116"/>
            <x v="117"/>
          </reference>
          <reference field="8" count="1" selected="0">
            <x v="39"/>
          </reference>
          <reference field="11" count="1" selected="0">
            <x v="3"/>
          </reference>
          <reference field="13" count="1" selected="0">
            <x v="29"/>
          </reference>
        </references>
      </pivotArea>
    </format>
    <format dxfId="4394">
      <pivotArea dataOnly="0" labelOnly="1" outline="0" fieldPosition="0">
        <references count="4">
          <reference field="5" count="1">
            <x v="110"/>
          </reference>
          <reference field="8" count="1" selected="0">
            <x v="39"/>
          </reference>
          <reference field="11" count="1" selected="0">
            <x v="3"/>
          </reference>
          <reference field="13" count="1" selected="0">
            <x v="32"/>
          </reference>
        </references>
      </pivotArea>
    </format>
    <format dxfId="4393">
      <pivotArea dataOnly="0" labelOnly="1" outline="0" fieldPosition="0">
        <references count="4">
          <reference field="5" count="1">
            <x v="110"/>
          </reference>
          <reference field="8" count="1" selected="0">
            <x v="39"/>
          </reference>
          <reference field="11" count="1" selected="0">
            <x v="3"/>
          </reference>
          <reference field="13" count="1" selected="0">
            <x v="54"/>
          </reference>
        </references>
      </pivotArea>
    </format>
    <format dxfId="4392">
      <pivotArea dataOnly="0" labelOnly="1" outline="0" fieldPosition="0">
        <references count="4">
          <reference field="5" count="1">
            <x v="110"/>
          </reference>
          <reference field="8" count="1" selected="0">
            <x v="39"/>
          </reference>
          <reference field="11" count="1" selected="0">
            <x v="3"/>
          </reference>
          <reference field="13" count="1" selected="0">
            <x v="57"/>
          </reference>
        </references>
      </pivotArea>
    </format>
    <format dxfId="4391">
      <pivotArea dataOnly="0" labelOnly="1" outline="0" fieldPosition="0">
        <references count="4">
          <reference field="5" count="1">
            <x v="117"/>
          </reference>
          <reference field="8" count="1" selected="0">
            <x v="39"/>
          </reference>
          <reference field="11" count="1" selected="0">
            <x v="3"/>
          </reference>
          <reference field="13" count="1" selected="0">
            <x v="218"/>
          </reference>
        </references>
      </pivotArea>
    </format>
    <format dxfId="4390">
      <pivotArea dataOnly="0" labelOnly="1" outline="0" fieldPosition="0">
        <references count="4">
          <reference field="5" count="1">
            <x v="50"/>
          </reference>
          <reference field="8" count="1" selected="0">
            <x v="39"/>
          </reference>
          <reference field="11" count="1" selected="0">
            <x v="3"/>
          </reference>
          <reference field="13" count="1" selected="0">
            <x v="240"/>
          </reference>
        </references>
      </pivotArea>
    </format>
    <format dxfId="4389">
      <pivotArea dataOnly="0" labelOnly="1" outline="0" fieldPosition="0">
        <references count="4">
          <reference field="5" count="1">
            <x v="50"/>
          </reference>
          <reference field="8" count="1" selected="0">
            <x v="39"/>
          </reference>
          <reference field="11" count="1" selected="0">
            <x v="3"/>
          </reference>
          <reference field="13" count="1" selected="0">
            <x v="243"/>
          </reference>
        </references>
      </pivotArea>
    </format>
    <format dxfId="4388">
      <pivotArea dataOnly="0" labelOnly="1" outline="0" fieldPosition="0">
        <references count="4">
          <reference field="5" count="3">
            <x v="23"/>
            <x v="116"/>
            <x v="117"/>
          </reference>
          <reference field="8" count="1" selected="0">
            <x v="39"/>
          </reference>
          <reference field="11" count="1" selected="0">
            <x v="3"/>
          </reference>
          <reference field="13" count="1" selected="0">
            <x v="287"/>
          </reference>
        </references>
      </pivotArea>
    </format>
    <format dxfId="4387">
      <pivotArea dataOnly="0" labelOnly="1" outline="0" fieldPosition="0">
        <references count="4">
          <reference field="5" count="1">
            <x v="110"/>
          </reference>
          <reference field="8" count="1" selected="0">
            <x v="39"/>
          </reference>
          <reference field="11" count="1" selected="0">
            <x v="3"/>
          </reference>
          <reference field="13" count="1" selected="0">
            <x v="305"/>
          </reference>
        </references>
      </pivotArea>
    </format>
    <format dxfId="4386">
      <pivotArea dataOnly="0" labelOnly="1" outline="0" fieldPosition="0">
        <references count="4">
          <reference field="5" count="1">
            <x v="117"/>
          </reference>
          <reference field="8" count="1" selected="0">
            <x v="39"/>
          </reference>
          <reference field="11" count="1" selected="0">
            <x v="3"/>
          </reference>
          <reference field="13" count="1" selected="0">
            <x v="314"/>
          </reference>
        </references>
      </pivotArea>
    </format>
    <format dxfId="4385">
      <pivotArea dataOnly="0" labelOnly="1" outline="0" fieldPosition="0">
        <references count="4">
          <reference field="5" count="3">
            <x v="20"/>
            <x v="50"/>
            <x v="110"/>
          </reference>
          <reference field="8" count="1" selected="0">
            <x v="39"/>
          </reference>
          <reference field="11" count="1" selected="0">
            <x v="5"/>
          </reference>
          <reference field="13" count="1" selected="0">
            <x v="77"/>
          </reference>
        </references>
      </pivotArea>
    </format>
    <format dxfId="4384">
      <pivotArea dataOnly="0" labelOnly="1" outline="0" fieldPosition="0">
        <references count="4">
          <reference field="5" count="1">
            <x v="50"/>
          </reference>
          <reference field="8" count="1" selected="0">
            <x v="39"/>
          </reference>
          <reference field="11" count="1" selected="0">
            <x v="5"/>
          </reference>
          <reference field="13" count="1" selected="0">
            <x v="81"/>
          </reference>
        </references>
      </pivotArea>
    </format>
    <format dxfId="4383">
      <pivotArea dataOnly="0" labelOnly="1" outline="0" fieldPosition="0">
        <references count="4">
          <reference field="5" count="1">
            <x v="2"/>
          </reference>
          <reference field="8" count="1" selected="0">
            <x v="39"/>
          </reference>
          <reference field="11" count="1" selected="0">
            <x v="5"/>
          </reference>
          <reference field="13" count="1" selected="0">
            <x v="268"/>
          </reference>
        </references>
      </pivotArea>
    </format>
    <format dxfId="4382">
      <pivotArea dataOnly="0" labelOnly="1" outline="0" fieldPosition="0">
        <references count="4">
          <reference field="5" count="1">
            <x v="64"/>
          </reference>
          <reference field="8" count="1" selected="0">
            <x v="40"/>
          </reference>
          <reference field="11" count="1" selected="0">
            <x v="0"/>
          </reference>
          <reference field="13" count="1" selected="0">
            <x v="53"/>
          </reference>
        </references>
      </pivotArea>
    </format>
    <format dxfId="4381">
      <pivotArea dataOnly="0" labelOnly="1" outline="0" fieldPosition="0">
        <references count="4">
          <reference field="5" count="1">
            <x v="64"/>
          </reference>
          <reference field="8" count="1" selected="0">
            <x v="40"/>
          </reference>
          <reference field="11" count="1" selected="0">
            <x v="0"/>
          </reference>
          <reference field="13" count="1" selected="0">
            <x v="58"/>
          </reference>
        </references>
      </pivotArea>
    </format>
    <format dxfId="4380">
      <pivotArea dataOnly="0" labelOnly="1" outline="0" fieldPosition="0">
        <references count="4">
          <reference field="5" count="2">
            <x v="47"/>
            <x v="95"/>
          </reference>
          <reference field="8" count="1" selected="0">
            <x v="40"/>
          </reference>
          <reference field="11" count="1" selected="0">
            <x v="0"/>
          </reference>
          <reference field="13" count="1" selected="0">
            <x v="165"/>
          </reference>
        </references>
      </pivotArea>
    </format>
    <format dxfId="4379">
      <pivotArea dataOnly="0" labelOnly="1" outline="0" fieldPosition="0">
        <references count="4">
          <reference field="5" count="1">
            <x v="95"/>
          </reference>
          <reference field="8" count="1" selected="0">
            <x v="40"/>
          </reference>
          <reference field="11" count="1" selected="0">
            <x v="1"/>
          </reference>
          <reference field="13" count="1" selected="0">
            <x v="12"/>
          </reference>
        </references>
      </pivotArea>
    </format>
    <format dxfId="4378">
      <pivotArea dataOnly="0" labelOnly="1" outline="0" fieldPosition="0">
        <references count="4">
          <reference field="5" count="1">
            <x v="95"/>
          </reference>
          <reference field="8" count="1" selected="0">
            <x v="40"/>
          </reference>
          <reference field="11" count="1" selected="0">
            <x v="1"/>
          </reference>
          <reference field="13" count="1" selected="0">
            <x v="286"/>
          </reference>
        </references>
      </pivotArea>
    </format>
    <format dxfId="4377">
      <pivotArea dataOnly="0" labelOnly="1" outline="0" fieldPosition="0">
        <references count="4">
          <reference field="5" count="1">
            <x v="95"/>
          </reference>
          <reference field="8" count="1" selected="0">
            <x v="40"/>
          </reference>
          <reference field="11" count="1" selected="0">
            <x v="2"/>
          </reference>
          <reference field="13" count="1" selected="0">
            <x v="71"/>
          </reference>
        </references>
      </pivotArea>
    </format>
    <format dxfId="4376">
      <pivotArea dataOnly="0" labelOnly="1" outline="0" fieldPosition="0">
        <references count="4">
          <reference field="5" count="1">
            <x v="65"/>
          </reference>
          <reference field="8" count="1" selected="0">
            <x v="40"/>
          </reference>
          <reference field="11" count="1" selected="0">
            <x v="2"/>
          </reference>
          <reference field="13" count="1" selected="0">
            <x v="279"/>
          </reference>
        </references>
      </pivotArea>
    </format>
    <format dxfId="4375">
      <pivotArea dataOnly="0" labelOnly="1" outline="0" fieldPosition="0">
        <references count="4">
          <reference field="5" count="1">
            <x v="95"/>
          </reference>
          <reference field="8" count="1" selected="0">
            <x v="40"/>
          </reference>
          <reference field="11" count="1" selected="0">
            <x v="3"/>
          </reference>
          <reference field="13" count="1" selected="0">
            <x v="7"/>
          </reference>
        </references>
      </pivotArea>
    </format>
    <format dxfId="4374">
      <pivotArea dataOnly="0" labelOnly="1" outline="0" fieldPosition="0">
        <references count="4">
          <reference field="5" count="1">
            <x v="95"/>
          </reference>
          <reference field="8" count="1" selected="0">
            <x v="40"/>
          </reference>
          <reference field="11" count="1" selected="0">
            <x v="3"/>
          </reference>
          <reference field="13" count="1" selected="0">
            <x v="17"/>
          </reference>
        </references>
      </pivotArea>
    </format>
    <format dxfId="4373">
      <pivotArea dataOnly="0" labelOnly="1" outline="0" fieldPosition="0">
        <references count="4">
          <reference field="5" count="2">
            <x v="116"/>
            <x v="117"/>
          </reference>
          <reference field="8" count="1" selected="0">
            <x v="40"/>
          </reference>
          <reference field="11" count="1" selected="0">
            <x v="3"/>
          </reference>
          <reference field="13" count="1" selected="0">
            <x v="29"/>
          </reference>
        </references>
      </pivotArea>
    </format>
    <format dxfId="4372">
      <pivotArea dataOnly="0" labelOnly="1" outline="0" fieldPosition="0">
        <references count="4">
          <reference field="5" count="1">
            <x v="95"/>
          </reference>
          <reference field="8" count="1" selected="0">
            <x v="40"/>
          </reference>
          <reference field="11" count="1" selected="0">
            <x v="3"/>
          </reference>
          <reference field="13" count="1" selected="0">
            <x v="54"/>
          </reference>
        </references>
      </pivotArea>
    </format>
    <format dxfId="4371">
      <pivotArea dataOnly="0" labelOnly="1" outline="0" fieldPosition="0">
        <references count="4">
          <reference field="5" count="1">
            <x v="95"/>
          </reference>
          <reference field="8" count="1" selected="0">
            <x v="40"/>
          </reference>
          <reference field="11" count="1" selected="0">
            <x v="3"/>
          </reference>
          <reference field="13" count="1" selected="0">
            <x v="57"/>
          </reference>
        </references>
      </pivotArea>
    </format>
    <format dxfId="4370">
      <pivotArea dataOnly="0" labelOnly="1" outline="0" fieldPosition="0">
        <references count="4">
          <reference field="5" count="1">
            <x v="95"/>
          </reference>
          <reference field="8" count="1" selected="0">
            <x v="40"/>
          </reference>
          <reference field="11" count="1" selected="0">
            <x v="3"/>
          </reference>
          <reference field="13" count="1" selected="0">
            <x v="69"/>
          </reference>
        </references>
      </pivotArea>
    </format>
    <format dxfId="4369">
      <pivotArea dataOnly="0" labelOnly="1" outline="0" fieldPosition="0">
        <references count="4">
          <reference field="5" count="1">
            <x v="95"/>
          </reference>
          <reference field="8" count="1" selected="0">
            <x v="40"/>
          </reference>
          <reference field="11" count="1" selected="0">
            <x v="3"/>
          </reference>
          <reference field="13" count="1" selected="0">
            <x v="100"/>
          </reference>
        </references>
      </pivotArea>
    </format>
    <format dxfId="4368">
      <pivotArea dataOnly="0" labelOnly="1" outline="0" fieldPosition="0">
        <references count="4">
          <reference field="5" count="1">
            <x v="117"/>
          </reference>
          <reference field="8" count="1" selected="0">
            <x v="40"/>
          </reference>
          <reference field="11" count="1" selected="0">
            <x v="3"/>
          </reference>
          <reference field="13" count="1" selected="0">
            <x v="218"/>
          </reference>
        </references>
      </pivotArea>
    </format>
    <format dxfId="4367">
      <pivotArea dataOnly="0" labelOnly="1" outline="0" fieldPosition="0">
        <references count="4">
          <reference field="5" count="1">
            <x v="95"/>
          </reference>
          <reference field="8" count="1" selected="0">
            <x v="40"/>
          </reference>
          <reference field="11" count="1" selected="0">
            <x v="3"/>
          </reference>
          <reference field="13" count="1" selected="0">
            <x v="242"/>
          </reference>
        </references>
      </pivotArea>
    </format>
    <format dxfId="4366">
      <pivotArea dataOnly="0" labelOnly="1" outline="0" fieldPosition="0">
        <references count="4">
          <reference field="5" count="1">
            <x v="95"/>
          </reference>
          <reference field="8" count="1" selected="0">
            <x v="40"/>
          </reference>
          <reference field="11" count="1" selected="0">
            <x v="3"/>
          </reference>
          <reference field="13" count="1" selected="0">
            <x v="243"/>
          </reference>
        </references>
      </pivotArea>
    </format>
    <format dxfId="4365">
      <pivotArea dataOnly="0" labelOnly="1" outline="0" fieldPosition="0">
        <references count="4">
          <reference field="5" count="1">
            <x v="95"/>
          </reference>
          <reference field="8" count="1" selected="0">
            <x v="40"/>
          </reference>
          <reference field="11" count="1" selected="0">
            <x v="3"/>
          </reference>
          <reference field="13" count="1" selected="0">
            <x v="251"/>
          </reference>
        </references>
      </pivotArea>
    </format>
    <format dxfId="4364">
      <pivotArea dataOnly="0" labelOnly="1" outline="0" fieldPosition="0">
        <references count="4">
          <reference field="5" count="1">
            <x v="95"/>
          </reference>
          <reference field="8" count="1" selected="0">
            <x v="40"/>
          </reference>
          <reference field="11" count="1" selected="0">
            <x v="3"/>
          </reference>
          <reference field="13" count="1" selected="0">
            <x v="287"/>
          </reference>
        </references>
      </pivotArea>
    </format>
    <format dxfId="4363">
      <pivotArea dataOnly="0" labelOnly="1" outline="0" fieldPosition="0">
        <references count="4">
          <reference field="5" count="1">
            <x v="95"/>
          </reference>
          <reference field="8" count="1" selected="0">
            <x v="40"/>
          </reference>
          <reference field="11" count="1" selected="0">
            <x v="3"/>
          </reference>
          <reference field="13" count="1" selected="0">
            <x v="305"/>
          </reference>
        </references>
      </pivotArea>
    </format>
    <format dxfId="4362">
      <pivotArea dataOnly="0" labelOnly="1" outline="0" fieldPosition="0">
        <references count="4">
          <reference field="5" count="1">
            <x v="117"/>
          </reference>
          <reference field="8" count="1" selected="0">
            <x v="40"/>
          </reference>
          <reference field="11" count="1" selected="0">
            <x v="3"/>
          </reference>
          <reference field="13" count="1" selected="0">
            <x v="314"/>
          </reference>
        </references>
      </pivotArea>
    </format>
    <format dxfId="4361">
      <pivotArea dataOnly="0" labelOnly="1" outline="0" fieldPosition="0">
        <references count="4">
          <reference field="5" count="1">
            <x v="95"/>
          </reference>
          <reference field="8" count="1" selected="0">
            <x v="40"/>
          </reference>
          <reference field="11" count="1" selected="0">
            <x v="4"/>
          </reference>
          <reference field="13" count="1" selected="0">
            <x v="158"/>
          </reference>
        </references>
      </pivotArea>
    </format>
    <format dxfId="4360">
      <pivotArea dataOnly="0" labelOnly="1" outline="0" fieldPosition="0">
        <references count="4">
          <reference field="5" count="1">
            <x v="95"/>
          </reference>
          <reference field="8" count="1" selected="0">
            <x v="40"/>
          </reference>
          <reference field="11" count="1" selected="0">
            <x v="4"/>
          </reference>
          <reference field="13" count="1" selected="0">
            <x v="280"/>
          </reference>
        </references>
      </pivotArea>
    </format>
    <format dxfId="4359">
      <pivotArea dataOnly="0" labelOnly="1" outline="0" fieldPosition="0">
        <references count="4">
          <reference field="5" count="1">
            <x v="95"/>
          </reference>
          <reference field="8" count="1" selected="0">
            <x v="40"/>
          </reference>
          <reference field="11" count="1" selected="0">
            <x v="5"/>
          </reference>
          <reference field="13" count="1" selected="0">
            <x v="77"/>
          </reference>
        </references>
      </pivotArea>
    </format>
    <format dxfId="4358">
      <pivotArea dataOnly="0" labelOnly="1" outline="0" fieldPosition="0">
        <references count="4">
          <reference field="5" count="1">
            <x v="20"/>
          </reference>
          <reference field="8" count="1" selected="0">
            <x v="40"/>
          </reference>
          <reference field="11" count="1" selected="0">
            <x v="5"/>
          </reference>
          <reference field="13" count="1" selected="0">
            <x v="255"/>
          </reference>
        </references>
      </pivotArea>
    </format>
    <format dxfId="4357">
      <pivotArea dataOnly="0" labelOnly="1" outline="0" fieldPosition="0">
        <references count="4">
          <reference field="5" count="1">
            <x v="95"/>
          </reference>
          <reference field="8" count="1" selected="0">
            <x v="40"/>
          </reference>
          <reference field="11" count="1" selected="0">
            <x v="7"/>
          </reference>
          <reference field="13" count="1" selected="0">
            <x v="72"/>
          </reference>
        </references>
      </pivotArea>
    </format>
    <format dxfId="4356">
      <pivotArea dataOnly="0" labelOnly="1" outline="0" fieldPosition="0">
        <references count="4">
          <reference field="5" count="1">
            <x v="63"/>
          </reference>
          <reference field="8" count="1" selected="0">
            <x v="41"/>
          </reference>
          <reference field="11" count="1" selected="0">
            <x v="1"/>
          </reference>
          <reference field="13" count="1" selected="0">
            <x v="216"/>
          </reference>
        </references>
      </pivotArea>
    </format>
    <format dxfId="4355">
      <pivotArea dataOnly="0" labelOnly="1" outline="0" fieldPosition="0">
        <references count="4">
          <reference field="5" count="1">
            <x v="116"/>
          </reference>
          <reference field="8" count="1" selected="0">
            <x v="41"/>
          </reference>
          <reference field="11" count="1" selected="0">
            <x v="5"/>
          </reference>
          <reference field="13" count="1" selected="0">
            <x v="81"/>
          </reference>
        </references>
      </pivotArea>
    </format>
    <format dxfId="4354">
      <pivotArea dataOnly="0" labelOnly="1" outline="0" fieldPosition="0">
        <references count="4">
          <reference field="5" count="1">
            <x v="63"/>
          </reference>
          <reference field="8" count="1" selected="0">
            <x v="41"/>
          </reference>
          <reference field="11" count="1" selected="0">
            <x v="5"/>
          </reference>
          <reference field="13" count="1" selected="0">
            <x v="96"/>
          </reference>
        </references>
      </pivotArea>
    </format>
    <format dxfId="4353">
      <pivotArea dataOnly="0" labelOnly="1" outline="0" fieldPosition="0">
        <references count="4">
          <reference field="5" count="1">
            <x v="64"/>
          </reference>
          <reference field="8" count="1" selected="0">
            <x v="42"/>
          </reference>
          <reference field="11" count="1" selected="0">
            <x v="1"/>
          </reference>
          <reference field="13" count="1" selected="0">
            <x v="169"/>
          </reference>
        </references>
      </pivotArea>
    </format>
    <format dxfId="4352">
      <pivotArea dataOnly="0" labelOnly="1" outline="0" fieldPosition="0">
        <references count="4">
          <reference field="5" count="2">
            <x v="70"/>
            <x v="120"/>
          </reference>
          <reference field="8" count="1" selected="0">
            <x v="42"/>
          </reference>
          <reference field="11" count="1" selected="0">
            <x v="3"/>
          </reference>
          <reference field="13" count="1" selected="0">
            <x v="17"/>
          </reference>
        </references>
      </pivotArea>
    </format>
    <format dxfId="4351">
      <pivotArea dataOnly="0" labelOnly="1" outline="0" fieldPosition="0">
        <references count="4">
          <reference field="5" count="2">
            <x v="70"/>
            <x v="120"/>
          </reference>
          <reference field="8" count="1" selected="0">
            <x v="42"/>
          </reference>
          <reference field="11" count="1" selected="0">
            <x v="3"/>
          </reference>
          <reference field="13" count="1" selected="0">
            <x v="69"/>
          </reference>
        </references>
      </pivotArea>
    </format>
    <format dxfId="4350">
      <pivotArea dataOnly="0" labelOnly="1" outline="0" fieldPosition="0">
        <references count="4">
          <reference field="5" count="1">
            <x v="120"/>
          </reference>
          <reference field="8" count="1" selected="0">
            <x v="42"/>
          </reference>
          <reference field="11" count="1" selected="0">
            <x v="3"/>
          </reference>
          <reference field="13" count="1" selected="0">
            <x v="78"/>
          </reference>
        </references>
      </pivotArea>
    </format>
    <format dxfId="4349">
      <pivotArea dataOnly="0" labelOnly="1" outline="0" fieldPosition="0">
        <references count="4">
          <reference field="5" count="1">
            <x v="70"/>
          </reference>
          <reference field="8" count="1" selected="0">
            <x v="42"/>
          </reference>
          <reference field="11" count="1" selected="0">
            <x v="3"/>
          </reference>
          <reference field="13" count="1" selected="0">
            <x v="240"/>
          </reference>
        </references>
      </pivotArea>
    </format>
    <format dxfId="4348">
      <pivotArea dataOnly="0" labelOnly="1" outline="0" fieldPosition="0">
        <references count="4">
          <reference field="5" count="1">
            <x v="70"/>
          </reference>
          <reference field="8" count="1" selected="0">
            <x v="42"/>
          </reference>
          <reference field="11" count="1" selected="0">
            <x v="3"/>
          </reference>
          <reference field="13" count="1" selected="0">
            <x v="242"/>
          </reference>
        </references>
      </pivotArea>
    </format>
    <format dxfId="4347">
      <pivotArea dataOnly="0" labelOnly="1" outline="0" fieldPosition="0">
        <references count="4">
          <reference field="5" count="1">
            <x v="70"/>
          </reference>
          <reference field="8" count="1" selected="0">
            <x v="42"/>
          </reference>
          <reference field="11" count="1" selected="0">
            <x v="3"/>
          </reference>
          <reference field="13" count="1" selected="0">
            <x v="243"/>
          </reference>
        </references>
      </pivotArea>
    </format>
    <format dxfId="4346">
      <pivotArea dataOnly="0" labelOnly="1" outline="0" fieldPosition="0">
        <references count="4">
          <reference field="5" count="1">
            <x v="120"/>
          </reference>
          <reference field="8" count="1" selected="0">
            <x v="42"/>
          </reference>
          <reference field="11" count="1" selected="0">
            <x v="3"/>
          </reference>
          <reference field="13" count="1" selected="0">
            <x v="305"/>
          </reference>
        </references>
      </pivotArea>
    </format>
    <format dxfId="4345">
      <pivotArea dataOnly="0" labelOnly="1" outline="0" fieldPosition="0">
        <references count="4">
          <reference field="5" count="1">
            <x v="70"/>
          </reference>
          <reference field="8" count="1" selected="0">
            <x v="42"/>
          </reference>
          <reference field="11" count="1" selected="0">
            <x v="5"/>
          </reference>
          <reference field="13" count="1" selected="0">
            <x v="96"/>
          </reference>
        </references>
      </pivotArea>
    </format>
    <format dxfId="4344">
      <pivotArea dataOnly="0" labelOnly="1" outline="0" fieldPosition="0">
        <references count="4">
          <reference field="5" count="1">
            <x v="70"/>
          </reference>
          <reference field="8" count="1" selected="0">
            <x v="42"/>
          </reference>
          <reference field="11" count="1" selected="0">
            <x v="7"/>
          </reference>
          <reference field="13" count="1" selected="0">
            <x v="72"/>
          </reference>
        </references>
      </pivotArea>
    </format>
    <format dxfId="4343">
      <pivotArea dataOnly="0" labelOnly="1" outline="0" fieldPosition="0">
        <references count="4">
          <reference field="5" count="1">
            <x v="64"/>
          </reference>
          <reference field="8" count="1" selected="0">
            <x v="42"/>
          </reference>
          <reference field="11" count="1" selected="0">
            <x v="7"/>
          </reference>
          <reference field="13" count="1" selected="0">
            <x v="129"/>
          </reference>
        </references>
      </pivotArea>
    </format>
    <format dxfId="4342">
      <pivotArea dataOnly="0" labelOnly="1" outline="0" fieldPosition="0">
        <references count="4">
          <reference field="5" count="1">
            <x v="47"/>
          </reference>
          <reference field="8" count="1" selected="0">
            <x v="43"/>
          </reference>
          <reference field="11" count="1" selected="0">
            <x v="0"/>
          </reference>
          <reference field="13" count="1" selected="0">
            <x v="61"/>
          </reference>
        </references>
      </pivotArea>
    </format>
    <format dxfId="4341">
      <pivotArea dataOnly="0" labelOnly="1" outline="0" fieldPosition="0">
        <references count="4">
          <reference field="5" count="1">
            <x v="65"/>
          </reference>
          <reference field="8" count="1" selected="0">
            <x v="43"/>
          </reference>
          <reference field="11" count="1" selected="0">
            <x v="3"/>
          </reference>
          <reference field="13" count="1" selected="0">
            <x v="242"/>
          </reference>
        </references>
      </pivotArea>
    </format>
    <format dxfId="4340">
      <pivotArea dataOnly="0" labelOnly="1" outline="0" fieldPosition="0">
        <references count="4">
          <reference field="5" count="1">
            <x v="65"/>
          </reference>
          <reference field="8" count="1" selected="0">
            <x v="43"/>
          </reference>
          <reference field="11" count="1" selected="0">
            <x v="3"/>
          </reference>
          <reference field="13" count="1" selected="0">
            <x v="243"/>
          </reference>
        </references>
      </pivotArea>
    </format>
    <format dxfId="4339">
      <pivotArea dataOnly="0" labelOnly="1" outline="0" fieldPosition="0">
        <references count="4">
          <reference field="5" count="1">
            <x v="20"/>
          </reference>
          <reference field="8" count="1" selected="0">
            <x v="43"/>
          </reference>
          <reference field="11" count="1" selected="0">
            <x v="5"/>
          </reference>
          <reference field="13" count="1" selected="0">
            <x v="81"/>
          </reference>
        </references>
      </pivotArea>
    </format>
    <format dxfId="4338">
      <pivotArea dataOnly="0" labelOnly="1" outline="0" fieldPosition="0">
        <references count="4">
          <reference field="5" count="1">
            <x v="60"/>
          </reference>
          <reference field="8" count="1" selected="0">
            <x v="43"/>
          </reference>
          <reference field="11" count="1" selected="0">
            <x v="5"/>
          </reference>
          <reference field="13" count="1" selected="0">
            <x v="96"/>
          </reference>
        </references>
      </pivotArea>
    </format>
    <format dxfId="4337">
      <pivotArea dataOnly="0" labelOnly="1" outline="0" fieldPosition="0">
        <references count="4">
          <reference field="5" count="2">
            <x v="116"/>
            <x v="117"/>
          </reference>
          <reference field="8" count="1" selected="0">
            <x v="44"/>
          </reference>
          <reference field="11" count="1" selected="0">
            <x v="3"/>
          </reference>
          <reference field="13" count="1" selected="0">
            <x v="29"/>
          </reference>
        </references>
      </pivotArea>
    </format>
    <format dxfId="4336">
      <pivotArea dataOnly="0" labelOnly="1" outline="0" fieldPosition="0">
        <references count="4">
          <reference field="5" count="1">
            <x v="37"/>
          </reference>
          <reference field="8" count="1" selected="0">
            <x v="44"/>
          </reference>
          <reference field="11" count="1" selected="0">
            <x v="3"/>
          </reference>
          <reference field="13" count="1" selected="0">
            <x v="69"/>
          </reference>
        </references>
      </pivotArea>
    </format>
    <format dxfId="4335">
      <pivotArea dataOnly="0" labelOnly="1" outline="0" fieldPosition="0">
        <references count="4">
          <reference field="5" count="1">
            <x v="117"/>
          </reference>
          <reference field="8" count="1" selected="0">
            <x v="44"/>
          </reference>
          <reference field="11" count="1" selected="0">
            <x v="3"/>
          </reference>
          <reference field="13" count="1" selected="0">
            <x v="218"/>
          </reference>
        </references>
      </pivotArea>
    </format>
    <format dxfId="4334">
      <pivotArea dataOnly="0" labelOnly="1" outline="0" fieldPosition="0">
        <references count="4">
          <reference field="5" count="2">
            <x v="50"/>
            <x v="63"/>
          </reference>
          <reference field="8" count="1" selected="0">
            <x v="44"/>
          </reference>
          <reference field="11" count="1" selected="0">
            <x v="3"/>
          </reference>
          <reference field="13" count="1" selected="0">
            <x v="240"/>
          </reference>
        </references>
      </pivotArea>
    </format>
    <format dxfId="4333">
      <pivotArea dataOnly="0" labelOnly="1" outline="0" fieldPosition="0">
        <references count="4">
          <reference field="5" count="2">
            <x v="56"/>
            <x v="70"/>
          </reference>
          <reference field="8" count="1" selected="0">
            <x v="44"/>
          </reference>
          <reference field="11" count="1" selected="0">
            <x v="3"/>
          </reference>
          <reference field="13" count="1" selected="0">
            <x v="242"/>
          </reference>
        </references>
      </pivotArea>
    </format>
    <format dxfId="4332">
      <pivotArea dataOnly="0" labelOnly="1" outline="0" fieldPosition="0">
        <references count="4">
          <reference field="5" count="1">
            <x v="37"/>
          </reference>
          <reference field="8" count="1" selected="0">
            <x v="44"/>
          </reference>
          <reference field="11" count="1" selected="0">
            <x v="3"/>
          </reference>
          <reference field="13" count="1" selected="0">
            <x v="272"/>
          </reference>
        </references>
      </pivotArea>
    </format>
    <format dxfId="4331">
      <pivotArea dataOnly="0" labelOnly="1" outline="0" fieldPosition="0">
        <references count="4">
          <reference field="5" count="50">
            <x v="3"/>
            <x v="4"/>
            <x v="5"/>
            <x v="6"/>
            <x v="9"/>
            <x v="11"/>
            <x v="13"/>
            <x v="15"/>
            <x v="19"/>
            <x v="21"/>
            <x v="22"/>
            <x v="23"/>
            <x v="24"/>
            <x v="26"/>
            <x v="32"/>
            <x v="34"/>
            <x v="35"/>
            <x v="36"/>
            <x v="37"/>
            <x v="38"/>
            <x v="39"/>
            <x v="42"/>
            <x v="44"/>
            <x v="45"/>
            <x v="48"/>
            <x v="50"/>
            <x v="51"/>
            <x v="52"/>
            <x v="53"/>
            <x v="54"/>
            <x v="55"/>
            <x v="56"/>
            <x v="58"/>
            <x v="59"/>
            <x v="62"/>
            <x v="63"/>
            <x v="65"/>
            <x v="67"/>
            <x v="70"/>
            <x v="71"/>
            <x v="72"/>
            <x v="73"/>
            <x v="74"/>
            <x v="76"/>
            <x v="79"/>
            <x v="80"/>
            <x v="92"/>
            <x v="93"/>
            <x v="94"/>
            <x v="101"/>
          </reference>
          <reference field="8" count="1" selected="0">
            <x v="44"/>
          </reference>
          <reference field="11" count="1" selected="0">
            <x v="3"/>
          </reference>
          <reference field="13" count="1" selected="0">
            <x v="287"/>
          </reference>
        </references>
      </pivotArea>
    </format>
    <format dxfId="4330">
      <pivotArea dataOnly="0" labelOnly="1" outline="0" fieldPosition="0">
        <references count="4">
          <reference field="5" count="7">
            <x v="104"/>
            <x v="105"/>
            <x v="106"/>
            <x v="108"/>
            <x v="109"/>
            <x v="111"/>
            <x v="112"/>
          </reference>
          <reference field="8" count="1" selected="0">
            <x v="44"/>
          </reference>
          <reference field="11" count="1" selected="0">
            <x v="3"/>
          </reference>
          <reference field="13" count="1" selected="0">
            <x v="287"/>
          </reference>
        </references>
      </pivotArea>
    </format>
    <format dxfId="4329">
      <pivotArea dataOnly="0" labelOnly="1" outline="0" fieldPosition="0">
        <references count="4">
          <reference field="5" count="1">
            <x v="22"/>
          </reference>
          <reference field="8" count="1" selected="0">
            <x v="44"/>
          </reference>
          <reference field="11" count="1" selected="0">
            <x v="3"/>
          </reference>
          <reference field="13" count="1" selected="0">
            <x v="305"/>
          </reference>
        </references>
      </pivotArea>
    </format>
    <format dxfId="4328">
      <pivotArea dataOnly="0" labelOnly="1" outline="0" fieldPosition="0">
        <references count="4">
          <reference field="5" count="1">
            <x v="117"/>
          </reference>
          <reference field="8" count="1" selected="0">
            <x v="44"/>
          </reference>
          <reference field="11" count="1" selected="0">
            <x v="3"/>
          </reference>
          <reference field="13" count="1" selected="0">
            <x v="314"/>
          </reference>
        </references>
      </pivotArea>
    </format>
    <format dxfId="4327">
      <pivotArea dataOnly="0" labelOnly="1" outline="0" fieldPosition="0">
        <references count="4">
          <reference field="5" count="1">
            <x v="65"/>
          </reference>
          <reference field="8" count="1" selected="0">
            <x v="44"/>
          </reference>
          <reference field="11" count="1" selected="0">
            <x v="4"/>
          </reference>
          <reference field="13" count="1" selected="0">
            <x v="158"/>
          </reference>
        </references>
      </pivotArea>
    </format>
    <format dxfId="4326">
      <pivotArea dataOnly="0" labelOnly="1" outline="0" fieldPosition="0">
        <references count="4">
          <reference field="5" count="1">
            <x v="116"/>
          </reference>
          <reference field="8" count="1" selected="0">
            <x v="44"/>
          </reference>
          <reference field="11" count="1" selected="0">
            <x v="5"/>
          </reference>
          <reference field="13" count="1" selected="0">
            <x v="81"/>
          </reference>
        </references>
      </pivotArea>
    </format>
    <format dxfId="4325">
      <pivotArea dataOnly="0" labelOnly="1" outline="0" fieldPosition="0">
        <references count="4">
          <reference field="5" count="2">
            <x v="72"/>
            <x v="95"/>
          </reference>
          <reference field="8" count="1" selected="0">
            <x v="44"/>
          </reference>
          <reference field="11" count="1" selected="0">
            <x v="5"/>
          </reference>
          <reference field="13" count="1" selected="0">
            <x v="96"/>
          </reference>
        </references>
      </pivotArea>
    </format>
    <format dxfId="4324">
      <pivotArea dataOnly="0" labelOnly="1" outline="0" fieldPosition="0">
        <references count="4">
          <reference field="5" count="7">
            <x v="5"/>
            <x v="37"/>
            <x v="60"/>
            <x v="63"/>
            <x v="114"/>
            <x v="116"/>
            <x v="117"/>
          </reference>
          <reference field="8" count="1" selected="0">
            <x v="44"/>
          </reference>
          <reference field="11" count="1" selected="0">
            <x v="5"/>
          </reference>
          <reference field="13" count="1" selected="0">
            <x v="226"/>
          </reference>
        </references>
      </pivotArea>
    </format>
    <format dxfId="4323">
      <pivotArea dataOnly="0" labelOnly="1" outline="0" fieldPosition="0">
        <references count="4">
          <reference field="5" count="2">
            <x v="7"/>
            <x v="43"/>
          </reference>
          <reference field="8" count="1" selected="0">
            <x v="44"/>
          </reference>
          <reference field="11" count="1" selected="0">
            <x v="5"/>
          </reference>
          <reference field="13" count="1" selected="0">
            <x v="229"/>
          </reference>
        </references>
      </pivotArea>
    </format>
    <format dxfId="4322">
      <pivotArea dataOnly="0" labelOnly="1" outline="0" fieldPosition="0">
        <references count="4">
          <reference field="5" count="1">
            <x v="70"/>
          </reference>
          <reference field="8" count="1" selected="0">
            <x v="44"/>
          </reference>
          <reference field="11" count="1" selected="0">
            <x v="7"/>
          </reference>
          <reference field="13" count="1" selected="0">
            <x v="129"/>
          </reference>
        </references>
      </pivotArea>
    </format>
    <format dxfId="4321">
      <pivotArea dataOnly="0" labelOnly="1" outline="0" fieldPosition="0">
        <references count="4">
          <reference field="5" count="1">
            <x v="64"/>
          </reference>
          <reference field="8" count="1" selected="0">
            <x v="45"/>
          </reference>
          <reference field="11" count="1" selected="0">
            <x v="0"/>
          </reference>
          <reference field="13" count="1" selected="0">
            <x v="185"/>
          </reference>
        </references>
      </pivotArea>
    </format>
    <format dxfId="4320">
      <pivotArea dataOnly="0" labelOnly="1" outline="0" fieldPosition="0">
        <references count="4">
          <reference field="5" count="1">
            <x v="0"/>
          </reference>
          <reference field="8" count="1" selected="0">
            <x v="45"/>
          </reference>
          <reference field="11" count="1" selected="0">
            <x v="0"/>
          </reference>
          <reference field="13" count="1" selected="0">
            <x v="283"/>
          </reference>
        </references>
      </pivotArea>
    </format>
    <format dxfId="4319">
      <pivotArea dataOnly="0" labelOnly="1" outline="0" fieldPosition="0">
        <references count="4">
          <reference field="5" count="1">
            <x v="60"/>
          </reference>
          <reference field="8" count="1" selected="0">
            <x v="45"/>
          </reference>
          <reference field="11" count="1" selected="0">
            <x v="3"/>
          </reference>
          <reference field="13" count="1" selected="0">
            <x v="17"/>
          </reference>
        </references>
      </pivotArea>
    </format>
    <format dxfId="4318">
      <pivotArea dataOnly="0" labelOnly="1" outline="0" fieldPosition="0">
        <references count="4">
          <reference field="5" count="2">
            <x v="116"/>
            <x v="117"/>
          </reference>
          <reference field="8" count="1" selected="0">
            <x v="45"/>
          </reference>
          <reference field="11" count="1" selected="0">
            <x v="3"/>
          </reference>
          <reference field="13" count="1" selected="0">
            <x v="29"/>
          </reference>
        </references>
      </pivotArea>
    </format>
    <format dxfId="4317">
      <pivotArea dataOnly="0" labelOnly="1" outline="0" fieldPosition="0">
        <references count="4">
          <reference field="5" count="1">
            <x v="117"/>
          </reference>
          <reference field="8" count="1" selected="0">
            <x v="45"/>
          </reference>
          <reference field="11" count="1" selected="0">
            <x v="3"/>
          </reference>
          <reference field="13" count="1" selected="0">
            <x v="218"/>
          </reference>
        </references>
      </pivotArea>
    </format>
    <format dxfId="4316">
      <pivotArea dataOnly="0" labelOnly="1" outline="0" fieldPosition="0">
        <references count="4">
          <reference field="5" count="1">
            <x v="60"/>
          </reference>
          <reference field="8" count="1" selected="0">
            <x v="45"/>
          </reference>
          <reference field="11" count="1" selected="0">
            <x v="3"/>
          </reference>
          <reference field="13" count="1" selected="0">
            <x v="240"/>
          </reference>
        </references>
      </pivotArea>
    </format>
    <format dxfId="4315">
      <pivotArea dataOnly="0" labelOnly="1" outline="0" fieldPosition="0">
        <references count="4">
          <reference field="5" count="1">
            <x v="60"/>
          </reference>
          <reference field="8" count="1" selected="0">
            <x v="45"/>
          </reference>
          <reference field="11" count="1" selected="0">
            <x v="3"/>
          </reference>
          <reference field="13" count="1" selected="0">
            <x v="242"/>
          </reference>
        </references>
      </pivotArea>
    </format>
    <format dxfId="4314">
      <pivotArea dataOnly="0" labelOnly="1" outline="0" fieldPosition="0">
        <references count="4">
          <reference field="5" count="1">
            <x v="60"/>
          </reference>
          <reference field="8" count="1" selected="0">
            <x v="45"/>
          </reference>
          <reference field="11" count="1" selected="0">
            <x v="3"/>
          </reference>
          <reference field="13" count="1" selected="0">
            <x v="243"/>
          </reference>
        </references>
      </pivotArea>
    </format>
    <format dxfId="4313">
      <pivotArea dataOnly="0" labelOnly="1" outline="0" fieldPosition="0">
        <references count="4">
          <reference field="5" count="1">
            <x v="60"/>
          </reference>
          <reference field="8" count="1" selected="0">
            <x v="45"/>
          </reference>
          <reference field="11" count="1" selected="0">
            <x v="3"/>
          </reference>
          <reference field="13" count="1" selected="0">
            <x v="287"/>
          </reference>
        </references>
      </pivotArea>
    </format>
    <format dxfId="4312">
      <pivotArea dataOnly="0" labelOnly="1" outline="0" fieldPosition="0">
        <references count="4">
          <reference field="5" count="1">
            <x v="60"/>
          </reference>
          <reference field="8" count="1" selected="0">
            <x v="45"/>
          </reference>
          <reference field="11" count="1" selected="0">
            <x v="3"/>
          </reference>
          <reference field="13" count="1" selected="0">
            <x v="305"/>
          </reference>
        </references>
      </pivotArea>
    </format>
    <format dxfId="4311">
      <pivotArea dataOnly="0" labelOnly="1" outline="0" fieldPosition="0">
        <references count="4">
          <reference field="5" count="1">
            <x v="117"/>
          </reference>
          <reference field="8" count="1" selected="0">
            <x v="45"/>
          </reference>
          <reference field="11" count="1" selected="0">
            <x v="3"/>
          </reference>
          <reference field="13" count="1" selected="0">
            <x v="314"/>
          </reference>
        </references>
      </pivotArea>
    </format>
    <format dxfId="4310">
      <pivotArea dataOnly="0" labelOnly="1" outline="0" fieldPosition="0">
        <references count="4">
          <reference field="5" count="1">
            <x v="68"/>
          </reference>
          <reference field="8" count="1" selected="0">
            <x v="45"/>
          </reference>
          <reference field="11" count="1" selected="0">
            <x v="5"/>
          </reference>
          <reference field="13" count="1" selected="0">
            <x v="77"/>
          </reference>
        </references>
      </pivotArea>
    </format>
    <format dxfId="4309">
      <pivotArea dataOnly="0" labelOnly="1" outline="0" fieldPosition="0">
        <references count="4">
          <reference field="5" count="1">
            <x v="20"/>
          </reference>
          <reference field="8" count="1" selected="0">
            <x v="45"/>
          </reference>
          <reference field="11" count="1" selected="0">
            <x v="5"/>
          </reference>
          <reference field="13" count="1" selected="0">
            <x v="81"/>
          </reference>
        </references>
      </pivotArea>
    </format>
    <format dxfId="4308">
      <pivotArea dataOnly="0" labelOnly="1" outline="0" fieldPosition="0">
        <references count="4">
          <reference field="5" count="1">
            <x v="60"/>
          </reference>
          <reference field="8" count="1" selected="0">
            <x v="45"/>
          </reference>
          <reference field="11" count="1" selected="0">
            <x v="5"/>
          </reference>
          <reference field="13" count="1" selected="0">
            <x v="96"/>
          </reference>
        </references>
      </pivotArea>
    </format>
    <format dxfId="4307">
      <pivotArea dataOnly="0" labelOnly="1" outline="0" fieldPosition="0">
        <references count="4">
          <reference field="5" count="1">
            <x v="116"/>
          </reference>
          <reference field="8" count="1" selected="0">
            <x v="45"/>
          </reference>
          <reference field="11" count="1" selected="0">
            <x v="5"/>
          </reference>
          <reference field="13" count="1" selected="0">
            <x v="170"/>
          </reference>
        </references>
      </pivotArea>
    </format>
    <format dxfId="4306">
      <pivotArea dataOnly="0" labelOnly="1" outline="0" fieldPosition="0">
        <references count="4">
          <reference field="5" count="1">
            <x v="64"/>
          </reference>
          <reference field="8" count="1" selected="0">
            <x v="46"/>
          </reference>
          <reference field="11" count="1" selected="0">
            <x v="0"/>
          </reference>
          <reference field="13" count="1" selected="0">
            <x v="185"/>
          </reference>
        </references>
      </pivotArea>
    </format>
    <format dxfId="4305">
      <pivotArea dataOnly="0" labelOnly="1" outline="0" fieldPosition="0">
        <references count="4">
          <reference field="5" count="1">
            <x v="0"/>
          </reference>
          <reference field="8" count="1" selected="0">
            <x v="46"/>
          </reference>
          <reference field="11" count="1" selected="0">
            <x v="0"/>
          </reference>
          <reference field="13" count="1" selected="0">
            <x v="283"/>
          </reference>
        </references>
      </pivotArea>
    </format>
    <format dxfId="4304">
      <pivotArea dataOnly="0" labelOnly="1" outline="0" fieldPosition="0">
        <references count="4">
          <reference field="5" count="1">
            <x v="60"/>
          </reference>
          <reference field="8" count="1" selected="0">
            <x v="46"/>
          </reference>
          <reference field="11" count="1" selected="0">
            <x v="3"/>
          </reference>
          <reference field="13" count="1" selected="0">
            <x v="17"/>
          </reference>
        </references>
      </pivotArea>
    </format>
    <format dxfId="4303">
      <pivotArea dataOnly="0" labelOnly="1" outline="0" fieldPosition="0">
        <references count="4">
          <reference field="5" count="2">
            <x v="116"/>
            <x v="117"/>
          </reference>
          <reference field="8" count="1" selected="0">
            <x v="46"/>
          </reference>
          <reference field="11" count="1" selected="0">
            <x v="3"/>
          </reference>
          <reference field="13" count="1" selected="0">
            <x v="29"/>
          </reference>
        </references>
      </pivotArea>
    </format>
    <format dxfId="4302">
      <pivotArea dataOnly="0" labelOnly="1" outline="0" fieldPosition="0">
        <references count="4">
          <reference field="5" count="1">
            <x v="117"/>
          </reference>
          <reference field="8" count="1" selected="0">
            <x v="46"/>
          </reference>
          <reference field="11" count="1" selected="0">
            <x v="3"/>
          </reference>
          <reference field="13" count="1" selected="0">
            <x v="218"/>
          </reference>
        </references>
      </pivotArea>
    </format>
    <format dxfId="4301">
      <pivotArea dataOnly="0" labelOnly="1" outline="0" fieldPosition="0">
        <references count="4">
          <reference field="5" count="1">
            <x v="60"/>
          </reference>
          <reference field="8" count="1" selected="0">
            <x v="46"/>
          </reference>
          <reference field="11" count="1" selected="0">
            <x v="3"/>
          </reference>
          <reference field="13" count="1" selected="0">
            <x v="242"/>
          </reference>
        </references>
      </pivotArea>
    </format>
    <format dxfId="4300">
      <pivotArea dataOnly="0" labelOnly="1" outline="0" fieldPosition="0">
        <references count="4">
          <reference field="5" count="1">
            <x v="60"/>
          </reference>
          <reference field="8" count="1" selected="0">
            <x v="46"/>
          </reference>
          <reference field="11" count="1" selected="0">
            <x v="3"/>
          </reference>
          <reference field="13" count="1" selected="0">
            <x v="243"/>
          </reference>
        </references>
      </pivotArea>
    </format>
    <format dxfId="4299">
      <pivotArea dataOnly="0" labelOnly="1" outline="0" fieldPosition="0">
        <references count="4">
          <reference field="5" count="1">
            <x v="60"/>
          </reference>
          <reference field="8" count="1" selected="0">
            <x v="46"/>
          </reference>
          <reference field="11" count="1" selected="0">
            <x v="3"/>
          </reference>
          <reference field="13" count="1" selected="0">
            <x v="287"/>
          </reference>
        </references>
      </pivotArea>
    </format>
    <format dxfId="4298">
      <pivotArea dataOnly="0" labelOnly="1" outline="0" fieldPosition="0">
        <references count="4">
          <reference field="5" count="1">
            <x v="60"/>
          </reference>
          <reference field="8" count="1" selected="0">
            <x v="46"/>
          </reference>
          <reference field="11" count="1" selected="0">
            <x v="3"/>
          </reference>
          <reference field="13" count="1" selected="0">
            <x v="305"/>
          </reference>
        </references>
      </pivotArea>
    </format>
    <format dxfId="4297">
      <pivotArea dataOnly="0" labelOnly="1" outline="0" fieldPosition="0">
        <references count="4">
          <reference field="5" count="1">
            <x v="117"/>
          </reference>
          <reference field="8" count="1" selected="0">
            <x v="46"/>
          </reference>
          <reference field="11" count="1" selected="0">
            <x v="3"/>
          </reference>
          <reference field="13" count="1" selected="0">
            <x v="314"/>
          </reference>
        </references>
      </pivotArea>
    </format>
    <format dxfId="4296">
      <pivotArea dataOnly="0" labelOnly="1" outline="0" fieldPosition="0">
        <references count="4">
          <reference field="5" count="1">
            <x v="20"/>
          </reference>
          <reference field="8" count="1" selected="0">
            <x v="46"/>
          </reference>
          <reference field="11" count="1" selected="0">
            <x v="5"/>
          </reference>
          <reference field="13" count="1" selected="0">
            <x v="81"/>
          </reference>
        </references>
      </pivotArea>
    </format>
    <format dxfId="4295">
      <pivotArea dataOnly="0" labelOnly="1" outline="0" fieldPosition="0">
        <references count="4">
          <reference field="5" count="1">
            <x v="60"/>
          </reference>
          <reference field="8" count="1" selected="0">
            <x v="46"/>
          </reference>
          <reference field="11" count="1" selected="0">
            <x v="5"/>
          </reference>
          <reference field="13" count="1" selected="0">
            <x v="96"/>
          </reference>
        </references>
      </pivotArea>
    </format>
    <format dxfId="4294">
      <pivotArea dataOnly="0" labelOnly="1" outline="0" fieldPosition="0">
        <references count="4">
          <reference field="5" count="1">
            <x v="116"/>
          </reference>
          <reference field="8" count="1" selected="0">
            <x v="46"/>
          </reference>
          <reference field="11" count="1" selected="0">
            <x v="5"/>
          </reference>
          <reference field="13" count="1" selected="0">
            <x v="175"/>
          </reference>
        </references>
      </pivotArea>
    </format>
    <format dxfId="4293">
      <pivotArea dataOnly="0" labelOnly="1" outline="0" fieldPosition="0">
        <references count="4">
          <reference field="5" count="1">
            <x v="64"/>
          </reference>
          <reference field="8" count="1" selected="0">
            <x v="47"/>
          </reference>
          <reference field="11" count="1" selected="0">
            <x v="1"/>
          </reference>
          <reference field="13" count="1" selected="0">
            <x v="19"/>
          </reference>
        </references>
      </pivotArea>
    </format>
    <format dxfId="4292">
      <pivotArea dataOnly="0" labelOnly="1" outline="0" fieldPosition="0">
        <references count="4">
          <reference field="5" count="1">
            <x v="64"/>
          </reference>
          <reference field="8" count="1" selected="0">
            <x v="47"/>
          </reference>
          <reference field="11" count="1" selected="0">
            <x v="1"/>
          </reference>
          <reference field="13" count="1" selected="0">
            <x v="56"/>
          </reference>
        </references>
      </pivotArea>
    </format>
    <format dxfId="4291">
      <pivotArea dataOnly="0" labelOnly="1" outline="0" fieldPosition="0">
        <references count="4">
          <reference field="5" count="1">
            <x v="64"/>
          </reference>
          <reference field="8" count="1" selected="0">
            <x v="47"/>
          </reference>
          <reference field="11" count="1" selected="0">
            <x v="1"/>
          </reference>
          <reference field="13" count="1" selected="0">
            <x v="169"/>
          </reference>
        </references>
      </pivotArea>
    </format>
    <format dxfId="4290">
      <pivotArea dataOnly="0" labelOnly="1" outline="0" fieldPosition="0">
        <references count="4">
          <reference field="5" count="1">
            <x v="64"/>
          </reference>
          <reference field="8" count="1" selected="0">
            <x v="47"/>
          </reference>
          <reference field="11" count="1" selected="0">
            <x v="1"/>
          </reference>
          <reference field="13" count="1" selected="0">
            <x v="171"/>
          </reference>
        </references>
      </pivotArea>
    </format>
    <format dxfId="4289">
      <pivotArea dataOnly="0" labelOnly="1" outline="0" fieldPosition="0">
        <references count="4">
          <reference field="5" count="1">
            <x v="64"/>
          </reference>
          <reference field="8" count="1" selected="0">
            <x v="47"/>
          </reference>
          <reference field="11" count="1" selected="0">
            <x v="1"/>
          </reference>
          <reference field="13" count="1" selected="0">
            <x v="260"/>
          </reference>
        </references>
      </pivotArea>
    </format>
    <format dxfId="4288">
      <pivotArea dataOnly="0" labelOnly="1" outline="0" fieldPosition="0">
        <references count="4">
          <reference field="5" count="1">
            <x v="64"/>
          </reference>
          <reference field="8" count="1" selected="0">
            <x v="47"/>
          </reference>
          <reference field="11" count="1" selected="0">
            <x v="1"/>
          </reference>
          <reference field="13" count="1" selected="0">
            <x v="286"/>
          </reference>
        </references>
      </pivotArea>
    </format>
    <format dxfId="4287">
      <pivotArea dataOnly="0" labelOnly="1" outline="0" fieldPosition="0">
        <references count="4">
          <reference field="5" count="1">
            <x v="64"/>
          </reference>
          <reference field="8" count="1" selected="0">
            <x v="47"/>
          </reference>
          <reference field="11" count="1" selected="0">
            <x v="3"/>
          </reference>
          <reference field="13" count="1" selected="0">
            <x v="7"/>
          </reference>
        </references>
      </pivotArea>
    </format>
    <format dxfId="4286">
      <pivotArea dataOnly="0" labelOnly="1" outline="0" fieldPosition="0">
        <references count="4">
          <reference field="5" count="1">
            <x v="64"/>
          </reference>
          <reference field="8" count="1" selected="0">
            <x v="47"/>
          </reference>
          <reference field="11" count="1" selected="0">
            <x v="3"/>
          </reference>
          <reference field="13" count="1" selected="0">
            <x v="17"/>
          </reference>
        </references>
      </pivotArea>
    </format>
    <format dxfId="4285">
      <pivotArea dataOnly="0" labelOnly="1" outline="0" fieldPosition="0">
        <references count="4">
          <reference field="5" count="1">
            <x v="64"/>
          </reference>
          <reference field="8" count="1" selected="0">
            <x v="47"/>
          </reference>
          <reference field="11" count="1" selected="0">
            <x v="3"/>
          </reference>
          <reference field="13" count="1" selected="0">
            <x v="69"/>
          </reference>
        </references>
      </pivotArea>
    </format>
    <format dxfId="4284">
      <pivotArea dataOnly="0" labelOnly="1" outline="0" fieldPosition="0">
        <references count="4">
          <reference field="5" count="1">
            <x v="64"/>
          </reference>
          <reference field="8" count="1" selected="0">
            <x v="47"/>
          </reference>
          <reference field="11" count="1" selected="0">
            <x v="3"/>
          </reference>
          <reference field="13" count="1" selected="0">
            <x v="240"/>
          </reference>
        </references>
      </pivotArea>
    </format>
    <format dxfId="4283">
      <pivotArea dataOnly="0" labelOnly="1" outline="0" fieldPosition="0">
        <references count="4">
          <reference field="5" count="1">
            <x v="64"/>
          </reference>
          <reference field="8" count="1" selected="0">
            <x v="47"/>
          </reference>
          <reference field="11" count="1" selected="0">
            <x v="3"/>
          </reference>
          <reference field="13" count="1" selected="0">
            <x v="242"/>
          </reference>
        </references>
      </pivotArea>
    </format>
    <format dxfId="4282">
      <pivotArea dataOnly="0" labelOnly="1" outline="0" fieldPosition="0">
        <references count="4">
          <reference field="5" count="1">
            <x v="64"/>
          </reference>
          <reference field="8" count="1" selected="0">
            <x v="47"/>
          </reference>
          <reference field="11" count="1" selected="0">
            <x v="3"/>
          </reference>
          <reference field="13" count="1" selected="0">
            <x v="243"/>
          </reference>
        </references>
      </pivotArea>
    </format>
    <format dxfId="4281">
      <pivotArea dataOnly="0" labelOnly="1" outline="0" fieldPosition="0">
        <references count="4">
          <reference field="5" count="1">
            <x v="64"/>
          </reference>
          <reference field="8" count="1" selected="0">
            <x v="47"/>
          </reference>
          <reference field="11" count="1" selected="0">
            <x v="3"/>
          </reference>
          <reference field="13" count="1" selected="0">
            <x v="251"/>
          </reference>
        </references>
      </pivotArea>
    </format>
    <format dxfId="4280">
      <pivotArea dataOnly="0" labelOnly="1" outline="0" fieldPosition="0">
        <references count="4">
          <reference field="5" count="1">
            <x v="64"/>
          </reference>
          <reference field="8" count="1" selected="0">
            <x v="47"/>
          </reference>
          <reference field="11" count="1" selected="0">
            <x v="3"/>
          </reference>
          <reference field="13" count="1" selected="0">
            <x v="287"/>
          </reference>
        </references>
      </pivotArea>
    </format>
    <format dxfId="4279">
      <pivotArea dataOnly="0" labelOnly="1" outline="0" fieldPosition="0">
        <references count="4">
          <reference field="5" count="1">
            <x v="20"/>
          </reference>
          <reference field="8" count="1" selected="0">
            <x v="47"/>
          </reference>
          <reference field="11" count="1" selected="0">
            <x v="5"/>
          </reference>
          <reference field="13" count="1" selected="0">
            <x v="81"/>
          </reference>
        </references>
      </pivotArea>
    </format>
    <format dxfId="4278">
      <pivotArea dataOnly="0" labelOnly="1" outline="0" fieldPosition="0">
        <references count="4">
          <reference field="5" count="1">
            <x v="20"/>
          </reference>
          <reference field="8" count="1" selected="0">
            <x v="47"/>
          </reference>
          <reference field="11" count="1" selected="0">
            <x v="5"/>
          </reference>
          <reference field="13" count="1" selected="0">
            <x v="255"/>
          </reference>
        </references>
      </pivotArea>
    </format>
    <format dxfId="4277">
      <pivotArea dataOnly="0" labelOnly="1" outline="0" fieldPosition="0">
        <references count="4">
          <reference field="5" count="1">
            <x v="64"/>
          </reference>
          <reference field="8" count="1" selected="0">
            <x v="47"/>
          </reference>
          <reference field="11" count="1" selected="0">
            <x v="7"/>
          </reference>
          <reference field="13" count="1" selected="0">
            <x v="8"/>
          </reference>
        </references>
      </pivotArea>
    </format>
    <format dxfId="4276">
      <pivotArea dataOnly="0" labelOnly="1" outline="0" fieldPosition="0">
        <references count="4">
          <reference field="5" count="1">
            <x v="64"/>
          </reference>
          <reference field="8" count="1" selected="0">
            <x v="47"/>
          </reference>
          <reference field="11" count="1" selected="0">
            <x v="7"/>
          </reference>
          <reference field="13" count="1" selected="0">
            <x v="93"/>
          </reference>
        </references>
      </pivotArea>
    </format>
    <format dxfId="4275">
      <pivotArea dataOnly="0" labelOnly="1" outline="0" fieldPosition="0">
        <references count="4">
          <reference field="5" count="1">
            <x v="64"/>
          </reference>
          <reference field="8" count="1" selected="0">
            <x v="47"/>
          </reference>
          <reference field="11" count="1" selected="0">
            <x v="7"/>
          </reference>
          <reference field="13" count="1" selected="0">
            <x v="129"/>
          </reference>
        </references>
      </pivotArea>
    </format>
    <format dxfId="4274">
      <pivotArea dataOnly="0" labelOnly="1" outline="0" fieldPosition="0">
        <references count="4">
          <reference field="5" count="1">
            <x v="64"/>
          </reference>
          <reference field="8" count="1" selected="0">
            <x v="47"/>
          </reference>
          <reference field="11" count="1" selected="0">
            <x v="7"/>
          </reference>
          <reference field="13" count="1" selected="0">
            <x v="308"/>
          </reference>
        </references>
      </pivotArea>
    </format>
    <format dxfId="4273">
      <pivotArea dataOnly="0" labelOnly="1" outline="0" fieldPosition="0">
        <references count="4">
          <reference field="5" count="1">
            <x v="60"/>
          </reference>
          <reference field="8" count="1" selected="0">
            <x v="48"/>
          </reference>
          <reference field="11" count="1" selected="0">
            <x v="1"/>
          </reference>
          <reference field="13" count="1" selected="0">
            <x v="161"/>
          </reference>
        </references>
      </pivotArea>
    </format>
    <format dxfId="4272">
      <pivotArea dataOnly="0" labelOnly="1" outline="0" fieldPosition="0">
        <references count="4">
          <reference field="5" count="1">
            <x v="60"/>
          </reference>
          <reference field="8" count="1" selected="0">
            <x v="48"/>
          </reference>
          <reference field="11" count="1" selected="0">
            <x v="3"/>
          </reference>
          <reference field="13" count="1" selected="0">
            <x v="17"/>
          </reference>
        </references>
      </pivotArea>
    </format>
    <format dxfId="4271">
      <pivotArea dataOnly="0" labelOnly="1" outline="0" fieldPosition="0">
        <references count="4">
          <reference field="5" count="1">
            <x v="60"/>
          </reference>
          <reference field="8" count="1" selected="0">
            <x v="48"/>
          </reference>
          <reference field="11" count="1" selected="0">
            <x v="3"/>
          </reference>
          <reference field="13" count="1" selected="0">
            <x v="240"/>
          </reference>
        </references>
      </pivotArea>
    </format>
    <format dxfId="4270">
      <pivotArea dataOnly="0" labelOnly="1" outline="0" fieldPosition="0">
        <references count="4">
          <reference field="5" count="1">
            <x v="60"/>
          </reference>
          <reference field="8" count="1" selected="0">
            <x v="48"/>
          </reference>
          <reference field="11" count="1" selected="0">
            <x v="3"/>
          </reference>
          <reference field="13" count="1" selected="0">
            <x v="242"/>
          </reference>
        </references>
      </pivotArea>
    </format>
    <format dxfId="4269">
      <pivotArea dataOnly="0" labelOnly="1" outline="0" fieldPosition="0">
        <references count="4">
          <reference field="5" count="1">
            <x v="60"/>
          </reference>
          <reference field="8" count="1" selected="0">
            <x v="48"/>
          </reference>
          <reference field="11" count="1" selected="0">
            <x v="3"/>
          </reference>
          <reference field="13" count="1" selected="0">
            <x v="243"/>
          </reference>
        </references>
      </pivotArea>
    </format>
    <format dxfId="4268">
      <pivotArea dataOnly="0" labelOnly="1" outline="0" fieldPosition="0">
        <references count="4">
          <reference field="5" count="1">
            <x v="60"/>
          </reference>
          <reference field="8" count="1" selected="0">
            <x v="48"/>
          </reference>
          <reference field="11" count="1" selected="0">
            <x v="3"/>
          </reference>
          <reference field="13" count="1" selected="0">
            <x v="305"/>
          </reference>
        </references>
      </pivotArea>
    </format>
    <format dxfId="4267">
      <pivotArea dataOnly="0" labelOnly="1" outline="0" fieldPosition="0">
        <references count="4">
          <reference field="5" count="1">
            <x v="60"/>
          </reference>
          <reference field="8" count="1" selected="0">
            <x v="48"/>
          </reference>
          <reference field="11" count="1" selected="0">
            <x v="7"/>
          </reference>
          <reference field="13" count="1" selected="0">
            <x v="72"/>
          </reference>
        </references>
      </pivotArea>
    </format>
    <format dxfId="4266">
      <pivotArea dataOnly="0" labelOnly="1" outline="0" fieldPosition="0">
        <references count="4">
          <reference field="5" count="1">
            <x v="70"/>
          </reference>
          <reference field="8" count="1" selected="0">
            <x v="49"/>
          </reference>
          <reference field="11" count="1" selected="0">
            <x v="3"/>
          </reference>
          <reference field="13" count="1" selected="0">
            <x v="17"/>
          </reference>
        </references>
      </pivotArea>
    </format>
    <format dxfId="4265">
      <pivotArea dataOnly="0" labelOnly="1" outline="0" fieldPosition="0">
        <references count="4">
          <reference field="5" count="1">
            <x v="70"/>
          </reference>
          <reference field="8" count="1" selected="0">
            <x v="49"/>
          </reference>
          <reference field="11" count="1" selected="0">
            <x v="3"/>
          </reference>
          <reference field="13" count="1" selected="0">
            <x v="69"/>
          </reference>
        </references>
      </pivotArea>
    </format>
    <format dxfId="4264">
      <pivotArea dataOnly="0" labelOnly="1" outline="0" fieldPosition="0">
        <references count="4">
          <reference field="5" count="1">
            <x v="70"/>
          </reference>
          <reference field="8" count="1" selected="0">
            <x v="49"/>
          </reference>
          <reference field="11" count="1" selected="0">
            <x v="3"/>
          </reference>
          <reference field="13" count="1" selected="0">
            <x v="240"/>
          </reference>
        </references>
      </pivotArea>
    </format>
    <format dxfId="4263">
      <pivotArea dataOnly="0" labelOnly="1" outline="0" fieldPosition="0">
        <references count="4">
          <reference field="5" count="1">
            <x v="70"/>
          </reference>
          <reference field="8" count="1" selected="0">
            <x v="49"/>
          </reference>
          <reference field="11" count="1" selected="0">
            <x v="3"/>
          </reference>
          <reference field="13" count="1" selected="0">
            <x v="243"/>
          </reference>
        </references>
      </pivotArea>
    </format>
    <format dxfId="4262">
      <pivotArea dataOnly="0" labelOnly="1" outline="0" fieldPosition="0">
        <references count="4">
          <reference field="5" count="1">
            <x v="70"/>
          </reference>
          <reference field="8" count="1" selected="0">
            <x v="49"/>
          </reference>
          <reference field="11" count="1" selected="0">
            <x v="3"/>
          </reference>
          <reference field="13" count="1" selected="0">
            <x v="305"/>
          </reference>
        </references>
      </pivotArea>
    </format>
    <format dxfId="4261">
      <pivotArea dataOnly="0" labelOnly="1" outline="0" fieldPosition="0">
        <references count="4">
          <reference field="5" count="1">
            <x v="70"/>
          </reference>
          <reference field="8" count="1" selected="0">
            <x v="49"/>
          </reference>
          <reference field="11" count="1" selected="0">
            <x v="4"/>
          </reference>
          <reference field="13" count="1" selected="0">
            <x v="280"/>
          </reference>
        </references>
      </pivotArea>
    </format>
    <format dxfId="4260">
      <pivotArea dataOnly="0" labelOnly="1" outline="0" fieldPosition="0">
        <references count="4">
          <reference field="5" count="1">
            <x v="20"/>
          </reference>
          <reference field="8" count="1" selected="0">
            <x v="49"/>
          </reference>
          <reference field="11" count="1" selected="0">
            <x v="5"/>
          </reference>
          <reference field="13" count="1" selected="0">
            <x v="81"/>
          </reference>
        </references>
      </pivotArea>
    </format>
    <format dxfId="4259">
      <pivotArea dataOnly="0" labelOnly="1" outline="0" fieldPosition="0">
        <references count="4">
          <reference field="5" count="1">
            <x v="70"/>
          </reference>
          <reference field="8" count="1" selected="0">
            <x v="49"/>
          </reference>
          <reference field="11" count="1" selected="0">
            <x v="5"/>
          </reference>
          <reference field="13" count="1" selected="0">
            <x v="96"/>
          </reference>
        </references>
      </pivotArea>
    </format>
    <format dxfId="4258">
      <pivotArea dataOnly="0" labelOnly="1" outline="0" fieldPosition="0">
        <references count="4">
          <reference field="5" count="1">
            <x v="44"/>
          </reference>
          <reference field="8" count="1" selected="0">
            <x v="50"/>
          </reference>
          <reference field="11" count="1" selected="0">
            <x v="3"/>
          </reference>
          <reference field="13" count="1" selected="0">
            <x v="57"/>
          </reference>
        </references>
      </pivotArea>
    </format>
    <format dxfId="4257">
      <pivotArea dataOnly="0" labelOnly="1" outline="0" fieldPosition="0">
        <references count="4">
          <reference field="5" count="1">
            <x v="44"/>
          </reference>
          <reference field="8" count="1" selected="0">
            <x v="50"/>
          </reference>
          <reference field="11" count="1" selected="0">
            <x v="3"/>
          </reference>
          <reference field="13" count="1" selected="0">
            <x v="69"/>
          </reference>
        </references>
      </pivotArea>
    </format>
    <format dxfId="4256">
      <pivotArea dataOnly="0" labelOnly="1" outline="0" fieldPosition="0">
        <references count="4">
          <reference field="5" count="1">
            <x v="44"/>
          </reference>
          <reference field="8" count="1" selected="0">
            <x v="50"/>
          </reference>
          <reference field="11" count="1" selected="0">
            <x v="3"/>
          </reference>
          <reference field="13" count="1" selected="0">
            <x v="243"/>
          </reference>
        </references>
      </pivotArea>
    </format>
    <format dxfId="4255">
      <pivotArea dataOnly="0" labelOnly="1" outline="0" fieldPosition="0">
        <references count="4">
          <reference field="5" count="2">
            <x v="44"/>
            <x v="116"/>
          </reference>
          <reference field="8" count="1" selected="0">
            <x v="50"/>
          </reference>
          <reference field="11" count="1" selected="0">
            <x v="5"/>
          </reference>
          <reference field="13" count="1" selected="0">
            <x v="81"/>
          </reference>
        </references>
      </pivotArea>
    </format>
    <format dxfId="4254">
      <pivotArea dataOnly="0" labelOnly="1" outline="0" fieldPosition="0">
        <references count="4">
          <reference field="5" count="1">
            <x v="20"/>
          </reference>
          <reference field="8" count="1" selected="0">
            <x v="50"/>
          </reference>
          <reference field="11" count="1" selected="0">
            <x v="5"/>
          </reference>
          <reference field="13" count="1" selected="0">
            <x v="255"/>
          </reference>
        </references>
      </pivotArea>
    </format>
    <format dxfId="4253">
      <pivotArea dataOnly="0" labelOnly="1" outline="0" fieldPosition="0">
        <references count="4">
          <reference field="5" count="1">
            <x v="95"/>
          </reference>
          <reference field="8" count="1" selected="0">
            <x v="51"/>
          </reference>
          <reference field="11" count="1" selected="0">
            <x v="1"/>
          </reference>
          <reference field="13" count="1" selected="0">
            <x v="286"/>
          </reference>
        </references>
      </pivotArea>
    </format>
    <format dxfId="4252">
      <pivotArea dataOnly="0" labelOnly="1" outline="0" fieldPosition="0">
        <references count="4">
          <reference field="5" count="2">
            <x v="116"/>
            <x v="117"/>
          </reference>
          <reference field="8" count="1" selected="0">
            <x v="51"/>
          </reference>
          <reference field="11" count="1" selected="0">
            <x v="3"/>
          </reference>
          <reference field="13" count="1" selected="0">
            <x v="29"/>
          </reference>
        </references>
      </pivotArea>
    </format>
    <format dxfId="4251">
      <pivotArea dataOnly="0" labelOnly="1" outline="0" fieldPosition="0">
        <references count="4">
          <reference field="5" count="1">
            <x v="95"/>
          </reference>
          <reference field="8" count="1" selected="0">
            <x v="51"/>
          </reference>
          <reference field="11" count="1" selected="0">
            <x v="3"/>
          </reference>
          <reference field="13" count="1" selected="0">
            <x v="101"/>
          </reference>
        </references>
      </pivotArea>
    </format>
    <format dxfId="4250">
      <pivotArea dataOnly="0" labelOnly="1" outline="0" fieldPosition="0">
        <references count="4">
          <reference field="5" count="1">
            <x v="117"/>
          </reference>
          <reference field="8" count="1" selected="0">
            <x v="51"/>
          </reference>
          <reference field="11" count="1" selected="0">
            <x v="3"/>
          </reference>
          <reference field="13" count="1" selected="0">
            <x v="218"/>
          </reference>
        </references>
      </pivotArea>
    </format>
    <format dxfId="4249">
      <pivotArea dataOnly="0" labelOnly="1" outline="0" fieldPosition="0">
        <references count="4">
          <reference field="5" count="1">
            <x v="95"/>
          </reference>
          <reference field="8" count="1" selected="0">
            <x v="51"/>
          </reference>
          <reference field="11" count="1" selected="0">
            <x v="3"/>
          </reference>
          <reference field="13" count="1" selected="0">
            <x v="243"/>
          </reference>
        </references>
      </pivotArea>
    </format>
    <format dxfId="4248">
      <pivotArea dataOnly="0" labelOnly="1" outline="0" fieldPosition="0">
        <references count="4">
          <reference field="5" count="1">
            <x v="95"/>
          </reference>
          <reference field="8" count="1" selected="0">
            <x v="51"/>
          </reference>
          <reference field="11" count="1" selected="0">
            <x v="3"/>
          </reference>
          <reference field="13" count="1" selected="0">
            <x v="287"/>
          </reference>
        </references>
      </pivotArea>
    </format>
    <format dxfId="4247">
      <pivotArea dataOnly="0" labelOnly="1" outline="0" fieldPosition="0">
        <references count="4">
          <reference field="5" count="1">
            <x v="95"/>
          </reference>
          <reference field="8" count="1" selected="0">
            <x v="51"/>
          </reference>
          <reference field="11" count="1" selected="0">
            <x v="4"/>
          </reference>
          <reference field="13" count="1" selected="0">
            <x v="158"/>
          </reference>
        </references>
      </pivotArea>
    </format>
    <format dxfId="4246">
      <pivotArea dataOnly="0" labelOnly="1" outline="0" fieldPosition="0">
        <references count="4">
          <reference field="5" count="1">
            <x v="95"/>
          </reference>
          <reference field="8" count="1" selected="0">
            <x v="51"/>
          </reference>
          <reference field="11" count="1" selected="0">
            <x v="5"/>
          </reference>
          <reference field="13" count="1" selected="0">
            <x v="81"/>
          </reference>
        </references>
      </pivotArea>
    </format>
    <format dxfId="4245">
      <pivotArea dataOnly="0" labelOnly="1" outline="0" fieldPosition="0">
        <references count="4">
          <reference field="5" count="1">
            <x v="110"/>
          </reference>
          <reference field="8" count="1" selected="0">
            <x v="52"/>
          </reference>
          <reference field="11" count="1" selected="0">
            <x v="2"/>
          </reference>
          <reference field="13" count="1" selected="0">
            <x v="190"/>
          </reference>
        </references>
      </pivotArea>
    </format>
    <format dxfId="4244">
      <pivotArea dataOnly="0" labelOnly="1" outline="0" fieldPosition="0">
        <references count="4">
          <reference field="5" count="1">
            <x v="110"/>
          </reference>
          <reference field="8" count="1" selected="0">
            <x v="52"/>
          </reference>
          <reference field="11" count="1" selected="0">
            <x v="3"/>
          </reference>
          <reference field="13" count="1" selected="0">
            <x v="7"/>
          </reference>
        </references>
      </pivotArea>
    </format>
    <format dxfId="4243">
      <pivotArea dataOnly="0" labelOnly="1" outline="0" fieldPosition="0">
        <references count="4">
          <reference field="5" count="1">
            <x v="110"/>
          </reference>
          <reference field="8" count="1" selected="0">
            <x v="52"/>
          </reference>
          <reference field="11" count="1" selected="0">
            <x v="3"/>
          </reference>
          <reference field="13" count="1" selected="0">
            <x v="17"/>
          </reference>
        </references>
      </pivotArea>
    </format>
    <format dxfId="4242">
      <pivotArea dataOnly="0" labelOnly="1" outline="0" fieldPosition="0">
        <references count="4">
          <reference field="5" count="3">
            <x v="110"/>
            <x v="116"/>
            <x v="117"/>
          </reference>
          <reference field="8" count="1" selected="0">
            <x v="52"/>
          </reference>
          <reference field="11" count="1" selected="0">
            <x v="3"/>
          </reference>
          <reference field="13" count="1" selected="0">
            <x v="29"/>
          </reference>
        </references>
      </pivotArea>
    </format>
    <format dxfId="4241">
      <pivotArea dataOnly="0" labelOnly="1" outline="0" fieldPosition="0">
        <references count="4">
          <reference field="5" count="1">
            <x v="110"/>
          </reference>
          <reference field="8" count="1" selected="0">
            <x v="52"/>
          </reference>
          <reference field="11" count="1" selected="0">
            <x v="3"/>
          </reference>
          <reference field="13" count="1" selected="0">
            <x v="32"/>
          </reference>
        </references>
      </pivotArea>
    </format>
    <format dxfId="4240">
      <pivotArea dataOnly="0" labelOnly="1" outline="0" fieldPosition="0">
        <references count="4">
          <reference field="5" count="1">
            <x v="110"/>
          </reference>
          <reference field="8" count="1" selected="0">
            <x v="52"/>
          </reference>
          <reference field="11" count="1" selected="0">
            <x v="3"/>
          </reference>
          <reference field="13" count="1" selected="0">
            <x v="54"/>
          </reference>
        </references>
      </pivotArea>
    </format>
    <format dxfId="4239">
      <pivotArea dataOnly="0" labelOnly="1" outline="0" fieldPosition="0">
        <references count="4">
          <reference field="5" count="1">
            <x v="110"/>
          </reference>
          <reference field="8" count="1" selected="0">
            <x v="52"/>
          </reference>
          <reference field="11" count="1" selected="0">
            <x v="3"/>
          </reference>
          <reference field="13" count="1" selected="0">
            <x v="57"/>
          </reference>
        </references>
      </pivotArea>
    </format>
    <format dxfId="4238">
      <pivotArea dataOnly="0" labelOnly="1" outline="0" fieldPosition="0">
        <references count="4">
          <reference field="5" count="1">
            <x v="110"/>
          </reference>
          <reference field="8" count="1" selected="0">
            <x v="52"/>
          </reference>
          <reference field="11" count="1" selected="0">
            <x v="3"/>
          </reference>
          <reference field="13" count="1" selected="0">
            <x v="69"/>
          </reference>
        </references>
      </pivotArea>
    </format>
    <format dxfId="4237">
      <pivotArea dataOnly="0" labelOnly="1" outline="0" fieldPosition="0">
        <references count="4">
          <reference field="5" count="1">
            <x v="110"/>
          </reference>
          <reference field="8" count="1" selected="0">
            <x v="52"/>
          </reference>
          <reference field="11" count="1" selected="0">
            <x v="3"/>
          </reference>
          <reference field="13" count="1" selected="0">
            <x v="78"/>
          </reference>
        </references>
      </pivotArea>
    </format>
    <format dxfId="4236">
      <pivotArea dataOnly="0" labelOnly="1" outline="0" fieldPosition="0">
        <references count="4">
          <reference field="5" count="1">
            <x v="110"/>
          </reference>
          <reference field="8" count="1" selected="0">
            <x v="52"/>
          </reference>
          <reference field="11" count="1" selected="0">
            <x v="3"/>
          </reference>
          <reference field="13" count="1" selected="0">
            <x v="92"/>
          </reference>
        </references>
      </pivotArea>
    </format>
    <format dxfId="4235">
      <pivotArea dataOnly="0" labelOnly="1" outline="0" fieldPosition="0">
        <references count="4">
          <reference field="5" count="1">
            <x v="110"/>
          </reference>
          <reference field="8" count="1" selected="0">
            <x v="52"/>
          </reference>
          <reference field="11" count="1" selected="0">
            <x v="3"/>
          </reference>
          <reference field="13" count="1" selected="0">
            <x v="100"/>
          </reference>
        </references>
      </pivotArea>
    </format>
    <format dxfId="4234">
      <pivotArea dataOnly="0" labelOnly="1" outline="0" fieldPosition="0">
        <references count="4">
          <reference field="5" count="1">
            <x v="117"/>
          </reference>
          <reference field="8" count="1" selected="0">
            <x v="52"/>
          </reference>
          <reference field="11" count="1" selected="0">
            <x v="3"/>
          </reference>
          <reference field="13" count="1" selected="0">
            <x v="218"/>
          </reference>
        </references>
      </pivotArea>
    </format>
    <format dxfId="4233">
      <pivotArea dataOnly="0" labelOnly="1" outline="0" fieldPosition="0">
        <references count="4">
          <reference field="5" count="1">
            <x v="110"/>
          </reference>
          <reference field="8" count="1" selected="0">
            <x v="52"/>
          </reference>
          <reference field="11" count="1" selected="0">
            <x v="3"/>
          </reference>
          <reference field="13" count="1" selected="0">
            <x v="240"/>
          </reference>
        </references>
      </pivotArea>
    </format>
    <format dxfId="4232">
      <pivotArea dataOnly="0" labelOnly="1" outline="0" fieldPosition="0">
        <references count="4">
          <reference field="5" count="1">
            <x v="110"/>
          </reference>
          <reference field="8" count="1" selected="0">
            <x v="52"/>
          </reference>
          <reference field="11" count="1" selected="0">
            <x v="3"/>
          </reference>
          <reference field="13" count="1" selected="0">
            <x v="242"/>
          </reference>
        </references>
      </pivotArea>
    </format>
    <format dxfId="4231">
      <pivotArea dataOnly="0" labelOnly="1" outline="0" fieldPosition="0">
        <references count="4">
          <reference field="5" count="1">
            <x v="110"/>
          </reference>
          <reference field="8" count="1" selected="0">
            <x v="52"/>
          </reference>
          <reference field="11" count="1" selected="0">
            <x v="3"/>
          </reference>
          <reference field="13" count="1" selected="0">
            <x v="243"/>
          </reference>
        </references>
      </pivotArea>
    </format>
    <format dxfId="4230">
      <pivotArea dataOnly="0" labelOnly="1" outline="0" fieldPosition="0">
        <references count="4">
          <reference field="5" count="3">
            <x v="110"/>
            <x v="116"/>
            <x v="117"/>
          </reference>
          <reference field="8" count="1" selected="0">
            <x v="52"/>
          </reference>
          <reference field="11" count="1" selected="0">
            <x v="3"/>
          </reference>
          <reference field="13" count="1" selected="0">
            <x v="287"/>
          </reference>
        </references>
      </pivotArea>
    </format>
    <format dxfId="4229">
      <pivotArea dataOnly="0" labelOnly="1" outline="0" fieldPosition="0">
        <references count="4">
          <reference field="5" count="1">
            <x v="110"/>
          </reference>
          <reference field="8" count="1" selected="0">
            <x v="52"/>
          </reference>
          <reference field="11" count="1" selected="0">
            <x v="3"/>
          </reference>
          <reference field="13" count="1" selected="0">
            <x v="305"/>
          </reference>
        </references>
      </pivotArea>
    </format>
    <format dxfId="4228">
      <pivotArea dataOnly="0" labelOnly="1" outline="0" fieldPosition="0">
        <references count="4">
          <reference field="5" count="1">
            <x v="117"/>
          </reference>
          <reference field="8" count="1" selected="0">
            <x v="52"/>
          </reference>
          <reference field="11" count="1" selected="0">
            <x v="3"/>
          </reference>
          <reference field="13" count="1" selected="0">
            <x v="314"/>
          </reference>
        </references>
      </pivotArea>
    </format>
    <format dxfId="4227">
      <pivotArea dataOnly="0" labelOnly="1" outline="0" fieldPosition="0">
        <references count="4">
          <reference field="5" count="1">
            <x v="110"/>
          </reference>
          <reference field="8" count="1" selected="0">
            <x v="52"/>
          </reference>
          <reference field="11" count="1" selected="0">
            <x v="5"/>
          </reference>
          <reference field="13" count="1" selected="0">
            <x v="77"/>
          </reference>
        </references>
      </pivotArea>
    </format>
    <format dxfId="4226">
      <pivotArea dataOnly="0" labelOnly="1" outline="0" fieldPosition="0">
        <references count="4">
          <reference field="5" count="3">
            <x v="20"/>
            <x v="110"/>
            <x v="116"/>
          </reference>
          <reference field="8" count="1" selected="0">
            <x v="52"/>
          </reference>
          <reference field="11" count="1" selected="0">
            <x v="5"/>
          </reference>
          <reference field="13" count="1" selected="0">
            <x v="81"/>
          </reference>
        </references>
      </pivotArea>
    </format>
    <format dxfId="4225">
      <pivotArea dataOnly="0" labelOnly="1" outline="0" fieldPosition="0">
        <references count="4">
          <reference field="5" count="1">
            <x v="20"/>
          </reference>
          <reference field="8" count="1" selected="0">
            <x v="52"/>
          </reference>
          <reference field="11" count="1" selected="0">
            <x v="5"/>
          </reference>
          <reference field="13" count="1" selected="0">
            <x v="255"/>
          </reference>
        </references>
      </pivotArea>
    </format>
    <format dxfId="4224">
      <pivotArea dataOnly="0" labelOnly="1" outline="0" fieldPosition="0">
        <references count="4">
          <reference field="5" count="1">
            <x v="110"/>
          </reference>
          <reference field="8" count="1" selected="0">
            <x v="53"/>
          </reference>
          <reference field="11" count="1" selected="0">
            <x v="2"/>
          </reference>
          <reference field="13" count="1" selected="0">
            <x v="190"/>
          </reference>
        </references>
      </pivotArea>
    </format>
    <format dxfId="4223">
      <pivotArea dataOnly="0" labelOnly="1" outline="0" fieldPosition="0">
        <references count="4">
          <reference field="5" count="1">
            <x v="110"/>
          </reference>
          <reference field="8" count="1" selected="0">
            <x v="53"/>
          </reference>
          <reference field="11" count="1" selected="0">
            <x v="3"/>
          </reference>
          <reference field="13" count="1" selected="0">
            <x v="7"/>
          </reference>
        </references>
      </pivotArea>
    </format>
    <format dxfId="4222">
      <pivotArea dataOnly="0" labelOnly="1" outline="0" fieldPosition="0">
        <references count="4">
          <reference field="5" count="1">
            <x v="110"/>
          </reference>
          <reference field="8" count="1" selected="0">
            <x v="53"/>
          </reference>
          <reference field="11" count="1" selected="0">
            <x v="3"/>
          </reference>
          <reference field="13" count="1" selected="0">
            <x v="17"/>
          </reference>
        </references>
      </pivotArea>
    </format>
    <format dxfId="4221">
      <pivotArea dataOnly="0" labelOnly="1" outline="0" fieldPosition="0">
        <references count="4">
          <reference field="5" count="2">
            <x v="116"/>
            <x v="117"/>
          </reference>
          <reference field="8" count="1" selected="0">
            <x v="53"/>
          </reference>
          <reference field="11" count="1" selected="0">
            <x v="3"/>
          </reference>
          <reference field="13" count="1" selected="0">
            <x v="29"/>
          </reference>
        </references>
      </pivotArea>
    </format>
    <format dxfId="4220">
      <pivotArea dataOnly="0" labelOnly="1" outline="0" fieldPosition="0">
        <references count="4">
          <reference field="5" count="1">
            <x v="110"/>
          </reference>
          <reference field="8" count="1" selected="0">
            <x v="53"/>
          </reference>
          <reference field="11" count="1" selected="0">
            <x v="3"/>
          </reference>
          <reference field="13" count="1" selected="0">
            <x v="32"/>
          </reference>
        </references>
      </pivotArea>
    </format>
    <format dxfId="4219">
      <pivotArea dataOnly="0" labelOnly="1" outline="0" fieldPosition="0">
        <references count="4">
          <reference field="5" count="1">
            <x v="110"/>
          </reference>
          <reference field="8" count="1" selected="0">
            <x v="53"/>
          </reference>
          <reference field="11" count="1" selected="0">
            <x v="3"/>
          </reference>
          <reference field="13" count="1" selected="0">
            <x v="54"/>
          </reference>
        </references>
      </pivotArea>
    </format>
    <format dxfId="4218">
      <pivotArea dataOnly="0" labelOnly="1" outline="0" fieldPosition="0">
        <references count="4">
          <reference field="5" count="1">
            <x v="110"/>
          </reference>
          <reference field="8" count="1" selected="0">
            <x v="53"/>
          </reference>
          <reference field="11" count="1" selected="0">
            <x v="3"/>
          </reference>
          <reference field="13" count="1" selected="0">
            <x v="57"/>
          </reference>
        </references>
      </pivotArea>
    </format>
    <format dxfId="4217">
      <pivotArea dataOnly="0" labelOnly="1" outline="0" fieldPosition="0">
        <references count="4">
          <reference field="5" count="1">
            <x v="117"/>
          </reference>
          <reference field="8" count="1" selected="0">
            <x v="53"/>
          </reference>
          <reference field="11" count="1" selected="0">
            <x v="3"/>
          </reference>
          <reference field="13" count="1" selected="0">
            <x v="218"/>
          </reference>
        </references>
      </pivotArea>
    </format>
    <format dxfId="4216">
      <pivotArea dataOnly="0" labelOnly="1" outline="0" fieldPosition="0">
        <references count="4">
          <reference field="5" count="2">
            <x v="68"/>
            <x v="71"/>
          </reference>
          <reference field="8" count="1" selected="0">
            <x v="53"/>
          </reference>
          <reference field="11" count="1" selected="0">
            <x v="3"/>
          </reference>
          <reference field="13" count="1" selected="0">
            <x v="240"/>
          </reference>
        </references>
      </pivotArea>
    </format>
    <format dxfId="4215">
      <pivotArea dataOnly="0" labelOnly="1" outline="0" fieldPosition="0">
        <references count="4">
          <reference field="5" count="1">
            <x v="68"/>
          </reference>
          <reference field="8" count="1" selected="0">
            <x v="53"/>
          </reference>
          <reference field="11" count="1" selected="0">
            <x v="3"/>
          </reference>
          <reference field="13" count="1" selected="0">
            <x v="242"/>
          </reference>
        </references>
      </pivotArea>
    </format>
    <format dxfId="4214">
      <pivotArea dataOnly="0" labelOnly="1" outline="0" fieldPosition="0">
        <references count="4">
          <reference field="5" count="1">
            <x v="71"/>
          </reference>
          <reference field="8" count="1" selected="0">
            <x v="53"/>
          </reference>
          <reference field="11" count="1" selected="0">
            <x v="3"/>
          </reference>
          <reference field="13" count="1" selected="0">
            <x v="243"/>
          </reference>
        </references>
      </pivotArea>
    </format>
    <format dxfId="4213">
      <pivotArea dataOnly="0" labelOnly="1" outline="0" fieldPosition="0">
        <references count="4">
          <reference field="5" count="2">
            <x v="116"/>
            <x v="117"/>
          </reference>
          <reference field="8" count="1" selected="0">
            <x v="53"/>
          </reference>
          <reference field="11" count="1" selected="0">
            <x v="3"/>
          </reference>
          <reference field="13" count="1" selected="0">
            <x v="287"/>
          </reference>
        </references>
      </pivotArea>
    </format>
    <format dxfId="4212">
      <pivotArea dataOnly="0" labelOnly="1" outline="0" fieldPosition="0">
        <references count="4">
          <reference field="5" count="1">
            <x v="110"/>
          </reference>
          <reference field="8" count="1" selected="0">
            <x v="53"/>
          </reference>
          <reference field="11" count="1" selected="0">
            <x v="3"/>
          </reference>
          <reference field="13" count="1" selected="0">
            <x v="305"/>
          </reference>
        </references>
      </pivotArea>
    </format>
    <format dxfId="4211">
      <pivotArea dataOnly="0" labelOnly="1" outline="0" fieldPosition="0">
        <references count="4">
          <reference field="5" count="1">
            <x v="117"/>
          </reference>
          <reference field="8" count="1" selected="0">
            <x v="53"/>
          </reference>
          <reference field="11" count="1" selected="0">
            <x v="3"/>
          </reference>
          <reference field="13" count="1" selected="0">
            <x v="314"/>
          </reference>
        </references>
      </pivotArea>
    </format>
    <format dxfId="4210">
      <pivotArea dataOnly="0" labelOnly="1" outline="0" fieldPosition="0">
        <references count="4">
          <reference field="5" count="1">
            <x v="116"/>
          </reference>
          <reference field="8" count="1" selected="0">
            <x v="53"/>
          </reference>
          <reference field="11" count="1" selected="0">
            <x v="5"/>
          </reference>
          <reference field="13" count="1" selected="0">
            <x v="77"/>
          </reference>
        </references>
      </pivotArea>
    </format>
    <format dxfId="4209">
      <pivotArea dataOnly="0" labelOnly="1" outline="0" fieldPosition="0">
        <references count="4">
          <reference field="5" count="2">
            <x v="20"/>
            <x v="116"/>
          </reference>
          <reference field="8" count="1" selected="0">
            <x v="53"/>
          </reference>
          <reference field="11" count="1" selected="0">
            <x v="5"/>
          </reference>
          <reference field="13" count="1" selected="0">
            <x v="81"/>
          </reference>
        </references>
      </pivotArea>
    </format>
    <format dxfId="4208">
      <pivotArea dataOnly="0" labelOnly="1" outline="0" fieldPosition="0">
        <references count="4">
          <reference field="5" count="1">
            <x v="101"/>
          </reference>
          <reference field="8" count="1" selected="0">
            <x v="54"/>
          </reference>
          <reference field="11" count="1" selected="0">
            <x v="3"/>
          </reference>
          <reference field="13" count="1" selected="0">
            <x v="17"/>
          </reference>
        </references>
      </pivotArea>
    </format>
    <format dxfId="4207">
      <pivotArea dataOnly="0" labelOnly="1" outline="0" fieldPosition="0">
        <references count="4">
          <reference field="5" count="2">
            <x v="47"/>
            <x v="101"/>
          </reference>
          <reference field="8" count="1" selected="0">
            <x v="54"/>
          </reference>
          <reference field="11" count="1" selected="0">
            <x v="3"/>
          </reference>
          <reference field="13" count="1" selected="0">
            <x v="20"/>
          </reference>
        </references>
      </pivotArea>
    </format>
    <format dxfId="4206">
      <pivotArea dataOnly="0" labelOnly="1" outline="0" fieldPosition="0">
        <references count="4">
          <reference field="5" count="1">
            <x v="101"/>
          </reference>
          <reference field="8" count="1" selected="0">
            <x v="54"/>
          </reference>
          <reference field="11" count="1" selected="0">
            <x v="3"/>
          </reference>
          <reference field="13" count="1" selected="0">
            <x v="242"/>
          </reference>
        </references>
      </pivotArea>
    </format>
    <format dxfId="4205">
      <pivotArea dataOnly="0" labelOnly="1" outline="0" fieldPosition="0">
        <references count="4">
          <reference field="5" count="1">
            <x v="101"/>
          </reference>
          <reference field="8" count="1" selected="0">
            <x v="54"/>
          </reference>
          <reference field="11" count="1" selected="0">
            <x v="3"/>
          </reference>
          <reference field="13" count="1" selected="0">
            <x v="243"/>
          </reference>
        </references>
      </pivotArea>
    </format>
    <format dxfId="4204">
      <pivotArea dataOnly="0" labelOnly="1" outline="0" fieldPosition="0">
        <references count="4">
          <reference field="5" count="1">
            <x v="101"/>
          </reference>
          <reference field="8" count="1" selected="0">
            <x v="54"/>
          </reference>
          <reference field="11" count="1" selected="0">
            <x v="3"/>
          </reference>
          <reference field="13" count="1" selected="0">
            <x v="287"/>
          </reference>
        </references>
      </pivotArea>
    </format>
    <format dxfId="4203">
      <pivotArea dataOnly="0" labelOnly="1" outline="0" fieldPosition="0">
        <references count="4">
          <reference field="5" count="1">
            <x v="101"/>
          </reference>
          <reference field="8" count="1" selected="0">
            <x v="54"/>
          </reference>
          <reference field="11" count="1" selected="0">
            <x v="3"/>
          </reference>
          <reference field="13" count="1" selected="0">
            <x v="305"/>
          </reference>
        </references>
      </pivotArea>
    </format>
    <format dxfId="4202">
      <pivotArea dataOnly="0" labelOnly="1" outline="0" fieldPosition="0">
        <references count="4">
          <reference field="5" count="2">
            <x v="20"/>
            <x v="116"/>
          </reference>
          <reference field="8" count="1" selected="0">
            <x v="54"/>
          </reference>
          <reference field="11" count="1" selected="0">
            <x v="5"/>
          </reference>
          <reference field="13" count="1" selected="0">
            <x v="81"/>
          </reference>
        </references>
      </pivotArea>
    </format>
    <format dxfId="4201">
      <pivotArea dataOnly="0" labelOnly="1" outline="0" fieldPosition="0">
        <references count="4">
          <reference field="5" count="1">
            <x v="50"/>
          </reference>
          <reference field="8" count="1" selected="0">
            <x v="55"/>
          </reference>
          <reference field="11" count="1" selected="0">
            <x v="3"/>
          </reference>
          <reference field="13" count="1" selected="0">
            <x v="7"/>
          </reference>
        </references>
      </pivotArea>
    </format>
    <format dxfId="4200">
      <pivotArea dataOnly="0" labelOnly="1" outline="0" fieldPosition="0">
        <references count="4">
          <reference field="5" count="1">
            <x v="50"/>
          </reference>
          <reference field="8" count="1" selected="0">
            <x v="55"/>
          </reference>
          <reference field="11" count="1" selected="0">
            <x v="3"/>
          </reference>
          <reference field="13" count="1" selected="0">
            <x v="69"/>
          </reference>
        </references>
      </pivotArea>
    </format>
    <format dxfId="4199">
      <pivotArea dataOnly="0" labelOnly="1" outline="0" fieldPosition="0">
        <references count="4">
          <reference field="5" count="1">
            <x v="50"/>
          </reference>
          <reference field="8" count="1" selected="0">
            <x v="55"/>
          </reference>
          <reference field="11" count="1" selected="0">
            <x v="3"/>
          </reference>
          <reference field="13" count="1" selected="0">
            <x v="243"/>
          </reference>
        </references>
      </pivotArea>
    </format>
    <format dxfId="4198">
      <pivotArea dataOnly="0" labelOnly="1" outline="0" fieldPosition="0">
        <references count="4">
          <reference field="5" count="1">
            <x v="50"/>
          </reference>
          <reference field="8" count="1" selected="0">
            <x v="55"/>
          </reference>
          <reference field="11" count="1" selected="0">
            <x v="3"/>
          </reference>
          <reference field="13" count="1" selected="0">
            <x v="251"/>
          </reference>
        </references>
      </pivotArea>
    </format>
    <format dxfId="4197">
      <pivotArea dataOnly="0" labelOnly="1" outline="0" fieldPosition="0">
        <references count="4">
          <reference field="5" count="1">
            <x v="50"/>
          </reference>
          <reference field="8" count="1" selected="0">
            <x v="55"/>
          </reference>
          <reference field="11" count="1" selected="0">
            <x v="4"/>
          </reference>
          <reference field="13" count="1" selected="0">
            <x v="133"/>
          </reference>
        </references>
      </pivotArea>
    </format>
    <format dxfId="4196">
      <pivotArea dataOnly="0" labelOnly="1" outline="0" fieldPosition="0">
        <references count="4">
          <reference field="5" count="1">
            <x v="50"/>
          </reference>
          <reference field="8" count="1" selected="0">
            <x v="55"/>
          </reference>
          <reference field="11" count="1" selected="0">
            <x v="5"/>
          </reference>
          <reference field="13" count="1" selected="0">
            <x v="77"/>
          </reference>
        </references>
      </pivotArea>
    </format>
    <format dxfId="4195">
      <pivotArea dataOnly="0" labelOnly="1" outline="0" fieldPosition="0">
        <references count="4">
          <reference field="5" count="1">
            <x v="50"/>
          </reference>
          <reference field="8" count="1" selected="0">
            <x v="55"/>
          </reference>
          <reference field="11" count="1" selected="0">
            <x v="5"/>
          </reference>
          <reference field="13" count="1" selected="0">
            <x v="81"/>
          </reference>
        </references>
      </pivotArea>
    </format>
    <format dxfId="4194">
      <pivotArea dataOnly="0" labelOnly="1" outline="0" fieldPosition="0">
        <references count="4">
          <reference field="5" count="1">
            <x v="2"/>
          </reference>
          <reference field="8" count="1" selected="0">
            <x v="55"/>
          </reference>
          <reference field="11" count="1" selected="0">
            <x v="5"/>
          </reference>
          <reference field="13" count="1" selected="0">
            <x v="268"/>
          </reference>
        </references>
      </pivotArea>
    </format>
    <format dxfId="4193">
      <pivotArea dataOnly="0" labelOnly="1" outline="0" fieldPosition="0">
        <references count="4">
          <reference field="5" count="1">
            <x v="2"/>
          </reference>
          <reference field="8" count="1" selected="0">
            <x v="55"/>
          </reference>
          <reference field="11" count="1" selected="0">
            <x v="6"/>
          </reference>
          <reference field="13" count="1" selected="0">
            <x v="191"/>
          </reference>
        </references>
      </pivotArea>
    </format>
    <format dxfId="4192">
      <pivotArea dataOnly="0" labelOnly="1" outline="0" fieldPosition="0">
        <references count="4">
          <reference field="5" count="1">
            <x v="2"/>
          </reference>
          <reference field="8" count="1" selected="0">
            <x v="55"/>
          </reference>
          <reference field="11" count="1" selected="0">
            <x v="6"/>
          </reference>
          <reference field="13" count="1" selected="0">
            <x v="199"/>
          </reference>
        </references>
      </pivotArea>
    </format>
    <format dxfId="4191">
      <pivotArea dataOnly="0" labelOnly="1" outline="0" fieldPosition="0">
        <references count="4">
          <reference field="5" count="1">
            <x v="64"/>
          </reference>
          <reference field="8" count="1" selected="0">
            <x v="56"/>
          </reference>
          <reference field="11" count="1" selected="0">
            <x v="0"/>
          </reference>
          <reference field="13" count="1" selected="0">
            <x v="3"/>
          </reference>
        </references>
      </pivotArea>
    </format>
    <format dxfId="4190">
      <pivotArea dataOnly="0" labelOnly="1" outline="0" fieldPosition="0">
        <references count="4">
          <reference field="5" count="1">
            <x v="64"/>
          </reference>
          <reference field="8" count="1" selected="0">
            <x v="56"/>
          </reference>
          <reference field="11" count="1" selected="0">
            <x v="0"/>
          </reference>
          <reference field="13" count="1" selected="0">
            <x v="53"/>
          </reference>
        </references>
      </pivotArea>
    </format>
    <format dxfId="4189">
      <pivotArea dataOnly="0" labelOnly="1" outline="0" fieldPosition="0">
        <references count="4">
          <reference field="5" count="1">
            <x v="64"/>
          </reference>
          <reference field="8" count="1" selected="0">
            <x v="56"/>
          </reference>
          <reference field="11" count="1" selected="0">
            <x v="5"/>
          </reference>
          <reference field="13" count="1" selected="0">
            <x v="96"/>
          </reference>
        </references>
      </pivotArea>
    </format>
    <format dxfId="4188">
      <pivotArea dataOnly="0" labelOnly="1" outline="0" fieldPosition="0">
        <references count="4">
          <reference field="5" count="1">
            <x v="110"/>
          </reference>
          <reference field="8" count="1" selected="0">
            <x v="57"/>
          </reference>
          <reference field="11" count="1" selected="0">
            <x v="3"/>
          </reference>
          <reference field="13" count="1" selected="0">
            <x v="7"/>
          </reference>
        </references>
      </pivotArea>
    </format>
    <format dxfId="4187">
      <pivotArea dataOnly="0" labelOnly="1" outline="0" fieldPosition="0">
        <references count="4">
          <reference field="5" count="2">
            <x v="116"/>
            <x v="117"/>
          </reference>
          <reference field="8" count="1" selected="0">
            <x v="57"/>
          </reference>
          <reference field="11" count="1" selected="0">
            <x v="3"/>
          </reference>
          <reference field="13" count="1" selected="0">
            <x v="29"/>
          </reference>
        </references>
      </pivotArea>
    </format>
    <format dxfId="4186">
      <pivotArea dataOnly="0" labelOnly="1" outline="0" fieldPosition="0">
        <references count="4">
          <reference field="5" count="1">
            <x v="110"/>
          </reference>
          <reference field="8" count="1" selected="0">
            <x v="57"/>
          </reference>
          <reference field="11" count="1" selected="0">
            <x v="3"/>
          </reference>
          <reference field="13" count="1" selected="0">
            <x v="32"/>
          </reference>
        </references>
      </pivotArea>
    </format>
    <format dxfId="4185">
      <pivotArea dataOnly="0" labelOnly="1" outline="0" fieldPosition="0">
        <references count="4">
          <reference field="5" count="1">
            <x v="110"/>
          </reference>
          <reference field="8" count="1" selected="0">
            <x v="57"/>
          </reference>
          <reference field="11" count="1" selected="0">
            <x v="3"/>
          </reference>
          <reference field="13" count="1" selected="0">
            <x v="54"/>
          </reference>
        </references>
      </pivotArea>
    </format>
    <format dxfId="4184">
      <pivotArea dataOnly="0" labelOnly="1" outline="0" fieldPosition="0">
        <references count="4">
          <reference field="5" count="1">
            <x v="117"/>
          </reference>
          <reference field="8" count="1" selected="0">
            <x v="57"/>
          </reference>
          <reference field="11" count="1" selected="0">
            <x v="3"/>
          </reference>
          <reference field="13" count="1" selected="0">
            <x v="218"/>
          </reference>
        </references>
      </pivotArea>
    </format>
    <format dxfId="4183">
      <pivotArea dataOnly="0" labelOnly="1" outline="0" fieldPosition="0">
        <references count="4">
          <reference field="5" count="1">
            <x v="110"/>
          </reference>
          <reference field="8" count="1" selected="0">
            <x v="57"/>
          </reference>
          <reference field="11" count="1" selected="0">
            <x v="3"/>
          </reference>
          <reference field="13" count="1" selected="0">
            <x v="242"/>
          </reference>
        </references>
      </pivotArea>
    </format>
    <format dxfId="4182">
      <pivotArea dataOnly="0" labelOnly="1" outline="0" fieldPosition="0">
        <references count="4">
          <reference field="5" count="1">
            <x v="117"/>
          </reference>
          <reference field="8" count="1" selected="0">
            <x v="57"/>
          </reference>
          <reference field="11" count="1" selected="0">
            <x v="3"/>
          </reference>
          <reference field="13" count="1" selected="0">
            <x v="287"/>
          </reference>
        </references>
      </pivotArea>
    </format>
    <format dxfId="4181">
      <pivotArea dataOnly="0" labelOnly="1" outline="0" fieldPosition="0">
        <references count="4">
          <reference field="5" count="1">
            <x v="117"/>
          </reference>
          <reference field="8" count="1" selected="0">
            <x v="57"/>
          </reference>
          <reference field="11" count="1" selected="0">
            <x v="3"/>
          </reference>
          <reference field="13" count="1" selected="0">
            <x v="314"/>
          </reference>
        </references>
      </pivotArea>
    </format>
    <format dxfId="4180">
      <pivotArea dataOnly="0" labelOnly="1" outline="0" fieldPosition="0">
        <references count="4">
          <reference field="5" count="1">
            <x v="64"/>
          </reference>
          <reference field="8" count="1" selected="0">
            <x v="58"/>
          </reference>
          <reference field="11" count="1" selected="0">
            <x v="3"/>
          </reference>
          <reference field="13" count="1" selected="0">
            <x v="92"/>
          </reference>
        </references>
      </pivotArea>
    </format>
    <format dxfId="4179">
      <pivotArea dataOnly="0" labelOnly="1" outline="0" fieldPosition="0">
        <references count="4">
          <reference field="5" count="1">
            <x v="64"/>
          </reference>
          <reference field="8" count="1" selected="0">
            <x v="58"/>
          </reference>
          <reference field="11" count="1" selected="0">
            <x v="3"/>
          </reference>
          <reference field="13" count="1" selected="0">
            <x v="240"/>
          </reference>
        </references>
      </pivotArea>
    </format>
    <format dxfId="4178">
      <pivotArea dataOnly="0" labelOnly="1" outline="0" fieldPosition="0">
        <references count="4">
          <reference field="5" count="1">
            <x v="64"/>
          </reference>
          <reference field="8" count="1" selected="0">
            <x v="58"/>
          </reference>
          <reference field="11" count="1" selected="0">
            <x v="3"/>
          </reference>
          <reference field="13" count="1" selected="0">
            <x v="243"/>
          </reference>
        </references>
      </pivotArea>
    </format>
    <format dxfId="4177">
      <pivotArea dataOnly="0" labelOnly="1" outline="0" fieldPosition="0">
        <references count="4">
          <reference field="5" count="1">
            <x v="64"/>
          </reference>
          <reference field="8" count="1" selected="0">
            <x v="58"/>
          </reference>
          <reference field="11" count="1" selected="0">
            <x v="3"/>
          </reference>
          <reference field="13" count="1" selected="0">
            <x v="251"/>
          </reference>
        </references>
      </pivotArea>
    </format>
    <format dxfId="4176">
      <pivotArea dataOnly="0" labelOnly="1" outline="0" fieldPosition="0">
        <references count="4">
          <reference field="5" count="1">
            <x v="64"/>
          </reference>
          <reference field="8" count="1" selected="0">
            <x v="58"/>
          </reference>
          <reference field="11" count="1" selected="0">
            <x v="3"/>
          </reference>
          <reference field="13" count="1" selected="0">
            <x v="287"/>
          </reference>
        </references>
      </pivotArea>
    </format>
    <format dxfId="4175">
      <pivotArea dataOnly="0" labelOnly="1" outline="0" fieldPosition="0">
        <references count="4">
          <reference field="5" count="1">
            <x v="20"/>
          </reference>
          <reference field="8" count="1" selected="0">
            <x v="58"/>
          </reference>
          <reference field="11" count="1" selected="0">
            <x v="5"/>
          </reference>
          <reference field="13" count="1" selected="0">
            <x v="81"/>
          </reference>
        </references>
      </pivotArea>
    </format>
    <format dxfId="4174">
      <pivotArea dataOnly="0" labelOnly="1" outline="0" fieldPosition="0">
        <references count="4">
          <reference field="5" count="1">
            <x v="20"/>
          </reference>
          <reference field="8" count="1" selected="0">
            <x v="58"/>
          </reference>
          <reference field="11" count="1" selected="0">
            <x v="5"/>
          </reference>
          <reference field="13" count="1" selected="0">
            <x v="255"/>
          </reference>
        </references>
      </pivotArea>
    </format>
    <format dxfId="4173">
      <pivotArea dataOnly="0" labelOnly="1" outline="0" fieldPosition="0">
        <references count="4">
          <reference field="5" count="1">
            <x v="64"/>
          </reference>
          <reference field="8" count="1" selected="0">
            <x v="58"/>
          </reference>
          <reference field="11" count="1" selected="0">
            <x v="7"/>
          </reference>
          <reference field="13" count="1" selected="0">
            <x v="8"/>
          </reference>
        </references>
      </pivotArea>
    </format>
    <format dxfId="4172">
      <pivotArea dataOnly="0" labelOnly="1" outline="0" fieldPosition="0">
        <references count="4">
          <reference field="5" count="1">
            <x v="64"/>
          </reference>
          <reference field="8" count="1" selected="0">
            <x v="58"/>
          </reference>
          <reference field="11" count="1" selected="0">
            <x v="7"/>
          </reference>
          <reference field="13" count="1" selected="0">
            <x v="129"/>
          </reference>
        </references>
      </pivotArea>
    </format>
    <format dxfId="4171">
      <pivotArea dataOnly="0" labelOnly="1" outline="0" fieldPosition="0">
        <references count="4">
          <reference field="5" count="1">
            <x v="64"/>
          </reference>
          <reference field="8" count="1" selected="0">
            <x v="58"/>
          </reference>
          <reference field="11" count="1" selected="0">
            <x v="7"/>
          </reference>
          <reference field="13" count="1" selected="0">
            <x v="308"/>
          </reference>
        </references>
      </pivotArea>
    </format>
    <format dxfId="4170">
      <pivotArea dataOnly="0" labelOnly="1" outline="0" fieldPosition="0">
        <references count="4">
          <reference field="5" count="1">
            <x v="64"/>
          </reference>
          <reference field="8" count="1" selected="0">
            <x v="59"/>
          </reference>
          <reference field="11" count="1" selected="0">
            <x v="1"/>
          </reference>
          <reference field="13" count="1" selected="0">
            <x v="214"/>
          </reference>
        </references>
      </pivotArea>
    </format>
    <format dxfId="4169">
      <pivotArea dataOnly="0" labelOnly="1" outline="0" fieldPosition="0">
        <references count="4">
          <reference field="5" count="1">
            <x v="64"/>
          </reference>
          <reference field="8" count="1" selected="0">
            <x v="59"/>
          </reference>
          <reference field="11" count="1" selected="0">
            <x v="3"/>
          </reference>
          <reference field="13" count="1" selected="0">
            <x v="36"/>
          </reference>
        </references>
      </pivotArea>
    </format>
    <format dxfId="4168">
      <pivotArea dataOnly="0" labelOnly="1" outline="0" fieldPosition="0">
        <references count="4">
          <reference field="5" count="1">
            <x v="64"/>
          </reference>
          <reference field="8" count="1" selected="0">
            <x v="59"/>
          </reference>
          <reference field="11" count="1" selected="0">
            <x v="3"/>
          </reference>
          <reference field="13" count="1" selected="0">
            <x v="240"/>
          </reference>
        </references>
      </pivotArea>
    </format>
    <format dxfId="4167">
      <pivotArea dataOnly="0" labelOnly="1" outline="0" fieldPosition="0">
        <references count="4">
          <reference field="5" count="1">
            <x v="64"/>
          </reference>
          <reference field="8" count="1" selected="0">
            <x v="59"/>
          </reference>
          <reference field="11" count="1" selected="0">
            <x v="3"/>
          </reference>
          <reference field="13" count="1" selected="0">
            <x v="242"/>
          </reference>
        </references>
      </pivotArea>
    </format>
    <format dxfId="4166">
      <pivotArea dataOnly="0" labelOnly="1" outline="0" fieldPosition="0">
        <references count="4">
          <reference field="5" count="1">
            <x v="64"/>
          </reference>
          <reference field="8" count="1" selected="0">
            <x v="59"/>
          </reference>
          <reference field="11" count="1" selected="0">
            <x v="3"/>
          </reference>
          <reference field="13" count="1" selected="0">
            <x v="243"/>
          </reference>
        </references>
      </pivotArea>
    </format>
    <format dxfId="4165">
      <pivotArea dataOnly="0" labelOnly="1" outline="0" fieldPosition="0">
        <references count="4">
          <reference field="5" count="1">
            <x v="64"/>
          </reference>
          <reference field="8" count="1" selected="0">
            <x v="59"/>
          </reference>
          <reference field="11" count="1" selected="0">
            <x v="7"/>
          </reference>
          <reference field="13" count="1" selected="0">
            <x v="8"/>
          </reference>
        </references>
      </pivotArea>
    </format>
    <format dxfId="4164">
      <pivotArea dataOnly="0" labelOnly="1" outline="0" fieldPosition="0">
        <references count="4">
          <reference field="5" count="1">
            <x v="110"/>
          </reference>
          <reference field="8" count="1" selected="0">
            <x v="60"/>
          </reference>
          <reference field="11" count="1" selected="0">
            <x v="3"/>
          </reference>
          <reference field="13" count="1" selected="0">
            <x v="17"/>
          </reference>
        </references>
      </pivotArea>
    </format>
    <format dxfId="4163">
      <pivotArea dataOnly="0" labelOnly="1" outline="0" fieldPosition="0">
        <references count="4">
          <reference field="5" count="1">
            <x v="110"/>
          </reference>
          <reference field="8" count="1" selected="0">
            <x v="60"/>
          </reference>
          <reference field="11" count="1" selected="0">
            <x v="3"/>
          </reference>
          <reference field="13" count="1" selected="0">
            <x v="32"/>
          </reference>
        </references>
      </pivotArea>
    </format>
    <format dxfId="4162">
      <pivotArea dataOnly="0" labelOnly="1" outline="0" fieldPosition="0">
        <references count="4">
          <reference field="5" count="1">
            <x v="110"/>
          </reference>
          <reference field="8" count="1" selected="0">
            <x v="60"/>
          </reference>
          <reference field="11" count="1" selected="0">
            <x v="3"/>
          </reference>
          <reference field="13" count="1" selected="0">
            <x v="69"/>
          </reference>
        </references>
      </pivotArea>
    </format>
    <format dxfId="4161">
      <pivotArea dataOnly="0" labelOnly="1" outline="0" fieldPosition="0">
        <references count="4">
          <reference field="5" count="1">
            <x v="110"/>
          </reference>
          <reference field="8" count="1" selected="0">
            <x v="60"/>
          </reference>
          <reference field="11" count="1" selected="0">
            <x v="3"/>
          </reference>
          <reference field="13" count="1" selected="0">
            <x v="92"/>
          </reference>
        </references>
      </pivotArea>
    </format>
    <format dxfId="4160">
      <pivotArea dataOnly="0" labelOnly="1" outline="0" fieldPosition="0">
        <references count="4">
          <reference field="5" count="1">
            <x v="110"/>
          </reference>
          <reference field="8" count="1" selected="0">
            <x v="60"/>
          </reference>
          <reference field="11" count="1" selected="0">
            <x v="3"/>
          </reference>
          <reference field="13" count="1" selected="0">
            <x v="242"/>
          </reference>
        </references>
      </pivotArea>
    </format>
    <format dxfId="4159">
      <pivotArea dataOnly="0" labelOnly="1" outline="0" fieldPosition="0">
        <references count="4">
          <reference field="5" count="1">
            <x v="110"/>
          </reference>
          <reference field="8" count="1" selected="0">
            <x v="60"/>
          </reference>
          <reference field="11" count="1" selected="0">
            <x v="3"/>
          </reference>
          <reference field="13" count="1" selected="0">
            <x v="243"/>
          </reference>
        </references>
      </pivotArea>
    </format>
    <format dxfId="4158">
      <pivotArea dataOnly="0" labelOnly="1" outline="0" fieldPosition="0">
        <references count="4">
          <reference field="5" count="2">
            <x v="116"/>
            <x v="117"/>
          </reference>
          <reference field="8" count="1" selected="0">
            <x v="60"/>
          </reference>
          <reference field="11" count="1" selected="0">
            <x v="3"/>
          </reference>
          <reference field="13" count="1" selected="0">
            <x v="287"/>
          </reference>
        </references>
      </pivotArea>
    </format>
    <format dxfId="4157">
      <pivotArea dataOnly="0" labelOnly="1" outline="0" fieldPosition="0">
        <references count="4">
          <reference field="5" count="1">
            <x v="110"/>
          </reference>
          <reference field="8" count="1" selected="0">
            <x v="60"/>
          </reference>
          <reference field="11" count="1" selected="0">
            <x v="3"/>
          </reference>
          <reference field="13" count="1" selected="0">
            <x v="305"/>
          </reference>
        </references>
      </pivotArea>
    </format>
    <format dxfId="4156">
      <pivotArea dataOnly="0" labelOnly="1" outline="0" fieldPosition="0">
        <references count="4">
          <reference field="5" count="2">
            <x v="20"/>
            <x v="116"/>
          </reference>
          <reference field="8" count="1" selected="0">
            <x v="60"/>
          </reference>
          <reference field="11" count="1" selected="0">
            <x v="5"/>
          </reference>
          <reference field="13" count="1" selected="0">
            <x v="81"/>
          </reference>
        </references>
      </pivotArea>
    </format>
    <format dxfId="4155">
      <pivotArea dataOnly="0" labelOnly="1" outline="0" fieldPosition="0">
        <references count="4">
          <reference field="5" count="1">
            <x v="20"/>
          </reference>
          <reference field="8" count="1" selected="0">
            <x v="60"/>
          </reference>
          <reference field="11" count="1" selected="0">
            <x v="5"/>
          </reference>
          <reference field="13" count="1" selected="0">
            <x v="255"/>
          </reference>
        </references>
      </pivotArea>
    </format>
    <format dxfId="4154">
      <pivotArea dataOnly="0" labelOnly="1" outline="0" fieldPosition="0">
        <references count="4">
          <reference field="5" count="1">
            <x v="37"/>
          </reference>
          <reference field="8" count="1" selected="0">
            <x v="61"/>
          </reference>
          <reference field="11" count="1" selected="0">
            <x v="3"/>
          </reference>
          <reference field="13" count="1" selected="0">
            <x v="240"/>
          </reference>
        </references>
      </pivotArea>
    </format>
    <format dxfId="4153">
      <pivotArea dataOnly="0" labelOnly="1" outline="0" fieldPosition="0">
        <references count="4">
          <reference field="5" count="2">
            <x v="116"/>
            <x v="117"/>
          </reference>
          <reference field="8" count="1" selected="0">
            <x v="62"/>
          </reference>
          <reference field="11" count="1" selected="0">
            <x v="3"/>
          </reference>
          <reference field="13" count="1" selected="0">
            <x v="29"/>
          </reference>
        </references>
      </pivotArea>
    </format>
    <format dxfId="4152">
      <pivotArea dataOnly="0" labelOnly="1" outline="0" fieldPosition="0">
        <references count="4">
          <reference field="5" count="1">
            <x v="117"/>
          </reference>
          <reference field="8" count="1" selected="0">
            <x v="62"/>
          </reference>
          <reference field="11" count="1" selected="0">
            <x v="3"/>
          </reference>
          <reference field="13" count="1" selected="0">
            <x v="218"/>
          </reference>
        </references>
      </pivotArea>
    </format>
    <format dxfId="4151">
      <pivotArea dataOnly="0" labelOnly="1" outline="0" fieldPosition="0">
        <references count="4">
          <reference field="5" count="1">
            <x v="117"/>
          </reference>
          <reference field="8" count="1" selected="0">
            <x v="62"/>
          </reference>
          <reference field="11" count="1" selected="0">
            <x v="3"/>
          </reference>
          <reference field="13" count="1" selected="0">
            <x v="314"/>
          </reference>
        </references>
      </pivotArea>
    </format>
    <format dxfId="4150">
      <pivotArea dataOnly="0" labelOnly="1" outline="0" fieldPosition="0">
        <references count="4">
          <reference field="5" count="1">
            <x v="108"/>
          </reference>
          <reference field="8" count="1" selected="0">
            <x v="63"/>
          </reference>
          <reference field="11" count="1" selected="0">
            <x v="1"/>
          </reference>
          <reference field="13" count="1" selected="0">
            <x v="149"/>
          </reference>
        </references>
      </pivotArea>
    </format>
    <format dxfId="4149">
      <pivotArea dataOnly="0" labelOnly="1" outline="0" fieldPosition="0">
        <references count="4">
          <reference field="5" count="1">
            <x v="108"/>
          </reference>
          <reference field="8" count="1" selected="0">
            <x v="63"/>
          </reference>
          <reference field="11" count="1" selected="0">
            <x v="3"/>
          </reference>
          <reference field="13" count="1" selected="0">
            <x v="242"/>
          </reference>
        </references>
      </pivotArea>
    </format>
    <format dxfId="4148">
      <pivotArea dataOnly="0" labelOnly="1" outline="0" fieldPosition="0">
        <references count="4">
          <reference field="5" count="1">
            <x v="108"/>
          </reference>
          <reference field="8" count="1" selected="0">
            <x v="63"/>
          </reference>
          <reference field="11" count="1" selected="0">
            <x v="3"/>
          </reference>
          <reference field="13" count="1" selected="0">
            <x v="243"/>
          </reference>
        </references>
      </pivotArea>
    </format>
    <format dxfId="4147">
      <pivotArea dataOnly="0" labelOnly="1" outline="0" fieldPosition="0">
        <references count="4">
          <reference field="5" count="1">
            <x v="20"/>
          </reference>
          <reference field="8" count="1" selected="0">
            <x v="63"/>
          </reference>
          <reference field="11" count="1" selected="0">
            <x v="5"/>
          </reference>
          <reference field="13" count="1" selected="0">
            <x v="81"/>
          </reference>
        </references>
      </pivotArea>
    </format>
    <format dxfId="4146">
      <pivotArea dataOnly="0" labelOnly="1" outline="0" fieldPosition="0">
        <references count="4">
          <reference field="5" count="1">
            <x v="108"/>
          </reference>
          <reference field="8" count="1" selected="0">
            <x v="63"/>
          </reference>
          <reference field="11" count="1" selected="0">
            <x v="5"/>
          </reference>
          <reference field="13" count="1" selected="0">
            <x v="96"/>
          </reference>
        </references>
      </pivotArea>
    </format>
    <format dxfId="4145">
      <pivotArea dataOnly="0" labelOnly="1" outline="0" fieldPosition="0">
        <references count="4">
          <reference field="5" count="1">
            <x v="45"/>
          </reference>
          <reference field="8" count="1" selected="0">
            <x v="64"/>
          </reference>
          <reference field="11" count="1" selected="0">
            <x v="3"/>
          </reference>
          <reference field="13" count="1" selected="0">
            <x v="4"/>
          </reference>
        </references>
      </pivotArea>
    </format>
    <format dxfId="4144">
      <pivotArea dataOnly="0" labelOnly="1" outline="0" fieldPosition="0">
        <references count="4">
          <reference field="5" count="2">
            <x v="116"/>
            <x v="117"/>
          </reference>
          <reference field="8" count="1" selected="0">
            <x v="64"/>
          </reference>
          <reference field="11" count="1" selected="0">
            <x v="3"/>
          </reference>
          <reference field="13" count="1" selected="0">
            <x v="29"/>
          </reference>
        </references>
      </pivotArea>
    </format>
    <format dxfId="4143">
      <pivotArea dataOnly="0" labelOnly="1" outline="0" fieldPosition="0">
        <references count="4">
          <reference field="5" count="2">
            <x v="45"/>
            <x v="117"/>
          </reference>
          <reference field="8" count="1" selected="0">
            <x v="64"/>
          </reference>
          <reference field="11" count="1" selected="0">
            <x v="3"/>
          </reference>
          <reference field="13" count="1" selected="0">
            <x v="218"/>
          </reference>
        </references>
      </pivotArea>
    </format>
    <format dxfId="4142">
      <pivotArea dataOnly="0" labelOnly="1" outline="0" fieldPosition="0">
        <references count="4">
          <reference field="5" count="1">
            <x v="45"/>
          </reference>
          <reference field="8" count="1" selected="0">
            <x v="64"/>
          </reference>
          <reference field="11" count="1" selected="0">
            <x v="5"/>
          </reference>
          <reference field="13" count="1" selected="0">
            <x v="81"/>
          </reference>
        </references>
      </pivotArea>
    </format>
    <format dxfId="4141">
      <pivotArea dataOnly="0" labelOnly="1" outline="0" fieldPosition="0">
        <references count="4">
          <reference field="5" count="1">
            <x v="116"/>
          </reference>
          <reference field="8" count="1" selected="0">
            <x v="64"/>
          </reference>
          <reference field="11" count="1" selected="0">
            <x v="5"/>
          </reference>
          <reference field="13" count="1" selected="0">
            <x v="178"/>
          </reference>
        </references>
      </pivotArea>
    </format>
    <format dxfId="4140">
      <pivotArea dataOnly="0" labelOnly="1" outline="0" fieldPosition="0">
        <references count="4">
          <reference field="5" count="1">
            <x v="45"/>
          </reference>
          <reference field="8" count="1" selected="0">
            <x v="64"/>
          </reference>
          <reference field="11" count="1" selected="0">
            <x v="5"/>
          </reference>
          <reference field="13" count="1" selected="0">
            <x v="229"/>
          </reference>
        </references>
      </pivotArea>
    </format>
    <format dxfId="4139">
      <pivotArea dataOnly="0" labelOnly="1" outline="0" fieldPosition="0">
        <references count="4">
          <reference field="5" count="1">
            <x v="70"/>
          </reference>
          <reference field="8" count="1" selected="0">
            <x v="65"/>
          </reference>
          <reference field="11" count="1" selected="0">
            <x v="2"/>
          </reference>
          <reference field="13" count="1" selected="0">
            <x v="205"/>
          </reference>
        </references>
      </pivotArea>
    </format>
    <format dxfId="4138">
      <pivotArea dataOnly="0" labelOnly="1" outline="0" fieldPosition="0">
        <references count="4">
          <reference field="5" count="2">
            <x v="116"/>
            <x v="117"/>
          </reference>
          <reference field="8" count="1" selected="0">
            <x v="65"/>
          </reference>
          <reference field="11" count="1" selected="0">
            <x v="3"/>
          </reference>
          <reference field="13" count="1" selected="0">
            <x v="29"/>
          </reference>
        </references>
      </pivotArea>
    </format>
    <format dxfId="4137">
      <pivotArea dataOnly="0" labelOnly="1" outline="0" fieldPosition="0">
        <references count="4">
          <reference field="5" count="1">
            <x v="32"/>
          </reference>
          <reference field="8" count="1" selected="0">
            <x v="65"/>
          </reference>
          <reference field="11" count="1" selected="0">
            <x v="3"/>
          </reference>
          <reference field="13" count="1" selected="0">
            <x v="32"/>
          </reference>
        </references>
      </pivotArea>
    </format>
    <format dxfId="4136">
      <pivotArea dataOnly="0" labelOnly="1" outline="0" fieldPosition="0">
        <references count="4">
          <reference field="5" count="1">
            <x v="32"/>
          </reference>
          <reference field="8" count="1" selected="0">
            <x v="65"/>
          </reference>
          <reference field="11" count="1" selected="0">
            <x v="3"/>
          </reference>
          <reference field="13" count="1" selected="0">
            <x v="69"/>
          </reference>
        </references>
      </pivotArea>
    </format>
    <format dxfId="4135">
      <pivotArea dataOnly="0" labelOnly="1" outline="0" fieldPosition="0">
        <references count="4">
          <reference field="5" count="1">
            <x v="32"/>
          </reference>
          <reference field="8" count="1" selected="0">
            <x v="65"/>
          </reference>
          <reference field="11" count="1" selected="0">
            <x v="3"/>
          </reference>
          <reference field="13" count="1" selected="0">
            <x v="146"/>
          </reference>
        </references>
      </pivotArea>
    </format>
    <format dxfId="4134">
      <pivotArea dataOnly="0" labelOnly="1" outline="0" fieldPosition="0">
        <references count="4">
          <reference field="5" count="1">
            <x v="117"/>
          </reference>
          <reference field="8" count="1" selected="0">
            <x v="65"/>
          </reference>
          <reference field="11" count="1" selected="0">
            <x v="3"/>
          </reference>
          <reference field="13" count="1" selected="0">
            <x v="218"/>
          </reference>
        </references>
      </pivotArea>
    </format>
    <format dxfId="4133">
      <pivotArea dataOnly="0" labelOnly="1" outline="0" fieldPosition="0">
        <references count="4">
          <reference field="5" count="2">
            <x v="32"/>
            <x v="70"/>
          </reference>
          <reference field="8" count="1" selected="0">
            <x v="65"/>
          </reference>
          <reference field="11" count="1" selected="0">
            <x v="3"/>
          </reference>
          <reference field="13" count="1" selected="0">
            <x v="240"/>
          </reference>
        </references>
      </pivotArea>
    </format>
    <format dxfId="4132">
      <pivotArea dataOnly="0" labelOnly="1" outline="0" fieldPosition="0">
        <references count="4">
          <reference field="5" count="1">
            <x v="70"/>
          </reference>
          <reference field="8" count="1" selected="0">
            <x v="65"/>
          </reference>
          <reference field="11" count="1" selected="0">
            <x v="3"/>
          </reference>
          <reference field="13" count="1" selected="0">
            <x v="242"/>
          </reference>
        </references>
      </pivotArea>
    </format>
    <format dxfId="4131">
      <pivotArea dataOnly="0" labelOnly="1" outline="0" fieldPosition="0">
        <references count="4">
          <reference field="5" count="1">
            <x v="32"/>
          </reference>
          <reference field="8" count="1" selected="0">
            <x v="65"/>
          </reference>
          <reference field="11" count="1" selected="0">
            <x v="3"/>
          </reference>
          <reference field="13" count="1" selected="0">
            <x v="287"/>
          </reference>
        </references>
      </pivotArea>
    </format>
    <format dxfId="4130">
      <pivotArea dataOnly="0" labelOnly="1" outline="0" fieldPosition="0">
        <references count="4">
          <reference field="5" count="1">
            <x v="117"/>
          </reference>
          <reference field="8" count="1" selected="0">
            <x v="65"/>
          </reference>
          <reference field="11" count="1" selected="0">
            <x v="3"/>
          </reference>
          <reference field="13" count="1" selected="0">
            <x v="314"/>
          </reference>
        </references>
      </pivotArea>
    </format>
    <format dxfId="4129">
      <pivotArea dataOnly="0" labelOnly="1" outline="0" fieldPosition="0">
        <references count="4">
          <reference field="5" count="1">
            <x v="116"/>
          </reference>
          <reference field="8" count="1" selected="0">
            <x v="65"/>
          </reference>
          <reference field="11" count="1" selected="0">
            <x v="5"/>
          </reference>
          <reference field="13" count="1" selected="0">
            <x v="77"/>
          </reference>
        </references>
      </pivotArea>
    </format>
    <format dxfId="4128">
      <pivotArea dataOnly="0" labelOnly="1" outline="0" fieldPosition="0">
        <references count="4">
          <reference field="5" count="1">
            <x v="116"/>
          </reference>
          <reference field="8" count="1" selected="0">
            <x v="65"/>
          </reference>
          <reference field="11" count="1" selected="0">
            <x v="5"/>
          </reference>
          <reference field="13" count="1" selected="0">
            <x v="81"/>
          </reference>
        </references>
      </pivotArea>
    </format>
    <format dxfId="4127">
      <pivotArea dataOnly="0" labelOnly="1" outline="0" fieldPosition="0">
        <references count="4">
          <reference field="5" count="1">
            <x v="32"/>
          </reference>
          <reference field="8" count="1" selected="0">
            <x v="65"/>
          </reference>
          <reference field="11" count="1" selected="0">
            <x v="6"/>
          </reference>
          <reference field="13" count="1" selected="0">
            <x v="207"/>
          </reference>
        </references>
      </pivotArea>
    </format>
    <format dxfId="4126">
      <pivotArea dataOnly="0" labelOnly="1" outline="0" fieldPosition="0">
        <references count="4">
          <reference field="5" count="1">
            <x v="64"/>
          </reference>
          <reference field="8" count="1" selected="0">
            <x v="66"/>
          </reference>
          <reference field="11" count="1" selected="0">
            <x v="0"/>
          </reference>
          <reference field="13" count="1" selected="0">
            <x v="185"/>
          </reference>
        </references>
      </pivotArea>
    </format>
    <format dxfId="4125">
      <pivotArea dataOnly="0" labelOnly="1" outline="0" fieldPosition="0">
        <references count="4">
          <reference field="5" count="1">
            <x v="64"/>
          </reference>
          <reference field="8" count="1" selected="0">
            <x v="67"/>
          </reference>
          <reference field="11" count="1" selected="0">
            <x v="3"/>
          </reference>
          <reference field="13" count="1" selected="0">
            <x v="17"/>
          </reference>
        </references>
      </pivotArea>
    </format>
    <format dxfId="4124">
      <pivotArea dataOnly="0" labelOnly="1" outline="0" fieldPosition="0">
        <references count="4">
          <reference field="5" count="1">
            <x v="64"/>
          </reference>
          <reference field="8" count="1" selected="0">
            <x v="67"/>
          </reference>
          <reference field="11" count="1" selected="0">
            <x v="3"/>
          </reference>
          <reference field="13" count="1" selected="0">
            <x v="305"/>
          </reference>
        </references>
      </pivotArea>
    </format>
    <format dxfId="4123">
      <pivotArea dataOnly="0" labelOnly="1" outline="0" fieldPosition="0">
        <references count="4">
          <reference field="5" count="1">
            <x v="70"/>
          </reference>
          <reference field="8" count="1" selected="0">
            <x v="68"/>
          </reference>
          <reference field="11" count="1" selected="0">
            <x v="3"/>
          </reference>
          <reference field="13" count="1" selected="0">
            <x v="69"/>
          </reference>
        </references>
      </pivotArea>
    </format>
    <format dxfId="4122">
      <pivotArea dataOnly="0" labelOnly="1" outline="0" fieldPosition="0">
        <references count="4">
          <reference field="5" count="1">
            <x v="70"/>
          </reference>
          <reference field="8" count="1" selected="0">
            <x v="68"/>
          </reference>
          <reference field="11" count="1" selected="0">
            <x v="3"/>
          </reference>
          <reference field="13" count="1" selected="0">
            <x v="240"/>
          </reference>
        </references>
      </pivotArea>
    </format>
    <format dxfId="4121">
      <pivotArea dataOnly="0" labelOnly="1" outline="0" fieldPosition="0">
        <references count="4">
          <reference field="5" count="1">
            <x v="70"/>
          </reference>
          <reference field="8" count="1" selected="0">
            <x v="68"/>
          </reference>
          <reference field="11" count="1" selected="0">
            <x v="3"/>
          </reference>
          <reference field="13" count="1" selected="0">
            <x v="243"/>
          </reference>
        </references>
      </pivotArea>
    </format>
    <format dxfId="4120">
      <pivotArea dataOnly="0" labelOnly="1" outline="0" fieldPosition="0">
        <references count="4">
          <reference field="5" count="1">
            <x v="70"/>
          </reference>
          <reference field="8" count="1" selected="0">
            <x v="68"/>
          </reference>
          <reference field="11" count="1" selected="0">
            <x v="5"/>
          </reference>
          <reference field="13" count="1" selected="0">
            <x v="96"/>
          </reference>
        </references>
      </pivotArea>
    </format>
    <format dxfId="4119">
      <pivotArea dataOnly="0" labelOnly="1" outline="0" fieldPosition="0">
        <references count="4">
          <reference field="5" count="1">
            <x v="101"/>
          </reference>
          <reference field="8" count="1" selected="0">
            <x v="69"/>
          </reference>
          <reference field="11" count="1" selected="0">
            <x v="3"/>
          </reference>
          <reference field="13" count="1" selected="0">
            <x v="32"/>
          </reference>
        </references>
      </pivotArea>
    </format>
    <format dxfId="4118">
      <pivotArea dataOnly="0" labelOnly="1" outline="0" fieldPosition="0">
        <references count="4">
          <reference field="5" count="1">
            <x v="101"/>
          </reference>
          <reference field="8" count="1" selected="0">
            <x v="69"/>
          </reference>
          <reference field="11" count="1" selected="0">
            <x v="3"/>
          </reference>
          <reference field="13" count="1" selected="0">
            <x v="242"/>
          </reference>
        </references>
      </pivotArea>
    </format>
    <format dxfId="4117">
      <pivotArea dataOnly="0" labelOnly="1" outline="0" fieldPosition="0">
        <references count="4">
          <reference field="5" count="1">
            <x v="101"/>
          </reference>
          <reference field="8" count="1" selected="0">
            <x v="69"/>
          </reference>
          <reference field="11" count="1" selected="0">
            <x v="3"/>
          </reference>
          <reference field="13" count="1" selected="0">
            <x v="287"/>
          </reference>
        </references>
      </pivotArea>
    </format>
    <format dxfId="4116">
      <pivotArea dataOnly="0" labelOnly="1" outline="0" fieldPosition="0">
        <references count="4">
          <reference field="5" count="1">
            <x v="101"/>
          </reference>
          <reference field="8" count="1" selected="0">
            <x v="69"/>
          </reference>
          <reference field="11" count="1" selected="0">
            <x v="4"/>
          </reference>
          <reference field="13" count="1" selected="0">
            <x v="280"/>
          </reference>
        </references>
      </pivotArea>
    </format>
    <format dxfId="4115">
      <pivotArea dataOnly="0" labelOnly="1" outline="0" fieldPosition="0">
        <references count="4">
          <reference field="5" count="1">
            <x v="101"/>
          </reference>
          <reference field="8" count="1" selected="0">
            <x v="69"/>
          </reference>
          <reference field="11" count="1" selected="0">
            <x v="6"/>
          </reference>
          <reference field="13" count="1" selected="0">
            <x v="207"/>
          </reference>
        </references>
      </pivotArea>
    </format>
    <format dxfId="4114">
      <pivotArea dataOnly="0" labelOnly="1" outline="0" fieldPosition="0">
        <references count="4">
          <reference field="5" count="1">
            <x v="101"/>
          </reference>
          <reference field="8" count="1" selected="0">
            <x v="69"/>
          </reference>
          <reference field="11" count="1" selected="0">
            <x v="7"/>
          </reference>
          <reference field="13" count="1" selected="0">
            <x v="93"/>
          </reference>
        </references>
      </pivotArea>
    </format>
    <format dxfId="4113">
      <pivotArea dataOnly="0" labelOnly="1" outline="0" fieldPosition="0">
        <references count="4">
          <reference field="5" count="1">
            <x v="101"/>
          </reference>
          <reference field="8" count="1" selected="0">
            <x v="70"/>
          </reference>
          <reference field="11" count="1" selected="0">
            <x v="3"/>
          </reference>
          <reference field="13" count="1" selected="0">
            <x v="242"/>
          </reference>
        </references>
      </pivotArea>
    </format>
    <format dxfId="4112">
      <pivotArea dataOnly="0" labelOnly="1" outline="0" fieldPosition="0">
        <references count="4">
          <reference field="5" count="2">
            <x v="116"/>
            <x v="117"/>
          </reference>
          <reference field="8" count="1" selected="0">
            <x v="71"/>
          </reference>
          <reference field="11" count="1" selected="0">
            <x v="3"/>
          </reference>
          <reference field="13" count="1" selected="0">
            <x v="29"/>
          </reference>
        </references>
      </pivotArea>
    </format>
    <format dxfId="4111">
      <pivotArea dataOnly="0" labelOnly="1" outline="0" fieldPosition="0">
        <references count="4">
          <reference field="5" count="1">
            <x v="117"/>
          </reference>
          <reference field="8" count="1" selected="0">
            <x v="71"/>
          </reference>
          <reference field="11" count="1" selected="0">
            <x v="3"/>
          </reference>
          <reference field="13" count="1" selected="0">
            <x v="218"/>
          </reference>
        </references>
      </pivotArea>
    </format>
    <format dxfId="4110">
      <pivotArea dataOnly="0" labelOnly="1" outline="0" fieldPosition="0">
        <references count="4">
          <reference field="5" count="1">
            <x v="117"/>
          </reference>
          <reference field="8" count="1" selected="0">
            <x v="71"/>
          </reference>
          <reference field="11" count="1" selected="0">
            <x v="3"/>
          </reference>
          <reference field="13" count="1" selected="0">
            <x v="314"/>
          </reference>
        </references>
      </pivotArea>
    </format>
    <format dxfId="4109">
      <pivotArea dataOnly="0" labelOnly="1" outline="0" fieldPosition="0">
        <references count="4">
          <reference field="5" count="2">
            <x v="103"/>
            <x v="108"/>
          </reference>
          <reference field="8" count="1" selected="0">
            <x v="72"/>
          </reference>
          <reference field="11" count="1" selected="0">
            <x v="3"/>
          </reference>
          <reference field="13" count="1" selected="0">
            <x v="7"/>
          </reference>
        </references>
      </pivotArea>
    </format>
    <format dxfId="4108">
      <pivotArea dataOnly="0" labelOnly="1" outline="0" fieldPosition="0">
        <references count="4">
          <reference field="5" count="2">
            <x v="72"/>
            <x v="110"/>
          </reference>
          <reference field="8" count="1" selected="0">
            <x v="72"/>
          </reference>
          <reference field="11" count="1" selected="0">
            <x v="3"/>
          </reference>
          <reference field="13" count="1" selected="0">
            <x v="17"/>
          </reference>
        </references>
      </pivotArea>
    </format>
    <format dxfId="4107">
      <pivotArea dataOnly="0" labelOnly="1" outline="0" fieldPosition="0">
        <references count="4">
          <reference field="5" count="1">
            <x v="110"/>
          </reference>
          <reference field="8" count="1" selected="0">
            <x v="72"/>
          </reference>
          <reference field="11" count="1" selected="0">
            <x v="3"/>
          </reference>
          <reference field="13" count="1" selected="0">
            <x v="32"/>
          </reference>
        </references>
      </pivotArea>
    </format>
    <format dxfId="4106">
      <pivotArea dataOnly="0" labelOnly="1" outline="0" fieldPosition="0">
        <references count="4">
          <reference field="5" count="1">
            <x v="108"/>
          </reference>
          <reference field="8" count="1" selected="0">
            <x v="72"/>
          </reference>
          <reference field="11" count="1" selected="0">
            <x v="3"/>
          </reference>
          <reference field="13" count="1" selected="0">
            <x v="57"/>
          </reference>
        </references>
      </pivotArea>
    </format>
    <format dxfId="4105">
      <pivotArea dataOnly="0" labelOnly="1" outline="0" fieldPosition="0">
        <references count="4">
          <reference field="5" count="1">
            <x v="108"/>
          </reference>
          <reference field="8" count="1" selected="0">
            <x v="72"/>
          </reference>
          <reference field="11" count="1" selected="0">
            <x v="3"/>
          </reference>
          <reference field="13" count="1" selected="0">
            <x v="131"/>
          </reference>
        </references>
      </pivotArea>
    </format>
    <format dxfId="4104">
      <pivotArea dataOnly="0" labelOnly="1" outline="0" fieldPosition="0">
        <references count="4">
          <reference field="5" count="9">
            <x v="50"/>
            <x v="60"/>
            <x v="65"/>
            <x v="68"/>
            <x v="71"/>
            <x v="91"/>
            <x v="103"/>
            <x v="106"/>
            <x v="114"/>
          </reference>
          <reference field="8" count="1" selected="0">
            <x v="72"/>
          </reference>
          <reference field="11" count="1" selected="0">
            <x v="3"/>
          </reference>
          <reference field="13" count="1" selected="0">
            <x v="240"/>
          </reference>
        </references>
      </pivotArea>
    </format>
    <format dxfId="4103">
      <pivotArea dataOnly="0" labelOnly="1" outline="0" fieldPosition="0">
        <references count="4">
          <reference field="5" count="8">
            <x v="32"/>
            <x v="50"/>
            <x v="60"/>
            <x v="72"/>
            <x v="103"/>
            <x v="106"/>
            <x v="108"/>
            <x v="110"/>
          </reference>
          <reference field="8" count="1" selected="0">
            <x v="72"/>
          </reference>
          <reference field="11" count="1" selected="0">
            <x v="3"/>
          </reference>
          <reference field="13" count="1" selected="0">
            <x v="242"/>
          </reference>
        </references>
      </pivotArea>
    </format>
    <format dxfId="4102">
      <pivotArea dataOnly="0" labelOnly="1" outline="0" fieldPosition="0">
        <references count="4">
          <reference field="5" count="12">
            <x v="50"/>
            <x v="60"/>
            <x v="65"/>
            <x v="72"/>
            <x v="80"/>
            <x v="101"/>
            <x v="103"/>
            <x v="104"/>
            <x v="106"/>
            <x v="108"/>
            <x v="110"/>
            <x v="114"/>
          </reference>
          <reference field="8" count="1" selected="0">
            <x v="72"/>
          </reference>
          <reference field="11" count="1" selected="0">
            <x v="3"/>
          </reference>
          <reference field="13" count="1" selected="0">
            <x v="243"/>
          </reference>
        </references>
      </pivotArea>
    </format>
    <format dxfId="4101">
      <pivotArea dataOnly="0" labelOnly="1" outline="0" fieldPosition="0">
        <references count="4">
          <reference field="5" count="1">
            <x v="50"/>
          </reference>
          <reference field="8" count="1" selected="0">
            <x v="72"/>
          </reference>
          <reference field="11" count="1" selected="0">
            <x v="3"/>
          </reference>
          <reference field="13" count="1" selected="0">
            <x v="251"/>
          </reference>
        </references>
      </pivotArea>
    </format>
    <format dxfId="4100">
      <pivotArea dataOnly="0" labelOnly="1" outline="0" fieldPosition="0">
        <references count="4">
          <reference field="5" count="9">
            <x v="2"/>
            <x v="50"/>
            <x v="65"/>
            <x v="72"/>
            <x v="79"/>
            <x v="85"/>
            <x v="89"/>
            <x v="103"/>
            <x v="108"/>
          </reference>
          <reference field="8" count="1" selected="0">
            <x v="72"/>
          </reference>
          <reference field="11" count="1" selected="0">
            <x v="3"/>
          </reference>
          <reference field="13" count="1" selected="0">
            <x v="287"/>
          </reference>
        </references>
      </pivotArea>
    </format>
    <format dxfId="4099">
      <pivotArea dataOnly="0" labelOnly="1" outline="0" fieldPosition="0">
        <references count="4">
          <reference field="5" count="1">
            <x v="110"/>
          </reference>
          <reference field="8" count="1" selected="0">
            <x v="72"/>
          </reference>
          <reference field="11" count="1" selected="0">
            <x v="3"/>
          </reference>
          <reference field="13" count="1" selected="0">
            <x v="305"/>
          </reference>
        </references>
      </pivotArea>
    </format>
    <format dxfId="4098">
      <pivotArea dataOnly="0" labelOnly="1" outline="0" fieldPosition="0">
        <references count="4">
          <reference field="5" count="1">
            <x v="108"/>
          </reference>
          <reference field="8" count="1" selected="0">
            <x v="72"/>
          </reference>
          <reference field="11" count="1" selected="0">
            <x v="4"/>
          </reference>
          <reference field="13" count="1" selected="0">
            <x v="133"/>
          </reference>
        </references>
      </pivotArea>
    </format>
    <format dxfId="4097">
      <pivotArea dataOnly="0" labelOnly="1" outline="0" fieldPosition="0">
        <references count="4">
          <reference field="5" count="1">
            <x v="2"/>
          </reference>
          <reference field="8" count="1" selected="0">
            <x v="72"/>
          </reference>
          <reference field="11" count="1" selected="0">
            <x v="5"/>
          </reference>
          <reference field="13" count="1" selected="0">
            <x v="43"/>
          </reference>
        </references>
      </pivotArea>
    </format>
    <format dxfId="4096">
      <pivotArea dataOnly="0" labelOnly="1" outline="0" fieldPosition="0">
        <references count="4">
          <reference field="5" count="2">
            <x v="20"/>
            <x v="116"/>
          </reference>
          <reference field="8" count="1" selected="0">
            <x v="72"/>
          </reference>
          <reference field="11" count="1" selected="0">
            <x v="5"/>
          </reference>
          <reference field="13" count="1" selected="0">
            <x v="81"/>
          </reference>
        </references>
      </pivotArea>
    </format>
    <format dxfId="4095">
      <pivotArea dataOnly="0" labelOnly="1" outline="0" fieldPosition="0">
        <references count="4">
          <reference field="5" count="1">
            <x v="20"/>
          </reference>
          <reference field="8" count="1" selected="0">
            <x v="72"/>
          </reference>
          <reference field="11" count="1" selected="0">
            <x v="5"/>
          </reference>
          <reference field="13" count="1" selected="0">
            <x v="255"/>
          </reference>
        </references>
      </pivotArea>
    </format>
    <format dxfId="4094">
      <pivotArea dataOnly="0" labelOnly="1" outline="0" fieldPosition="0">
        <references count="4">
          <reference field="5" count="1">
            <x v="2"/>
          </reference>
          <reference field="8" count="1" selected="0">
            <x v="72"/>
          </reference>
          <reference field="11" count="1" selected="0">
            <x v="6"/>
          </reference>
          <reference field="13" count="1" selected="0">
            <x v="191"/>
          </reference>
        </references>
      </pivotArea>
    </format>
    <format dxfId="4093">
      <pivotArea dataOnly="0" labelOnly="1" outline="0" fieldPosition="0">
        <references count="4">
          <reference field="5" count="1">
            <x v="2"/>
          </reference>
          <reference field="8" count="1" selected="0">
            <x v="72"/>
          </reference>
          <reference field="11" count="1" selected="0">
            <x v="6"/>
          </reference>
          <reference field="13" count="1" selected="0">
            <x v="198"/>
          </reference>
        </references>
      </pivotArea>
    </format>
    <format dxfId="4092">
      <pivotArea dataOnly="0" labelOnly="1" outline="0" fieldPosition="0">
        <references count="4">
          <reference field="5" count="1">
            <x v="2"/>
          </reference>
          <reference field="8" count="1" selected="0">
            <x v="72"/>
          </reference>
          <reference field="11" count="1" selected="0">
            <x v="6"/>
          </reference>
          <reference field="13" count="1" selected="0">
            <x v="199"/>
          </reference>
        </references>
      </pivotArea>
    </format>
    <format dxfId="4091">
      <pivotArea dataOnly="0" labelOnly="1" outline="0" fieldPosition="0">
        <references count="4">
          <reference field="5" count="1">
            <x v="106"/>
          </reference>
          <reference field="8" count="1" selected="0">
            <x v="72"/>
          </reference>
          <reference field="11" count="1" selected="0">
            <x v="6"/>
          </reference>
          <reference field="13" count="1" selected="0">
            <x v="207"/>
          </reference>
        </references>
      </pivotArea>
    </format>
    <format dxfId="4090">
      <pivotArea dataOnly="0" labelOnly="1" outline="0" fieldPosition="0">
        <references count="4">
          <reference field="5" count="1">
            <x v="108"/>
          </reference>
          <reference field="8" count="1" selected="0">
            <x v="72"/>
          </reference>
          <reference field="11" count="1" selected="0">
            <x v="7"/>
          </reference>
          <reference field="13" count="1" selected="0">
            <x v="2"/>
          </reference>
        </references>
      </pivotArea>
    </format>
    <format dxfId="4089">
      <pivotArea dataOnly="0" labelOnly="1" outline="0" fieldPosition="0">
        <references count="4">
          <reference field="5" count="1">
            <x v="72"/>
          </reference>
          <reference field="8" count="1" selected="0">
            <x v="72"/>
          </reference>
          <reference field="11" count="1" selected="0">
            <x v="7"/>
          </reference>
          <reference field="13" count="1" selected="0">
            <x v="72"/>
          </reference>
        </references>
      </pivotArea>
    </format>
    <format dxfId="4088">
      <pivotArea dataOnly="0" labelOnly="1" outline="0" fieldPosition="0">
        <references count="4">
          <reference field="5" count="1">
            <x v="47"/>
          </reference>
          <reference field="8" count="1" selected="0">
            <x v="73"/>
          </reference>
          <reference field="11" count="1" selected="0">
            <x v="0"/>
          </reference>
          <reference field="13" count="1" selected="0">
            <x v="102"/>
          </reference>
        </references>
      </pivotArea>
    </format>
    <format dxfId="4087">
      <pivotArea dataOnly="0" labelOnly="1" outline="0" fieldPosition="0">
        <references count="4">
          <reference field="5" count="1">
            <x v="47"/>
          </reference>
          <reference field="8" count="1" selected="0">
            <x v="73"/>
          </reference>
          <reference field="11" count="1" selected="0">
            <x v="0"/>
          </reference>
          <reference field="13" count="1" selected="0">
            <x v="120"/>
          </reference>
        </references>
      </pivotArea>
    </format>
    <format dxfId="4086">
      <pivotArea dataOnly="0" labelOnly="1" outline="0" fieldPosition="0">
        <references count="4">
          <reference field="5" count="1">
            <x v="47"/>
          </reference>
          <reference field="8" count="1" selected="0">
            <x v="73"/>
          </reference>
          <reference field="11" count="1" selected="0">
            <x v="0"/>
          </reference>
          <reference field="13" count="1" selected="0">
            <x v="182"/>
          </reference>
        </references>
      </pivotArea>
    </format>
    <format dxfId="4085">
      <pivotArea dataOnly="0" labelOnly="1" outline="0" fieldPosition="0">
        <references count="4">
          <reference field="5" count="1">
            <x v="47"/>
          </reference>
          <reference field="8" count="1" selected="0">
            <x v="73"/>
          </reference>
          <reference field="11" count="1" selected="0">
            <x v="0"/>
          </reference>
          <reference field="13" count="1" selected="0">
            <x v="221"/>
          </reference>
        </references>
      </pivotArea>
    </format>
    <format dxfId="4084">
      <pivotArea dataOnly="0" labelOnly="1" outline="0" fieldPosition="0">
        <references count="4">
          <reference field="5" count="1">
            <x v="32"/>
          </reference>
          <reference field="8" count="1" selected="0">
            <x v="73"/>
          </reference>
          <reference field="11" count="1" selected="0">
            <x v="3"/>
          </reference>
          <reference field="13" count="1" selected="0">
            <x v="32"/>
          </reference>
        </references>
      </pivotArea>
    </format>
    <format dxfId="4083">
      <pivotArea dataOnly="0" labelOnly="1" outline="0" fieldPosition="0">
        <references count="4">
          <reference field="5" count="1">
            <x v="32"/>
          </reference>
          <reference field="8" count="1" selected="0">
            <x v="73"/>
          </reference>
          <reference field="11" count="1" selected="0">
            <x v="3"/>
          </reference>
          <reference field="13" count="1" selected="0">
            <x v="146"/>
          </reference>
        </references>
      </pivotArea>
    </format>
    <format dxfId="4082">
      <pivotArea dataOnly="0" labelOnly="1" outline="0" fieldPosition="0">
        <references count="4">
          <reference field="5" count="2">
            <x v="32"/>
            <x v="101"/>
          </reference>
          <reference field="8" count="1" selected="0">
            <x v="73"/>
          </reference>
          <reference field="11" count="1" selected="0">
            <x v="3"/>
          </reference>
          <reference field="13" count="1" selected="0">
            <x v="240"/>
          </reference>
        </references>
      </pivotArea>
    </format>
    <format dxfId="4081">
      <pivotArea dataOnly="0" labelOnly="1" outline="0" fieldPosition="0">
        <references count="4">
          <reference field="5" count="1">
            <x v="32"/>
          </reference>
          <reference field="8" count="1" selected="0">
            <x v="73"/>
          </reference>
          <reference field="11" count="1" selected="0">
            <x v="3"/>
          </reference>
          <reference field="13" count="1" selected="0">
            <x v="242"/>
          </reference>
        </references>
      </pivotArea>
    </format>
    <format dxfId="4080">
      <pivotArea dataOnly="0" labelOnly="1" outline="0" fieldPosition="0">
        <references count="4">
          <reference field="5" count="1">
            <x v="32"/>
          </reference>
          <reference field="8" count="1" selected="0">
            <x v="73"/>
          </reference>
          <reference field="11" count="1" selected="0">
            <x v="3"/>
          </reference>
          <reference field="13" count="1" selected="0">
            <x v="243"/>
          </reference>
        </references>
      </pivotArea>
    </format>
    <format dxfId="4079">
      <pivotArea dataOnly="0" labelOnly="1" outline="0" fieldPosition="0">
        <references count="4">
          <reference field="5" count="1">
            <x v="32"/>
          </reference>
          <reference field="8" count="1" selected="0">
            <x v="73"/>
          </reference>
          <reference field="11" count="1" selected="0">
            <x v="3"/>
          </reference>
          <reference field="13" count="1" selected="0">
            <x v="287"/>
          </reference>
        </references>
      </pivotArea>
    </format>
    <format dxfId="4078">
      <pivotArea dataOnly="0" labelOnly="1" outline="0" fieldPosition="0">
        <references count="4">
          <reference field="5" count="2">
            <x v="20"/>
            <x v="116"/>
          </reference>
          <reference field="8" count="1" selected="0">
            <x v="73"/>
          </reference>
          <reference field="11" count="1" selected="0">
            <x v="5"/>
          </reference>
          <reference field="13" count="1" selected="0">
            <x v="81"/>
          </reference>
        </references>
      </pivotArea>
    </format>
    <format dxfId="4077">
      <pivotArea dataOnly="0" labelOnly="1" outline="0" fieldPosition="0">
        <references count="4">
          <reference field="5" count="1">
            <x v="32"/>
          </reference>
          <reference field="8" count="1" selected="0">
            <x v="73"/>
          </reference>
          <reference field="11" count="1" selected="0">
            <x v="6"/>
          </reference>
          <reference field="13" count="1" selected="0">
            <x v="207"/>
          </reference>
        </references>
      </pivotArea>
    </format>
    <format dxfId="4076">
      <pivotArea dataOnly="0" labelOnly="1" outline="0" fieldPosition="0">
        <references count="4">
          <reference field="5" count="1">
            <x v="116"/>
          </reference>
          <reference field="8" count="1" selected="0">
            <x v="74"/>
          </reference>
          <reference field="11" count="1" selected="0">
            <x v="5"/>
          </reference>
          <reference field="13" count="1" selected="0">
            <x v="81"/>
          </reference>
        </references>
      </pivotArea>
    </format>
    <format dxfId="4075">
      <pivotArea dataOnly="0" labelOnly="1" outline="0" fieldPosition="0">
        <references count="4">
          <reference field="5" count="1">
            <x v="68"/>
          </reference>
          <reference field="8" count="1" selected="0">
            <x v="75"/>
          </reference>
          <reference field="11" count="1" selected="0">
            <x v="2"/>
          </reference>
          <reference field="13" count="1" selected="0">
            <x v="263"/>
          </reference>
        </references>
      </pivotArea>
    </format>
    <format dxfId="4074">
      <pivotArea dataOnly="0" labelOnly="1" outline="0" fieldPosition="0">
        <references count="4">
          <reference field="5" count="1">
            <x v="68"/>
          </reference>
          <reference field="8" count="1" selected="0">
            <x v="75"/>
          </reference>
          <reference field="11" count="1" selected="0">
            <x v="3"/>
          </reference>
          <reference field="13" count="1" selected="0">
            <x v="32"/>
          </reference>
        </references>
      </pivotArea>
    </format>
    <format dxfId="4073">
      <pivotArea dataOnly="0" labelOnly="1" outline="0" fieldPosition="0">
        <references count="4">
          <reference field="5" count="1">
            <x v="68"/>
          </reference>
          <reference field="8" count="1" selected="0">
            <x v="75"/>
          </reference>
          <reference field="11" count="1" selected="0">
            <x v="3"/>
          </reference>
          <reference field="13" count="1" selected="0">
            <x v="240"/>
          </reference>
        </references>
      </pivotArea>
    </format>
    <format dxfId="4072">
      <pivotArea dataOnly="0" labelOnly="1" outline="0" fieldPosition="0">
        <references count="4">
          <reference field="5" count="1">
            <x v="68"/>
          </reference>
          <reference field="8" count="1" selected="0">
            <x v="75"/>
          </reference>
          <reference field="11" count="1" selected="0">
            <x v="3"/>
          </reference>
          <reference field="13" count="1" selected="0">
            <x v="242"/>
          </reference>
        </references>
      </pivotArea>
    </format>
    <format dxfId="4071">
      <pivotArea dataOnly="0" labelOnly="1" outline="0" fieldPosition="0">
        <references count="4">
          <reference field="5" count="1">
            <x v="116"/>
          </reference>
          <reference field="8" count="1" selected="0">
            <x v="75"/>
          </reference>
          <reference field="11" count="1" selected="0">
            <x v="5"/>
          </reference>
          <reference field="13" count="1" selected="0">
            <x v="77"/>
          </reference>
        </references>
      </pivotArea>
    </format>
    <format dxfId="4070">
      <pivotArea dataOnly="0" labelOnly="1" outline="0" fieldPosition="0">
        <references count="4">
          <reference field="5" count="1">
            <x v="116"/>
          </reference>
          <reference field="8" count="1" selected="0">
            <x v="75"/>
          </reference>
          <reference field="11" count="1" selected="0">
            <x v="5"/>
          </reference>
          <reference field="13" count="1" selected="0">
            <x v="180"/>
          </reference>
        </references>
      </pivotArea>
    </format>
    <format dxfId="4069">
      <pivotArea dataOnly="0" labelOnly="1" outline="0" fieldPosition="0">
        <references count="4">
          <reference field="5" count="1">
            <x v="65"/>
          </reference>
          <reference field="8" count="1" selected="0">
            <x v="76"/>
          </reference>
          <reference field="11" count="1" selected="0">
            <x v="2"/>
          </reference>
          <reference field="13" count="1" selected="0">
            <x v="235"/>
          </reference>
        </references>
      </pivotArea>
    </format>
    <format dxfId="4068">
      <pivotArea dataOnly="0" labelOnly="1" outline="0" fieldPosition="0">
        <references count="4">
          <reference field="5" count="1">
            <x v="65"/>
          </reference>
          <reference field="8" count="1" selected="0">
            <x v="76"/>
          </reference>
          <reference field="11" count="1" selected="0">
            <x v="2"/>
          </reference>
          <reference field="13" count="1" selected="0">
            <x v="279"/>
          </reference>
        </references>
      </pivotArea>
    </format>
    <format dxfId="4067">
      <pivotArea dataOnly="0" labelOnly="1" outline="0" fieldPosition="0">
        <references count="4">
          <reference field="5" count="1">
            <x v="65"/>
          </reference>
          <reference field="8" count="1" selected="0">
            <x v="76"/>
          </reference>
          <reference field="11" count="1" selected="0">
            <x v="3"/>
          </reference>
          <reference field="13" count="1" selected="0">
            <x v="240"/>
          </reference>
        </references>
      </pivotArea>
    </format>
    <format dxfId="4066">
      <pivotArea dataOnly="0" labelOnly="1" outline="0" fieldPosition="0">
        <references count="4">
          <reference field="5" count="2">
            <x v="60"/>
            <x v="65"/>
          </reference>
          <reference field="8" count="1" selected="0">
            <x v="76"/>
          </reference>
          <reference field="11" count="1" selected="0">
            <x v="3"/>
          </reference>
          <reference field="13" count="1" selected="0">
            <x v="242"/>
          </reference>
        </references>
      </pivotArea>
    </format>
    <format dxfId="4065">
      <pivotArea dataOnly="0" labelOnly="1" outline="0" fieldPosition="0">
        <references count="4">
          <reference field="5" count="2">
            <x v="60"/>
            <x v="65"/>
          </reference>
          <reference field="8" count="1" selected="0">
            <x v="76"/>
          </reference>
          <reference field="11" count="1" selected="0">
            <x v="3"/>
          </reference>
          <reference field="13" count="1" selected="0">
            <x v="243"/>
          </reference>
        </references>
      </pivotArea>
    </format>
    <format dxfId="4064">
      <pivotArea dataOnly="0" labelOnly="1" outline="0" fieldPosition="0">
        <references count="4">
          <reference field="5" count="1">
            <x v="60"/>
          </reference>
          <reference field="8" count="1" selected="0">
            <x v="76"/>
          </reference>
          <reference field="11" count="1" selected="0">
            <x v="3"/>
          </reference>
          <reference field="13" count="1" selected="0">
            <x v="287"/>
          </reference>
        </references>
      </pivotArea>
    </format>
    <format dxfId="4063">
      <pivotArea dataOnly="0" labelOnly="1" outline="0" fieldPosition="0">
        <references count="4">
          <reference field="5" count="2">
            <x v="20"/>
            <x v="116"/>
          </reference>
          <reference field="8" count="1" selected="0">
            <x v="76"/>
          </reference>
          <reference field="11" count="1" selected="0">
            <x v="5"/>
          </reference>
          <reference field="13" count="1" selected="0">
            <x v="77"/>
          </reference>
        </references>
      </pivotArea>
    </format>
    <format dxfId="4062">
      <pivotArea dataOnly="0" labelOnly="1" outline="0" fieldPosition="0">
        <references count="4">
          <reference field="5" count="1">
            <x v="65"/>
          </reference>
          <reference field="8" count="1" selected="0">
            <x v="76"/>
          </reference>
          <reference field="11" count="1" selected="0">
            <x v="7"/>
          </reference>
          <reference field="13" count="1" selected="0">
            <x v="72"/>
          </reference>
        </references>
      </pivotArea>
    </format>
    <format dxfId="4061">
      <pivotArea dataOnly="0" labelOnly="1" outline="0" fieldPosition="0">
        <references count="4">
          <reference field="5" count="1">
            <x v="122"/>
          </reference>
          <reference field="8" count="1" selected="0">
            <x v="77"/>
          </reference>
          <reference field="11" count="1" selected="0">
            <x v="3"/>
          </reference>
          <reference field="13" count="1" selected="0">
            <x v="242"/>
          </reference>
        </references>
      </pivotArea>
    </format>
    <format dxfId="4060">
      <pivotArea dataOnly="0" labelOnly="1" outline="0" fieldPosition="0">
        <references count="4">
          <reference field="5" count="1">
            <x v="116"/>
          </reference>
          <reference field="8" count="1" selected="0">
            <x v="77"/>
          </reference>
          <reference field="11" count="1" selected="0">
            <x v="5"/>
          </reference>
          <reference field="13" count="1" selected="0">
            <x v="77"/>
          </reference>
        </references>
      </pivotArea>
    </format>
    <format dxfId="4059">
      <pivotArea dataOnly="0" labelOnly="1" outline="0" fieldPosition="0">
        <references count="4">
          <reference field="5" count="1">
            <x v="116"/>
          </reference>
          <reference field="8" count="1" selected="0">
            <x v="77"/>
          </reference>
          <reference field="11" count="1" selected="0">
            <x v="5"/>
          </reference>
          <reference field="13" count="1" selected="0">
            <x v="81"/>
          </reference>
        </references>
      </pivotArea>
    </format>
    <format dxfId="4058">
      <pivotArea dataOnly="0" labelOnly="1" outline="0" fieldPosition="0">
        <references count="4">
          <reference field="5" count="1">
            <x v="116"/>
          </reference>
          <reference field="8" count="1" selected="0">
            <x v="78"/>
          </reference>
          <reference field="11" count="1" selected="0">
            <x v="5"/>
          </reference>
          <reference field="13" count="1" selected="0">
            <x v="77"/>
          </reference>
        </references>
      </pivotArea>
    </format>
    <format dxfId="4057">
      <pivotArea dataOnly="0" labelOnly="1" outline="0" fieldPosition="0">
        <references count="4">
          <reference field="5" count="1">
            <x v="32"/>
          </reference>
          <reference field="8" count="1" selected="0">
            <x v="79"/>
          </reference>
          <reference field="11" count="1" selected="0">
            <x v="3"/>
          </reference>
          <reference field="13" count="1" selected="0">
            <x v="7"/>
          </reference>
        </references>
      </pivotArea>
    </format>
    <format dxfId="4056">
      <pivotArea dataOnly="0" labelOnly="1" outline="0" fieldPosition="0">
        <references count="4">
          <reference field="5" count="2">
            <x v="116"/>
            <x v="117"/>
          </reference>
          <reference field="8" count="1" selected="0">
            <x v="79"/>
          </reference>
          <reference field="11" count="1" selected="0">
            <x v="3"/>
          </reference>
          <reference field="13" count="1" selected="0">
            <x v="29"/>
          </reference>
        </references>
      </pivotArea>
    </format>
    <format dxfId="4055">
      <pivotArea dataOnly="0" labelOnly="1" outline="0" fieldPosition="0">
        <references count="4">
          <reference field="5" count="1">
            <x v="32"/>
          </reference>
          <reference field="8" count="1" selected="0">
            <x v="79"/>
          </reference>
          <reference field="11" count="1" selected="0">
            <x v="3"/>
          </reference>
          <reference field="13" count="1" selected="0">
            <x v="69"/>
          </reference>
        </references>
      </pivotArea>
    </format>
    <format dxfId="4054">
      <pivotArea dataOnly="0" labelOnly="1" outline="0" fieldPosition="0">
        <references count="4">
          <reference field="5" count="1">
            <x v="117"/>
          </reference>
          <reference field="8" count="1" selected="0">
            <x v="79"/>
          </reference>
          <reference field="11" count="1" selected="0">
            <x v="3"/>
          </reference>
          <reference field="13" count="1" selected="0">
            <x v="218"/>
          </reference>
        </references>
      </pivotArea>
    </format>
    <format dxfId="4053">
      <pivotArea dataOnly="0" labelOnly="1" outline="0" fieldPosition="0">
        <references count="4">
          <reference field="5" count="1">
            <x v="70"/>
          </reference>
          <reference field="8" count="1" selected="0">
            <x v="79"/>
          </reference>
          <reference field="11" count="1" selected="0">
            <x v="3"/>
          </reference>
          <reference field="13" count="1" selected="0">
            <x v="243"/>
          </reference>
        </references>
      </pivotArea>
    </format>
    <format dxfId="4052">
      <pivotArea dataOnly="0" labelOnly="1" outline="0" fieldPosition="0">
        <references count="4">
          <reference field="5" count="1">
            <x v="117"/>
          </reference>
          <reference field="8" count="1" selected="0">
            <x v="79"/>
          </reference>
          <reference field="11" count="1" selected="0">
            <x v="3"/>
          </reference>
          <reference field="13" count="1" selected="0">
            <x v="314"/>
          </reference>
        </references>
      </pivotArea>
    </format>
    <format dxfId="4051">
      <pivotArea dataOnly="0" labelOnly="1" outline="0" fieldPosition="0">
        <references count="4">
          <reference field="5" count="1">
            <x v="64"/>
          </reference>
          <reference field="8" count="1" selected="0">
            <x v="80"/>
          </reference>
          <reference field="11" count="1" selected="0">
            <x v="0"/>
          </reference>
          <reference field="13" count="1" selected="0">
            <x v="185"/>
          </reference>
        </references>
      </pivotArea>
    </format>
    <format dxfId="4050">
      <pivotArea dataOnly="0" labelOnly="1" outline="0" fieldPosition="0">
        <references count="4">
          <reference field="5" count="1">
            <x v="101"/>
          </reference>
          <reference field="8" count="1" selected="0">
            <x v="81"/>
          </reference>
          <reference field="11" count="1" selected="0">
            <x v="3"/>
          </reference>
          <reference field="13" count="1" selected="0">
            <x v="32"/>
          </reference>
        </references>
      </pivotArea>
    </format>
    <format dxfId="4049">
      <pivotArea dataOnly="0" labelOnly="1" outline="0" fieldPosition="0">
        <references count="4">
          <reference field="5" count="1">
            <x v="70"/>
          </reference>
          <reference field="8" count="1" selected="0">
            <x v="81"/>
          </reference>
          <reference field="11" count="1" selected="0">
            <x v="3"/>
          </reference>
          <reference field="13" count="1" selected="0">
            <x v="69"/>
          </reference>
        </references>
      </pivotArea>
    </format>
    <format dxfId="4048">
      <pivotArea dataOnly="0" labelOnly="1" outline="0" fieldPosition="0">
        <references count="4">
          <reference field="5" count="1">
            <x v="101"/>
          </reference>
          <reference field="8" count="1" selected="0">
            <x v="81"/>
          </reference>
          <reference field="11" count="1" selected="0">
            <x v="3"/>
          </reference>
          <reference field="13" count="1" selected="0">
            <x v="243"/>
          </reference>
        </references>
      </pivotArea>
    </format>
    <format dxfId="4047">
      <pivotArea dataOnly="0" labelOnly="1" outline="0" fieldPosition="0">
        <references count="4">
          <reference field="5" count="1">
            <x v="101"/>
          </reference>
          <reference field="8" count="1" selected="0">
            <x v="81"/>
          </reference>
          <reference field="11" count="1" selected="0">
            <x v="5"/>
          </reference>
          <reference field="13" count="1" selected="0">
            <x v="77"/>
          </reference>
        </references>
      </pivotArea>
    </format>
    <format dxfId="4046">
      <pivotArea dataOnly="0" labelOnly="1" outline="0" fieldPosition="0">
        <references count="4">
          <reference field="5" count="1">
            <x v="116"/>
          </reference>
          <reference field="8" count="1" selected="0">
            <x v="81"/>
          </reference>
          <reference field="11" count="1" selected="0">
            <x v="5"/>
          </reference>
          <reference field="13" count="1" selected="0">
            <x v="81"/>
          </reference>
        </references>
      </pivotArea>
    </format>
    <format dxfId="4045">
      <pivotArea dataOnly="0" labelOnly="1" outline="0" fieldPosition="0">
        <references count="4">
          <reference field="5" count="1">
            <x v="101"/>
          </reference>
          <reference field="8" count="1" selected="0">
            <x v="81"/>
          </reference>
          <reference field="11" count="1" selected="0">
            <x v="6"/>
          </reference>
          <reference field="13" count="1" selected="0">
            <x v="207"/>
          </reference>
        </references>
      </pivotArea>
    </format>
    <format dxfId="4044">
      <pivotArea dataOnly="0" labelOnly="1" outline="0" fieldPosition="0">
        <references count="4">
          <reference field="5" count="1">
            <x v="101"/>
          </reference>
          <reference field="8" count="1" selected="0">
            <x v="82"/>
          </reference>
          <reference field="11" count="1" selected="0">
            <x v="3"/>
          </reference>
          <reference field="13" count="1" selected="0">
            <x v="57"/>
          </reference>
        </references>
      </pivotArea>
    </format>
    <format dxfId="4043">
      <pivotArea dataOnly="0" labelOnly="1" outline="0" fieldPosition="0">
        <references count="4">
          <reference field="5" count="1">
            <x v="101"/>
          </reference>
          <reference field="8" count="1" selected="0">
            <x v="82"/>
          </reference>
          <reference field="11" count="1" selected="0">
            <x v="3"/>
          </reference>
          <reference field="13" count="1" selected="0">
            <x v="242"/>
          </reference>
        </references>
      </pivotArea>
    </format>
    <format dxfId="4042">
      <pivotArea dataOnly="0" labelOnly="1" outline="0" fieldPosition="0">
        <references count="4">
          <reference field="5" count="1">
            <x v="101"/>
          </reference>
          <reference field="8" count="1" selected="0">
            <x v="82"/>
          </reference>
          <reference field="11" count="1" selected="0">
            <x v="6"/>
          </reference>
          <reference field="13" count="1" selected="0">
            <x v="207"/>
          </reference>
        </references>
      </pivotArea>
    </format>
    <format dxfId="4041">
      <pivotArea dataOnly="0" labelOnly="1" outline="0" fieldPosition="0">
        <references count="4">
          <reference field="5" count="1">
            <x v="114"/>
          </reference>
          <reference field="8" count="1" selected="0">
            <x v="83"/>
          </reference>
          <reference field="11" count="1" selected="0">
            <x v="3"/>
          </reference>
          <reference field="13" count="1" selected="0">
            <x v="89"/>
          </reference>
        </references>
      </pivotArea>
    </format>
    <format dxfId="4040">
      <pivotArea dataOnly="0" labelOnly="1" outline="0" fieldPosition="0">
        <references count="4">
          <reference field="5" count="1">
            <x v="114"/>
          </reference>
          <reference field="8" count="1" selected="0">
            <x v="83"/>
          </reference>
          <reference field="11" count="1" selected="0">
            <x v="3"/>
          </reference>
          <reference field="13" count="1" selected="0">
            <x v="240"/>
          </reference>
        </references>
      </pivotArea>
    </format>
    <format dxfId="4039">
      <pivotArea dataOnly="0" labelOnly="1" outline="0" fieldPosition="0">
        <references count="4">
          <reference field="5" count="1">
            <x v="114"/>
          </reference>
          <reference field="8" count="1" selected="0">
            <x v="83"/>
          </reference>
          <reference field="11" count="1" selected="0">
            <x v="3"/>
          </reference>
          <reference field="13" count="1" selected="0">
            <x v="287"/>
          </reference>
        </references>
      </pivotArea>
    </format>
    <format dxfId="4038">
      <pivotArea dataOnly="0" labelOnly="1" outline="0" fieldPosition="0">
        <references count="4">
          <reference field="5" count="1">
            <x v="2"/>
          </reference>
          <reference field="8" count="1" selected="0">
            <x v="83"/>
          </reference>
          <reference field="11" count="1" selected="0">
            <x v="5"/>
          </reference>
          <reference field="13" count="1" selected="0">
            <x v="268"/>
          </reference>
        </references>
      </pivotArea>
    </format>
    <format dxfId="4037">
      <pivotArea dataOnly="0" labelOnly="1" outline="0" fieldPosition="0">
        <references count="4">
          <reference field="5" count="2">
            <x v="87"/>
            <x v="110"/>
          </reference>
          <reference field="8" count="1" selected="0">
            <x v="84"/>
          </reference>
          <reference field="11" count="1" selected="0">
            <x v="3"/>
          </reference>
          <reference field="13" count="1" selected="0">
            <x v="7"/>
          </reference>
        </references>
      </pivotArea>
    </format>
    <format dxfId="4036">
      <pivotArea dataOnly="0" labelOnly="1" outline="0" fieldPosition="0">
        <references count="4">
          <reference field="5" count="1">
            <x v="110"/>
          </reference>
          <reference field="8" count="1" selected="0">
            <x v="84"/>
          </reference>
          <reference field="11" count="1" selected="0">
            <x v="3"/>
          </reference>
          <reference field="13" count="1" selected="0">
            <x v="17"/>
          </reference>
        </references>
      </pivotArea>
    </format>
    <format dxfId="4035">
      <pivotArea dataOnly="0" labelOnly="1" outline="0" fieldPosition="0">
        <references count="4">
          <reference field="5" count="2">
            <x v="116"/>
            <x v="117"/>
          </reference>
          <reference field="8" count="1" selected="0">
            <x v="84"/>
          </reference>
          <reference field="11" count="1" selected="0">
            <x v="3"/>
          </reference>
          <reference field="13" count="1" selected="0">
            <x v="29"/>
          </reference>
        </references>
      </pivotArea>
    </format>
    <format dxfId="4034">
      <pivotArea dataOnly="0" labelOnly="1" outline="0" fieldPosition="0">
        <references count="4">
          <reference field="5" count="1">
            <x v="110"/>
          </reference>
          <reference field="8" count="1" selected="0">
            <x v="84"/>
          </reference>
          <reference field="11" count="1" selected="0">
            <x v="3"/>
          </reference>
          <reference field="13" count="1" selected="0">
            <x v="32"/>
          </reference>
        </references>
      </pivotArea>
    </format>
    <format dxfId="4033">
      <pivotArea dataOnly="0" labelOnly="1" outline="0" fieldPosition="0">
        <references count="4">
          <reference field="5" count="1">
            <x v="110"/>
          </reference>
          <reference field="8" count="1" selected="0">
            <x v="84"/>
          </reference>
          <reference field="11" count="1" selected="0">
            <x v="3"/>
          </reference>
          <reference field="13" count="1" selected="0">
            <x v="54"/>
          </reference>
        </references>
      </pivotArea>
    </format>
    <format dxfId="4032">
      <pivotArea dataOnly="0" labelOnly="1" outline="0" fieldPosition="0">
        <references count="4">
          <reference field="5" count="1">
            <x v="87"/>
          </reference>
          <reference field="8" count="1" selected="0">
            <x v="84"/>
          </reference>
          <reference field="11" count="1" selected="0">
            <x v="3"/>
          </reference>
          <reference field="13" count="1" selected="0">
            <x v="89"/>
          </reference>
        </references>
      </pivotArea>
    </format>
    <format dxfId="4031">
      <pivotArea dataOnly="0" labelOnly="1" outline="0" fieldPosition="0">
        <references count="4">
          <reference field="5" count="1">
            <x v="117"/>
          </reference>
          <reference field="8" count="1" selected="0">
            <x v="84"/>
          </reference>
          <reference field="11" count="1" selected="0">
            <x v="3"/>
          </reference>
          <reference field="13" count="1" selected="0">
            <x v="218"/>
          </reference>
        </references>
      </pivotArea>
    </format>
    <format dxfId="4030">
      <pivotArea dataOnly="0" labelOnly="1" outline="0" fieldPosition="0">
        <references count="4">
          <reference field="5" count="2">
            <x v="116"/>
            <x v="117"/>
          </reference>
          <reference field="8" count="1" selected="0">
            <x v="84"/>
          </reference>
          <reference field="11" count="1" selected="0">
            <x v="3"/>
          </reference>
          <reference field="13" count="1" selected="0">
            <x v="287"/>
          </reference>
        </references>
      </pivotArea>
    </format>
    <format dxfId="4029">
      <pivotArea dataOnly="0" labelOnly="1" outline="0" fieldPosition="0">
        <references count="4">
          <reference field="5" count="1">
            <x v="110"/>
          </reference>
          <reference field="8" count="1" selected="0">
            <x v="84"/>
          </reference>
          <reference field="11" count="1" selected="0">
            <x v="3"/>
          </reference>
          <reference field="13" count="1" selected="0">
            <x v="305"/>
          </reference>
        </references>
      </pivotArea>
    </format>
    <format dxfId="4028">
      <pivotArea dataOnly="0" labelOnly="1" outline="0" fieldPosition="0">
        <references count="4">
          <reference field="5" count="1">
            <x v="117"/>
          </reference>
          <reference field="8" count="1" selected="0">
            <x v="84"/>
          </reference>
          <reference field="11" count="1" selected="0">
            <x v="3"/>
          </reference>
          <reference field="13" count="1" selected="0">
            <x v="314"/>
          </reference>
        </references>
      </pivotArea>
    </format>
    <format dxfId="4027">
      <pivotArea dataOnly="0" labelOnly="1" outline="0" fieldPosition="0">
        <references count="4">
          <reference field="5" count="1">
            <x v="45"/>
          </reference>
          <reference field="8" count="1" selected="0">
            <x v="84"/>
          </reference>
          <reference field="11" count="1" selected="0">
            <x v="5"/>
          </reference>
          <reference field="13" count="1" selected="0">
            <x v="77"/>
          </reference>
        </references>
      </pivotArea>
    </format>
    <format dxfId="4026">
      <pivotArea dataOnly="0" labelOnly="1" outline="0" fieldPosition="0">
        <references count="4">
          <reference field="5" count="1">
            <x v="2"/>
          </reference>
          <reference field="8" count="1" selected="0">
            <x v="84"/>
          </reference>
          <reference field="11" count="1" selected="0">
            <x v="5"/>
          </reference>
          <reference field="13" count="1" selected="0">
            <x v="268"/>
          </reference>
        </references>
      </pivotArea>
    </format>
    <format dxfId="4025">
      <pivotArea dataOnly="0" labelOnly="1" outline="0" fieldPosition="0">
        <references count="4">
          <reference field="5" count="2">
            <x v="116"/>
            <x v="117"/>
          </reference>
          <reference field="8" count="1" selected="0">
            <x v="85"/>
          </reference>
          <reference field="11" count="1" selected="0">
            <x v="3"/>
          </reference>
          <reference field="13" count="1" selected="0">
            <x v="29"/>
          </reference>
        </references>
      </pivotArea>
    </format>
    <format dxfId="4024">
      <pivotArea dataOnly="0" labelOnly="1" outline="0" fieldPosition="0">
        <references count="4">
          <reference field="5" count="1">
            <x v="86"/>
          </reference>
          <reference field="8" count="1" selected="0">
            <x v="85"/>
          </reference>
          <reference field="11" count="1" selected="0">
            <x v="3"/>
          </reference>
          <reference field="13" count="1" selected="0">
            <x v="89"/>
          </reference>
        </references>
      </pivotArea>
    </format>
    <format dxfId="4023">
      <pivotArea dataOnly="0" labelOnly="1" outline="0" fieldPosition="0">
        <references count="4">
          <reference field="5" count="1">
            <x v="117"/>
          </reference>
          <reference field="8" count="1" selected="0">
            <x v="85"/>
          </reference>
          <reference field="11" count="1" selected="0">
            <x v="3"/>
          </reference>
          <reference field="13" count="1" selected="0">
            <x v="218"/>
          </reference>
        </references>
      </pivotArea>
    </format>
    <format dxfId="4022">
      <pivotArea dataOnly="0" labelOnly="1" outline="0" fieldPosition="0">
        <references count="4">
          <reference field="5" count="1">
            <x v="86"/>
          </reference>
          <reference field="8" count="1" selected="0">
            <x v="85"/>
          </reference>
          <reference field="11" count="1" selected="0">
            <x v="3"/>
          </reference>
          <reference field="13" count="1" selected="0">
            <x v="240"/>
          </reference>
        </references>
      </pivotArea>
    </format>
    <format dxfId="4021">
      <pivotArea dataOnly="0" labelOnly="1" outline="0" fieldPosition="0">
        <references count="4">
          <reference field="5" count="1">
            <x v="86"/>
          </reference>
          <reference field="8" count="1" selected="0">
            <x v="85"/>
          </reference>
          <reference field="11" count="1" selected="0">
            <x v="3"/>
          </reference>
          <reference field="13" count="1" selected="0">
            <x v="287"/>
          </reference>
        </references>
      </pivotArea>
    </format>
    <format dxfId="4020">
      <pivotArea dataOnly="0" labelOnly="1" outline="0" fieldPosition="0">
        <references count="4">
          <reference field="5" count="1">
            <x v="117"/>
          </reference>
          <reference field="8" count="1" selected="0">
            <x v="85"/>
          </reference>
          <reference field="11" count="1" selected="0">
            <x v="3"/>
          </reference>
          <reference field="13" count="1" selected="0">
            <x v="314"/>
          </reference>
        </references>
      </pivotArea>
    </format>
    <format dxfId="4019">
      <pivotArea dataOnly="0" labelOnly="1" outline="0" fieldPosition="0">
        <references count="4">
          <reference field="5" count="1">
            <x v="86"/>
          </reference>
          <reference field="8" count="1" selected="0">
            <x v="85"/>
          </reference>
          <reference field="11" count="1" selected="0">
            <x v="5"/>
          </reference>
          <reference field="13" count="1" selected="0">
            <x v="77"/>
          </reference>
        </references>
      </pivotArea>
    </format>
    <format dxfId="4018">
      <pivotArea dataOnly="0" labelOnly="1" outline="0" fieldPosition="0">
        <references count="4">
          <reference field="5" count="2">
            <x v="2"/>
            <x v="86"/>
          </reference>
          <reference field="8" count="1" selected="0">
            <x v="85"/>
          </reference>
          <reference field="11" count="1" selected="0">
            <x v="5"/>
          </reference>
          <reference field="13" count="1" selected="0">
            <x v="268"/>
          </reference>
        </references>
      </pivotArea>
    </format>
    <format dxfId="4017">
      <pivotArea dataOnly="0" labelOnly="1" outline="0" fieldPosition="0">
        <references count="4">
          <reference field="5" count="2">
            <x v="88"/>
            <x v="110"/>
          </reference>
          <reference field="8" count="1" selected="0">
            <x v="86"/>
          </reference>
          <reference field="11" count="1" selected="0">
            <x v="3"/>
          </reference>
          <reference field="13" count="1" selected="0">
            <x v="7"/>
          </reference>
        </references>
      </pivotArea>
    </format>
    <format dxfId="4016">
      <pivotArea dataOnly="0" labelOnly="1" outline="0" fieldPosition="0">
        <references count="4">
          <reference field="5" count="1">
            <x v="110"/>
          </reference>
          <reference field="8" count="1" selected="0">
            <x v="86"/>
          </reference>
          <reference field="11" count="1" selected="0">
            <x v="3"/>
          </reference>
          <reference field="13" count="1" selected="0">
            <x v="17"/>
          </reference>
        </references>
      </pivotArea>
    </format>
    <format dxfId="4015">
      <pivotArea dataOnly="0" labelOnly="1" outline="0" fieldPosition="0">
        <references count="4">
          <reference field="5" count="2">
            <x v="116"/>
            <x v="117"/>
          </reference>
          <reference field="8" count="1" selected="0">
            <x v="86"/>
          </reference>
          <reference field="11" count="1" selected="0">
            <x v="3"/>
          </reference>
          <reference field="13" count="1" selected="0">
            <x v="29"/>
          </reference>
        </references>
      </pivotArea>
    </format>
    <format dxfId="4014">
      <pivotArea dataOnly="0" labelOnly="1" outline="0" fieldPosition="0">
        <references count="4">
          <reference field="5" count="2">
            <x v="88"/>
            <x v="110"/>
          </reference>
          <reference field="8" count="1" selected="0">
            <x v="86"/>
          </reference>
          <reference field="11" count="1" selected="0">
            <x v="3"/>
          </reference>
          <reference field="13" count="1" selected="0">
            <x v="32"/>
          </reference>
        </references>
      </pivotArea>
    </format>
    <format dxfId="4013">
      <pivotArea dataOnly="0" labelOnly="1" outline="0" fieldPosition="0">
        <references count="4">
          <reference field="5" count="1">
            <x v="110"/>
          </reference>
          <reference field="8" count="1" selected="0">
            <x v="86"/>
          </reference>
          <reference field="11" count="1" selected="0">
            <x v="3"/>
          </reference>
          <reference field="13" count="1" selected="0">
            <x v="54"/>
          </reference>
        </references>
      </pivotArea>
    </format>
    <format dxfId="4012">
      <pivotArea dataOnly="0" labelOnly="1" outline="0" fieldPosition="0">
        <references count="4">
          <reference field="5" count="1">
            <x v="88"/>
          </reference>
          <reference field="8" count="1" selected="0">
            <x v="86"/>
          </reference>
          <reference field="11" count="1" selected="0">
            <x v="3"/>
          </reference>
          <reference field="13" count="1" selected="0">
            <x v="89"/>
          </reference>
        </references>
      </pivotArea>
    </format>
    <format dxfId="4011">
      <pivotArea dataOnly="0" labelOnly="1" outline="0" fieldPosition="0">
        <references count="4">
          <reference field="5" count="1">
            <x v="117"/>
          </reference>
          <reference field="8" count="1" selected="0">
            <x v="86"/>
          </reference>
          <reference field="11" count="1" selected="0">
            <x v="3"/>
          </reference>
          <reference field="13" count="1" selected="0">
            <x v="218"/>
          </reference>
        </references>
      </pivotArea>
    </format>
    <format dxfId="4010">
      <pivotArea dataOnly="0" labelOnly="1" outline="0" fieldPosition="0">
        <references count="4">
          <reference field="5" count="1">
            <x v="88"/>
          </reference>
          <reference field="8" count="1" selected="0">
            <x v="86"/>
          </reference>
          <reference field="11" count="1" selected="0">
            <x v="3"/>
          </reference>
          <reference field="13" count="1" selected="0">
            <x v="240"/>
          </reference>
        </references>
      </pivotArea>
    </format>
    <format dxfId="4009">
      <pivotArea dataOnly="0" labelOnly="1" outline="0" fieldPosition="0">
        <references count="4">
          <reference field="5" count="2">
            <x v="116"/>
            <x v="117"/>
          </reference>
          <reference field="8" count="1" selected="0">
            <x v="86"/>
          </reference>
          <reference field="11" count="1" selected="0">
            <x v="3"/>
          </reference>
          <reference field="13" count="1" selected="0">
            <x v="287"/>
          </reference>
        </references>
      </pivotArea>
    </format>
    <format dxfId="4008">
      <pivotArea dataOnly="0" labelOnly="1" outline="0" fieldPosition="0">
        <references count="4">
          <reference field="5" count="1">
            <x v="110"/>
          </reference>
          <reference field="8" count="1" selected="0">
            <x v="86"/>
          </reference>
          <reference field="11" count="1" selected="0">
            <x v="3"/>
          </reference>
          <reference field="13" count="1" selected="0">
            <x v="305"/>
          </reference>
        </references>
      </pivotArea>
    </format>
    <format dxfId="4007">
      <pivotArea dataOnly="0" labelOnly="1" outline="0" fieldPosition="0">
        <references count="4">
          <reference field="5" count="1">
            <x v="117"/>
          </reference>
          <reference field="8" count="1" selected="0">
            <x v="86"/>
          </reference>
          <reference field="11" count="1" selected="0">
            <x v="3"/>
          </reference>
          <reference field="13" count="1" selected="0">
            <x v="314"/>
          </reference>
        </references>
      </pivotArea>
    </format>
    <format dxfId="4006">
      <pivotArea dataOnly="0" labelOnly="1" outline="0" fieldPosition="0">
        <references count="4">
          <reference field="5" count="1">
            <x v="45"/>
          </reference>
          <reference field="8" count="1" selected="0">
            <x v="86"/>
          </reference>
          <reference field="11" count="1" selected="0">
            <x v="5"/>
          </reference>
          <reference field="13" count="1" selected="0">
            <x v="77"/>
          </reference>
        </references>
      </pivotArea>
    </format>
    <format dxfId="4005">
      <pivotArea dataOnly="0" labelOnly="1" outline="0" fieldPosition="0">
        <references count="4">
          <reference field="5" count="1">
            <x v="2"/>
          </reference>
          <reference field="8" count="1" selected="0">
            <x v="86"/>
          </reference>
          <reference field="11" count="1" selected="0">
            <x v="5"/>
          </reference>
          <reference field="13" count="1" selected="0">
            <x v="268"/>
          </reference>
        </references>
      </pivotArea>
    </format>
    <format dxfId="4004">
      <pivotArea dataOnly="0" labelOnly="1" outline="0" fieldPosition="0">
        <references count="4">
          <reference field="5" count="2">
            <x v="116"/>
            <x v="117"/>
          </reference>
          <reference field="8" count="1" selected="0">
            <x v="87"/>
          </reference>
          <reference field="11" count="1" selected="0">
            <x v="3"/>
          </reference>
          <reference field="13" count="1" selected="0">
            <x v="29"/>
          </reference>
        </references>
      </pivotArea>
    </format>
    <format dxfId="4003">
      <pivotArea dataOnly="0" labelOnly="1" outline="0" fieldPosition="0">
        <references count="4">
          <reference field="5" count="1">
            <x v="85"/>
          </reference>
          <reference field="8" count="1" selected="0">
            <x v="87"/>
          </reference>
          <reference field="11" count="1" selected="0">
            <x v="3"/>
          </reference>
          <reference field="13" count="1" selected="0">
            <x v="89"/>
          </reference>
        </references>
      </pivotArea>
    </format>
    <format dxfId="4002">
      <pivotArea dataOnly="0" labelOnly="1" outline="0" fieldPosition="0">
        <references count="4">
          <reference field="5" count="1">
            <x v="117"/>
          </reference>
          <reference field="8" count="1" selected="0">
            <x v="87"/>
          </reference>
          <reference field="11" count="1" selected="0">
            <x v="3"/>
          </reference>
          <reference field="13" count="1" selected="0">
            <x v="218"/>
          </reference>
        </references>
      </pivotArea>
    </format>
    <format dxfId="4001">
      <pivotArea dataOnly="0" labelOnly="1" outline="0" fieldPosition="0">
        <references count="4">
          <reference field="5" count="1">
            <x v="32"/>
          </reference>
          <reference field="8" count="1" selected="0">
            <x v="87"/>
          </reference>
          <reference field="11" count="1" selected="0">
            <x v="3"/>
          </reference>
          <reference field="13" count="1" selected="0">
            <x v="287"/>
          </reference>
        </references>
      </pivotArea>
    </format>
    <format dxfId="4000">
      <pivotArea dataOnly="0" labelOnly="1" outline="0" fieldPosition="0">
        <references count="4">
          <reference field="5" count="1">
            <x v="117"/>
          </reference>
          <reference field="8" count="1" selected="0">
            <x v="87"/>
          </reference>
          <reference field="11" count="1" selected="0">
            <x v="3"/>
          </reference>
          <reference field="13" count="1" selected="0">
            <x v="314"/>
          </reference>
        </references>
      </pivotArea>
    </format>
    <format dxfId="3999">
      <pivotArea dataOnly="0" labelOnly="1" outline="0" fieldPosition="0">
        <references count="4">
          <reference field="5" count="1">
            <x v="85"/>
          </reference>
          <reference field="8" count="1" selected="0">
            <x v="87"/>
          </reference>
          <reference field="11" count="1" selected="0">
            <x v="5"/>
          </reference>
          <reference field="13" count="1" selected="0">
            <x v="77"/>
          </reference>
        </references>
      </pivotArea>
    </format>
    <format dxfId="3998">
      <pivotArea dataOnly="0" labelOnly="1" outline="0" fieldPosition="0">
        <references count="4">
          <reference field="5" count="1">
            <x v="2"/>
          </reference>
          <reference field="8" count="1" selected="0">
            <x v="87"/>
          </reference>
          <reference field="11" count="1" selected="0">
            <x v="5"/>
          </reference>
          <reference field="13" count="1" selected="0">
            <x v="268"/>
          </reference>
        </references>
      </pivotArea>
    </format>
    <format dxfId="3997">
      <pivotArea dataOnly="0" labelOnly="1" outline="0" fieldPosition="0">
        <references count="4">
          <reference field="5" count="1">
            <x v="110"/>
          </reference>
          <reference field="8" count="1" selected="0">
            <x v="88"/>
          </reference>
          <reference field="11" count="1" selected="0">
            <x v="3"/>
          </reference>
          <reference field="13" count="1" selected="0">
            <x v="7"/>
          </reference>
        </references>
      </pivotArea>
    </format>
    <format dxfId="3996">
      <pivotArea dataOnly="0" labelOnly="1" outline="0" fieldPosition="0">
        <references count="4">
          <reference field="5" count="1">
            <x v="110"/>
          </reference>
          <reference field="8" count="1" selected="0">
            <x v="88"/>
          </reference>
          <reference field="11" count="1" selected="0">
            <x v="3"/>
          </reference>
          <reference field="13" count="1" selected="0">
            <x v="17"/>
          </reference>
        </references>
      </pivotArea>
    </format>
    <format dxfId="3995">
      <pivotArea dataOnly="0" labelOnly="1" outline="0" fieldPosition="0">
        <references count="4">
          <reference field="5" count="2">
            <x v="116"/>
            <x v="117"/>
          </reference>
          <reference field="8" count="1" selected="0">
            <x v="88"/>
          </reference>
          <reference field="11" count="1" selected="0">
            <x v="3"/>
          </reference>
          <reference field="13" count="1" selected="0">
            <x v="29"/>
          </reference>
        </references>
      </pivotArea>
    </format>
    <format dxfId="3994">
      <pivotArea dataOnly="0" labelOnly="1" outline="0" fieldPosition="0">
        <references count="4">
          <reference field="5" count="1">
            <x v="110"/>
          </reference>
          <reference field="8" count="1" selected="0">
            <x v="88"/>
          </reference>
          <reference field="11" count="1" selected="0">
            <x v="3"/>
          </reference>
          <reference field="13" count="1" selected="0">
            <x v="32"/>
          </reference>
        </references>
      </pivotArea>
    </format>
    <format dxfId="3993">
      <pivotArea dataOnly="0" labelOnly="1" outline="0" fieldPosition="0">
        <references count="4">
          <reference field="5" count="1">
            <x v="110"/>
          </reference>
          <reference field="8" count="1" selected="0">
            <x v="88"/>
          </reference>
          <reference field="11" count="1" selected="0">
            <x v="3"/>
          </reference>
          <reference field="13" count="1" selected="0">
            <x v="54"/>
          </reference>
        </references>
      </pivotArea>
    </format>
    <format dxfId="3992">
      <pivotArea dataOnly="0" labelOnly="1" outline="0" fieldPosition="0">
        <references count="4">
          <reference field="5" count="1">
            <x v="91"/>
          </reference>
          <reference field="8" count="1" selected="0">
            <x v="88"/>
          </reference>
          <reference field="11" count="1" selected="0">
            <x v="3"/>
          </reference>
          <reference field="13" count="1" selected="0">
            <x v="89"/>
          </reference>
        </references>
      </pivotArea>
    </format>
    <format dxfId="3991">
      <pivotArea dataOnly="0" labelOnly="1" outline="0" fieldPosition="0">
        <references count="4">
          <reference field="5" count="1">
            <x v="117"/>
          </reference>
          <reference field="8" count="1" selected="0">
            <x v="88"/>
          </reference>
          <reference field="11" count="1" selected="0">
            <x v="3"/>
          </reference>
          <reference field="13" count="1" selected="0">
            <x v="218"/>
          </reference>
        </references>
      </pivotArea>
    </format>
    <format dxfId="3990">
      <pivotArea dataOnly="0" labelOnly="1" outline="0" fieldPosition="0">
        <references count="4">
          <reference field="5" count="2">
            <x v="116"/>
            <x v="117"/>
          </reference>
          <reference field="8" count="1" selected="0">
            <x v="88"/>
          </reference>
          <reference field="11" count="1" selected="0">
            <x v="3"/>
          </reference>
          <reference field="13" count="1" selected="0">
            <x v="287"/>
          </reference>
        </references>
      </pivotArea>
    </format>
    <format dxfId="3989">
      <pivotArea dataOnly="0" labelOnly="1" outline="0" fieldPosition="0">
        <references count="4">
          <reference field="5" count="1">
            <x v="110"/>
          </reference>
          <reference field="8" count="1" selected="0">
            <x v="88"/>
          </reference>
          <reference field="11" count="1" selected="0">
            <x v="3"/>
          </reference>
          <reference field="13" count="1" selected="0">
            <x v="305"/>
          </reference>
        </references>
      </pivotArea>
    </format>
    <format dxfId="3988">
      <pivotArea dataOnly="0" labelOnly="1" outline="0" fieldPosition="0">
        <references count="4">
          <reference field="5" count="1">
            <x v="117"/>
          </reference>
          <reference field="8" count="1" selected="0">
            <x v="88"/>
          </reference>
          <reference field="11" count="1" selected="0">
            <x v="3"/>
          </reference>
          <reference field="13" count="1" selected="0">
            <x v="314"/>
          </reference>
        </references>
      </pivotArea>
    </format>
    <format dxfId="3987">
      <pivotArea dataOnly="0" labelOnly="1" outline="0" fieldPosition="0">
        <references count="4">
          <reference field="5" count="1">
            <x v="45"/>
          </reference>
          <reference field="8" count="1" selected="0">
            <x v="88"/>
          </reference>
          <reference field="11" count="1" selected="0">
            <x v="5"/>
          </reference>
          <reference field="13" count="1" selected="0">
            <x v="77"/>
          </reference>
        </references>
      </pivotArea>
    </format>
    <format dxfId="3986">
      <pivotArea dataOnly="0" labelOnly="1" outline="0" fieldPosition="0">
        <references count="4">
          <reference field="5" count="1">
            <x v="2"/>
          </reference>
          <reference field="8" count="1" selected="0">
            <x v="88"/>
          </reference>
          <reference field="11" count="1" selected="0">
            <x v="5"/>
          </reference>
          <reference field="13" count="1" selected="0">
            <x v="268"/>
          </reference>
        </references>
      </pivotArea>
    </format>
    <format dxfId="3985">
      <pivotArea dataOnly="0" labelOnly="1" outline="0" fieldPosition="0">
        <references count="4">
          <reference field="5" count="1">
            <x v="89"/>
          </reference>
          <reference field="8" count="1" selected="0">
            <x v="89"/>
          </reference>
          <reference field="11" count="1" selected="0">
            <x v="3"/>
          </reference>
          <reference field="13" count="1" selected="0">
            <x v="4"/>
          </reference>
        </references>
      </pivotArea>
    </format>
    <format dxfId="3984">
      <pivotArea dataOnly="0" labelOnly="1" outline="0" fieldPosition="0">
        <references count="4">
          <reference field="5" count="1">
            <x v="110"/>
          </reference>
          <reference field="8" count="1" selected="0">
            <x v="89"/>
          </reference>
          <reference field="11" count="1" selected="0">
            <x v="3"/>
          </reference>
          <reference field="13" count="1" selected="0">
            <x v="7"/>
          </reference>
        </references>
      </pivotArea>
    </format>
    <format dxfId="3983">
      <pivotArea dataOnly="0" labelOnly="1" outline="0" fieldPosition="0">
        <references count="4">
          <reference field="5" count="1">
            <x v="110"/>
          </reference>
          <reference field="8" count="1" selected="0">
            <x v="89"/>
          </reference>
          <reference field="11" count="1" selected="0">
            <x v="3"/>
          </reference>
          <reference field="13" count="1" selected="0">
            <x v="17"/>
          </reference>
        </references>
      </pivotArea>
    </format>
    <format dxfId="3982">
      <pivotArea dataOnly="0" labelOnly="1" outline="0" fieldPosition="0">
        <references count="4">
          <reference field="5" count="2">
            <x v="116"/>
            <x v="117"/>
          </reference>
          <reference field="8" count="1" selected="0">
            <x v="89"/>
          </reference>
          <reference field="11" count="1" selected="0">
            <x v="3"/>
          </reference>
          <reference field="13" count="1" selected="0">
            <x v="29"/>
          </reference>
        </references>
      </pivotArea>
    </format>
    <format dxfId="3981">
      <pivotArea dataOnly="0" labelOnly="1" outline="0" fieldPosition="0">
        <references count="4">
          <reference field="5" count="1">
            <x v="110"/>
          </reference>
          <reference field="8" count="1" selected="0">
            <x v="89"/>
          </reference>
          <reference field="11" count="1" selected="0">
            <x v="3"/>
          </reference>
          <reference field="13" count="1" selected="0">
            <x v="32"/>
          </reference>
        </references>
      </pivotArea>
    </format>
    <format dxfId="3980">
      <pivotArea dataOnly="0" labelOnly="1" outline="0" fieldPosition="0">
        <references count="4">
          <reference field="5" count="1">
            <x v="110"/>
          </reference>
          <reference field="8" count="1" selected="0">
            <x v="89"/>
          </reference>
          <reference field="11" count="1" selected="0">
            <x v="3"/>
          </reference>
          <reference field="13" count="1" selected="0">
            <x v="54"/>
          </reference>
        </references>
      </pivotArea>
    </format>
    <format dxfId="3979">
      <pivotArea dataOnly="0" labelOnly="1" outline="0" fieldPosition="0">
        <references count="4">
          <reference field="5" count="1">
            <x v="89"/>
          </reference>
          <reference field="8" count="1" selected="0">
            <x v="89"/>
          </reference>
          <reference field="11" count="1" selected="0">
            <x v="3"/>
          </reference>
          <reference field="13" count="1" selected="0">
            <x v="89"/>
          </reference>
        </references>
      </pivotArea>
    </format>
    <format dxfId="3978">
      <pivotArea dataOnly="0" labelOnly="1" outline="0" fieldPosition="0">
        <references count="4">
          <reference field="5" count="1">
            <x v="117"/>
          </reference>
          <reference field="8" count="1" selected="0">
            <x v="89"/>
          </reference>
          <reference field="11" count="1" selected="0">
            <x v="3"/>
          </reference>
          <reference field="13" count="1" selected="0">
            <x v="218"/>
          </reference>
        </references>
      </pivotArea>
    </format>
    <format dxfId="3977">
      <pivotArea dataOnly="0" labelOnly="1" outline="0" fieldPosition="0">
        <references count="4">
          <reference field="5" count="3">
            <x v="89"/>
            <x v="116"/>
            <x v="117"/>
          </reference>
          <reference field="8" count="1" selected="0">
            <x v="89"/>
          </reference>
          <reference field="11" count="1" selected="0">
            <x v="3"/>
          </reference>
          <reference field="13" count="1" selected="0">
            <x v="287"/>
          </reference>
        </references>
      </pivotArea>
    </format>
    <format dxfId="3976">
      <pivotArea dataOnly="0" labelOnly="1" outline="0" fieldPosition="0">
        <references count="4">
          <reference field="5" count="1">
            <x v="110"/>
          </reference>
          <reference field="8" count="1" selected="0">
            <x v="89"/>
          </reference>
          <reference field="11" count="1" selected="0">
            <x v="3"/>
          </reference>
          <reference field="13" count="1" selected="0">
            <x v="305"/>
          </reference>
        </references>
      </pivotArea>
    </format>
    <format dxfId="3975">
      <pivotArea dataOnly="0" labelOnly="1" outline="0" fieldPosition="0">
        <references count="4">
          <reference field="5" count="2">
            <x v="89"/>
            <x v="117"/>
          </reference>
          <reference field="8" count="1" selected="0">
            <x v="89"/>
          </reference>
          <reference field="11" count="1" selected="0">
            <x v="3"/>
          </reference>
          <reference field="13" count="1" selected="0">
            <x v="314"/>
          </reference>
        </references>
      </pivotArea>
    </format>
    <format dxfId="3974">
      <pivotArea dataOnly="0" labelOnly="1" outline="0" fieldPosition="0">
        <references count="4">
          <reference field="5" count="1">
            <x v="45"/>
          </reference>
          <reference field="8" count="1" selected="0">
            <x v="89"/>
          </reference>
          <reference field="11" count="1" selected="0">
            <x v="5"/>
          </reference>
          <reference field="13" count="1" selected="0">
            <x v="77"/>
          </reference>
        </references>
      </pivotArea>
    </format>
    <format dxfId="3973">
      <pivotArea dataOnly="0" labelOnly="1" outline="0" fieldPosition="0">
        <references count="4">
          <reference field="5" count="1">
            <x v="47"/>
          </reference>
          <reference field="8" count="1" selected="0">
            <x v="90"/>
          </reference>
          <reference field="11" count="1" selected="0">
            <x v="0"/>
          </reference>
          <reference field="13" count="1" selected="0">
            <x v="97"/>
          </reference>
        </references>
      </pivotArea>
    </format>
    <format dxfId="3972">
      <pivotArea dataOnly="0" labelOnly="1" outline="0" fieldPosition="0">
        <references count="4">
          <reference field="5" count="2">
            <x v="108"/>
            <x v="110"/>
          </reference>
          <reference field="8" count="1" selected="0">
            <x v="90"/>
          </reference>
          <reference field="11" count="1" selected="0">
            <x v="3"/>
          </reference>
          <reference field="13" count="1" selected="0">
            <x v="243"/>
          </reference>
        </references>
      </pivotArea>
    </format>
    <format dxfId="3971">
      <pivotArea dataOnly="0" labelOnly="1" outline="0" fieldPosition="0">
        <references count="4">
          <reference field="5" count="1">
            <x v="122"/>
          </reference>
          <reference field="8" count="1" selected="0">
            <x v="91"/>
          </reference>
          <reference field="11" count="1" selected="0">
            <x v="3"/>
          </reference>
          <reference field="13" count="1" selected="0">
            <x v="242"/>
          </reference>
        </references>
      </pivotArea>
    </format>
    <format dxfId="3970">
      <pivotArea dataOnly="0" labelOnly="1" outline="0" fieldPosition="0">
        <references count="4">
          <reference field="5" count="1">
            <x v="116"/>
          </reference>
          <reference field="8" count="1" selected="0">
            <x v="91"/>
          </reference>
          <reference field="11" count="1" selected="0">
            <x v="5"/>
          </reference>
          <reference field="13" count="1" selected="0">
            <x v="77"/>
          </reference>
        </references>
      </pivotArea>
    </format>
    <format dxfId="3969">
      <pivotArea dataOnly="0" labelOnly="1" outline="0" fieldPosition="0">
        <references count="4">
          <reference field="5" count="1">
            <x v="116"/>
          </reference>
          <reference field="8" count="1" selected="0">
            <x v="91"/>
          </reference>
          <reference field="11" count="1" selected="0">
            <x v="5"/>
          </reference>
          <reference field="13" count="1" selected="0">
            <x v="81"/>
          </reference>
        </references>
      </pivotArea>
    </format>
    <format dxfId="3968">
      <pivotArea dataOnly="0" labelOnly="1" outline="0" fieldPosition="0">
        <references count="4">
          <reference field="5" count="1">
            <x v="64"/>
          </reference>
          <reference field="8" count="1" selected="0">
            <x v="93"/>
          </reference>
          <reference field="11" count="1" selected="0">
            <x v="1"/>
          </reference>
          <reference field="13" count="1" selected="0">
            <x v="214"/>
          </reference>
        </references>
      </pivotArea>
    </format>
    <format dxfId="3967">
      <pivotArea dataOnly="0" labelOnly="1" outline="0" fieldPosition="0">
        <references count="4">
          <reference field="5" count="1">
            <x v="117"/>
          </reference>
          <reference field="8" count="1" selected="0">
            <x v="93"/>
          </reference>
          <reference field="11" count="1" selected="0">
            <x v="3"/>
          </reference>
          <reference field="13" count="1" selected="0">
            <x v="29"/>
          </reference>
        </references>
      </pivotArea>
    </format>
    <format dxfId="3966">
      <pivotArea dataOnly="0" labelOnly="1" outline="0" fieldPosition="0">
        <references count="4">
          <reference field="5" count="1">
            <x v="117"/>
          </reference>
          <reference field="8" count="1" selected="0">
            <x v="93"/>
          </reference>
          <reference field="11" count="1" selected="0">
            <x v="3"/>
          </reference>
          <reference field="13" count="1" selected="0">
            <x v="218"/>
          </reference>
        </references>
      </pivotArea>
    </format>
    <format dxfId="3965">
      <pivotArea dataOnly="0" labelOnly="1" outline="0" fieldPosition="0">
        <references count="4">
          <reference field="5" count="1">
            <x v="64"/>
          </reference>
          <reference field="8" count="1" selected="0">
            <x v="93"/>
          </reference>
          <reference field="11" count="1" selected="0">
            <x v="3"/>
          </reference>
          <reference field="13" count="1" selected="0">
            <x v="242"/>
          </reference>
        </references>
      </pivotArea>
    </format>
    <format dxfId="3964">
      <pivotArea dataOnly="0" labelOnly="1" outline="0" fieldPosition="0">
        <references count="4">
          <reference field="5" count="1">
            <x v="117"/>
          </reference>
          <reference field="8" count="1" selected="0">
            <x v="93"/>
          </reference>
          <reference field="11" count="1" selected="0">
            <x v="3"/>
          </reference>
          <reference field="13" count="1" selected="0">
            <x v="314"/>
          </reference>
        </references>
      </pivotArea>
    </format>
    <format dxfId="3963">
      <pivotArea dataOnly="0" labelOnly="1" outline="0" fieldPosition="0">
        <references count="4">
          <reference field="5" count="1">
            <x v="20"/>
          </reference>
          <reference field="8" count="1" selected="0">
            <x v="93"/>
          </reference>
          <reference field="11" count="1" selected="0">
            <x v="5"/>
          </reference>
          <reference field="13" count="1" selected="0">
            <x v="81"/>
          </reference>
        </references>
      </pivotArea>
    </format>
    <format dxfId="3962">
      <pivotArea dataOnly="0" labelOnly="1" outline="0" fieldPosition="0">
        <references count="4">
          <reference field="5" count="1">
            <x v="64"/>
          </reference>
          <reference field="8" count="1" selected="0">
            <x v="94"/>
          </reference>
          <reference field="11" count="1" selected="0">
            <x v="1"/>
          </reference>
          <reference field="13" count="1" selected="0">
            <x v="214"/>
          </reference>
        </references>
      </pivotArea>
    </format>
    <format dxfId="3961">
      <pivotArea dataOnly="0" labelOnly="1" outline="0" fieldPosition="0">
        <references count="4">
          <reference field="5" count="1">
            <x v="117"/>
          </reference>
          <reference field="8" count="1" selected="0">
            <x v="94"/>
          </reference>
          <reference field="11" count="1" selected="0">
            <x v="3"/>
          </reference>
          <reference field="13" count="1" selected="0">
            <x v="29"/>
          </reference>
        </references>
      </pivotArea>
    </format>
    <format dxfId="3960">
      <pivotArea dataOnly="0" labelOnly="1" outline="0" fieldPosition="0">
        <references count="4">
          <reference field="5" count="1">
            <x v="117"/>
          </reference>
          <reference field="8" count="1" selected="0">
            <x v="94"/>
          </reference>
          <reference field="11" count="1" selected="0">
            <x v="3"/>
          </reference>
          <reference field="13" count="1" selected="0">
            <x v="218"/>
          </reference>
        </references>
      </pivotArea>
    </format>
    <format dxfId="3959">
      <pivotArea dataOnly="0" labelOnly="1" outline="0" fieldPosition="0">
        <references count="4">
          <reference field="5" count="1">
            <x v="64"/>
          </reference>
          <reference field="8" count="1" selected="0">
            <x v="94"/>
          </reference>
          <reference field="11" count="1" selected="0">
            <x v="5"/>
          </reference>
          <reference field="13" count="1" selected="0">
            <x v="77"/>
          </reference>
        </references>
      </pivotArea>
    </format>
    <format dxfId="3958">
      <pivotArea dataOnly="0" labelOnly="1" outline="0" fieldPosition="0">
        <references count="4">
          <reference field="5" count="1">
            <x v="20"/>
          </reference>
          <reference field="8" count="1" selected="0">
            <x v="94"/>
          </reference>
          <reference field="11" count="1" selected="0">
            <x v="5"/>
          </reference>
          <reference field="13" count="1" selected="0">
            <x v="255"/>
          </reference>
        </references>
      </pivotArea>
    </format>
    <format dxfId="3957">
      <pivotArea dataOnly="0" labelOnly="1" outline="0" fieldPosition="0">
        <references count="4">
          <reference field="5" count="1">
            <x v="64"/>
          </reference>
          <reference field="8" count="1" selected="0">
            <x v="94"/>
          </reference>
          <reference field="11" count="1" selected="0">
            <x v="7"/>
          </reference>
          <reference field="13" count="1" selected="0">
            <x v="8"/>
          </reference>
        </references>
      </pivotArea>
    </format>
    <format dxfId="3956">
      <pivotArea dataOnly="0" labelOnly="1" outline="0" fieldPosition="0">
        <references count="4">
          <reference field="5" count="1">
            <x v="23"/>
          </reference>
          <reference field="8" count="1" selected="0">
            <x v="95"/>
          </reference>
          <reference field="11" count="1" selected="0">
            <x v="3"/>
          </reference>
          <reference field="13" count="1" selected="0">
            <x v="134"/>
          </reference>
        </references>
      </pivotArea>
    </format>
    <format dxfId="3955">
      <pivotArea dataOnly="0" labelOnly="1" outline="0" fieldPosition="0">
        <references count="4">
          <reference field="5" count="2">
            <x v="23"/>
            <x v="26"/>
          </reference>
          <reference field="8" count="1" selected="0">
            <x v="95"/>
          </reference>
          <reference field="11" count="1" selected="0">
            <x v="4"/>
          </reference>
          <reference field="13" count="1" selected="0">
            <x v="133"/>
          </reference>
        </references>
      </pivotArea>
    </format>
    <format dxfId="3954">
      <pivotArea dataOnly="0" labelOnly="1" outline="0" fieldPosition="0">
        <references count="4">
          <reference field="5" count="1">
            <x v="23"/>
          </reference>
          <reference field="8" count="1" selected="0">
            <x v="97"/>
          </reference>
          <reference field="11" count="1" selected="0">
            <x v="4"/>
          </reference>
          <reference field="13" count="1" selected="0">
            <x v="133"/>
          </reference>
        </references>
      </pivotArea>
    </format>
    <format dxfId="3953">
      <pivotArea dataOnly="0" labelOnly="1" outline="0" fieldPosition="0">
        <references count="4">
          <reference field="5" count="1">
            <x v="23"/>
          </reference>
          <reference field="8" count="1" selected="0">
            <x v="97"/>
          </reference>
          <reference field="11" count="1" selected="0">
            <x v="5"/>
          </reference>
          <reference field="13" count="1" selected="0">
            <x v="81"/>
          </reference>
        </references>
      </pivotArea>
    </format>
    <format dxfId="3952">
      <pivotArea dataOnly="0" labelOnly="1" outline="0" fieldPosition="0">
        <references count="4">
          <reference field="5" count="1">
            <x v="31"/>
          </reference>
          <reference field="8" count="1" selected="0">
            <x v="98"/>
          </reference>
          <reference field="11" count="1" selected="0">
            <x v="3"/>
          </reference>
          <reference field="13" count="1" selected="0">
            <x v="17"/>
          </reference>
        </references>
      </pivotArea>
    </format>
    <format dxfId="3951">
      <pivotArea dataOnly="0" labelOnly="1" outline="0" fieldPosition="0">
        <references count="4">
          <reference field="5" count="1">
            <x v="31"/>
          </reference>
          <reference field="8" count="1" selected="0">
            <x v="98"/>
          </reference>
          <reference field="11" count="1" selected="0">
            <x v="3"/>
          </reference>
          <reference field="13" count="1" selected="0">
            <x v="305"/>
          </reference>
        </references>
      </pivotArea>
    </format>
    <format dxfId="3950">
      <pivotArea dataOnly="0" labelOnly="1" outline="0" fieldPosition="0">
        <references count="4">
          <reference field="5" count="1">
            <x v="32"/>
          </reference>
          <reference field="8" count="1" selected="0">
            <x v="99"/>
          </reference>
          <reference field="11" count="1" selected="0">
            <x v="3"/>
          </reference>
          <reference field="13" count="1" selected="0">
            <x v="32"/>
          </reference>
        </references>
      </pivotArea>
    </format>
    <format dxfId="3949">
      <pivotArea dataOnly="0" labelOnly="1" outline="0" fieldPosition="0">
        <references count="4">
          <reference field="5" count="1">
            <x v="32"/>
          </reference>
          <reference field="8" count="1" selected="0">
            <x v="99"/>
          </reference>
          <reference field="11" count="1" selected="0">
            <x v="3"/>
          </reference>
          <reference field="13" count="1" selected="0">
            <x v="287"/>
          </reference>
        </references>
      </pivotArea>
    </format>
    <format dxfId="3948">
      <pivotArea dataOnly="0" labelOnly="1" outline="0" fieldPosition="0">
        <references count="4">
          <reference field="5" count="1">
            <x v="32"/>
          </reference>
          <reference field="8" count="1" selected="0">
            <x v="99"/>
          </reference>
          <reference field="11" count="1" selected="0">
            <x v="4"/>
          </reference>
          <reference field="13" count="1" selected="0">
            <x v="133"/>
          </reference>
        </references>
      </pivotArea>
    </format>
    <format dxfId="3947">
      <pivotArea dataOnly="0" labelOnly="1" outline="0" fieldPosition="0">
        <references count="4">
          <reference field="5" count="1">
            <x v="64"/>
          </reference>
          <reference field="8" count="1" selected="0">
            <x v="100"/>
          </reference>
          <reference field="11" count="1" selected="0">
            <x v="1"/>
          </reference>
          <reference field="13" count="1" selected="0">
            <x v="6"/>
          </reference>
        </references>
      </pivotArea>
    </format>
    <format dxfId="3946">
      <pivotArea dataOnly="0" labelOnly="1" outline="0" fieldPosition="0">
        <references count="4">
          <reference field="5" count="1">
            <x v="64"/>
          </reference>
          <reference field="8" count="1" selected="0">
            <x v="100"/>
          </reference>
          <reference field="11" count="1" selected="0">
            <x v="1"/>
          </reference>
          <reference field="13" count="1" selected="0">
            <x v="30"/>
          </reference>
        </references>
      </pivotArea>
    </format>
    <format dxfId="3945">
      <pivotArea dataOnly="0" labelOnly="1" outline="0" fieldPosition="0">
        <references count="4">
          <reference field="5" count="1">
            <x v="64"/>
          </reference>
          <reference field="8" count="1" selected="0">
            <x v="100"/>
          </reference>
          <reference field="11" count="1" selected="0">
            <x v="1"/>
          </reference>
          <reference field="13" count="1" selected="0">
            <x v="33"/>
          </reference>
        </references>
      </pivotArea>
    </format>
    <format dxfId="3944">
      <pivotArea dataOnly="0" labelOnly="1" outline="0" fieldPosition="0">
        <references count="4">
          <reference field="5" count="1">
            <x v="64"/>
          </reference>
          <reference field="8" count="1" selected="0">
            <x v="100"/>
          </reference>
          <reference field="11" count="1" selected="0">
            <x v="1"/>
          </reference>
          <reference field="13" count="1" selected="0">
            <x v="63"/>
          </reference>
        </references>
      </pivotArea>
    </format>
    <format dxfId="3943">
      <pivotArea dataOnly="0" labelOnly="1" outline="0" fieldPosition="0">
        <references count="4">
          <reference field="5" count="1">
            <x v="64"/>
          </reference>
          <reference field="8" count="1" selected="0">
            <x v="100"/>
          </reference>
          <reference field="11" count="1" selected="0">
            <x v="1"/>
          </reference>
          <reference field="13" count="1" selected="0">
            <x v="87"/>
          </reference>
        </references>
      </pivotArea>
    </format>
    <format dxfId="3942">
      <pivotArea dataOnly="0" labelOnly="1" outline="0" fieldPosition="0">
        <references count="4">
          <reference field="5" count="1">
            <x v="64"/>
          </reference>
          <reference field="8" count="1" selected="0">
            <x v="100"/>
          </reference>
          <reference field="11" count="1" selected="0">
            <x v="1"/>
          </reference>
          <reference field="13" count="1" selected="0">
            <x v="109"/>
          </reference>
        </references>
      </pivotArea>
    </format>
    <format dxfId="3941">
      <pivotArea dataOnly="0" labelOnly="1" outline="0" fieldPosition="0">
        <references count="4">
          <reference field="5" count="1">
            <x v="64"/>
          </reference>
          <reference field="8" count="1" selected="0">
            <x v="100"/>
          </reference>
          <reference field="11" count="1" selected="0">
            <x v="1"/>
          </reference>
          <reference field="13" count="1" selected="0">
            <x v="157"/>
          </reference>
        </references>
      </pivotArea>
    </format>
    <format dxfId="3940">
      <pivotArea dataOnly="0" labelOnly="1" outline="0" fieldPosition="0">
        <references count="4">
          <reference field="5" count="1">
            <x v="64"/>
          </reference>
          <reference field="8" count="1" selected="0">
            <x v="100"/>
          </reference>
          <reference field="11" count="1" selected="0">
            <x v="1"/>
          </reference>
          <reference field="13" count="1" selected="0">
            <x v="179"/>
          </reference>
        </references>
      </pivotArea>
    </format>
    <format dxfId="3939">
      <pivotArea dataOnly="0" labelOnly="1" outline="0" fieldPosition="0">
        <references count="4">
          <reference field="5" count="1">
            <x v="64"/>
          </reference>
          <reference field="8" count="1" selected="0">
            <x v="100"/>
          </reference>
          <reference field="11" count="1" selected="0">
            <x v="1"/>
          </reference>
          <reference field="13" count="1" selected="0">
            <x v="214"/>
          </reference>
        </references>
      </pivotArea>
    </format>
    <format dxfId="3938">
      <pivotArea dataOnly="0" labelOnly="1" outline="0" fieldPosition="0">
        <references count="4">
          <reference field="5" count="1">
            <x v="64"/>
          </reference>
          <reference field="8" count="1" selected="0">
            <x v="100"/>
          </reference>
          <reference field="11" count="1" selected="0">
            <x v="1"/>
          </reference>
          <reference field="13" count="1" selected="0">
            <x v="225"/>
          </reference>
        </references>
      </pivotArea>
    </format>
    <format dxfId="3937">
      <pivotArea dataOnly="0" labelOnly="1" outline="0" fieldPosition="0">
        <references count="4">
          <reference field="5" count="1">
            <x v="64"/>
          </reference>
          <reference field="8" count="1" selected="0">
            <x v="100"/>
          </reference>
          <reference field="11" count="1" selected="0">
            <x v="1"/>
          </reference>
          <reference field="13" count="1" selected="0">
            <x v="233"/>
          </reference>
        </references>
      </pivotArea>
    </format>
    <format dxfId="3936">
      <pivotArea dataOnly="0" labelOnly="1" outline="0" fieldPosition="0">
        <references count="4">
          <reference field="5" count="1">
            <x v="64"/>
          </reference>
          <reference field="8" count="1" selected="0">
            <x v="100"/>
          </reference>
          <reference field="11" count="1" selected="0">
            <x v="1"/>
          </reference>
          <reference field="13" count="1" selected="0">
            <x v="286"/>
          </reference>
        </references>
      </pivotArea>
    </format>
    <format dxfId="3935">
      <pivotArea dataOnly="0" labelOnly="1" outline="0" fieldPosition="0">
        <references count="4">
          <reference field="5" count="1">
            <x v="64"/>
          </reference>
          <reference field="8" count="1" selected="0">
            <x v="100"/>
          </reference>
          <reference field="11" count="1" selected="0">
            <x v="3"/>
          </reference>
          <reference field="13" count="1" selected="0">
            <x v="242"/>
          </reference>
        </references>
      </pivotArea>
    </format>
    <format dxfId="3934">
      <pivotArea dataOnly="0" labelOnly="1" outline="0" fieldPosition="0">
        <references count="4">
          <reference field="5" count="1">
            <x v="64"/>
          </reference>
          <reference field="8" count="1" selected="0">
            <x v="100"/>
          </reference>
          <reference field="11" count="1" selected="0">
            <x v="3"/>
          </reference>
          <reference field="13" count="1" selected="0">
            <x v="251"/>
          </reference>
        </references>
      </pivotArea>
    </format>
    <format dxfId="3933">
      <pivotArea dataOnly="0" labelOnly="1" outline="0" fieldPosition="0">
        <references count="4">
          <reference field="5" count="1">
            <x v="64"/>
          </reference>
          <reference field="8" count="1" selected="0">
            <x v="100"/>
          </reference>
          <reference field="11" count="1" selected="0">
            <x v="3"/>
          </reference>
          <reference field="13" count="1" selected="0">
            <x v="287"/>
          </reference>
        </references>
      </pivotArea>
    </format>
    <format dxfId="3932">
      <pivotArea dataOnly="0" labelOnly="1" outline="0" fieldPosition="0">
        <references count="4">
          <reference field="5" count="1">
            <x v="64"/>
          </reference>
          <reference field="8" count="1" selected="0">
            <x v="100"/>
          </reference>
          <reference field="11" count="1" selected="0">
            <x v="3"/>
          </reference>
          <reference field="13" count="1" selected="0">
            <x v="305"/>
          </reference>
        </references>
      </pivotArea>
    </format>
    <format dxfId="3931">
      <pivotArea dataOnly="0" labelOnly="1" outline="0" fieldPosition="0">
        <references count="4">
          <reference field="5" count="1">
            <x v="20"/>
          </reference>
          <reference field="8" count="1" selected="0">
            <x v="100"/>
          </reference>
          <reference field="11" count="1" selected="0">
            <x v="5"/>
          </reference>
          <reference field="13" count="1" selected="0">
            <x v="81"/>
          </reference>
        </references>
      </pivotArea>
    </format>
    <format dxfId="3930">
      <pivotArea dataOnly="0" labelOnly="1" outline="0" fieldPosition="0">
        <references count="4">
          <reference field="5" count="1">
            <x v="64"/>
          </reference>
          <reference field="8" count="1" selected="0">
            <x v="100"/>
          </reference>
          <reference field="11" count="1" selected="0">
            <x v="5"/>
          </reference>
          <reference field="13" count="1" selected="0">
            <x v="96"/>
          </reference>
        </references>
      </pivotArea>
    </format>
    <format dxfId="3929">
      <pivotArea dataOnly="0" labelOnly="1" outline="0" fieldPosition="0">
        <references count="4">
          <reference field="5" count="1">
            <x v="64"/>
          </reference>
          <reference field="8" count="1" selected="0">
            <x v="100"/>
          </reference>
          <reference field="11" count="1" selected="0">
            <x v="7"/>
          </reference>
          <reference field="13" count="1" selected="0">
            <x v="129"/>
          </reference>
        </references>
      </pivotArea>
    </format>
    <format dxfId="3928">
      <pivotArea dataOnly="0" labelOnly="1" outline="0" fieldPosition="0">
        <references count="4">
          <reference field="5" count="1">
            <x v="64"/>
          </reference>
          <reference field="8" count="1" selected="0">
            <x v="100"/>
          </reference>
          <reference field="11" count="1" selected="0">
            <x v="7"/>
          </reference>
          <reference field="13" count="1" selected="0">
            <x v="308"/>
          </reference>
        </references>
      </pivotArea>
    </format>
    <format dxfId="3927">
      <pivotArea dataOnly="0" labelOnly="1" outline="0" fieldPosition="0">
        <references count="4">
          <reference field="5" count="1">
            <x v="64"/>
          </reference>
          <reference field="8" count="1" selected="0">
            <x v="101"/>
          </reference>
          <reference field="11" count="1" selected="0">
            <x v="1"/>
          </reference>
          <reference field="13" count="1" selected="0">
            <x v="6"/>
          </reference>
        </references>
      </pivotArea>
    </format>
    <format dxfId="3926">
      <pivotArea dataOnly="0" labelOnly="1" outline="0" fieldPosition="0">
        <references count="4">
          <reference field="5" count="1">
            <x v="64"/>
          </reference>
          <reference field="8" count="1" selected="0">
            <x v="101"/>
          </reference>
          <reference field="11" count="1" selected="0">
            <x v="1"/>
          </reference>
          <reference field="13" count="1" selected="0">
            <x v="31"/>
          </reference>
        </references>
      </pivotArea>
    </format>
    <format dxfId="3925">
      <pivotArea dataOnly="0" labelOnly="1" outline="0" fieldPosition="0">
        <references count="4">
          <reference field="5" count="1">
            <x v="64"/>
          </reference>
          <reference field="8" count="1" selected="0">
            <x v="101"/>
          </reference>
          <reference field="11" count="1" selected="0">
            <x v="1"/>
          </reference>
          <reference field="13" count="1" selected="0">
            <x v="63"/>
          </reference>
        </references>
      </pivotArea>
    </format>
    <format dxfId="3924">
      <pivotArea dataOnly="0" labelOnly="1" outline="0" fieldPosition="0">
        <references count="4">
          <reference field="5" count="1">
            <x v="64"/>
          </reference>
          <reference field="8" count="1" selected="0">
            <x v="101"/>
          </reference>
          <reference field="11" count="1" selected="0">
            <x v="1"/>
          </reference>
          <reference field="13" count="1" selected="0">
            <x v="87"/>
          </reference>
        </references>
      </pivotArea>
    </format>
    <format dxfId="3923">
      <pivotArea dataOnly="0" labelOnly="1" outline="0" fieldPosition="0">
        <references count="4">
          <reference field="5" count="1">
            <x v="64"/>
          </reference>
          <reference field="8" count="1" selected="0">
            <x v="101"/>
          </reference>
          <reference field="11" count="1" selected="0">
            <x v="1"/>
          </reference>
          <reference field="13" count="1" selected="0">
            <x v="109"/>
          </reference>
        </references>
      </pivotArea>
    </format>
    <format dxfId="3922">
      <pivotArea dataOnly="0" labelOnly="1" outline="0" fieldPosition="0">
        <references count="4">
          <reference field="5" count="1">
            <x v="64"/>
          </reference>
          <reference field="8" count="1" selected="0">
            <x v="101"/>
          </reference>
          <reference field="11" count="1" selected="0">
            <x v="1"/>
          </reference>
          <reference field="13" count="1" selected="0">
            <x v="157"/>
          </reference>
        </references>
      </pivotArea>
    </format>
    <format dxfId="3921">
      <pivotArea dataOnly="0" labelOnly="1" outline="0" fieldPosition="0">
        <references count="4">
          <reference field="5" count="1">
            <x v="64"/>
          </reference>
          <reference field="8" count="1" selected="0">
            <x v="101"/>
          </reference>
          <reference field="11" count="1" selected="0">
            <x v="1"/>
          </reference>
          <reference field="13" count="1" selected="0">
            <x v="179"/>
          </reference>
        </references>
      </pivotArea>
    </format>
    <format dxfId="3920">
      <pivotArea dataOnly="0" labelOnly="1" outline="0" fieldPosition="0">
        <references count="4">
          <reference field="5" count="1">
            <x v="64"/>
          </reference>
          <reference field="8" count="1" selected="0">
            <x v="101"/>
          </reference>
          <reference field="11" count="1" selected="0">
            <x v="1"/>
          </reference>
          <reference field="13" count="1" selected="0">
            <x v="225"/>
          </reference>
        </references>
      </pivotArea>
    </format>
    <format dxfId="3919">
      <pivotArea dataOnly="0" labelOnly="1" outline="0" fieldPosition="0">
        <references count="4">
          <reference field="5" count="1">
            <x v="64"/>
          </reference>
          <reference field="8" count="1" selected="0">
            <x v="101"/>
          </reference>
          <reference field="11" count="1" selected="0">
            <x v="1"/>
          </reference>
          <reference field="13" count="1" selected="0">
            <x v="233"/>
          </reference>
        </references>
      </pivotArea>
    </format>
    <format dxfId="3918">
      <pivotArea dataOnly="0" labelOnly="1" outline="0" fieldPosition="0">
        <references count="4">
          <reference field="5" count="1">
            <x v="64"/>
          </reference>
          <reference field="8" count="1" selected="0">
            <x v="101"/>
          </reference>
          <reference field="11" count="1" selected="0">
            <x v="1"/>
          </reference>
          <reference field="13" count="1" selected="0">
            <x v="286"/>
          </reference>
        </references>
      </pivotArea>
    </format>
    <format dxfId="3917">
      <pivotArea dataOnly="0" labelOnly="1" outline="0" fieldPosition="0">
        <references count="4">
          <reference field="5" count="1">
            <x v="64"/>
          </reference>
          <reference field="8" count="1" selected="0">
            <x v="101"/>
          </reference>
          <reference field="11" count="1" selected="0">
            <x v="3"/>
          </reference>
          <reference field="13" count="1" selected="0">
            <x v="243"/>
          </reference>
        </references>
      </pivotArea>
    </format>
    <format dxfId="3916">
      <pivotArea dataOnly="0" labelOnly="1" outline="0" fieldPosition="0">
        <references count="4">
          <reference field="5" count="1">
            <x v="64"/>
          </reference>
          <reference field="8" count="1" selected="0">
            <x v="101"/>
          </reference>
          <reference field="11" count="1" selected="0">
            <x v="3"/>
          </reference>
          <reference field="13" count="1" selected="0">
            <x v="251"/>
          </reference>
        </references>
      </pivotArea>
    </format>
    <format dxfId="3915">
      <pivotArea dataOnly="0" labelOnly="1" outline="0" fieldPosition="0">
        <references count="4">
          <reference field="5" count="1">
            <x v="64"/>
          </reference>
          <reference field="8" count="1" selected="0">
            <x v="101"/>
          </reference>
          <reference field="11" count="1" selected="0">
            <x v="7"/>
          </reference>
          <reference field="13" count="1" selected="0">
            <x v="8"/>
          </reference>
        </references>
      </pivotArea>
    </format>
    <format dxfId="3914">
      <pivotArea dataOnly="0" labelOnly="1" outline="0" fieldPosition="0">
        <references count="4">
          <reference field="5" count="1">
            <x v="64"/>
          </reference>
          <reference field="8" count="1" selected="0">
            <x v="101"/>
          </reference>
          <reference field="11" count="1" selected="0">
            <x v="7"/>
          </reference>
          <reference field="13" count="1" selected="0">
            <x v="129"/>
          </reference>
        </references>
      </pivotArea>
    </format>
    <format dxfId="3913">
      <pivotArea dataOnly="0" labelOnly="1" outline="0" fieldPosition="0">
        <references count="4">
          <reference field="5" count="1">
            <x v="112"/>
          </reference>
          <reference field="8" count="1" selected="0">
            <x v="102"/>
          </reference>
          <reference field="11" count="1" selected="0">
            <x v="1"/>
          </reference>
          <reference field="13" count="1" selected="0">
            <x v="286"/>
          </reference>
        </references>
      </pivotArea>
    </format>
    <format dxfId="3912">
      <pivotArea dataOnly="0" labelOnly="1" outline="0" fieldPosition="0">
        <references count="4">
          <reference field="5" count="1">
            <x v="64"/>
          </reference>
          <reference field="8" count="1" selected="0">
            <x v="103"/>
          </reference>
          <reference field="11" count="1" selected="0">
            <x v="1"/>
          </reference>
          <reference field="13" count="1" selected="0">
            <x v="214"/>
          </reference>
        </references>
      </pivotArea>
    </format>
    <format dxfId="3911">
      <pivotArea dataOnly="0" labelOnly="1" outline="0" fieldPosition="0">
        <references count="4">
          <reference field="5" count="1">
            <x v="64"/>
          </reference>
          <reference field="8" count="1" selected="0">
            <x v="103"/>
          </reference>
          <reference field="11" count="1" selected="0">
            <x v="3"/>
          </reference>
          <reference field="13" count="1" selected="0">
            <x v="242"/>
          </reference>
        </references>
      </pivotArea>
    </format>
    <format dxfId="3910">
      <pivotArea dataOnly="0" labelOnly="1" outline="0" fieldPosition="0">
        <references count="4">
          <reference field="5" count="1">
            <x v="20"/>
          </reference>
          <reference field="8" count="1" selected="0">
            <x v="103"/>
          </reference>
          <reference field="11" count="1" selected="0">
            <x v="5"/>
          </reference>
          <reference field="13" count="1" selected="0">
            <x v="255"/>
          </reference>
        </references>
      </pivotArea>
    </format>
    <format dxfId="3909">
      <pivotArea dataOnly="0" labelOnly="1" outline="0" fieldPosition="0">
        <references count="4">
          <reference field="5" count="1">
            <x v="64"/>
          </reference>
          <reference field="8" count="1" selected="0">
            <x v="104"/>
          </reference>
          <reference field="11" count="1" selected="0">
            <x v="1"/>
          </reference>
          <reference field="13" count="1" selected="0">
            <x v="169"/>
          </reference>
        </references>
      </pivotArea>
    </format>
    <format dxfId="3908">
      <pivotArea dataOnly="0" labelOnly="1" outline="0" fieldPosition="0">
        <references count="4">
          <reference field="5" count="2">
            <x v="95"/>
            <x v="116"/>
          </reference>
          <reference field="8" count="1" selected="0">
            <x v="104"/>
          </reference>
          <reference field="11" count="1" selected="0">
            <x v="5"/>
          </reference>
          <reference field="13" count="1" selected="0">
            <x v="81"/>
          </reference>
        </references>
      </pivotArea>
    </format>
    <format dxfId="3907">
      <pivotArea dataOnly="0" labelOnly="1" outline="0" fieldPosition="0">
        <references count="4">
          <reference field="5" count="1">
            <x v="64"/>
          </reference>
          <reference field="8" count="1" selected="0">
            <x v="104"/>
          </reference>
          <reference field="11" count="1" selected="0">
            <x v="7"/>
          </reference>
          <reference field="13" count="1" selected="0">
            <x v="129"/>
          </reference>
        </references>
      </pivotArea>
    </format>
    <format dxfId="3906">
      <pivotArea dataOnly="0" labelOnly="1" outline="0" fieldPosition="0">
        <references count="4">
          <reference field="5" count="1">
            <x v="78"/>
          </reference>
          <reference field="8" count="1" selected="0">
            <x v="105"/>
          </reference>
          <reference field="11" count="1" selected="0">
            <x v="5"/>
          </reference>
          <reference field="13" count="1" selected="0">
            <x v="77"/>
          </reference>
        </references>
      </pivotArea>
    </format>
    <format dxfId="3905">
      <pivotArea dataOnly="0" labelOnly="1" outline="0" fieldPosition="0">
        <references count="4">
          <reference field="5" count="1">
            <x v="64"/>
          </reference>
          <reference field="8" count="1" selected="0">
            <x v="106"/>
          </reference>
          <reference field="11" count="1" selected="0">
            <x v="1"/>
          </reference>
          <reference field="13" count="1" selected="0">
            <x v="169"/>
          </reference>
        </references>
      </pivotArea>
    </format>
    <format dxfId="3904">
      <pivotArea dataOnly="0" labelOnly="1" outline="0" fieldPosition="0">
        <references count="4">
          <reference field="5" count="1">
            <x v="32"/>
          </reference>
          <reference field="8" count="1" selected="0">
            <x v="106"/>
          </reference>
          <reference field="11" count="1" selected="0">
            <x v="3"/>
          </reference>
          <reference field="13" count="1" selected="0">
            <x v="146"/>
          </reference>
        </references>
      </pivotArea>
    </format>
    <format dxfId="3903">
      <pivotArea dataOnly="0" labelOnly="1" outline="0" fieldPosition="0">
        <references count="4">
          <reference field="5" count="1">
            <x v="104"/>
          </reference>
          <reference field="8" count="1" selected="0">
            <x v="106"/>
          </reference>
          <reference field="11" count="1" selected="0">
            <x v="3"/>
          </reference>
          <reference field="13" count="1" selected="0">
            <x v="240"/>
          </reference>
        </references>
      </pivotArea>
    </format>
    <format dxfId="3902">
      <pivotArea dataOnly="0" labelOnly="1" outline="0" fieldPosition="0">
        <references count="4">
          <reference field="5" count="2">
            <x v="104"/>
            <x v="110"/>
          </reference>
          <reference field="8" count="1" selected="0">
            <x v="106"/>
          </reference>
          <reference field="11" count="1" selected="0">
            <x v="3"/>
          </reference>
          <reference field="13" count="1" selected="0">
            <x v="242"/>
          </reference>
        </references>
      </pivotArea>
    </format>
    <format dxfId="3901">
      <pivotArea dataOnly="0" labelOnly="1" outline="0" fieldPosition="0">
        <references count="4">
          <reference field="5" count="1">
            <x v="2"/>
          </reference>
          <reference field="8" count="1" selected="0">
            <x v="106"/>
          </reference>
          <reference field="11" count="1" selected="0">
            <x v="5"/>
          </reference>
          <reference field="13" count="1" selected="0">
            <x v="37"/>
          </reference>
        </references>
      </pivotArea>
    </format>
    <format dxfId="3900">
      <pivotArea dataOnly="0" labelOnly="1" outline="0" fieldPosition="0">
        <references count="4">
          <reference field="5" count="1">
            <x v="64"/>
          </reference>
          <reference field="8" count="1" selected="0">
            <x v="106"/>
          </reference>
          <reference field="11" count="1" selected="0">
            <x v="7"/>
          </reference>
          <reference field="13" count="1" selected="0">
            <x v="129"/>
          </reference>
        </references>
      </pivotArea>
    </format>
    <format dxfId="3899">
      <pivotArea dataOnly="0" labelOnly="1" outline="0" fieldPosition="0">
        <references count="4">
          <reference field="5" count="1">
            <x v="108"/>
          </reference>
          <reference field="8" count="1" selected="0">
            <x v="107"/>
          </reference>
          <reference field="11" count="1" selected="0">
            <x v="1"/>
          </reference>
          <reference field="13" count="1" selected="0">
            <x v="149"/>
          </reference>
        </references>
      </pivotArea>
    </format>
    <format dxfId="3898">
      <pivotArea dataOnly="0" labelOnly="1" outline="0" fieldPosition="0">
        <references count="4">
          <reference field="5" count="1">
            <x v="108"/>
          </reference>
          <reference field="8" count="1" selected="0">
            <x v="107"/>
          </reference>
          <reference field="11" count="1" selected="0">
            <x v="3"/>
          </reference>
          <reference field="13" count="1" selected="0">
            <x v="242"/>
          </reference>
        </references>
      </pivotArea>
    </format>
    <format dxfId="3897">
      <pivotArea dataOnly="0" labelOnly="1" outline="0" fieldPosition="0">
        <references count="4">
          <reference field="5" count="1">
            <x v="108"/>
          </reference>
          <reference field="8" count="1" selected="0">
            <x v="107"/>
          </reference>
          <reference field="11" count="1" selected="0">
            <x v="3"/>
          </reference>
          <reference field="13" count="1" selected="0">
            <x v="243"/>
          </reference>
        </references>
      </pivotArea>
    </format>
    <format dxfId="3896">
      <pivotArea dataOnly="0" labelOnly="1" outline="0" fieldPosition="0">
        <references count="4">
          <reference field="5" count="1">
            <x v="20"/>
          </reference>
          <reference field="8" count="1" selected="0">
            <x v="107"/>
          </reference>
          <reference field="11" count="1" selected="0">
            <x v="5"/>
          </reference>
          <reference field="13" count="1" selected="0">
            <x v="81"/>
          </reference>
        </references>
      </pivotArea>
    </format>
    <format dxfId="3895">
      <pivotArea dataOnly="0" labelOnly="1" outline="0" fieldPosition="0">
        <references count="4">
          <reference field="5" count="1">
            <x v="108"/>
          </reference>
          <reference field="8" count="1" selected="0">
            <x v="107"/>
          </reference>
          <reference field="11" count="1" selected="0">
            <x v="5"/>
          </reference>
          <reference field="13" count="1" selected="0">
            <x v="96"/>
          </reference>
        </references>
      </pivotArea>
    </format>
    <format dxfId="3894">
      <pivotArea dataOnly="0" labelOnly="1" outline="0" fieldPosition="0">
        <references count="4">
          <reference field="5" count="1">
            <x v="108"/>
          </reference>
          <reference field="8" count="1" selected="0">
            <x v="107"/>
          </reference>
          <reference field="11" count="1" selected="0">
            <x v="7"/>
          </reference>
          <reference field="13" count="1" selected="0">
            <x v="8"/>
          </reference>
        </references>
      </pivotArea>
    </format>
    <format dxfId="3893">
      <pivotArea dataOnly="0" labelOnly="1" outline="0" fieldPosition="0">
        <references count="4">
          <reference field="5" count="1">
            <x v="108"/>
          </reference>
          <reference field="8" count="1" selected="0">
            <x v="107"/>
          </reference>
          <reference field="11" count="1" selected="0">
            <x v="7"/>
          </reference>
          <reference field="13" count="1" selected="0">
            <x v="72"/>
          </reference>
        </references>
      </pivotArea>
    </format>
    <format dxfId="3892">
      <pivotArea dataOnly="0" labelOnly="1" outline="0" fieldPosition="0">
        <references count="4">
          <reference field="5" count="1">
            <x v="101"/>
          </reference>
          <reference field="8" count="1" selected="0">
            <x v="108"/>
          </reference>
          <reference field="11" count="1" selected="0">
            <x v="3"/>
          </reference>
          <reference field="13" count="1" selected="0">
            <x v="32"/>
          </reference>
        </references>
      </pivotArea>
    </format>
    <format dxfId="3891">
      <pivotArea dataOnly="0" labelOnly="1" outline="0" fieldPosition="0">
        <references count="4">
          <reference field="5" count="1">
            <x v="101"/>
          </reference>
          <reference field="8" count="1" selected="0">
            <x v="108"/>
          </reference>
          <reference field="11" count="1" selected="0">
            <x v="3"/>
          </reference>
          <reference field="13" count="1" selected="0">
            <x v="287"/>
          </reference>
        </references>
      </pivotArea>
    </format>
    <format dxfId="3890">
      <pivotArea dataOnly="0" labelOnly="1" outline="0" fieldPosition="0">
        <references count="4">
          <reference field="5" count="1">
            <x v="2"/>
          </reference>
          <reference field="8" count="1" selected="0">
            <x v="108"/>
          </reference>
          <reference field="11" count="1" selected="0">
            <x v="5"/>
          </reference>
          <reference field="13" count="1" selected="0">
            <x v="37"/>
          </reference>
        </references>
      </pivotArea>
    </format>
    <format dxfId="3889">
      <pivotArea dataOnly="0" labelOnly="1" outline="0" fieldPosition="0">
        <references count="4">
          <reference field="5" count="1">
            <x v="116"/>
          </reference>
          <reference field="8" count="1" selected="0">
            <x v="108"/>
          </reference>
          <reference field="11" count="1" selected="0">
            <x v="5"/>
          </reference>
          <reference field="13" count="1" selected="0">
            <x v="81"/>
          </reference>
        </references>
      </pivotArea>
    </format>
    <format dxfId="3888">
      <pivotArea dataOnly="0" labelOnly="1" outline="0" fieldPosition="0">
        <references count="4">
          <reference field="5" count="1">
            <x v="101"/>
          </reference>
          <reference field="8" count="1" selected="0">
            <x v="108"/>
          </reference>
          <reference field="11" count="1" selected="0">
            <x v="6"/>
          </reference>
          <reference field="13" count="1" selected="0">
            <x v="207"/>
          </reference>
        </references>
      </pivotArea>
    </format>
    <format dxfId="3887">
      <pivotArea dataOnly="0" labelOnly="1" outline="0" fieldPosition="0">
        <references count="4">
          <reference field="5" count="1">
            <x v="68"/>
          </reference>
          <reference field="8" count="1" selected="0">
            <x v="109"/>
          </reference>
          <reference field="11" count="1" selected="0">
            <x v="3"/>
          </reference>
          <reference field="13" count="1" selected="0">
            <x v="54"/>
          </reference>
        </references>
      </pivotArea>
    </format>
    <format dxfId="3886">
      <pivotArea dataOnly="0" labelOnly="1" outline="0" fieldPosition="0">
        <references count="4">
          <reference field="5" count="1">
            <x v="31"/>
          </reference>
          <reference field="8" count="1" selected="0">
            <x v="110"/>
          </reference>
          <reference field="11" count="1" selected="0">
            <x v="1"/>
          </reference>
          <reference field="13" count="1" selected="0">
            <x v="42"/>
          </reference>
        </references>
      </pivotArea>
    </format>
    <format dxfId="3885">
      <pivotArea dataOnly="0" labelOnly="1" outline="0" fieldPosition="0">
        <references count="4">
          <reference field="5" count="1">
            <x v="31"/>
          </reference>
          <reference field="8" count="1" selected="0">
            <x v="111"/>
          </reference>
          <reference field="11" count="1" selected="0">
            <x v="1"/>
          </reference>
          <reference field="13" count="1" selected="0">
            <x v="42"/>
          </reference>
        </references>
      </pivotArea>
    </format>
    <format dxfId="3884">
      <pivotArea dataOnly="0" labelOnly="1" outline="0" fieldPosition="0">
        <references count="4">
          <reference field="5" count="1">
            <x v="64"/>
          </reference>
          <reference field="8" count="1" selected="0">
            <x v="112"/>
          </reference>
          <reference field="11" count="1" selected="0">
            <x v="1"/>
          </reference>
          <reference field="13" count="1" selected="0">
            <x v="169"/>
          </reference>
        </references>
      </pivotArea>
    </format>
    <format dxfId="3883">
      <pivotArea dataOnly="0" labelOnly="1" outline="0" fieldPosition="0">
        <references count="4">
          <reference field="5" count="1">
            <x v="64"/>
          </reference>
          <reference field="8" count="1" selected="0">
            <x v="112"/>
          </reference>
          <reference field="11" count="1" selected="0">
            <x v="3"/>
          </reference>
          <reference field="13" count="1" selected="0">
            <x v="287"/>
          </reference>
        </references>
      </pivotArea>
    </format>
    <format dxfId="3882">
      <pivotArea dataOnly="0" labelOnly="1" outline="0" fieldPosition="0">
        <references count="4">
          <reference field="5" count="1">
            <x v="64"/>
          </reference>
          <reference field="8" count="1" selected="0">
            <x v="112"/>
          </reference>
          <reference field="11" count="1" selected="0">
            <x v="7"/>
          </reference>
          <reference field="13" count="1" selected="0">
            <x v="93"/>
          </reference>
        </references>
      </pivotArea>
    </format>
    <format dxfId="3881">
      <pivotArea dataOnly="0" labelOnly="1" outline="0" fieldPosition="0">
        <references count="4">
          <reference field="5" count="1">
            <x v="64"/>
          </reference>
          <reference field="8" count="1" selected="0">
            <x v="113"/>
          </reference>
          <reference field="11" count="1" selected="0">
            <x v="1"/>
          </reference>
          <reference field="13" count="1" selected="0">
            <x v="169"/>
          </reference>
        </references>
      </pivotArea>
    </format>
    <format dxfId="3880">
      <pivotArea dataOnly="0" labelOnly="1" outline="0" fieldPosition="0">
        <references count="4">
          <reference field="5" count="1">
            <x v="64"/>
          </reference>
          <reference field="8" count="1" selected="0">
            <x v="113"/>
          </reference>
          <reference field="11" count="1" selected="0">
            <x v="3"/>
          </reference>
          <reference field="13" count="1" selected="0">
            <x v="287"/>
          </reference>
        </references>
      </pivotArea>
    </format>
    <format dxfId="3879">
      <pivotArea dataOnly="0" labelOnly="1" outline="0" fieldPosition="0">
        <references count="4">
          <reference field="5" count="1">
            <x v="64"/>
          </reference>
          <reference field="8" count="1" selected="0">
            <x v="113"/>
          </reference>
          <reference field="11" count="1" selected="0">
            <x v="7"/>
          </reference>
          <reference field="13" count="1" selected="0">
            <x v="93"/>
          </reference>
        </references>
      </pivotArea>
    </format>
    <format dxfId="3878">
      <pivotArea dataOnly="0" labelOnly="1" outline="0" fieldPosition="0">
        <references count="4">
          <reference field="5" count="1">
            <x v="64"/>
          </reference>
          <reference field="8" count="1" selected="0">
            <x v="113"/>
          </reference>
          <reference field="11" count="1" selected="0">
            <x v="7"/>
          </reference>
          <reference field="13" count="1" selected="0">
            <x v="129"/>
          </reference>
        </references>
      </pivotArea>
    </format>
    <format dxfId="3877">
      <pivotArea dataOnly="0" labelOnly="1" outline="0" fieldPosition="0">
        <references count="4">
          <reference field="5" count="1">
            <x v="64"/>
          </reference>
          <reference field="8" count="1" selected="0">
            <x v="114"/>
          </reference>
          <reference field="11" count="1" selected="0">
            <x v="1"/>
          </reference>
          <reference field="13" count="1" selected="0">
            <x v="169"/>
          </reference>
        </references>
      </pivotArea>
    </format>
    <format dxfId="3876">
      <pivotArea dataOnly="0" labelOnly="1" outline="0" fieldPosition="0">
        <references count="4">
          <reference field="5" count="1">
            <x v="101"/>
          </reference>
          <reference field="8" count="1" selected="0">
            <x v="114"/>
          </reference>
          <reference field="11" count="1" selected="0">
            <x v="3"/>
          </reference>
          <reference field="13" count="1" selected="0">
            <x v="17"/>
          </reference>
        </references>
      </pivotArea>
    </format>
    <format dxfId="3875">
      <pivotArea dataOnly="0" labelOnly="1" outline="0" fieldPosition="0">
        <references count="4">
          <reference field="5" count="1">
            <x v="101"/>
          </reference>
          <reference field="8" count="1" selected="0">
            <x v="114"/>
          </reference>
          <reference field="11" count="1" selected="0">
            <x v="3"/>
          </reference>
          <reference field="13" count="1" selected="0">
            <x v="305"/>
          </reference>
        </references>
      </pivotArea>
    </format>
    <format dxfId="3874">
      <pivotArea dataOnly="0" labelOnly="1" outline="0" fieldPosition="0">
        <references count="4">
          <reference field="5" count="1">
            <x v="116"/>
          </reference>
          <reference field="8" count="1" selected="0">
            <x v="114"/>
          </reference>
          <reference field="11" count="1" selected="0">
            <x v="5"/>
          </reference>
          <reference field="13" count="1" selected="0">
            <x v="77"/>
          </reference>
        </references>
      </pivotArea>
    </format>
    <format dxfId="3873">
      <pivotArea dataOnly="0" labelOnly="1" outline="0" fieldPosition="0">
        <references count="4">
          <reference field="5" count="1">
            <x v="110"/>
          </reference>
          <reference field="8" count="1" selected="0">
            <x v="115"/>
          </reference>
          <reference field="11" count="1" selected="0">
            <x v="0"/>
          </reference>
          <reference field="13" count="1" selected="0">
            <x v="53"/>
          </reference>
        </references>
      </pivotArea>
    </format>
    <format dxfId="3872">
      <pivotArea dataOnly="0" labelOnly="1" outline="0" fieldPosition="0">
        <references count="4">
          <reference field="5" count="1">
            <x v="110"/>
          </reference>
          <reference field="8" count="1" selected="0">
            <x v="115"/>
          </reference>
          <reference field="11" count="1" selected="0">
            <x v="3"/>
          </reference>
          <reference field="13" count="1" selected="0">
            <x v="17"/>
          </reference>
        </references>
      </pivotArea>
    </format>
    <format dxfId="3871">
      <pivotArea dataOnly="0" labelOnly="1" outline="0" fieldPosition="0">
        <references count="4">
          <reference field="5" count="2">
            <x v="110"/>
            <x v="117"/>
          </reference>
          <reference field="8" count="1" selected="0">
            <x v="115"/>
          </reference>
          <reference field="11" count="1" selected="0">
            <x v="3"/>
          </reference>
          <reference field="13" count="1" selected="0">
            <x v="29"/>
          </reference>
        </references>
      </pivotArea>
    </format>
    <format dxfId="3870">
      <pivotArea dataOnly="0" labelOnly="1" outline="0" fieldPosition="0">
        <references count="4">
          <reference field="5" count="1">
            <x v="110"/>
          </reference>
          <reference field="8" count="1" selected="0">
            <x v="115"/>
          </reference>
          <reference field="11" count="1" selected="0">
            <x v="3"/>
          </reference>
          <reference field="13" count="1" selected="0">
            <x v="32"/>
          </reference>
        </references>
      </pivotArea>
    </format>
    <format dxfId="3869">
      <pivotArea dataOnly="0" labelOnly="1" outline="0" fieldPosition="0">
        <references count="4">
          <reference field="5" count="1">
            <x v="110"/>
          </reference>
          <reference field="8" count="1" selected="0">
            <x v="115"/>
          </reference>
          <reference field="11" count="1" selected="0">
            <x v="3"/>
          </reference>
          <reference field="13" count="1" selected="0">
            <x v="54"/>
          </reference>
        </references>
      </pivotArea>
    </format>
    <format dxfId="3868">
      <pivotArea dataOnly="0" labelOnly="1" outline="0" fieldPosition="0">
        <references count="4">
          <reference field="5" count="1">
            <x v="117"/>
          </reference>
          <reference field="8" count="1" selected="0">
            <x v="115"/>
          </reference>
          <reference field="11" count="1" selected="0">
            <x v="3"/>
          </reference>
          <reference field="13" count="1" selected="0">
            <x v="218"/>
          </reference>
        </references>
      </pivotArea>
    </format>
    <format dxfId="3867">
      <pivotArea dataOnly="0" labelOnly="1" outline="0" fieldPosition="0">
        <references count="4">
          <reference field="5" count="1">
            <x v="110"/>
          </reference>
          <reference field="8" count="1" selected="0">
            <x v="115"/>
          </reference>
          <reference field="11" count="1" selected="0">
            <x v="3"/>
          </reference>
          <reference field="13" count="1" selected="0">
            <x v="242"/>
          </reference>
        </references>
      </pivotArea>
    </format>
    <format dxfId="3866">
      <pivotArea dataOnly="0" labelOnly="1" outline="0" fieldPosition="0">
        <references count="4">
          <reference field="5" count="1">
            <x v="117"/>
          </reference>
          <reference field="8" count="1" selected="0">
            <x v="115"/>
          </reference>
          <reference field="11" count="1" selected="0">
            <x v="3"/>
          </reference>
          <reference field="13" count="1" selected="0">
            <x v="287"/>
          </reference>
        </references>
      </pivotArea>
    </format>
    <format dxfId="3865">
      <pivotArea dataOnly="0" labelOnly="1" outline="0" fieldPosition="0">
        <references count="4">
          <reference field="5" count="1">
            <x v="110"/>
          </reference>
          <reference field="8" count="1" selected="0">
            <x v="115"/>
          </reference>
          <reference field="11" count="1" selected="0">
            <x v="3"/>
          </reference>
          <reference field="13" count="1" selected="0">
            <x v="305"/>
          </reference>
        </references>
      </pivotArea>
    </format>
    <format dxfId="3864">
      <pivotArea dataOnly="0" labelOnly="1" outline="0" fieldPosition="0">
        <references count="4">
          <reference field="5" count="1">
            <x v="117"/>
          </reference>
          <reference field="8" count="1" selected="0">
            <x v="115"/>
          </reference>
          <reference field="11" count="1" selected="0">
            <x v="3"/>
          </reference>
          <reference field="13" count="1" selected="0">
            <x v="314"/>
          </reference>
        </references>
      </pivotArea>
    </format>
    <format dxfId="3863">
      <pivotArea dataOnly="0" labelOnly="1" outline="0" fieldPosition="0">
        <references count="4">
          <reference field="5" count="1">
            <x v="116"/>
          </reference>
          <reference field="8" count="1" selected="0">
            <x v="115"/>
          </reference>
          <reference field="11" count="1" selected="0">
            <x v="5"/>
          </reference>
          <reference field="13" count="1" selected="0">
            <x v="77"/>
          </reference>
        </references>
      </pivotArea>
    </format>
    <format dxfId="3862">
      <pivotArea dataOnly="0" labelOnly="1" outline="0" fieldPosition="0">
        <references count="4">
          <reference field="5" count="1">
            <x v="64"/>
          </reference>
          <reference field="8" count="1" selected="0">
            <x v="116"/>
          </reference>
          <reference field="11" count="1" selected="0">
            <x v="1"/>
          </reference>
          <reference field="13" count="1" selected="0">
            <x v="169"/>
          </reference>
        </references>
      </pivotArea>
    </format>
    <format dxfId="3861">
      <pivotArea dataOnly="0" labelOnly="1" outline="0" fieldPosition="0">
        <references count="4">
          <reference field="5" count="1">
            <x v="21"/>
          </reference>
          <reference field="8" count="1" selected="0">
            <x v="117"/>
          </reference>
          <reference field="11" count="1" selected="0">
            <x v="4"/>
          </reference>
          <reference field="13" count="1" selected="0">
            <x v="133"/>
          </reference>
        </references>
      </pivotArea>
    </format>
    <format dxfId="3860">
      <pivotArea dataOnly="0" labelOnly="1" outline="0" fieldPosition="0">
        <references count="4">
          <reference field="5" count="1">
            <x v="117"/>
          </reference>
          <reference field="8" count="1" selected="0">
            <x v="119"/>
          </reference>
          <reference field="11" count="1" selected="0">
            <x v="3"/>
          </reference>
          <reference field="13" count="1" selected="0">
            <x v="29"/>
          </reference>
        </references>
      </pivotArea>
    </format>
    <format dxfId="3859">
      <pivotArea dataOnly="0" labelOnly="1" outline="0" fieldPosition="0">
        <references count="4">
          <reference field="5" count="1">
            <x v="117"/>
          </reference>
          <reference field="8" count="1" selected="0">
            <x v="119"/>
          </reference>
          <reference field="11" count="1" selected="0">
            <x v="3"/>
          </reference>
          <reference field="13" count="1" selected="0">
            <x v="218"/>
          </reference>
        </references>
      </pivotArea>
    </format>
    <format dxfId="3858">
      <pivotArea dataOnly="0" labelOnly="1" outline="0" fieldPosition="0">
        <references count="4">
          <reference field="5" count="1">
            <x v="95"/>
          </reference>
          <reference field="8" count="1" selected="0">
            <x v="119"/>
          </reference>
          <reference field="11" count="1" selected="0">
            <x v="3"/>
          </reference>
          <reference field="13" count="1" selected="0">
            <x v="278"/>
          </reference>
        </references>
      </pivotArea>
    </format>
    <format dxfId="3857">
      <pivotArea dataOnly="0" labelOnly="1" outline="0" fieldPosition="0">
        <references count="4">
          <reference field="5" count="1">
            <x v="117"/>
          </reference>
          <reference field="8" count="1" selected="0">
            <x v="119"/>
          </reference>
          <reference field="11" count="1" selected="0">
            <x v="3"/>
          </reference>
          <reference field="13" count="1" selected="0">
            <x v="314"/>
          </reference>
        </references>
      </pivotArea>
    </format>
    <format dxfId="3856">
      <pivotArea dataOnly="0" labelOnly="1" outline="0" fieldPosition="0">
        <references count="4">
          <reference field="5" count="1">
            <x v="117"/>
          </reference>
          <reference field="8" count="1" selected="0">
            <x v="120"/>
          </reference>
          <reference field="11" count="1" selected="0">
            <x v="3"/>
          </reference>
          <reference field="13" count="1" selected="0">
            <x v="29"/>
          </reference>
        </references>
      </pivotArea>
    </format>
    <format dxfId="3855">
      <pivotArea dataOnly="0" labelOnly="1" outline="0" fieldPosition="0">
        <references count="4">
          <reference field="5" count="1">
            <x v="32"/>
          </reference>
          <reference field="8" count="1" selected="0">
            <x v="120"/>
          </reference>
          <reference field="11" count="1" selected="0">
            <x v="3"/>
          </reference>
          <reference field="13" count="1" selected="0">
            <x v="32"/>
          </reference>
        </references>
      </pivotArea>
    </format>
    <format dxfId="3854">
      <pivotArea dataOnly="0" labelOnly="1" outline="0" fieldPosition="0">
        <references count="4">
          <reference field="5" count="1">
            <x v="32"/>
          </reference>
          <reference field="8" count="1" selected="0">
            <x v="120"/>
          </reference>
          <reference field="11" count="1" selected="0">
            <x v="3"/>
          </reference>
          <reference field="13" count="1" selected="0">
            <x v="146"/>
          </reference>
        </references>
      </pivotArea>
    </format>
    <format dxfId="3853">
      <pivotArea dataOnly="0" labelOnly="1" outline="0" fieldPosition="0">
        <references count="4">
          <reference field="5" count="1">
            <x v="117"/>
          </reference>
          <reference field="8" count="1" selected="0">
            <x v="120"/>
          </reference>
          <reference field="11" count="1" selected="0">
            <x v="3"/>
          </reference>
          <reference field="13" count="1" selected="0">
            <x v="218"/>
          </reference>
        </references>
      </pivotArea>
    </format>
    <format dxfId="3852">
      <pivotArea dataOnly="0" labelOnly="1" outline="0" fieldPosition="0">
        <references count="4">
          <reference field="5" count="1">
            <x v="117"/>
          </reference>
          <reference field="8" count="1" selected="0">
            <x v="120"/>
          </reference>
          <reference field="11" count="1" selected="0">
            <x v="3"/>
          </reference>
          <reference field="13" count="1" selected="0">
            <x v="314"/>
          </reference>
        </references>
      </pivotArea>
    </format>
    <format dxfId="3851">
      <pivotArea dataOnly="0" labelOnly="1" outline="0" fieldPosition="0">
        <references count="4">
          <reference field="5" count="1">
            <x v="116"/>
          </reference>
          <reference field="8" count="1" selected="0">
            <x v="120"/>
          </reference>
          <reference field="11" count="1" selected="0">
            <x v="5"/>
          </reference>
          <reference field="13" count="1" selected="0">
            <x v="77"/>
          </reference>
        </references>
      </pivotArea>
    </format>
    <format dxfId="3850">
      <pivotArea dataOnly="0" labelOnly="1" outline="0" fieldPosition="0">
        <references count="4">
          <reference field="5" count="1">
            <x v="32"/>
          </reference>
          <reference field="8" count="1" selected="0">
            <x v="120"/>
          </reference>
          <reference field="11" count="1" selected="0">
            <x v="6"/>
          </reference>
          <reference field="13" count="1" selected="0">
            <x v="207"/>
          </reference>
        </references>
      </pivotArea>
    </format>
    <format dxfId="3849">
      <pivotArea dataOnly="0" labelOnly="1" outline="0" fieldPosition="0">
        <references count="4">
          <reference field="5" count="1">
            <x v="117"/>
          </reference>
          <reference field="8" count="1" selected="0">
            <x v="121"/>
          </reference>
          <reference field="11" count="1" selected="0">
            <x v="3"/>
          </reference>
          <reference field="13" count="1" selected="0">
            <x v="29"/>
          </reference>
        </references>
      </pivotArea>
    </format>
    <format dxfId="3848">
      <pivotArea dataOnly="0" labelOnly="1" outline="0" fieldPosition="0">
        <references count="4">
          <reference field="5" count="1">
            <x v="117"/>
          </reference>
          <reference field="8" count="1" selected="0">
            <x v="121"/>
          </reference>
          <reference field="11" count="1" selected="0">
            <x v="3"/>
          </reference>
          <reference field="13" count="1" selected="0">
            <x v="218"/>
          </reference>
        </references>
      </pivotArea>
    </format>
    <format dxfId="3847">
      <pivotArea dataOnly="0" labelOnly="1" outline="0" fieldPosition="0">
        <references count="4">
          <reference field="5" count="1">
            <x v="117"/>
          </reference>
          <reference field="8" count="1" selected="0">
            <x v="121"/>
          </reference>
          <reference field="11" count="1" selected="0">
            <x v="3"/>
          </reference>
          <reference field="13" count="1" selected="0">
            <x v="314"/>
          </reference>
        </references>
      </pivotArea>
    </format>
    <format dxfId="3846">
      <pivotArea dataOnly="0" labelOnly="1" outline="0" fieldPosition="0">
        <references count="4">
          <reference field="5" count="1">
            <x v="50"/>
          </reference>
          <reference field="8" count="1" selected="0">
            <x v="121"/>
          </reference>
          <reference field="11" count="1" selected="0">
            <x v="4"/>
          </reference>
          <reference field="13" count="1" selected="0">
            <x v="133"/>
          </reference>
        </references>
      </pivotArea>
    </format>
    <format dxfId="3845">
      <pivotArea dataOnly="0" labelOnly="1" outline="0" fieldPosition="0">
        <references count="4">
          <reference field="5" count="1">
            <x v="108"/>
          </reference>
          <reference field="8" count="1" selected="0">
            <x v="122"/>
          </reference>
          <reference field="11" count="1" selected="0">
            <x v="1"/>
          </reference>
          <reference field="13" count="1" selected="0">
            <x v="286"/>
          </reference>
        </references>
      </pivotArea>
    </format>
    <format dxfId="3844">
      <pivotArea dataOnly="0" labelOnly="1" outline="0" fieldPosition="0">
        <references count="4">
          <reference field="5" count="1">
            <x v="108"/>
          </reference>
          <reference field="8" count="1" selected="0">
            <x v="122"/>
          </reference>
          <reference field="11" count="1" selected="0">
            <x v="3"/>
          </reference>
          <reference field="13" count="1" selected="0">
            <x v="17"/>
          </reference>
        </references>
      </pivotArea>
    </format>
    <format dxfId="3843">
      <pivotArea dataOnly="0" labelOnly="1" outline="0" fieldPosition="0">
        <references count="4">
          <reference field="5" count="1">
            <x v="108"/>
          </reference>
          <reference field="8" count="1" selected="0">
            <x v="122"/>
          </reference>
          <reference field="11" count="1" selected="0">
            <x v="3"/>
          </reference>
          <reference field="13" count="1" selected="0">
            <x v="57"/>
          </reference>
        </references>
      </pivotArea>
    </format>
    <format dxfId="3842">
      <pivotArea dataOnly="0" labelOnly="1" outline="0" fieldPosition="0">
        <references count="4">
          <reference field="5" count="1">
            <x v="108"/>
          </reference>
          <reference field="8" count="1" selected="0">
            <x v="122"/>
          </reference>
          <reference field="11" count="1" selected="0">
            <x v="3"/>
          </reference>
          <reference field="13" count="1" selected="0">
            <x v="242"/>
          </reference>
        </references>
      </pivotArea>
    </format>
    <format dxfId="3841">
      <pivotArea dataOnly="0" labelOnly="1" outline="0" fieldPosition="0">
        <references count="4">
          <reference field="5" count="1">
            <x v="108"/>
          </reference>
          <reference field="8" count="1" selected="0">
            <x v="122"/>
          </reference>
          <reference field="11" count="1" selected="0">
            <x v="3"/>
          </reference>
          <reference field="13" count="1" selected="0">
            <x v="287"/>
          </reference>
        </references>
      </pivotArea>
    </format>
    <format dxfId="3840">
      <pivotArea dataOnly="0" labelOnly="1" outline="0" fieldPosition="0">
        <references count="4">
          <reference field="5" count="1">
            <x v="108"/>
          </reference>
          <reference field="8" count="1" selected="0">
            <x v="122"/>
          </reference>
          <reference field="11" count="1" selected="0">
            <x v="3"/>
          </reference>
          <reference field="13" count="1" selected="0">
            <x v="305"/>
          </reference>
        </references>
      </pivotArea>
    </format>
    <format dxfId="3839">
      <pivotArea dataOnly="0" labelOnly="1" outline="0" fieldPosition="0">
        <references count="4">
          <reference field="5" count="1">
            <x v="108"/>
          </reference>
          <reference field="8" count="1" selected="0">
            <x v="122"/>
          </reference>
          <reference field="11" count="1" selected="0">
            <x v="7"/>
          </reference>
          <reference field="13" count="1" selected="0">
            <x v="72"/>
          </reference>
        </references>
      </pivotArea>
    </format>
    <format dxfId="3838">
      <pivotArea dataOnly="0" labelOnly="1" outline="0" fieldPosition="0">
        <references count="4">
          <reference field="5" count="1">
            <x v="68"/>
          </reference>
          <reference field="8" count="1" selected="0">
            <x v="123"/>
          </reference>
          <reference field="11" count="1" selected="0">
            <x v="3"/>
          </reference>
          <reference field="13" count="1" selected="0">
            <x v="240"/>
          </reference>
        </references>
      </pivotArea>
    </format>
    <format dxfId="3837">
      <pivotArea dataOnly="0" labelOnly="1" outline="0" fieldPosition="0">
        <references count="4">
          <reference field="5" count="1">
            <x v="68"/>
          </reference>
          <reference field="8" count="1" selected="0">
            <x v="123"/>
          </reference>
          <reference field="11" count="1" selected="0">
            <x v="3"/>
          </reference>
          <reference field="13" count="1" selected="0">
            <x v="287"/>
          </reference>
        </references>
      </pivotArea>
    </format>
    <format dxfId="3836">
      <pivotArea dataOnly="0" labelOnly="1" outline="0" fieldPosition="0">
        <references count="4">
          <reference field="5" count="2">
            <x v="116"/>
            <x v="117"/>
          </reference>
          <reference field="8" count="1" selected="0">
            <x v="124"/>
          </reference>
          <reference field="11" count="1" selected="0">
            <x v="3"/>
          </reference>
          <reference field="13" count="1" selected="0">
            <x v="29"/>
          </reference>
        </references>
      </pivotArea>
    </format>
    <format dxfId="3835">
      <pivotArea dataOnly="0" labelOnly="1" outline="0" fieldPosition="0">
        <references count="4">
          <reference field="5" count="1">
            <x v="117"/>
          </reference>
          <reference field="8" count="1" selected="0">
            <x v="124"/>
          </reference>
          <reference field="11" count="1" selected="0">
            <x v="3"/>
          </reference>
          <reference field="13" count="1" selected="0">
            <x v="218"/>
          </reference>
        </references>
      </pivotArea>
    </format>
    <format dxfId="3834">
      <pivotArea dataOnly="0" labelOnly="1" outline="0" fieldPosition="0">
        <references count="4">
          <reference field="5" count="1">
            <x v="58"/>
          </reference>
          <reference field="8" count="1" selected="0">
            <x v="124"/>
          </reference>
          <reference field="11" count="1" selected="0">
            <x v="3"/>
          </reference>
          <reference field="13" count="1" selected="0">
            <x v="242"/>
          </reference>
        </references>
      </pivotArea>
    </format>
    <format dxfId="3833">
      <pivotArea dataOnly="0" labelOnly="1" outline="0" fieldPosition="0">
        <references count="4">
          <reference field="5" count="1">
            <x v="58"/>
          </reference>
          <reference field="8" count="1" selected="0">
            <x v="124"/>
          </reference>
          <reference field="11" count="1" selected="0">
            <x v="3"/>
          </reference>
          <reference field="13" count="1" selected="0">
            <x v="243"/>
          </reference>
        </references>
      </pivotArea>
    </format>
    <format dxfId="3832">
      <pivotArea dataOnly="0" labelOnly="1" outline="0" fieldPosition="0">
        <references count="4">
          <reference field="5" count="1">
            <x v="117"/>
          </reference>
          <reference field="8" count="1" selected="0">
            <x v="124"/>
          </reference>
          <reference field="11" count="1" selected="0">
            <x v="3"/>
          </reference>
          <reference field="13" count="1" selected="0">
            <x v="314"/>
          </reference>
        </references>
      </pivotArea>
    </format>
    <format dxfId="3831">
      <pivotArea dataOnly="0" labelOnly="1" outline="0" fieldPosition="0">
        <references count="4">
          <reference field="5" count="1">
            <x v="58"/>
          </reference>
          <reference field="8" count="1" selected="0">
            <x v="124"/>
          </reference>
          <reference field="11" count="1" selected="0">
            <x v="5"/>
          </reference>
          <reference field="13" count="1" selected="0">
            <x v="77"/>
          </reference>
        </references>
      </pivotArea>
    </format>
    <format dxfId="3830">
      <pivotArea dataOnly="0" labelOnly="1" outline="0" fieldPosition="0">
        <references count="4">
          <reference field="5" count="1">
            <x v="60"/>
          </reference>
          <reference field="8" count="1" selected="0">
            <x v="125"/>
          </reference>
          <reference field="11" count="1" selected="0">
            <x v="1"/>
          </reference>
          <reference field="13" count="1" selected="0">
            <x v="161"/>
          </reference>
        </references>
      </pivotArea>
    </format>
    <format dxfId="3829">
      <pivotArea dataOnly="0" labelOnly="1" outline="0" fieldPosition="0">
        <references count="4">
          <reference field="5" count="2">
            <x v="60"/>
            <x v="64"/>
          </reference>
          <reference field="8" count="1" selected="0">
            <x v="125"/>
          </reference>
          <reference field="11" count="1" selected="0">
            <x v="1"/>
          </reference>
          <reference field="13" count="1" selected="0">
            <x v="169"/>
          </reference>
        </references>
      </pivotArea>
    </format>
    <format dxfId="3828">
      <pivotArea dataOnly="0" labelOnly="1" outline="0" fieldPosition="0">
        <references count="4">
          <reference field="5" count="2">
            <x v="60"/>
            <x v="120"/>
          </reference>
          <reference field="8" count="1" selected="0">
            <x v="125"/>
          </reference>
          <reference field="11" count="1" selected="0">
            <x v="1"/>
          </reference>
          <reference field="13" count="1" selected="0">
            <x v="286"/>
          </reference>
        </references>
      </pivotArea>
    </format>
    <format dxfId="3827">
      <pivotArea dataOnly="0" labelOnly="1" outline="0" fieldPosition="0">
        <references count="4">
          <reference field="5" count="1">
            <x v="60"/>
          </reference>
          <reference field="8" count="1" selected="0">
            <x v="125"/>
          </reference>
          <reference field="11" count="1" selected="0">
            <x v="2"/>
          </reference>
          <reference field="13" count="1" selected="0">
            <x v="55"/>
          </reference>
        </references>
      </pivotArea>
    </format>
    <format dxfId="3826">
      <pivotArea dataOnly="0" labelOnly="1" outline="0" fieldPosition="0">
        <references count="4">
          <reference field="5" count="1">
            <x v="60"/>
          </reference>
          <reference field="8" count="1" selected="0">
            <x v="125"/>
          </reference>
          <reference field="11" count="1" selected="0">
            <x v="2"/>
          </reference>
          <reference field="13" count="1" selected="0">
            <x v="71"/>
          </reference>
        </references>
      </pivotArea>
    </format>
    <format dxfId="3825">
      <pivotArea dataOnly="0" labelOnly="1" outline="0" fieldPosition="0">
        <references count="4">
          <reference field="5" count="1">
            <x v="60"/>
          </reference>
          <reference field="8" count="1" selected="0">
            <x v="125"/>
          </reference>
          <reference field="11" count="1" selected="0">
            <x v="2"/>
          </reference>
          <reference field="13" count="1" selected="0">
            <x v="173"/>
          </reference>
        </references>
      </pivotArea>
    </format>
    <format dxfId="3824">
      <pivotArea dataOnly="0" labelOnly="1" outline="0" fieldPosition="0">
        <references count="4">
          <reference field="5" count="1">
            <x v="60"/>
          </reference>
          <reference field="8" count="1" selected="0">
            <x v="125"/>
          </reference>
          <reference field="11" count="1" selected="0">
            <x v="2"/>
          </reference>
          <reference field="13" count="1" selected="0">
            <x v="279"/>
          </reference>
        </references>
      </pivotArea>
    </format>
    <format dxfId="3823">
      <pivotArea dataOnly="0" labelOnly="1" outline="0" fieldPosition="0">
        <references count="4">
          <reference field="5" count="1">
            <x v="60"/>
          </reference>
          <reference field="8" count="1" selected="0">
            <x v="125"/>
          </reference>
          <reference field="11" count="1" selected="0">
            <x v="3"/>
          </reference>
          <reference field="13" count="1" selected="0">
            <x v="7"/>
          </reference>
        </references>
      </pivotArea>
    </format>
    <format dxfId="3822">
      <pivotArea dataOnly="0" labelOnly="1" outline="0" fieldPosition="0">
        <references count="4">
          <reference field="5" count="1">
            <x v="60"/>
          </reference>
          <reference field="8" count="1" selected="0">
            <x v="125"/>
          </reference>
          <reference field="11" count="1" selected="0">
            <x v="3"/>
          </reference>
          <reference field="13" count="1" selected="0">
            <x v="17"/>
          </reference>
        </references>
      </pivotArea>
    </format>
    <format dxfId="3821">
      <pivotArea dataOnly="0" labelOnly="1" outline="0" fieldPosition="0">
        <references count="4">
          <reference field="5" count="2">
            <x v="116"/>
            <x v="117"/>
          </reference>
          <reference field="8" count="1" selected="0">
            <x v="125"/>
          </reference>
          <reference field="11" count="1" selected="0">
            <x v="3"/>
          </reference>
          <reference field="13" count="1" selected="0">
            <x v="29"/>
          </reference>
        </references>
      </pivotArea>
    </format>
    <format dxfId="3820">
      <pivotArea dataOnly="0" labelOnly="1" outline="0" fieldPosition="0">
        <references count="4">
          <reference field="5" count="1">
            <x v="60"/>
          </reference>
          <reference field="8" count="1" selected="0">
            <x v="125"/>
          </reference>
          <reference field="11" count="1" selected="0">
            <x v="3"/>
          </reference>
          <reference field="13" count="1" selected="0">
            <x v="32"/>
          </reference>
        </references>
      </pivotArea>
    </format>
    <format dxfId="3819">
      <pivotArea dataOnly="0" labelOnly="1" outline="0" fieldPosition="0">
        <references count="4">
          <reference field="5" count="1">
            <x v="60"/>
          </reference>
          <reference field="8" count="1" selected="0">
            <x v="125"/>
          </reference>
          <reference field="11" count="1" selected="0">
            <x v="3"/>
          </reference>
          <reference field="13" count="1" selected="0">
            <x v="36"/>
          </reference>
        </references>
      </pivotArea>
    </format>
    <format dxfId="3818">
      <pivotArea dataOnly="0" labelOnly="1" outline="0" fieldPosition="0">
        <references count="4">
          <reference field="5" count="1">
            <x v="60"/>
          </reference>
          <reference field="8" count="1" selected="0">
            <x v="125"/>
          </reference>
          <reference field="11" count="1" selected="0">
            <x v="3"/>
          </reference>
          <reference field="13" count="1" selected="0">
            <x v="57"/>
          </reference>
        </references>
      </pivotArea>
    </format>
    <format dxfId="3817">
      <pivotArea dataOnly="0" labelOnly="1" outline="0" fieldPosition="0">
        <references count="4">
          <reference field="5" count="1">
            <x v="60"/>
          </reference>
          <reference field="8" count="1" selected="0">
            <x v="125"/>
          </reference>
          <reference field="11" count="1" selected="0">
            <x v="3"/>
          </reference>
          <reference field="13" count="1" selected="0">
            <x v="69"/>
          </reference>
        </references>
      </pivotArea>
    </format>
    <format dxfId="3816">
      <pivotArea dataOnly="0" labelOnly="1" outline="0" fieldPosition="0">
        <references count="4">
          <reference field="5" count="3">
            <x v="60"/>
            <x v="64"/>
            <x v="95"/>
          </reference>
          <reference field="8" count="1" selected="0">
            <x v="125"/>
          </reference>
          <reference field="11" count="1" selected="0">
            <x v="3"/>
          </reference>
          <reference field="13" count="1" selected="0">
            <x v="78"/>
          </reference>
        </references>
      </pivotArea>
    </format>
    <format dxfId="3815">
      <pivotArea dataOnly="0" labelOnly="1" outline="0" fieldPosition="0">
        <references count="4">
          <reference field="5" count="1">
            <x v="60"/>
          </reference>
          <reference field="8" count="1" selected="0">
            <x v="125"/>
          </reference>
          <reference field="11" count="1" selected="0">
            <x v="3"/>
          </reference>
          <reference field="13" count="1" selected="0">
            <x v="83"/>
          </reference>
        </references>
      </pivotArea>
    </format>
    <format dxfId="3814">
      <pivotArea dataOnly="0" labelOnly="1" outline="0" fieldPosition="0">
        <references count="4">
          <reference field="5" count="1">
            <x v="60"/>
          </reference>
          <reference field="8" count="1" selected="0">
            <x v="125"/>
          </reference>
          <reference field="11" count="1" selected="0">
            <x v="3"/>
          </reference>
          <reference field="13" count="1" selected="0">
            <x v="89"/>
          </reference>
        </references>
      </pivotArea>
    </format>
    <format dxfId="3813">
      <pivotArea dataOnly="0" labelOnly="1" outline="0" fieldPosition="0">
        <references count="4">
          <reference field="5" count="1">
            <x v="60"/>
          </reference>
          <reference field="8" count="1" selected="0">
            <x v="125"/>
          </reference>
          <reference field="11" count="1" selected="0">
            <x v="3"/>
          </reference>
          <reference field="13" count="1" selected="0">
            <x v="134"/>
          </reference>
        </references>
      </pivotArea>
    </format>
    <format dxfId="3812">
      <pivotArea dataOnly="0" labelOnly="1" outline="0" fieldPosition="0">
        <references count="4">
          <reference field="5" count="1">
            <x v="117"/>
          </reference>
          <reference field="8" count="1" selected="0">
            <x v="125"/>
          </reference>
          <reference field="11" count="1" selected="0">
            <x v="3"/>
          </reference>
          <reference field="13" count="1" selected="0">
            <x v="218"/>
          </reference>
        </references>
      </pivotArea>
    </format>
    <format dxfId="3811">
      <pivotArea dataOnly="0" labelOnly="1" outline="0" fieldPosition="0">
        <references count="4">
          <reference field="5" count="1">
            <x v="60"/>
          </reference>
          <reference field="8" count="1" selected="0">
            <x v="125"/>
          </reference>
          <reference field="11" count="1" selected="0">
            <x v="3"/>
          </reference>
          <reference field="13" count="1" selected="0">
            <x v="240"/>
          </reference>
        </references>
      </pivotArea>
    </format>
    <format dxfId="3810">
      <pivotArea dataOnly="0" labelOnly="1" outline="0" fieldPosition="0">
        <references count="4">
          <reference field="5" count="1">
            <x v="60"/>
          </reference>
          <reference field="8" count="1" selected="0">
            <x v="125"/>
          </reference>
          <reference field="11" count="1" selected="0">
            <x v="3"/>
          </reference>
          <reference field="13" count="1" selected="0">
            <x v="242"/>
          </reference>
        </references>
      </pivotArea>
    </format>
    <format dxfId="3809">
      <pivotArea dataOnly="0" labelOnly="1" outline="0" fieldPosition="0">
        <references count="4">
          <reference field="5" count="1">
            <x v="60"/>
          </reference>
          <reference field="8" count="1" selected="0">
            <x v="125"/>
          </reference>
          <reference field="11" count="1" selected="0">
            <x v="3"/>
          </reference>
          <reference field="13" count="1" selected="0">
            <x v="243"/>
          </reference>
        </references>
      </pivotArea>
    </format>
    <format dxfId="3808">
      <pivotArea dataOnly="0" labelOnly="1" outline="0" fieldPosition="0">
        <references count="4">
          <reference field="5" count="1">
            <x v="60"/>
          </reference>
          <reference field="8" count="1" selected="0">
            <x v="125"/>
          </reference>
          <reference field="11" count="1" selected="0">
            <x v="3"/>
          </reference>
          <reference field="13" count="1" selected="0">
            <x v="251"/>
          </reference>
        </references>
      </pivotArea>
    </format>
    <format dxfId="3807">
      <pivotArea dataOnly="0" labelOnly="1" outline="0" fieldPosition="0">
        <references count="4">
          <reference field="5" count="1">
            <x v="60"/>
          </reference>
          <reference field="8" count="1" selected="0">
            <x v="125"/>
          </reference>
          <reference field="11" count="1" selected="0">
            <x v="3"/>
          </reference>
          <reference field="13" count="1" selected="0">
            <x v="287"/>
          </reference>
        </references>
      </pivotArea>
    </format>
    <format dxfId="3806">
      <pivotArea dataOnly="0" labelOnly="1" outline="0" fieldPosition="0">
        <references count="4">
          <reference field="5" count="1">
            <x v="60"/>
          </reference>
          <reference field="8" count="1" selected="0">
            <x v="125"/>
          </reference>
          <reference field="11" count="1" selected="0">
            <x v="3"/>
          </reference>
          <reference field="13" count="1" selected="0">
            <x v="305"/>
          </reference>
        </references>
      </pivotArea>
    </format>
    <format dxfId="3805">
      <pivotArea dataOnly="0" labelOnly="1" outline="0" fieldPosition="0">
        <references count="4">
          <reference field="5" count="1">
            <x v="117"/>
          </reference>
          <reference field="8" count="1" selected="0">
            <x v="125"/>
          </reference>
          <reference field="11" count="1" selected="0">
            <x v="3"/>
          </reference>
          <reference field="13" count="1" selected="0">
            <x v="314"/>
          </reference>
        </references>
      </pivotArea>
    </format>
    <format dxfId="3804">
      <pivotArea dataOnly="0" labelOnly="1" outline="0" fieldPosition="0">
        <references count="4">
          <reference field="5" count="1">
            <x v="60"/>
          </reference>
          <reference field="8" count="1" selected="0">
            <x v="125"/>
          </reference>
          <reference field="11" count="1" selected="0">
            <x v="4"/>
          </reference>
          <reference field="13" count="1" selected="0">
            <x v="133"/>
          </reference>
        </references>
      </pivotArea>
    </format>
    <format dxfId="3803">
      <pivotArea dataOnly="0" labelOnly="1" outline="0" fieldPosition="0">
        <references count="4">
          <reference field="5" count="1">
            <x v="60"/>
          </reference>
          <reference field="8" count="1" selected="0">
            <x v="125"/>
          </reference>
          <reference field="11" count="1" selected="0">
            <x v="4"/>
          </reference>
          <reference field="13" count="1" selected="0">
            <x v="150"/>
          </reference>
        </references>
      </pivotArea>
    </format>
    <format dxfId="3802">
      <pivotArea dataOnly="0" labelOnly="1" outline="0" fieldPosition="0">
        <references count="4">
          <reference field="5" count="1">
            <x v="60"/>
          </reference>
          <reference field="8" count="1" selected="0">
            <x v="125"/>
          </reference>
          <reference field="11" count="1" selected="0">
            <x v="4"/>
          </reference>
          <reference field="13" count="1" selected="0">
            <x v="158"/>
          </reference>
        </references>
      </pivotArea>
    </format>
    <format dxfId="3801">
      <pivotArea dataOnly="0" labelOnly="1" outline="0" fieldPosition="0">
        <references count="4">
          <reference field="5" count="1">
            <x v="60"/>
          </reference>
          <reference field="8" count="1" selected="0">
            <x v="125"/>
          </reference>
          <reference field="11" count="1" selected="0">
            <x v="4"/>
          </reference>
          <reference field="13" count="1" selected="0">
            <x v="280"/>
          </reference>
        </references>
      </pivotArea>
    </format>
    <format dxfId="3800">
      <pivotArea dataOnly="0" labelOnly="1" outline="0" fieldPosition="0">
        <references count="4">
          <reference field="5" count="3">
            <x v="58"/>
            <x v="60"/>
            <x v="116"/>
          </reference>
          <reference field="8" count="1" selected="0">
            <x v="125"/>
          </reference>
          <reference field="11" count="1" selected="0">
            <x v="5"/>
          </reference>
          <reference field="13" count="1" selected="0">
            <x v="77"/>
          </reference>
        </references>
      </pivotArea>
    </format>
    <format dxfId="3799">
      <pivotArea dataOnly="0" labelOnly="1" outline="0" fieldPosition="0">
        <references count="4">
          <reference field="5" count="2">
            <x v="44"/>
            <x v="116"/>
          </reference>
          <reference field="8" count="1" selected="0">
            <x v="125"/>
          </reference>
          <reference field="11" count="1" selected="0">
            <x v="5"/>
          </reference>
          <reference field="13" count="1" selected="0">
            <x v="81"/>
          </reference>
        </references>
      </pivotArea>
    </format>
    <format dxfId="3798">
      <pivotArea dataOnly="0" labelOnly="1" outline="0" fieldPosition="0">
        <references count="4">
          <reference field="5" count="1">
            <x v="60"/>
          </reference>
          <reference field="8" count="1" selected="0">
            <x v="125"/>
          </reference>
          <reference field="11" count="1" selected="0">
            <x v="5"/>
          </reference>
          <reference field="13" count="1" selected="0">
            <x v="96"/>
          </reference>
        </references>
      </pivotArea>
    </format>
    <format dxfId="3797">
      <pivotArea dataOnly="0" labelOnly="1" outline="0" fieldPosition="0">
        <references count="4">
          <reference field="5" count="1">
            <x v="20"/>
          </reference>
          <reference field="8" count="1" selected="0">
            <x v="125"/>
          </reference>
          <reference field="11" count="1" selected="0">
            <x v="5"/>
          </reference>
          <reference field="13" count="1" selected="0">
            <x v="255"/>
          </reference>
        </references>
      </pivotArea>
    </format>
    <format dxfId="3796">
      <pivotArea dataOnly="0" labelOnly="1" outline="0" fieldPosition="0">
        <references count="4">
          <reference field="5" count="1">
            <x v="60"/>
          </reference>
          <reference field="8" count="1" selected="0">
            <x v="125"/>
          </reference>
          <reference field="11" count="1" selected="0">
            <x v="7"/>
          </reference>
          <reference field="13" count="1" selected="0">
            <x v="72"/>
          </reference>
        </references>
      </pivotArea>
    </format>
    <format dxfId="3795">
      <pivotArea dataOnly="0" labelOnly="1" outline="0" fieldPosition="0">
        <references count="4">
          <reference field="5" count="1">
            <x v="64"/>
          </reference>
          <reference field="8" count="1" selected="0">
            <x v="125"/>
          </reference>
          <reference field="11" count="1" selected="0">
            <x v="7"/>
          </reference>
          <reference field="13" count="1" selected="0">
            <x v="129"/>
          </reference>
        </references>
      </pivotArea>
    </format>
    <format dxfId="3794">
      <pivotArea dataOnly="0" labelOnly="1" outline="0" fieldPosition="0">
        <references count="4">
          <reference field="5" count="1">
            <x v="64"/>
          </reference>
          <reference field="8" count="1" selected="0">
            <x v="126"/>
          </reference>
          <reference field="11" count="1" selected="0">
            <x v="1"/>
          </reference>
          <reference field="13" count="1" selected="0">
            <x v="171"/>
          </reference>
        </references>
      </pivotArea>
    </format>
    <format dxfId="3793">
      <pivotArea dataOnly="0" labelOnly="1" outline="0" fieldPosition="0">
        <references count="4">
          <reference field="5" count="2">
            <x v="116"/>
            <x v="117"/>
          </reference>
          <reference field="8" count="1" selected="0">
            <x v="126"/>
          </reference>
          <reference field="11" count="1" selected="0">
            <x v="3"/>
          </reference>
          <reference field="13" count="1" selected="0">
            <x v="29"/>
          </reference>
        </references>
      </pivotArea>
    </format>
    <format dxfId="3792">
      <pivotArea dataOnly="0" labelOnly="1" outline="0" fieldPosition="0">
        <references count="4">
          <reference field="5" count="1">
            <x v="117"/>
          </reference>
          <reference field="8" count="1" selected="0">
            <x v="126"/>
          </reference>
          <reference field="11" count="1" selected="0">
            <x v="3"/>
          </reference>
          <reference field="13" count="1" selected="0">
            <x v="218"/>
          </reference>
        </references>
      </pivotArea>
    </format>
    <format dxfId="3791">
      <pivotArea dataOnly="0" labelOnly="1" outline="0" fieldPosition="0">
        <references count="4">
          <reference field="5" count="1">
            <x v="64"/>
          </reference>
          <reference field="8" count="1" selected="0">
            <x v="126"/>
          </reference>
          <reference field="11" count="1" selected="0">
            <x v="3"/>
          </reference>
          <reference field="13" count="1" selected="0">
            <x v="242"/>
          </reference>
        </references>
      </pivotArea>
    </format>
    <format dxfId="3790">
      <pivotArea dataOnly="0" labelOnly="1" outline="0" fieldPosition="0">
        <references count="4">
          <reference field="5" count="1">
            <x v="101"/>
          </reference>
          <reference field="8" count="1" selected="0">
            <x v="126"/>
          </reference>
          <reference field="11" count="1" selected="0">
            <x v="3"/>
          </reference>
          <reference field="13" count="1" selected="0">
            <x v="305"/>
          </reference>
        </references>
      </pivotArea>
    </format>
    <format dxfId="3789">
      <pivotArea dataOnly="0" labelOnly="1" outline="0" fieldPosition="0">
        <references count="4">
          <reference field="5" count="1">
            <x v="117"/>
          </reference>
          <reference field="8" count="1" selected="0">
            <x v="126"/>
          </reference>
          <reference field="11" count="1" selected="0">
            <x v="3"/>
          </reference>
          <reference field="13" count="1" selected="0">
            <x v="314"/>
          </reference>
        </references>
      </pivotArea>
    </format>
    <format dxfId="3788">
      <pivotArea dataOnly="0" labelOnly="1" outline="0" fieldPosition="0">
        <references count="4">
          <reference field="5" count="1">
            <x v="116"/>
          </reference>
          <reference field="8" count="1" selected="0">
            <x v="126"/>
          </reference>
          <reference field="11" count="1" selected="0">
            <x v="5"/>
          </reference>
          <reference field="13" count="1" selected="0">
            <x v="81"/>
          </reference>
        </references>
      </pivotArea>
    </format>
    <format dxfId="3787">
      <pivotArea dataOnly="0" labelOnly="1" outline="0" fieldPosition="0">
        <references count="4">
          <reference field="5" count="1">
            <x v="20"/>
          </reference>
          <reference field="8" count="1" selected="0">
            <x v="126"/>
          </reference>
          <reference field="11" count="1" selected="0">
            <x v="5"/>
          </reference>
          <reference field="13" count="1" selected="0">
            <x v="255"/>
          </reference>
        </references>
      </pivotArea>
    </format>
    <format dxfId="3786">
      <pivotArea dataOnly="0" labelOnly="1" outline="0" fieldPosition="0">
        <references count="4">
          <reference field="5" count="1">
            <x v="64"/>
          </reference>
          <reference field="8" count="1" selected="0">
            <x v="126"/>
          </reference>
          <reference field="11" count="1" selected="0">
            <x v="7"/>
          </reference>
          <reference field="13" count="1" selected="0">
            <x v="8"/>
          </reference>
        </references>
      </pivotArea>
    </format>
    <format dxfId="3785">
      <pivotArea dataOnly="0" labelOnly="1" outline="0" fieldPosition="0">
        <references count="4">
          <reference field="5" count="1">
            <x v="64"/>
          </reference>
          <reference field="8" count="1" selected="0">
            <x v="126"/>
          </reference>
          <reference field="11" count="1" selected="0">
            <x v="7"/>
          </reference>
          <reference field="13" count="1" selected="0">
            <x v="129"/>
          </reference>
        </references>
      </pivotArea>
    </format>
    <format dxfId="3784">
      <pivotArea dataOnly="0" labelOnly="1" outline="0" fieldPosition="0">
        <references count="4">
          <reference field="5" count="1">
            <x v="64"/>
          </reference>
          <reference field="8" count="1" selected="0">
            <x v="126"/>
          </reference>
          <reference field="11" count="1" selected="0">
            <x v="7"/>
          </reference>
          <reference field="13" count="1" selected="0">
            <x v="308"/>
          </reference>
        </references>
      </pivotArea>
    </format>
    <format dxfId="3783">
      <pivotArea dataOnly="0" labelOnly="1" outline="0" fieldPosition="0">
        <references count="4">
          <reference field="5" count="2">
            <x v="32"/>
            <x v="120"/>
          </reference>
          <reference field="8" count="1" selected="0">
            <x v="127"/>
          </reference>
          <reference field="11" count="1" selected="0">
            <x v="1"/>
          </reference>
          <reference field="13" count="1" selected="0">
            <x v="286"/>
          </reference>
        </references>
      </pivotArea>
    </format>
    <format dxfId="3782">
      <pivotArea dataOnly="0" labelOnly="1" outline="0" fieldPosition="0">
        <references count="4">
          <reference field="5" count="1">
            <x v="116"/>
          </reference>
          <reference field="8" count="1" selected="0">
            <x v="128"/>
          </reference>
          <reference field="11" count="1" selected="0">
            <x v="0"/>
          </reference>
          <reference field="13" count="1" selected="0">
            <x v="107"/>
          </reference>
        </references>
      </pivotArea>
    </format>
    <format dxfId="3781">
      <pivotArea dataOnly="0" labelOnly="1" outline="0" fieldPosition="0">
        <references count="4">
          <reference field="5" count="1">
            <x v="60"/>
          </reference>
          <reference field="8" count="1" selected="0">
            <x v="128"/>
          </reference>
          <reference field="11" count="1" selected="0">
            <x v="2"/>
          </reference>
          <reference field="13" count="1" selected="0">
            <x v="173"/>
          </reference>
        </references>
      </pivotArea>
    </format>
    <format dxfId="3780">
      <pivotArea dataOnly="0" labelOnly="1" outline="0" fieldPosition="0">
        <references count="4">
          <reference field="5" count="1">
            <x v="60"/>
          </reference>
          <reference field="8" count="1" selected="0">
            <x v="128"/>
          </reference>
          <reference field="11" count="1" selected="0">
            <x v="3"/>
          </reference>
          <reference field="13" count="1" selected="0">
            <x v="4"/>
          </reference>
        </references>
      </pivotArea>
    </format>
    <format dxfId="3779">
      <pivotArea dataOnly="0" labelOnly="1" outline="0" fieldPosition="0">
        <references count="4">
          <reference field="5" count="1">
            <x v="60"/>
          </reference>
          <reference field="8" count="1" selected="0">
            <x v="128"/>
          </reference>
          <reference field="11" count="1" selected="0">
            <x v="3"/>
          </reference>
          <reference field="13" count="1" selected="0">
            <x v="7"/>
          </reference>
        </references>
      </pivotArea>
    </format>
    <format dxfId="3778">
      <pivotArea dataOnly="0" labelOnly="1" outline="0" fieldPosition="0">
        <references count="4">
          <reference field="5" count="1">
            <x v="60"/>
          </reference>
          <reference field="8" count="1" selected="0">
            <x v="128"/>
          </reference>
          <reference field="11" count="1" selected="0">
            <x v="3"/>
          </reference>
          <reference field="13" count="1" selected="0">
            <x v="32"/>
          </reference>
        </references>
      </pivotArea>
    </format>
    <format dxfId="3777">
      <pivotArea dataOnly="0" labelOnly="1" outline="0" fieldPosition="0">
        <references count="4">
          <reference field="5" count="1">
            <x v="60"/>
          </reference>
          <reference field="8" count="1" selected="0">
            <x v="128"/>
          </reference>
          <reference field="11" count="1" selected="0">
            <x v="3"/>
          </reference>
          <reference field="13" count="1" selected="0">
            <x v="69"/>
          </reference>
        </references>
      </pivotArea>
    </format>
    <format dxfId="3776">
      <pivotArea dataOnly="0" labelOnly="1" outline="0" fieldPosition="0">
        <references count="4">
          <reference field="5" count="1">
            <x v="60"/>
          </reference>
          <reference field="8" count="1" selected="0">
            <x v="128"/>
          </reference>
          <reference field="11" count="1" selected="0">
            <x v="3"/>
          </reference>
          <reference field="13" count="1" selected="0">
            <x v="89"/>
          </reference>
        </references>
      </pivotArea>
    </format>
    <format dxfId="3775">
      <pivotArea dataOnly="0" labelOnly="1" outline="0" fieldPosition="0">
        <references count="4">
          <reference field="5" count="1">
            <x v="60"/>
          </reference>
          <reference field="8" count="1" selected="0">
            <x v="128"/>
          </reference>
          <reference field="11" count="1" selected="0">
            <x v="3"/>
          </reference>
          <reference field="13" count="1" selected="0">
            <x v="134"/>
          </reference>
        </references>
      </pivotArea>
    </format>
    <format dxfId="3774">
      <pivotArea dataOnly="0" labelOnly="1" outline="0" fieldPosition="0">
        <references count="4">
          <reference field="5" count="1">
            <x v="60"/>
          </reference>
          <reference field="8" count="1" selected="0">
            <x v="128"/>
          </reference>
          <reference field="11" count="1" selected="0">
            <x v="3"/>
          </reference>
          <reference field="13" count="1" selected="0">
            <x v="240"/>
          </reference>
        </references>
      </pivotArea>
    </format>
    <format dxfId="3773">
      <pivotArea dataOnly="0" labelOnly="1" outline="0" fieldPosition="0">
        <references count="4">
          <reference field="5" count="2">
            <x v="32"/>
            <x v="60"/>
          </reference>
          <reference field="8" count="1" selected="0">
            <x v="128"/>
          </reference>
          <reference field="11" count="1" selected="0">
            <x v="3"/>
          </reference>
          <reference field="13" count="1" selected="0">
            <x v="242"/>
          </reference>
        </references>
      </pivotArea>
    </format>
    <format dxfId="3772">
      <pivotArea dataOnly="0" labelOnly="1" outline="0" fieldPosition="0">
        <references count="4">
          <reference field="5" count="1">
            <x v="60"/>
          </reference>
          <reference field="8" count="1" selected="0">
            <x v="128"/>
          </reference>
          <reference field="11" count="1" selected="0">
            <x v="3"/>
          </reference>
          <reference field="13" count="1" selected="0">
            <x v="243"/>
          </reference>
        </references>
      </pivotArea>
    </format>
    <format dxfId="3771">
      <pivotArea dataOnly="0" labelOnly="1" outline="0" fieldPosition="0">
        <references count="4">
          <reference field="5" count="1">
            <x v="60"/>
          </reference>
          <reference field="8" count="1" selected="0">
            <x v="128"/>
          </reference>
          <reference field="11" count="1" selected="0">
            <x v="3"/>
          </reference>
          <reference field="13" count="1" selected="0">
            <x v="251"/>
          </reference>
        </references>
      </pivotArea>
    </format>
    <format dxfId="3770">
      <pivotArea dataOnly="0" labelOnly="1" outline="0" fieldPosition="0">
        <references count="4">
          <reference field="5" count="1">
            <x v="60"/>
          </reference>
          <reference field="8" count="1" selected="0">
            <x v="128"/>
          </reference>
          <reference field="11" count="1" selected="0">
            <x v="3"/>
          </reference>
          <reference field="13" count="1" selected="0">
            <x v="287"/>
          </reference>
        </references>
      </pivotArea>
    </format>
    <format dxfId="3769">
      <pivotArea dataOnly="0" labelOnly="1" outline="0" fieldPosition="0">
        <references count="4">
          <reference field="5" count="1">
            <x v="60"/>
          </reference>
          <reference field="8" count="1" selected="0">
            <x v="128"/>
          </reference>
          <reference field="11" count="1" selected="0">
            <x v="3"/>
          </reference>
          <reference field="13" count="1" selected="0">
            <x v="314"/>
          </reference>
        </references>
      </pivotArea>
    </format>
    <format dxfId="3768">
      <pivotArea dataOnly="0" labelOnly="1" outline="0" fieldPosition="0">
        <references count="4">
          <reference field="5" count="1">
            <x v="20"/>
          </reference>
          <reference field="8" count="1" selected="0">
            <x v="128"/>
          </reference>
          <reference field="11" count="1" selected="0">
            <x v="5"/>
          </reference>
          <reference field="13" count="1" selected="0">
            <x v="77"/>
          </reference>
        </references>
      </pivotArea>
    </format>
    <format dxfId="3767">
      <pivotArea dataOnly="0" labelOnly="1" outline="0" fieldPosition="0">
        <references count="4">
          <reference field="5" count="1">
            <x v="20"/>
          </reference>
          <reference field="8" count="1" selected="0">
            <x v="128"/>
          </reference>
          <reference field="11" count="1" selected="0">
            <x v="5"/>
          </reference>
          <reference field="13" count="1" selected="0">
            <x v="81"/>
          </reference>
        </references>
      </pivotArea>
    </format>
    <format dxfId="3766">
      <pivotArea dataOnly="0" labelOnly="1" outline="0" fieldPosition="0">
        <references count="4">
          <reference field="5" count="1">
            <x v="60"/>
          </reference>
          <reference field="8" count="1" selected="0">
            <x v="128"/>
          </reference>
          <reference field="11" count="1" selected="0">
            <x v="5"/>
          </reference>
          <reference field="13" count="1" selected="0">
            <x v="96"/>
          </reference>
        </references>
      </pivotArea>
    </format>
    <format dxfId="3765">
      <pivotArea dataOnly="0" labelOnly="1" outline="0" fieldPosition="0">
        <references count="4">
          <reference field="5" count="1">
            <x v="110"/>
          </reference>
          <reference field="8" count="1" selected="0">
            <x v="129"/>
          </reference>
          <reference field="11" count="1" selected="0">
            <x v="3"/>
          </reference>
          <reference field="13" count="1" selected="0">
            <x v="7"/>
          </reference>
        </references>
      </pivotArea>
    </format>
    <format dxfId="3764">
      <pivotArea dataOnly="0" labelOnly="1" outline="0" fieldPosition="0">
        <references count="4">
          <reference field="5" count="2">
            <x v="116"/>
            <x v="117"/>
          </reference>
          <reference field="8" count="1" selected="0">
            <x v="129"/>
          </reference>
          <reference field="11" count="1" selected="0">
            <x v="3"/>
          </reference>
          <reference field="13" count="1" selected="0">
            <x v="29"/>
          </reference>
        </references>
      </pivotArea>
    </format>
    <format dxfId="3763">
      <pivotArea dataOnly="0" labelOnly="1" outline="0" fieldPosition="0">
        <references count="4">
          <reference field="5" count="1">
            <x v="110"/>
          </reference>
          <reference field="8" count="1" selected="0">
            <x v="129"/>
          </reference>
          <reference field="11" count="1" selected="0">
            <x v="3"/>
          </reference>
          <reference field="13" count="1" selected="0">
            <x v="54"/>
          </reference>
        </references>
      </pivotArea>
    </format>
    <format dxfId="3762">
      <pivotArea dataOnly="0" labelOnly="1" outline="0" fieldPosition="0">
        <references count="4">
          <reference field="5" count="1">
            <x v="110"/>
          </reference>
          <reference field="8" count="1" selected="0">
            <x v="129"/>
          </reference>
          <reference field="11" count="1" selected="0">
            <x v="3"/>
          </reference>
          <reference field="13" count="1" selected="0">
            <x v="57"/>
          </reference>
        </references>
      </pivotArea>
    </format>
    <format dxfId="3761">
      <pivotArea dataOnly="0" labelOnly="1" outline="0" fieldPosition="0">
        <references count="4">
          <reference field="5" count="1">
            <x v="117"/>
          </reference>
          <reference field="8" count="1" selected="0">
            <x v="129"/>
          </reference>
          <reference field="11" count="1" selected="0">
            <x v="3"/>
          </reference>
          <reference field="13" count="1" selected="0">
            <x v="218"/>
          </reference>
        </references>
      </pivotArea>
    </format>
    <format dxfId="3760">
      <pivotArea dataOnly="0" labelOnly="1" outline="0" fieldPosition="0">
        <references count="4">
          <reference field="5" count="2">
            <x v="110"/>
            <x v="117"/>
          </reference>
          <reference field="8" count="1" selected="0">
            <x v="129"/>
          </reference>
          <reference field="11" count="1" selected="0">
            <x v="3"/>
          </reference>
          <reference field="13" count="1" selected="0">
            <x v="287"/>
          </reference>
        </references>
      </pivotArea>
    </format>
    <format dxfId="3759">
      <pivotArea dataOnly="0" labelOnly="1" outline="0" fieldPosition="0">
        <references count="4">
          <reference field="5" count="1">
            <x v="117"/>
          </reference>
          <reference field="8" count="1" selected="0">
            <x v="129"/>
          </reference>
          <reference field="11" count="1" selected="0">
            <x v="3"/>
          </reference>
          <reference field="13" count="1" selected="0">
            <x v="314"/>
          </reference>
        </references>
      </pivotArea>
    </format>
    <format dxfId="3758">
      <pivotArea dataOnly="0" labelOnly="1" outline="0" fieldPosition="0">
        <references count="4">
          <reference field="5" count="1">
            <x v="47"/>
          </reference>
          <reference field="8" count="1" selected="0">
            <x v="130"/>
          </reference>
          <reference field="11" count="1" selected="0">
            <x v="0"/>
          </reference>
          <reference field="13" count="1" selected="0">
            <x v="91"/>
          </reference>
        </references>
      </pivotArea>
    </format>
    <format dxfId="3757">
      <pivotArea dataOnly="0" labelOnly="1" outline="0" fieldPosition="0">
        <references count="4">
          <reference field="5" count="1">
            <x v="47"/>
          </reference>
          <reference field="8" count="1" selected="0">
            <x v="130"/>
          </reference>
          <reference field="11" count="1" selected="0">
            <x v="0"/>
          </reference>
          <reference field="13" count="1" selected="0">
            <x v="98"/>
          </reference>
        </references>
      </pivotArea>
    </format>
    <format dxfId="3756">
      <pivotArea dataOnly="0" labelOnly="1" outline="0" fieldPosition="0">
        <references count="4">
          <reference field="5" count="1">
            <x v="47"/>
          </reference>
          <reference field="8" count="1" selected="0">
            <x v="130"/>
          </reference>
          <reference field="11" count="1" selected="0">
            <x v="0"/>
          </reference>
          <reference field="13" count="1" selected="0">
            <x v="174"/>
          </reference>
        </references>
      </pivotArea>
    </format>
    <format dxfId="3755">
      <pivotArea dataOnly="0" labelOnly="1" outline="0" fieldPosition="0">
        <references count="4">
          <reference field="5" count="1">
            <x v="117"/>
          </reference>
          <reference field="8" count="1" selected="0">
            <x v="130"/>
          </reference>
          <reference field="11" count="1" selected="0">
            <x v="3"/>
          </reference>
          <reference field="13" count="1" selected="0">
            <x v="29"/>
          </reference>
        </references>
      </pivotArea>
    </format>
    <format dxfId="3754">
      <pivotArea dataOnly="0" labelOnly="1" outline="0" fieldPosition="0">
        <references count="4">
          <reference field="5" count="1">
            <x v="117"/>
          </reference>
          <reference field="8" count="1" selected="0">
            <x v="130"/>
          </reference>
          <reference field="11" count="1" selected="0">
            <x v="3"/>
          </reference>
          <reference field="13" count="1" selected="0">
            <x v="218"/>
          </reference>
        </references>
      </pivotArea>
    </format>
    <format dxfId="3753">
      <pivotArea dataOnly="0" labelOnly="1" outline="0" fieldPosition="0">
        <references count="4">
          <reference field="5" count="1">
            <x v="117"/>
          </reference>
          <reference field="8" count="1" selected="0">
            <x v="130"/>
          </reference>
          <reference field="11" count="1" selected="0">
            <x v="3"/>
          </reference>
          <reference field="13" count="1" selected="0">
            <x v="314"/>
          </reference>
        </references>
      </pivotArea>
    </format>
    <format dxfId="3752">
      <pivotArea dataOnly="0" labelOnly="1" outline="0" fieldPosition="0">
        <references count="4">
          <reference field="5" count="2">
            <x v="20"/>
            <x v="116"/>
          </reference>
          <reference field="8" count="1" selected="0">
            <x v="130"/>
          </reference>
          <reference field="11" count="1" selected="0">
            <x v="5"/>
          </reference>
          <reference field="13" count="1" selected="0">
            <x v="77"/>
          </reference>
        </references>
      </pivotArea>
    </format>
    <format dxfId="3751">
      <pivotArea dataOnly="0" labelOnly="1" outline="0" fieldPosition="0">
        <references count="4">
          <reference field="5" count="1">
            <x v="116"/>
          </reference>
          <reference field="8" count="1" selected="0">
            <x v="130"/>
          </reference>
          <reference field="11" count="1" selected="0">
            <x v="5"/>
          </reference>
          <reference field="13" count="1" selected="0">
            <x v="81"/>
          </reference>
        </references>
      </pivotArea>
    </format>
    <format dxfId="3750">
      <pivotArea dataOnly="0" labelOnly="1" outline="0" fieldPosition="0">
        <references count="4">
          <reference field="5" count="2">
            <x v="76"/>
            <x v="117"/>
          </reference>
          <reference field="8" count="1" selected="0">
            <x v="131"/>
          </reference>
          <reference field="11" count="1" selected="0">
            <x v="3"/>
          </reference>
          <reference field="13" count="1" selected="0">
            <x v="29"/>
          </reference>
        </references>
      </pivotArea>
    </format>
    <format dxfId="3749">
      <pivotArea dataOnly="0" labelOnly="1" outline="0" fieldPosition="0">
        <references count="4">
          <reference field="5" count="1">
            <x v="117"/>
          </reference>
          <reference field="8" count="1" selected="0">
            <x v="131"/>
          </reference>
          <reference field="11" count="1" selected="0">
            <x v="3"/>
          </reference>
          <reference field="13" count="1" selected="0">
            <x v="218"/>
          </reference>
        </references>
      </pivotArea>
    </format>
    <format dxfId="3748">
      <pivotArea dataOnly="0" labelOnly="1" outline="0" fieldPosition="0">
        <references count="4">
          <reference field="5" count="1">
            <x v="117"/>
          </reference>
          <reference field="8" count="1" selected="0">
            <x v="131"/>
          </reference>
          <reference field="11" count="1" selected="0">
            <x v="3"/>
          </reference>
          <reference field="13" count="1" selected="0">
            <x v="314"/>
          </reference>
        </references>
      </pivotArea>
    </format>
    <format dxfId="3747">
      <pivotArea dataOnly="0" labelOnly="1" outline="0" fieldPosition="0">
        <references count="4">
          <reference field="5" count="1">
            <x v="76"/>
          </reference>
          <reference field="8" count="1" selected="0">
            <x v="131"/>
          </reference>
          <reference field="11" count="1" selected="0">
            <x v="5"/>
          </reference>
          <reference field="13" count="1" selected="0">
            <x v="77"/>
          </reference>
        </references>
      </pivotArea>
    </format>
    <format dxfId="3746">
      <pivotArea dataOnly="0" labelOnly="1" outline="0" fieldPosition="0">
        <references count="4">
          <reference field="5" count="1">
            <x v="64"/>
          </reference>
          <reference field="8" count="1" selected="0">
            <x v="132"/>
          </reference>
          <reference field="11" count="1" selected="0">
            <x v="1"/>
          </reference>
          <reference field="13" count="1" selected="0">
            <x v="169"/>
          </reference>
        </references>
      </pivotArea>
    </format>
    <format dxfId="3745">
      <pivotArea dataOnly="0" labelOnly="1" outline="0" fieldPosition="0">
        <references count="4">
          <reference field="5" count="1">
            <x v="64"/>
          </reference>
          <reference field="8" count="1" selected="0">
            <x v="132"/>
          </reference>
          <reference field="11" count="1" selected="0">
            <x v="7"/>
          </reference>
          <reference field="13" count="1" selected="0">
            <x v="129"/>
          </reference>
        </references>
      </pivotArea>
    </format>
    <format dxfId="3744">
      <pivotArea dataOnly="0" labelOnly="1" outline="0" fieldPosition="0">
        <references count="4">
          <reference field="5" count="1">
            <x v="64"/>
          </reference>
          <reference field="8" count="1" selected="0">
            <x v="133"/>
          </reference>
          <reference field="11" count="1" selected="0">
            <x v="1"/>
          </reference>
          <reference field="13" count="1" selected="0">
            <x v="169"/>
          </reference>
        </references>
      </pivotArea>
    </format>
    <format dxfId="3743">
      <pivotArea dataOnly="0" labelOnly="1" outline="0" fieldPosition="0">
        <references count="4">
          <reference field="5" count="1">
            <x v="117"/>
          </reference>
          <reference field="8" count="1" selected="0">
            <x v="134"/>
          </reference>
          <reference field="11" count="1" selected="0">
            <x v="3"/>
          </reference>
          <reference field="13" count="1" selected="0">
            <x v="29"/>
          </reference>
        </references>
      </pivotArea>
    </format>
    <format dxfId="3742">
      <pivotArea dataOnly="0" labelOnly="1" outline="0" fieldPosition="0">
        <references count="4">
          <reference field="5" count="1">
            <x v="117"/>
          </reference>
          <reference field="8" count="1" selected="0">
            <x v="134"/>
          </reference>
          <reference field="11" count="1" selected="0">
            <x v="3"/>
          </reference>
          <reference field="13" count="1" selected="0">
            <x v="218"/>
          </reference>
        </references>
      </pivotArea>
    </format>
    <format dxfId="3741">
      <pivotArea dataOnly="0" labelOnly="1" outline="0" fieldPosition="0">
        <references count="4">
          <reference field="5" count="1">
            <x v="117"/>
          </reference>
          <reference field="8" count="1" selected="0">
            <x v="134"/>
          </reference>
          <reference field="11" count="1" selected="0">
            <x v="3"/>
          </reference>
          <reference field="13" count="1" selected="0">
            <x v="314"/>
          </reference>
        </references>
      </pivotArea>
    </format>
    <format dxfId="3740">
      <pivotArea dataOnly="0" labelOnly="1" outline="0" fieldPosition="0">
        <references count="4">
          <reference field="5" count="1">
            <x v="20"/>
          </reference>
          <reference field="8" count="1" selected="0">
            <x v="134"/>
          </reference>
          <reference field="11" count="1" selected="0">
            <x v="5"/>
          </reference>
          <reference field="13" count="1" selected="0">
            <x v="77"/>
          </reference>
        </references>
      </pivotArea>
    </format>
    <format dxfId="3739">
      <pivotArea dataOnly="0" labelOnly="1" outline="0" fieldPosition="0">
        <references count="4">
          <reference field="5" count="1">
            <x v="64"/>
          </reference>
          <reference field="8" count="1" selected="0">
            <x v="135"/>
          </reference>
          <reference field="11" count="1" selected="0">
            <x v="1"/>
          </reference>
          <reference field="13" count="1" selected="0">
            <x v="169"/>
          </reference>
        </references>
      </pivotArea>
    </format>
    <format dxfId="3738">
      <pivotArea dataOnly="0" labelOnly="1" outline="0" fieldPosition="0">
        <references count="4">
          <reference field="5" count="1">
            <x v="64"/>
          </reference>
          <reference field="8" count="1" selected="0">
            <x v="135"/>
          </reference>
          <reference field="11" count="1" selected="0">
            <x v="7"/>
          </reference>
          <reference field="13" count="1" selected="0">
            <x v="129"/>
          </reference>
        </references>
      </pivotArea>
    </format>
    <format dxfId="3737">
      <pivotArea dataOnly="0" labelOnly="1" outline="0" fieldPosition="0">
        <references count="4">
          <reference field="5" count="1">
            <x v="64"/>
          </reference>
          <reference field="8" count="1" selected="0">
            <x v="136"/>
          </reference>
          <reference field="11" count="1" selected="0">
            <x v="1"/>
          </reference>
          <reference field="13" count="1" selected="0">
            <x v="169"/>
          </reference>
        </references>
      </pivotArea>
    </format>
    <format dxfId="3736">
      <pivotArea dataOnly="0" labelOnly="1" outline="0" fieldPosition="0">
        <references count="4">
          <reference field="5" count="1">
            <x v="35"/>
          </reference>
          <reference field="8" count="1" selected="0">
            <x v="137"/>
          </reference>
          <reference field="11" count="1" selected="0">
            <x v="3"/>
          </reference>
          <reference field="13" count="1" selected="0">
            <x v="69"/>
          </reference>
        </references>
      </pivotArea>
    </format>
    <format dxfId="3735">
      <pivotArea dataOnly="0" labelOnly="1" outline="0" fieldPosition="0">
        <references count="4">
          <reference field="5" count="1">
            <x v="35"/>
          </reference>
          <reference field="8" count="1" selected="0">
            <x v="138"/>
          </reference>
          <reference field="11" count="1" selected="0">
            <x v="3"/>
          </reference>
          <reference field="13" count="1" selected="0">
            <x v="69"/>
          </reference>
        </references>
      </pivotArea>
    </format>
    <format dxfId="3734">
      <pivotArea dataOnly="0" labelOnly="1" outline="0" fieldPosition="0">
        <references count="4">
          <reference field="5" count="1">
            <x v="35"/>
          </reference>
          <reference field="8" count="1" selected="0">
            <x v="138"/>
          </reference>
          <reference field="11" count="1" selected="0">
            <x v="3"/>
          </reference>
          <reference field="13" count="1" selected="0">
            <x v="287"/>
          </reference>
        </references>
      </pivotArea>
    </format>
    <format dxfId="3733">
      <pivotArea dataOnly="0" labelOnly="1" outline="0" fieldPosition="0">
        <references count="4">
          <reference field="5" count="1">
            <x v="35"/>
          </reference>
          <reference field="8" count="1" selected="0">
            <x v="138"/>
          </reference>
          <reference field="11" count="1" selected="0">
            <x v="5"/>
          </reference>
          <reference field="13" count="1" selected="0">
            <x v="77"/>
          </reference>
        </references>
      </pivotArea>
    </format>
    <format dxfId="3732">
      <pivotArea dataOnly="0" labelOnly="1" outline="0" fieldPosition="0">
        <references count="4">
          <reference field="5" count="1">
            <x v="65"/>
          </reference>
          <reference field="8" count="1" selected="0">
            <x v="139"/>
          </reference>
          <reference field="11" count="1" selected="0">
            <x v="2"/>
          </reference>
          <reference field="13" count="1" selected="0">
            <x v="279"/>
          </reference>
        </references>
      </pivotArea>
    </format>
    <format dxfId="3731">
      <pivotArea dataOnly="0" labelOnly="1" outline="0" fieldPosition="0">
        <references count="4">
          <reference field="5" count="1">
            <x v="65"/>
          </reference>
          <reference field="8" count="1" selected="0">
            <x v="139"/>
          </reference>
          <reference field="11" count="1" selected="0">
            <x v="3"/>
          </reference>
          <reference field="13" count="1" selected="0">
            <x v="69"/>
          </reference>
        </references>
      </pivotArea>
    </format>
    <format dxfId="3730">
      <pivotArea dataOnly="0" labelOnly="1" outline="0" fieldPosition="0">
        <references count="4">
          <reference field="5" count="1">
            <x v="65"/>
          </reference>
          <reference field="8" count="1" selected="0">
            <x v="139"/>
          </reference>
          <reference field="11" count="1" selected="0">
            <x v="3"/>
          </reference>
          <reference field="13" count="1" selected="0">
            <x v="100"/>
          </reference>
        </references>
      </pivotArea>
    </format>
    <format dxfId="3729">
      <pivotArea dataOnly="0" labelOnly="1" outline="0" fieldPosition="0">
        <references count="4">
          <reference field="5" count="1">
            <x v="65"/>
          </reference>
          <reference field="8" count="1" selected="0">
            <x v="139"/>
          </reference>
          <reference field="11" count="1" selected="0">
            <x v="4"/>
          </reference>
          <reference field="13" count="1" selected="0">
            <x v="280"/>
          </reference>
        </references>
      </pivotArea>
    </format>
    <format dxfId="3728">
      <pivotArea dataOnly="0" labelOnly="1" outline="0" fieldPosition="0">
        <references count="4">
          <reference field="5" count="1">
            <x v="35"/>
          </reference>
          <reference field="8" count="1" selected="0">
            <x v="140"/>
          </reference>
          <reference field="11" count="1" selected="0">
            <x v="3"/>
          </reference>
          <reference field="13" count="1" selected="0">
            <x v="287"/>
          </reference>
        </references>
      </pivotArea>
    </format>
    <format dxfId="3727">
      <pivotArea dataOnly="0" labelOnly="1" outline="0" fieldPosition="0">
        <references count="4">
          <reference field="5" count="1">
            <x v="47"/>
          </reference>
          <reference field="8" count="1" selected="0">
            <x v="141"/>
          </reference>
          <reference field="11" count="1" selected="0">
            <x v="0"/>
          </reference>
          <reference field="13" count="1" selected="0">
            <x v="16"/>
          </reference>
        </references>
      </pivotArea>
    </format>
    <format dxfId="3726">
      <pivotArea dataOnly="0" labelOnly="1" outline="0" fieldPosition="0">
        <references count="4">
          <reference field="5" count="1">
            <x v="68"/>
          </reference>
          <reference field="8" count="1" selected="0">
            <x v="141"/>
          </reference>
          <reference field="11" count="1" selected="0">
            <x v="3"/>
          </reference>
          <reference field="13" count="1" selected="0">
            <x v="240"/>
          </reference>
        </references>
      </pivotArea>
    </format>
    <format dxfId="3725">
      <pivotArea dataOnly="0" labelOnly="1" outline="0" fieldPosition="0">
        <references count="4">
          <reference field="5" count="1">
            <x v="68"/>
          </reference>
          <reference field="8" count="1" selected="0">
            <x v="141"/>
          </reference>
          <reference field="11" count="1" selected="0">
            <x v="4"/>
          </reference>
          <reference field="13" count="1" selected="0">
            <x v="133"/>
          </reference>
        </references>
      </pivotArea>
    </format>
    <format dxfId="3724">
      <pivotArea dataOnly="0" labelOnly="1" outline="0" fieldPosition="0">
        <references count="4">
          <reference field="5" count="1">
            <x v="38"/>
          </reference>
          <reference field="8" count="1" selected="0">
            <x v="141"/>
          </reference>
          <reference field="11" count="1" selected="0">
            <x v="5"/>
          </reference>
          <reference field="13" count="1" selected="0">
            <x v="77"/>
          </reference>
        </references>
      </pivotArea>
    </format>
    <format dxfId="3723">
      <pivotArea dataOnly="0" labelOnly="1" outline="0" fieldPosition="0">
        <references count="4">
          <reference field="5" count="1">
            <x v="64"/>
          </reference>
          <reference field="8" count="1" selected="0">
            <x v="142"/>
          </reference>
          <reference field="11" count="1" selected="0">
            <x v="1"/>
          </reference>
          <reference field="13" count="1" selected="0">
            <x v="169"/>
          </reference>
        </references>
      </pivotArea>
    </format>
    <format dxfId="3722">
      <pivotArea dataOnly="0" labelOnly="1" outline="0" fieldPosition="0">
        <references count="4">
          <reference field="5" count="1">
            <x v="64"/>
          </reference>
          <reference field="8" count="1" selected="0">
            <x v="142"/>
          </reference>
          <reference field="11" count="1" selected="0">
            <x v="7"/>
          </reference>
          <reference field="13" count="1" selected="0">
            <x v="129"/>
          </reference>
        </references>
      </pivotArea>
    </format>
    <format dxfId="3721">
      <pivotArea dataOnly="0" labelOnly="1" outline="0" fieldPosition="0">
        <references count="4">
          <reference field="5" count="1">
            <x v="64"/>
          </reference>
          <reference field="8" count="1" selected="0">
            <x v="143"/>
          </reference>
          <reference field="11" count="1" selected="0">
            <x v="1"/>
          </reference>
          <reference field="13" count="1" selected="0">
            <x v="169"/>
          </reference>
        </references>
      </pivotArea>
    </format>
    <format dxfId="3720">
      <pivotArea dataOnly="0" labelOnly="1" outline="0" fieldPosition="0">
        <references count="4">
          <reference field="5" count="2">
            <x v="115"/>
            <x v="116"/>
          </reference>
          <reference field="8" count="1" selected="0">
            <x v="144"/>
          </reference>
          <reference field="11" count="1" selected="0">
            <x v="0"/>
          </reference>
          <reference field="13" count="1" selected="0">
            <x v="53"/>
          </reference>
        </references>
      </pivotArea>
    </format>
    <format dxfId="3719">
      <pivotArea dataOnly="0" labelOnly="1" outline="0" fieldPosition="0">
        <references count="4">
          <reference field="5" count="1">
            <x v="117"/>
          </reference>
          <reference field="8" count="1" selected="0">
            <x v="144"/>
          </reference>
          <reference field="11" count="1" selected="0">
            <x v="3"/>
          </reference>
          <reference field="13" count="1" selected="0">
            <x v="29"/>
          </reference>
        </references>
      </pivotArea>
    </format>
    <format dxfId="3718">
      <pivotArea dataOnly="0" labelOnly="1" outline="0" fieldPosition="0">
        <references count="4">
          <reference field="5" count="1">
            <x v="117"/>
          </reference>
          <reference field="8" count="1" selected="0">
            <x v="144"/>
          </reference>
          <reference field="11" count="1" selected="0">
            <x v="3"/>
          </reference>
          <reference field="13" count="1" selected="0">
            <x v="218"/>
          </reference>
        </references>
      </pivotArea>
    </format>
    <format dxfId="3717">
      <pivotArea dataOnly="0" labelOnly="1" outline="0" fieldPosition="0">
        <references count="4">
          <reference field="5" count="1">
            <x v="117"/>
          </reference>
          <reference field="8" count="1" selected="0">
            <x v="144"/>
          </reference>
          <reference field="11" count="1" selected="0">
            <x v="3"/>
          </reference>
          <reference field="13" count="1" selected="0">
            <x v="314"/>
          </reference>
        </references>
      </pivotArea>
    </format>
    <format dxfId="3716">
      <pivotArea dataOnly="0" labelOnly="1" outline="0" fieldPosition="0">
        <references count="4">
          <reference field="5" count="1">
            <x v="116"/>
          </reference>
          <reference field="8" count="1" selected="0">
            <x v="144"/>
          </reference>
          <reference field="11" count="1" selected="0">
            <x v="5"/>
          </reference>
          <reference field="13" count="1" selected="0">
            <x v="77"/>
          </reference>
        </references>
      </pivotArea>
    </format>
    <format dxfId="3715">
      <pivotArea dataOnly="0" labelOnly="1" outline="0" fieldPosition="0">
        <references count="4">
          <reference field="5" count="1">
            <x v="97"/>
          </reference>
          <reference field="8" count="1" selected="0">
            <x v="144"/>
          </reference>
          <reference field="11" count="1" selected="0">
            <x v="5"/>
          </reference>
          <reference field="13" count="1" selected="0">
            <x v="81"/>
          </reference>
        </references>
      </pivotArea>
    </format>
    <format dxfId="3714">
      <pivotArea dataOnly="0" labelOnly="1" outline="0" fieldPosition="0">
        <references count="4">
          <reference field="5" count="1">
            <x v="97"/>
          </reference>
          <reference field="8" count="1" selected="0">
            <x v="144"/>
          </reference>
          <reference field="11" count="1" selected="0">
            <x v="7"/>
          </reference>
          <reference field="13" count="1" selected="0">
            <x v="2"/>
          </reference>
        </references>
      </pivotArea>
    </format>
    <format dxfId="3713">
      <pivotArea dataOnly="0" labelOnly="1" outline="0" fieldPosition="0">
        <references count="4">
          <reference field="5" count="1">
            <x v="117"/>
          </reference>
          <reference field="8" count="1" selected="0">
            <x v="145"/>
          </reference>
          <reference field="11" count="1" selected="0">
            <x v="3"/>
          </reference>
          <reference field="13" count="1" selected="0">
            <x v="29"/>
          </reference>
        </references>
      </pivotArea>
    </format>
    <format dxfId="3712">
      <pivotArea dataOnly="0" labelOnly="1" outline="0" fieldPosition="0">
        <references count="4">
          <reference field="5" count="1">
            <x v="117"/>
          </reference>
          <reference field="8" count="1" selected="0">
            <x v="145"/>
          </reference>
          <reference field="11" count="1" selected="0">
            <x v="3"/>
          </reference>
          <reference field="13" count="1" selected="0">
            <x v="218"/>
          </reference>
        </references>
      </pivotArea>
    </format>
    <format dxfId="3711">
      <pivotArea dataOnly="0" labelOnly="1" outline="0" fieldPosition="0">
        <references count="4">
          <reference field="5" count="3">
            <x v="95"/>
            <x v="97"/>
            <x v="116"/>
          </reference>
          <reference field="8" count="1" selected="0">
            <x v="145"/>
          </reference>
          <reference field="11" count="1" selected="0">
            <x v="5"/>
          </reference>
          <reference field="13" count="1" selected="0">
            <x v="77"/>
          </reference>
        </references>
      </pivotArea>
    </format>
    <format dxfId="3710">
      <pivotArea dataOnly="0" labelOnly="1" outline="0" fieldPosition="0">
        <references count="4">
          <reference field="5" count="1">
            <x v="76"/>
          </reference>
          <reference field="8" count="1" selected="0">
            <x v="146"/>
          </reference>
          <reference field="11" count="1" selected="0">
            <x v="3"/>
          </reference>
          <reference field="13" count="1" selected="0">
            <x v="242"/>
          </reference>
        </references>
      </pivotArea>
    </format>
    <format dxfId="3709">
      <pivotArea dataOnly="0" labelOnly="1" outline="0" fieldPosition="0">
        <references count="4">
          <reference field="5" count="1">
            <x v="76"/>
          </reference>
          <reference field="8" count="1" selected="0">
            <x v="146"/>
          </reference>
          <reference field="11" count="1" selected="0">
            <x v="3"/>
          </reference>
          <reference field="13" count="1" selected="0">
            <x v="245"/>
          </reference>
        </references>
      </pivotArea>
    </format>
    <format dxfId="3708">
      <pivotArea dataOnly="0" labelOnly="1" outline="0" fieldPosition="0">
        <references count="4">
          <reference field="5" count="1">
            <x v="76"/>
          </reference>
          <reference field="8" count="1" selected="0">
            <x v="146"/>
          </reference>
          <reference field="11" count="1" selected="0">
            <x v="4"/>
          </reference>
          <reference field="13" count="1" selected="0">
            <x v="133"/>
          </reference>
        </references>
      </pivotArea>
    </format>
    <format dxfId="3707">
      <pivotArea dataOnly="0" labelOnly="1" outline="0" fieldPosition="0">
        <references count="4">
          <reference field="5" count="1">
            <x v="76"/>
          </reference>
          <reference field="8" count="1" selected="0">
            <x v="146"/>
          </reference>
          <reference field="11" count="1" selected="0">
            <x v="5"/>
          </reference>
          <reference field="13" count="1" selected="0">
            <x v="77"/>
          </reference>
        </references>
      </pivotArea>
    </format>
    <format dxfId="3706">
      <pivotArea dataOnly="0" labelOnly="1" outline="0" fieldPosition="0">
        <references count="4">
          <reference field="5" count="1">
            <x v="64"/>
          </reference>
          <reference field="8" count="1" selected="0">
            <x v="147"/>
          </reference>
          <reference field="11" count="1" selected="0">
            <x v="1"/>
          </reference>
          <reference field="13" count="1" selected="0">
            <x v="169"/>
          </reference>
        </references>
      </pivotArea>
    </format>
    <format dxfId="3705">
      <pivotArea dataOnly="0" labelOnly="1" outline="0" fieldPosition="0">
        <references count="4">
          <reference field="5" count="1">
            <x v="64"/>
          </reference>
          <reference field="8" count="1" selected="0">
            <x v="147"/>
          </reference>
          <reference field="11" count="1" selected="0">
            <x v="7"/>
          </reference>
          <reference field="13" count="1" selected="0">
            <x v="129"/>
          </reference>
        </references>
      </pivotArea>
    </format>
    <format dxfId="3704">
      <pivotArea dataOnly="0" labelOnly="1" outline="0" fieldPosition="0">
        <references count="4">
          <reference field="5" count="2">
            <x v="64"/>
            <x v="103"/>
          </reference>
          <reference field="8" count="1" selected="0">
            <x v="148"/>
          </reference>
          <reference field="11" count="1" selected="0">
            <x v="1"/>
          </reference>
          <reference field="13" count="1" selected="0">
            <x v="169"/>
          </reference>
        </references>
      </pivotArea>
    </format>
    <format dxfId="3703">
      <pivotArea dataOnly="0" labelOnly="1" outline="0" fieldPosition="0">
        <references count="4">
          <reference field="5" count="1">
            <x v="47"/>
          </reference>
          <reference field="8" count="1" selected="0">
            <x v="149"/>
          </reference>
          <reference field="11" count="1" selected="0">
            <x v="1"/>
          </reference>
          <reference field="13" count="1" selected="0">
            <x v="275"/>
          </reference>
        </references>
      </pivotArea>
    </format>
    <format dxfId="3702">
      <pivotArea dataOnly="0" labelOnly="1" outline="0" fieldPosition="0">
        <references count="4">
          <reference field="5" count="1">
            <x v="116"/>
          </reference>
          <reference field="8" count="1" selected="0">
            <x v="149"/>
          </reference>
          <reference field="11" count="1" selected="0">
            <x v="5"/>
          </reference>
          <reference field="13" count="1" selected="0">
            <x v="81"/>
          </reference>
        </references>
      </pivotArea>
    </format>
    <format dxfId="3701">
      <pivotArea dataOnly="0" labelOnly="1" outline="0" fieldPosition="0">
        <references count="4">
          <reference field="5" count="1">
            <x v="101"/>
          </reference>
          <reference field="8" count="1" selected="0">
            <x v="149"/>
          </reference>
          <reference field="11" count="1" selected="0">
            <x v="7"/>
          </reference>
          <reference field="13" count="1" selected="0">
            <x v="93"/>
          </reference>
        </references>
      </pivotArea>
    </format>
    <format dxfId="3700">
      <pivotArea dataOnly="0" labelOnly="1" outline="0" fieldPosition="0">
        <references count="4">
          <reference field="5" count="1">
            <x v="64"/>
          </reference>
          <reference field="8" count="1" selected="0">
            <x v="150"/>
          </reference>
          <reference field="11" count="1" selected="0">
            <x v="1"/>
          </reference>
          <reference field="13" count="1" selected="0">
            <x v="169"/>
          </reference>
        </references>
      </pivotArea>
    </format>
    <format dxfId="3699">
      <pivotArea dataOnly="0" labelOnly="1" outline="0" fieldPosition="0">
        <references count="4">
          <reference field="5" count="1">
            <x v="71"/>
          </reference>
          <reference field="8" count="1" selected="0">
            <x v="150"/>
          </reference>
          <reference field="11" count="1" selected="0">
            <x v="4"/>
          </reference>
          <reference field="13" count="1" selected="0">
            <x v="133"/>
          </reference>
        </references>
      </pivotArea>
    </format>
    <format dxfId="3698">
      <pivotArea dataOnly="0" labelOnly="1" outline="0" fieldPosition="0">
        <references count="4">
          <reference field="5" count="1">
            <x v="71"/>
          </reference>
          <reference field="8" count="1" selected="0">
            <x v="150"/>
          </reference>
          <reference field="11" count="1" selected="0">
            <x v="7"/>
          </reference>
          <reference field="13" count="1" selected="0">
            <x v="72"/>
          </reference>
        </references>
      </pivotArea>
    </format>
    <format dxfId="3697">
      <pivotArea dataOnly="0" labelOnly="1" outline="0" fieldPosition="0">
        <references count="4">
          <reference field="5" count="1">
            <x v="64"/>
          </reference>
          <reference field="8" count="1" selected="0">
            <x v="151"/>
          </reference>
          <reference field="11" count="1" selected="0">
            <x v="1"/>
          </reference>
          <reference field="13" count="1" selected="0">
            <x v="169"/>
          </reference>
        </references>
      </pivotArea>
    </format>
    <format dxfId="3696">
      <pivotArea dataOnly="0" labelOnly="1" outline="0" fieldPosition="0">
        <references count="4">
          <reference field="5" count="1">
            <x v="64"/>
          </reference>
          <reference field="8" count="1" selected="0">
            <x v="151"/>
          </reference>
          <reference field="11" count="1" selected="0">
            <x v="7"/>
          </reference>
          <reference field="13" count="1" selected="0">
            <x v="129"/>
          </reference>
        </references>
      </pivotArea>
    </format>
    <format dxfId="3695">
      <pivotArea dataOnly="0" labelOnly="1" outline="0" fieldPosition="0">
        <references count="4">
          <reference field="5" count="1">
            <x v="117"/>
          </reference>
          <reference field="8" count="1" selected="0">
            <x v="153"/>
          </reference>
          <reference field="11" count="1" selected="0">
            <x v="3"/>
          </reference>
          <reference field="13" count="1" selected="0">
            <x v="29"/>
          </reference>
        </references>
      </pivotArea>
    </format>
    <format dxfId="3694">
      <pivotArea dataOnly="0" labelOnly="1" outline="0" fieldPosition="0">
        <references count="4">
          <reference field="5" count="1">
            <x v="117"/>
          </reference>
          <reference field="8" count="1" selected="0">
            <x v="153"/>
          </reference>
          <reference field="11" count="1" selected="0">
            <x v="3"/>
          </reference>
          <reference field="13" count="1" selected="0">
            <x v="218"/>
          </reference>
        </references>
      </pivotArea>
    </format>
    <format dxfId="3693">
      <pivotArea dataOnly="0" labelOnly="1" outline="0" fieldPosition="0">
        <references count="4">
          <reference field="5" count="1">
            <x v="117"/>
          </reference>
          <reference field="8" count="1" selected="0">
            <x v="153"/>
          </reference>
          <reference field="11" count="1" selected="0">
            <x v="3"/>
          </reference>
          <reference field="13" count="1" selected="0">
            <x v="314"/>
          </reference>
        </references>
      </pivotArea>
    </format>
    <format dxfId="3692">
      <pivotArea dataOnly="0" labelOnly="1" outline="0" fieldPosition="0">
        <references count="4">
          <reference field="5" count="1">
            <x v="116"/>
          </reference>
          <reference field="8" count="1" selected="0">
            <x v="153"/>
          </reference>
          <reference field="11" count="1" selected="0">
            <x v="5"/>
          </reference>
          <reference field="13" count="1" selected="0">
            <x v="77"/>
          </reference>
        </references>
      </pivotArea>
    </format>
    <format dxfId="3691">
      <pivotArea dataOnly="0" labelOnly="1" outline="0" fieldPosition="0">
        <references count="4">
          <reference field="5" count="1">
            <x v="95"/>
          </reference>
          <reference field="8" count="1" selected="0">
            <x v="153"/>
          </reference>
          <reference field="11" count="1" selected="0">
            <x v="6"/>
          </reference>
          <reference field="13" count="1" selected="0">
            <x v="207"/>
          </reference>
        </references>
      </pivotArea>
    </format>
    <format dxfId="3690">
      <pivotArea dataOnly="0" labelOnly="1" outline="0" fieldPosition="0">
        <references count="4">
          <reference field="5" count="1">
            <x v="95"/>
          </reference>
          <reference field="8" count="1" selected="0">
            <x v="153"/>
          </reference>
          <reference field="11" count="1" selected="0">
            <x v="7"/>
          </reference>
          <reference field="13" count="1" selected="0">
            <x v="72"/>
          </reference>
        </references>
      </pivotArea>
    </format>
    <format dxfId="3689">
      <pivotArea dataOnly="0" labelOnly="1" outline="0" fieldPosition="0">
        <references count="4">
          <reference field="5" count="1">
            <x v="63"/>
          </reference>
          <reference field="8" count="1" selected="0">
            <x v="154"/>
          </reference>
          <reference field="11" count="1" selected="0">
            <x v="1"/>
          </reference>
          <reference field="13" count="1" selected="0">
            <x v="75"/>
          </reference>
        </references>
      </pivotArea>
    </format>
    <format dxfId="3688">
      <pivotArea dataOnly="0" labelOnly="1" outline="0" fieldPosition="0">
        <references count="4">
          <reference field="5" count="1">
            <x v="63"/>
          </reference>
          <reference field="8" count="1" selected="0">
            <x v="154"/>
          </reference>
          <reference field="11" count="1" selected="0">
            <x v="1"/>
          </reference>
          <reference field="13" count="1" selected="0">
            <x v="103"/>
          </reference>
        </references>
      </pivotArea>
    </format>
    <format dxfId="3687">
      <pivotArea dataOnly="0" labelOnly="1" outline="0" fieldPosition="0">
        <references count="4">
          <reference field="5" count="1">
            <x v="63"/>
          </reference>
          <reference field="8" count="1" selected="0">
            <x v="154"/>
          </reference>
          <reference field="11" count="1" selected="0">
            <x v="1"/>
          </reference>
          <reference field="13" count="1" selected="0">
            <x v="216"/>
          </reference>
        </references>
      </pivotArea>
    </format>
    <format dxfId="3686">
      <pivotArea dataOnly="0" labelOnly="1" outline="0" fieldPosition="0">
        <references count="4">
          <reference field="5" count="1">
            <x v="63"/>
          </reference>
          <reference field="8" count="1" selected="0">
            <x v="154"/>
          </reference>
          <reference field="11" count="1" selected="0">
            <x v="1"/>
          </reference>
          <reference field="13" count="1" selected="0">
            <x v="286"/>
          </reference>
        </references>
      </pivotArea>
    </format>
    <format dxfId="3685">
      <pivotArea dataOnly="0" labelOnly="1" outline="0" fieldPosition="0">
        <references count="4">
          <reference field="5" count="1">
            <x v="63"/>
          </reference>
          <reference field="8" count="1" selected="0">
            <x v="154"/>
          </reference>
          <reference field="11" count="1" selected="0">
            <x v="3"/>
          </reference>
          <reference field="13" count="1" selected="0">
            <x v="17"/>
          </reference>
        </references>
      </pivotArea>
    </format>
    <format dxfId="3684">
      <pivotArea dataOnly="0" labelOnly="1" outline="0" fieldPosition="0">
        <references count="4">
          <reference field="5" count="1">
            <x v="63"/>
          </reference>
          <reference field="8" count="1" selected="0">
            <x v="154"/>
          </reference>
          <reference field="11" count="1" selected="0">
            <x v="3"/>
          </reference>
          <reference field="13" count="1" selected="0">
            <x v="32"/>
          </reference>
        </references>
      </pivotArea>
    </format>
    <format dxfId="3683">
      <pivotArea dataOnly="0" labelOnly="1" outline="0" fieldPosition="0">
        <references count="4">
          <reference field="5" count="1">
            <x v="63"/>
          </reference>
          <reference field="8" count="1" selected="0">
            <x v="154"/>
          </reference>
          <reference field="11" count="1" selected="0">
            <x v="3"/>
          </reference>
          <reference field="13" count="1" selected="0">
            <x v="78"/>
          </reference>
        </references>
      </pivotArea>
    </format>
    <format dxfId="3682">
      <pivotArea dataOnly="0" labelOnly="1" outline="0" fieldPosition="0">
        <references count="4">
          <reference field="5" count="1">
            <x v="63"/>
          </reference>
          <reference field="8" count="1" selected="0">
            <x v="154"/>
          </reference>
          <reference field="11" count="1" selected="0">
            <x v="3"/>
          </reference>
          <reference field="13" count="1" selected="0">
            <x v="240"/>
          </reference>
        </references>
      </pivotArea>
    </format>
    <format dxfId="3681">
      <pivotArea dataOnly="0" labelOnly="1" outline="0" fieldPosition="0">
        <references count="4">
          <reference field="5" count="1">
            <x v="63"/>
          </reference>
          <reference field="8" count="1" selected="0">
            <x v="154"/>
          </reference>
          <reference field="11" count="1" selected="0">
            <x v="3"/>
          </reference>
          <reference field="13" count="1" selected="0">
            <x v="242"/>
          </reference>
        </references>
      </pivotArea>
    </format>
    <format dxfId="3680">
      <pivotArea dataOnly="0" labelOnly="1" outline="0" fieldPosition="0">
        <references count="4">
          <reference field="5" count="1">
            <x v="63"/>
          </reference>
          <reference field="8" count="1" selected="0">
            <x v="154"/>
          </reference>
          <reference field="11" count="1" selected="0">
            <x v="3"/>
          </reference>
          <reference field="13" count="1" selected="0">
            <x v="243"/>
          </reference>
        </references>
      </pivotArea>
    </format>
    <format dxfId="3679">
      <pivotArea dataOnly="0" labelOnly="1" outline="0" fieldPosition="0">
        <references count="4">
          <reference field="5" count="1">
            <x v="63"/>
          </reference>
          <reference field="8" count="1" selected="0">
            <x v="154"/>
          </reference>
          <reference field="11" count="1" selected="0">
            <x v="3"/>
          </reference>
          <reference field="13" count="1" selected="0">
            <x v="251"/>
          </reference>
        </references>
      </pivotArea>
    </format>
    <format dxfId="3678">
      <pivotArea dataOnly="0" labelOnly="1" outline="0" fieldPosition="0">
        <references count="4">
          <reference field="5" count="1">
            <x v="63"/>
          </reference>
          <reference field="8" count="1" selected="0">
            <x v="154"/>
          </reference>
          <reference field="11" count="1" selected="0">
            <x v="3"/>
          </reference>
          <reference field="13" count="1" selected="0">
            <x v="287"/>
          </reference>
        </references>
      </pivotArea>
    </format>
    <format dxfId="3677">
      <pivotArea dataOnly="0" labelOnly="1" outline="0" fieldPosition="0">
        <references count="4">
          <reference field="5" count="1">
            <x v="63"/>
          </reference>
          <reference field="8" count="1" selected="0">
            <x v="154"/>
          </reference>
          <reference field="11" count="1" selected="0">
            <x v="3"/>
          </reference>
          <reference field="13" count="1" selected="0">
            <x v="305"/>
          </reference>
        </references>
      </pivotArea>
    </format>
    <format dxfId="3676">
      <pivotArea dataOnly="0" labelOnly="1" outline="0" fieldPosition="0">
        <references count="4">
          <reference field="5" count="2">
            <x v="20"/>
            <x v="116"/>
          </reference>
          <reference field="8" count="1" selected="0">
            <x v="154"/>
          </reference>
          <reference field="11" count="1" selected="0">
            <x v="5"/>
          </reference>
          <reference field="13" count="1" selected="0">
            <x v="81"/>
          </reference>
        </references>
      </pivotArea>
    </format>
    <format dxfId="3675">
      <pivotArea dataOnly="0" labelOnly="1" outline="0" fieldPosition="0">
        <references count="4">
          <reference field="5" count="1">
            <x v="63"/>
          </reference>
          <reference field="8" count="1" selected="0">
            <x v="154"/>
          </reference>
          <reference field="11" count="1" selected="0">
            <x v="5"/>
          </reference>
          <reference field="13" count="1" selected="0">
            <x v="96"/>
          </reference>
        </references>
      </pivotArea>
    </format>
    <format dxfId="3674">
      <pivotArea dataOnly="0" labelOnly="1" outline="0" fieldPosition="0">
        <references count="4">
          <reference field="5" count="1">
            <x v="20"/>
          </reference>
          <reference field="8" count="1" selected="0">
            <x v="154"/>
          </reference>
          <reference field="11" count="1" selected="0">
            <x v="5"/>
          </reference>
          <reference field="13" count="1" selected="0">
            <x v="255"/>
          </reference>
        </references>
      </pivotArea>
    </format>
    <format dxfId="3673">
      <pivotArea dataOnly="0" labelOnly="1" outline="0" fieldPosition="0">
        <references count="4">
          <reference field="5" count="1">
            <x v="63"/>
          </reference>
          <reference field="8" count="1" selected="0">
            <x v="154"/>
          </reference>
          <reference field="11" count="1" selected="0">
            <x v="7"/>
          </reference>
          <reference field="13" count="1" selected="0">
            <x v="13"/>
          </reference>
        </references>
      </pivotArea>
    </format>
    <format dxfId="3672">
      <pivotArea dataOnly="0" labelOnly="1" outline="0" fieldPosition="0">
        <references count="4">
          <reference field="5" count="1">
            <x v="63"/>
          </reference>
          <reference field="8" count="1" selected="0">
            <x v="154"/>
          </reference>
          <reference field="11" count="1" selected="0">
            <x v="7"/>
          </reference>
          <reference field="13" count="1" selected="0">
            <x v="93"/>
          </reference>
        </references>
      </pivotArea>
    </format>
    <format dxfId="3671">
      <pivotArea dataOnly="0" labelOnly="1" outline="0" fieldPosition="0">
        <references count="4">
          <reference field="5" count="1">
            <x v="63"/>
          </reference>
          <reference field="8" count="1" selected="0">
            <x v="154"/>
          </reference>
          <reference field="11" count="1" selected="0">
            <x v="7"/>
          </reference>
          <reference field="13" count="1" selected="0">
            <x v="129"/>
          </reference>
        </references>
      </pivotArea>
    </format>
    <format dxfId="3670">
      <pivotArea dataOnly="0" labelOnly="1" outline="0" fieldPosition="0">
        <references count="4">
          <reference field="5" count="1">
            <x v="95"/>
          </reference>
          <reference field="8" count="1" selected="0">
            <x v="155"/>
          </reference>
          <reference field="11" count="1" selected="0">
            <x v="2"/>
          </reference>
          <reference field="13" count="1" selected="0">
            <x v="71"/>
          </reference>
        </references>
      </pivotArea>
    </format>
    <format dxfId="3669">
      <pivotArea dataOnly="0" labelOnly="1" outline="0" fieldPosition="0">
        <references count="4">
          <reference field="5" count="1">
            <x v="95"/>
          </reference>
          <reference field="8" count="1" selected="0">
            <x v="155"/>
          </reference>
          <reference field="11" count="1" selected="0">
            <x v="3"/>
          </reference>
          <reference field="13" count="1" selected="0">
            <x v="4"/>
          </reference>
        </references>
      </pivotArea>
    </format>
    <format dxfId="3668">
      <pivotArea dataOnly="0" labelOnly="1" outline="0" fieldPosition="0">
        <references count="4">
          <reference field="5" count="2">
            <x v="116"/>
            <x v="117"/>
          </reference>
          <reference field="8" count="1" selected="0">
            <x v="155"/>
          </reference>
          <reference field="11" count="1" selected="0">
            <x v="3"/>
          </reference>
          <reference field="13" count="1" selected="0">
            <x v="29"/>
          </reference>
        </references>
      </pivotArea>
    </format>
    <format dxfId="3667">
      <pivotArea dataOnly="0" labelOnly="1" outline="0" fieldPosition="0">
        <references count="4">
          <reference field="5" count="1">
            <x v="117"/>
          </reference>
          <reference field="8" count="1" selected="0">
            <x v="155"/>
          </reference>
          <reference field="11" count="1" selected="0">
            <x v="3"/>
          </reference>
          <reference field="13" count="1" selected="0">
            <x v="218"/>
          </reference>
        </references>
      </pivotArea>
    </format>
    <format dxfId="3666">
      <pivotArea dataOnly="0" labelOnly="1" outline="0" fieldPosition="0">
        <references count="4">
          <reference field="5" count="1">
            <x v="117"/>
          </reference>
          <reference field="8" count="1" selected="0">
            <x v="155"/>
          </reference>
          <reference field="11" count="1" selected="0">
            <x v="3"/>
          </reference>
          <reference field="13" count="1" selected="0">
            <x v="314"/>
          </reference>
        </references>
      </pivotArea>
    </format>
    <format dxfId="3665">
      <pivotArea dataOnly="0" labelOnly="1" outline="0" fieldPosition="0">
        <references count="4">
          <reference field="5" count="1">
            <x v="95"/>
          </reference>
          <reference field="8" count="1" selected="0">
            <x v="155"/>
          </reference>
          <reference field="11" count="1" selected="0">
            <x v="4"/>
          </reference>
          <reference field="13" count="1" selected="0">
            <x v="280"/>
          </reference>
        </references>
      </pivotArea>
    </format>
    <format dxfId="3664">
      <pivotArea dataOnly="0" labelOnly="1" outline="0" fieldPosition="0">
        <references count="4">
          <reference field="5" count="1">
            <x v="95"/>
          </reference>
          <reference field="8" count="1" selected="0">
            <x v="155"/>
          </reference>
          <reference field="11" count="1" selected="0">
            <x v="6"/>
          </reference>
          <reference field="13" count="1" selected="0">
            <x v="207"/>
          </reference>
        </references>
      </pivotArea>
    </format>
    <format dxfId="3663">
      <pivotArea dataOnly="0" labelOnly="1" outline="0" fieldPosition="0">
        <references count="4">
          <reference field="5" count="1">
            <x v="64"/>
          </reference>
          <reference field="8" count="1" selected="0">
            <x v="156"/>
          </reference>
          <reference field="11" count="1" selected="0">
            <x v="1"/>
          </reference>
          <reference field="13" count="1" selected="0">
            <x v="169"/>
          </reference>
        </references>
      </pivotArea>
    </format>
    <format dxfId="3662">
      <pivotArea dataOnly="0" labelOnly="1" outline="0" fieldPosition="0">
        <references count="4">
          <reference field="5" count="2">
            <x v="116"/>
            <x v="117"/>
          </reference>
          <reference field="8" count="1" selected="0">
            <x v="156"/>
          </reference>
          <reference field="11" count="1" selected="0">
            <x v="3"/>
          </reference>
          <reference field="13" count="1" selected="0">
            <x v="29"/>
          </reference>
        </references>
      </pivotArea>
    </format>
    <format dxfId="3661">
      <pivotArea dataOnly="0" labelOnly="1" outline="0" fieldPosition="0">
        <references count="4">
          <reference field="5" count="1">
            <x v="117"/>
          </reference>
          <reference field="8" count="1" selected="0">
            <x v="156"/>
          </reference>
          <reference field="11" count="1" selected="0">
            <x v="3"/>
          </reference>
          <reference field="13" count="1" selected="0">
            <x v="218"/>
          </reference>
        </references>
      </pivotArea>
    </format>
    <format dxfId="3660">
      <pivotArea dataOnly="0" labelOnly="1" outline="0" fieldPosition="0">
        <references count="4">
          <reference field="5" count="1">
            <x v="117"/>
          </reference>
          <reference field="8" count="1" selected="0">
            <x v="156"/>
          </reference>
          <reference field="11" count="1" selected="0">
            <x v="3"/>
          </reference>
          <reference field="13" count="1" selected="0">
            <x v="314"/>
          </reference>
        </references>
      </pivotArea>
    </format>
    <format dxfId="3659">
      <pivotArea dataOnly="0" labelOnly="1" outline="0" fieldPosition="0">
        <references count="4">
          <reference field="5" count="2">
            <x v="95"/>
            <x v="116"/>
          </reference>
          <reference field="8" count="1" selected="0">
            <x v="156"/>
          </reference>
          <reference field="11" count="1" selected="0">
            <x v="5"/>
          </reference>
          <reference field="13" count="1" selected="0">
            <x v="81"/>
          </reference>
        </references>
      </pivotArea>
    </format>
    <format dxfId="3658">
      <pivotArea dataOnly="0" labelOnly="1" outline="0" fieldPosition="0">
        <references count="4">
          <reference field="5" count="1">
            <x v="64"/>
          </reference>
          <reference field="8" count="1" selected="0">
            <x v="156"/>
          </reference>
          <reference field="11" count="1" selected="0">
            <x v="7"/>
          </reference>
          <reference field="13" count="1" selected="0">
            <x v="129"/>
          </reference>
        </references>
      </pivotArea>
    </format>
    <format dxfId="3657">
      <pivotArea dataOnly="0" labelOnly="1" outline="0" fieldPosition="0">
        <references count="4">
          <reference field="5" count="1">
            <x v="63"/>
          </reference>
          <reference field="8" count="1" selected="0">
            <x v="157"/>
          </reference>
          <reference field="11" count="1" selected="0">
            <x v="1"/>
          </reference>
          <reference field="13" count="1" selected="0">
            <x v="103"/>
          </reference>
        </references>
      </pivotArea>
    </format>
    <format dxfId="3656">
      <pivotArea dataOnly="0" labelOnly="1" outline="0" fieldPosition="0">
        <references count="4">
          <reference field="5" count="1">
            <x v="108"/>
          </reference>
          <reference field="8" count="1" selected="0">
            <x v="157"/>
          </reference>
          <reference field="11" count="1" selected="0">
            <x v="1"/>
          </reference>
          <reference field="13" count="1" selected="0">
            <x v="149"/>
          </reference>
        </references>
      </pivotArea>
    </format>
    <format dxfId="3655">
      <pivotArea dataOnly="0" labelOnly="1" outline="0" fieldPosition="0">
        <references count="4">
          <reference field="5" count="1">
            <x v="108"/>
          </reference>
          <reference field="8" count="1" selected="0">
            <x v="157"/>
          </reference>
          <reference field="11" count="1" selected="0">
            <x v="5"/>
          </reference>
          <reference field="13" count="1" selected="0">
            <x v="96"/>
          </reference>
        </references>
      </pivotArea>
    </format>
    <format dxfId="3654">
      <pivotArea dataOnly="0" labelOnly="1" outline="0" fieldPosition="0">
        <references count="4">
          <reference field="5" count="2">
            <x v="115"/>
            <x v="116"/>
          </reference>
          <reference field="8" count="1" selected="0">
            <x v="158"/>
          </reference>
          <reference field="11" count="1" selected="0">
            <x v="0"/>
          </reference>
          <reference field="13" count="1" selected="0">
            <x v="53"/>
          </reference>
        </references>
      </pivotArea>
    </format>
    <format dxfId="3653">
      <pivotArea dataOnly="0" labelOnly="1" outline="0" fieldPosition="0">
        <references count="4">
          <reference field="5" count="1">
            <x v="64"/>
          </reference>
          <reference field="8" count="1" selected="0">
            <x v="158"/>
          </reference>
          <reference field="11" count="1" selected="0">
            <x v="0"/>
          </reference>
          <reference field="13" count="1" selected="0">
            <x v="185"/>
          </reference>
        </references>
      </pivotArea>
    </format>
    <format dxfId="3652">
      <pivotArea dataOnly="0" labelOnly="1" outline="0" fieldPosition="0">
        <references count="4">
          <reference field="5" count="1">
            <x v="95"/>
          </reference>
          <reference field="8" count="1" selected="0">
            <x v="158"/>
          </reference>
          <reference field="11" count="1" selected="0">
            <x v="2"/>
          </reference>
          <reference field="13" count="1" selected="0">
            <x v="55"/>
          </reference>
        </references>
      </pivotArea>
    </format>
    <format dxfId="3651">
      <pivotArea dataOnly="0" labelOnly="1" outline="0" fieldPosition="0">
        <references count="4">
          <reference field="5" count="1">
            <x v="95"/>
          </reference>
          <reference field="8" count="1" selected="0">
            <x v="158"/>
          </reference>
          <reference field="11" count="1" selected="0">
            <x v="2"/>
          </reference>
          <reference field="13" count="1" selected="0">
            <x v="71"/>
          </reference>
        </references>
      </pivotArea>
    </format>
    <format dxfId="3650">
      <pivotArea dataOnly="0" labelOnly="1" outline="0" fieldPosition="0">
        <references count="4">
          <reference field="5" count="1">
            <x v="95"/>
          </reference>
          <reference field="8" count="1" selected="0">
            <x v="158"/>
          </reference>
          <reference field="11" count="1" selected="0">
            <x v="2"/>
          </reference>
          <reference field="13" count="1" selected="0">
            <x v="279"/>
          </reference>
        </references>
      </pivotArea>
    </format>
    <format dxfId="3649">
      <pivotArea dataOnly="0" labelOnly="1" outline="0" fieldPosition="0">
        <references count="4">
          <reference field="5" count="2">
            <x v="116"/>
            <x v="117"/>
          </reference>
          <reference field="8" count="1" selected="0">
            <x v="158"/>
          </reference>
          <reference field="11" count="1" selected="0">
            <x v="3"/>
          </reference>
          <reference field="13" count="1" selected="0">
            <x v="29"/>
          </reference>
        </references>
      </pivotArea>
    </format>
    <format dxfId="3648">
      <pivotArea dataOnly="0" labelOnly="1" outline="0" fieldPosition="0">
        <references count="4">
          <reference field="5" count="1">
            <x v="95"/>
          </reference>
          <reference field="8" count="1" selected="0">
            <x v="158"/>
          </reference>
          <reference field="11" count="1" selected="0">
            <x v="3"/>
          </reference>
          <reference field="13" count="1" selected="0">
            <x v="32"/>
          </reference>
        </references>
      </pivotArea>
    </format>
    <format dxfId="3647">
      <pivotArea dataOnly="0" labelOnly="1" outline="0" fieldPosition="0">
        <references count="4">
          <reference field="5" count="1">
            <x v="95"/>
          </reference>
          <reference field="8" count="1" selected="0">
            <x v="158"/>
          </reference>
          <reference field="11" count="1" selected="0">
            <x v="3"/>
          </reference>
          <reference field="13" count="1" selected="0">
            <x v="57"/>
          </reference>
        </references>
      </pivotArea>
    </format>
    <format dxfId="3646">
      <pivotArea dataOnly="0" labelOnly="1" outline="0" fieldPosition="0">
        <references count="4">
          <reference field="5" count="1">
            <x v="117"/>
          </reference>
          <reference field="8" count="1" selected="0">
            <x v="158"/>
          </reference>
          <reference field="11" count="1" selected="0">
            <x v="3"/>
          </reference>
          <reference field="13" count="1" selected="0">
            <x v="218"/>
          </reference>
        </references>
      </pivotArea>
    </format>
    <format dxfId="3645">
      <pivotArea dataOnly="0" labelOnly="1" outline="0" fieldPosition="0">
        <references count="4">
          <reference field="5" count="1">
            <x v="95"/>
          </reference>
          <reference field="8" count="1" selected="0">
            <x v="158"/>
          </reference>
          <reference field="11" count="1" selected="0">
            <x v="3"/>
          </reference>
          <reference field="13" count="1" selected="0">
            <x v="242"/>
          </reference>
        </references>
      </pivotArea>
    </format>
    <format dxfId="3644">
      <pivotArea dataOnly="0" labelOnly="1" outline="0" fieldPosition="0">
        <references count="4">
          <reference field="5" count="1">
            <x v="95"/>
          </reference>
          <reference field="8" count="1" selected="0">
            <x v="158"/>
          </reference>
          <reference field="11" count="1" selected="0">
            <x v="3"/>
          </reference>
          <reference field="13" count="1" selected="0">
            <x v="243"/>
          </reference>
        </references>
      </pivotArea>
    </format>
    <format dxfId="3643">
      <pivotArea dataOnly="0" labelOnly="1" outline="0" fieldPosition="0">
        <references count="4">
          <reference field="5" count="1">
            <x v="95"/>
          </reference>
          <reference field="8" count="1" selected="0">
            <x v="158"/>
          </reference>
          <reference field="11" count="1" selected="0">
            <x v="3"/>
          </reference>
          <reference field="13" count="1" selected="0">
            <x v="251"/>
          </reference>
        </references>
      </pivotArea>
    </format>
    <format dxfId="3642">
      <pivotArea dataOnly="0" labelOnly="1" outline="0" fieldPosition="0">
        <references count="4">
          <reference field="5" count="1">
            <x v="95"/>
          </reference>
          <reference field="8" count="1" selected="0">
            <x v="158"/>
          </reference>
          <reference field="11" count="1" selected="0">
            <x v="3"/>
          </reference>
          <reference field="13" count="1" selected="0">
            <x v="287"/>
          </reference>
        </references>
      </pivotArea>
    </format>
    <format dxfId="3641">
      <pivotArea dataOnly="0" labelOnly="1" outline="0" fieldPosition="0">
        <references count="4">
          <reference field="5" count="1">
            <x v="117"/>
          </reference>
          <reference field="8" count="1" selected="0">
            <x v="158"/>
          </reference>
          <reference field="11" count="1" selected="0">
            <x v="3"/>
          </reference>
          <reference field="13" count="1" selected="0">
            <x v="314"/>
          </reference>
        </references>
      </pivotArea>
    </format>
    <format dxfId="3640">
      <pivotArea dataOnly="0" labelOnly="1" outline="0" fieldPosition="0">
        <references count="4">
          <reference field="5" count="1">
            <x v="95"/>
          </reference>
          <reference field="8" count="1" selected="0">
            <x v="158"/>
          </reference>
          <reference field="11" count="1" selected="0">
            <x v="4"/>
          </reference>
          <reference field="13" count="1" selected="0">
            <x v="150"/>
          </reference>
        </references>
      </pivotArea>
    </format>
    <format dxfId="3639">
      <pivotArea dataOnly="0" labelOnly="1" outline="0" fieldPosition="0">
        <references count="4">
          <reference field="5" count="1">
            <x v="95"/>
          </reference>
          <reference field="8" count="1" selected="0">
            <x v="158"/>
          </reference>
          <reference field="11" count="1" selected="0">
            <x v="4"/>
          </reference>
          <reference field="13" count="1" selected="0">
            <x v="280"/>
          </reference>
        </references>
      </pivotArea>
    </format>
    <format dxfId="3638">
      <pivotArea dataOnly="0" labelOnly="1" outline="0" fieldPosition="0">
        <references count="4">
          <reference field="5" count="1">
            <x v="2"/>
          </reference>
          <reference field="8" count="1" selected="0">
            <x v="158"/>
          </reference>
          <reference field="11" count="1" selected="0">
            <x v="5"/>
          </reference>
          <reference field="13" count="1" selected="0">
            <x v="37"/>
          </reference>
        </references>
      </pivotArea>
    </format>
    <format dxfId="3637">
      <pivotArea dataOnly="0" labelOnly="1" outline="0" fieldPosition="0">
        <references count="4">
          <reference field="5" count="2">
            <x v="95"/>
            <x v="116"/>
          </reference>
          <reference field="8" count="1" selected="0">
            <x v="158"/>
          </reference>
          <reference field="11" count="1" selected="0">
            <x v="5"/>
          </reference>
          <reference field="13" count="1" selected="0">
            <x v="77"/>
          </reference>
        </references>
      </pivotArea>
    </format>
    <format dxfId="3636">
      <pivotArea dataOnly="0" labelOnly="1" outline="0" fieldPosition="0">
        <references count="4">
          <reference field="5" count="1">
            <x v="2"/>
          </reference>
          <reference field="8" count="1" selected="0">
            <x v="158"/>
          </reference>
          <reference field="11" count="1" selected="0">
            <x v="5"/>
          </reference>
          <reference field="13" count="1" selected="0">
            <x v="274"/>
          </reference>
        </references>
      </pivotArea>
    </format>
    <format dxfId="3635">
      <pivotArea dataOnly="0" labelOnly="1" outline="0" fieldPosition="0">
        <references count="4">
          <reference field="5" count="1">
            <x v="64"/>
          </reference>
          <reference field="8" count="1" selected="0">
            <x v="159"/>
          </reference>
          <reference field="11" count="1" selected="0">
            <x v="1"/>
          </reference>
          <reference field="13" count="1" selected="0">
            <x v="169"/>
          </reference>
        </references>
      </pivotArea>
    </format>
    <format dxfId="3634">
      <pivotArea dataOnly="0" labelOnly="1" outline="0" fieldPosition="0">
        <references count="4">
          <reference field="5" count="1">
            <x v="64"/>
          </reference>
          <reference field="8" count="1" selected="0">
            <x v="159"/>
          </reference>
          <reference field="11" count="1" selected="0">
            <x v="7"/>
          </reference>
          <reference field="13" count="1" selected="0">
            <x v="129"/>
          </reference>
        </references>
      </pivotArea>
    </format>
    <format dxfId="3633">
      <pivotArea dataOnly="0" labelOnly="1" outline="0" fieldPosition="0">
        <references count="4">
          <reference field="5" count="1">
            <x v="103"/>
          </reference>
          <reference field="8" count="1" selected="0">
            <x v="160"/>
          </reference>
          <reference field="11" count="1" selected="0">
            <x v="1"/>
          </reference>
          <reference field="13" count="1" selected="0">
            <x v="286"/>
          </reference>
        </references>
      </pivotArea>
    </format>
    <format dxfId="3632">
      <pivotArea dataOnly="0" labelOnly="1" outline="0" fieldPosition="0">
        <references count="4">
          <reference field="5" count="1">
            <x v="103"/>
          </reference>
          <reference field="8" count="1" selected="0">
            <x v="160"/>
          </reference>
          <reference field="11" count="1" selected="0">
            <x v="3"/>
          </reference>
          <reference field="13" count="1" selected="0">
            <x v="287"/>
          </reference>
        </references>
      </pivotArea>
    </format>
    <format dxfId="3631">
      <pivotArea dataOnly="0" labelOnly="1" outline="0" fieldPosition="0">
        <references count="4">
          <reference field="5" count="1">
            <x v="103"/>
          </reference>
          <reference field="8" count="1" selected="0">
            <x v="161"/>
          </reference>
          <reference field="11" count="1" selected="0">
            <x v="1"/>
          </reference>
          <reference field="13" count="1" selected="0">
            <x v="286"/>
          </reference>
        </references>
      </pivotArea>
    </format>
    <format dxfId="3630">
      <pivotArea dataOnly="0" labelOnly="1" outline="0" fieldPosition="0">
        <references count="4">
          <reference field="5" count="1">
            <x v="103"/>
          </reference>
          <reference field="8" count="1" selected="0">
            <x v="161"/>
          </reference>
          <reference field="11" count="1" selected="0">
            <x v="3"/>
          </reference>
          <reference field="13" count="1" selected="0">
            <x v="287"/>
          </reference>
        </references>
      </pivotArea>
    </format>
    <format dxfId="3629">
      <pivotArea dataOnly="0" labelOnly="1" outline="0" fieldPosition="0">
        <references count="4">
          <reference field="5" count="1">
            <x v="2"/>
          </reference>
          <reference field="8" count="1" selected="0">
            <x v="162"/>
          </reference>
          <reference field="11" count="1" selected="0">
            <x v="5"/>
          </reference>
          <reference field="13" count="1" selected="0">
            <x v="37"/>
          </reference>
        </references>
      </pivotArea>
    </format>
    <format dxfId="3628">
      <pivotArea dataOnly="0" labelOnly="1" outline="0" fieldPosition="0">
        <references count="4">
          <reference field="5" count="1">
            <x v="64"/>
          </reference>
          <reference field="8" count="1" selected="0">
            <x v="163"/>
          </reference>
          <reference field="11" count="1" selected="0">
            <x v="1"/>
          </reference>
          <reference field="13" count="1" selected="0">
            <x v="169"/>
          </reference>
        </references>
      </pivotArea>
    </format>
    <format dxfId="3627">
      <pivotArea dataOnly="0" labelOnly="1" outline="0" fieldPosition="0">
        <references count="4">
          <reference field="5" count="1">
            <x v="117"/>
          </reference>
          <reference field="8" count="1" selected="0">
            <x v="163"/>
          </reference>
          <reference field="11" count="1" selected="0">
            <x v="3"/>
          </reference>
          <reference field="13" count="1" selected="0">
            <x v="29"/>
          </reference>
        </references>
      </pivotArea>
    </format>
    <format dxfId="3626">
      <pivotArea dataOnly="0" labelOnly="1" outline="0" fieldPosition="0">
        <references count="4">
          <reference field="5" count="1">
            <x v="117"/>
          </reference>
          <reference field="8" count="1" selected="0">
            <x v="163"/>
          </reference>
          <reference field="11" count="1" selected="0">
            <x v="3"/>
          </reference>
          <reference field="13" count="1" selected="0">
            <x v="218"/>
          </reference>
        </references>
      </pivotArea>
    </format>
    <format dxfId="3625">
      <pivotArea dataOnly="0" labelOnly="1" outline="0" fieldPosition="0">
        <references count="4">
          <reference field="5" count="1">
            <x v="117"/>
          </reference>
          <reference field="8" count="1" selected="0">
            <x v="163"/>
          </reference>
          <reference field="11" count="1" selected="0">
            <x v="3"/>
          </reference>
          <reference field="13" count="1" selected="0">
            <x v="314"/>
          </reference>
        </references>
      </pivotArea>
    </format>
    <format dxfId="3624">
      <pivotArea dataOnly="0" labelOnly="1" outline="0" fieldPosition="0">
        <references count="4">
          <reference field="5" count="1">
            <x v="116"/>
          </reference>
          <reference field="8" count="1" selected="0">
            <x v="163"/>
          </reference>
          <reference field="11" count="1" selected="0">
            <x v="5"/>
          </reference>
          <reference field="13" count="1" selected="0">
            <x v="77"/>
          </reference>
        </references>
      </pivotArea>
    </format>
    <format dxfId="3623">
      <pivotArea dataOnly="0" labelOnly="1" outline="0" fieldPosition="0">
        <references count="4">
          <reference field="5" count="2">
            <x v="95"/>
            <x v="117"/>
          </reference>
          <reference field="8" count="1" selected="0">
            <x v="164"/>
          </reference>
          <reference field="11" count="1" selected="0">
            <x v="3"/>
          </reference>
          <reference field="13" count="1" selected="0">
            <x v="29"/>
          </reference>
        </references>
      </pivotArea>
    </format>
    <format dxfId="3622">
      <pivotArea dataOnly="0" labelOnly="1" outline="0" fieldPosition="0">
        <references count="4">
          <reference field="5" count="1">
            <x v="117"/>
          </reference>
          <reference field="8" count="1" selected="0">
            <x v="164"/>
          </reference>
          <reference field="11" count="1" selected="0">
            <x v="3"/>
          </reference>
          <reference field="13" count="1" selected="0">
            <x v="218"/>
          </reference>
        </references>
      </pivotArea>
    </format>
    <format dxfId="3621">
      <pivotArea dataOnly="0" labelOnly="1" outline="0" fieldPosition="0">
        <references count="4">
          <reference field="5" count="1">
            <x v="95"/>
          </reference>
          <reference field="8" count="1" selected="0">
            <x v="164"/>
          </reference>
          <reference field="11" count="1" selected="0">
            <x v="3"/>
          </reference>
          <reference field="13" count="1" selected="0">
            <x v="242"/>
          </reference>
        </references>
      </pivotArea>
    </format>
    <format dxfId="3620">
      <pivotArea dataOnly="0" labelOnly="1" outline="0" fieldPosition="0">
        <references count="4">
          <reference field="5" count="1">
            <x v="95"/>
          </reference>
          <reference field="8" count="1" selected="0">
            <x v="164"/>
          </reference>
          <reference field="11" count="1" selected="0">
            <x v="3"/>
          </reference>
          <reference field="13" count="1" selected="0">
            <x v="278"/>
          </reference>
        </references>
      </pivotArea>
    </format>
    <format dxfId="3619">
      <pivotArea dataOnly="0" labelOnly="1" outline="0" fieldPosition="0">
        <references count="4">
          <reference field="5" count="1">
            <x v="95"/>
          </reference>
          <reference field="8" count="1" selected="0">
            <x v="164"/>
          </reference>
          <reference field="11" count="1" selected="0">
            <x v="3"/>
          </reference>
          <reference field="13" count="1" selected="0">
            <x v="287"/>
          </reference>
        </references>
      </pivotArea>
    </format>
    <format dxfId="3618">
      <pivotArea dataOnly="0" labelOnly="1" outline="0" fieldPosition="0">
        <references count="4">
          <reference field="5" count="2">
            <x v="95"/>
            <x v="117"/>
          </reference>
          <reference field="8" count="1" selected="0">
            <x v="164"/>
          </reference>
          <reference field="11" count="1" selected="0">
            <x v="3"/>
          </reference>
          <reference field="13" count="1" selected="0">
            <x v="314"/>
          </reference>
        </references>
      </pivotArea>
    </format>
    <format dxfId="3617">
      <pivotArea dataOnly="0" labelOnly="1" outline="0" fieldPosition="0">
        <references count="4">
          <reference field="5" count="1">
            <x v="116"/>
          </reference>
          <reference field="8" count="1" selected="0">
            <x v="164"/>
          </reference>
          <reference field="11" count="1" selected="0">
            <x v="5"/>
          </reference>
          <reference field="13" count="1" selected="0">
            <x v="77"/>
          </reference>
        </references>
      </pivotArea>
    </format>
    <format dxfId="3616">
      <pivotArea dataOnly="0" labelOnly="1" outline="0" fieldPosition="0">
        <references count="4">
          <reference field="5" count="1">
            <x v="95"/>
          </reference>
          <reference field="8" count="1" selected="0">
            <x v="164"/>
          </reference>
          <reference field="11" count="1" selected="0">
            <x v="7"/>
          </reference>
          <reference field="13" count="1" selected="0">
            <x v="72"/>
          </reference>
        </references>
      </pivotArea>
    </format>
    <format dxfId="3615">
      <pivotArea dataOnly="0" labelOnly="1" outline="0" fieldPosition="0">
        <references count="4">
          <reference field="5" count="1">
            <x v="70"/>
          </reference>
          <reference field="8" count="1" selected="0">
            <x v="166"/>
          </reference>
          <reference field="11" count="1" selected="0">
            <x v="1"/>
          </reference>
          <reference field="13" count="1" selected="0">
            <x v="286"/>
          </reference>
        </references>
      </pivotArea>
    </format>
    <format dxfId="3614">
      <pivotArea dataOnly="0" labelOnly="1" outline="0" fieldPosition="0">
        <references count="4">
          <reference field="5" count="1">
            <x v="2"/>
          </reference>
          <reference field="8" count="1" selected="0">
            <x v="166"/>
          </reference>
          <reference field="11" count="1" selected="0">
            <x v="5"/>
          </reference>
          <reference field="13" count="1" selected="0">
            <x v="37"/>
          </reference>
        </references>
      </pivotArea>
    </format>
    <format dxfId="3613">
      <pivotArea dataOnly="0" labelOnly="1" outline="0" fieldPosition="0">
        <references count="4">
          <reference field="5" count="2">
            <x v="115"/>
            <x v="116"/>
          </reference>
          <reference field="8" count="1" selected="0">
            <x v="167"/>
          </reference>
          <reference field="11" count="1" selected="0">
            <x v="0"/>
          </reference>
          <reference field="13" count="1" selected="0">
            <x v="53"/>
          </reference>
        </references>
      </pivotArea>
    </format>
    <format dxfId="3612">
      <pivotArea dataOnly="0" labelOnly="1" outline="0" fieldPosition="0">
        <references count="4">
          <reference field="5" count="1">
            <x v="64"/>
          </reference>
          <reference field="8" count="1" selected="0">
            <x v="167"/>
          </reference>
          <reference field="11" count="1" selected="0">
            <x v="1"/>
          </reference>
          <reference field="13" count="1" selected="0">
            <x v="169"/>
          </reference>
        </references>
      </pivotArea>
    </format>
    <format dxfId="3611">
      <pivotArea dataOnly="0" labelOnly="1" outline="0" fieldPosition="0">
        <references count="4">
          <reference field="5" count="1">
            <x v="95"/>
          </reference>
          <reference field="8" count="1" selected="0">
            <x v="167"/>
          </reference>
          <reference field="11" count="1" selected="0">
            <x v="3"/>
          </reference>
          <reference field="13" count="1" selected="0">
            <x v="7"/>
          </reference>
        </references>
      </pivotArea>
    </format>
    <format dxfId="3610">
      <pivotArea dataOnly="0" labelOnly="1" outline="0" fieldPosition="0">
        <references count="4">
          <reference field="5" count="1">
            <x v="117"/>
          </reference>
          <reference field="8" count="1" selected="0">
            <x v="167"/>
          </reference>
          <reference field="11" count="1" selected="0">
            <x v="3"/>
          </reference>
          <reference field="13" count="1" selected="0">
            <x v="29"/>
          </reference>
        </references>
      </pivotArea>
    </format>
    <format dxfId="3609">
      <pivotArea dataOnly="0" labelOnly="1" outline="0" fieldPosition="0">
        <references count="4">
          <reference field="5" count="1">
            <x v="95"/>
          </reference>
          <reference field="8" count="1" selected="0">
            <x v="167"/>
          </reference>
          <reference field="11" count="1" selected="0">
            <x v="3"/>
          </reference>
          <reference field="13" count="1" selected="0">
            <x v="78"/>
          </reference>
        </references>
      </pivotArea>
    </format>
    <format dxfId="3608">
      <pivotArea dataOnly="0" labelOnly="1" outline="0" fieldPosition="0">
        <references count="4">
          <reference field="5" count="1">
            <x v="95"/>
          </reference>
          <reference field="8" count="1" selected="0">
            <x v="167"/>
          </reference>
          <reference field="11" count="1" selected="0">
            <x v="3"/>
          </reference>
          <reference field="13" count="1" selected="0">
            <x v="100"/>
          </reference>
        </references>
      </pivotArea>
    </format>
    <format dxfId="3607">
      <pivotArea dataOnly="0" labelOnly="1" outline="0" fieldPosition="0">
        <references count="4">
          <reference field="5" count="1">
            <x v="117"/>
          </reference>
          <reference field="8" count="1" selected="0">
            <x v="167"/>
          </reference>
          <reference field="11" count="1" selected="0">
            <x v="3"/>
          </reference>
          <reference field="13" count="1" selected="0">
            <x v="218"/>
          </reference>
        </references>
      </pivotArea>
    </format>
    <format dxfId="3606">
      <pivotArea dataOnly="0" labelOnly="1" outline="0" fieldPosition="0">
        <references count="4">
          <reference field="5" count="1">
            <x v="95"/>
          </reference>
          <reference field="8" count="1" selected="0">
            <x v="167"/>
          </reference>
          <reference field="11" count="1" selected="0">
            <x v="3"/>
          </reference>
          <reference field="13" count="1" selected="0">
            <x v="242"/>
          </reference>
        </references>
      </pivotArea>
    </format>
    <format dxfId="3605">
      <pivotArea dataOnly="0" labelOnly="1" outline="0" fieldPosition="0">
        <references count="4">
          <reference field="5" count="1">
            <x v="95"/>
          </reference>
          <reference field="8" count="1" selected="0">
            <x v="167"/>
          </reference>
          <reference field="11" count="1" selected="0">
            <x v="3"/>
          </reference>
          <reference field="13" count="1" selected="0">
            <x v="287"/>
          </reference>
        </references>
      </pivotArea>
    </format>
    <format dxfId="3604">
      <pivotArea dataOnly="0" labelOnly="1" outline="0" fieldPosition="0">
        <references count="4">
          <reference field="5" count="1">
            <x v="95"/>
          </reference>
          <reference field="8" count="1" selected="0">
            <x v="167"/>
          </reference>
          <reference field="11" count="1" selected="0">
            <x v="3"/>
          </reference>
          <reference field="13" count="1" selected="0">
            <x v="313"/>
          </reference>
        </references>
      </pivotArea>
    </format>
    <format dxfId="3603">
      <pivotArea dataOnly="0" labelOnly="1" outline="0" fieldPosition="0">
        <references count="4">
          <reference field="5" count="1">
            <x v="117"/>
          </reference>
          <reference field="8" count="1" selected="0">
            <x v="167"/>
          </reference>
          <reference field="11" count="1" selected="0">
            <x v="3"/>
          </reference>
          <reference field="13" count="1" selected="0">
            <x v="314"/>
          </reference>
        </references>
      </pivotArea>
    </format>
    <format dxfId="3602">
      <pivotArea dataOnly="0" labelOnly="1" outline="0" fieldPosition="0">
        <references count="4">
          <reference field="5" count="1">
            <x v="95"/>
          </reference>
          <reference field="8" count="1" selected="0">
            <x v="167"/>
          </reference>
          <reference field="11" count="1" selected="0">
            <x v="4"/>
          </reference>
          <reference field="13" count="1" selected="0">
            <x v="280"/>
          </reference>
        </references>
      </pivotArea>
    </format>
    <format dxfId="3601">
      <pivotArea dataOnly="0" labelOnly="1" outline="0" fieldPosition="0">
        <references count="4">
          <reference field="5" count="2">
            <x v="95"/>
            <x v="116"/>
          </reference>
          <reference field="8" count="1" selected="0">
            <x v="167"/>
          </reference>
          <reference field="11" count="1" selected="0">
            <x v="5"/>
          </reference>
          <reference field="13" count="1" selected="0">
            <x v="77"/>
          </reference>
        </references>
      </pivotArea>
    </format>
    <format dxfId="3600">
      <pivotArea dataOnly="0" labelOnly="1" outline="0" fieldPosition="0">
        <references count="4">
          <reference field="5" count="2">
            <x v="95"/>
            <x v="116"/>
          </reference>
          <reference field="8" count="1" selected="0">
            <x v="167"/>
          </reference>
          <reference field="11" count="1" selected="0">
            <x v="5"/>
          </reference>
          <reference field="13" count="1" selected="0">
            <x v="81"/>
          </reference>
        </references>
      </pivotArea>
    </format>
    <format dxfId="3599">
      <pivotArea dataOnly="0" labelOnly="1" outline="0" fieldPosition="0">
        <references count="4">
          <reference field="5" count="1">
            <x v="2"/>
          </reference>
          <reference field="8" count="1" selected="0">
            <x v="167"/>
          </reference>
          <reference field="11" count="1" selected="0">
            <x v="5"/>
          </reference>
          <reference field="13" count="1" selected="0">
            <x v="274"/>
          </reference>
        </references>
      </pivotArea>
    </format>
    <format dxfId="3598">
      <pivotArea dataOnly="0" labelOnly="1" outline="0" fieldPosition="0">
        <references count="4">
          <reference field="5" count="1">
            <x v="2"/>
          </reference>
          <reference field="8" count="1" selected="0">
            <x v="167"/>
          </reference>
          <reference field="11" count="1" selected="0">
            <x v="6"/>
          </reference>
          <reference field="13" count="1" selected="0">
            <x v="191"/>
          </reference>
        </references>
      </pivotArea>
    </format>
    <format dxfId="3597">
      <pivotArea dataOnly="0" labelOnly="1" outline="0" fieldPosition="0">
        <references count="4">
          <reference field="5" count="1">
            <x v="2"/>
          </reference>
          <reference field="8" count="1" selected="0">
            <x v="167"/>
          </reference>
          <reference field="11" count="1" selected="0">
            <x v="6"/>
          </reference>
          <reference field="13" count="1" selected="0">
            <x v="198"/>
          </reference>
        </references>
      </pivotArea>
    </format>
    <format dxfId="3596">
      <pivotArea dataOnly="0" labelOnly="1" outline="0" fieldPosition="0">
        <references count="4">
          <reference field="5" count="1">
            <x v="2"/>
          </reference>
          <reference field="8" count="1" selected="0">
            <x v="167"/>
          </reference>
          <reference field="11" count="1" selected="0">
            <x v="6"/>
          </reference>
          <reference field="13" count="1" selected="0">
            <x v="199"/>
          </reference>
        </references>
      </pivotArea>
    </format>
    <format dxfId="3595">
      <pivotArea dataOnly="0" labelOnly="1" outline="0" fieldPosition="0">
        <references count="4">
          <reference field="5" count="1">
            <x v="64"/>
          </reference>
          <reference field="8" count="1" selected="0">
            <x v="167"/>
          </reference>
          <reference field="11" count="1" selected="0">
            <x v="7"/>
          </reference>
          <reference field="13" count="1" selected="0">
            <x v="129"/>
          </reference>
        </references>
      </pivotArea>
    </format>
    <format dxfId="3594">
      <pivotArea dataOnly="0" labelOnly="1" outline="0" fieldPosition="0">
        <references count="4">
          <reference field="5" count="1">
            <x v="108"/>
          </reference>
          <reference field="8" count="1" selected="0">
            <x v="168"/>
          </reference>
          <reference field="11" count="1" selected="0">
            <x v="1"/>
          </reference>
          <reference field="13" count="1" selected="0">
            <x v="125"/>
          </reference>
        </references>
      </pivotArea>
    </format>
    <format dxfId="3593">
      <pivotArea dataOnly="0" labelOnly="1" outline="0" fieldPosition="0">
        <references count="4">
          <reference field="5" count="1">
            <x v="117"/>
          </reference>
          <reference field="8" count="1" selected="0">
            <x v="169"/>
          </reference>
          <reference field="11" count="1" selected="0">
            <x v="3"/>
          </reference>
          <reference field="13" count="1" selected="0">
            <x v="29"/>
          </reference>
        </references>
      </pivotArea>
    </format>
    <format dxfId="3592">
      <pivotArea dataOnly="0" labelOnly="1" outline="0" fieldPosition="0">
        <references count="4">
          <reference field="5" count="1">
            <x v="83"/>
          </reference>
          <reference field="8" count="1" selected="0">
            <x v="169"/>
          </reference>
          <reference field="11" count="1" selected="0">
            <x v="3"/>
          </reference>
          <reference field="13" count="1" selected="0">
            <x v="134"/>
          </reference>
        </references>
      </pivotArea>
    </format>
    <format dxfId="3591">
      <pivotArea dataOnly="0" labelOnly="1" outline="0" fieldPosition="0">
        <references count="4">
          <reference field="5" count="1">
            <x v="117"/>
          </reference>
          <reference field="8" count="1" selected="0">
            <x v="169"/>
          </reference>
          <reference field="11" count="1" selected="0">
            <x v="3"/>
          </reference>
          <reference field="13" count="1" selected="0">
            <x v="218"/>
          </reference>
        </references>
      </pivotArea>
    </format>
    <format dxfId="3590">
      <pivotArea dataOnly="0" labelOnly="1" outline="0" fieldPosition="0">
        <references count="4">
          <reference field="5" count="1">
            <x v="117"/>
          </reference>
          <reference field="8" count="1" selected="0">
            <x v="169"/>
          </reference>
          <reference field="11" count="1" selected="0">
            <x v="3"/>
          </reference>
          <reference field="13" count="1" selected="0">
            <x v="314"/>
          </reference>
        </references>
      </pivotArea>
    </format>
    <format dxfId="3589">
      <pivotArea dataOnly="0" labelOnly="1" outline="0" fieldPosition="0">
        <references count="4">
          <reference field="5" count="1">
            <x v="83"/>
          </reference>
          <reference field="8" count="1" selected="0">
            <x v="169"/>
          </reference>
          <reference field="11" count="1" selected="0">
            <x v="4"/>
          </reference>
          <reference field="13" count="1" selected="0">
            <x v="133"/>
          </reference>
        </references>
      </pivotArea>
    </format>
    <format dxfId="3588">
      <pivotArea dataOnly="0" labelOnly="1" outline="0" fieldPosition="0">
        <references count="4">
          <reference field="5" count="3">
            <x v="20"/>
            <x v="83"/>
            <x v="116"/>
          </reference>
          <reference field="8" count="1" selected="0">
            <x v="169"/>
          </reference>
          <reference field="11" count="1" selected="0">
            <x v="5"/>
          </reference>
          <reference field="13" count="1" selected="0">
            <x v="77"/>
          </reference>
        </references>
      </pivotArea>
    </format>
    <format dxfId="3587">
      <pivotArea dataOnly="0" labelOnly="1" outline="0" fieldPosition="0">
        <references count="4">
          <reference field="5" count="1">
            <x v="70"/>
          </reference>
          <reference field="8" count="1" selected="0">
            <x v="170"/>
          </reference>
          <reference field="11" count="1" selected="0">
            <x v="1"/>
          </reference>
          <reference field="13" count="1" selected="0">
            <x v="164"/>
          </reference>
        </references>
      </pivotArea>
    </format>
    <format dxfId="3586">
      <pivotArea dataOnly="0" labelOnly="1" outline="0" fieldPosition="0">
        <references count="4">
          <reference field="5" count="1">
            <x v="70"/>
          </reference>
          <reference field="8" count="1" selected="0">
            <x v="170"/>
          </reference>
          <reference field="11" count="1" selected="0">
            <x v="1"/>
          </reference>
          <reference field="13" count="1" selected="0">
            <x v="167"/>
          </reference>
        </references>
      </pivotArea>
    </format>
    <format dxfId="3585">
      <pivotArea dataOnly="0" labelOnly="1" outline="0" fieldPosition="0">
        <references count="4">
          <reference field="5" count="1">
            <x v="70"/>
          </reference>
          <reference field="8" count="1" selected="0">
            <x v="170"/>
          </reference>
          <reference field="11" count="1" selected="0">
            <x v="1"/>
          </reference>
          <reference field="13" count="1" selected="0">
            <x v="187"/>
          </reference>
        </references>
      </pivotArea>
    </format>
    <format dxfId="3584">
      <pivotArea dataOnly="0" labelOnly="1" outline="0" fieldPosition="0">
        <references count="4">
          <reference field="5" count="1">
            <x v="70"/>
          </reference>
          <reference field="8" count="1" selected="0">
            <x v="170"/>
          </reference>
          <reference field="11" count="1" selected="0">
            <x v="1"/>
          </reference>
          <reference field="13" count="1" selected="0">
            <x v="228"/>
          </reference>
        </references>
      </pivotArea>
    </format>
    <format dxfId="3583">
      <pivotArea dataOnly="0" labelOnly="1" outline="0" fieldPosition="0">
        <references count="4">
          <reference field="5" count="1">
            <x v="70"/>
          </reference>
          <reference field="8" count="1" selected="0">
            <x v="170"/>
          </reference>
          <reference field="11" count="1" selected="0">
            <x v="1"/>
          </reference>
          <reference field="13" count="1" selected="0">
            <x v="286"/>
          </reference>
        </references>
      </pivotArea>
    </format>
    <format dxfId="3582">
      <pivotArea dataOnly="0" labelOnly="1" outline="0" fieldPosition="0">
        <references count="4">
          <reference field="5" count="1">
            <x v="70"/>
          </reference>
          <reference field="8" count="1" selected="0">
            <x v="170"/>
          </reference>
          <reference field="11" count="1" selected="0">
            <x v="1"/>
          </reference>
          <reference field="13" count="1" selected="0">
            <x v="315"/>
          </reference>
        </references>
      </pivotArea>
    </format>
    <format dxfId="3581">
      <pivotArea dataOnly="0" labelOnly="1" outline="0" fieldPosition="0">
        <references count="4">
          <reference field="5" count="1">
            <x v="64"/>
          </reference>
          <reference field="8" count="1" selected="0">
            <x v="171"/>
          </reference>
          <reference field="11" count="1" selected="0">
            <x v="1"/>
          </reference>
          <reference field="13" count="1" selected="0">
            <x v="169"/>
          </reference>
        </references>
      </pivotArea>
    </format>
    <format dxfId="3580">
      <pivotArea dataOnly="0" labelOnly="1" outline="0" fieldPosition="0">
        <references count="4">
          <reference field="5" count="1">
            <x v="64"/>
          </reference>
          <reference field="8" count="1" selected="0">
            <x v="171"/>
          </reference>
          <reference field="11" count="1" selected="0">
            <x v="1"/>
          </reference>
          <reference field="13" count="1" selected="0">
            <x v="230"/>
          </reference>
        </references>
      </pivotArea>
    </format>
    <format dxfId="3579">
      <pivotArea dataOnly="0" labelOnly="1" outline="0" fieldPosition="0">
        <references count="4">
          <reference field="5" count="1">
            <x v="60"/>
          </reference>
          <reference field="8" count="1" selected="0">
            <x v="171"/>
          </reference>
          <reference field="11" count="1" selected="0">
            <x v="3"/>
          </reference>
          <reference field="13" count="1" selected="0">
            <x v="242"/>
          </reference>
        </references>
      </pivotArea>
    </format>
    <format dxfId="3578">
      <pivotArea dataOnly="0" labelOnly="1" outline="0" fieldPosition="0">
        <references count="4">
          <reference field="5" count="1">
            <x v="64"/>
          </reference>
          <reference field="8" count="1" selected="0">
            <x v="171"/>
          </reference>
          <reference field="11" count="1" selected="0">
            <x v="7"/>
          </reference>
          <reference field="13" count="1" selected="0">
            <x v="129"/>
          </reference>
        </references>
      </pivotArea>
    </format>
    <format dxfId="3577">
      <pivotArea dataOnly="0" labelOnly="1" outline="0" fieldPosition="0">
        <references count="4">
          <reference field="5" count="1">
            <x v="64"/>
          </reference>
          <reference field="8" count="1" selected="0">
            <x v="172"/>
          </reference>
          <reference field="11" count="1" selected="0">
            <x v="1"/>
          </reference>
          <reference field="13" count="1" selected="0">
            <x v="169"/>
          </reference>
        </references>
      </pivotArea>
    </format>
    <format dxfId="3576">
      <pivotArea dataOnly="0" labelOnly="1" outline="0" fieldPosition="0">
        <references count="4">
          <reference field="5" count="1">
            <x v="64"/>
          </reference>
          <reference field="8" count="1" selected="0">
            <x v="172"/>
          </reference>
          <reference field="11" count="1" selected="0">
            <x v="1"/>
          </reference>
          <reference field="13" count="1" selected="0">
            <x v="230"/>
          </reference>
        </references>
      </pivotArea>
    </format>
    <format dxfId="3575">
      <pivotArea dataOnly="0" labelOnly="1" outline="0" fieldPosition="0">
        <references count="4">
          <reference field="5" count="1">
            <x v="108"/>
          </reference>
          <reference field="8" count="1" selected="0">
            <x v="172"/>
          </reference>
          <reference field="11" count="1" selected="0">
            <x v="7"/>
          </reference>
          <reference field="13" count="1" selected="0">
            <x v="72"/>
          </reference>
        </references>
      </pivotArea>
    </format>
    <format dxfId="3574">
      <pivotArea dataOnly="0" labelOnly="1" outline="0" fieldPosition="0">
        <references count="4">
          <reference field="5" count="1">
            <x v="64"/>
          </reference>
          <reference field="8" count="1" selected="0">
            <x v="172"/>
          </reference>
          <reference field="11" count="1" selected="0">
            <x v="7"/>
          </reference>
          <reference field="13" count="1" selected="0">
            <x v="129"/>
          </reference>
        </references>
      </pivotArea>
    </format>
    <format dxfId="3573">
      <pivotArea dataOnly="0" labelOnly="1" outline="0" fieldPosition="0">
        <references count="4">
          <reference field="5" count="2">
            <x v="0"/>
            <x v="47"/>
          </reference>
          <reference field="8" count="1" selected="0">
            <x v="173"/>
          </reference>
          <reference field="11" count="1" selected="0">
            <x v="0"/>
          </reference>
          <reference field="13" count="1" selected="0">
            <x v="182"/>
          </reference>
        </references>
      </pivotArea>
    </format>
    <format dxfId="3572">
      <pivotArea dataOnly="0" labelOnly="1" outline="0" fieldPosition="0">
        <references count="4">
          <reference field="5" count="1">
            <x v="116"/>
          </reference>
          <reference field="8" count="1" selected="0">
            <x v="173"/>
          </reference>
          <reference field="11" count="1" selected="0">
            <x v="5"/>
          </reference>
          <reference field="13" count="1" selected="0">
            <x v="77"/>
          </reference>
        </references>
      </pivotArea>
    </format>
    <format dxfId="3571">
      <pivotArea dataOnly="0" labelOnly="1" outline="0" fieldPosition="0">
        <references count="4">
          <reference field="5" count="1">
            <x v="38"/>
          </reference>
          <reference field="8" count="1" selected="0">
            <x v="174"/>
          </reference>
          <reference field="11" count="1" selected="0">
            <x v="5"/>
          </reference>
          <reference field="13" count="1" selected="0">
            <x v="77"/>
          </reference>
        </references>
      </pivotArea>
    </format>
    <format dxfId="3570">
      <pivotArea dataOnly="0" labelOnly="1" outline="0" fieldPosition="0">
        <references count="4">
          <reference field="5" count="1">
            <x v="116"/>
          </reference>
          <reference field="8" count="1" selected="0">
            <x v="174"/>
          </reference>
          <reference field="11" count="1" selected="0">
            <x v="5"/>
          </reference>
          <reference field="13" count="1" selected="0">
            <x v="81"/>
          </reference>
        </references>
      </pivotArea>
    </format>
    <format dxfId="3569">
      <pivotArea dataOnly="0" labelOnly="1" outline="0" fieldPosition="0">
        <references count="4">
          <reference field="5" count="1">
            <x v="32"/>
          </reference>
          <reference field="8" count="1" selected="0">
            <x v="175"/>
          </reference>
          <reference field="11" count="1" selected="0">
            <x v="3"/>
          </reference>
          <reference field="13" count="1" selected="0">
            <x v="287"/>
          </reference>
        </references>
      </pivotArea>
    </format>
    <format dxfId="3568">
      <pivotArea dataOnly="0" labelOnly="1" outline="0" fieldPosition="0">
        <references count="4">
          <reference field="5" count="1">
            <x v="32"/>
          </reference>
          <reference field="8" count="1" selected="0">
            <x v="175"/>
          </reference>
          <reference field="11" count="1" selected="0">
            <x v="4"/>
          </reference>
          <reference field="13" count="1" selected="0">
            <x v="133"/>
          </reference>
        </references>
      </pivotArea>
    </format>
    <format dxfId="3567">
      <pivotArea dataOnly="0" labelOnly="1" outline="0" fieldPosition="0">
        <references count="4">
          <reference field="5" count="1">
            <x v="16"/>
          </reference>
          <reference field="8" count="1" selected="0">
            <x v="176"/>
          </reference>
          <reference field="11" count="1" selected="0">
            <x v="3"/>
          </reference>
          <reference field="13" count="1" selected="0">
            <x v="305"/>
          </reference>
        </references>
      </pivotArea>
    </format>
    <format dxfId="3566">
      <pivotArea dataOnly="0" labelOnly="1" outline="0" fieldPosition="0">
        <references count="4">
          <reference field="5" count="1">
            <x v="17"/>
          </reference>
          <reference field="8" count="1" selected="0">
            <x v="176"/>
          </reference>
          <reference field="11" count="1" selected="0">
            <x v="5"/>
          </reference>
          <reference field="13" count="1" selected="0">
            <x v="229"/>
          </reference>
        </references>
      </pivotArea>
    </format>
    <format dxfId="3565">
      <pivotArea dataOnly="0" labelOnly="1" outline="0" fieldPosition="0">
        <references count="4">
          <reference field="5" count="2">
            <x v="16"/>
            <x v="120"/>
          </reference>
          <reference field="8" count="1" selected="0">
            <x v="177"/>
          </reference>
          <reference field="11" count="1" selected="0">
            <x v="3"/>
          </reference>
          <reference field="13" count="1" selected="0">
            <x v="17"/>
          </reference>
        </references>
      </pivotArea>
    </format>
    <format dxfId="3564">
      <pivotArea dataOnly="0" labelOnly="1" outline="0" fieldPosition="0">
        <references count="4">
          <reference field="5" count="1">
            <x v="20"/>
          </reference>
          <reference field="8" count="1" selected="0">
            <x v="177"/>
          </reference>
          <reference field="11" count="1" selected="0">
            <x v="5"/>
          </reference>
          <reference field="13" count="1" selected="0">
            <x v="77"/>
          </reference>
        </references>
      </pivotArea>
    </format>
    <format dxfId="3563">
      <pivotArea dataOnly="0" labelOnly="1" outline="0" fieldPosition="0">
        <references count="4">
          <reference field="5" count="1">
            <x v="31"/>
          </reference>
          <reference field="8" count="1" selected="0">
            <x v="178"/>
          </reference>
          <reference field="11" count="1" selected="0">
            <x v="1"/>
          </reference>
          <reference field="13" count="1" selected="0">
            <x v="225"/>
          </reference>
        </references>
      </pivotArea>
    </format>
    <format dxfId="3562">
      <pivotArea dataOnly="0" labelOnly="1" outline="0" fieldPosition="0">
        <references count="4">
          <reference field="5" count="1">
            <x v="68"/>
          </reference>
          <reference field="8" count="1" selected="0">
            <x v="178"/>
          </reference>
          <reference field="11" count="1" selected="0">
            <x v="7"/>
          </reference>
          <reference field="13" count="1" selected="0">
            <x v="72"/>
          </reference>
        </references>
      </pivotArea>
    </format>
    <format dxfId="3561">
      <pivotArea dataOnly="0" labelOnly="1" outline="0" fieldPosition="0">
        <references count="4">
          <reference field="5" count="1">
            <x v="108"/>
          </reference>
          <reference field="8" count="1" selected="0">
            <x v="179"/>
          </reference>
          <reference field="11" count="1" selected="0">
            <x v="2"/>
          </reference>
          <reference field="13" count="1" selected="0">
            <x v="173"/>
          </reference>
        </references>
      </pivotArea>
    </format>
    <format dxfId="3560">
      <pivotArea dataOnly="0" labelOnly="1" outline="0" fieldPosition="0">
        <references count="4">
          <reference field="5" count="1">
            <x v="70"/>
          </reference>
          <reference field="8" count="1" selected="0">
            <x v="179"/>
          </reference>
          <reference field="11" count="1" selected="0">
            <x v="4"/>
          </reference>
          <reference field="13" count="1" selected="0">
            <x v="280"/>
          </reference>
        </references>
      </pivotArea>
    </format>
    <format dxfId="3559">
      <pivotArea dataOnly="0" labelOnly="1" outline="0" fieldPosition="0">
        <references count="4">
          <reference field="5" count="2">
            <x v="115"/>
            <x v="116"/>
          </reference>
          <reference field="8" count="1" selected="0">
            <x v="180"/>
          </reference>
          <reference field="11" count="1" selected="0">
            <x v="0"/>
          </reference>
          <reference field="13" count="1" selected="0">
            <x v="53"/>
          </reference>
        </references>
      </pivotArea>
    </format>
    <format dxfId="3558">
      <pivotArea dataOnly="0" labelOnly="1" outline="0" fieldPosition="0">
        <references count="4">
          <reference field="5" count="2">
            <x v="116"/>
            <x v="117"/>
          </reference>
          <reference field="8" count="1" selected="0">
            <x v="180"/>
          </reference>
          <reference field="11" count="1" selected="0">
            <x v="3"/>
          </reference>
          <reference field="13" count="1" selected="0">
            <x v="29"/>
          </reference>
        </references>
      </pivotArea>
    </format>
    <format dxfId="3557">
      <pivotArea dataOnly="0" labelOnly="1" outline="0" fieldPosition="0">
        <references count="4">
          <reference field="5" count="1">
            <x v="117"/>
          </reference>
          <reference field="8" count="1" selected="0">
            <x v="180"/>
          </reference>
          <reference field="11" count="1" selected="0">
            <x v="3"/>
          </reference>
          <reference field="13" count="1" selected="0">
            <x v="218"/>
          </reference>
        </references>
      </pivotArea>
    </format>
    <format dxfId="3556">
      <pivotArea dataOnly="0" labelOnly="1" outline="0" fieldPosition="0">
        <references count="4">
          <reference field="5" count="1">
            <x v="96"/>
          </reference>
          <reference field="8" count="1" selected="0">
            <x v="180"/>
          </reference>
          <reference field="11" count="1" selected="0">
            <x v="3"/>
          </reference>
          <reference field="13" count="1" selected="0">
            <x v="242"/>
          </reference>
        </references>
      </pivotArea>
    </format>
    <format dxfId="3555">
      <pivotArea dataOnly="0" labelOnly="1" outline="0" fieldPosition="0">
        <references count="4">
          <reference field="5" count="1">
            <x v="96"/>
          </reference>
          <reference field="8" count="1" selected="0">
            <x v="180"/>
          </reference>
          <reference field="11" count="1" selected="0">
            <x v="3"/>
          </reference>
          <reference field="13" count="1" selected="0">
            <x v="243"/>
          </reference>
        </references>
      </pivotArea>
    </format>
    <format dxfId="3554">
      <pivotArea dataOnly="0" labelOnly="1" outline="0" fieldPosition="0">
        <references count="4">
          <reference field="5" count="1">
            <x v="96"/>
          </reference>
          <reference field="8" count="1" selected="0">
            <x v="180"/>
          </reference>
          <reference field="11" count="1" selected="0">
            <x v="3"/>
          </reference>
          <reference field="13" count="1" selected="0">
            <x v="287"/>
          </reference>
        </references>
      </pivotArea>
    </format>
    <format dxfId="3553">
      <pivotArea dataOnly="0" labelOnly="1" outline="0" fieldPosition="0">
        <references count="4">
          <reference field="5" count="1">
            <x v="117"/>
          </reference>
          <reference field="8" count="1" selected="0">
            <x v="180"/>
          </reference>
          <reference field="11" count="1" selected="0">
            <x v="3"/>
          </reference>
          <reference field="13" count="1" selected="0">
            <x v="314"/>
          </reference>
        </references>
      </pivotArea>
    </format>
    <format dxfId="3552">
      <pivotArea dataOnly="0" labelOnly="1" outline="0" fieldPosition="0">
        <references count="4">
          <reference field="5" count="1">
            <x v="95"/>
          </reference>
          <reference field="8" count="1" selected="0">
            <x v="180"/>
          </reference>
          <reference field="11" count="1" selected="0">
            <x v="5"/>
          </reference>
          <reference field="13" count="1" selected="0">
            <x v="77"/>
          </reference>
        </references>
      </pivotArea>
    </format>
    <format dxfId="3551">
      <pivotArea dataOnly="0" labelOnly="1" outline="0" fieldPosition="0">
        <references count="4">
          <reference field="5" count="1">
            <x v="47"/>
          </reference>
          <reference field="8" count="1" selected="0">
            <x v="181"/>
          </reference>
          <reference field="11" count="1" selected="0">
            <x v="0"/>
          </reference>
          <reference field="13" count="1" selected="0">
            <x v="192"/>
          </reference>
        </references>
      </pivotArea>
    </format>
    <format dxfId="3550">
      <pivotArea dataOnly="0" labelOnly="1" outline="0" fieldPosition="0">
        <references count="4">
          <reference field="5" count="1">
            <x v="64"/>
          </reference>
          <reference field="8" count="1" selected="0">
            <x v="181"/>
          </reference>
          <reference field="11" count="1" selected="0">
            <x v="1"/>
          </reference>
          <reference field="13" count="1" selected="0">
            <x v="121"/>
          </reference>
        </references>
      </pivotArea>
    </format>
    <format dxfId="3549">
      <pivotArea dataOnly="0" labelOnly="1" outline="0" fieldPosition="0">
        <references count="4">
          <reference field="5" count="1">
            <x v="108"/>
          </reference>
          <reference field="8" count="1" selected="0">
            <x v="181"/>
          </reference>
          <reference field="11" count="1" selected="0">
            <x v="1"/>
          </reference>
          <reference field="13" count="1" selected="0">
            <x v="125"/>
          </reference>
        </references>
      </pivotArea>
    </format>
    <format dxfId="3548">
      <pivotArea dataOnly="0" labelOnly="1" outline="0" fieldPosition="0">
        <references count="4">
          <reference field="5" count="1">
            <x v="108"/>
          </reference>
          <reference field="8" count="1" selected="0">
            <x v="181"/>
          </reference>
          <reference field="11" count="1" selected="0">
            <x v="1"/>
          </reference>
          <reference field="13" count="1" selected="0">
            <x v="149"/>
          </reference>
        </references>
      </pivotArea>
    </format>
    <format dxfId="3547">
      <pivotArea dataOnly="0" labelOnly="1" outline="0" fieldPosition="0">
        <references count="4">
          <reference field="5" count="1">
            <x v="64"/>
          </reference>
          <reference field="8" count="1" selected="0">
            <x v="181"/>
          </reference>
          <reference field="11" count="1" selected="0">
            <x v="1"/>
          </reference>
          <reference field="13" count="1" selected="0">
            <x v="169"/>
          </reference>
        </references>
      </pivotArea>
    </format>
    <format dxfId="3546">
      <pivotArea dataOnly="0" labelOnly="1" outline="0" fieldPosition="0">
        <references count="4">
          <reference field="5" count="1">
            <x v="108"/>
          </reference>
          <reference field="8" count="1" selected="0">
            <x v="181"/>
          </reference>
          <reference field="11" count="1" selected="0">
            <x v="1"/>
          </reference>
          <reference field="13" count="1" selected="0">
            <x v="286"/>
          </reference>
        </references>
      </pivotArea>
    </format>
    <format dxfId="3545">
      <pivotArea dataOnly="0" labelOnly="1" outline="0" fieldPosition="0">
        <references count="4">
          <reference field="5" count="1">
            <x v="108"/>
          </reference>
          <reference field="8" count="1" selected="0">
            <x v="181"/>
          </reference>
          <reference field="11" count="1" selected="0">
            <x v="2"/>
          </reference>
          <reference field="13" count="1" selected="0">
            <x v="35"/>
          </reference>
        </references>
      </pivotArea>
    </format>
    <format dxfId="3544">
      <pivotArea dataOnly="0" labelOnly="1" outline="0" fieldPosition="0">
        <references count="4">
          <reference field="5" count="1">
            <x v="108"/>
          </reference>
          <reference field="8" count="1" selected="0">
            <x v="181"/>
          </reference>
          <reference field="11" count="1" selected="0">
            <x v="2"/>
          </reference>
          <reference field="13" count="1" selected="0">
            <x v="38"/>
          </reference>
        </references>
      </pivotArea>
    </format>
    <format dxfId="3543">
      <pivotArea dataOnly="0" labelOnly="1" outline="0" fieldPosition="0">
        <references count="4">
          <reference field="5" count="1">
            <x v="108"/>
          </reference>
          <reference field="8" count="1" selected="0">
            <x v="181"/>
          </reference>
          <reference field="11" count="1" selected="0">
            <x v="2"/>
          </reference>
          <reference field="13" count="1" selected="0">
            <x v="44"/>
          </reference>
        </references>
      </pivotArea>
    </format>
    <format dxfId="3542">
      <pivotArea dataOnly="0" labelOnly="1" outline="0" fieldPosition="0">
        <references count="4">
          <reference field="5" count="1">
            <x v="108"/>
          </reference>
          <reference field="8" count="1" selected="0">
            <x v="181"/>
          </reference>
          <reference field="11" count="1" selected="0">
            <x v="2"/>
          </reference>
          <reference field="13" count="1" selected="0">
            <x v="52"/>
          </reference>
        </references>
      </pivotArea>
    </format>
    <format dxfId="3541">
      <pivotArea dataOnly="0" labelOnly="1" outline="0" fieldPosition="0">
        <references count="4">
          <reference field="5" count="1">
            <x v="108"/>
          </reference>
          <reference field="8" count="1" selected="0">
            <x v="181"/>
          </reference>
          <reference field="11" count="1" selected="0">
            <x v="2"/>
          </reference>
          <reference field="13" count="1" selected="0">
            <x v="55"/>
          </reference>
        </references>
      </pivotArea>
    </format>
    <format dxfId="3540">
      <pivotArea dataOnly="0" labelOnly="1" outline="0" fieldPosition="0">
        <references count="4">
          <reference field="5" count="1">
            <x v="108"/>
          </reference>
          <reference field="8" count="1" selected="0">
            <x v="181"/>
          </reference>
          <reference field="11" count="1" selected="0">
            <x v="2"/>
          </reference>
          <reference field="13" count="1" selected="0">
            <x v="173"/>
          </reference>
        </references>
      </pivotArea>
    </format>
    <format dxfId="3539">
      <pivotArea dataOnly="0" labelOnly="1" outline="0" fieldPosition="0">
        <references count="4">
          <reference field="5" count="1">
            <x v="108"/>
          </reference>
          <reference field="8" count="1" selected="0">
            <x v="181"/>
          </reference>
          <reference field="11" count="1" selected="0">
            <x v="2"/>
          </reference>
          <reference field="13" count="1" selected="0">
            <x v="205"/>
          </reference>
        </references>
      </pivotArea>
    </format>
    <format dxfId="3538">
      <pivotArea dataOnly="0" labelOnly="1" outline="0" fieldPosition="0">
        <references count="4">
          <reference field="5" count="1">
            <x v="108"/>
          </reference>
          <reference field="8" count="1" selected="0">
            <x v="181"/>
          </reference>
          <reference field="11" count="1" selected="0">
            <x v="2"/>
          </reference>
          <reference field="13" count="1" selected="0">
            <x v="232"/>
          </reference>
        </references>
      </pivotArea>
    </format>
    <format dxfId="3537">
      <pivotArea dataOnly="0" labelOnly="1" outline="0" fieldPosition="0">
        <references count="4">
          <reference field="5" count="1">
            <x v="108"/>
          </reference>
          <reference field="8" count="1" selected="0">
            <x v="181"/>
          </reference>
          <reference field="11" count="1" selected="0">
            <x v="2"/>
          </reference>
          <reference field="13" count="1" selected="0">
            <x v="279"/>
          </reference>
        </references>
      </pivotArea>
    </format>
    <format dxfId="3536">
      <pivotArea dataOnly="0" labelOnly="1" outline="0" fieldPosition="0">
        <references count="4">
          <reference field="5" count="1">
            <x v="108"/>
          </reference>
          <reference field="8" count="1" selected="0">
            <x v="181"/>
          </reference>
          <reference field="11" count="1" selected="0">
            <x v="2"/>
          </reference>
          <reference field="13" count="1" selected="0">
            <x v="285"/>
          </reference>
        </references>
      </pivotArea>
    </format>
    <format dxfId="3535">
      <pivotArea dataOnly="0" labelOnly="1" outline="0" fieldPosition="0">
        <references count="4">
          <reference field="5" count="2">
            <x v="108"/>
            <x v="110"/>
          </reference>
          <reference field="8" count="1" selected="0">
            <x v="181"/>
          </reference>
          <reference field="11" count="1" selected="0">
            <x v="3"/>
          </reference>
          <reference field="13" count="1" selected="0">
            <x v="7"/>
          </reference>
        </references>
      </pivotArea>
    </format>
    <format dxfId="3534">
      <pivotArea dataOnly="0" labelOnly="1" outline="0" fieldPosition="0">
        <references count="4">
          <reference field="5" count="2">
            <x v="108"/>
            <x v="110"/>
          </reference>
          <reference field="8" count="1" selected="0">
            <x v="181"/>
          </reference>
          <reference field="11" count="1" selected="0">
            <x v="3"/>
          </reference>
          <reference field="13" count="1" selected="0">
            <x v="17"/>
          </reference>
        </references>
      </pivotArea>
    </format>
    <format dxfId="3533">
      <pivotArea dataOnly="0" labelOnly="1" outline="0" fieldPosition="0">
        <references count="4">
          <reference field="5" count="2">
            <x v="108"/>
            <x v="110"/>
          </reference>
          <reference field="8" count="1" selected="0">
            <x v="181"/>
          </reference>
          <reference field="11" count="1" selected="0">
            <x v="3"/>
          </reference>
          <reference field="13" count="1" selected="0">
            <x v="32"/>
          </reference>
        </references>
      </pivotArea>
    </format>
    <format dxfId="3532">
      <pivotArea dataOnly="0" labelOnly="1" outline="0" fieldPosition="0">
        <references count="4">
          <reference field="5" count="1">
            <x v="108"/>
          </reference>
          <reference field="8" count="1" selected="0">
            <x v="181"/>
          </reference>
          <reference field="11" count="1" selected="0">
            <x v="3"/>
          </reference>
          <reference field="13" count="1" selected="0">
            <x v="54"/>
          </reference>
        </references>
      </pivotArea>
    </format>
    <format dxfId="3531">
      <pivotArea dataOnly="0" labelOnly="1" outline="0" fieldPosition="0">
        <references count="4">
          <reference field="5" count="1">
            <x v="108"/>
          </reference>
          <reference field="8" count="1" selected="0">
            <x v="181"/>
          </reference>
          <reference field="11" count="1" selected="0">
            <x v="3"/>
          </reference>
          <reference field="13" count="1" selected="0">
            <x v="57"/>
          </reference>
        </references>
      </pivotArea>
    </format>
    <format dxfId="3530">
      <pivotArea dataOnly="0" labelOnly="1" outline="0" fieldPosition="0">
        <references count="4">
          <reference field="5" count="1">
            <x v="108"/>
          </reference>
          <reference field="8" count="1" selected="0">
            <x v="181"/>
          </reference>
          <reference field="11" count="1" selected="0">
            <x v="3"/>
          </reference>
          <reference field="13" count="1" selected="0">
            <x v="69"/>
          </reference>
        </references>
      </pivotArea>
    </format>
    <format dxfId="3529">
      <pivotArea dataOnly="0" labelOnly="1" outline="0" fieldPosition="0">
        <references count="4">
          <reference field="5" count="1">
            <x v="108"/>
          </reference>
          <reference field="8" count="1" selected="0">
            <x v="181"/>
          </reference>
          <reference field="11" count="1" selected="0">
            <x v="3"/>
          </reference>
          <reference field="13" count="1" selected="0">
            <x v="78"/>
          </reference>
        </references>
      </pivotArea>
    </format>
    <format dxfId="3528">
      <pivotArea dataOnly="0" labelOnly="1" outline="0" fieldPosition="0">
        <references count="4">
          <reference field="5" count="1">
            <x v="110"/>
          </reference>
          <reference field="8" count="1" selected="0">
            <x v="181"/>
          </reference>
          <reference field="11" count="1" selected="0">
            <x v="3"/>
          </reference>
          <reference field="13" count="1" selected="0">
            <x v="92"/>
          </reference>
        </references>
      </pivotArea>
    </format>
    <format dxfId="3527">
      <pivotArea dataOnly="0" labelOnly="1" outline="0" fieldPosition="0">
        <references count="4">
          <reference field="5" count="1">
            <x v="108"/>
          </reference>
          <reference field="8" count="1" selected="0">
            <x v="181"/>
          </reference>
          <reference field="11" count="1" selected="0">
            <x v="3"/>
          </reference>
          <reference field="13" count="1" selected="0">
            <x v="100"/>
          </reference>
        </references>
      </pivotArea>
    </format>
    <format dxfId="3526">
      <pivotArea dataOnly="0" labelOnly="1" outline="0" fieldPosition="0">
        <references count="4">
          <reference field="5" count="1">
            <x v="108"/>
          </reference>
          <reference field="8" count="1" selected="0">
            <x v="181"/>
          </reference>
          <reference field="11" count="1" selected="0">
            <x v="3"/>
          </reference>
          <reference field="13" count="1" selected="0">
            <x v="131"/>
          </reference>
        </references>
      </pivotArea>
    </format>
    <format dxfId="3525">
      <pivotArea dataOnly="0" labelOnly="1" outline="0" fieldPosition="0">
        <references count="4">
          <reference field="5" count="1">
            <x v="108"/>
          </reference>
          <reference field="8" count="1" selected="0">
            <x v="181"/>
          </reference>
          <reference field="11" count="1" selected="0">
            <x v="3"/>
          </reference>
          <reference field="13" count="1" selected="0">
            <x v="156"/>
          </reference>
        </references>
      </pivotArea>
    </format>
    <format dxfId="3524">
      <pivotArea dataOnly="0" labelOnly="1" outline="0" fieldPosition="0">
        <references count="4">
          <reference field="5" count="2">
            <x v="64"/>
            <x v="108"/>
          </reference>
          <reference field="8" count="1" selected="0">
            <x v="181"/>
          </reference>
          <reference field="11" count="1" selected="0">
            <x v="3"/>
          </reference>
          <reference field="13" count="1" selected="0">
            <x v="240"/>
          </reference>
        </references>
      </pivotArea>
    </format>
    <format dxfId="3523">
      <pivotArea dataOnly="0" labelOnly="1" outline="0" fieldPosition="0">
        <references count="4">
          <reference field="5" count="1">
            <x v="108"/>
          </reference>
          <reference field="8" count="1" selected="0">
            <x v="181"/>
          </reference>
          <reference field="11" count="1" selected="0">
            <x v="3"/>
          </reference>
          <reference field="13" count="1" selected="0">
            <x v="242"/>
          </reference>
        </references>
      </pivotArea>
    </format>
    <format dxfId="3522">
      <pivotArea dataOnly="0" labelOnly="1" outline="0" fieldPosition="0">
        <references count="4">
          <reference field="5" count="2">
            <x v="64"/>
            <x v="108"/>
          </reference>
          <reference field="8" count="1" selected="0">
            <x v="181"/>
          </reference>
          <reference field="11" count="1" selected="0">
            <x v="3"/>
          </reference>
          <reference field="13" count="1" selected="0">
            <x v="243"/>
          </reference>
        </references>
      </pivotArea>
    </format>
    <format dxfId="3521">
      <pivotArea dataOnly="0" labelOnly="1" outline="0" fieldPosition="0">
        <references count="4">
          <reference field="5" count="1">
            <x v="108"/>
          </reference>
          <reference field="8" count="1" selected="0">
            <x v="181"/>
          </reference>
          <reference field="11" count="1" selected="0">
            <x v="3"/>
          </reference>
          <reference field="13" count="1" selected="0">
            <x v="287"/>
          </reference>
        </references>
      </pivotArea>
    </format>
    <format dxfId="3520">
      <pivotArea dataOnly="0" labelOnly="1" outline="0" fieldPosition="0">
        <references count="4">
          <reference field="5" count="1">
            <x v="108"/>
          </reference>
          <reference field="8" count="1" selected="0">
            <x v="181"/>
          </reference>
          <reference field="11" count="1" selected="0">
            <x v="3"/>
          </reference>
          <reference field="13" count="1" selected="0">
            <x v="305"/>
          </reference>
        </references>
      </pivotArea>
    </format>
    <format dxfId="3519">
      <pivotArea dataOnly="0" labelOnly="1" outline="0" fieldPosition="0">
        <references count="4">
          <reference field="5" count="1">
            <x v="108"/>
          </reference>
          <reference field="8" count="1" selected="0">
            <x v="181"/>
          </reference>
          <reference field="11" count="1" selected="0">
            <x v="4"/>
          </reference>
          <reference field="13" count="1" selected="0">
            <x v="133"/>
          </reference>
        </references>
      </pivotArea>
    </format>
    <format dxfId="3518">
      <pivotArea dataOnly="0" labelOnly="1" outline="0" fieldPosition="0">
        <references count="4">
          <reference field="5" count="1">
            <x v="108"/>
          </reference>
          <reference field="8" count="1" selected="0">
            <x v="181"/>
          </reference>
          <reference field="11" count="1" selected="0">
            <x v="4"/>
          </reference>
          <reference field="13" count="1" selected="0">
            <x v="150"/>
          </reference>
        </references>
      </pivotArea>
    </format>
    <format dxfId="3517">
      <pivotArea dataOnly="0" labelOnly="1" outline="0" fieldPosition="0">
        <references count="4">
          <reference field="5" count="1">
            <x v="108"/>
          </reference>
          <reference field="8" count="1" selected="0">
            <x v="181"/>
          </reference>
          <reference field="11" count="1" selected="0">
            <x v="4"/>
          </reference>
          <reference field="13" count="1" selected="0">
            <x v="158"/>
          </reference>
        </references>
      </pivotArea>
    </format>
    <format dxfId="3516">
      <pivotArea dataOnly="0" labelOnly="1" outline="0" fieldPosition="0">
        <references count="4">
          <reference field="5" count="1">
            <x v="108"/>
          </reference>
          <reference field="8" count="1" selected="0">
            <x v="181"/>
          </reference>
          <reference field="11" count="1" selected="0">
            <x v="4"/>
          </reference>
          <reference field="13" count="1" selected="0">
            <x v="280"/>
          </reference>
        </references>
      </pivotArea>
    </format>
    <format dxfId="3515">
      <pivotArea dataOnly="0" labelOnly="1" outline="0" fieldPosition="0">
        <references count="4">
          <reference field="5" count="1">
            <x v="108"/>
          </reference>
          <reference field="8" count="1" selected="0">
            <x v="181"/>
          </reference>
          <reference field="11" count="1" selected="0">
            <x v="5"/>
          </reference>
          <reference field="13" count="1" selected="0">
            <x v="77"/>
          </reference>
        </references>
      </pivotArea>
    </format>
    <format dxfId="3514">
      <pivotArea dataOnly="0" labelOnly="1" outline="0" fieldPosition="0">
        <references count="4">
          <reference field="5" count="2">
            <x v="20"/>
            <x v="116"/>
          </reference>
          <reference field="8" count="1" selected="0">
            <x v="181"/>
          </reference>
          <reference field="11" count="1" selected="0">
            <x v="5"/>
          </reference>
          <reference field="13" count="1" selected="0">
            <x v="81"/>
          </reference>
        </references>
      </pivotArea>
    </format>
    <format dxfId="3513">
      <pivotArea dataOnly="0" labelOnly="1" outline="0" fieldPosition="0">
        <references count="4">
          <reference field="5" count="1">
            <x v="108"/>
          </reference>
          <reference field="8" count="1" selected="0">
            <x v="181"/>
          </reference>
          <reference field="11" count="1" selected="0">
            <x v="5"/>
          </reference>
          <reference field="13" count="1" selected="0">
            <x v="96"/>
          </reference>
        </references>
      </pivotArea>
    </format>
    <format dxfId="3512">
      <pivotArea dataOnly="0" labelOnly="1" outline="0" fieldPosition="0">
        <references count="4">
          <reference field="5" count="1">
            <x v="20"/>
          </reference>
          <reference field="8" count="1" selected="0">
            <x v="181"/>
          </reference>
          <reference field="11" count="1" selected="0">
            <x v="5"/>
          </reference>
          <reference field="13" count="1" selected="0">
            <x v="255"/>
          </reference>
        </references>
      </pivotArea>
    </format>
    <format dxfId="3511">
      <pivotArea dataOnly="0" labelOnly="1" outline="0" fieldPosition="0">
        <references count="4">
          <reference field="5" count="1">
            <x v="108"/>
          </reference>
          <reference field="8" count="1" selected="0">
            <x v="181"/>
          </reference>
          <reference field="11" count="1" selected="0">
            <x v="7"/>
          </reference>
          <reference field="13" count="1" selected="0">
            <x v="2"/>
          </reference>
        </references>
      </pivotArea>
    </format>
    <format dxfId="3510">
      <pivotArea dataOnly="0" labelOnly="1" outline="0" fieldPosition="0">
        <references count="4">
          <reference field="5" count="2">
            <x v="64"/>
            <x v="108"/>
          </reference>
          <reference field="8" count="1" selected="0">
            <x v="181"/>
          </reference>
          <reference field="11" count="1" selected="0">
            <x v="7"/>
          </reference>
          <reference field="13" count="1" selected="0">
            <x v="8"/>
          </reference>
        </references>
      </pivotArea>
    </format>
    <format dxfId="3509">
      <pivotArea dataOnly="0" labelOnly="1" outline="0" fieldPosition="0">
        <references count="4">
          <reference field="5" count="1">
            <x v="108"/>
          </reference>
          <reference field="8" count="1" selected="0">
            <x v="181"/>
          </reference>
          <reference field="11" count="1" selected="0">
            <x v="7"/>
          </reference>
          <reference field="13" count="1" selected="0">
            <x v="72"/>
          </reference>
        </references>
      </pivotArea>
    </format>
    <format dxfId="3508">
      <pivotArea dataOnly="0" labelOnly="1" outline="0" fieldPosition="0">
        <references count="4">
          <reference field="5" count="1">
            <x v="108"/>
          </reference>
          <reference field="8" count="1" selected="0">
            <x v="181"/>
          </reference>
          <reference field="11" count="1" selected="0">
            <x v="7"/>
          </reference>
          <reference field="13" count="1" selected="0">
            <x v="93"/>
          </reference>
        </references>
      </pivotArea>
    </format>
    <format dxfId="3507">
      <pivotArea dataOnly="0" labelOnly="1" outline="0" fieldPosition="0">
        <references count="4">
          <reference field="5" count="2">
            <x v="64"/>
            <x v="108"/>
          </reference>
          <reference field="8" count="1" selected="0">
            <x v="181"/>
          </reference>
          <reference field="11" count="1" selected="0">
            <x v="7"/>
          </reference>
          <reference field="13" count="1" selected="0">
            <x v="129"/>
          </reference>
        </references>
      </pivotArea>
    </format>
    <format dxfId="3506">
      <pivotArea dataOnly="0" labelOnly="1" outline="0" fieldPosition="0">
        <references count="4">
          <reference field="5" count="1">
            <x v="64"/>
          </reference>
          <reference field="8" count="1" selected="0">
            <x v="182"/>
          </reference>
          <reference field="11" count="1" selected="0">
            <x v="0"/>
          </reference>
          <reference field="13" count="1" selected="0">
            <x v="58"/>
          </reference>
        </references>
      </pivotArea>
    </format>
    <format dxfId="3505">
      <pivotArea dataOnly="0" labelOnly="1" outline="0" fieldPosition="0">
        <references count="4">
          <reference field="5" count="1">
            <x v="64"/>
          </reference>
          <reference field="8" count="1" selected="0">
            <x v="182"/>
          </reference>
          <reference field="11" count="1" selected="0">
            <x v="1"/>
          </reference>
          <reference field="13" count="1" selected="0">
            <x v="80"/>
          </reference>
        </references>
      </pivotArea>
    </format>
    <format dxfId="3504">
      <pivotArea dataOnly="0" labelOnly="1" outline="0" fieldPosition="0">
        <references count="4">
          <reference field="5" count="1">
            <x v="64"/>
          </reference>
          <reference field="8" count="1" selected="0">
            <x v="182"/>
          </reference>
          <reference field="11" count="1" selected="0">
            <x v="1"/>
          </reference>
          <reference field="13" count="1" selected="0">
            <x v="169"/>
          </reference>
        </references>
      </pivotArea>
    </format>
    <format dxfId="3503">
      <pivotArea dataOnly="0" labelOnly="1" outline="0" fieldPosition="0">
        <references count="4">
          <reference field="5" count="1">
            <x v="64"/>
          </reference>
          <reference field="8" count="1" selected="0">
            <x v="182"/>
          </reference>
          <reference field="11" count="1" selected="0">
            <x v="1"/>
          </reference>
          <reference field="13" count="1" selected="0">
            <x v="171"/>
          </reference>
        </references>
      </pivotArea>
    </format>
    <format dxfId="3502">
      <pivotArea dataOnly="0" labelOnly="1" outline="0" fieldPosition="0">
        <references count="4">
          <reference field="5" count="2">
            <x v="62"/>
            <x v="64"/>
          </reference>
          <reference field="8" count="1" selected="0">
            <x v="182"/>
          </reference>
          <reference field="11" count="1" selected="0">
            <x v="2"/>
          </reference>
          <reference field="13" count="1" selected="0">
            <x v="71"/>
          </reference>
        </references>
      </pivotArea>
    </format>
    <format dxfId="3501">
      <pivotArea dataOnly="0" labelOnly="1" outline="0" fieldPosition="0">
        <references count="4">
          <reference field="5" count="2">
            <x v="62"/>
            <x v="64"/>
          </reference>
          <reference field="8" count="1" selected="0">
            <x v="182"/>
          </reference>
          <reference field="11" count="1" selected="0">
            <x v="2"/>
          </reference>
          <reference field="13" count="1" selected="0">
            <x v="285"/>
          </reference>
        </references>
      </pivotArea>
    </format>
    <format dxfId="3500">
      <pivotArea dataOnly="0" labelOnly="1" outline="0" fieldPosition="0">
        <references count="4">
          <reference field="5" count="1">
            <x v="64"/>
          </reference>
          <reference field="8" count="1" selected="0">
            <x v="182"/>
          </reference>
          <reference field="11" count="1" selected="0">
            <x v="3"/>
          </reference>
          <reference field="13" count="1" selected="0">
            <x v="17"/>
          </reference>
        </references>
      </pivotArea>
    </format>
    <format dxfId="3499">
      <pivotArea dataOnly="0" labelOnly="1" outline="0" fieldPosition="0">
        <references count="4">
          <reference field="5" count="2">
            <x v="116"/>
            <x v="117"/>
          </reference>
          <reference field="8" count="1" selected="0">
            <x v="182"/>
          </reference>
          <reference field="11" count="1" selected="0">
            <x v="3"/>
          </reference>
          <reference field="13" count="1" selected="0">
            <x v="29"/>
          </reference>
        </references>
      </pivotArea>
    </format>
    <format dxfId="3498">
      <pivotArea dataOnly="0" labelOnly="1" outline="0" fieldPosition="0">
        <references count="4">
          <reference field="5" count="1">
            <x v="64"/>
          </reference>
          <reference field="8" count="1" selected="0">
            <x v="182"/>
          </reference>
          <reference field="11" count="1" selected="0">
            <x v="3"/>
          </reference>
          <reference field="13" count="1" selected="0">
            <x v="78"/>
          </reference>
        </references>
      </pivotArea>
    </format>
    <format dxfId="3497">
      <pivotArea dataOnly="0" labelOnly="1" outline="0" fieldPosition="0">
        <references count="4">
          <reference field="5" count="1">
            <x v="64"/>
          </reference>
          <reference field="8" count="1" selected="0">
            <x v="182"/>
          </reference>
          <reference field="11" count="1" selected="0">
            <x v="3"/>
          </reference>
          <reference field="13" count="1" selected="0">
            <x v="92"/>
          </reference>
        </references>
      </pivotArea>
    </format>
    <format dxfId="3496">
      <pivotArea dataOnly="0" labelOnly="1" outline="0" fieldPosition="0">
        <references count="4">
          <reference field="5" count="1">
            <x v="117"/>
          </reference>
          <reference field="8" count="1" selected="0">
            <x v="182"/>
          </reference>
          <reference field="11" count="1" selected="0">
            <x v="3"/>
          </reference>
          <reference field="13" count="1" selected="0">
            <x v="218"/>
          </reference>
        </references>
      </pivotArea>
    </format>
    <format dxfId="3495">
      <pivotArea dataOnly="0" labelOnly="1" outline="0" fieldPosition="0">
        <references count="4">
          <reference field="5" count="2">
            <x v="62"/>
            <x v="64"/>
          </reference>
          <reference field="8" count="1" selected="0">
            <x v="182"/>
          </reference>
          <reference field="11" count="1" selected="0">
            <x v="3"/>
          </reference>
          <reference field="13" count="1" selected="0">
            <x v="240"/>
          </reference>
        </references>
      </pivotArea>
    </format>
    <format dxfId="3494">
      <pivotArea dataOnly="0" labelOnly="1" outline="0" fieldPosition="0">
        <references count="4">
          <reference field="5" count="2">
            <x v="62"/>
            <x v="64"/>
          </reference>
          <reference field="8" count="1" selected="0">
            <x v="182"/>
          </reference>
          <reference field="11" count="1" selected="0">
            <x v="3"/>
          </reference>
          <reference field="13" count="1" selected="0">
            <x v="242"/>
          </reference>
        </references>
      </pivotArea>
    </format>
    <format dxfId="3493">
      <pivotArea dataOnly="0" labelOnly="1" outline="0" fieldPosition="0">
        <references count="4">
          <reference field="5" count="2">
            <x v="62"/>
            <x v="64"/>
          </reference>
          <reference field="8" count="1" selected="0">
            <x v="182"/>
          </reference>
          <reference field="11" count="1" selected="0">
            <x v="3"/>
          </reference>
          <reference field="13" count="1" selected="0">
            <x v="243"/>
          </reference>
        </references>
      </pivotArea>
    </format>
    <format dxfId="3492">
      <pivotArea dataOnly="0" labelOnly="1" outline="0" fieldPosition="0">
        <references count="4">
          <reference field="5" count="1">
            <x v="64"/>
          </reference>
          <reference field="8" count="1" selected="0">
            <x v="182"/>
          </reference>
          <reference field="11" count="1" selected="0">
            <x v="3"/>
          </reference>
          <reference field="13" count="1" selected="0">
            <x v="251"/>
          </reference>
        </references>
      </pivotArea>
    </format>
    <format dxfId="3491">
      <pivotArea dataOnly="0" labelOnly="1" outline="0" fieldPosition="0">
        <references count="4">
          <reference field="5" count="2">
            <x v="62"/>
            <x v="64"/>
          </reference>
          <reference field="8" count="1" selected="0">
            <x v="182"/>
          </reference>
          <reference field="11" count="1" selected="0">
            <x v="3"/>
          </reference>
          <reference field="13" count="1" selected="0">
            <x v="287"/>
          </reference>
        </references>
      </pivotArea>
    </format>
    <format dxfId="3490">
      <pivotArea dataOnly="0" labelOnly="1" outline="0" fieldPosition="0">
        <references count="4">
          <reference field="5" count="1">
            <x v="64"/>
          </reference>
          <reference field="8" count="1" selected="0">
            <x v="182"/>
          </reference>
          <reference field="11" count="1" selected="0">
            <x v="3"/>
          </reference>
          <reference field="13" count="1" selected="0">
            <x v="305"/>
          </reference>
        </references>
      </pivotArea>
    </format>
    <format dxfId="3489">
      <pivotArea dataOnly="0" labelOnly="1" outline="0" fieldPosition="0">
        <references count="4">
          <reference field="5" count="1">
            <x v="117"/>
          </reference>
          <reference field="8" count="1" selected="0">
            <x v="182"/>
          </reference>
          <reference field="11" count="1" selected="0">
            <x v="3"/>
          </reference>
          <reference field="13" count="1" selected="0">
            <x v="314"/>
          </reference>
        </references>
      </pivotArea>
    </format>
    <format dxfId="3488">
      <pivotArea dataOnly="0" labelOnly="1" outline="0" fieldPosition="0">
        <references count="4">
          <reference field="5" count="2">
            <x v="62"/>
            <x v="64"/>
          </reference>
          <reference field="8" count="1" selected="0">
            <x v="182"/>
          </reference>
          <reference field="11" count="1" selected="0">
            <x v="4"/>
          </reference>
          <reference field="13" count="1" selected="0">
            <x v="133"/>
          </reference>
        </references>
      </pivotArea>
    </format>
    <format dxfId="3487">
      <pivotArea dataOnly="0" labelOnly="1" outline="0" fieldPosition="0">
        <references count="4">
          <reference field="5" count="2">
            <x v="62"/>
            <x v="64"/>
          </reference>
          <reference field="8" count="1" selected="0">
            <x v="182"/>
          </reference>
          <reference field="11" count="1" selected="0">
            <x v="4"/>
          </reference>
          <reference field="13" count="1" selected="0">
            <x v="158"/>
          </reference>
        </references>
      </pivotArea>
    </format>
    <format dxfId="3486">
      <pivotArea dataOnly="0" labelOnly="1" outline="0" fieldPosition="0">
        <references count="4">
          <reference field="5" count="1">
            <x v="116"/>
          </reference>
          <reference field="8" count="1" selected="0">
            <x v="182"/>
          </reference>
          <reference field="11" count="1" selected="0">
            <x v="5"/>
          </reference>
          <reference field="13" count="1" selected="0">
            <x v="77"/>
          </reference>
        </references>
      </pivotArea>
    </format>
    <format dxfId="3485">
      <pivotArea dataOnly="0" labelOnly="1" outline="0" fieldPosition="0">
        <references count="4">
          <reference field="5" count="2">
            <x v="95"/>
            <x v="116"/>
          </reference>
          <reference field="8" count="1" selected="0">
            <x v="182"/>
          </reference>
          <reference field="11" count="1" selected="0">
            <x v="5"/>
          </reference>
          <reference field="13" count="1" selected="0">
            <x v="81"/>
          </reference>
        </references>
      </pivotArea>
    </format>
    <format dxfId="3484">
      <pivotArea dataOnly="0" labelOnly="1" outline="0" fieldPosition="0">
        <references count="4">
          <reference field="5" count="1">
            <x v="62"/>
          </reference>
          <reference field="8" count="1" selected="0">
            <x v="182"/>
          </reference>
          <reference field="11" count="1" selected="0">
            <x v="5"/>
          </reference>
          <reference field="13" count="1" selected="0">
            <x v="96"/>
          </reference>
        </references>
      </pivotArea>
    </format>
    <format dxfId="3483">
      <pivotArea dataOnly="0" labelOnly="1" outline="0" fieldPosition="0">
        <references count="4">
          <reference field="5" count="1">
            <x v="20"/>
          </reference>
          <reference field="8" count="1" selected="0">
            <x v="182"/>
          </reference>
          <reference field="11" count="1" selected="0">
            <x v="5"/>
          </reference>
          <reference field="13" count="1" selected="0">
            <x v="255"/>
          </reference>
        </references>
      </pivotArea>
    </format>
    <format dxfId="3482">
      <pivotArea dataOnly="0" labelOnly="1" outline="0" fieldPosition="0">
        <references count="4">
          <reference field="5" count="1">
            <x v="64"/>
          </reference>
          <reference field="8" count="1" selected="0">
            <x v="182"/>
          </reference>
          <reference field="11" count="1" selected="0">
            <x v="7"/>
          </reference>
          <reference field="13" count="1" selected="0">
            <x v="8"/>
          </reference>
        </references>
      </pivotArea>
    </format>
    <format dxfId="3481">
      <pivotArea dataOnly="0" labelOnly="1" outline="0" fieldPosition="0">
        <references count="4">
          <reference field="5" count="1">
            <x v="62"/>
          </reference>
          <reference field="8" count="1" selected="0">
            <x v="182"/>
          </reference>
          <reference field="11" count="1" selected="0">
            <x v="7"/>
          </reference>
          <reference field="13" count="1" selected="0">
            <x v="72"/>
          </reference>
        </references>
      </pivotArea>
    </format>
    <format dxfId="3480">
      <pivotArea dataOnly="0" labelOnly="1" outline="0" fieldPosition="0">
        <references count="4">
          <reference field="5" count="1">
            <x v="64"/>
          </reference>
          <reference field="8" count="1" selected="0">
            <x v="182"/>
          </reference>
          <reference field="11" count="1" selected="0">
            <x v="7"/>
          </reference>
          <reference field="13" count="1" selected="0">
            <x v="93"/>
          </reference>
        </references>
      </pivotArea>
    </format>
    <format dxfId="3479">
      <pivotArea dataOnly="0" labelOnly="1" outline="0" fieldPosition="0">
        <references count="4">
          <reference field="5" count="1">
            <x v="64"/>
          </reference>
          <reference field="8" count="1" selected="0">
            <x v="182"/>
          </reference>
          <reference field="11" count="1" selected="0">
            <x v="7"/>
          </reference>
          <reference field="13" count="1" selected="0">
            <x v="129"/>
          </reference>
        </references>
      </pivotArea>
    </format>
    <format dxfId="3478">
      <pivotArea dataOnly="0" labelOnly="1" outline="0" fieldPosition="0">
        <references count="4">
          <reference field="5" count="1">
            <x v="64"/>
          </reference>
          <reference field="8" count="1" selected="0">
            <x v="182"/>
          </reference>
          <reference field="11" count="1" selected="0">
            <x v="7"/>
          </reference>
          <reference field="13" count="1" selected="0">
            <x v="308"/>
          </reference>
        </references>
      </pivotArea>
    </format>
    <format dxfId="3477">
      <pivotArea dataOnly="0" labelOnly="1" outline="0" fieldPosition="0">
        <references count="4">
          <reference field="5" count="1">
            <x v="47"/>
          </reference>
          <reference field="8" count="1" selected="0">
            <x v="183"/>
          </reference>
          <reference field="11" count="1" selected="0">
            <x v="0"/>
          </reference>
          <reference field="13" count="1" selected="0">
            <x v="73"/>
          </reference>
        </references>
      </pivotArea>
    </format>
    <format dxfId="3476">
      <pivotArea dataOnly="0" labelOnly="1" outline="0" fieldPosition="0">
        <references count="4">
          <reference field="5" count="1">
            <x v="0"/>
          </reference>
          <reference field="8" count="1" selected="0">
            <x v="183"/>
          </reference>
          <reference field="11" count="1" selected="0">
            <x v="0"/>
          </reference>
          <reference field="13" count="1" selected="0">
            <x v="273"/>
          </reference>
        </references>
      </pivotArea>
    </format>
    <format dxfId="3475">
      <pivotArea dataOnly="0" labelOnly="1" outline="0" fieldPosition="0">
        <references count="4">
          <reference field="5" count="1">
            <x v="116"/>
          </reference>
          <reference field="8" count="1" selected="0">
            <x v="183"/>
          </reference>
          <reference field="11" count="1" selected="0">
            <x v="5"/>
          </reference>
          <reference field="13" count="1" selected="0">
            <x v="81"/>
          </reference>
        </references>
      </pivotArea>
    </format>
    <format dxfId="3474">
      <pivotArea dataOnly="0" labelOnly="1" outline="0" fieldPosition="0">
        <references count="4">
          <reference field="5" count="1">
            <x v="64"/>
          </reference>
          <reference field="8" count="1" selected="0">
            <x v="184"/>
          </reference>
          <reference field="11" count="1" selected="0">
            <x v="0"/>
          </reference>
          <reference field="13" count="1" selected="0">
            <x v="3"/>
          </reference>
        </references>
      </pivotArea>
    </format>
    <format dxfId="3473">
      <pivotArea dataOnly="0" labelOnly="1" outline="0" fieldPosition="0">
        <references count="4">
          <reference field="5" count="3">
            <x v="64"/>
            <x v="115"/>
            <x v="116"/>
          </reference>
          <reference field="8" count="1" selected="0">
            <x v="184"/>
          </reference>
          <reference field="11" count="1" selected="0">
            <x v="0"/>
          </reference>
          <reference field="13" count="1" selected="0">
            <x v="53"/>
          </reference>
        </references>
      </pivotArea>
    </format>
    <format dxfId="3472">
      <pivotArea dataOnly="0" labelOnly="1" outline="0" fieldPosition="0">
        <references count="4">
          <reference field="5" count="1">
            <x v="64"/>
          </reference>
          <reference field="8" count="1" selected="0">
            <x v="184"/>
          </reference>
          <reference field="11" count="1" selected="0">
            <x v="0"/>
          </reference>
          <reference field="13" count="1" selected="0">
            <x v="58"/>
          </reference>
        </references>
      </pivotArea>
    </format>
    <format dxfId="3471">
      <pivotArea dataOnly="0" labelOnly="1" outline="0" fieldPosition="0">
        <references count="4">
          <reference field="5" count="1">
            <x v="64"/>
          </reference>
          <reference field="8" count="1" selected="0">
            <x v="184"/>
          </reference>
          <reference field="11" count="1" selected="0">
            <x v="0"/>
          </reference>
          <reference field="13" count="1" selected="0">
            <x v="64"/>
          </reference>
        </references>
      </pivotArea>
    </format>
    <format dxfId="3470">
      <pivotArea dataOnly="0" labelOnly="1" outline="0" fieldPosition="0">
        <references count="4">
          <reference field="5" count="1">
            <x v="64"/>
          </reference>
          <reference field="8" count="1" selected="0">
            <x v="184"/>
          </reference>
          <reference field="11" count="1" selected="0">
            <x v="0"/>
          </reference>
          <reference field="13" count="1" selected="0">
            <x v="165"/>
          </reference>
        </references>
      </pivotArea>
    </format>
    <format dxfId="3469">
      <pivotArea dataOnly="0" labelOnly="1" outline="0" fieldPosition="0">
        <references count="4">
          <reference field="5" count="2">
            <x v="64"/>
            <x v="115"/>
          </reference>
          <reference field="8" count="1" selected="0">
            <x v="184"/>
          </reference>
          <reference field="11" count="1" selected="0">
            <x v="0"/>
          </reference>
          <reference field="13" count="1" selected="0">
            <x v="185"/>
          </reference>
        </references>
      </pivotArea>
    </format>
    <format dxfId="3468">
      <pivotArea dataOnly="0" labelOnly="1" outline="0" fieldPosition="0">
        <references count="4">
          <reference field="5" count="1">
            <x v="58"/>
          </reference>
          <reference field="8" count="1" selected="0">
            <x v="184"/>
          </reference>
          <reference field="11" count="1" selected="0">
            <x v="0"/>
          </reference>
          <reference field="13" count="1" selected="0">
            <x v="213"/>
          </reference>
        </references>
      </pivotArea>
    </format>
    <format dxfId="3467">
      <pivotArea dataOnly="0" labelOnly="1" outline="0" fieldPosition="0">
        <references count="4">
          <reference field="5" count="1">
            <x v="0"/>
          </reference>
          <reference field="8" count="1" selected="0">
            <x v="184"/>
          </reference>
          <reference field="11" count="1" selected="0">
            <x v="0"/>
          </reference>
          <reference field="13" count="1" selected="0">
            <x v="271"/>
          </reference>
        </references>
      </pivotArea>
    </format>
    <format dxfId="3466">
      <pivotArea dataOnly="0" labelOnly="1" outline="0" fieldPosition="0">
        <references count="4">
          <reference field="5" count="1">
            <x v="64"/>
          </reference>
          <reference field="8" count="1" selected="0">
            <x v="184"/>
          </reference>
          <reference field="11" count="1" selected="0">
            <x v="1"/>
          </reference>
          <reference field="13" count="1" selected="0">
            <x v="155"/>
          </reference>
        </references>
      </pivotArea>
    </format>
    <format dxfId="3465">
      <pivotArea dataOnly="0" labelOnly="1" outline="0" fieldPosition="0">
        <references count="4">
          <reference field="5" count="1">
            <x v="64"/>
          </reference>
          <reference field="8" count="1" selected="0">
            <x v="184"/>
          </reference>
          <reference field="11" count="1" selected="0">
            <x v="1"/>
          </reference>
          <reference field="13" count="1" selected="0">
            <x v="161"/>
          </reference>
        </references>
      </pivotArea>
    </format>
    <format dxfId="3464">
      <pivotArea dataOnly="0" labelOnly="1" outline="0" fieldPosition="0">
        <references count="4">
          <reference field="5" count="1">
            <x v="64"/>
          </reference>
          <reference field="8" count="1" selected="0">
            <x v="184"/>
          </reference>
          <reference field="11" count="1" selected="0">
            <x v="1"/>
          </reference>
          <reference field="13" count="1" selected="0">
            <x v="169"/>
          </reference>
        </references>
      </pivotArea>
    </format>
    <format dxfId="3463">
      <pivotArea dataOnly="0" labelOnly="1" outline="0" fieldPosition="0">
        <references count="4">
          <reference field="5" count="1">
            <x v="64"/>
          </reference>
          <reference field="8" count="1" selected="0">
            <x v="184"/>
          </reference>
          <reference field="11" count="1" selected="0">
            <x v="1"/>
          </reference>
          <reference field="13" count="1" selected="0">
            <x v="171"/>
          </reference>
        </references>
      </pivotArea>
    </format>
    <format dxfId="3462">
      <pivotArea dataOnly="0" labelOnly="1" outline="0" fieldPosition="0">
        <references count="4">
          <reference field="5" count="1">
            <x v="64"/>
          </reference>
          <reference field="8" count="1" selected="0">
            <x v="184"/>
          </reference>
          <reference field="11" count="1" selected="0">
            <x v="1"/>
          </reference>
          <reference field="13" count="1" selected="0">
            <x v="172"/>
          </reference>
        </references>
      </pivotArea>
    </format>
    <format dxfId="3461">
      <pivotArea dataOnly="0" labelOnly="1" outline="0" fieldPosition="0">
        <references count="4">
          <reference field="5" count="1">
            <x v="64"/>
          </reference>
          <reference field="8" count="1" selected="0">
            <x v="184"/>
          </reference>
          <reference field="11" count="1" selected="0">
            <x v="1"/>
          </reference>
          <reference field="13" count="1" selected="0">
            <x v="179"/>
          </reference>
        </references>
      </pivotArea>
    </format>
    <format dxfId="3460">
      <pivotArea dataOnly="0" labelOnly="1" outline="0" fieldPosition="0">
        <references count="4">
          <reference field="5" count="1">
            <x v="58"/>
          </reference>
          <reference field="8" count="1" selected="0">
            <x v="184"/>
          </reference>
          <reference field="11" count="1" selected="0">
            <x v="1"/>
          </reference>
          <reference field="13" count="1" selected="0">
            <x v="211"/>
          </reference>
        </references>
      </pivotArea>
    </format>
    <format dxfId="3459">
      <pivotArea dataOnly="0" labelOnly="1" outline="0" fieldPosition="0">
        <references count="4">
          <reference field="5" count="2">
            <x v="64"/>
            <x v="95"/>
          </reference>
          <reference field="8" count="1" selected="0">
            <x v="184"/>
          </reference>
          <reference field="11" count="1" selected="0">
            <x v="1"/>
          </reference>
          <reference field="13" count="1" selected="0">
            <x v="286"/>
          </reference>
        </references>
      </pivotArea>
    </format>
    <format dxfId="3458">
      <pivotArea dataOnly="0" labelOnly="1" outline="0" fieldPosition="0">
        <references count="4">
          <reference field="5" count="1">
            <x v="95"/>
          </reference>
          <reference field="8" count="1" selected="0">
            <x v="184"/>
          </reference>
          <reference field="11" count="1" selected="0">
            <x v="2"/>
          </reference>
          <reference field="13" count="1" selected="0">
            <x v="35"/>
          </reference>
        </references>
      </pivotArea>
    </format>
    <format dxfId="3457">
      <pivotArea dataOnly="0" labelOnly="1" outline="0" fieldPosition="0">
        <references count="4">
          <reference field="5" count="1">
            <x v="95"/>
          </reference>
          <reference field="8" count="1" selected="0">
            <x v="184"/>
          </reference>
          <reference field="11" count="1" selected="0">
            <x v="2"/>
          </reference>
          <reference field="13" count="1" selected="0">
            <x v="52"/>
          </reference>
        </references>
      </pivotArea>
    </format>
    <format dxfId="3456">
      <pivotArea dataOnly="0" labelOnly="1" outline="0" fieldPosition="0">
        <references count="4">
          <reference field="5" count="2">
            <x v="64"/>
            <x v="95"/>
          </reference>
          <reference field="8" count="1" selected="0">
            <x v="184"/>
          </reference>
          <reference field="11" count="1" selected="0">
            <x v="2"/>
          </reference>
          <reference field="13" count="1" selected="0">
            <x v="71"/>
          </reference>
        </references>
      </pivotArea>
    </format>
    <format dxfId="3455">
      <pivotArea dataOnly="0" labelOnly="1" outline="0" fieldPosition="0">
        <references count="4">
          <reference field="5" count="1">
            <x v="95"/>
          </reference>
          <reference field="8" count="1" selected="0">
            <x v="184"/>
          </reference>
          <reference field="11" count="1" selected="0">
            <x v="2"/>
          </reference>
          <reference field="13" count="1" selected="0">
            <x v="76"/>
          </reference>
        </references>
      </pivotArea>
    </format>
    <format dxfId="3454">
      <pivotArea dataOnly="0" labelOnly="1" outline="0" fieldPosition="0">
        <references count="4">
          <reference field="5" count="2">
            <x v="60"/>
            <x v="95"/>
          </reference>
          <reference field="8" count="1" selected="0">
            <x v="184"/>
          </reference>
          <reference field="11" count="1" selected="0">
            <x v="2"/>
          </reference>
          <reference field="13" count="1" selected="0">
            <x v="173"/>
          </reference>
        </references>
      </pivotArea>
    </format>
    <format dxfId="3453">
      <pivotArea dataOnly="0" labelOnly="1" outline="0" fieldPosition="0">
        <references count="4">
          <reference field="5" count="1">
            <x v="95"/>
          </reference>
          <reference field="8" count="1" selected="0">
            <x v="184"/>
          </reference>
          <reference field="11" count="1" selected="0">
            <x v="2"/>
          </reference>
          <reference field="13" count="1" selected="0">
            <x v="235"/>
          </reference>
        </references>
      </pivotArea>
    </format>
    <format dxfId="3452">
      <pivotArea dataOnly="0" labelOnly="1" outline="0" fieldPosition="0">
        <references count="4">
          <reference field="5" count="1">
            <x v="95"/>
          </reference>
          <reference field="8" count="1" selected="0">
            <x v="184"/>
          </reference>
          <reference field="11" count="1" selected="0">
            <x v="2"/>
          </reference>
          <reference field="13" count="1" selected="0">
            <x v="279"/>
          </reference>
        </references>
      </pivotArea>
    </format>
    <format dxfId="3451">
      <pivotArea dataOnly="0" labelOnly="1" outline="0" fieldPosition="0">
        <references count="4">
          <reference field="5" count="1">
            <x v="95"/>
          </reference>
          <reference field="8" count="1" selected="0">
            <x v="184"/>
          </reference>
          <reference field="11" count="1" selected="0">
            <x v="3"/>
          </reference>
          <reference field="13" count="1" selected="0">
            <x v="4"/>
          </reference>
        </references>
      </pivotArea>
    </format>
    <format dxfId="3450">
      <pivotArea dataOnly="0" labelOnly="1" outline="0" fieldPosition="0">
        <references count="4">
          <reference field="5" count="2">
            <x v="95"/>
            <x v="110"/>
          </reference>
          <reference field="8" count="1" selected="0">
            <x v="184"/>
          </reference>
          <reference field="11" count="1" selected="0">
            <x v="3"/>
          </reference>
          <reference field="13" count="1" selected="0">
            <x v="7"/>
          </reference>
        </references>
      </pivotArea>
    </format>
    <format dxfId="3449">
      <pivotArea dataOnly="0" labelOnly="1" outline="0" fieldPosition="0">
        <references count="4">
          <reference field="5" count="3">
            <x v="64"/>
            <x v="95"/>
            <x v="110"/>
          </reference>
          <reference field="8" count="1" selected="0">
            <x v="184"/>
          </reference>
          <reference field="11" count="1" selected="0">
            <x v="3"/>
          </reference>
          <reference field="13" count="1" selected="0">
            <x v="17"/>
          </reference>
        </references>
      </pivotArea>
    </format>
    <format dxfId="3448">
      <pivotArea dataOnly="0" labelOnly="1" outline="0" fieldPosition="0">
        <references count="4">
          <reference field="5" count="3">
            <x v="95"/>
            <x v="116"/>
            <x v="117"/>
          </reference>
          <reference field="8" count="1" selected="0">
            <x v="184"/>
          </reference>
          <reference field="11" count="1" selected="0">
            <x v="3"/>
          </reference>
          <reference field="13" count="1" selected="0">
            <x v="29"/>
          </reference>
        </references>
      </pivotArea>
    </format>
    <format dxfId="3447">
      <pivotArea dataOnly="0" labelOnly="1" outline="0" fieldPosition="0">
        <references count="4">
          <reference field="5" count="2">
            <x v="60"/>
            <x v="95"/>
          </reference>
          <reference field="8" count="1" selected="0">
            <x v="184"/>
          </reference>
          <reference field="11" count="1" selected="0">
            <x v="3"/>
          </reference>
          <reference field="13" count="1" selected="0">
            <x v="32"/>
          </reference>
        </references>
      </pivotArea>
    </format>
    <format dxfId="3446">
      <pivotArea dataOnly="0" labelOnly="1" outline="0" fieldPosition="0">
        <references count="4">
          <reference field="5" count="1">
            <x v="95"/>
          </reference>
          <reference field="8" count="1" selected="0">
            <x v="184"/>
          </reference>
          <reference field="11" count="1" selected="0">
            <x v="3"/>
          </reference>
          <reference field="13" count="1" selected="0">
            <x v="36"/>
          </reference>
        </references>
      </pivotArea>
    </format>
    <format dxfId="3445">
      <pivotArea dataOnly="0" labelOnly="1" outline="0" fieldPosition="0">
        <references count="4">
          <reference field="5" count="1">
            <x v="95"/>
          </reference>
          <reference field="8" count="1" selected="0">
            <x v="184"/>
          </reference>
          <reference field="11" count="1" selected="0">
            <x v="3"/>
          </reference>
          <reference field="13" count="1" selected="0">
            <x v="39"/>
          </reference>
        </references>
      </pivotArea>
    </format>
    <format dxfId="3444">
      <pivotArea dataOnly="0" labelOnly="1" outline="0" fieldPosition="0">
        <references count="4">
          <reference field="5" count="1">
            <x v="95"/>
          </reference>
          <reference field="8" count="1" selected="0">
            <x v="184"/>
          </reference>
          <reference field="11" count="1" selected="0">
            <x v="3"/>
          </reference>
          <reference field="13" count="1" selected="0">
            <x v="54"/>
          </reference>
        </references>
      </pivotArea>
    </format>
    <format dxfId="3443">
      <pivotArea dataOnly="0" labelOnly="1" outline="0" fieldPosition="0">
        <references count="4">
          <reference field="5" count="2">
            <x v="95"/>
            <x v="96"/>
          </reference>
          <reference field="8" count="1" selected="0">
            <x v="184"/>
          </reference>
          <reference field="11" count="1" selected="0">
            <x v="3"/>
          </reference>
          <reference field="13" count="1" selected="0">
            <x v="57"/>
          </reference>
        </references>
      </pivotArea>
    </format>
    <format dxfId="3442">
      <pivotArea dataOnly="0" labelOnly="1" outline="0" fieldPosition="0">
        <references count="4">
          <reference field="5" count="3">
            <x v="60"/>
            <x v="64"/>
            <x v="95"/>
          </reference>
          <reference field="8" count="1" selected="0">
            <x v="184"/>
          </reference>
          <reference field="11" count="1" selected="0">
            <x v="3"/>
          </reference>
          <reference field="13" count="1" selected="0">
            <x v="69"/>
          </reference>
        </references>
      </pivotArea>
    </format>
    <format dxfId="3441">
      <pivotArea dataOnly="0" labelOnly="1" outline="0" fieldPosition="0">
        <references count="4">
          <reference field="5" count="2">
            <x v="60"/>
            <x v="95"/>
          </reference>
          <reference field="8" count="1" selected="0">
            <x v="184"/>
          </reference>
          <reference field="11" count="1" selected="0">
            <x v="3"/>
          </reference>
          <reference field="13" count="1" selected="0">
            <x v="78"/>
          </reference>
        </references>
      </pivotArea>
    </format>
    <format dxfId="3440">
      <pivotArea dataOnly="0" labelOnly="1" outline="0" fieldPosition="0">
        <references count="4">
          <reference field="5" count="1">
            <x v="95"/>
          </reference>
          <reference field="8" count="1" selected="0">
            <x v="184"/>
          </reference>
          <reference field="11" count="1" selected="0">
            <x v="3"/>
          </reference>
          <reference field="13" count="1" selected="0">
            <x v="92"/>
          </reference>
        </references>
      </pivotArea>
    </format>
    <format dxfId="3439">
      <pivotArea dataOnly="0" labelOnly="1" outline="0" fieldPosition="0">
        <references count="4">
          <reference field="5" count="1">
            <x v="95"/>
          </reference>
          <reference field="8" count="1" selected="0">
            <x v="184"/>
          </reference>
          <reference field="11" count="1" selected="0">
            <x v="3"/>
          </reference>
          <reference field="13" count="1" selected="0">
            <x v="100"/>
          </reference>
        </references>
      </pivotArea>
    </format>
    <format dxfId="3438">
      <pivotArea dataOnly="0" labelOnly="1" outline="0" fieldPosition="0">
        <references count="4">
          <reference field="5" count="1">
            <x v="64"/>
          </reference>
          <reference field="8" count="1" selected="0">
            <x v="184"/>
          </reference>
          <reference field="11" count="1" selected="0">
            <x v="3"/>
          </reference>
          <reference field="13" count="1" selected="0">
            <x v="101"/>
          </reference>
        </references>
      </pivotArea>
    </format>
    <format dxfId="3437">
      <pivotArea dataOnly="0" labelOnly="1" outline="0" fieldPosition="0">
        <references count="4">
          <reference field="5" count="1">
            <x v="95"/>
          </reference>
          <reference field="8" count="1" selected="0">
            <x v="184"/>
          </reference>
          <reference field="11" count="1" selected="0">
            <x v="3"/>
          </reference>
          <reference field="13" count="1" selected="0">
            <x v="131"/>
          </reference>
        </references>
      </pivotArea>
    </format>
    <format dxfId="3436">
      <pivotArea dataOnly="0" labelOnly="1" outline="0" fieldPosition="0">
        <references count="4">
          <reference field="5" count="1">
            <x v="117"/>
          </reference>
          <reference field="8" count="1" selected="0">
            <x v="184"/>
          </reference>
          <reference field="11" count="1" selected="0">
            <x v="3"/>
          </reference>
          <reference field="13" count="1" selected="0">
            <x v="218"/>
          </reference>
        </references>
      </pivotArea>
    </format>
    <format dxfId="3435">
      <pivotArea dataOnly="0" labelOnly="1" outline="0" fieldPosition="0">
        <references count="4">
          <reference field="5" count="4">
            <x v="60"/>
            <x v="64"/>
            <x v="95"/>
            <x v="103"/>
          </reference>
          <reference field="8" count="1" selected="0">
            <x v="184"/>
          </reference>
          <reference field="11" count="1" selected="0">
            <x v="3"/>
          </reference>
          <reference field="13" count="1" selected="0">
            <x v="240"/>
          </reference>
        </references>
      </pivotArea>
    </format>
    <format dxfId="3434">
      <pivotArea dataOnly="0" labelOnly="1" outline="0" fieldPosition="0">
        <references count="4">
          <reference field="5" count="6">
            <x v="5"/>
            <x v="60"/>
            <x v="64"/>
            <x v="95"/>
            <x v="96"/>
            <x v="99"/>
          </reference>
          <reference field="8" count="1" selected="0">
            <x v="184"/>
          </reference>
          <reference field="11" count="1" selected="0">
            <x v="3"/>
          </reference>
          <reference field="13" count="1" selected="0">
            <x v="242"/>
          </reference>
        </references>
      </pivotArea>
    </format>
    <format dxfId="3433">
      <pivotArea dataOnly="0" labelOnly="1" outline="0" fieldPosition="0">
        <references count="4">
          <reference field="5" count="7">
            <x v="7"/>
            <x v="60"/>
            <x v="64"/>
            <x v="95"/>
            <x v="96"/>
            <x v="99"/>
            <x v="111"/>
          </reference>
          <reference field="8" count="1" selected="0">
            <x v="184"/>
          </reference>
          <reference field="11" count="1" selected="0">
            <x v="3"/>
          </reference>
          <reference field="13" count="1" selected="0">
            <x v="243"/>
          </reference>
        </references>
      </pivotArea>
    </format>
    <format dxfId="3432">
      <pivotArea dataOnly="0" labelOnly="1" outline="0" fieldPosition="0">
        <references count="4">
          <reference field="5" count="2">
            <x v="64"/>
            <x v="95"/>
          </reference>
          <reference field="8" count="1" selected="0">
            <x v="184"/>
          </reference>
          <reference field="11" count="1" selected="0">
            <x v="3"/>
          </reference>
          <reference field="13" count="1" selected="0">
            <x v="251"/>
          </reference>
        </references>
      </pivotArea>
    </format>
    <format dxfId="3431">
      <pivotArea dataOnly="0" labelOnly="1" outline="0" fieldPosition="0">
        <references count="4">
          <reference field="5" count="4">
            <x v="60"/>
            <x v="64"/>
            <x v="95"/>
            <x v="96"/>
          </reference>
          <reference field="8" count="1" selected="0">
            <x v="184"/>
          </reference>
          <reference field="11" count="1" selected="0">
            <x v="3"/>
          </reference>
          <reference field="13" count="1" selected="0">
            <x v="287"/>
          </reference>
        </references>
      </pivotArea>
    </format>
    <format dxfId="3430">
      <pivotArea dataOnly="0" labelOnly="1" outline="0" fieldPosition="0">
        <references count="4">
          <reference field="5" count="2">
            <x v="64"/>
            <x v="110"/>
          </reference>
          <reference field="8" count="1" selected="0">
            <x v="184"/>
          </reference>
          <reference field="11" count="1" selected="0">
            <x v="3"/>
          </reference>
          <reference field="13" count="1" selected="0">
            <x v="305"/>
          </reference>
        </references>
      </pivotArea>
    </format>
    <format dxfId="3429">
      <pivotArea dataOnly="0" labelOnly="1" outline="0" fieldPosition="0">
        <references count="4">
          <reference field="5" count="1">
            <x v="95"/>
          </reference>
          <reference field="8" count="1" selected="0">
            <x v="184"/>
          </reference>
          <reference field="11" count="1" selected="0">
            <x v="3"/>
          </reference>
          <reference field="13" count="1" selected="0">
            <x v="313"/>
          </reference>
        </references>
      </pivotArea>
    </format>
    <format dxfId="3428">
      <pivotArea dataOnly="0" labelOnly="1" outline="0" fieldPosition="0">
        <references count="4">
          <reference field="5" count="2">
            <x v="95"/>
            <x v="117"/>
          </reference>
          <reference field="8" count="1" selected="0">
            <x v="184"/>
          </reference>
          <reference field="11" count="1" selected="0">
            <x v="3"/>
          </reference>
          <reference field="13" count="1" selected="0">
            <x v="314"/>
          </reference>
        </references>
      </pivotArea>
    </format>
    <format dxfId="3427">
      <pivotArea dataOnly="0" labelOnly="1" outline="0" fieldPosition="0">
        <references count="4">
          <reference field="5" count="1">
            <x v="64"/>
          </reference>
          <reference field="8" count="1" selected="0">
            <x v="184"/>
          </reference>
          <reference field="11" count="1" selected="0">
            <x v="4"/>
          </reference>
          <reference field="13" count="1" selected="0">
            <x v="95"/>
          </reference>
        </references>
      </pivotArea>
    </format>
    <format dxfId="3426">
      <pivotArea dataOnly="0" labelOnly="1" outline="0" fieldPosition="0">
        <references count="4">
          <reference field="5" count="1">
            <x v="95"/>
          </reference>
          <reference field="8" count="1" selected="0">
            <x v="184"/>
          </reference>
          <reference field="11" count="1" selected="0">
            <x v="4"/>
          </reference>
          <reference field="13" count="1" selected="0">
            <x v="133"/>
          </reference>
        </references>
      </pivotArea>
    </format>
    <format dxfId="3425">
      <pivotArea dataOnly="0" labelOnly="1" outline="0" fieldPosition="0">
        <references count="4">
          <reference field="5" count="1">
            <x v="95"/>
          </reference>
          <reference field="8" count="1" selected="0">
            <x v="184"/>
          </reference>
          <reference field="11" count="1" selected="0">
            <x v="4"/>
          </reference>
          <reference field="13" count="1" selected="0">
            <x v="158"/>
          </reference>
        </references>
      </pivotArea>
    </format>
    <format dxfId="3424">
      <pivotArea dataOnly="0" labelOnly="1" outline="0" fieldPosition="0">
        <references count="4">
          <reference field="5" count="2">
            <x v="64"/>
            <x v="95"/>
          </reference>
          <reference field="8" count="1" selected="0">
            <x v="184"/>
          </reference>
          <reference field="11" count="1" selected="0">
            <x v="4"/>
          </reference>
          <reference field="13" count="1" selected="0">
            <x v="280"/>
          </reference>
        </references>
      </pivotArea>
    </format>
    <format dxfId="3423">
      <pivotArea dataOnly="0" labelOnly="1" outline="0" fieldPosition="0">
        <references count="4">
          <reference field="5" count="1">
            <x v="2"/>
          </reference>
          <reference field="8" count="1" selected="0">
            <x v="184"/>
          </reference>
          <reference field="11" count="1" selected="0">
            <x v="5"/>
          </reference>
          <reference field="13" count="1" selected="0">
            <x v="43"/>
          </reference>
        </references>
      </pivotArea>
    </format>
    <format dxfId="3422">
      <pivotArea dataOnly="0" labelOnly="1" outline="0" fieldPosition="0">
        <references count="4">
          <reference field="5" count="2">
            <x v="95"/>
            <x v="116"/>
          </reference>
          <reference field="8" count="1" selected="0">
            <x v="184"/>
          </reference>
          <reference field="11" count="1" selected="0">
            <x v="5"/>
          </reference>
          <reference field="13" count="1" selected="0">
            <x v="77"/>
          </reference>
        </references>
      </pivotArea>
    </format>
    <format dxfId="3421">
      <pivotArea dataOnly="0" labelOnly="1" outline="0" fieldPosition="0">
        <references count="4">
          <reference field="5" count="3">
            <x v="64"/>
            <x v="95"/>
            <x v="116"/>
          </reference>
          <reference field="8" count="1" selected="0">
            <x v="184"/>
          </reference>
          <reference field="11" count="1" selected="0">
            <x v="5"/>
          </reference>
          <reference field="13" count="1" selected="0">
            <x v="81"/>
          </reference>
        </references>
      </pivotArea>
    </format>
    <format dxfId="3420">
      <pivotArea dataOnly="0" labelOnly="1" outline="0" fieldPosition="0">
        <references count="4">
          <reference field="5" count="3">
            <x v="64"/>
            <x v="95"/>
            <x v="96"/>
          </reference>
          <reference field="8" count="1" selected="0">
            <x v="184"/>
          </reference>
          <reference field="11" count="1" selected="0">
            <x v="5"/>
          </reference>
          <reference field="13" count="1" selected="0">
            <x v="96"/>
          </reference>
        </references>
      </pivotArea>
    </format>
    <format dxfId="3419">
      <pivotArea dataOnly="0" labelOnly="1" outline="0" fieldPosition="0">
        <references count="4">
          <reference field="5" count="1">
            <x v="5"/>
          </reference>
          <reference field="8" count="1" selected="0">
            <x v="184"/>
          </reference>
          <reference field="11" count="1" selected="0">
            <x v="5"/>
          </reference>
          <reference field="13" count="1" selected="0">
            <x v="226"/>
          </reference>
        </references>
      </pivotArea>
    </format>
    <format dxfId="3418">
      <pivotArea dataOnly="0" labelOnly="1" outline="0" fieldPosition="0">
        <references count="4">
          <reference field="5" count="1">
            <x v="7"/>
          </reference>
          <reference field="8" count="1" selected="0">
            <x v="184"/>
          </reference>
          <reference field="11" count="1" selected="0">
            <x v="5"/>
          </reference>
          <reference field="13" count="1" selected="0">
            <x v="229"/>
          </reference>
        </references>
      </pivotArea>
    </format>
    <format dxfId="3417">
      <pivotArea dataOnly="0" labelOnly="1" outline="0" fieldPosition="0">
        <references count="4">
          <reference field="5" count="1">
            <x v="2"/>
          </reference>
          <reference field="8" count="1" selected="0">
            <x v="184"/>
          </reference>
          <reference field="11" count="1" selected="0">
            <x v="5"/>
          </reference>
          <reference field="13" count="1" selected="0">
            <x v="250"/>
          </reference>
        </references>
      </pivotArea>
    </format>
    <format dxfId="3416">
      <pivotArea dataOnly="0" labelOnly="1" outline="0" fieldPosition="0">
        <references count="4">
          <reference field="5" count="1">
            <x v="20"/>
          </reference>
          <reference field="8" count="1" selected="0">
            <x v="184"/>
          </reference>
          <reference field="11" count="1" selected="0">
            <x v="5"/>
          </reference>
          <reference field="13" count="1" selected="0">
            <x v="255"/>
          </reference>
        </references>
      </pivotArea>
    </format>
    <format dxfId="3415">
      <pivotArea dataOnly="0" labelOnly="1" outline="0" fieldPosition="0">
        <references count="4">
          <reference field="5" count="1">
            <x v="2"/>
          </reference>
          <reference field="8" count="1" selected="0">
            <x v="184"/>
          </reference>
          <reference field="11" count="1" selected="0">
            <x v="5"/>
          </reference>
          <reference field="13" count="1" selected="0">
            <x v="274"/>
          </reference>
        </references>
      </pivotArea>
    </format>
    <format dxfId="3414">
      <pivotArea dataOnly="0" labelOnly="1" outline="0" fieldPosition="0">
        <references count="4">
          <reference field="5" count="1">
            <x v="2"/>
          </reference>
          <reference field="8" count="1" selected="0">
            <x v="184"/>
          </reference>
          <reference field="11" count="1" selected="0">
            <x v="6"/>
          </reference>
          <reference field="13" count="1" selected="0">
            <x v="191"/>
          </reference>
        </references>
      </pivotArea>
    </format>
    <format dxfId="3413">
      <pivotArea dataOnly="0" labelOnly="1" outline="0" fieldPosition="0">
        <references count="4">
          <reference field="5" count="1">
            <x v="2"/>
          </reference>
          <reference field="8" count="1" selected="0">
            <x v="184"/>
          </reference>
          <reference field="11" count="1" selected="0">
            <x v="6"/>
          </reference>
          <reference field="13" count="1" selected="0">
            <x v="198"/>
          </reference>
        </references>
      </pivotArea>
    </format>
    <format dxfId="3412">
      <pivotArea dataOnly="0" labelOnly="1" outline="0" fieldPosition="0">
        <references count="4">
          <reference field="5" count="1">
            <x v="2"/>
          </reference>
          <reference field="8" count="1" selected="0">
            <x v="184"/>
          </reference>
          <reference field="11" count="1" selected="0">
            <x v="6"/>
          </reference>
          <reference field="13" count="1" selected="0">
            <x v="199"/>
          </reference>
        </references>
      </pivotArea>
    </format>
    <format dxfId="3411">
      <pivotArea dataOnly="0" labelOnly="1" outline="0" fieldPosition="0">
        <references count="4">
          <reference field="5" count="2">
            <x v="64"/>
            <x v="95"/>
          </reference>
          <reference field="8" count="1" selected="0">
            <x v="184"/>
          </reference>
          <reference field="11" count="1" selected="0">
            <x v="7"/>
          </reference>
          <reference field="13" count="1" selected="0">
            <x v="8"/>
          </reference>
        </references>
      </pivotArea>
    </format>
    <format dxfId="3410">
      <pivotArea dataOnly="0" labelOnly="1" outline="0" fieldPosition="0">
        <references count="4">
          <reference field="5" count="3">
            <x v="60"/>
            <x v="64"/>
            <x v="95"/>
          </reference>
          <reference field="8" count="1" selected="0">
            <x v="184"/>
          </reference>
          <reference field="11" count="1" selected="0">
            <x v="7"/>
          </reference>
          <reference field="13" count="1" selected="0">
            <x v="72"/>
          </reference>
        </references>
      </pivotArea>
    </format>
    <format dxfId="3409">
      <pivotArea dataOnly="0" labelOnly="1" outline="0" fieldPosition="0">
        <references count="4">
          <reference field="5" count="1">
            <x v="95"/>
          </reference>
          <reference field="8" count="1" selected="0">
            <x v="184"/>
          </reference>
          <reference field="11" count="1" selected="0">
            <x v="7"/>
          </reference>
          <reference field="13" count="1" selected="0">
            <x v="79"/>
          </reference>
        </references>
      </pivotArea>
    </format>
    <format dxfId="3408">
      <pivotArea dataOnly="0" labelOnly="1" outline="0" fieldPosition="0">
        <references count="4">
          <reference field="5" count="2">
            <x v="64"/>
            <x v="95"/>
          </reference>
          <reference field="8" count="1" selected="0">
            <x v="184"/>
          </reference>
          <reference field="11" count="1" selected="0">
            <x v="7"/>
          </reference>
          <reference field="13" count="1" selected="0">
            <x v="93"/>
          </reference>
        </references>
      </pivotArea>
    </format>
    <format dxfId="3407">
      <pivotArea dataOnly="0" labelOnly="1" outline="0" fieldPosition="0">
        <references count="4">
          <reference field="5" count="2">
            <x v="64"/>
            <x v="95"/>
          </reference>
          <reference field="8" count="1" selected="0">
            <x v="184"/>
          </reference>
          <reference field="11" count="1" selected="0">
            <x v="7"/>
          </reference>
          <reference field="13" count="1" selected="0">
            <x v="129"/>
          </reference>
        </references>
      </pivotArea>
    </format>
    <format dxfId="3406">
      <pivotArea dataOnly="0" labelOnly="1" outline="0" fieldPosition="0">
        <references count="4">
          <reference field="5" count="2">
            <x v="64"/>
            <x v="95"/>
          </reference>
          <reference field="8" count="1" selected="0">
            <x v="184"/>
          </reference>
          <reference field="11" count="1" selected="0">
            <x v="7"/>
          </reference>
          <reference field="13" count="1" selected="0">
            <x v="308"/>
          </reference>
        </references>
      </pivotArea>
    </format>
    <format dxfId="3405">
      <pivotArea dataOnly="0" labelOnly="1" outline="0" fieldPosition="0">
        <references count="4">
          <reference field="5" count="2">
            <x v="115"/>
            <x v="116"/>
          </reference>
          <reference field="8" count="1" selected="0">
            <x v="185"/>
          </reference>
          <reference field="11" count="1" selected="0">
            <x v="0"/>
          </reference>
          <reference field="13" count="1" selected="0">
            <x v="53"/>
          </reference>
        </references>
      </pivotArea>
    </format>
    <format dxfId="3404">
      <pivotArea dataOnly="0" labelOnly="1" outline="0" fieldPosition="0">
        <references count="4">
          <reference field="5" count="1">
            <x v="64"/>
          </reference>
          <reference field="8" count="1" selected="0">
            <x v="185"/>
          </reference>
          <reference field="11" count="1" selected="0">
            <x v="0"/>
          </reference>
          <reference field="13" count="1" selected="0">
            <x v="58"/>
          </reference>
        </references>
      </pivotArea>
    </format>
    <format dxfId="3403">
      <pivotArea dataOnly="0" labelOnly="1" outline="0" fieldPosition="0">
        <references count="4">
          <reference field="5" count="1">
            <x v="64"/>
          </reference>
          <reference field="8" count="1" selected="0">
            <x v="185"/>
          </reference>
          <reference field="11" count="1" selected="0">
            <x v="0"/>
          </reference>
          <reference field="13" count="1" selected="0">
            <x v="185"/>
          </reference>
        </references>
      </pivotArea>
    </format>
    <format dxfId="3402">
      <pivotArea dataOnly="0" labelOnly="1" outline="0" fieldPosition="0">
        <references count="4">
          <reference field="5" count="1">
            <x v="64"/>
          </reference>
          <reference field="8" count="1" selected="0">
            <x v="185"/>
          </reference>
          <reference field="11" count="1" selected="0">
            <x v="1"/>
          </reference>
          <reference field="13" count="1" selected="0">
            <x v="169"/>
          </reference>
        </references>
      </pivotArea>
    </format>
    <format dxfId="3401">
      <pivotArea dataOnly="0" labelOnly="1" outline="0" fieldPosition="0">
        <references count="4">
          <reference field="5" count="1">
            <x v="95"/>
          </reference>
          <reference field="8" count="1" selected="0">
            <x v="185"/>
          </reference>
          <reference field="11" count="1" selected="0">
            <x v="1"/>
          </reference>
          <reference field="13" count="1" selected="0">
            <x v="286"/>
          </reference>
        </references>
      </pivotArea>
    </format>
    <format dxfId="3400">
      <pivotArea dataOnly="0" labelOnly="1" outline="0" fieldPosition="0">
        <references count="4">
          <reference field="5" count="1">
            <x v="95"/>
          </reference>
          <reference field="8" count="1" selected="0">
            <x v="185"/>
          </reference>
          <reference field="11" count="1" selected="0">
            <x v="3"/>
          </reference>
          <reference field="13" count="1" selected="0">
            <x v="7"/>
          </reference>
        </references>
      </pivotArea>
    </format>
    <format dxfId="3399">
      <pivotArea dataOnly="0" labelOnly="1" outline="0" fieldPosition="0">
        <references count="4">
          <reference field="5" count="1">
            <x v="95"/>
          </reference>
          <reference field="8" count="1" selected="0">
            <x v="185"/>
          </reference>
          <reference field="11" count="1" selected="0">
            <x v="3"/>
          </reference>
          <reference field="13" count="1" selected="0">
            <x v="17"/>
          </reference>
        </references>
      </pivotArea>
    </format>
    <format dxfId="3398">
      <pivotArea dataOnly="0" labelOnly="1" outline="0" fieldPosition="0">
        <references count="4">
          <reference field="5" count="2">
            <x v="116"/>
            <x v="117"/>
          </reference>
          <reference field="8" count="1" selected="0">
            <x v="185"/>
          </reference>
          <reference field="11" count="1" selected="0">
            <x v="3"/>
          </reference>
          <reference field="13" count="1" selected="0">
            <x v="29"/>
          </reference>
        </references>
      </pivotArea>
    </format>
    <format dxfId="3397">
      <pivotArea dataOnly="0" labelOnly="1" outline="0" fieldPosition="0">
        <references count="4">
          <reference field="5" count="1">
            <x v="95"/>
          </reference>
          <reference field="8" count="1" selected="0">
            <x v="185"/>
          </reference>
          <reference field="11" count="1" selected="0">
            <x v="3"/>
          </reference>
          <reference field="13" count="1" selected="0">
            <x v="32"/>
          </reference>
        </references>
      </pivotArea>
    </format>
    <format dxfId="3396">
      <pivotArea dataOnly="0" labelOnly="1" outline="0" fieldPosition="0">
        <references count="4">
          <reference field="5" count="1">
            <x v="95"/>
          </reference>
          <reference field="8" count="1" selected="0">
            <x v="185"/>
          </reference>
          <reference field="11" count="1" selected="0">
            <x v="3"/>
          </reference>
          <reference field="13" count="1" selected="0">
            <x v="36"/>
          </reference>
        </references>
      </pivotArea>
    </format>
    <format dxfId="3395">
      <pivotArea dataOnly="0" labelOnly="1" outline="0" fieldPosition="0">
        <references count="4">
          <reference field="5" count="1">
            <x v="95"/>
          </reference>
          <reference field="8" count="1" selected="0">
            <x v="185"/>
          </reference>
          <reference field="11" count="1" selected="0">
            <x v="3"/>
          </reference>
          <reference field="13" count="1" selected="0">
            <x v="57"/>
          </reference>
        </references>
      </pivotArea>
    </format>
    <format dxfId="3394">
      <pivotArea dataOnly="0" labelOnly="1" outline="0" fieldPosition="0">
        <references count="4">
          <reference field="5" count="1">
            <x v="95"/>
          </reference>
          <reference field="8" count="1" selected="0">
            <x v="185"/>
          </reference>
          <reference field="11" count="1" selected="0">
            <x v="3"/>
          </reference>
          <reference field="13" count="1" selected="0">
            <x v="69"/>
          </reference>
        </references>
      </pivotArea>
    </format>
    <format dxfId="3393">
      <pivotArea dataOnly="0" labelOnly="1" outline="0" fieldPosition="0">
        <references count="4">
          <reference field="5" count="1">
            <x v="95"/>
          </reference>
          <reference field="8" count="1" selected="0">
            <x v="185"/>
          </reference>
          <reference field="11" count="1" selected="0">
            <x v="3"/>
          </reference>
          <reference field="13" count="1" selected="0">
            <x v="78"/>
          </reference>
        </references>
      </pivotArea>
    </format>
    <format dxfId="3392">
      <pivotArea dataOnly="0" labelOnly="1" outline="0" fieldPosition="0">
        <references count="4">
          <reference field="5" count="1">
            <x v="95"/>
          </reference>
          <reference field="8" count="1" selected="0">
            <x v="185"/>
          </reference>
          <reference field="11" count="1" selected="0">
            <x v="3"/>
          </reference>
          <reference field="13" count="1" selected="0">
            <x v="100"/>
          </reference>
        </references>
      </pivotArea>
    </format>
    <format dxfId="3391">
      <pivotArea dataOnly="0" labelOnly="1" outline="0" fieldPosition="0">
        <references count="4">
          <reference field="5" count="1">
            <x v="117"/>
          </reference>
          <reference field="8" count="1" selected="0">
            <x v="185"/>
          </reference>
          <reference field="11" count="1" selected="0">
            <x v="3"/>
          </reference>
          <reference field="13" count="1" selected="0">
            <x v="218"/>
          </reference>
        </references>
      </pivotArea>
    </format>
    <format dxfId="3390">
      <pivotArea dataOnly="0" labelOnly="1" outline="0" fieldPosition="0">
        <references count="4">
          <reference field="5" count="1">
            <x v="95"/>
          </reference>
          <reference field="8" count="1" selected="0">
            <x v="185"/>
          </reference>
          <reference field="11" count="1" selected="0">
            <x v="3"/>
          </reference>
          <reference field="13" count="1" selected="0">
            <x v="240"/>
          </reference>
        </references>
      </pivotArea>
    </format>
    <format dxfId="3389">
      <pivotArea dataOnly="0" labelOnly="1" outline="0" fieldPosition="0">
        <references count="4">
          <reference field="5" count="2">
            <x v="95"/>
            <x v="98"/>
          </reference>
          <reference field="8" count="1" selected="0">
            <x v="185"/>
          </reference>
          <reference field="11" count="1" selected="0">
            <x v="3"/>
          </reference>
          <reference field="13" count="1" selected="0">
            <x v="242"/>
          </reference>
        </references>
      </pivotArea>
    </format>
    <format dxfId="3388">
      <pivotArea dataOnly="0" labelOnly="1" outline="0" fieldPosition="0">
        <references count="4">
          <reference field="5" count="1">
            <x v="95"/>
          </reference>
          <reference field="8" count="1" selected="0">
            <x v="185"/>
          </reference>
          <reference field="11" count="1" selected="0">
            <x v="3"/>
          </reference>
          <reference field="13" count="1" selected="0">
            <x v="243"/>
          </reference>
        </references>
      </pivotArea>
    </format>
    <format dxfId="3387">
      <pivotArea dataOnly="0" labelOnly="1" outline="0" fieldPosition="0">
        <references count="4">
          <reference field="5" count="2">
            <x v="64"/>
            <x v="95"/>
          </reference>
          <reference field="8" count="1" selected="0">
            <x v="185"/>
          </reference>
          <reference field="11" count="1" selected="0">
            <x v="3"/>
          </reference>
          <reference field="13" count="1" selected="0">
            <x v="251"/>
          </reference>
        </references>
      </pivotArea>
    </format>
    <format dxfId="3386">
      <pivotArea dataOnly="0" labelOnly="1" outline="0" fieldPosition="0">
        <references count="4">
          <reference field="5" count="1">
            <x v="95"/>
          </reference>
          <reference field="8" count="1" selected="0">
            <x v="185"/>
          </reference>
          <reference field="11" count="1" selected="0">
            <x v="3"/>
          </reference>
          <reference field="13" count="1" selected="0">
            <x v="278"/>
          </reference>
        </references>
      </pivotArea>
    </format>
    <format dxfId="3385">
      <pivotArea dataOnly="0" labelOnly="1" outline="0" fieldPosition="0">
        <references count="4">
          <reference field="5" count="2">
            <x v="95"/>
            <x v="98"/>
          </reference>
          <reference field="8" count="1" selected="0">
            <x v="185"/>
          </reference>
          <reference field="11" count="1" selected="0">
            <x v="3"/>
          </reference>
          <reference field="13" count="1" selected="0">
            <x v="287"/>
          </reference>
        </references>
      </pivotArea>
    </format>
    <format dxfId="3384">
      <pivotArea dataOnly="0" labelOnly="1" outline="0" fieldPosition="0">
        <references count="4">
          <reference field="5" count="1">
            <x v="117"/>
          </reference>
          <reference field="8" count="1" selected="0">
            <x v="185"/>
          </reference>
          <reference field="11" count="1" selected="0">
            <x v="3"/>
          </reference>
          <reference field="13" count="1" selected="0">
            <x v="314"/>
          </reference>
        </references>
      </pivotArea>
    </format>
    <format dxfId="3383">
      <pivotArea dataOnly="0" labelOnly="1" outline="0" fieldPosition="0">
        <references count="4">
          <reference field="5" count="2">
            <x v="95"/>
            <x v="116"/>
          </reference>
          <reference field="8" count="1" selected="0">
            <x v="185"/>
          </reference>
          <reference field="11" count="1" selected="0">
            <x v="5"/>
          </reference>
          <reference field="13" count="1" selected="0">
            <x v="77"/>
          </reference>
        </references>
      </pivotArea>
    </format>
    <format dxfId="3382">
      <pivotArea dataOnly="0" labelOnly="1" outline="0" fieldPosition="0">
        <references count="4">
          <reference field="5" count="1">
            <x v="95"/>
          </reference>
          <reference field="8" count="1" selected="0">
            <x v="185"/>
          </reference>
          <reference field="11" count="1" selected="0">
            <x v="5"/>
          </reference>
          <reference field="13" count="1" selected="0">
            <x v="81"/>
          </reference>
        </references>
      </pivotArea>
    </format>
    <format dxfId="3381">
      <pivotArea dataOnly="0" labelOnly="1" outline="0" fieldPosition="0">
        <references count="4">
          <reference field="5" count="1">
            <x v="20"/>
          </reference>
          <reference field="8" count="1" selected="0">
            <x v="185"/>
          </reference>
          <reference field="11" count="1" selected="0">
            <x v="5"/>
          </reference>
          <reference field="13" count="1" selected="0">
            <x v="255"/>
          </reference>
        </references>
      </pivotArea>
    </format>
    <format dxfId="3380">
      <pivotArea dataOnly="0" labelOnly="1" outline="0" fieldPosition="0">
        <references count="4">
          <reference field="5" count="1">
            <x v="95"/>
          </reference>
          <reference field="8" count="1" selected="0">
            <x v="185"/>
          </reference>
          <reference field="11" count="1" selected="0">
            <x v="7"/>
          </reference>
          <reference field="13" count="1" selected="0">
            <x v="72"/>
          </reference>
        </references>
      </pivotArea>
    </format>
    <format dxfId="3379">
      <pivotArea dataOnly="0" labelOnly="1" outline="0" fieldPosition="0">
        <references count="4">
          <reference field="5" count="1">
            <x v="95"/>
          </reference>
          <reference field="8" count="1" selected="0">
            <x v="185"/>
          </reference>
          <reference field="11" count="1" selected="0">
            <x v="7"/>
          </reference>
          <reference field="13" count="1" selected="0">
            <x v="93"/>
          </reference>
        </references>
      </pivotArea>
    </format>
    <format dxfId="3378">
      <pivotArea dataOnly="0" labelOnly="1" outline="0" fieldPosition="0">
        <references count="4">
          <reference field="5" count="1">
            <x v="64"/>
          </reference>
          <reference field="8" count="1" selected="0">
            <x v="185"/>
          </reference>
          <reference field="11" count="1" selected="0">
            <x v="7"/>
          </reference>
          <reference field="13" count="1" selected="0">
            <x v="129"/>
          </reference>
        </references>
      </pivotArea>
    </format>
    <format dxfId="3377">
      <pivotArea dataOnly="0" labelOnly="1" outline="0" fieldPosition="0">
        <references count="4">
          <reference field="5" count="1">
            <x v="64"/>
          </reference>
          <reference field="8" count="1" selected="0">
            <x v="185"/>
          </reference>
          <reference field="11" count="1" selected="0">
            <x v="7"/>
          </reference>
          <reference field="13" count="1" selected="0">
            <x v="308"/>
          </reference>
        </references>
      </pivotArea>
    </format>
    <format dxfId="3376">
      <pivotArea dataOnly="0" labelOnly="1" outline="0" fieldPosition="0">
        <references count="4">
          <reference field="5" count="1">
            <x v="64"/>
          </reference>
          <reference field="8" count="1" selected="0">
            <x v="186"/>
          </reference>
          <reference field="11" count="1" selected="0">
            <x v="1"/>
          </reference>
          <reference field="13" count="1" selected="0">
            <x v="169"/>
          </reference>
        </references>
      </pivotArea>
    </format>
    <format dxfId="3375">
      <pivotArea dataOnly="0" labelOnly="1" outline="0" fieldPosition="0">
        <references count="4">
          <reference field="5" count="1">
            <x v="64"/>
          </reference>
          <reference field="8" count="1" selected="0">
            <x v="186"/>
          </reference>
          <reference field="11" count="1" selected="0">
            <x v="1"/>
          </reference>
          <reference field="13" count="1" selected="0">
            <x v="230"/>
          </reference>
        </references>
      </pivotArea>
    </format>
    <format dxfId="3374">
      <pivotArea dataOnly="0" labelOnly="1" outline="0" fieldPosition="0">
        <references count="4">
          <reference field="5" count="1">
            <x v="64"/>
          </reference>
          <reference field="8" count="1" selected="0">
            <x v="186"/>
          </reference>
          <reference field="11" count="1" selected="0">
            <x v="7"/>
          </reference>
          <reference field="13" count="1" selected="0">
            <x v="129"/>
          </reference>
        </references>
      </pivotArea>
    </format>
    <format dxfId="3373">
      <pivotArea dataOnly="0" labelOnly="1" outline="0" fieldPosition="0">
        <references count="4">
          <reference field="5" count="1">
            <x v="64"/>
          </reference>
          <reference field="8" count="1" selected="0">
            <x v="187"/>
          </reference>
          <reference field="11" count="1" selected="0">
            <x v="1"/>
          </reference>
          <reference field="13" count="1" selected="0">
            <x v="169"/>
          </reference>
        </references>
      </pivotArea>
    </format>
    <format dxfId="3372">
      <pivotArea dataOnly="0" labelOnly="1" outline="0" fieldPosition="0">
        <references count="4">
          <reference field="5" count="1">
            <x v="64"/>
          </reference>
          <reference field="8" count="1" selected="0">
            <x v="187"/>
          </reference>
          <reference field="11" count="1" selected="0">
            <x v="1"/>
          </reference>
          <reference field="13" count="1" selected="0">
            <x v="230"/>
          </reference>
        </references>
      </pivotArea>
    </format>
    <format dxfId="3371">
      <pivotArea dataOnly="0" labelOnly="1" outline="0" fieldPosition="0">
        <references count="4">
          <reference field="5" count="1">
            <x v="32"/>
          </reference>
          <reference field="8" count="1" selected="0">
            <x v="188"/>
          </reference>
          <reference field="11" count="1" selected="0">
            <x v="1"/>
          </reference>
          <reference field="13" count="1" selected="0">
            <x v="286"/>
          </reference>
        </references>
      </pivotArea>
    </format>
    <format dxfId="3370">
      <pivotArea dataOnly="0" labelOnly="1" outline="0" fieldPosition="0">
        <references count="4">
          <reference field="5" count="1">
            <x v="32"/>
          </reference>
          <reference field="8" count="1" selected="0">
            <x v="188"/>
          </reference>
          <reference field="11" count="1" selected="0">
            <x v="3"/>
          </reference>
          <reference field="13" count="1" selected="0">
            <x v="92"/>
          </reference>
        </references>
      </pivotArea>
    </format>
    <format dxfId="3369">
      <pivotArea dataOnly="0" labelOnly="1" outline="0" fieldPosition="0">
        <references count="4">
          <reference field="5" count="1">
            <x v="20"/>
          </reference>
          <reference field="8" count="1" selected="0">
            <x v="188"/>
          </reference>
          <reference field="11" count="1" selected="0">
            <x v="5"/>
          </reference>
          <reference field="13" count="1" selected="0">
            <x v="81"/>
          </reference>
        </references>
      </pivotArea>
    </format>
    <format dxfId="3368">
      <pivotArea dataOnly="0" labelOnly="1" outline="0" fieldPosition="0">
        <references count="4">
          <reference field="5" count="1">
            <x v="32"/>
          </reference>
          <reference field="8" count="1" selected="0">
            <x v="189"/>
          </reference>
          <reference field="11" count="1" selected="0">
            <x v="3"/>
          </reference>
          <reference field="13" count="1" selected="0">
            <x v="92"/>
          </reference>
        </references>
      </pivotArea>
    </format>
    <format dxfId="3367">
      <pivotArea dataOnly="0" labelOnly="1" outline="0" fieldPosition="0">
        <references count="4">
          <reference field="5" count="1">
            <x v="32"/>
          </reference>
          <reference field="8" count="1" selected="0">
            <x v="190"/>
          </reference>
          <reference field="11" count="1" selected="0">
            <x v="1"/>
          </reference>
          <reference field="13" count="1" selected="0">
            <x v="286"/>
          </reference>
        </references>
      </pivotArea>
    </format>
    <format dxfId="3366">
      <pivotArea dataOnly="0" labelOnly="1" outline="0" fieldPosition="0">
        <references count="4">
          <reference field="5" count="1">
            <x v="32"/>
          </reference>
          <reference field="8" count="1" selected="0">
            <x v="190"/>
          </reference>
          <reference field="11" count="1" selected="0">
            <x v="4"/>
          </reference>
          <reference field="13" count="1" selected="0">
            <x v="133"/>
          </reference>
        </references>
      </pivotArea>
    </format>
    <format dxfId="3365">
      <pivotArea dataOnly="0" labelOnly="1" outline="0" fieldPosition="0">
        <references count="4">
          <reference field="5" count="1">
            <x v="116"/>
          </reference>
          <reference field="8" count="1" selected="0">
            <x v="190"/>
          </reference>
          <reference field="11" count="1" selected="0">
            <x v="5"/>
          </reference>
          <reference field="13" count="1" selected="0">
            <x v="81"/>
          </reference>
        </references>
      </pivotArea>
    </format>
    <format dxfId="3364">
      <pivotArea dataOnly="0" labelOnly="1" outline="0" fieldPosition="0">
        <references count="4">
          <reference field="5" count="1">
            <x v="47"/>
          </reference>
          <reference field="8" count="1" selected="0">
            <x v="191"/>
          </reference>
          <reference field="11" count="1" selected="0">
            <x v="0"/>
          </reference>
          <reference field="13" count="1" selected="0">
            <x v="182"/>
          </reference>
        </references>
      </pivotArea>
    </format>
    <format dxfId="3363">
      <pivotArea dataOnly="0" labelOnly="1" outline="0" fieldPosition="0">
        <references count="4">
          <reference field="5" count="1">
            <x v="20"/>
          </reference>
          <reference field="8" count="1" selected="0">
            <x v="191"/>
          </reference>
          <reference field="11" count="1" selected="0">
            <x v="5"/>
          </reference>
          <reference field="13" count="1" selected="0">
            <x v="77"/>
          </reference>
        </references>
      </pivotArea>
    </format>
    <format dxfId="3362">
      <pivotArea dataOnly="0" labelOnly="1" outline="0" fieldPosition="0">
        <references count="4">
          <reference field="5" count="1">
            <x v="64"/>
          </reference>
          <reference field="8" count="1" selected="0">
            <x v="192"/>
          </reference>
          <reference field="11" count="1" selected="0">
            <x v="1"/>
          </reference>
          <reference field="13" count="1" selected="0">
            <x v="169"/>
          </reference>
        </references>
      </pivotArea>
    </format>
    <format dxfId="3361">
      <pivotArea dataOnly="0" labelOnly="1" outline="0" fieldPosition="0">
        <references count="4">
          <reference field="5" count="1">
            <x v="115"/>
          </reference>
          <reference field="8" count="1" selected="0">
            <x v="192"/>
          </reference>
          <reference field="11" count="1" selected="0">
            <x v="5"/>
          </reference>
          <reference field="13" count="1" selected="0">
            <x v="226"/>
          </reference>
        </references>
      </pivotArea>
    </format>
    <format dxfId="3360">
      <pivotArea dataOnly="0" labelOnly="1" outline="0" fieldPosition="0">
        <references count="4">
          <reference field="5" count="1">
            <x v="64"/>
          </reference>
          <reference field="8" count="1" selected="0">
            <x v="192"/>
          </reference>
          <reference field="11" count="1" selected="0">
            <x v="7"/>
          </reference>
          <reference field="13" count="1" selected="0">
            <x v="129"/>
          </reference>
        </references>
      </pivotArea>
    </format>
    <format dxfId="3359">
      <pivotArea dataOnly="0" labelOnly="1" outline="0" fieldPosition="0">
        <references count="4">
          <reference field="5" count="1">
            <x v="101"/>
          </reference>
          <reference field="8" count="1" selected="0">
            <x v="193"/>
          </reference>
          <reference field="11" count="1" selected="0">
            <x v="1"/>
          </reference>
          <reference field="13" count="1" selected="0">
            <x v="241"/>
          </reference>
        </references>
      </pivotArea>
    </format>
    <format dxfId="3358">
      <pivotArea dataOnly="0" labelOnly="1" outline="0" fieldPosition="0">
        <references count="4">
          <reference field="5" count="1">
            <x v="116"/>
          </reference>
          <reference field="8" count="1" selected="0">
            <x v="193"/>
          </reference>
          <reference field="11" count="1" selected="0">
            <x v="5"/>
          </reference>
          <reference field="13" count="1" selected="0">
            <x v="81"/>
          </reference>
        </references>
      </pivotArea>
    </format>
    <format dxfId="3357">
      <pivotArea dataOnly="0" labelOnly="1" outline="0" fieldPosition="0">
        <references count="4">
          <reference field="5" count="1">
            <x v="116"/>
          </reference>
          <reference field="8" count="1" selected="0">
            <x v="194"/>
          </reference>
          <reference field="11" count="1" selected="0">
            <x v="5"/>
          </reference>
          <reference field="13" count="1" selected="0">
            <x v="77"/>
          </reference>
        </references>
      </pivotArea>
    </format>
    <format dxfId="3356">
      <pivotArea dataOnly="0" labelOnly="1" outline="0" fieldPosition="0">
        <references count="4">
          <reference field="5" count="1">
            <x v="71"/>
          </reference>
          <reference field="8" count="1" selected="0">
            <x v="197"/>
          </reference>
          <reference field="11" count="1" selected="0">
            <x v="3"/>
          </reference>
          <reference field="13" count="1" selected="0">
            <x v="134"/>
          </reference>
        </references>
      </pivotArea>
    </format>
    <format dxfId="3355">
      <pivotArea dataOnly="0" labelOnly="1" outline="0" fieldPosition="0">
        <references count="4">
          <reference field="5" count="1">
            <x v="20"/>
          </reference>
          <reference field="8" count="1" selected="0">
            <x v="197"/>
          </reference>
          <reference field="11" count="1" selected="0">
            <x v="5"/>
          </reference>
          <reference field="13" count="1" selected="0">
            <x v="77"/>
          </reference>
        </references>
      </pivotArea>
    </format>
    <format dxfId="3354">
      <pivotArea dataOnly="0" labelOnly="1" outline="0" fieldPosition="0">
        <references count="4">
          <reference field="5" count="1">
            <x v="71"/>
          </reference>
          <reference field="8" count="1" selected="0">
            <x v="197"/>
          </reference>
          <reference field="11" count="1" selected="0">
            <x v="7"/>
          </reference>
          <reference field="13" count="1" selected="0">
            <x v="72"/>
          </reference>
        </references>
      </pivotArea>
    </format>
    <format dxfId="3353">
      <pivotArea dataOnly="0" labelOnly="1" outline="0" fieldPosition="0">
        <references count="4">
          <reference field="5" count="1">
            <x v="71"/>
          </reference>
          <reference field="8" count="1" selected="0">
            <x v="198"/>
          </reference>
          <reference field="11" count="1" selected="0">
            <x v="3"/>
          </reference>
          <reference field="13" count="1" selected="0">
            <x v="134"/>
          </reference>
        </references>
      </pivotArea>
    </format>
    <format dxfId="3352">
      <pivotArea dataOnly="0" labelOnly="1" outline="0" fieldPosition="0">
        <references count="4">
          <reference field="5" count="1">
            <x v="71"/>
          </reference>
          <reference field="8" count="1" selected="0">
            <x v="198"/>
          </reference>
          <reference field="11" count="1" selected="0">
            <x v="3"/>
          </reference>
          <reference field="13" count="1" selected="0">
            <x v="242"/>
          </reference>
        </references>
      </pivotArea>
    </format>
    <format dxfId="3351">
      <pivotArea dataOnly="0" labelOnly="1" outline="0" fieldPosition="0">
        <references count="4">
          <reference field="5" count="1">
            <x v="71"/>
          </reference>
          <reference field="8" count="1" selected="0">
            <x v="198"/>
          </reference>
          <reference field="11" count="1" selected="0">
            <x v="4"/>
          </reference>
          <reference field="13" count="1" selected="0">
            <x v="133"/>
          </reference>
        </references>
      </pivotArea>
    </format>
    <format dxfId="3350">
      <pivotArea dataOnly="0" labelOnly="1" outline="0" fieldPosition="0">
        <references count="4">
          <reference field="5" count="1">
            <x v="20"/>
          </reference>
          <reference field="8" count="1" selected="0">
            <x v="198"/>
          </reference>
          <reference field="11" count="1" selected="0">
            <x v="5"/>
          </reference>
          <reference field="13" count="1" selected="0">
            <x v="77"/>
          </reference>
        </references>
      </pivotArea>
    </format>
    <format dxfId="3349">
      <pivotArea dataOnly="0" labelOnly="1" outline="0" fieldPosition="0">
        <references count="4">
          <reference field="5" count="1">
            <x v="117"/>
          </reference>
          <reference field="8" count="1" selected="0">
            <x v="201"/>
          </reference>
          <reference field="11" count="1" selected="0">
            <x v="3"/>
          </reference>
          <reference field="13" count="1" selected="0">
            <x v="29"/>
          </reference>
        </references>
      </pivotArea>
    </format>
    <format dxfId="3348">
      <pivotArea dataOnly="0" labelOnly="1" outline="0" fieldPosition="0">
        <references count="4">
          <reference field="5" count="1">
            <x v="117"/>
          </reference>
          <reference field="8" count="1" selected="0">
            <x v="201"/>
          </reference>
          <reference field="11" count="1" selected="0">
            <x v="3"/>
          </reference>
          <reference field="13" count="1" selected="0">
            <x v="218"/>
          </reference>
        </references>
      </pivotArea>
    </format>
    <format dxfId="3347">
      <pivotArea dataOnly="0" labelOnly="1" outline="0" fieldPosition="0">
        <references count="4">
          <reference field="5" count="1">
            <x v="117"/>
          </reference>
          <reference field="8" count="1" selected="0">
            <x v="201"/>
          </reference>
          <reference field="11" count="1" selected="0">
            <x v="3"/>
          </reference>
          <reference field="13" count="1" selected="0">
            <x v="314"/>
          </reference>
        </references>
      </pivotArea>
    </format>
    <format dxfId="3346">
      <pivotArea dataOnly="0" labelOnly="1" outline="0" fieldPosition="0">
        <references count="4">
          <reference field="5" count="2">
            <x v="20"/>
            <x v="84"/>
          </reference>
          <reference field="8" count="1" selected="0">
            <x v="201"/>
          </reference>
          <reference field="11" count="1" selected="0">
            <x v="5"/>
          </reference>
          <reference field="13" count="1" selected="0">
            <x v="77"/>
          </reference>
        </references>
      </pivotArea>
    </format>
    <format dxfId="3345">
      <pivotArea dataOnly="0" labelOnly="1" outline="0" fieldPosition="0">
        <references count="4">
          <reference field="5" count="1">
            <x v="116"/>
          </reference>
          <reference field="8" count="1" selected="0">
            <x v="201"/>
          </reference>
          <reference field="11" count="1" selected="0">
            <x v="5"/>
          </reference>
          <reference field="13" count="1" selected="0">
            <x v="81"/>
          </reference>
        </references>
      </pivotArea>
    </format>
    <format dxfId="3344">
      <pivotArea dataOnly="0" labelOnly="1" outline="0" fieldPosition="0">
        <references count="4">
          <reference field="5" count="1">
            <x v="117"/>
          </reference>
          <reference field="8" count="1" selected="0">
            <x v="202"/>
          </reference>
          <reference field="11" count="1" selected="0">
            <x v="3"/>
          </reference>
          <reference field="13" count="1" selected="0">
            <x v="29"/>
          </reference>
        </references>
      </pivotArea>
    </format>
    <format dxfId="3343">
      <pivotArea dataOnly="0" labelOnly="1" outline="0" fieldPosition="0">
        <references count="4">
          <reference field="5" count="1">
            <x v="117"/>
          </reference>
          <reference field="8" count="1" selected="0">
            <x v="202"/>
          </reference>
          <reference field="11" count="1" selected="0">
            <x v="3"/>
          </reference>
          <reference field="13" count="1" selected="0">
            <x v="218"/>
          </reference>
        </references>
      </pivotArea>
    </format>
    <format dxfId="3342">
      <pivotArea dataOnly="0" labelOnly="1" outline="0" fieldPosition="0">
        <references count="4">
          <reference field="5" count="1">
            <x v="117"/>
          </reference>
          <reference field="8" count="1" selected="0">
            <x v="202"/>
          </reference>
          <reference field="11" count="1" selected="0">
            <x v="3"/>
          </reference>
          <reference field="13" count="1" selected="0">
            <x v="314"/>
          </reference>
        </references>
      </pivotArea>
    </format>
    <format dxfId="3341">
      <pivotArea dataOnly="0" labelOnly="1" outline="0" fieldPosition="0">
        <references count="4">
          <reference field="5" count="1">
            <x v="2"/>
          </reference>
          <reference field="8" count="1" selected="0">
            <x v="202"/>
          </reference>
          <reference field="11" count="1" selected="0">
            <x v="6"/>
          </reference>
          <reference field="13" count="1" selected="0">
            <x v="191"/>
          </reference>
        </references>
      </pivotArea>
    </format>
    <format dxfId="3340">
      <pivotArea dataOnly="0" labelOnly="1" outline="0" fieldPosition="0">
        <references count="4">
          <reference field="5" count="1">
            <x v="2"/>
          </reference>
          <reference field="8" count="1" selected="0">
            <x v="202"/>
          </reference>
          <reference field="11" count="1" selected="0">
            <x v="6"/>
          </reference>
          <reference field="13" count="1" selected="0">
            <x v="198"/>
          </reference>
        </references>
      </pivotArea>
    </format>
    <format dxfId="3339">
      <pivotArea dataOnly="0" labelOnly="1" outline="0" fieldPosition="0">
        <references count="4">
          <reference field="5" count="1">
            <x v="2"/>
          </reference>
          <reference field="8" count="1" selected="0">
            <x v="202"/>
          </reference>
          <reference field="11" count="1" selected="0">
            <x v="6"/>
          </reference>
          <reference field="13" count="1" selected="0">
            <x v="199"/>
          </reference>
        </references>
      </pivotArea>
    </format>
    <format dxfId="3338">
      <pivotArea dataOnly="0" labelOnly="1" outline="0" fieldPosition="0">
        <references count="4">
          <reference field="5" count="1">
            <x v="117"/>
          </reference>
          <reference field="8" count="1" selected="0">
            <x v="203"/>
          </reference>
          <reference field="11" count="1" selected="0">
            <x v="3"/>
          </reference>
          <reference field="13" count="1" selected="0">
            <x v="29"/>
          </reference>
        </references>
      </pivotArea>
    </format>
    <format dxfId="3337">
      <pivotArea dataOnly="0" labelOnly="1" outline="0" fieldPosition="0">
        <references count="4">
          <reference field="5" count="1">
            <x v="111"/>
          </reference>
          <reference field="8" count="1" selected="0">
            <x v="203"/>
          </reference>
          <reference field="11" count="1" selected="0">
            <x v="3"/>
          </reference>
          <reference field="13" count="1" selected="0">
            <x v="32"/>
          </reference>
        </references>
      </pivotArea>
    </format>
    <format dxfId="3336">
      <pivotArea dataOnly="0" labelOnly="1" outline="0" fieldPosition="0">
        <references count="4">
          <reference field="5" count="1">
            <x v="117"/>
          </reference>
          <reference field="8" count="1" selected="0">
            <x v="203"/>
          </reference>
          <reference field="11" count="1" selected="0">
            <x v="3"/>
          </reference>
          <reference field="13" count="1" selected="0">
            <x v="218"/>
          </reference>
        </references>
      </pivotArea>
    </format>
    <format dxfId="3335">
      <pivotArea dataOnly="0" labelOnly="1" outline="0" fieldPosition="0">
        <references count="4">
          <reference field="5" count="1">
            <x v="111"/>
          </reference>
          <reference field="8" count="1" selected="0">
            <x v="203"/>
          </reference>
          <reference field="11" count="1" selected="0">
            <x v="3"/>
          </reference>
          <reference field="13" count="1" selected="0">
            <x v="240"/>
          </reference>
        </references>
      </pivotArea>
    </format>
    <format dxfId="3334">
      <pivotArea dataOnly="0" labelOnly="1" outline="0" fieldPosition="0">
        <references count="4">
          <reference field="5" count="1">
            <x v="111"/>
          </reference>
          <reference field="8" count="1" selected="0">
            <x v="203"/>
          </reference>
          <reference field="11" count="1" selected="0">
            <x v="3"/>
          </reference>
          <reference field="13" count="1" selected="0">
            <x v="242"/>
          </reference>
        </references>
      </pivotArea>
    </format>
    <format dxfId="3333">
      <pivotArea dataOnly="0" labelOnly="1" outline="0" fieldPosition="0">
        <references count="4">
          <reference field="5" count="1">
            <x v="117"/>
          </reference>
          <reference field="8" count="1" selected="0">
            <x v="203"/>
          </reference>
          <reference field="11" count="1" selected="0">
            <x v="3"/>
          </reference>
          <reference field="13" count="1" selected="0">
            <x v="314"/>
          </reference>
        </references>
      </pivotArea>
    </format>
    <format dxfId="3332">
      <pivotArea dataOnly="0" labelOnly="1" outline="0" fieldPosition="0">
        <references count="4">
          <reference field="5" count="1">
            <x v="20"/>
          </reference>
          <reference field="8" count="1" selected="0">
            <x v="203"/>
          </reference>
          <reference field="11" count="1" selected="0">
            <x v="5"/>
          </reference>
          <reference field="13" count="1" selected="0">
            <x v="77"/>
          </reference>
        </references>
      </pivotArea>
    </format>
    <format dxfId="3331">
      <pivotArea dataOnly="0" labelOnly="1" outline="0" fieldPosition="0">
        <references count="4">
          <reference field="5" count="1">
            <x v="116"/>
          </reference>
          <reference field="8" count="1" selected="0">
            <x v="203"/>
          </reference>
          <reference field="11" count="1" selected="0">
            <x v="5"/>
          </reference>
          <reference field="13" count="1" selected="0">
            <x v="81"/>
          </reference>
        </references>
      </pivotArea>
    </format>
    <format dxfId="3330">
      <pivotArea dataOnly="0" labelOnly="1" outline="0" fieldPosition="0">
        <references count="4">
          <reference field="5" count="1">
            <x v="111"/>
          </reference>
          <reference field="8" count="1" selected="0">
            <x v="203"/>
          </reference>
          <reference field="11" count="1" selected="0">
            <x v="6"/>
          </reference>
          <reference field="13" count="1" selected="0">
            <x v="207"/>
          </reference>
        </references>
      </pivotArea>
    </format>
    <format dxfId="3329">
      <pivotArea dataOnly="0" labelOnly="1" outline="0" fieldPosition="0">
        <references count="4">
          <reference field="5" count="1">
            <x v="111"/>
          </reference>
          <reference field="8" count="1" selected="0">
            <x v="203"/>
          </reference>
          <reference field="11" count="1" selected="0">
            <x v="7"/>
          </reference>
          <reference field="13" count="1" selected="0">
            <x v="72"/>
          </reference>
        </references>
      </pivotArea>
    </format>
    <format dxfId="3328">
      <pivotArea dataOnly="0" labelOnly="1" outline="0" fieldPosition="0">
        <references count="4">
          <reference field="5" count="1">
            <x v="2"/>
          </reference>
          <reference field="8" count="1" selected="0">
            <x v="204"/>
          </reference>
          <reference field="11" count="1" selected="0">
            <x v="6"/>
          </reference>
          <reference field="13" count="1" selected="0">
            <x v="191"/>
          </reference>
        </references>
      </pivotArea>
    </format>
    <format dxfId="3327">
      <pivotArea dataOnly="0" labelOnly="1" outline="0" fieldPosition="0">
        <references count="4">
          <reference field="5" count="1">
            <x v="2"/>
          </reference>
          <reference field="8" count="1" selected="0">
            <x v="204"/>
          </reference>
          <reference field="11" count="1" selected="0">
            <x v="6"/>
          </reference>
          <reference field="13" count="1" selected="0">
            <x v="198"/>
          </reference>
        </references>
      </pivotArea>
    </format>
    <format dxfId="3326">
      <pivotArea dataOnly="0" labelOnly="1" outline="0" fieldPosition="0">
        <references count="4">
          <reference field="5" count="1">
            <x v="2"/>
          </reference>
          <reference field="8" count="1" selected="0">
            <x v="204"/>
          </reference>
          <reference field="11" count="1" selected="0">
            <x v="6"/>
          </reference>
          <reference field="13" count="1" selected="0">
            <x v="199"/>
          </reference>
        </references>
      </pivotArea>
    </format>
    <format dxfId="3325">
      <pivotArea dataOnly="0" labelOnly="1" outline="0" fieldPosition="0">
        <references count="4">
          <reference field="5" count="1">
            <x v="108"/>
          </reference>
          <reference field="8" count="1" selected="0">
            <x v="205"/>
          </reference>
          <reference field="11" count="1" selected="0">
            <x v="2"/>
          </reference>
          <reference field="13" count="1" selected="0">
            <x v="44"/>
          </reference>
        </references>
      </pivotArea>
    </format>
    <format dxfId="3324">
      <pivotArea dataOnly="0" labelOnly="1" outline="0" fieldPosition="0">
        <references count="4">
          <reference field="5" count="1">
            <x v="108"/>
          </reference>
          <reference field="8" count="1" selected="0">
            <x v="205"/>
          </reference>
          <reference field="11" count="1" selected="0">
            <x v="2"/>
          </reference>
          <reference field="13" count="1" selected="0">
            <x v="52"/>
          </reference>
        </references>
      </pivotArea>
    </format>
    <format dxfId="3323">
      <pivotArea dataOnly="0" labelOnly="1" outline="0" fieldPosition="0">
        <references count="4">
          <reference field="5" count="1">
            <x v="108"/>
          </reference>
          <reference field="8" count="1" selected="0">
            <x v="205"/>
          </reference>
          <reference field="11" count="1" selected="0">
            <x v="2"/>
          </reference>
          <reference field="13" count="1" selected="0">
            <x v="173"/>
          </reference>
        </references>
      </pivotArea>
    </format>
    <format dxfId="3322">
      <pivotArea dataOnly="0" labelOnly="1" outline="0" fieldPosition="0">
        <references count="4">
          <reference field="5" count="1">
            <x v="108"/>
          </reference>
          <reference field="8" count="1" selected="0">
            <x v="205"/>
          </reference>
          <reference field="11" count="1" selected="0">
            <x v="2"/>
          </reference>
          <reference field="13" count="1" selected="0">
            <x v="232"/>
          </reference>
        </references>
      </pivotArea>
    </format>
    <format dxfId="3321">
      <pivotArea dataOnly="0" labelOnly="1" outline="0" fieldPosition="0">
        <references count="4">
          <reference field="5" count="1">
            <x v="108"/>
          </reference>
          <reference field="8" count="1" selected="0">
            <x v="205"/>
          </reference>
          <reference field="11" count="1" selected="0">
            <x v="2"/>
          </reference>
          <reference field="13" count="1" selected="0">
            <x v="285"/>
          </reference>
        </references>
      </pivotArea>
    </format>
    <format dxfId="3320">
      <pivotArea dataOnly="0" labelOnly="1" outline="0" fieldPosition="0">
        <references count="4">
          <reference field="5" count="1">
            <x v="45"/>
          </reference>
          <reference field="8" count="1" selected="0">
            <x v="205"/>
          </reference>
          <reference field="11" count="1" selected="0">
            <x v="3"/>
          </reference>
          <reference field="13" count="1" selected="0">
            <x v="4"/>
          </reference>
        </references>
      </pivotArea>
    </format>
    <format dxfId="3319">
      <pivotArea dataOnly="0" labelOnly="1" outline="0" fieldPosition="0">
        <references count="4">
          <reference field="5" count="1">
            <x v="108"/>
          </reference>
          <reference field="8" count="1" selected="0">
            <x v="205"/>
          </reference>
          <reference field="11" count="1" selected="0">
            <x v="3"/>
          </reference>
          <reference field="13" count="1" selected="0">
            <x v="7"/>
          </reference>
        </references>
      </pivotArea>
    </format>
    <format dxfId="3318">
      <pivotArea dataOnly="0" labelOnly="1" outline="0" fieldPosition="0">
        <references count="4">
          <reference field="5" count="1">
            <x v="108"/>
          </reference>
          <reference field="8" count="1" selected="0">
            <x v="205"/>
          </reference>
          <reference field="11" count="1" selected="0">
            <x v="3"/>
          </reference>
          <reference field="13" count="1" selected="0">
            <x v="17"/>
          </reference>
        </references>
      </pivotArea>
    </format>
    <format dxfId="3317">
      <pivotArea dataOnly="0" labelOnly="1" outline="0" fieldPosition="0">
        <references count="4">
          <reference field="5" count="2">
            <x v="116"/>
            <x v="117"/>
          </reference>
          <reference field="8" count="1" selected="0">
            <x v="205"/>
          </reference>
          <reference field="11" count="1" selected="0">
            <x v="3"/>
          </reference>
          <reference field="13" count="1" selected="0">
            <x v="29"/>
          </reference>
        </references>
      </pivotArea>
    </format>
    <format dxfId="3316">
      <pivotArea dataOnly="0" labelOnly="1" outline="0" fieldPosition="0">
        <references count="4">
          <reference field="5" count="1">
            <x v="108"/>
          </reference>
          <reference field="8" count="1" selected="0">
            <x v="205"/>
          </reference>
          <reference field="11" count="1" selected="0">
            <x v="3"/>
          </reference>
          <reference field="13" count="1" selected="0">
            <x v="57"/>
          </reference>
        </references>
      </pivotArea>
    </format>
    <format dxfId="3315">
      <pivotArea dataOnly="0" labelOnly="1" outline="0" fieldPosition="0">
        <references count="4">
          <reference field="5" count="1">
            <x v="108"/>
          </reference>
          <reference field="8" count="1" selected="0">
            <x v="205"/>
          </reference>
          <reference field="11" count="1" selected="0">
            <x v="3"/>
          </reference>
          <reference field="13" count="1" selected="0">
            <x v="131"/>
          </reference>
        </references>
      </pivotArea>
    </format>
    <format dxfId="3314">
      <pivotArea dataOnly="0" labelOnly="1" outline="0" fieldPosition="0">
        <references count="4">
          <reference field="5" count="2">
            <x v="45"/>
            <x v="117"/>
          </reference>
          <reference field="8" count="1" selected="0">
            <x v="205"/>
          </reference>
          <reference field="11" count="1" selected="0">
            <x v="3"/>
          </reference>
          <reference field="13" count="1" selected="0">
            <x v="218"/>
          </reference>
        </references>
      </pivotArea>
    </format>
    <format dxfId="3313">
      <pivotArea dataOnly="0" labelOnly="1" outline="0" fieldPosition="0">
        <references count="4">
          <reference field="5" count="1">
            <x v="108"/>
          </reference>
          <reference field="8" count="1" selected="0">
            <x v="205"/>
          </reference>
          <reference field="11" count="1" selected="0">
            <x v="3"/>
          </reference>
          <reference field="13" count="1" selected="0">
            <x v="242"/>
          </reference>
        </references>
      </pivotArea>
    </format>
    <format dxfId="3312">
      <pivotArea dataOnly="0" labelOnly="1" outline="0" fieldPosition="0">
        <references count="4">
          <reference field="5" count="1">
            <x v="108"/>
          </reference>
          <reference field="8" count="1" selected="0">
            <x v="205"/>
          </reference>
          <reference field="11" count="1" selected="0">
            <x v="3"/>
          </reference>
          <reference field="13" count="1" selected="0">
            <x v="243"/>
          </reference>
        </references>
      </pivotArea>
    </format>
    <format dxfId="3311">
      <pivotArea dataOnly="0" labelOnly="1" outline="0" fieldPosition="0">
        <references count="4">
          <reference field="5" count="1">
            <x v="108"/>
          </reference>
          <reference field="8" count="1" selected="0">
            <x v="205"/>
          </reference>
          <reference field="11" count="1" selected="0">
            <x v="3"/>
          </reference>
          <reference field="13" count="1" selected="0">
            <x v="287"/>
          </reference>
        </references>
      </pivotArea>
    </format>
    <format dxfId="3310">
      <pivotArea dataOnly="0" labelOnly="1" outline="0" fieldPosition="0">
        <references count="4">
          <reference field="5" count="2">
            <x v="45"/>
            <x v="117"/>
          </reference>
          <reference field="8" count="1" selected="0">
            <x v="205"/>
          </reference>
          <reference field="11" count="1" selected="0">
            <x v="3"/>
          </reference>
          <reference field="13" count="1" selected="0">
            <x v="314"/>
          </reference>
        </references>
      </pivotArea>
    </format>
    <format dxfId="3309">
      <pivotArea dataOnly="0" labelOnly="1" outline="0" fieldPosition="0">
        <references count="4">
          <reference field="5" count="1">
            <x v="108"/>
          </reference>
          <reference field="8" count="1" selected="0">
            <x v="205"/>
          </reference>
          <reference field="11" count="1" selected="0">
            <x v="4"/>
          </reference>
          <reference field="13" count="1" selected="0">
            <x v="133"/>
          </reference>
        </references>
      </pivotArea>
    </format>
    <format dxfId="3308">
      <pivotArea dataOnly="0" labelOnly="1" outline="0" fieldPosition="0">
        <references count="4">
          <reference field="5" count="1">
            <x v="108"/>
          </reference>
          <reference field="8" count="1" selected="0">
            <x v="205"/>
          </reference>
          <reference field="11" count="1" selected="0">
            <x v="4"/>
          </reference>
          <reference field="13" count="1" selected="0">
            <x v="158"/>
          </reference>
        </references>
      </pivotArea>
    </format>
    <format dxfId="3307">
      <pivotArea dataOnly="0" labelOnly="1" outline="0" fieldPosition="0">
        <references count="4">
          <reference field="5" count="1">
            <x v="108"/>
          </reference>
          <reference field="8" count="1" selected="0">
            <x v="205"/>
          </reference>
          <reference field="11" count="1" selected="0">
            <x v="4"/>
          </reference>
          <reference field="13" count="1" selected="0">
            <x v="280"/>
          </reference>
        </references>
      </pivotArea>
    </format>
    <format dxfId="3306">
      <pivotArea dataOnly="0" labelOnly="1" outline="0" fieldPosition="0">
        <references count="4">
          <reference field="5" count="1">
            <x v="116"/>
          </reference>
          <reference field="8" count="1" selected="0">
            <x v="205"/>
          </reference>
          <reference field="11" count="1" selected="0">
            <x v="5"/>
          </reference>
          <reference field="13" count="1" selected="0">
            <x v="77"/>
          </reference>
        </references>
      </pivotArea>
    </format>
    <format dxfId="3305">
      <pivotArea dataOnly="0" labelOnly="1" outline="0" fieldPosition="0">
        <references count="4">
          <reference field="5" count="3">
            <x v="20"/>
            <x v="45"/>
            <x v="108"/>
          </reference>
          <reference field="8" count="1" selected="0">
            <x v="205"/>
          </reference>
          <reference field="11" count="1" selected="0">
            <x v="5"/>
          </reference>
          <reference field="13" count="1" selected="0">
            <x v="81"/>
          </reference>
        </references>
      </pivotArea>
    </format>
    <format dxfId="3304">
      <pivotArea dataOnly="0" labelOnly="1" outline="0" fieldPosition="0">
        <references count="4">
          <reference field="5" count="1">
            <x v="45"/>
          </reference>
          <reference field="8" count="1" selected="0">
            <x v="205"/>
          </reference>
          <reference field="11" count="1" selected="0">
            <x v="5"/>
          </reference>
          <reference field="13" count="1" selected="0">
            <x v="86"/>
          </reference>
        </references>
      </pivotArea>
    </format>
    <format dxfId="3303">
      <pivotArea dataOnly="0" labelOnly="1" outline="0" fieldPosition="0">
        <references count="4">
          <reference field="5" count="1">
            <x v="108"/>
          </reference>
          <reference field="8" count="1" selected="0">
            <x v="205"/>
          </reference>
          <reference field="11" count="1" selected="0">
            <x v="5"/>
          </reference>
          <reference field="13" count="1" selected="0">
            <x v="96"/>
          </reference>
        </references>
      </pivotArea>
    </format>
    <format dxfId="3302">
      <pivotArea dataOnly="0" labelOnly="1" outline="0" fieldPosition="0">
        <references count="4">
          <reference field="5" count="1">
            <x v="108"/>
          </reference>
          <reference field="8" count="1" selected="0">
            <x v="205"/>
          </reference>
          <reference field="11" count="1" selected="0">
            <x v="7"/>
          </reference>
          <reference field="13" count="1" selected="0">
            <x v="8"/>
          </reference>
        </references>
      </pivotArea>
    </format>
    <format dxfId="3301">
      <pivotArea dataOnly="0" labelOnly="1" outline="0" fieldPosition="0">
        <references count="4">
          <reference field="5" count="1">
            <x v="58"/>
          </reference>
          <reference field="8" count="1" selected="0">
            <x v="206"/>
          </reference>
          <reference field="11" count="1" selected="0">
            <x v="0"/>
          </reference>
          <reference field="13" count="1" selected="0">
            <x v="213"/>
          </reference>
        </references>
      </pivotArea>
    </format>
    <format dxfId="3300">
      <pivotArea dataOnly="0" labelOnly="1" outline="0" fieldPosition="0">
        <references count="4">
          <reference field="5" count="1">
            <x v="58"/>
          </reference>
          <reference field="8" count="1" selected="0">
            <x v="206"/>
          </reference>
          <reference field="11" count="1" selected="0">
            <x v="1"/>
          </reference>
          <reference field="13" count="1" selected="0">
            <x v="211"/>
          </reference>
        </references>
      </pivotArea>
    </format>
    <format dxfId="3299">
      <pivotArea dataOnly="0" labelOnly="1" outline="0" fieldPosition="0">
        <references count="4">
          <reference field="5" count="1">
            <x v="58"/>
          </reference>
          <reference field="8" count="1" selected="0">
            <x v="206"/>
          </reference>
          <reference field="11" count="1" selected="0">
            <x v="3"/>
          </reference>
          <reference field="13" count="1" selected="0">
            <x v="57"/>
          </reference>
        </references>
      </pivotArea>
    </format>
    <format dxfId="3298">
      <pivotArea dataOnly="0" labelOnly="1" outline="0" fieldPosition="0">
        <references count="4">
          <reference field="5" count="1">
            <x v="58"/>
          </reference>
          <reference field="8" count="1" selected="0">
            <x v="206"/>
          </reference>
          <reference field="11" count="1" selected="0">
            <x v="3"/>
          </reference>
          <reference field="13" count="1" selected="0">
            <x v="240"/>
          </reference>
        </references>
      </pivotArea>
    </format>
    <format dxfId="3297">
      <pivotArea dataOnly="0" labelOnly="1" outline="0" fieldPosition="0">
        <references count="4">
          <reference field="5" count="1">
            <x v="58"/>
          </reference>
          <reference field="8" count="1" selected="0">
            <x v="206"/>
          </reference>
          <reference field="11" count="1" selected="0">
            <x v="3"/>
          </reference>
          <reference field="13" count="1" selected="0">
            <x v="242"/>
          </reference>
        </references>
      </pivotArea>
    </format>
    <format dxfId="3296">
      <pivotArea dataOnly="0" labelOnly="1" outline="0" fieldPosition="0">
        <references count="4">
          <reference field="5" count="1">
            <x v="58"/>
          </reference>
          <reference field="8" count="1" selected="0">
            <x v="206"/>
          </reference>
          <reference field="11" count="1" selected="0">
            <x v="3"/>
          </reference>
          <reference field="13" count="1" selected="0">
            <x v="243"/>
          </reference>
        </references>
      </pivotArea>
    </format>
    <format dxfId="3295">
      <pivotArea dataOnly="0" labelOnly="1" outline="0" fieldPosition="0">
        <references count="4">
          <reference field="5" count="1">
            <x v="58"/>
          </reference>
          <reference field="8" count="1" selected="0">
            <x v="206"/>
          </reference>
          <reference field="11" count="1" selected="0">
            <x v="3"/>
          </reference>
          <reference field="13" count="1" selected="0">
            <x v="287"/>
          </reference>
        </references>
      </pivotArea>
    </format>
    <format dxfId="3294">
      <pivotArea dataOnly="0" labelOnly="1" outline="0" fieldPosition="0">
        <references count="4">
          <reference field="5" count="1">
            <x v="58"/>
          </reference>
          <reference field="8" count="1" selected="0">
            <x v="206"/>
          </reference>
          <reference field="11" count="1" selected="0">
            <x v="5"/>
          </reference>
          <reference field="13" count="1" selected="0">
            <x v="77"/>
          </reference>
        </references>
      </pivotArea>
    </format>
    <format dxfId="3293">
      <pivotArea dataOnly="0" labelOnly="1" outline="0" fieldPosition="0">
        <references count="4">
          <reference field="5" count="3">
            <x v="20"/>
            <x v="58"/>
            <x v="116"/>
          </reference>
          <reference field="8" count="1" selected="0">
            <x v="206"/>
          </reference>
          <reference field="11" count="1" selected="0">
            <x v="5"/>
          </reference>
          <reference field="13" count="1" selected="0">
            <x v="81"/>
          </reference>
        </references>
      </pivotArea>
    </format>
    <format dxfId="3292">
      <pivotArea dataOnly="0" labelOnly="1" outline="0" fieldPosition="0">
        <references count="4">
          <reference field="5" count="1">
            <x v="58"/>
          </reference>
          <reference field="8" count="1" selected="0">
            <x v="206"/>
          </reference>
          <reference field="11" count="1" selected="0">
            <x v="5"/>
          </reference>
          <reference field="13" count="1" selected="0">
            <x v="96"/>
          </reference>
        </references>
      </pivotArea>
    </format>
    <format dxfId="3291">
      <pivotArea dataOnly="0" labelOnly="1" outline="0" fieldPosition="0">
        <references count="4">
          <reference field="5" count="1">
            <x v="20"/>
          </reference>
          <reference field="8" count="1" selected="0">
            <x v="206"/>
          </reference>
          <reference field="11" count="1" selected="0">
            <x v="5"/>
          </reference>
          <reference field="13" count="1" selected="0">
            <x v="255"/>
          </reference>
        </references>
      </pivotArea>
    </format>
    <format dxfId="3290">
      <pivotArea dataOnly="0" labelOnly="1" outline="0" fieldPosition="0">
        <references count="4">
          <reference field="5" count="1">
            <x v="58"/>
          </reference>
          <reference field="8" count="1" selected="0">
            <x v="206"/>
          </reference>
          <reference field="11" count="1" selected="0">
            <x v="7"/>
          </reference>
          <reference field="13" count="1" selected="0">
            <x v="8"/>
          </reference>
        </references>
      </pivotArea>
    </format>
    <format dxfId="3289">
      <pivotArea dataOnly="0" labelOnly="1" outline="0" fieldPosition="0">
        <references count="4">
          <reference field="5" count="1">
            <x v="58"/>
          </reference>
          <reference field="8" count="1" selected="0">
            <x v="206"/>
          </reference>
          <reference field="11" count="1" selected="0">
            <x v="7"/>
          </reference>
          <reference field="13" count="1" selected="0">
            <x v="308"/>
          </reference>
        </references>
      </pivotArea>
    </format>
    <format dxfId="3288">
      <pivotArea dataOnly="0" labelOnly="1" outline="0" fieldPosition="0">
        <references count="4">
          <reference field="5" count="2">
            <x v="115"/>
            <x v="116"/>
          </reference>
          <reference field="8" count="1" selected="0">
            <x v="207"/>
          </reference>
          <reference field="11" count="1" selected="0">
            <x v="0"/>
          </reference>
          <reference field="13" count="1" selected="0">
            <x v="53"/>
          </reference>
        </references>
      </pivotArea>
    </format>
    <format dxfId="3287">
      <pivotArea dataOnly="0" labelOnly="1" outline="0" fieldPosition="0">
        <references count="4">
          <reference field="5" count="2">
            <x v="116"/>
            <x v="117"/>
          </reference>
          <reference field="8" count="1" selected="0">
            <x v="207"/>
          </reference>
          <reference field="11" count="1" selected="0">
            <x v="3"/>
          </reference>
          <reference field="13" count="1" selected="0">
            <x v="29"/>
          </reference>
        </references>
      </pivotArea>
    </format>
    <format dxfId="3286">
      <pivotArea dataOnly="0" labelOnly="1" outline="0" fieldPosition="0">
        <references count="4">
          <reference field="5" count="1">
            <x v="117"/>
          </reference>
          <reference field="8" count="1" selected="0">
            <x v="207"/>
          </reference>
          <reference field="11" count="1" selected="0">
            <x v="3"/>
          </reference>
          <reference field="13" count="1" selected="0">
            <x v="218"/>
          </reference>
        </references>
      </pivotArea>
    </format>
    <format dxfId="3285">
      <pivotArea dataOnly="0" labelOnly="1" outline="0" fieldPosition="0">
        <references count="4">
          <reference field="5" count="1">
            <x v="97"/>
          </reference>
          <reference field="8" count="1" selected="0">
            <x v="207"/>
          </reference>
          <reference field="11" count="1" selected="0">
            <x v="3"/>
          </reference>
          <reference field="13" count="1" selected="0">
            <x v="242"/>
          </reference>
        </references>
      </pivotArea>
    </format>
    <format dxfId="3284">
      <pivotArea dataOnly="0" labelOnly="1" outline="0" fieldPosition="0">
        <references count="4">
          <reference field="5" count="1">
            <x v="97"/>
          </reference>
          <reference field="8" count="1" selected="0">
            <x v="207"/>
          </reference>
          <reference field="11" count="1" selected="0">
            <x v="3"/>
          </reference>
          <reference field="13" count="1" selected="0">
            <x v="243"/>
          </reference>
        </references>
      </pivotArea>
    </format>
    <format dxfId="3283">
      <pivotArea dataOnly="0" labelOnly="1" outline="0" fieldPosition="0">
        <references count="4">
          <reference field="5" count="1">
            <x v="117"/>
          </reference>
          <reference field="8" count="1" selected="0">
            <x v="207"/>
          </reference>
          <reference field="11" count="1" selected="0">
            <x v="3"/>
          </reference>
          <reference field="13" count="1" selected="0">
            <x v="314"/>
          </reference>
        </references>
      </pivotArea>
    </format>
    <format dxfId="3282">
      <pivotArea dataOnly="0" labelOnly="1" outline="0" fieldPosition="0">
        <references count="4">
          <reference field="5" count="1">
            <x v="97"/>
          </reference>
          <reference field="8" count="1" selected="0">
            <x v="207"/>
          </reference>
          <reference field="11" count="1" selected="0">
            <x v="5"/>
          </reference>
          <reference field="13" count="1" selected="0">
            <x v="77"/>
          </reference>
        </references>
      </pivotArea>
    </format>
    <format dxfId="3281">
      <pivotArea dataOnly="0" labelOnly="1" outline="0" fieldPosition="0">
        <references count="4">
          <reference field="5" count="2">
            <x v="97"/>
            <x v="116"/>
          </reference>
          <reference field="8" count="1" selected="0">
            <x v="207"/>
          </reference>
          <reference field="11" count="1" selected="0">
            <x v="5"/>
          </reference>
          <reference field="13" count="1" selected="0">
            <x v="81"/>
          </reference>
        </references>
      </pivotArea>
    </format>
    <format dxfId="3280">
      <pivotArea dataOnly="0" labelOnly="1" outline="0" fieldPosition="0">
        <references count="4">
          <reference field="5" count="1">
            <x v="97"/>
          </reference>
          <reference field="8" count="1" selected="0">
            <x v="207"/>
          </reference>
          <reference field="11" count="1" selected="0">
            <x v="5"/>
          </reference>
          <reference field="13" count="1" selected="0">
            <x v="264"/>
          </reference>
        </references>
      </pivotArea>
    </format>
    <format dxfId="3279">
      <pivotArea dataOnly="0" labelOnly="1" outline="0" fieldPosition="0">
        <references count="4">
          <reference field="5" count="1">
            <x v="2"/>
          </reference>
          <reference field="8" count="1" selected="0">
            <x v="207"/>
          </reference>
          <reference field="11" count="1" selected="0">
            <x v="6"/>
          </reference>
          <reference field="13" count="1" selected="0">
            <x v="191"/>
          </reference>
        </references>
      </pivotArea>
    </format>
    <format dxfId="3278">
      <pivotArea dataOnly="0" labelOnly="1" outline="0" fieldPosition="0">
        <references count="4">
          <reference field="5" count="1">
            <x v="2"/>
          </reference>
          <reference field="8" count="1" selected="0">
            <x v="207"/>
          </reference>
          <reference field="11" count="1" selected="0">
            <x v="6"/>
          </reference>
          <reference field="13" count="1" selected="0">
            <x v="198"/>
          </reference>
        </references>
      </pivotArea>
    </format>
    <format dxfId="3277">
      <pivotArea dataOnly="0" labelOnly="1" outline="0" fieldPosition="0">
        <references count="4">
          <reference field="5" count="1">
            <x v="97"/>
          </reference>
          <reference field="8" count="1" selected="0">
            <x v="207"/>
          </reference>
          <reference field="11" count="1" selected="0">
            <x v="7"/>
          </reference>
          <reference field="13" count="1" selected="0">
            <x v="2"/>
          </reference>
        </references>
      </pivotArea>
    </format>
    <format dxfId="3276">
      <pivotArea dataOnly="0" labelOnly="1" outline="0" fieldPosition="0">
        <references count="4">
          <reference field="5" count="1">
            <x v="97"/>
          </reference>
          <reference field="8" count="1" selected="0">
            <x v="207"/>
          </reference>
          <reference field="11" count="1" selected="0">
            <x v="7"/>
          </reference>
          <reference field="13" count="1" selected="0">
            <x v="8"/>
          </reference>
        </references>
      </pivotArea>
    </format>
    <format dxfId="3275">
      <pivotArea dataOnly="0" labelOnly="1" outline="0" fieldPosition="0">
        <references count="4">
          <reference field="5" count="1">
            <x v="97"/>
          </reference>
          <reference field="8" count="1" selected="0">
            <x v="207"/>
          </reference>
          <reference field="11" count="1" selected="0">
            <x v="7"/>
          </reference>
          <reference field="13" count="1" selected="0">
            <x v="308"/>
          </reference>
        </references>
      </pivotArea>
    </format>
    <format dxfId="3274">
      <pivotArea dataOnly="0" labelOnly="1" outline="0" fieldPosition="0">
        <references count="4">
          <reference field="5" count="1">
            <x v="26"/>
          </reference>
          <reference field="8" count="1" selected="0">
            <x v="208"/>
          </reference>
          <reference field="11" count="1" selected="0">
            <x v="2"/>
          </reference>
          <reference field="13" count="1" selected="0">
            <x v="18"/>
          </reference>
        </references>
      </pivotArea>
    </format>
    <format dxfId="3273">
      <pivotArea dataOnly="0" labelOnly="1" outline="0" fieldPosition="0">
        <references count="4">
          <reference field="5" count="1">
            <x v="26"/>
          </reference>
          <reference field="8" count="1" selected="0">
            <x v="208"/>
          </reference>
          <reference field="11" count="1" selected="0">
            <x v="2"/>
          </reference>
          <reference field="13" count="1" selected="0">
            <x v="52"/>
          </reference>
        </references>
      </pivotArea>
    </format>
    <format dxfId="3272">
      <pivotArea dataOnly="0" labelOnly="1" outline="0" fieldPosition="0">
        <references count="4">
          <reference field="5" count="2">
            <x v="26"/>
            <x v="78"/>
          </reference>
          <reference field="8" count="1" selected="0">
            <x v="208"/>
          </reference>
          <reference field="11" count="1" selected="0">
            <x v="2"/>
          </reference>
          <reference field="13" count="1" selected="0">
            <x v="173"/>
          </reference>
        </references>
      </pivotArea>
    </format>
    <format dxfId="3271">
      <pivotArea dataOnly="0" labelOnly="1" outline="0" fieldPosition="0">
        <references count="4">
          <reference field="5" count="1">
            <x v="110"/>
          </reference>
          <reference field="8" count="1" selected="0">
            <x v="208"/>
          </reference>
          <reference field="11" count="1" selected="0">
            <x v="3"/>
          </reference>
          <reference field="13" count="1" selected="0">
            <x v="7"/>
          </reference>
        </references>
      </pivotArea>
    </format>
    <format dxfId="3270">
      <pivotArea dataOnly="0" labelOnly="1" outline="0" fieldPosition="0">
        <references count="4">
          <reference field="5" count="1">
            <x v="110"/>
          </reference>
          <reference field="8" count="1" selected="0">
            <x v="208"/>
          </reference>
          <reference field="11" count="1" selected="0">
            <x v="3"/>
          </reference>
          <reference field="13" count="1" selected="0">
            <x v="17"/>
          </reference>
        </references>
      </pivotArea>
    </format>
    <format dxfId="3269">
      <pivotArea dataOnly="0" labelOnly="1" outline="0" fieldPosition="0">
        <references count="4">
          <reference field="5" count="3">
            <x v="110"/>
            <x v="116"/>
            <x v="117"/>
          </reference>
          <reference field="8" count="1" selected="0">
            <x v="208"/>
          </reference>
          <reference field="11" count="1" selected="0">
            <x v="3"/>
          </reference>
          <reference field="13" count="1" selected="0">
            <x v="29"/>
          </reference>
        </references>
      </pivotArea>
    </format>
    <format dxfId="3268">
      <pivotArea dataOnly="0" labelOnly="1" outline="0" fieldPosition="0">
        <references count="4">
          <reference field="5" count="1">
            <x v="110"/>
          </reference>
          <reference field="8" count="1" selected="0">
            <x v="208"/>
          </reference>
          <reference field="11" count="1" selected="0">
            <x v="3"/>
          </reference>
          <reference field="13" count="1" selected="0">
            <x v="32"/>
          </reference>
        </references>
      </pivotArea>
    </format>
    <format dxfId="3267">
      <pivotArea dataOnly="0" labelOnly="1" outline="0" fieldPosition="0">
        <references count="4">
          <reference field="5" count="1">
            <x v="110"/>
          </reference>
          <reference field="8" count="1" selected="0">
            <x v="208"/>
          </reference>
          <reference field="11" count="1" selected="0">
            <x v="3"/>
          </reference>
          <reference field="13" count="1" selected="0">
            <x v="54"/>
          </reference>
        </references>
      </pivotArea>
    </format>
    <format dxfId="3266">
      <pivotArea dataOnly="0" labelOnly="1" outline="0" fieldPosition="0">
        <references count="4">
          <reference field="5" count="1">
            <x v="110"/>
          </reference>
          <reference field="8" count="1" selected="0">
            <x v="208"/>
          </reference>
          <reference field="11" count="1" selected="0">
            <x v="3"/>
          </reference>
          <reference field="13" count="1" selected="0">
            <x v="57"/>
          </reference>
        </references>
      </pivotArea>
    </format>
    <format dxfId="3265">
      <pivotArea dataOnly="0" labelOnly="1" outline="0" fieldPosition="0">
        <references count="4">
          <reference field="5" count="1">
            <x v="117"/>
          </reference>
          <reference field="8" count="1" selected="0">
            <x v="208"/>
          </reference>
          <reference field="11" count="1" selected="0">
            <x v="3"/>
          </reference>
          <reference field="13" count="1" selected="0">
            <x v="218"/>
          </reference>
        </references>
      </pivotArea>
    </format>
    <format dxfId="3264">
      <pivotArea dataOnly="0" labelOnly="1" outline="0" fieldPosition="0">
        <references count="4">
          <reference field="5" count="2">
            <x v="77"/>
            <x v="78"/>
          </reference>
          <reference field="8" count="1" selected="0">
            <x v="208"/>
          </reference>
          <reference field="11" count="1" selected="0">
            <x v="3"/>
          </reference>
          <reference field="13" count="1" selected="0">
            <x v="240"/>
          </reference>
        </references>
      </pivotArea>
    </format>
    <format dxfId="3263">
      <pivotArea dataOnly="0" labelOnly="1" outline="0" fieldPosition="0">
        <references count="4">
          <reference field="5" count="1">
            <x v="110"/>
          </reference>
          <reference field="8" count="1" selected="0">
            <x v="208"/>
          </reference>
          <reference field="11" count="1" selected="0">
            <x v="3"/>
          </reference>
          <reference field="13" count="1" selected="0">
            <x v="242"/>
          </reference>
        </references>
      </pivotArea>
    </format>
    <format dxfId="3262">
      <pivotArea dataOnly="0" labelOnly="1" outline="0" fieldPosition="0">
        <references count="4">
          <reference field="5" count="2">
            <x v="116"/>
            <x v="117"/>
          </reference>
          <reference field="8" count="1" selected="0">
            <x v="208"/>
          </reference>
          <reference field="11" count="1" selected="0">
            <x v="3"/>
          </reference>
          <reference field="13" count="1" selected="0">
            <x v="287"/>
          </reference>
        </references>
      </pivotArea>
    </format>
    <format dxfId="3261">
      <pivotArea dataOnly="0" labelOnly="1" outline="0" fieldPosition="0">
        <references count="4">
          <reference field="5" count="1">
            <x v="110"/>
          </reference>
          <reference field="8" count="1" selected="0">
            <x v="208"/>
          </reference>
          <reference field="11" count="1" selected="0">
            <x v="3"/>
          </reference>
          <reference field="13" count="1" selected="0">
            <x v="305"/>
          </reference>
        </references>
      </pivotArea>
    </format>
    <format dxfId="3260">
      <pivotArea dataOnly="0" labelOnly="1" outline="0" fieldPosition="0">
        <references count="4">
          <reference field="5" count="1">
            <x v="117"/>
          </reference>
          <reference field="8" count="1" selected="0">
            <x v="208"/>
          </reference>
          <reference field="11" count="1" selected="0">
            <x v="3"/>
          </reference>
          <reference field="13" count="1" selected="0">
            <x v="314"/>
          </reference>
        </references>
      </pivotArea>
    </format>
    <format dxfId="3259">
      <pivotArea dataOnly="0" labelOnly="1" outline="0" fieldPosition="0">
        <references count="4">
          <reference field="5" count="1">
            <x v="68"/>
          </reference>
          <reference field="8" count="1" selected="0">
            <x v="208"/>
          </reference>
          <reference field="11" count="1" selected="0">
            <x v="4"/>
          </reference>
          <reference field="13" count="1" selected="0">
            <x v="133"/>
          </reference>
        </references>
      </pivotArea>
    </format>
    <format dxfId="3258">
      <pivotArea dataOnly="0" labelOnly="1" outline="0" fieldPosition="0">
        <references count="4">
          <reference field="5" count="4">
            <x v="45"/>
            <x v="77"/>
            <x v="110"/>
            <x v="116"/>
          </reference>
          <reference field="8" count="1" selected="0">
            <x v="208"/>
          </reference>
          <reference field="11" count="1" selected="0">
            <x v="5"/>
          </reference>
          <reference field="13" count="1" selected="0">
            <x v="77"/>
          </reference>
        </references>
      </pivotArea>
    </format>
    <format dxfId="3257">
      <pivotArea dataOnly="0" labelOnly="1" outline="0" fieldPosition="0">
        <references count="4">
          <reference field="5" count="2">
            <x v="20"/>
            <x v="45"/>
          </reference>
          <reference field="8" count="1" selected="0">
            <x v="208"/>
          </reference>
          <reference field="11" count="1" selected="0">
            <x v="5"/>
          </reference>
          <reference field="13" count="1" selected="0">
            <x v="81"/>
          </reference>
        </references>
      </pivotArea>
    </format>
    <format dxfId="3256">
      <pivotArea dataOnly="0" labelOnly="1" outline="0" fieldPosition="0">
        <references count="4">
          <reference field="5" count="1">
            <x v="77"/>
          </reference>
          <reference field="8" count="1" selected="0">
            <x v="208"/>
          </reference>
          <reference field="11" count="1" selected="0">
            <x v="5"/>
          </reference>
          <reference field="13" count="1" selected="0">
            <x v="141"/>
          </reference>
        </references>
      </pivotArea>
    </format>
    <format dxfId="3255">
      <pivotArea dataOnly="0" labelOnly="1" outline="0" fieldPosition="0">
        <references count="4">
          <reference field="5" count="2">
            <x v="77"/>
            <x v="116"/>
          </reference>
          <reference field="8" count="1" selected="0">
            <x v="208"/>
          </reference>
          <reference field="11" count="1" selected="0">
            <x v="5"/>
          </reference>
          <reference field="13" count="1" selected="0">
            <x v="210"/>
          </reference>
        </references>
      </pivotArea>
    </format>
    <format dxfId="3254">
      <pivotArea dataOnly="0" labelOnly="1" outline="0" fieldPosition="0">
        <references count="4">
          <reference field="5" count="1">
            <x v="2"/>
          </reference>
          <reference field="8" count="1" selected="0">
            <x v="208"/>
          </reference>
          <reference field="11" count="1" selected="0">
            <x v="5"/>
          </reference>
          <reference field="13" count="1" selected="0">
            <x v="268"/>
          </reference>
        </references>
      </pivotArea>
    </format>
    <format dxfId="3253">
      <pivotArea dataOnly="0" labelOnly="1" outline="0" fieldPosition="0">
        <references count="4">
          <reference field="5" count="1">
            <x v="101"/>
          </reference>
          <reference field="8" count="1" selected="0">
            <x v="209"/>
          </reference>
          <reference field="11" count="1" selected="0">
            <x v="3"/>
          </reference>
          <reference field="13" count="1" selected="0">
            <x v="100"/>
          </reference>
        </references>
      </pivotArea>
    </format>
    <format dxfId="3252">
      <pivotArea dataOnly="0" labelOnly="1" outline="0" fieldPosition="0">
        <references count="4">
          <reference field="5" count="1">
            <x v="112"/>
          </reference>
          <reference field="8" count="1" selected="0">
            <x v="210"/>
          </reference>
          <reference field="11" count="1" selected="0">
            <x v="2"/>
          </reference>
          <reference field="13" count="1" selected="0">
            <x v="60"/>
          </reference>
        </references>
      </pivotArea>
    </format>
    <format dxfId="3251">
      <pivotArea dataOnly="0" labelOnly="1" outline="0" fieldPosition="0">
        <references count="4">
          <reference field="5" count="1">
            <x v="112"/>
          </reference>
          <reference field="8" count="1" selected="0">
            <x v="210"/>
          </reference>
          <reference field="11" count="1" selected="0">
            <x v="2"/>
          </reference>
          <reference field="13" count="1" selected="0">
            <x v="235"/>
          </reference>
        </references>
      </pivotArea>
    </format>
    <format dxfId="3250">
      <pivotArea dataOnly="0" labelOnly="1" outline="0" fieldPosition="0">
        <references count="4">
          <reference field="5" count="1">
            <x v="112"/>
          </reference>
          <reference field="8" count="1" selected="0">
            <x v="210"/>
          </reference>
          <reference field="11" count="1" selected="0">
            <x v="2"/>
          </reference>
          <reference field="13" count="1" selected="0">
            <x v="279"/>
          </reference>
        </references>
      </pivotArea>
    </format>
    <format dxfId="3249">
      <pivotArea dataOnly="0" labelOnly="1" outline="0" fieldPosition="0">
        <references count="4">
          <reference field="5" count="1">
            <x v="112"/>
          </reference>
          <reference field="8" count="1" selected="0">
            <x v="210"/>
          </reference>
          <reference field="11" count="1" selected="0">
            <x v="4"/>
          </reference>
          <reference field="13" count="1" selected="0">
            <x v="133"/>
          </reference>
        </references>
      </pivotArea>
    </format>
    <format dxfId="3248">
      <pivotArea dataOnly="0" labelOnly="1" outline="0" fieldPosition="0">
        <references count="4">
          <reference field="5" count="1">
            <x v="112"/>
          </reference>
          <reference field="8" count="1" selected="0">
            <x v="210"/>
          </reference>
          <reference field="11" count="1" selected="0">
            <x v="7"/>
          </reference>
          <reference field="13" count="1" selected="0">
            <x v="72"/>
          </reference>
        </references>
      </pivotArea>
    </format>
    <format dxfId="3247">
      <pivotArea dataOnly="0" labelOnly="1" outline="0" fieldPosition="0">
        <references count="4">
          <reference field="5" count="1">
            <x v="114"/>
          </reference>
          <reference field="8" count="1" selected="0">
            <x v="211"/>
          </reference>
          <reference field="11" count="1" selected="0">
            <x v="3"/>
          </reference>
          <reference field="13" count="1" selected="0">
            <x v="32"/>
          </reference>
        </references>
      </pivotArea>
    </format>
    <format dxfId="3246">
      <pivotArea dataOnly="0" labelOnly="1" outline="0" fieldPosition="0">
        <references count="4">
          <reference field="5" count="1">
            <x v="114"/>
          </reference>
          <reference field="8" count="1" selected="0">
            <x v="211"/>
          </reference>
          <reference field="11" count="1" selected="0">
            <x v="4"/>
          </reference>
          <reference field="13" count="1" selected="0">
            <x v="280"/>
          </reference>
        </references>
      </pivotArea>
    </format>
    <format dxfId="3245">
      <pivotArea dataOnly="0" labelOnly="1" outline="0" fieldPosition="0">
        <references count="4">
          <reference field="5" count="1">
            <x v="114"/>
          </reference>
          <reference field="8" count="1" selected="0">
            <x v="211"/>
          </reference>
          <reference field="11" count="1" selected="0">
            <x v="5"/>
          </reference>
          <reference field="13" count="1" selected="0">
            <x v="77"/>
          </reference>
        </references>
      </pivotArea>
    </format>
    <format dxfId="3244">
      <pivotArea dataOnly="0" labelOnly="1" outline="0" fieldPosition="0">
        <references count="4">
          <reference field="5" count="1">
            <x v="116"/>
          </reference>
          <reference field="8" count="1" selected="0">
            <x v="211"/>
          </reference>
          <reference field="11" count="1" selected="0">
            <x v="5"/>
          </reference>
          <reference field="13" count="1" selected="0">
            <x v="81"/>
          </reference>
        </references>
      </pivotArea>
    </format>
    <format dxfId="3243">
      <pivotArea dataOnly="0" labelOnly="1" outline="0" fieldPosition="0">
        <references count="4">
          <reference field="5" count="1">
            <x v="117"/>
          </reference>
          <reference field="8" count="1" selected="0">
            <x v="212"/>
          </reference>
          <reference field="11" count="1" selected="0">
            <x v="3"/>
          </reference>
          <reference field="13" count="1" selected="0">
            <x v="29"/>
          </reference>
        </references>
      </pivotArea>
    </format>
    <format dxfId="3242">
      <pivotArea dataOnly="0" labelOnly="1" outline="0" fieldPosition="0">
        <references count="4">
          <reference field="5" count="1">
            <x v="117"/>
          </reference>
          <reference field="8" count="1" selected="0">
            <x v="212"/>
          </reference>
          <reference field="11" count="1" selected="0">
            <x v="3"/>
          </reference>
          <reference field="13" count="1" selected="0">
            <x v="218"/>
          </reference>
        </references>
      </pivotArea>
    </format>
    <format dxfId="3241">
      <pivotArea dataOnly="0" labelOnly="1" outline="0" fieldPosition="0">
        <references count="4">
          <reference field="5" count="1">
            <x v="117"/>
          </reference>
          <reference field="8" count="1" selected="0">
            <x v="212"/>
          </reference>
          <reference field="11" count="1" selected="0">
            <x v="3"/>
          </reference>
          <reference field="13" count="1" selected="0">
            <x v="314"/>
          </reference>
        </references>
      </pivotArea>
    </format>
    <format dxfId="3240">
      <pivotArea dataOnly="0" labelOnly="1" outline="0" fieldPosition="0">
        <references count="4">
          <reference field="5" count="1">
            <x v="116"/>
          </reference>
          <reference field="8" count="1" selected="0">
            <x v="212"/>
          </reference>
          <reference field="11" count="1" selected="0">
            <x v="5"/>
          </reference>
          <reference field="13" count="1" selected="0">
            <x v="77"/>
          </reference>
        </references>
      </pivotArea>
    </format>
    <format dxfId="3239">
      <pivotArea dataOnly="0" labelOnly="1" outline="0" fieldPosition="0">
        <references count="4">
          <reference field="5" count="1">
            <x v="20"/>
          </reference>
          <reference field="8" count="1" selected="0">
            <x v="213"/>
          </reference>
          <reference field="11" count="1" selected="0">
            <x v="5"/>
          </reference>
          <reference field="13" count="1" selected="0">
            <x v="77"/>
          </reference>
        </references>
      </pivotArea>
    </format>
    <format dxfId="3238">
      <pivotArea dataOnly="0" labelOnly="1" outline="0" fieldPosition="0">
        <references count="4">
          <reference field="5" count="1">
            <x v="64"/>
          </reference>
          <reference field="8" count="1" selected="0">
            <x v="214"/>
          </reference>
          <reference field="11" count="1" selected="0">
            <x v="1"/>
          </reference>
          <reference field="13" count="1" selected="0">
            <x v="169"/>
          </reference>
        </references>
      </pivotArea>
    </format>
    <format dxfId="3237">
      <pivotArea dataOnly="0" labelOnly="1" outline="0" fieldPosition="0">
        <references count="4">
          <reference field="5" count="1">
            <x v="117"/>
          </reference>
          <reference field="8" count="1" selected="0">
            <x v="214"/>
          </reference>
          <reference field="11" count="1" selected="0">
            <x v="3"/>
          </reference>
          <reference field="13" count="1" selected="0">
            <x v="29"/>
          </reference>
        </references>
      </pivotArea>
    </format>
    <format dxfId="3236">
      <pivotArea dataOnly="0" labelOnly="1" outline="0" fieldPosition="0">
        <references count="4">
          <reference field="5" count="1">
            <x v="117"/>
          </reference>
          <reference field="8" count="1" selected="0">
            <x v="214"/>
          </reference>
          <reference field="11" count="1" selected="0">
            <x v="3"/>
          </reference>
          <reference field="13" count="1" selected="0">
            <x v="218"/>
          </reference>
        </references>
      </pivotArea>
    </format>
    <format dxfId="3235">
      <pivotArea dataOnly="0" labelOnly="1" outline="0" fieldPosition="0">
        <references count="4">
          <reference field="5" count="1">
            <x v="117"/>
          </reference>
          <reference field="8" count="1" selected="0">
            <x v="214"/>
          </reference>
          <reference field="11" count="1" selected="0">
            <x v="3"/>
          </reference>
          <reference field="13" count="1" selected="0">
            <x v="314"/>
          </reference>
        </references>
      </pivotArea>
    </format>
    <format dxfId="3234">
      <pivotArea dataOnly="0" labelOnly="1" outline="0" fieldPosition="0">
        <references count="4">
          <reference field="5" count="1">
            <x v="95"/>
          </reference>
          <reference field="8" count="1" selected="0">
            <x v="214"/>
          </reference>
          <reference field="11" count="1" selected="0">
            <x v="4"/>
          </reference>
          <reference field="13" count="1" selected="0">
            <x v="133"/>
          </reference>
        </references>
      </pivotArea>
    </format>
    <format dxfId="3233">
      <pivotArea dataOnly="0" labelOnly="1" outline="0" fieldPosition="0">
        <references count="4">
          <reference field="5" count="1">
            <x v="95"/>
          </reference>
          <reference field="8" count="1" selected="0">
            <x v="214"/>
          </reference>
          <reference field="11" count="1" selected="0">
            <x v="4"/>
          </reference>
          <reference field="13" count="1" selected="0">
            <x v="158"/>
          </reference>
        </references>
      </pivotArea>
    </format>
    <format dxfId="3232">
      <pivotArea dataOnly="0" labelOnly="1" outline="0" fieldPosition="0">
        <references count="4">
          <reference field="5" count="1">
            <x v="95"/>
          </reference>
          <reference field="8" count="1" selected="0">
            <x v="214"/>
          </reference>
          <reference field="11" count="1" selected="0">
            <x v="4"/>
          </reference>
          <reference field="13" count="1" selected="0">
            <x v="280"/>
          </reference>
        </references>
      </pivotArea>
    </format>
    <format dxfId="3231">
      <pivotArea dataOnly="0" labelOnly="1" outline="0" fieldPosition="0">
        <references count="4">
          <reference field="5" count="1">
            <x v="95"/>
          </reference>
          <reference field="8" count="1" selected="0">
            <x v="214"/>
          </reference>
          <reference field="11" count="1" selected="0">
            <x v="5"/>
          </reference>
          <reference field="13" count="1" selected="0">
            <x v="77"/>
          </reference>
        </references>
      </pivotArea>
    </format>
    <format dxfId="3230">
      <pivotArea dataOnly="0" labelOnly="1" outline="0" fieldPosition="0">
        <references count="4">
          <reference field="5" count="1">
            <x v="20"/>
          </reference>
          <reference field="8" count="1" selected="0">
            <x v="216"/>
          </reference>
          <reference field="11" count="1" selected="0">
            <x v="5"/>
          </reference>
          <reference field="13" count="1" selected="0">
            <x v="77"/>
          </reference>
        </references>
      </pivotArea>
    </format>
    <format dxfId="3229">
      <pivotArea dataOnly="0" labelOnly="1" outline="0" fieldPosition="0">
        <references count="4">
          <reference field="5" count="1">
            <x v="47"/>
          </reference>
          <reference field="8" count="1" selected="0">
            <x v="217"/>
          </reference>
          <reference field="11" count="1" selected="0">
            <x v="0"/>
          </reference>
          <reference field="13" count="1" selected="0">
            <x v="16"/>
          </reference>
        </references>
      </pivotArea>
    </format>
    <format dxfId="3228">
      <pivotArea dataOnly="0" labelOnly="1" outline="0" fieldPosition="0">
        <references count="4">
          <reference field="5" count="1">
            <x v="47"/>
          </reference>
          <reference field="8" count="1" selected="0">
            <x v="217"/>
          </reference>
          <reference field="11" count="1" selected="0">
            <x v="0"/>
          </reference>
          <reference field="13" count="1" selected="0">
            <x v="22"/>
          </reference>
        </references>
      </pivotArea>
    </format>
    <format dxfId="3227">
      <pivotArea dataOnly="0" labelOnly="1" outline="0" fieldPosition="0">
        <references count="4">
          <reference field="5" count="1">
            <x v="101"/>
          </reference>
          <reference field="8" count="1" selected="0">
            <x v="218"/>
          </reference>
          <reference field="11" count="1" selected="0">
            <x v="1"/>
          </reference>
          <reference field="13" count="1" selected="0">
            <x v="286"/>
          </reference>
        </references>
      </pivotArea>
    </format>
    <format dxfId="3226">
      <pivotArea dataOnly="0" labelOnly="1" outline="0" fieldPosition="0">
        <references count="4">
          <reference field="5" count="1">
            <x v="101"/>
          </reference>
          <reference field="8" count="1" selected="0">
            <x v="218"/>
          </reference>
          <reference field="11" count="1" selected="0">
            <x v="3"/>
          </reference>
          <reference field="13" count="1" selected="0">
            <x v="242"/>
          </reference>
        </references>
      </pivotArea>
    </format>
    <format dxfId="3225">
      <pivotArea dataOnly="0" labelOnly="1" outline="0" fieldPosition="0">
        <references count="4">
          <reference field="5" count="1">
            <x v="101"/>
          </reference>
          <reference field="8" count="1" selected="0">
            <x v="218"/>
          </reference>
          <reference field="11" count="1" selected="0">
            <x v="3"/>
          </reference>
          <reference field="13" count="1" selected="0">
            <x v="305"/>
          </reference>
        </references>
      </pivotArea>
    </format>
    <format dxfId="3224">
      <pivotArea dataOnly="0" labelOnly="1" outline="0" fieldPosition="0">
        <references count="4">
          <reference field="5" count="1">
            <x v="101"/>
          </reference>
          <reference field="8" count="1" selected="0">
            <x v="218"/>
          </reference>
          <reference field="11" count="1" selected="0">
            <x v="7"/>
          </reference>
          <reference field="13" count="1" selected="0">
            <x v="93"/>
          </reference>
        </references>
      </pivotArea>
    </format>
    <format dxfId="3223">
      <pivotArea dataOnly="0" labelOnly="1" outline="0" fieldPosition="0">
        <references count="4">
          <reference field="5" count="1">
            <x v="16"/>
          </reference>
          <reference field="8" count="1" selected="0">
            <x v="219"/>
          </reference>
          <reference field="11" count="1" selected="0">
            <x v="3"/>
          </reference>
          <reference field="13" count="1" selected="0">
            <x v="305"/>
          </reference>
        </references>
      </pivotArea>
    </format>
    <format dxfId="3222">
      <pivotArea dataOnly="0" labelOnly="1" outline="0" fieldPosition="0">
        <references count="4">
          <reference field="5" count="1">
            <x v="20"/>
          </reference>
          <reference field="8" count="1" selected="0">
            <x v="220"/>
          </reference>
          <reference field="11" count="1" selected="0">
            <x v="5"/>
          </reference>
          <reference field="13" count="1" selected="0">
            <x v="77"/>
          </reference>
        </references>
      </pivotArea>
    </format>
    <format dxfId="3221">
      <pivotArea dataOnly="0" labelOnly="1" outline="0" fieldPosition="0">
        <references count="4">
          <reference field="5" count="1">
            <x v="64"/>
          </reference>
          <reference field="8" count="1" selected="0">
            <x v="221"/>
          </reference>
          <reference field="11" count="1" selected="0">
            <x v="7"/>
          </reference>
          <reference field="13" count="1" selected="0">
            <x v="93"/>
          </reference>
        </references>
      </pivotArea>
    </format>
    <format dxfId="3220">
      <pivotArea dataOnly="0" labelOnly="1" outline="0" fieldPosition="0">
        <references count="4">
          <reference field="5" count="2">
            <x v="63"/>
            <x v="116"/>
          </reference>
          <reference field="8" count="1" selected="0">
            <x v="222"/>
          </reference>
          <reference field="11" count="1" selected="0">
            <x v="5"/>
          </reference>
          <reference field="13" count="1" selected="0">
            <x v="77"/>
          </reference>
        </references>
      </pivotArea>
    </format>
    <format dxfId="3219">
      <pivotArea dataOnly="0" labelOnly="1" outline="0" fieldPosition="0">
        <references count="4">
          <reference field="5" count="1">
            <x v="116"/>
          </reference>
          <reference field="8" count="1" selected="0">
            <x v="222"/>
          </reference>
          <reference field="11" count="1" selected="0">
            <x v="5"/>
          </reference>
          <reference field="13" count="1" selected="0">
            <x v="81"/>
          </reference>
        </references>
      </pivotArea>
    </format>
    <format dxfId="3218">
      <pivotArea dataOnly="0" labelOnly="1" outline="0" fieldPosition="0">
        <references count="4">
          <reference field="5" count="1">
            <x v="71"/>
          </reference>
          <reference field="8" count="1" selected="0">
            <x v="223"/>
          </reference>
          <reference field="11" count="1" selected="0">
            <x v="3"/>
          </reference>
          <reference field="13" count="1" selected="0">
            <x v="242"/>
          </reference>
        </references>
      </pivotArea>
    </format>
    <format dxfId="3217">
      <pivotArea dataOnly="0" labelOnly="1" outline="0" fieldPosition="0">
        <references count="4">
          <reference field="5" count="1">
            <x v="71"/>
          </reference>
          <reference field="8" count="1" selected="0">
            <x v="223"/>
          </reference>
          <reference field="11" count="1" selected="0">
            <x v="4"/>
          </reference>
          <reference field="13" count="1" selected="0">
            <x v="133"/>
          </reference>
        </references>
      </pivotArea>
    </format>
    <format dxfId="3216">
      <pivotArea dataOnly="0" labelOnly="1" outline="0" fieldPosition="0">
        <references count="4">
          <reference field="5" count="1">
            <x v="106"/>
          </reference>
          <reference field="8" count="1" selected="0">
            <x v="224"/>
          </reference>
          <reference field="11" count="1" selected="0">
            <x v="3"/>
          </reference>
          <reference field="13" count="1" selected="0">
            <x v="242"/>
          </reference>
        </references>
      </pivotArea>
    </format>
    <format dxfId="3215">
      <pivotArea dataOnly="0" labelOnly="1" outline="0" fieldPosition="0">
        <references count="4">
          <reference field="5" count="1">
            <x v="20"/>
          </reference>
          <reference field="8" count="1" selected="0">
            <x v="224"/>
          </reference>
          <reference field="11" count="1" selected="0">
            <x v="5"/>
          </reference>
          <reference field="13" count="1" selected="0">
            <x v="77"/>
          </reference>
        </references>
      </pivotArea>
    </format>
    <format dxfId="3214">
      <pivotArea dataOnly="0" labelOnly="1" outline="0" fieldPosition="0">
        <references count="4">
          <reference field="5" count="1">
            <x v="112"/>
          </reference>
          <reference field="8" count="1" selected="0">
            <x v="225"/>
          </reference>
          <reference field="11" count="1" selected="0">
            <x v="3"/>
          </reference>
          <reference field="13" count="1" selected="0">
            <x v="17"/>
          </reference>
        </references>
      </pivotArea>
    </format>
    <format dxfId="3213">
      <pivotArea dataOnly="0" labelOnly="1" outline="0" fieldPosition="0">
        <references count="4">
          <reference field="5" count="1">
            <x v="114"/>
          </reference>
          <reference field="8" count="1" selected="0">
            <x v="225"/>
          </reference>
          <reference field="11" count="1" selected="0">
            <x v="3"/>
          </reference>
          <reference field="13" count="1" selected="0">
            <x v="240"/>
          </reference>
        </references>
      </pivotArea>
    </format>
    <format dxfId="3212">
      <pivotArea dataOnly="0" labelOnly="1" outline="0" fieldPosition="0">
        <references count="4">
          <reference field="5" count="1">
            <x v="114"/>
          </reference>
          <reference field="8" count="1" selected="0">
            <x v="225"/>
          </reference>
          <reference field="11" count="1" selected="0">
            <x v="3"/>
          </reference>
          <reference field="13" count="1" selected="0">
            <x v="243"/>
          </reference>
        </references>
      </pivotArea>
    </format>
    <format dxfId="3211">
      <pivotArea dataOnly="0" labelOnly="1" outline="0" fieldPosition="0">
        <references count="4">
          <reference field="5" count="1">
            <x v="112"/>
          </reference>
          <reference field="8" count="1" selected="0">
            <x v="225"/>
          </reference>
          <reference field="11" count="1" selected="0">
            <x v="3"/>
          </reference>
          <reference field="13" count="1" selected="0">
            <x v="305"/>
          </reference>
        </references>
      </pivotArea>
    </format>
    <format dxfId="3210">
      <pivotArea dataOnly="0" labelOnly="1" outline="0" fieldPosition="0">
        <references count="4">
          <reference field="5" count="1">
            <x v="20"/>
          </reference>
          <reference field="8" count="1" selected="0">
            <x v="225"/>
          </reference>
          <reference field="11" count="1" selected="0">
            <x v="5"/>
          </reference>
          <reference field="13" count="1" selected="0">
            <x v="81"/>
          </reference>
        </references>
      </pivotArea>
    </format>
    <format dxfId="3209">
      <pivotArea dataOnly="0" labelOnly="1" outline="0" fieldPosition="0">
        <references count="4">
          <reference field="5" count="1">
            <x v="20"/>
          </reference>
          <reference field="8" count="1" selected="0">
            <x v="225"/>
          </reference>
          <reference field="11" count="1" selected="0">
            <x v="5"/>
          </reference>
          <reference field="13" count="1" selected="0">
            <x v="255"/>
          </reference>
        </references>
      </pivotArea>
    </format>
    <format dxfId="3208">
      <pivotArea dataOnly="0" labelOnly="1" outline="0" fieldPosition="0">
        <references count="4">
          <reference field="5" count="1">
            <x v="101"/>
          </reference>
          <reference field="8" count="1" selected="0">
            <x v="226"/>
          </reference>
          <reference field="11" count="1" selected="0">
            <x v="1"/>
          </reference>
          <reference field="13" count="1" selected="0">
            <x v="286"/>
          </reference>
        </references>
      </pivotArea>
    </format>
    <format dxfId="3207">
      <pivotArea dataOnly="0" labelOnly="1" outline="0" fieldPosition="0">
        <references count="4">
          <reference field="5" count="2">
            <x v="116"/>
            <x v="117"/>
          </reference>
          <reference field="8" count="1" selected="0">
            <x v="226"/>
          </reference>
          <reference field="11" count="1" selected="0">
            <x v="3"/>
          </reference>
          <reference field="13" count="1" selected="0">
            <x v="29"/>
          </reference>
        </references>
      </pivotArea>
    </format>
    <format dxfId="3206">
      <pivotArea dataOnly="0" labelOnly="1" outline="0" fieldPosition="0">
        <references count="4">
          <reference field="5" count="1">
            <x v="117"/>
          </reference>
          <reference field="8" count="1" selected="0">
            <x v="226"/>
          </reference>
          <reference field="11" count="1" selected="0">
            <x v="3"/>
          </reference>
          <reference field="13" count="1" selected="0">
            <x v="218"/>
          </reference>
        </references>
      </pivotArea>
    </format>
    <format dxfId="3205">
      <pivotArea dataOnly="0" labelOnly="1" outline="0" fieldPosition="0">
        <references count="4">
          <reference field="5" count="1">
            <x v="117"/>
          </reference>
          <reference field="8" count="1" selected="0">
            <x v="226"/>
          </reference>
          <reference field="11" count="1" selected="0">
            <x v="3"/>
          </reference>
          <reference field="13" count="1" selected="0">
            <x v="314"/>
          </reference>
        </references>
      </pivotArea>
    </format>
    <format dxfId="3204">
      <pivotArea dataOnly="0" labelOnly="1" outline="0" fieldPosition="0">
        <references count="4">
          <reference field="5" count="1">
            <x v="116"/>
          </reference>
          <reference field="8" count="1" selected="0">
            <x v="226"/>
          </reference>
          <reference field="11" count="1" selected="0">
            <x v="5"/>
          </reference>
          <reference field="13" count="1" selected="0">
            <x v="81"/>
          </reference>
        </references>
      </pivotArea>
    </format>
    <format dxfId="3203">
      <pivotArea dataOnly="0" labelOnly="1" outline="0" fieldPosition="0">
        <references count="4">
          <reference field="5" count="1">
            <x v="116"/>
          </reference>
          <reference field="8" count="1" selected="0">
            <x v="226"/>
          </reference>
          <reference field="11" count="1" selected="0">
            <x v="5"/>
          </reference>
          <reference field="13" count="1" selected="0">
            <x v="312"/>
          </reference>
        </references>
      </pivotArea>
    </format>
    <format dxfId="3202">
      <pivotArea dataOnly="0" labelOnly="1" outline="0" fieldPosition="0">
        <references count="4">
          <reference field="5" count="1">
            <x v="101"/>
          </reference>
          <reference field="8" count="1" selected="0">
            <x v="226"/>
          </reference>
          <reference field="11" count="1" selected="0">
            <x v="7"/>
          </reference>
          <reference field="13" count="1" selected="0">
            <x v="93"/>
          </reference>
        </references>
      </pivotArea>
    </format>
    <format dxfId="3201">
      <pivotArea dataOnly="0" labelOnly="1" outline="0" fieldPosition="0">
        <references count="4">
          <reference field="5" count="1">
            <x v="111"/>
          </reference>
          <reference field="8" count="1" selected="0">
            <x v="227"/>
          </reference>
          <reference field="11" count="1" selected="0">
            <x v="1"/>
          </reference>
          <reference field="13" count="1" selected="0">
            <x v="9"/>
          </reference>
        </references>
      </pivotArea>
    </format>
    <format dxfId="3200">
      <pivotArea dataOnly="0" labelOnly="1" outline="0" fieldPosition="0">
        <references count="4">
          <reference field="5" count="1">
            <x v="111"/>
          </reference>
          <reference field="8" count="1" selected="0">
            <x v="227"/>
          </reference>
          <reference field="11" count="1" selected="0">
            <x v="3"/>
          </reference>
          <reference field="13" count="1" selected="0">
            <x v="17"/>
          </reference>
        </references>
      </pivotArea>
    </format>
    <format dxfId="3199">
      <pivotArea dataOnly="0" labelOnly="1" outline="0" fieldPosition="0">
        <references count="4">
          <reference field="5" count="3">
            <x v="111"/>
            <x v="116"/>
            <x v="117"/>
          </reference>
          <reference field="8" count="1" selected="0">
            <x v="227"/>
          </reference>
          <reference field="11" count="1" selected="0">
            <x v="3"/>
          </reference>
          <reference field="13" count="1" selected="0">
            <x v="29"/>
          </reference>
        </references>
      </pivotArea>
    </format>
    <format dxfId="3198">
      <pivotArea dataOnly="0" labelOnly="1" outline="0" fieldPosition="0">
        <references count="4">
          <reference field="5" count="1">
            <x v="111"/>
          </reference>
          <reference field="8" count="1" selected="0">
            <x v="227"/>
          </reference>
          <reference field="11" count="1" selected="0">
            <x v="3"/>
          </reference>
          <reference field="13" count="1" selected="0">
            <x v="32"/>
          </reference>
        </references>
      </pivotArea>
    </format>
    <format dxfId="3197">
      <pivotArea dataOnly="0" labelOnly="1" outline="0" fieldPosition="0">
        <references count="4">
          <reference field="5" count="1">
            <x v="111"/>
          </reference>
          <reference field="8" count="1" selected="0">
            <x v="227"/>
          </reference>
          <reference field="11" count="1" selected="0">
            <x v="3"/>
          </reference>
          <reference field="13" count="1" selected="0">
            <x v="57"/>
          </reference>
        </references>
      </pivotArea>
    </format>
    <format dxfId="3196">
      <pivotArea dataOnly="0" labelOnly="1" outline="0" fieldPosition="0">
        <references count="4">
          <reference field="5" count="1">
            <x v="117"/>
          </reference>
          <reference field="8" count="1" selected="0">
            <x v="227"/>
          </reference>
          <reference field="11" count="1" selected="0">
            <x v="3"/>
          </reference>
          <reference field="13" count="1" selected="0">
            <x v="218"/>
          </reference>
        </references>
      </pivotArea>
    </format>
    <format dxfId="3195">
      <pivotArea dataOnly="0" labelOnly="1" outline="0" fieldPosition="0">
        <references count="4">
          <reference field="5" count="1">
            <x v="111"/>
          </reference>
          <reference field="8" count="1" selected="0">
            <x v="227"/>
          </reference>
          <reference field="11" count="1" selected="0">
            <x v="3"/>
          </reference>
          <reference field="13" count="1" selected="0">
            <x v="240"/>
          </reference>
        </references>
      </pivotArea>
    </format>
    <format dxfId="3194">
      <pivotArea dataOnly="0" labelOnly="1" outline="0" fieldPosition="0">
        <references count="4">
          <reference field="5" count="1">
            <x v="111"/>
          </reference>
          <reference field="8" count="1" selected="0">
            <x v="227"/>
          </reference>
          <reference field="11" count="1" selected="0">
            <x v="3"/>
          </reference>
          <reference field="13" count="1" selected="0">
            <x v="242"/>
          </reference>
        </references>
      </pivotArea>
    </format>
    <format dxfId="3193">
      <pivotArea dataOnly="0" labelOnly="1" outline="0" fieldPosition="0">
        <references count="4">
          <reference field="5" count="1">
            <x v="111"/>
          </reference>
          <reference field="8" count="1" selected="0">
            <x v="227"/>
          </reference>
          <reference field="11" count="1" selected="0">
            <x v="3"/>
          </reference>
          <reference field="13" count="1" selected="0">
            <x v="243"/>
          </reference>
        </references>
      </pivotArea>
    </format>
    <format dxfId="3192">
      <pivotArea dataOnly="0" labelOnly="1" outline="0" fieldPosition="0">
        <references count="4">
          <reference field="5" count="1">
            <x v="111"/>
          </reference>
          <reference field="8" count="1" selected="0">
            <x v="227"/>
          </reference>
          <reference field="11" count="1" selected="0">
            <x v="3"/>
          </reference>
          <reference field="13" count="1" selected="0">
            <x v="251"/>
          </reference>
        </references>
      </pivotArea>
    </format>
    <format dxfId="3191">
      <pivotArea dataOnly="0" labelOnly="1" outline="0" fieldPosition="0">
        <references count="4">
          <reference field="5" count="1">
            <x v="111"/>
          </reference>
          <reference field="8" count="1" selected="0">
            <x v="227"/>
          </reference>
          <reference field="11" count="1" selected="0">
            <x v="3"/>
          </reference>
          <reference field="13" count="1" selected="0">
            <x v="287"/>
          </reference>
        </references>
      </pivotArea>
    </format>
    <format dxfId="3190">
      <pivotArea dataOnly="0" labelOnly="1" outline="0" fieldPosition="0">
        <references count="4">
          <reference field="5" count="1">
            <x v="111"/>
          </reference>
          <reference field="8" count="1" selected="0">
            <x v="227"/>
          </reference>
          <reference field="11" count="1" selected="0">
            <x v="3"/>
          </reference>
          <reference field="13" count="1" selected="0">
            <x v="305"/>
          </reference>
        </references>
      </pivotArea>
    </format>
    <format dxfId="3189">
      <pivotArea dataOnly="0" labelOnly="1" outline="0" fieldPosition="0">
        <references count="4">
          <reference field="5" count="1">
            <x v="117"/>
          </reference>
          <reference field="8" count="1" selected="0">
            <x v="227"/>
          </reference>
          <reference field="11" count="1" selected="0">
            <x v="3"/>
          </reference>
          <reference field="13" count="1" selected="0">
            <x v="314"/>
          </reference>
        </references>
      </pivotArea>
    </format>
    <format dxfId="3188">
      <pivotArea dataOnly="0" labelOnly="1" outline="0" fieldPosition="0">
        <references count="4">
          <reference field="5" count="1">
            <x v="111"/>
          </reference>
          <reference field="8" count="1" selected="0">
            <x v="227"/>
          </reference>
          <reference field="11" count="1" selected="0">
            <x v="5"/>
          </reference>
          <reference field="13" count="1" selected="0">
            <x v="77"/>
          </reference>
        </references>
      </pivotArea>
    </format>
    <format dxfId="3187">
      <pivotArea dataOnly="0" labelOnly="1" outline="0" fieldPosition="0">
        <references count="4">
          <reference field="5" count="2">
            <x v="20"/>
            <x v="111"/>
          </reference>
          <reference field="8" count="1" selected="0">
            <x v="227"/>
          </reference>
          <reference field="11" count="1" selected="0">
            <x v="5"/>
          </reference>
          <reference field="13" count="1" selected="0">
            <x v="81"/>
          </reference>
        </references>
      </pivotArea>
    </format>
    <format dxfId="3186">
      <pivotArea dataOnly="0" labelOnly="1" outline="0" fieldPosition="0">
        <references count="4">
          <reference field="5" count="1">
            <x v="20"/>
          </reference>
          <reference field="8" count="1" selected="0">
            <x v="227"/>
          </reference>
          <reference field="11" count="1" selected="0">
            <x v="5"/>
          </reference>
          <reference field="13" count="1" selected="0">
            <x v="255"/>
          </reference>
        </references>
      </pivotArea>
    </format>
    <format dxfId="3185">
      <pivotArea dataOnly="0" labelOnly="1" outline="0" fieldPosition="0">
        <references count="4">
          <reference field="5" count="1">
            <x v="111"/>
          </reference>
          <reference field="8" count="1" selected="0">
            <x v="227"/>
          </reference>
          <reference field="11" count="1" selected="0">
            <x v="7"/>
          </reference>
          <reference field="13" count="1" selected="0">
            <x v="72"/>
          </reference>
        </references>
      </pivotArea>
    </format>
    <format dxfId="3184">
      <pivotArea dataOnly="0" labelOnly="1" outline="0" fieldPosition="0">
        <references count="4">
          <reference field="5" count="1">
            <x v="111"/>
          </reference>
          <reference field="8" count="1" selected="0">
            <x v="228"/>
          </reference>
          <reference field="11" count="1" selected="0">
            <x v="1"/>
          </reference>
          <reference field="13" count="1" selected="0">
            <x v="9"/>
          </reference>
        </references>
      </pivotArea>
    </format>
    <format dxfId="3183">
      <pivotArea dataOnly="0" labelOnly="1" outline="0" fieldPosition="0">
        <references count="4">
          <reference field="5" count="1">
            <x v="111"/>
          </reference>
          <reference field="8" count="1" selected="0">
            <x v="228"/>
          </reference>
          <reference field="11" count="1" selected="0">
            <x v="3"/>
          </reference>
          <reference field="13" count="1" selected="0">
            <x v="17"/>
          </reference>
        </references>
      </pivotArea>
    </format>
    <format dxfId="3182">
      <pivotArea dataOnly="0" labelOnly="1" outline="0" fieldPosition="0">
        <references count="4">
          <reference field="5" count="2">
            <x v="116"/>
            <x v="117"/>
          </reference>
          <reference field="8" count="1" selected="0">
            <x v="228"/>
          </reference>
          <reference field="11" count="1" selected="0">
            <x v="3"/>
          </reference>
          <reference field="13" count="1" selected="0">
            <x v="29"/>
          </reference>
        </references>
      </pivotArea>
    </format>
    <format dxfId="3181">
      <pivotArea dataOnly="0" labelOnly="1" outline="0" fieldPosition="0">
        <references count="4">
          <reference field="5" count="1">
            <x v="111"/>
          </reference>
          <reference field="8" count="1" selected="0">
            <x v="228"/>
          </reference>
          <reference field="11" count="1" selected="0">
            <x v="3"/>
          </reference>
          <reference field="13" count="1" selected="0">
            <x v="57"/>
          </reference>
        </references>
      </pivotArea>
    </format>
    <format dxfId="3180">
      <pivotArea dataOnly="0" labelOnly="1" outline="0" fieldPosition="0">
        <references count="4">
          <reference field="5" count="1">
            <x v="117"/>
          </reference>
          <reference field="8" count="1" selected="0">
            <x v="228"/>
          </reference>
          <reference field="11" count="1" selected="0">
            <x v="3"/>
          </reference>
          <reference field="13" count="1" selected="0">
            <x v="218"/>
          </reference>
        </references>
      </pivotArea>
    </format>
    <format dxfId="3179">
      <pivotArea dataOnly="0" labelOnly="1" outline="0" fieldPosition="0">
        <references count="4">
          <reference field="5" count="1">
            <x v="111"/>
          </reference>
          <reference field="8" count="1" selected="0">
            <x v="228"/>
          </reference>
          <reference field="11" count="1" selected="0">
            <x v="3"/>
          </reference>
          <reference field="13" count="1" selected="0">
            <x v="243"/>
          </reference>
        </references>
      </pivotArea>
    </format>
    <format dxfId="3178">
      <pivotArea dataOnly="0" labelOnly="1" outline="0" fieldPosition="0">
        <references count="4">
          <reference field="5" count="1">
            <x v="111"/>
          </reference>
          <reference field="8" count="1" selected="0">
            <x v="228"/>
          </reference>
          <reference field="11" count="1" selected="0">
            <x v="3"/>
          </reference>
          <reference field="13" count="1" selected="0">
            <x v="305"/>
          </reference>
        </references>
      </pivotArea>
    </format>
    <format dxfId="3177">
      <pivotArea dataOnly="0" labelOnly="1" outline="0" fieldPosition="0">
        <references count="4">
          <reference field="5" count="1">
            <x v="117"/>
          </reference>
          <reference field="8" count="1" selected="0">
            <x v="228"/>
          </reference>
          <reference field="11" count="1" selected="0">
            <x v="3"/>
          </reference>
          <reference field="13" count="1" selected="0">
            <x v="314"/>
          </reference>
        </references>
      </pivotArea>
    </format>
    <format dxfId="3176">
      <pivotArea dataOnly="0" labelOnly="1" outline="0" fieldPosition="0">
        <references count="4">
          <reference field="5" count="2">
            <x v="20"/>
            <x v="111"/>
          </reference>
          <reference field="8" count="1" selected="0">
            <x v="228"/>
          </reference>
          <reference field="11" count="1" selected="0">
            <x v="5"/>
          </reference>
          <reference field="13" count="1" selected="0">
            <x v="81"/>
          </reference>
        </references>
      </pivotArea>
    </format>
    <format dxfId="3175">
      <pivotArea dataOnly="0" labelOnly="1" outline="0" fieldPosition="0">
        <references count="4">
          <reference field="5" count="1">
            <x v="20"/>
          </reference>
          <reference field="8" count="1" selected="0">
            <x v="229"/>
          </reference>
          <reference field="11" count="1" selected="0">
            <x v="5"/>
          </reference>
          <reference field="13" count="1" selected="0">
            <x v="77"/>
          </reference>
        </references>
      </pivotArea>
    </format>
    <format dxfId="3174">
      <pivotArea dataOnly="0" labelOnly="1" outline="0" fieldPosition="0">
        <references count="4">
          <reference field="5" count="1">
            <x v="116"/>
          </reference>
          <reference field="8" count="1" selected="0">
            <x v="230"/>
          </reference>
          <reference field="11" count="1" selected="0">
            <x v="5"/>
          </reference>
          <reference field="13" count="1" selected="0">
            <x v="77"/>
          </reference>
        </references>
      </pivotArea>
    </format>
    <format dxfId="3173">
      <pivotArea dataOnly="0" labelOnly="1" outline="0" fieldPosition="0">
        <references count="4">
          <reference field="5" count="1">
            <x v="32"/>
          </reference>
          <reference field="8" count="1" selected="0">
            <x v="231"/>
          </reference>
          <reference field="11" count="1" selected="0">
            <x v="1"/>
          </reference>
          <reference field="13" count="1" selected="0">
            <x v="286"/>
          </reference>
        </references>
      </pivotArea>
    </format>
    <format dxfId="3172">
      <pivotArea dataOnly="0" labelOnly="1" outline="0" fieldPosition="0">
        <references count="4">
          <reference field="5" count="1">
            <x v="32"/>
          </reference>
          <reference field="8" count="1" selected="0">
            <x v="231"/>
          </reference>
          <reference field="11" count="1" selected="0">
            <x v="3"/>
          </reference>
          <reference field="13" count="1" selected="0">
            <x v="92"/>
          </reference>
        </references>
      </pivotArea>
    </format>
    <format dxfId="3171">
      <pivotArea dataOnly="0" labelOnly="1" outline="0" fieldPosition="0">
        <references count="4">
          <reference field="5" count="1">
            <x v="32"/>
          </reference>
          <reference field="8" count="1" selected="0">
            <x v="231"/>
          </reference>
          <reference field="11" count="1" selected="0">
            <x v="3"/>
          </reference>
          <reference field="13" count="1" selected="0">
            <x v="242"/>
          </reference>
        </references>
      </pivotArea>
    </format>
    <format dxfId="3170">
      <pivotArea dataOnly="0" labelOnly="1" outline="0" fieldPosition="0">
        <references count="4">
          <reference field="5" count="1">
            <x v="68"/>
          </reference>
          <reference field="8" count="1" selected="0">
            <x v="232"/>
          </reference>
          <reference field="11" count="1" selected="0">
            <x v="3"/>
          </reference>
          <reference field="13" count="1" selected="0">
            <x v="32"/>
          </reference>
        </references>
      </pivotArea>
    </format>
    <format dxfId="3169">
      <pivotArea dataOnly="0" labelOnly="1" outline="0" fieldPosition="0">
        <references count="4">
          <reference field="5" count="1">
            <x v="68"/>
          </reference>
          <reference field="8" count="1" selected="0">
            <x v="232"/>
          </reference>
          <reference field="11" count="1" selected="0">
            <x v="3"/>
          </reference>
          <reference field="13" count="1" selected="0">
            <x v="305"/>
          </reference>
        </references>
      </pivotArea>
    </format>
    <format dxfId="3168">
      <pivotArea dataOnly="0" labelOnly="1" outline="0" fieldPosition="0">
        <references count="4">
          <reference field="5" count="1">
            <x v="29"/>
          </reference>
          <reference field="8" count="1" selected="0">
            <x v="233"/>
          </reference>
          <reference field="11" count="1" selected="0">
            <x v="1"/>
          </reference>
          <reference field="13" count="1" selected="0">
            <x v="286"/>
          </reference>
        </references>
      </pivotArea>
    </format>
    <format dxfId="3167">
      <pivotArea dataOnly="0" labelOnly="1" outline="0" fieldPosition="0">
        <references count="4">
          <reference field="5" count="1">
            <x v="29"/>
          </reference>
          <reference field="8" count="1" selected="0">
            <x v="233"/>
          </reference>
          <reference field="11" count="1" selected="0">
            <x v="3"/>
          </reference>
          <reference field="13" count="1" selected="0">
            <x v="69"/>
          </reference>
        </references>
      </pivotArea>
    </format>
    <format dxfId="3166">
      <pivotArea dataOnly="0" labelOnly="1" outline="0" fieldPosition="0">
        <references count="4">
          <reference field="5" count="1">
            <x v="29"/>
          </reference>
          <reference field="8" count="1" selected="0">
            <x v="233"/>
          </reference>
          <reference field="11" count="1" selected="0">
            <x v="3"/>
          </reference>
          <reference field="13" count="1" selected="0">
            <x v="305"/>
          </reference>
        </references>
      </pivotArea>
    </format>
    <format dxfId="3165">
      <pivotArea dataOnly="0" labelOnly="1" outline="0" fieldPosition="0">
        <references count="4">
          <reference field="5" count="1">
            <x v="108"/>
          </reference>
          <reference field="8" count="1" selected="0">
            <x v="234"/>
          </reference>
          <reference field="11" count="1" selected="0">
            <x v="1"/>
          </reference>
          <reference field="13" count="1" selected="0">
            <x v="125"/>
          </reference>
        </references>
      </pivotArea>
    </format>
    <format dxfId="3164">
      <pivotArea dataOnly="0" labelOnly="1" outline="0" fieldPosition="0">
        <references count="4">
          <reference field="5" count="1">
            <x v="108"/>
          </reference>
          <reference field="8" count="1" selected="0">
            <x v="234"/>
          </reference>
          <reference field="11" count="1" selected="0">
            <x v="1"/>
          </reference>
          <reference field="13" count="1" selected="0">
            <x v="286"/>
          </reference>
        </references>
      </pivotArea>
    </format>
    <format dxfId="3163">
      <pivotArea dataOnly="0" labelOnly="1" outline="0" fieldPosition="0">
        <references count="4">
          <reference field="5" count="1">
            <x v="65"/>
          </reference>
          <reference field="8" count="1" selected="0">
            <x v="235"/>
          </reference>
          <reference field="11" count="1" selected="0">
            <x v="4"/>
          </reference>
          <reference field="13" count="1" selected="0">
            <x v="133"/>
          </reference>
        </references>
      </pivotArea>
    </format>
    <format dxfId="3162">
      <pivotArea dataOnly="0" labelOnly="1" outline="0" fieldPosition="0">
        <references count="4">
          <reference field="5" count="1">
            <x v="65"/>
          </reference>
          <reference field="8" count="1" selected="0">
            <x v="235"/>
          </reference>
          <reference field="11" count="1" selected="0">
            <x v="4"/>
          </reference>
          <reference field="13" count="1" selected="0">
            <x v="158"/>
          </reference>
        </references>
      </pivotArea>
    </format>
    <format dxfId="3161">
      <pivotArea dataOnly="0" labelOnly="1" outline="0" fieldPosition="0">
        <references count="4">
          <reference field="5" count="1">
            <x v="20"/>
          </reference>
          <reference field="8" count="1" selected="0">
            <x v="236"/>
          </reference>
          <reference field="11" count="1" selected="0">
            <x v="5"/>
          </reference>
          <reference field="13" count="1" selected="0">
            <x v="77"/>
          </reference>
        </references>
      </pivotArea>
    </format>
    <format dxfId="3160">
      <pivotArea dataOnly="0" labelOnly="1" outline="0" fieldPosition="0">
        <references count="4">
          <reference field="5" count="1">
            <x v="103"/>
          </reference>
          <reference field="8" count="1" selected="0">
            <x v="237"/>
          </reference>
          <reference field="11" count="1" selected="0">
            <x v="3"/>
          </reference>
          <reference field="13" count="1" selected="0">
            <x v="242"/>
          </reference>
        </references>
      </pivotArea>
    </format>
    <format dxfId="3159">
      <pivotArea dataOnly="0" labelOnly="1" outline="0" fieldPosition="0">
        <references count="4">
          <reference field="5" count="1">
            <x v="20"/>
          </reference>
          <reference field="8" count="1" selected="0">
            <x v="237"/>
          </reference>
          <reference field="11" count="1" selected="0">
            <x v="5"/>
          </reference>
          <reference field="13" count="1" selected="0">
            <x v="77"/>
          </reference>
        </references>
      </pivotArea>
    </format>
    <format dxfId="3158">
      <pivotArea dataOnly="0" labelOnly="1" outline="0" fieldPosition="0">
        <references count="4">
          <reference field="5" count="1">
            <x v="117"/>
          </reference>
          <reference field="8" count="1" selected="0">
            <x v="239"/>
          </reference>
          <reference field="11" count="1" selected="0">
            <x v="3"/>
          </reference>
          <reference field="13" count="1" selected="0">
            <x v="29"/>
          </reference>
        </references>
      </pivotArea>
    </format>
    <format dxfId="3157">
      <pivotArea dataOnly="0" labelOnly="1" outline="0" fieldPosition="0">
        <references count="4">
          <reference field="5" count="1">
            <x v="117"/>
          </reference>
          <reference field="8" count="1" selected="0">
            <x v="239"/>
          </reference>
          <reference field="11" count="1" selected="0">
            <x v="3"/>
          </reference>
          <reference field="13" count="1" selected="0">
            <x v="218"/>
          </reference>
        </references>
      </pivotArea>
    </format>
    <format dxfId="3156">
      <pivotArea dataOnly="0" labelOnly="1" outline="0" fieldPosition="0">
        <references count="4">
          <reference field="5" count="1">
            <x v="117"/>
          </reference>
          <reference field="8" count="1" selected="0">
            <x v="239"/>
          </reference>
          <reference field="11" count="1" selected="0">
            <x v="3"/>
          </reference>
          <reference field="13" count="1" selected="0">
            <x v="314"/>
          </reference>
        </references>
      </pivotArea>
    </format>
    <format dxfId="3155">
      <pivotArea dataOnly="0" labelOnly="1" outline="0" fieldPosition="0">
        <references count="4">
          <reference field="5" count="1">
            <x v="76"/>
          </reference>
          <reference field="8" count="1" selected="0">
            <x v="239"/>
          </reference>
          <reference field="11" count="1" selected="0">
            <x v="4"/>
          </reference>
          <reference field="13" count="1" selected="0">
            <x v="133"/>
          </reference>
        </references>
      </pivotArea>
    </format>
    <format dxfId="3154">
      <pivotArea dataOnly="0" labelOnly="1" outline="0" fieldPosition="0">
        <references count="4">
          <reference field="5" count="1">
            <x v="76"/>
          </reference>
          <reference field="8" count="1" selected="0">
            <x v="239"/>
          </reference>
          <reference field="11" count="1" selected="0">
            <x v="5"/>
          </reference>
          <reference field="13" count="1" selected="0">
            <x v="77"/>
          </reference>
        </references>
      </pivotArea>
    </format>
    <format dxfId="3153">
      <pivotArea dataOnly="0" labelOnly="1" outline="0" fieldPosition="0">
        <references count="4">
          <reference field="5" count="1">
            <x v="116"/>
          </reference>
          <reference field="8" count="1" selected="0">
            <x v="239"/>
          </reference>
          <reference field="11" count="1" selected="0">
            <x v="5"/>
          </reference>
          <reference field="13" count="1" selected="0">
            <x v="81"/>
          </reference>
        </references>
      </pivotArea>
    </format>
    <format dxfId="3152">
      <pivotArea dataOnly="0" labelOnly="1" outline="0" fieldPosition="0">
        <references count="4">
          <reference field="5" count="1">
            <x v="20"/>
          </reference>
          <reference field="8" count="1" selected="0">
            <x v="240"/>
          </reference>
          <reference field="11" count="1" selected="0">
            <x v="5"/>
          </reference>
          <reference field="13" count="1" selected="0">
            <x v="77"/>
          </reference>
        </references>
      </pivotArea>
    </format>
    <format dxfId="3151">
      <pivotArea dataOnly="0" labelOnly="1" outline="0" fieldPosition="0">
        <references count="4">
          <reference field="5" count="1">
            <x v="32"/>
          </reference>
          <reference field="8" count="1" selected="0">
            <x v="241"/>
          </reference>
          <reference field="11" count="1" selected="0">
            <x v="3"/>
          </reference>
          <reference field="13" count="1" selected="0">
            <x v="287"/>
          </reference>
        </references>
      </pivotArea>
    </format>
    <format dxfId="3150">
      <pivotArea dataOnly="0" labelOnly="1" outline="0" fieldPosition="0">
        <references count="4">
          <reference field="5" count="1">
            <x v="20"/>
          </reference>
          <reference field="8" count="1" selected="0">
            <x v="241"/>
          </reference>
          <reference field="11" count="1" selected="0">
            <x v="5"/>
          </reference>
          <reference field="13" count="1" selected="0">
            <x v="77"/>
          </reference>
        </references>
      </pivotArea>
    </format>
    <format dxfId="3149">
      <pivotArea dataOnly="0" labelOnly="1" outline="0" fieldPosition="0">
        <references count="4">
          <reference field="5" count="1">
            <x v="117"/>
          </reference>
          <reference field="8" count="1" selected="0">
            <x v="242"/>
          </reference>
          <reference field="11" count="1" selected="0">
            <x v="3"/>
          </reference>
          <reference field="13" count="1" selected="0">
            <x v="29"/>
          </reference>
        </references>
      </pivotArea>
    </format>
    <format dxfId="3148">
      <pivotArea dataOnly="0" labelOnly="1" outline="0" fieldPosition="0">
        <references count="4">
          <reference field="5" count="2">
            <x v="16"/>
            <x v="120"/>
          </reference>
          <reference field="8" count="1" selected="0">
            <x v="242"/>
          </reference>
          <reference field="11" count="1" selected="0">
            <x v="3"/>
          </reference>
          <reference field="13" count="1" selected="0">
            <x v="92"/>
          </reference>
        </references>
      </pivotArea>
    </format>
    <format dxfId="3147">
      <pivotArea dataOnly="0" labelOnly="1" outline="0" fieldPosition="0">
        <references count="4">
          <reference field="5" count="1">
            <x v="117"/>
          </reference>
          <reference field="8" count="1" selected="0">
            <x v="242"/>
          </reference>
          <reference field="11" count="1" selected="0">
            <x v="3"/>
          </reference>
          <reference field="13" count="1" selected="0">
            <x v="218"/>
          </reference>
        </references>
      </pivotArea>
    </format>
    <format dxfId="3146">
      <pivotArea dataOnly="0" labelOnly="1" outline="0" fieldPosition="0">
        <references count="4">
          <reference field="5" count="2">
            <x v="16"/>
            <x v="120"/>
          </reference>
          <reference field="8" count="1" selected="0">
            <x v="242"/>
          </reference>
          <reference field="11" count="1" selected="0">
            <x v="3"/>
          </reference>
          <reference field="13" count="1" selected="0">
            <x v="305"/>
          </reference>
        </references>
      </pivotArea>
    </format>
    <format dxfId="3145">
      <pivotArea dataOnly="0" labelOnly="1" outline="0" fieldPosition="0">
        <references count="4">
          <reference field="5" count="1">
            <x v="117"/>
          </reference>
          <reference field="8" count="1" selected="0">
            <x v="242"/>
          </reference>
          <reference field="11" count="1" selected="0">
            <x v="3"/>
          </reference>
          <reference field="13" count="1" selected="0">
            <x v="314"/>
          </reference>
        </references>
      </pivotArea>
    </format>
    <format dxfId="3144">
      <pivotArea dataOnly="0" labelOnly="1" outline="0" fieldPosition="0">
        <references count="4">
          <reference field="5" count="1">
            <x v="35"/>
          </reference>
          <reference field="8" count="1" selected="0">
            <x v="243"/>
          </reference>
          <reference field="11" count="1" selected="0">
            <x v="5"/>
          </reference>
          <reference field="13" count="1" selected="0">
            <x v="77"/>
          </reference>
        </references>
      </pivotArea>
    </format>
    <format dxfId="3143">
      <pivotArea dataOnly="0" labelOnly="1" outline="0" fieldPosition="0">
        <references count="4">
          <reference field="5" count="1">
            <x v="35"/>
          </reference>
          <reference field="8" count="1" selected="0">
            <x v="243"/>
          </reference>
          <reference field="11" count="1" selected="0">
            <x v="5"/>
          </reference>
          <reference field="13" count="1" selected="0">
            <x v="81"/>
          </reference>
        </references>
      </pivotArea>
    </format>
    <format dxfId="3142">
      <pivotArea dataOnly="0" labelOnly="1" outline="0" fieldPosition="0">
        <references count="4">
          <reference field="5" count="2">
            <x v="116"/>
            <x v="117"/>
          </reference>
          <reference field="8" count="1" selected="0">
            <x v="244"/>
          </reference>
          <reference field="11" count="1" selected="0">
            <x v="3"/>
          </reference>
          <reference field="13" count="1" selected="0">
            <x v="29"/>
          </reference>
        </references>
      </pivotArea>
    </format>
    <format dxfId="3141">
      <pivotArea dataOnly="0" labelOnly="1" outline="0" fieldPosition="0">
        <references count="4">
          <reference field="5" count="1">
            <x v="117"/>
          </reference>
          <reference field="8" count="1" selected="0">
            <x v="244"/>
          </reference>
          <reference field="11" count="1" selected="0">
            <x v="3"/>
          </reference>
          <reference field="13" count="1" selected="0">
            <x v="218"/>
          </reference>
        </references>
      </pivotArea>
    </format>
    <format dxfId="3140">
      <pivotArea dataOnly="0" labelOnly="1" outline="0" fieldPosition="0">
        <references count="4">
          <reference field="5" count="1">
            <x v="117"/>
          </reference>
          <reference field="8" count="1" selected="0">
            <x v="244"/>
          </reference>
          <reference field="11" count="1" selected="0">
            <x v="3"/>
          </reference>
          <reference field="13" count="1" selected="0">
            <x v="314"/>
          </reference>
        </references>
      </pivotArea>
    </format>
    <format dxfId="3139">
      <pivotArea dataOnly="0" labelOnly="1" outline="0" fieldPosition="0">
        <references count="4">
          <reference field="5" count="1">
            <x v="116"/>
          </reference>
          <reference field="8" count="1" selected="0">
            <x v="244"/>
          </reference>
          <reference field="11" count="1" selected="0">
            <x v="5"/>
          </reference>
          <reference field="13" count="1" selected="0">
            <x v="206"/>
          </reference>
        </references>
      </pivotArea>
    </format>
    <format dxfId="3138">
      <pivotArea dataOnly="0" labelOnly="1" outline="0" fieldPosition="0">
        <references count="4">
          <reference field="5" count="1">
            <x v="116"/>
          </reference>
          <reference field="8" count="1" selected="0">
            <x v="244"/>
          </reference>
          <reference field="11" count="1" selected="0">
            <x v="5"/>
          </reference>
          <reference field="13" count="1" selected="0">
            <x v="309"/>
          </reference>
        </references>
      </pivotArea>
    </format>
    <format dxfId="3137">
      <pivotArea dataOnly="0" labelOnly="1" outline="0" fieldPosition="0">
        <references count="4">
          <reference field="5" count="1">
            <x v="64"/>
          </reference>
          <reference field="8" count="1" selected="0">
            <x v="245"/>
          </reference>
          <reference field="11" count="1" selected="0">
            <x v="1"/>
          </reference>
          <reference field="13" count="1" selected="0">
            <x v="169"/>
          </reference>
        </references>
      </pivotArea>
    </format>
    <format dxfId="3136">
      <pivotArea dataOnly="0" labelOnly="1" outline="0" fieldPosition="0">
        <references count="4">
          <reference field="5" count="2">
            <x v="116"/>
            <x v="117"/>
          </reference>
          <reference field="8" count="1" selected="0">
            <x v="245"/>
          </reference>
          <reference field="11" count="1" selected="0">
            <x v="3"/>
          </reference>
          <reference field="13" count="1" selected="0">
            <x v="29"/>
          </reference>
        </references>
      </pivotArea>
    </format>
    <format dxfId="3135">
      <pivotArea dataOnly="0" labelOnly="1" outline="0" fieldPosition="0">
        <references count="4">
          <reference field="5" count="1">
            <x v="117"/>
          </reference>
          <reference field="8" count="1" selected="0">
            <x v="245"/>
          </reference>
          <reference field="11" count="1" selected="0">
            <x v="3"/>
          </reference>
          <reference field="13" count="1" selected="0">
            <x v="218"/>
          </reference>
        </references>
      </pivotArea>
    </format>
    <format dxfId="3134">
      <pivotArea dataOnly="0" labelOnly="1" outline="0" fieldPosition="0">
        <references count="4">
          <reference field="5" count="1">
            <x v="117"/>
          </reference>
          <reference field="8" count="1" selected="0">
            <x v="245"/>
          </reference>
          <reference field="11" count="1" selected="0">
            <x v="3"/>
          </reference>
          <reference field="13" count="1" selected="0">
            <x v="314"/>
          </reference>
        </references>
      </pivotArea>
    </format>
    <format dxfId="3133">
      <pivotArea dataOnly="0" labelOnly="1" outline="0" fieldPosition="0">
        <references count="4">
          <reference field="5" count="1">
            <x v="68"/>
          </reference>
          <reference field="8" count="1" selected="0">
            <x v="245"/>
          </reference>
          <reference field="11" count="1" selected="0">
            <x v="4"/>
          </reference>
          <reference field="13" count="1" selected="0">
            <x v="133"/>
          </reference>
        </references>
      </pivotArea>
    </format>
    <format dxfId="3132">
      <pivotArea dataOnly="0" labelOnly="1" outline="0" fieldPosition="0">
        <references count="4">
          <reference field="5" count="1">
            <x v="70"/>
          </reference>
          <reference field="8" count="1" selected="0">
            <x v="245"/>
          </reference>
          <reference field="11" count="1" selected="0">
            <x v="4"/>
          </reference>
          <reference field="13" count="1" selected="0">
            <x v="280"/>
          </reference>
        </references>
      </pivotArea>
    </format>
    <format dxfId="3131">
      <pivotArea dataOnly="0" labelOnly="1" outline="0" fieldPosition="0">
        <references count="4">
          <reference field="5" count="1">
            <x v="64"/>
          </reference>
          <reference field="8" count="1" selected="0">
            <x v="245"/>
          </reference>
          <reference field="11" count="1" selected="0">
            <x v="7"/>
          </reference>
          <reference field="13" count="1" selected="0">
            <x v="129"/>
          </reference>
        </references>
      </pivotArea>
    </format>
    <format dxfId="3130">
      <pivotArea dataOnly="0" labelOnly="1" outline="0" fieldPosition="0">
        <references count="4">
          <reference field="5" count="1">
            <x v="112"/>
          </reference>
          <reference field="8" count="1" selected="0">
            <x v="246"/>
          </reference>
          <reference field="11" count="1" selected="0">
            <x v="3"/>
          </reference>
          <reference field="13" count="1" selected="0">
            <x v="287"/>
          </reference>
        </references>
      </pivotArea>
    </format>
    <format dxfId="3129">
      <pivotArea dataOnly="0" labelOnly="1" outline="0" fieldPosition="0">
        <references count="4">
          <reference field="5" count="1">
            <x v="20"/>
          </reference>
          <reference field="8" count="1" selected="0">
            <x v="246"/>
          </reference>
          <reference field="11" count="1" selected="0">
            <x v="5"/>
          </reference>
          <reference field="13" count="1" selected="0">
            <x v="81"/>
          </reference>
        </references>
      </pivotArea>
    </format>
    <format dxfId="3128">
      <pivotArea dataOnly="0" labelOnly="1" outline="0" fieldPosition="0">
        <references count="4">
          <reference field="5" count="1">
            <x v="20"/>
          </reference>
          <reference field="8" count="1" selected="0">
            <x v="246"/>
          </reference>
          <reference field="11" count="1" selected="0">
            <x v="5"/>
          </reference>
          <reference field="13" count="1" selected="0">
            <x v="255"/>
          </reference>
        </references>
      </pivotArea>
    </format>
    <format dxfId="3127">
      <pivotArea dataOnly="0" labelOnly="1" outline="0" fieldPosition="0">
        <references count="4">
          <reference field="5" count="1">
            <x v="52"/>
          </reference>
          <reference field="8" count="1" selected="0">
            <x v="247"/>
          </reference>
          <reference field="11" count="1" selected="0">
            <x v="0"/>
          </reference>
          <reference field="13" count="1" selected="0">
            <x v="107"/>
          </reference>
        </references>
      </pivotArea>
    </format>
    <format dxfId="3126">
      <pivotArea dataOnly="0" labelOnly="1" outline="0" fieldPosition="0">
        <references count="4">
          <reference field="5" count="1">
            <x v="52"/>
          </reference>
          <reference field="8" count="1" selected="0">
            <x v="247"/>
          </reference>
          <reference field="11" count="1" selected="0">
            <x v="0"/>
          </reference>
          <reference field="13" count="1" selected="0">
            <x v="221"/>
          </reference>
        </references>
      </pivotArea>
    </format>
    <format dxfId="3125">
      <pivotArea dataOnly="0" labelOnly="1" outline="0" fieldPosition="0">
        <references count="4">
          <reference field="5" count="1">
            <x v="52"/>
          </reference>
          <reference field="8" count="1" selected="0">
            <x v="247"/>
          </reference>
          <reference field="11" count="1" selected="0">
            <x v="1"/>
          </reference>
          <reference field="13" count="1" selected="0">
            <x v="151"/>
          </reference>
        </references>
      </pivotArea>
    </format>
    <format dxfId="3124">
      <pivotArea dataOnly="0" labelOnly="1" outline="0" fieldPosition="0">
        <references count="4">
          <reference field="5" count="1">
            <x v="52"/>
          </reference>
          <reference field="8" count="1" selected="0">
            <x v="247"/>
          </reference>
          <reference field="11" count="1" selected="0">
            <x v="2"/>
          </reference>
          <reference field="13" count="1" selected="0">
            <x v="263"/>
          </reference>
        </references>
      </pivotArea>
    </format>
    <format dxfId="3123">
      <pivotArea dataOnly="0" labelOnly="1" outline="0" fieldPosition="0">
        <references count="4">
          <reference field="5" count="1">
            <x v="52"/>
          </reference>
          <reference field="8" count="1" selected="0">
            <x v="247"/>
          </reference>
          <reference field="11" count="1" selected="0">
            <x v="3"/>
          </reference>
          <reference field="13" count="1" selected="0">
            <x v="69"/>
          </reference>
        </references>
      </pivotArea>
    </format>
    <format dxfId="3122">
      <pivotArea dataOnly="0" labelOnly="1" outline="0" fieldPosition="0">
        <references count="4">
          <reference field="5" count="1">
            <x v="52"/>
          </reference>
          <reference field="8" count="1" selected="0">
            <x v="247"/>
          </reference>
          <reference field="11" count="1" selected="0">
            <x v="3"/>
          </reference>
          <reference field="13" count="1" selected="0">
            <x v="240"/>
          </reference>
        </references>
      </pivotArea>
    </format>
    <format dxfId="3121">
      <pivotArea dataOnly="0" labelOnly="1" outline="0" fieldPosition="0">
        <references count="4">
          <reference field="5" count="1">
            <x v="52"/>
          </reference>
          <reference field="8" count="1" selected="0">
            <x v="247"/>
          </reference>
          <reference field="11" count="1" selected="0">
            <x v="3"/>
          </reference>
          <reference field="13" count="1" selected="0">
            <x v="242"/>
          </reference>
        </references>
      </pivotArea>
    </format>
    <format dxfId="3120">
      <pivotArea dataOnly="0" labelOnly="1" outline="0" fieldPosition="0">
        <references count="4">
          <reference field="5" count="1">
            <x v="52"/>
          </reference>
          <reference field="8" count="1" selected="0">
            <x v="247"/>
          </reference>
          <reference field="11" count="1" selected="0">
            <x v="3"/>
          </reference>
          <reference field="13" count="1" selected="0">
            <x v="243"/>
          </reference>
        </references>
      </pivotArea>
    </format>
    <format dxfId="3119">
      <pivotArea dataOnly="0" labelOnly="1" outline="0" fieldPosition="0">
        <references count="4">
          <reference field="5" count="2">
            <x v="20"/>
            <x v="116"/>
          </reference>
          <reference field="8" count="1" selected="0">
            <x v="247"/>
          </reference>
          <reference field="11" count="1" selected="0">
            <x v="5"/>
          </reference>
          <reference field="13" count="1" selected="0">
            <x v="81"/>
          </reference>
        </references>
      </pivotArea>
    </format>
    <format dxfId="3118">
      <pivotArea dataOnly="0" labelOnly="1" outline="0" fieldPosition="0">
        <references count="4">
          <reference field="5" count="1">
            <x v="52"/>
          </reference>
          <reference field="8" count="1" selected="0">
            <x v="247"/>
          </reference>
          <reference field="11" count="1" selected="0">
            <x v="5"/>
          </reference>
          <reference field="13" count="1" selected="0">
            <x v="96"/>
          </reference>
        </references>
      </pivotArea>
    </format>
    <format dxfId="3117">
      <pivotArea dataOnly="0" labelOnly="1" outline="0" fieldPosition="0">
        <references count="4">
          <reference field="5" count="1">
            <x v="20"/>
          </reference>
          <reference field="8" count="1" selected="0">
            <x v="247"/>
          </reference>
          <reference field="11" count="1" selected="0">
            <x v="5"/>
          </reference>
          <reference field="13" count="1" selected="0">
            <x v="255"/>
          </reference>
        </references>
      </pivotArea>
    </format>
    <format dxfId="3116">
      <pivotArea dataOnly="0" labelOnly="1" outline="0" fieldPosition="0">
        <references count="4">
          <reference field="5" count="1">
            <x v="47"/>
          </reference>
          <reference field="8" count="1" selected="0">
            <x v="248"/>
          </reference>
          <reference field="11" count="1" selected="0">
            <x v="0"/>
          </reference>
          <reference field="13" count="1" selected="0">
            <x v="3"/>
          </reference>
        </references>
      </pivotArea>
    </format>
    <format dxfId="3115">
      <pivotArea dataOnly="0" labelOnly="1" outline="0" fieldPosition="0">
        <references count="4">
          <reference field="5" count="1">
            <x v="47"/>
          </reference>
          <reference field="8" count="1" selected="0">
            <x v="248"/>
          </reference>
          <reference field="11" count="1" selected="0">
            <x v="0"/>
          </reference>
          <reference field="13" count="1" selected="0">
            <x v="91"/>
          </reference>
        </references>
      </pivotArea>
    </format>
    <format dxfId="3114">
      <pivotArea dataOnly="0" labelOnly="1" outline="0" fieldPosition="0">
        <references count="4">
          <reference field="5" count="1">
            <x v="47"/>
          </reference>
          <reference field="8" count="1" selected="0">
            <x v="248"/>
          </reference>
          <reference field="11" count="1" selected="0">
            <x v="0"/>
          </reference>
          <reference field="13" count="1" selected="0">
            <x v="97"/>
          </reference>
        </references>
      </pivotArea>
    </format>
    <format dxfId="3113">
      <pivotArea dataOnly="0" labelOnly="1" outline="0" fieldPosition="0">
        <references count="4">
          <reference field="5" count="1">
            <x v="106"/>
          </reference>
          <reference field="8" count="1" selected="0">
            <x v="248"/>
          </reference>
          <reference field="11" count="1" selected="0">
            <x v="2"/>
          </reference>
          <reference field="13" count="1" selected="0">
            <x v="71"/>
          </reference>
        </references>
      </pivotArea>
    </format>
    <format dxfId="3112">
      <pivotArea dataOnly="0" labelOnly="1" outline="0" fieldPosition="0">
        <references count="4">
          <reference field="5" count="1">
            <x v="116"/>
          </reference>
          <reference field="8" count="1" selected="0">
            <x v="248"/>
          </reference>
          <reference field="11" count="1" selected="0">
            <x v="3"/>
          </reference>
          <reference field="13" count="1" selected="0">
            <x v="17"/>
          </reference>
        </references>
      </pivotArea>
    </format>
    <format dxfId="3111">
      <pivotArea dataOnly="0" labelOnly="1" outline="0" fieldPosition="0">
        <references count="4">
          <reference field="5" count="1">
            <x v="101"/>
          </reference>
          <reference field="8" count="1" selected="0">
            <x v="248"/>
          </reference>
          <reference field="11" count="1" selected="0">
            <x v="3"/>
          </reference>
          <reference field="13" count="1" selected="0">
            <x v="32"/>
          </reference>
        </references>
      </pivotArea>
    </format>
    <format dxfId="3110">
      <pivotArea dataOnly="0" labelOnly="1" outline="0" fieldPosition="0">
        <references count="4">
          <reference field="5" count="2">
            <x v="19"/>
            <x v="106"/>
          </reference>
          <reference field="8" count="1" selected="0">
            <x v="248"/>
          </reference>
          <reference field="11" count="1" selected="0">
            <x v="3"/>
          </reference>
          <reference field="13" count="1" selected="0">
            <x v="57"/>
          </reference>
        </references>
      </pivotArea>
    </format>
    <format dxfId="3109">
      <pivotArea dataOnly="0" labelOnly="1" outline="0" fieldPosition="0">
        <references count="4">
          <reference field="5" count="1">
            <x v="19"/>
          </reference>
          <reference field="8" count="1" selected="0">
            <x v="248"/>
          </reference>
          <reference field="11" count="1" selected="0">
            <x v="3"/>
          </reference>
          <reference field="13" count="1" selected="0">
            <x v="134"/>
          </reference>
        </references>
      </pivotArea>
    </format>
    <format dxfId="3108">
      <pivotArea dataOnly="0" labelOnly="1" outline="0" fieldPosition="0">
        <references count="4">
          <reference field="5" count="3">
            <x v="70"/>
            <x v="101"/>
            <x v="106"/>
          </reference>
          <reference field="8" count="1" selected="0">
            <x v="248"/>
          </reference>
          <reference field="11" count="1" selected="0">
            <x v="3"/>
          </reference>
          <reference field="13" count="1" selected="0">
            <x v="240"/>
          </reference>
        </references>
      </pivotArea>
    </format>
    <format dxfId="3107">
      <pivotArea dataOnly="0" labelOnly="1" outline="0" fieldPosition="0">
        <references count="4">
          <reference field="5" count="3">
            <x v="101"/>
            <x v="106"/>
            <x v="110"/>
          </reference>
          <reference field="8" count="1" selected="0">
            <x v="248"/>
          </reference>
          <reference field="11" count="1" selected="0">
            <x v="3"/>
          </reference>
          <reference field="13" count="1" selected="0">
            <x v="242"/>
          </reference>
        </references>
      </pivotArea>
    </format>
    <format dxfId="3106">
      <pivotArea dataOnly="0" labelOnly="1" outline="0" fieldPosition="0">
        <references count="4">
          <reference field="5" count="6">
            <x v="19"/>
            <x v="70"/>
            <x v="101"/>
            <x v="106"/>
            <x v="110"/>
            <x v="111"/>
          </reference>
          <reference field="8" count="1" selected="0">
            <x v="248"/>
          </reference>
          <reference field="11" count="1" selected="0">
            <x v="3"/>
          </reference>
          <reference field="13" count="1" selected="0">
            <x v="243"/>
          </reference>
        </references>
      </pivotArea>
    </format>
    <format dxfId="3105">
      <pivotArea dataOnly="0" labelOnly="1" outline="0" fieldPosition="0">
        <references count="4">
          <reference field="5" count="2">
            <x v="101"/>
            <x v="106"/>
          </reference>
          <reference field="8" count="1" selected="0">
            <x v="248"/>
          </reference>
          <reference field="11" count="1" selected="0">
            <x v="3"/>
          </reference>
          <reference field="13" count="1" selected="0">
            <x v="287"/>
          </reference>
        </references>
      </pivotArea>
    </format>
    <format dxfId="3104">
      <pivotArea dataOnly="0" labelOnly="1" outline="0" fieldPosition="0">
        <references count="4">
          <reference field="5" count="1">
            <x v="116"/>
          </reference>
          <reference field="8" count="1" selected="0">
            <x v="248"/>
          </reference>
          <reference field="11" count="1" selected="0">
            <x v="5"/>
          </reference>
          <reference field="13" count="1" selected="0">
            <x v="77"/>
          </reference>
        </references>
      </pivotArea>
    </format>
    <format dxfId="3103">
      <pivotArea dataOnly="0" labelOnly="1" outline="0" fieldPosition="0">
        <references count="4">
          <reference field="5" count="1">
            <x v="116"/>
          </reference>
          <reference field="8" count="1" selected="0">
            <x v="248"/>
          </reference>
          <reference field="11" count="1" selected="0">
            <x v="5"/>
          </reference>
          <reference field="13" count="1" selected="0">
            <x v="81"/>
          </reference>
        </references>
      </pivotArea>
    </format>
    <format dxfId="3102">
      <pivotArea dataOnly="0" labelOnly="1" outline="0" fieldPosition="0">
        <references count="4">
          <reference field="5" count="2">
            <x v="19"/>
            <x v="70"/>
          </reference>
          <reference field="8" count="1" selected="0">
            <x v="248"/>
          </reference>
          <reference field="11" count="1" selected="0">
            <x v="5"/>
          </reference>
          <reference field="13" count="1" selected="0">
            <x v="96"/>
          </reference>
        </references>
      </pivotArea>
    </format>
    <format dxfId="3101">
      <pivotArea dataOnly="0" labelOnly="1" outline="0" fieldPosition="0">
        <references count="4">
          <reference field="5" count="1">
            <x v="116"/>
          </reference>
          <reference field="8" count="1" selected="0">
            <x v="248"/>
          </reference>
          <reference field="11" count="1" selected="0">
            <x v="5"/>
          </reference>
          <reference field="13" count="1" selected="0">
            <x v="168"/>
          </reference>
        </references>
      </pivotArea>
    </format>
    <format dxfId="3100">
      <pivotArea dataOnly="0" labelOnly="1" outline="0" fieldPosition="0">
        <references count="4">
          <reference field="5" count="1">
            <x v="116"/>
          </reference>
          <reference field="8" count="1" selected="0">
            <x v="248"/>
          </reference>
          <reference field="11" count="1" selected="0">
            <x v="5"/>
          </reference>
          <reference field="13" count="1" selected="0">
            <x v="209"/>
          </reference>
        </references>
      </pivotArea>
    </format>
    <format dxfId="3099">
      <pivotArea dataOnly="0" labelOnly="1" outline="0" fieldPosition="0">
        <references count="4">
          <reference field="5" count="5">
            <x v="47"/>
            <x v="70"/>
            <x v="101"/>
            <x v="106"/>
            <x v="109"/>
          </reference>
          <reference field="8" count="1" selected="0">
            <x v="248"/>
          </reference>
          <reference field="11" count="1" selected="0">
            <x v="5"/>
          </reference>
          <reference field="13" count="1" selected="0">
            <x v="229"/>
          </reference>
        </references>
      </pivotArea>
    </format>
    <format dxfId="3098">
      <pivotArea dataOnly="0" labelOnly="1" outline="0" fieldPosition="0">
        <references count="4">
          <reference field="5" count="1">
            <x v="20"/>
          </reference>
          <reference field="8" count="1" selected="0">
            <x v="248"/>
          </reference>
          <reference field="11" count="1" selected="0">
            <x v="5"/>
          </reference>
          <reference field="13" count="1" selected="0">
            <x v="255"/>
          </reference>
        </references>
      </pivotArea>
    </format>
    <format dxfId="3097">
      <pivotArea dataOnly="0" labelOnly="1" outline="0" fieldPosition="0">
        <references count="4">
          <reference field="5" count="2">
            <x v="101"/>
            <x v="106"/>
          </reference>
          <reference field="8" count="1" selected="0">
            <x v="248"/>
          </reference>
          <reference field="11" count="1" selected="0">
            <x v="6"/>
          </reference>
          <reference field="13" count="1" selected="0">
            <x v="207"/>
          </reference>
        </references>
      </pivotArea>
    </format>
    <format dxfId="3096">
      <pivotArea dataOnly="0" labelOnly="1" outline="0" fieldPosition="0">
        <references count="4">
          <reference field="5" count="2">
            <x v="19"/>
            <x v="106"/>
          </reference>
          <reference field="8" count="1" selected="0">
            <x v="248"/>
          </reference>
          <reference field="11" count="1" selected="0">
            <x v="7"/>
          </reference>
          <reference field="13" count="1" selected="0">
            <x v="72"/>
          </reference>
        </references>
      </pivotArea>
    </format>
    <format dxfId="3095">
      <pivotArea dataOnly="0" labelOnly="1" outline="0" fieldPosition="0">
        <references count="4">
          <reference field="5" count="1">
            <x v="101"/>
          </reference>
          <reference field="8" count="1" selected="0">
            <x v="248"/>
          </reference>
          <reference field="11" count="1" selected="0">
            <x v="7"/>
          </reference>
          <reference field="13" count="1" selected="0">
            <x v="93"/>
          </reference>
        </references>
      </pivotArea>
    </format>
    <format dxfId="3094">
      <pivotArea dataOnly="0" labelOnly="1" outline="0" fieldPosition="0">
        <references count="4">
          <reference field="5" count="1">
            <x v="108"/>
          </reference>
          <reference field="8" count="1" selected="0">
            <x v="249"/>
          </reference>
          <reference field="11" count="1" selected="0">
            <x v="1"/>
          </reference>
          <reference field="13" count="1" selected="0">
            <x v="149"/>
          </reference>
        </references>
      </pivotArea>
    </format>
    <format dxfId="3093">
      <pivotArea dataOnly="0" labelOnly="1" outline="0" fieldPosition="0">
        <references count="4">
          <reference field="5" count="1">
            <x v="108"/>
          </reference>
          <reference field="8" count="1" selected="0">
            <x v="249"/>
          </reference>
          <reference field="11" count="1" selected="0">
            <x v="3"/>
          </reference>
          <reference field="13" count="1" selected="0">
            <x v="69"/>
          </reference>
        </references>
      </pivotArea>
    </format>
    <format dxfId="3092">
      <pivotArea dataOnly="0" labelOnly="1" outline="0" fieldPosition="0">
        <references count="4">
          <reference field="5" count="1">
            <x v="108"/>
          </reference>
          <reference field="8" count="1" selected="0">
            <x v="249"/>
          </reference>
          <reference field="11" count="1" selected="0">
            <x v="7"/>
          </reference>
          <reference field="13" count="1" selected="0">
            <x v="72"/>
          </reference>
        </references>
      </pivotArea>
    </format>
    <format dxfId="3091">
      <pivotArea dataOnly="0" labelOnly="1" outline="0" fieldPosition="0">
        <references count="4">
          <reference field="5" count="3">
            <x v="56"/>
            <x v="60"/>
            <x v="72"/>
          </reference>
          <reference field="8" count="1" selected="0">
            <x v="250"/>
          </reference>
          <reference field="11" count="1" selected="0">
            <x v="2"/>
          </reference>
          <reference field="13" count="1" selected="0">
            <x v="55"/>
          </reference>
        </references>
      </pivotArea>
    </format>
    <format dxfId="3090">
      <pivotArea dataOnly="0" labelOnly="1" outline="0" fieldPosition="0">
        <references count="4">
          <reference field="5" count="1">
            <x v="39"/>
          </reference>
          <reference field="8" count="1" selected="0">
            <x v="250"/>
          </reference>
          <reference field="11" count="1" selected="0">
            <x v="2"/>
          </reference>
          <reference field="13" count="1" selected="0">
            <x v="76"/>
          </reference>
        </references>
      </pivotArea>
    </format>
    <format dxfId="3089">
      <pivotArea dataOnly="0" labelOnly="1" outline="0" fieldPosition="0">
        <references count="4">
          <reference field="5" count="1">
            <x v="56"/>
          </reference>
          <reference field="8" count="1" selected="0">
            <x v="250"/>
          </reference>
          <reference field="11" count="1" selected="0">
            <x v="3"/>
          </reference>
          <reference field="13" count="1" selected="0">
            <x v="4"/>
          </reference>
        </references>
      </pivotArea>
    </format>
    <format dxfId="3088">
      <pivotArea dataOnly="0" labelOnly="1" outline="0" fieldPosition="0">
        <references count="4">
          <reference field="5" count="2">
            <x v="60"/>
            <x v="72"/>
          </reference>
          <reference field="8" count="1" selected="0">
            <x v="250"/>
          </reference>
          <reference field="11" count="1" selected="0">
            <x v="3"/>
          </reference>
          <reference field="13" count="1" selected="0">
            <x v="17"/>
          </reference>
        </references>
      </pivotArea>
    </format>
    <format dxfId="3087">
      <pivotArea dataOnly="0" labelOnly="1" outline="0" fieldPosition="0">
        <references count="4">
          <reference field="5" count="3">
            <x v="39"/>
            <x v="56"/>
            <x v="60"/>
          </reference>
          <reference field="8" count="1" selected="0">
            <x v="250"/>
          </reference>
          <reference field="11" count="1" selected="0">
            <x v="3"/>
          </reference>
          <reference field="13" count="1" selected="0">
            <x v="32"/>
          </reference>
        </references>
      </pivotArea>
    </format>
    <format dxfId="3086">
      <pivotArea dataOnly="0" labelOnly="1" outline="0" fieldPosition="0">
        <references count="4">
          <reference field="5" count="1">
            <x v="72"/>
          </reference>
          <reference field="8" count="1" selected="0">
            <x v="250"/>
          </reference>
          <reference field="11" count="1" selected="0">
            <x v="3"/>
          </reference>
          <reference field="13" count="1" selected="0">
            <x v="57"/>
          </reference>
        </references>
      </pivotArea>
    </format>
    <format dxfId="3085">
      <pivotArea dataOnly="0" labelOnly="1" outline="0" fieldPosition="0">
        <references count="4">
          <reference field="5" count="1">
            <x v="72"/>
          </reference>
          <reference field="8" count="1" selected="0">
            <x v="250"/>
          </reference>
          <reference field="11" count="1" selected="0">
            <x v="3"/>
          </reference>
          <reference field="13" count="1" selected="0">
            <x v="287"/>
          </reference>
        </references>
      </pivotArea>
    </format>
    <format dxfId="3084">
      <pivotArea dataOnly="0" labelOnly="1" outline="0" fieldPosition="0">
        <references count="4">
          <reference field="5" count="3">
            <x v="56"/>
            <x v="60"/>
            <x v="72"/>
          </reference>
          <reference field="8" count="1" selected="0">
            <x v="250"/>
          </reference>
          <reference field="11" count="1" selected="0">
            <x v="3"/>
          </reference>
          <reference field="13" count="1" selected="0">
            <x v="305"/>
          </reference>
        </references>
      </pivotArea>
    </format>
    <format dxfId="3083">
      <pivotArea dataOnly="0" labelOnly="1" outline="0" fieldPosition="0">
        <references count="4">
          <reference field="5" count="1">
            <x v="86"/>
          </reference>
          <reference field="8" count="1" selected="0">
            <x v="251"/>
          </reference>
          <reference field="11" count="1" selected="0">
            <x v="2"/>
          </reference>
          <reference field="13" count="1" selected="0">
            <x v="35"/>
          </reference>
        </references>
      </pivotArea>
    </format>
    <format dxfId="3082">
      <pivotArea dataOnly="0" labelOnly="1" outline="0" fieldPosition="0">
        <references count="4">
          <reference field="5" count="1">
            <x v="86"/>
          </reference>
          <reference field="8" count="1" selected="0">
            <x v="251"/>
          </reference>
          <reference field="11" count="1" selected="0">
            <x v="2"/>
          </reference>
          <reference field="13" count="1" selected="0">
            <x v="52"/>
          </reference>
        </references>
      </pivotArea>
    </format>
    <format dxfId="3081">
      <pivotArea dataOnly="0" labelOnly="1" outline="0" fieldPosition="0">
        <references count="4">
          <reference field="5" count="1">
            <x v="86"/>
          </reference>
          <reference field="8" count="1" selected="0">
            <x v="251"/>
          </reference>
          <reference field="11" count="1" selected="0">
            <x v="3"/>
          </reference>
          <reference field="13" count="1" selected="0">
            <x v="7"/>
          </reference>
        </references>
      </pivotArea>
    </format>
    <format dxfId="3080">
      <pivotArea dataOnly="0" labelOnly="1" outline="0" fieldPosition="0">
        <references count="4">
          <reference field="5" count="1">
            <x v="86"/>
          </reference>
          <reference field="8" count="1" selected="0">
            <x v="251"/>
          </reference>
          <reference field="11" count="1" selected="0">
            <x v="3"/>
          </reference>
          <reference field="13" count="1" selected="0">
            <x v="57"/>
          </reference>
        </references>
      </pivotArea>
    </format>
    <format dxfId="3079">
      <pivotArea dataOnly="0" labelOnly="1" outline="0" fieldPosition="0">
        <references count="4">
          <reference field="5" count="1">
            <x v="86"/>
          </reference>
          <reference field="8" count="1" selected="0">
            <x v="251"/>
          </reference>
          <reference field="11" count="1" selected="0">
            <x v="3"/>
          </reference>
          <reference field="13" count="1" selected="0">
            <x v="69"/>
          </reference>
        </references>
      </pivotArea>
    </format>
    <format dxfId="3078">
      <pivotArea dataOnly="0" labelOnly="1" outline="0" fieldPosition="0">
        <references count="4">
          <reference field="5" count="1">
            <x v="86"/>
          </reference>
          <reference field="8" count="1" selected="0">
            <x v="251"/>
          </reference>
          <reference field="11" count="1" selected="0">
            <x v="3"/>
          </reference>
          <reference field="13" count="1" selected="0">
            <x v="105"/>
          </reference>
        </references>
      </pivotArea>
    </format>
    <format dxfId="3077">
      <pivotArea dataOnly="0" labelOnly="1" outline="0" fieldPosition="0">
        <references count="4">
          <reference field="5" count="1">
            <x v="86"/>
          </reference>
          <reference field="8" count="1" selected="0">
            <x v="251"/>
          </reference>
          <reference field="11" count="1" selected="0">
            <x v="3"/>
          </reference>
          <reference field="13" count="1" selected="0">
            <x v="240"/>
          </reference>
        </references>
      </pivotArea>
    </format>
    <format dxfId="3076">
      <pivotArea dataOnly="0" labelOnly="1" outline="0" fieldPosition="0">
        <references count="4">
          <reference field="5" count="1">
            <x v="86"/>
          </reference>
          <reference field="8" count="1" selected="0">
            <x v="251"/>
          </reference>
          <reference field="11" count="1" selected="0">
            <x v="3"/>
          </reference>
          <reference field="13" count="1" selected="0">
            <x v="287"/>
          </reference>
        </references>
      </pivotArea>
    </format>
    <format dxfId="3075">
      <pivotArea dataOnly="0" labelOnly="1" outline="0" fieldPosition="0">
        <references count="4">
          <reference field="5" count="1">
            <x v="86"/>
          </reference>
          <reference field="8" count="1" selected="0">
            <x v="251"/>
          </reference>
          <reference field="11" count="1" selected="0">
            <x v="4"/>
          </reference>
          <reference field="13" count="1" selected="0">
            <x v="133"/>
          </reference>
        </references>
      </pivotArea>
    </format>
    <format dxfId="3074">
      <pivotArea dataOnly="0" labelOnly="1" outline="0" fieldPosition="0">
        <references count="4">
          <reference field="5" count="1">
            <x v="86"/>
          </reference>
          <reference field="8" count="1" selected="0">
            <x v="251"/>
          </reference>
          <reference field="11" count="1" selected="0">
            <x v="5"/>
          </reference>
          <reference field="13" count="1" selected="0">
            <x v="77"/>
          </reference>
        </references>
      </pivotArea>
    </format>
    <format dxfId="3073">
      <pivotArea dataOnly="0" labelOnly="1" outline="0" fieldPosition="0">
        <references count="4">
          <reference field="5" count="1">
            <x v="86"/>
          </reference>
          <reference field="8" count="1" selected="0">
            <x v="251"/>
          </reference>
          <reference field="11" count="1" selected="0">
            <x v="5"/>
          </reference>
          <reference field="13" count="1" selected="0">
            <x v="81"/>
          </reference>
        </references>
      </pivotArea>
    </format>
    <format dxfId="3072">
      <pivotArea dataOnly="0" labelOnly="1" outline="0" fieldPosition="0">
        <references count="4">
          <reference field="5" count="1">
            <x v="86"/>
          </reference>
          <reference field="8" count="1" selected="0">
            <x v="251"/>
          </reference>
          <reference field="11" count="1" selected="0">
            <x v="7"/>
          </reference>
          <reference field="13" count="1" selected="0">
            <x v="72"/>
          </reference>
        </references>
      </pivotArea>
    </format>
    <format dxfId="3071">
      <pivotArea dataOnly="0" labelOnly="1" outline="0" fieldPosition="0">
        <references count="4">
          <reference field="5" count="2">
            <x v="115"/>
            <x v="116"/>
          </reference>
          <reference field="8" count="1" selected="0">
            <x v="252"/>
          </reference>
          <reference field="11" count="1" selected="0">
            <x v="0"/>
          </reference>
          <reference field="13" count="1" selected="0">
            <x v="53"/>
          </reference>
        </references>
      </pivotArea>
    </format>
    <format dxfId="3070">
      <pivotArea dataOnly="0" labelOnly="1" outline="0" fieldPosition="0">
        <references count="4">
          <reference field="5" count="2">
            <x v="116"/>
            <x v="117"/>
          </reference>
          <reference field="8" count="1" selected="0">
            <x v="252"/>
          </reference>
          <reference field="11" count="1" selected="0">
            <x v="3"/>
          </reference>
          <reference field="13" count="1" selected="0">
            <x v="29"/>
          </reference>
        </references>
      </pivotArea>
    </format>
    <format dxfId="3069">
      <pivotArea dataOnly="0" labelOnly="1" outline="0" fieldPosition="0">
        <references count="4">
          <reference field="5" count="1">
            <x v="117"/>
          </reference>
          <reference field="8" count="1" selected="0">
            <x v="252"/>
          </reference>
          <reference field="11" count="1" selected="0">
            <x v="3"/>
          </reference>
          <reference field="13" count="1" selected="0">
            <x v="218"/>
          </reference>
        </references>
      </pivotArea>
    </format>
    <format dxfId="3068">
      <pivotArea dataOnly="0" labelOnly="1" outline="0" fieldPosition="0">
        <references count="4">
          <reference field="5" count="1">
            <x v="97"/>
          </reference>
          <reference field="8" count="1" selected="0">
            <x v="252"/>
          </reference>
          <reference field="11" count="1" selected="0">
            <x v="3"/>
          </reference>
          <reference field="13" count="1" selected="0">
            <x v="242"/>
          </reference>
        </references>
      </pivotArea>
    </format>
    <format dxfId="3067">
      <pivotArea dataOnly="0" labelOnly="1" outline="0" fieldPosition="0">
        <references count="4">
          <reference field="5" count="1">
            <x v="117"/>
          </reference>
          <reference field="8" count="1" selected="0">
            <x v="252"/>
          </reference>
          <reference field="11" count="1" selected="0">
            <x v="3"/>
          </reference>
          <reference field="13" count="1" selected="0">
            <x v="314"/>
          </reference>
        </references>
      </pivotArea>
    </format>
    <format dxfId="3066">
      <pivotArea dataOnly="0" labelOnly="1" outline="0" fieldPosition="0">
        <references count="4">
          <reference field="5" count="2">
            <x v="95"/>
            <x v="116"/>
          </reference>
          <reference field="8" count="1" selected="0">
            <x v="252"/>
          </reference>
          <reference field="11" count="1" selected="0">
            <x v="5"/>
          </reference>
          <reference field="13" count="1" selected="0">
            <x v="77"/>
          </reference>
        </references>
      </pivotArea>
    </format>
    <format dxfId="3065">
      <pivotArea dataOnly="0" labelOnly="1" outline="0" fieldPosition="0">
        <references count="4">
          <reference field="5" count="1">
            <x v="2"/>
          </reference>
          <reference field="8" count="1" selected="0">
            <x v="252"/>
          </reference>
          <reference field="11" count="1" selected="0">
            <x v="5"/>
          </reference>
          <reference field="13" count="1" selected="0">
            <x v="274"/>
          </reference>
        </references>
      </pivotArea>
    </format>
    <format dxfId="3064">
      <pivotArea dataOnly="0" labelOnly="1" outline="0" fieldPosition="0">
        <references count="4">
          <reference field="5" count="1">
            <x v="2"/>
          </reference>
          <reference field="8" count="1" selected="0">
            <x v="252"/>
          </reference>
          <reference field="11" count="1" selected="0">
            <x v="6"/>
          </reference>
          <reference field="13" count="1" selected="0">
            <x v="191"/>
          </reference>
        </references>
      </pivotArea>
    </format>
    <format dxfId="3063">
      <pivotArea dataOnly="0" labelOnly="1" outline="0" fieldPosition="0">
        <references count="4">
          <reference field="5" count="1">
            <x v="2"/>
          </reference>
          <reference field="8" count="1" selected="0">
            <x v="252"/>
          </reference>
          <reference field="11" count="1" selected="0">
            <x v="6"/>
          </reference>
          <reference field="13" count="1" selected="0">
            <x v="199"/>
          </reference>
        </references>
      </pivotArea>
    </format>
    <format dxfId="3062">
      <pivotArea dataOnly="0" labelOnly="1" outline="0" fieldPosition="0">
        <references count="4">
          <reference field="5" count="1">
            <x v="97"/>
          </reference>
          <reference field="8" count="1" selected="0">
            <x v="252"/>
          </reference>
          <reference field="11" count="1" selected="0">
            <x v="7"/>
          </reference>
          <reference field="13" count="1" selected="0">
            <x v="8"/>
          </reference>
        </references>
      </pivotArea>
    </format>
    <format dxfId="3061">
      <pivotArea dataOnly="0" labelOnly="1" outline="0" fieldPosition="0">
        <references count="4">
          <reference field="5" count="1">
            <x v="97"/>
          </reference>
          <reference field="8" count="1" selected="0">
            <x v="252"/>
          </reference>
          <reference field="11" count="1" selected="0">
            <x v="7"/>
          </reference>
          <reference field="13" count="1" selected="0">
            <x v="308"/>
          </reference>
        </references>
      </pivotArea>
    </format>
    <format dxfId="3060">
      <pivotArea dataOnly="0" labelOnly="1" outline="0" fieldPosition="0">
        <references count="4">
          <reference field="5" count="1">
            <x v="86"/>
          </reference>
          <reference field="8" count="1" selected="0">
            <x v="253"/>
          </reference>
          <reference field="11" count="1" selected="0">
            <x v="2"/>
          </reference>
          <reference field="13" count="1" selected="0">
            <x v="5"/>
          </reference>
        </references>
      </pivotArea>
    </format>
    <format dxfId="3059">
      <pivotArea dataOnly="0" labelOnly="1" outline="0" fieldPosition="0">
        <references count="4">
          <reference field="5" count="3">
            <x v="85"/>
            <x v="86"/>
            <x v="87"/>
          </reference>
          <reference field="8" count="1" selected="0">
            <x v="253"/>
          </reference>
          <reference field="11" count="1" selected="0">
            <x v="2"/>
          </reference>
          <reference field="13" count="1" selected="0">
            <x v="10"/>
          </reference>
        </references>
      </pivotArea>
    </format>
    <format dxfId="3058">
      <pivotArea dataOnly="0" labelOnly="1" outline="0" fieldPosition="0">
        <references count="4">
          <reference field="5" count="5">
            <x v="85"/>
            <x v="86"/>
            <x v="87"/>
            <x v="89"/>
            <x v="91"/>
          </reference>
          <reference field="8" count="1" selected="0">
            <x v="253"/>
          </reference>
          <reference field="11" count="1" selected="0">
            <x v="2"/>
          </reference>
          <reference field="13" count="1" selected="0">
            <x v="18"/>
          </reference>
        </references>
      </pivotArea>
    </format>
    <format dxfId="3057">
      <pivotArea dataOnly="0" labelOnly="1" outline="0" fieldPosition="0">
        <references count="4">
          <reference field="5" count="6">
            <x v="85"/>
            <x v="86"/>
            <x v="87"/>
            <x v="89"/>
            <x v="91"/>
            <x v="114"/>
          </reference>
          <reference field="8" count="1" selected="0">
            <x v="253"/>
          </reference>
          <reference field="11" count="1" selected="0">
            <x v="2"/>
          </reference>
          <reference field="13" count="1" selected="0">
            <x v="21"/>
          </reference>
        </references>
      </pivotArea>
    </format>
    <format dxfId="3056">
      <pivotArea dataOnly="0" labelOnly="1" outline="0" fieldPosition="0">
        <references count="4">
          <reference field="5" count="2">
            <x v="87"/>
            <x v="114"/>
          </reference>
          <reference field="8" count="1" selected="0">
            <x v="253"/>
          </reference>
          <reference field="11" count="1" selected="0">
            <x v="2"/>
          </reference>
          <reference field="13" count="1" selected="0">
            <x v="23"/>
          </reference>
        </references>
      </pivotArea>
    </format>
    <format dxfId="3055">
      <pivotArea dataOnly="0" labelOnly="1" outline="0" fieldPosition="0">
        <references count="4">
          <reference field="5" count="1">
            <x v="86"/>
          </reference>
          <reference field="8" count="1" selected="0">
            <x v="253"/>
          </reference>
          <reference field="11" count="1" selected="0">
            <x v="2"/>
          </reference>
          <reference field="13" count="1" selected="0">
            <x v="28"/>
          </reference>
        </references>
      </pivotArea>
    </format>
    <format dxfId="3054">
      <pivotArea dataOnly="0" labelOnly="1" outline="0" fieldPosition="0">
        <references count="4">
          <reference field="5" count="6">
            <x v="85"/>
            <x v="86"/>
            <x v="87"/>
            <x v="88"/>
            <x v="91"/>
            <x v="114"/>
          </reference>
          <reference field="8" count="1" selected="0">
            <x v="253"/>
          </reference>
          <reference field="11" count="1" selected="0">
            <x v="2"/>
          </reference>
          <reference field="13" count="1" selected="0">
            <x v="35"/>
          </reference>
        </references>
      </pivotArea>
    </format>
    <format dxfId="3053">
      <pivotArea dataOnly="0" labelOnly="1" outline="0" fieldPosition="0">
        <references count="4">
          <reference field="5" count="4">
            <x v="85"/>
            <x v="86"/>
            <x v="91"/>
            <x v="114"/>
          </reference>
          <reference field="8" count="1" selected="0">
            <x v="253"/>
          </reference>
          <reference field="11" count="1" selected="0">
            <x v="2"/>
          </reference>
          <reference field="13" count="1" selected="0">
            <x v="38"/>
          </reference>
        </references>
      </pivotArea>
    </format>
    <format dxfId="3052">
      <pivotArea dataOnly="0" labelOnly="1" outline="0" fieldPosition="0">
        <references count="4">
          <reference field="5" count="5">
            <x v="85"/>
            <x v="86"/>
            <x v="87"/>
            <x v="88"/>
            <x v="114"/>
          </reference>
          <reference field="8" count="1" selected="0">
            <x v="253"/>
          </reference>
          <reference field="11" count="1" selected="0">
            <x v="2"/>
          </reference>
          <reference field="13" count="1" selected="0">
            <x v="44"/>
          </reference>
        </references>
      </pivotArea>
    </format>
    <format dxfId="3051">
      <pivotArea dataOnly="0" labelOnly="1" outline="0" fieldPosition="0">
        <references count="4">
          <reference field="5" count="5">
            <x v="85"/>
            <x v="86"/>
            <x v="87"/>
            <x v="91"/>
            <x v="114"/>
          </reference>
          <reference field="8" count="1" selected="0">
            <x v="253"/>
          </reference>
          <reference field="11" count="1" selected="0">
            <x v="2"/>
          </reference>
          <reference field="13" count="1" selected="0">
            <x v="50"/>
          </reference>
        </references>
      </pivotArea>
    </format>
    <format dxfId="3050">
      <pivotArea dataOnly="0" labelOnly="1" outline="0" fieldPosition="0">
        <references count="4">
          <reference field="5" count="7">
            <x v="85"/>
            <x v="86"/>
            <x v="87"/>
            <x v="88"/>
            <x v="89"/>
            <x v="91"/>
            <x v="114"/>
          </reference>
          <reference field="8" count="1" selected="0">
            <x v="253"/>
          </reference>
          <reference field="11" count="1" selected="0">
            <x v="2"/>
          </reference>
          <reference field="13" count="1" selected="0">
            <x v="52"/>
          </reference>
        </references>
      </pivotArea>
    </format>
    <format dxfId="3049">
      <pivotArea dataOnly="0" labelOnly="1" outline="0" fieldPosition="0">
        <references count="4">
          <reference field="5" count="4">
            <x v="86"/>
            <x v="87"/>
            <x v="91"/>
            <x v="114"/>
          </reference>
          <reference field="8" count="1" selected="0">
            <x v="253"/>
          </reference>
          <reference field="11" count="1" selected="0">
            <x v="2"/>
          </reference>
          <reference field="13" count="1" selected="0">
            <x v="55"/>
          </reference>
        </references>
      </pivotArea>
    </format>
    <format dxfId="3048">
      <pivotArea dataOnly="0" labelOnly="1" outline="0" fieldPosition="0">
        <references count="4">
          <reference field="5" count="4">
            <x v="85"/>
            <x v="86"/>
            <x v="87"/>
            <x v="114"/>
          </reference>
          <reference field="8" count="1" selected="0">
            <x v="253"/>
          </reference>
          <reference field="11" count="1" selected="0">
            <x v="2"/>
          </reference>
          <reference field="13" count="1" selected="0">
            <x v="60"/>
          </reference>
        </references>
      </pivotArea>
    </format>
    <format dxfId="3047">
      <pivotArea dataOnly="0" labelOnly="1" outline="0" fieldPosition="0">
        <references count="4">
          <reference field="5" count="5">
            <x v="85"/>
            <x v="86"/>
            <x v="87"/>
            <x v="91"/>
            <x v="114"/>
          </reference>
          <reference field="8" count="1" selected="0">
            <x v="253"/>
          </reference>
          <reference field="11" count="1" selected="0">
            <x v="2"/>
          </reference>
          <reference field="13" count="1" selected="0">
            <x v="66"/>
          </reference>
        </references>
      </pivotArea>
    </format>
    <format dxfId="3046">
      <pivotArea dataOnly="0" labelOnly="1" outline="0" fieldPosition="0">
        <references count="4">
          <reference field="5" count="5">
            <x v="85"/>
            <x v="86"/>
            <x v="87"/>
            <x v="91"/>
            <x v="114"/>
          </reference>
          <reference field="8" count="1" selected="0">
            <x v="253"/>
          </reference>
          <reference field="11" count="1" selected="0">
            <x v="2"/>
          </reference>
          <reference field="13" count="1" selected="0">
            <x v="71"/>
          </reference>
        </references>
      </pivotArea>
    </format>
    <format dxfId="3045">
      <pivotArea dataOnly="0" labelOnly="1" outline="0" fieldPosition="0">
        <references count="4">
          <reference field="5" count="1">
            <x v="85"/>
          </reference>
          <reference field="8" count="1" selected="0">
            <x v="253"/>
          </reference>
          <reference field="11" count="1" selected="0">
            <x v="2"/>
          </reference>
          <reference field="13" count="1" selected="0">
            <x v="76"/>
          </reference>
        </references>
      </pivotArea>
    </format>
    <format dxfId="3044">
      <pivotArea dataOnly="0" labelOnly="1" outline="0" fieldPosition="0">
        <references count="4">
          <reference field="5" count="1">
            <x v="114"/>
          </reference>
          <reference field="8" count="1" selected="0">
            <x v="253"/>
          </reference>
          <reference field="11" count="1" selected="0">
            <x v="2"/>
          </reference>
          <reference field="13" count="1" selected="0">
            <x v="128"/>
          </reference>
        </references>
      </pivotArea>
    </format>
    <format dxfId="3043">
      <pivotArea dataOnly="0" labelOnly="1" outline="0" fieldPosition="0">
        <references count="4">
          <reference field="5" count="3">
            <x v="85"/>
            <x v="86"/>
            <x v="88"/>
          </reference>
          <reference field="8" count="1" selected="0">
            <x v="253"/>
          </reference>
          <reference field="11" count="1" selected="0">
            <x v="2"/>
          </reference>
          <reference field="13" count="1" selected="0">
            <x v="144"/>
          </reference>
        </references>
      </pivotArea>
    </format>
    <format dxfId="3042">
      <pivotArea dataOnly="0" labelOnly="1" outline="0" fieldPosition="0">
        <references count="4">
          <reference field="5" count="1">
            <x v="86"/>
          </reference>
          <reference field="8" count="1" selected="0">
            <x v="253"/>
          </reference>
          <reference field="11" count="1" selected="0">
            <x v="2"/>
          </reference>
          <reference field="13" count="1" selected="0">
            <x v="152"/>
          </reference>
        </references>
      </pivotArea>
    </format>
    <format dxfId="3041">
      <pivotArea dataOnly="0" labelOnly="1" outline="0" fieldPosition="0">
        <references count="4">
          <reference field="5" count="7">
            <x v="85"/>
            <x v="86"/>
            <x v="87"/>
            <x v="88"/>
            <x v="89"/>
            <x v="91"/>
            <x v="114"/>
          </reference>
          <reference field="8" count="1" selected="0">
            <x v="253"/>
          </reference>
          <reference field="11" count="1" selected="0">
            <x v="2"/>
          </reference>
          <reference field="13" count="1" selected="0">
            <x v="153"/>
          </reference>
        </references>
      </pivotArea>
    </format>
    <format dxfId="3040">
      <pivotArea dataOnly="0" labelOnly="1" outline="0" fieldPosition="0">
        <references count="4">
          <reference field="5" count="6">
            <x v="86"/>
            <x v="87"/>
            <x v="88"/>
            <x v="89"/>
            <x v="91"/>
            <x v="114"/>
          </reference>
          <reference field="8" count="1" selected="0">
            <x v="253"/>
          </reference>
          <reference field="11" count="1" selected="0">
            <x v="2"/>
          </reference>
          <reference field="13" count="1" selected="0">
            <x v="173"/>
          </reference>
        </references>
      </pivotArea>
    </format>
    <format dxfId="3039">
      <pivotArea dataOnly="0" labelOnly="1" outline="0" fieldPosition="0">
        <references count="4">
          <reference field="5" count="3">
            <x v="86"/>
            <x v="88"/>
            <x v="114"/>
          </reference>
          <reference field="8" count="1" selected="0">
            <x v="253"/>
          </reference>
          <reference field="11" count="1" selected="0">
            <x v="2"/>
          </reference>
          <reference field="13" count="1" selected="0">
            <x v="190"/>
          </reference>
        </references>
      </pivotArea>
    </format>
    <format dxfId="3038">
      <pivotArea dataOnly="0" labelOnly="1" outline="0" fieldPosition="0">
        <references count="4">
          <reference field="5" count="4">
            <x v="85"/>
            <x v="89"/>
            <x v="91"/>
            <x v="114"/>
          </reference>
          <reference field="8" count="1" selected="0">
            <x v="253"/>
          </reference>
          <reference field="11" count="1" selected="0">
            <x v="2"/>
          </reference>
          <reference field="13" count="1" selected="0">
            <x v="204"/>
          </reference>
        </references>
      </pivotArea>
    </format>
    <format dxfId="3037">
      <pivotArea dataOnly="0" labelOnly="1" outline="0" fieldPosition="0">
        <references count="4">
          <reference field="5" count="5">
            <x v="85"/>
            <x v="86"/>
            <x v="87"/>
            <x v="89"/>
            <x v="91"/>
          </reference>
          <reference field="8" count="1" selected="0">
            <x v="253"/>
          </reference>
          <reference field="11" count="1" selected="0">
            <x v="2"/>
          </reference>
          <reference field="13" count="1" selected="0">
            <x v="205"/>
          </reference>
        </references>
      </pivotArea>
    </format>
    <format dxfId="3036">
      <pivotArea dataOnly="0" labelOnly="1" outline="0" fieldPosition="0">
        <references count="4">
          <reference field="5" count="4">
            <x v="85"/>
            <x v="86"/>
            <x v="87"/>
            <x v="88"/>
          </reference>
          <reference field="8" count="1" selected="0">
            <x v="253"/>
          </reference>
          <reference field="11" count="1" selected="0">
            <x v="2"/>
          </reference>
          <reference field="13" count="1" selected="0">
            <x v="232"/>
          </reference>
        </references>
      </pivotArea>
    </format>
    <format dxfId="3035">
      <pivotArea dataOnly="0" labelOnly="1" outline="0" fieldPosition="0">
        <references count="4">
          <reference field="5" count="1">
            <x v="86"/>
          </reference>
          <reference field="8" count="1" selected="0">
            <x v="253"/>
          </reference>
          <reference field="11" count="1" selected="0">
            <x v="2"/>
          </reference>
          <reference field="13" count="1" selected="0">
            <x v="234"/>
          </reference>
        </references>
      </pivotArea>
    </format>
    <format dxfId="3034">
      <pivotArea dataOnly="0" labelOnly="1" outline="0" fieldPosition="0">
        <references count="4">
          <reference field="5" count="2">
            <x v="85"/>
            <x v="88"/>
          </reference>
          <reference field="8" count="1" selected="0">
            <x v="253"/>
          </reference>
          <reference field="11" count="1" selected="0">
            <x v="2"/>
          </reference>
          <reference field="13" count="1" selected="0">
            <x v="235"/>
          </reference>
        </references>
      </pivotArea>
    </format>
    <format dxfId="3033">
      <pivotArea dataOnly="0" labelOnly="1" outline="0" fieldPosition="0">
        <references count="4">
          <reference field="5" count="7">
            <x v="85"/>
            <x v="86"/>
            <x v="87"/>
            <x v="88"/>
            <x v="89"/>
            <x v="91"/>
            <x v="114"/>
          </reference>
          <reference field="8" count="1" selected="0">
            <x v="253"/>
          </reference>
          <reference field="11" count="1" selected="0">
            <x v="2"/>
          </reference>
          <reference field="13" count="1" selected="0">
            <x v="238"/>
          </reference>
        </references>
      </pivotArea>
    </format>
    <format dxfId="3032">
      <pivotArea dataOnly="0" labelOnly="1" outline="0" fieldPosition="0">
        <references count="4">
          <reference field="5" count="1">
            <x v="91"/>
          </reference>
          <reference field="8" count="1" selected="0">
            <x v="253"/>
          </reference>
          <reference field="11" count="1" selected="0">
            <x v="2"/>
          </reference>
          <reference field="13" count="1" selected="0">
            <x v="249"/>
          </reference>
        </references>
      </pivotArea>
    </format>
    <format dxfId="3031">
      <pivotArea dataOnly="0" labelOnly="1" outline="0" fieldPosition="0">
        <references count="4">
          <reference field="5" count="7">
            <x v="85"/>
            <x v="86"/>
            <x v="87"/>
            <x v="88"/>
            <x v="89"/>
            <x v="91"/>
            <x v="114"/>
          </reference>
          <reference field="8" count="1" selected="0">
            <x v="253"/>
          </reference>
          <reference field="11" count="1" selected="0">
            <x v="2"/>
          </reference>
          <reference field="13" count="1" selected="0">
            <x v="263"/>
          </reference>
        </references>
      </pivotArea>
    </format>
    <format dxfId="3030">
      <pivotArea dataOnly="0" labelOnly="1" outline="0" fieldPosition="0">
        <references count="4">
          <reference field="5" count="5">
            <x v="86"/>
            <x v="87"/>
            <x v="88"/>
            <x v="91"/>
            <x v="114"/>
          </reference>
          <reference field="8" count="1" selected="0">
            <x v="253"/>
          </reference>
          <reference field="11" count="1" selected="0">
            <x v="2"/>
          </reference>
          <reference field="13" count="1" selected="0">
            <x v="265"/>
          </reference>
        </references>
      </pivotArea>
    </format>
    <format dxfId="3029">
      <pivotArea dataOnly="0" labelOnly="1" outline="0" fieldPosition="0">
        <references count="4">
          <reference field="5" count="6">
            <x v="85"/>
            <x v="86"/>
            <x v="88"/>
            <x v="89"/>
            <x v="91"/>
            <x v="114"/>
          </reference>
          <reference field="8" count="1" selected="0">
            <x v="253"/>
          </reference>
          <reference field="11" count="1" selected="0">
            <x v="2"/>
          </reference>
          <reference field="13" count="1" selected="0">
            <x v="279"/>
          </reference>
        </references>
      </pivotArea>
    </format>
    <format dxfId="3028">
      <pivotArea dataOnly="0" labelOnly="1" outline="0" fieldPosition="0">
        <references count="4">
          <reference field="5" count="1">
            <x v="86"/>
          </reference>
          <reference field="8" count="1" selected="0">
            <x v="253"/>
          </reference>
          <reference field="11" count="1" selected="0">
            <x v="2"/>
          </reference>
          <reference field="13" count="1" selected="0">
            <x v="282"/>
          </reference>
        </references>
      </pivotArea>
    </format>
    <format dxfId="3027">
      <pivotArea dataOnly="0" labelOnly="1" outline="0" fieldPosition="0">
        <references count="4">
          <reference field="5" count="1">
            <x v="86"/>
          </reference>
          <reference field="8" count="1" selected="0">
            <x v="253"/>
          </reference>
          <reference field="11" count="1" selected="0">
            <x v="2"/>
          </reference>
          <reference field="13" count="1" selected="0">
            <x v="284"/>
          </reference>
        </references>
      </pivotArea>
    </format>
    <format dxfId="3026">
      <pivotArea dataOnly="0" labelOnly="1" outline="0" fieldPosition="0">
        <references count="4">
          <reference field="5" count="4">
            <x v="85"/>
            <x v="86"/>
            <x v="91"/>
            <x v="114"/>
          </reference>
          <reference field="8" count="1" selected="0">
            <x v="253"/>
          </reference>
          <reference field="11" count="1" selected="0">
            <x v="2"/>
          </reference>
          <reference field="13" count="1" selected="0">
            <x v="285"/>
          </reference>
        </references>
      </pivotArea>
    </format>
    <format dxfId="3025">
      <pivotArea dataOnly="0" labelOnly="1" outline="0" fieldPosition="0">
        <references count="4">
          <reference field="5" count="1">
            <x v="86"/>
          </reference>
          <reference field="8" count="1" selected="0">
            <x v="253"/>
          </reference>
          <reference field="11" count="1" selected="0">
            <x v="2"/>
          </reference>
          <reference field="13" count="1" selected="0">
            <x v="310"/>
          </reference>
        </references>
      </pivotArea>
    </format>
    <format dxfId="3024">
      <pivotArea dataOnly="0" labelOnly="1" outline="0" fieldPosition="0">
        <references count="4">
          <reference field="5" count="2">
            <x v="88"/>
            <x v="114"/>
          </reference>
          <reference field="8" count="1" selected="0">
            <x v="253"/>
          </reference>
          <reference field="11" count="1" selected="0">
            <x v="3"/>
          </reference>
          <reference field="13" count="1" selected="0">
            <x v="4"/>
          </reference>
        </references>
      </pivotArea>
    </format>
    <format dxfId="3023">
      <pivotArea dataOnly="0" labelOnly="1" outline="0" fieldPosition="0">
        <references count="4">
          <reference field="5" count="5">
            <x v="86"/>
            <x v="87"/>
            <x v="88"/>
            <x v="91"/>
            <x v="114"/>
          </reference>
          <reference field="8" count="1" selected="0">
            <x v="253"/>
          </reference>
          <reference field="11" count="1" selected="0">
            <x v="3"/>
          </reference>
          <reference field="13" count="1" selected="0">
            <x v="7"/>
          </reference>
        </references>
      </pivotArea>
    </format>
    <format dxfId="3022">
      <pivotArea dataOnly="0" labelOnly="1" outline="0" fieldPosition="0">
        <references count="4">
          <reference field="5" count="2">
            <x v="88"/>
            <x v="114"/>
          </reference>
          <reference field="8" count="1" selected="0">
            <x v="253"/>
          </reference>
          <reference field="11" count="1" selected="0">
            <x v="3"/>
          </reference>
          <reference field="13" count="1" selected="0">
            <x v="17"/>
          </reference>
        </references>
      </pivotArea>
    </format>
    <format dxfId="3021">
      <pivotArea dataOnly="0" labelOnly="1" outline="0" fieldPosition="0">
        <references count="4">
          <reference field="5" count="6">
            <x v="85"/>
            <x v="86"/>
            <x v="87"/>
            <x v="88"/>
            <x v="91"/>
            <x v="114"/>
          </reference>
          <reference field="8" count="1" selected="0">
            <x v="253"/>
          </reference>
          <reference field="11" count="1" selected="0">
            <x v="3"/>
          </reference>
          <reference field="13" count="1" selected="0">
            <x v="32"/>
          </reference>
        </references>
      </pivotArea>
    </format>
    <format dxfId="3020">
      <pivotArea dataOnly="0" labelOnly="1" outline="0" fieldPosition="0">
        <references count="4">
          <reference field="5" count="1">
            <x v="87"/>
          </reference>
          <reference field="8" count="1" selected="0">
            <x v="253"/>
          </reference>
          <reference field="11" count="1" selected="0">
            <x v="3"/>
          </reference>
          <reference field="13" count="1" selected="0">
            <x v="47"/>
          </reference>
        </references>
      </pivotArea>
    </format>
    <format dxfId="3019">
      <pivotArea dataOnly="0" labelOnly="1" outline="0" fieldPosition="0">
        <references count="4">
          <reference field="5" count="3">
            <x v="86"/>
            <x v="91"/>
            <x v="114"/>
          </reference>
          <reference field="8" count="1" selected="0">
            <x v="253"/>
          </reference>
          <reference field="11" count="1" selected="0">
            <x v="3"/>
          </reference>
          <reference field="13" count="1" selected="0">
            <x v="57"/>
          </reference>
        </references>
      </pivotArea>
    </format>
    <format dxfId="3018">
      <pivotArea dataOnly="0" labelOnly="1" outline="0" fieldPosition="0">
        <references count="4">
          <reference field="5" count="7">
            <x v="85"/>
            <x v="86"/>
            <x v="87"/>
            <x v="88"/>
            <x v="89"/>
            <x v="91"/>
            <x v="114"/>
          </reference>
          <reference field="8" count="1" selected="0">
            <x v="253"/>
          </reference>
          <reference field="11" count="1" selected="0">
            <x v="3"/>
          </reference>
          <reference field="13" count="1" selected="0">
            <x v="69"/>
          </reference>
        </references>
      </pivotArea>
    </format>
    <format dxfId="3017">
      <pivotArea dataOnly="0" labelOnly="1" outline="0" fieldPosition="0">
        <references count="4">
          <reference field="5" count="1">
            <x v="114"/>
          </reference>
          <reference field="8" count="1" selected="0">
            <x v="253"/>
          </reference>
          <reference field="11" count="1" selected="0">
            <x v="3"/>
          </reference>
          <reference field="13" count="1" selected="0">
            <x v="78"/>
          </reference>
        </references>
      </pivotArea>
    </format>
    <format dxfId="3016">
      <pivotArea dataOnly="0" labelOnly="1" outline="0" fieldPosition="0">
        <references count="4">
          <reference field="5" count="5">
            <x v="86"/>
            <x v="87"/>
            <x v="88"/>
            <x v="91"/>
            <x v="114"/>
          </reference>
          <reference field="8" count="1" selected="0">
            <x v="253"/>
          </reference>
          <reference field="11" count="1" selected="0">
            <x v="3"/>
          </reference>
          <reference field="13" count="1" selected="0">
            <x v="89"/>
          </reference>
        </references>
      </pivotArea>
    </format>
    <format dxfId="3015">
      <pivotArea dataOnly="0" labelOnly="1" outline="0" fieldPosition="0">
        <references count="4">
          <reference field="5" count="1">
            <x v="86"/>
          </reference>
          <reference field="8" count="1" selected="0">
            <x v="253"/>
          </reference>
          <reference field="11" count="1" selected="0">
            <x v="3"/>
          </reference>
          <reference field="13" count="1" selected="0">
            <x v="101"/>
          </reference>
        </references>
      </pivotArea>
    </format>
    <format dxfId="3014">
      <pivotArea dataOnly="0" labelOnly="1" outline="0" fieldPosition="0">
        <references count="4">
          <reference field="5" count="5">
            <x v="86"/>
            <x v="87"/>
            <x v="88"/>
            <x v="91"/>
            <x v="114"/>
          </reference>
          <reference field="8" count="1" selected="0">
            <x v="253"/>
          </reference>
          <reference field="11" count="1" selected="0">
            <x v="3"/>
          </reference>
          <reference field="13" count="1" selected="0">
            <x v="105"/>
          </reference>
        </references>
      </pivotArea>
    </format>
    <format dxfId="3013">
      <pivotArea dataOnly="0" labelOnly="1" outline="0" fieldPosition="0">
        <references count="4">
          <reference field="5" count="4">
            <x v="87"/>
            <x v="88"/>
            <x v="89"/>
            <x v="114"/>
          </reference>
          <reference field="8" count="1" selected="0">
            <x v="253"/>
          </reference>
          <reference field="11" count="1" selected="0">
            <x v="3"/>
          </reference>
          <reference field="13" count="1" selected="0">
            <x v="110"/>
          </reference>
        </references>
      </pivotArea>
    </format>
    <format dxfId="3012">
      <pivotArea dataOnly="0" labelOnly="1" outline="0" fieldPosition="0">
        <references count="4">
          <reference field="5" count="3">
            <x v="86"/>
            <x v="88"/>
            <x v="114"/>
          </reference>
          <reference field="8" count="1" selected="0">
            <x v="253"/>
          </reference>
          <reference field="11" count="1" selected="0">
            <x v="3"/>
          </reference>
          <reference field="13" count="1" selected="0">
            <x v="131"/>
          </reference>
        </references>
      </pivotArea>
    </format>
    <format dxfId="3011">
      <pivotArea dataOnly="0" labelOnly="1" outline="0" fieldPosition="0">
        <references count="4">
          <reference field="5" count="2">
            <x v="88"/>
            <x v="114"/>
          </reference>
          <reference field="8" count="1" selected="0">
            <x v="253"/>
          </reference>
          <reference field="11" count="1" selected="0">
            <x v="3"/>
          </reference>
          <reference field="13" count="1" selected="0">
            <x v="134"/>
          </reference>
        </references>
      </pivotArea>
    </format>
    <format dxfId="3010">
      <pivotArea dataOnly="0" labelOnly="1" outline="0" fieldPosition="0">
        <references count="4">
          <reference field="5" count="1">
            <x v="86"/>
          </reference>
          <reference field="8" count="1" selected="0">
            <x v="253"/>
          </reference>
          <reference field="11" count="1" selected="0">
            <x v="3"/>
          </reference>
          <reference field="13" count="1" selected="0">
            <x v="218"/>
          </reference>
        </references>
      </pivotArea>
    </format>
    <format dxfId="3009">
      <pivotArea dataOnly="0" labelOnly="1" outline="0" fieldPosition="0">
        <references count="4">
          <reference field="5" count="4">
            <x v="88"/>
            <x v="89"/>
            <x v="91"/>
            <x v="114"/>
          </reference>
          <reference field="8" count="1" selected="0">
            <x v="253"/>
          </reference>
          <reference field="11" count="1" selected="0">
            <x v="3"/>
          </reference>
          <reference field="13" count="1" selected="0">
            <x v="240"/>
          </reference>
        </references>
      </pivotArea>
    </format>
    <format dxfId="3008">
      <pivotArea dataOnly="0" labelOnly="1" outline="0" fieldPosition="0">
        <references count="4">
          <reference field="5" count="1">
            <x v="114"/>
          </reference>
          <reference field="8" count="1" selected="0">
            <x v="253"/>
          </reference>
          <reference field="11" count="1" selected="0">
            <x v="3"/>
          </reference>
          <reference field="13" count="1" selected="0">
            <x v="242"/>
          </reference>
        </references>
      </pivotArea>
    </format>
    <format dxfId="3007">
      <pivotArea dataOnly="0" labelOnly="1" outline="0" fieldPosition="0">
        <references count="4">
          <reference field="5" count="1">
            <x v="114"/>
          </reference>
          <reference field="8" count="1" selected="0">
            <x v="253"/>
          </reference>
          <reference field="11" count="1" selected="0">
            <x v="3"/>
          </reference>
          <reference field="13" count="1" selected="0">
            <x v="243"/>
          </reference>
        </references>
      </pivotArea>
    </format>
    <format dxfId="3006">
      <pivotArea dataOnly="0" labelOnly="1" outline="0" fieldPosition="0">
        <references count="4">
          <reference field="5" count="3">
            <x v="88"/>
            <x v="89"/>
            <x v="114"/>
          </reference>
          <reference field="8" count="1" selected="0">
            <x v="253"/>
          </reference>
          <reference field="11" count="1" selected="0">
            <x v="3"/>
          </reference>
          <reference field="13" count="1" selected="0">
            <x v="251"/>
          </reference>
        </references>
      </pivotArea>
    </format>
    <format dxfId="3005">
      <pivotArea dataOnly="0" labelOnly="1" outline="0" fieldPosition="0">
        <references count="4">
          <reference field="5" count="6">
            <x v="85"/>
            <x v="86"/>
            <x v="87"/>
            <x v="88"/>
            <x v="89"/>
            <x v="114"/>
          </reference>
          <reference field="8" count="1" selected="0">
            <x v="253"/>
          </reference>
          <reference field="11" count="1" selected="0">
            <x v="3"/>
          </reference>
          <reference field="13" count="1" selected="0">
            <x v="287"/>
          </reference>
        </references>
      </pivotArea>
    </format>
    <format dxfId="3004">
      <pivotArea dataOnly="0" labelOnly="1" outline="0" fieldPosition="0">
        <references count="4">
          <reference field="5" count="3">
            <x v="87"/>
            <x v="88"/>
            <x v="114"/>
          </reference>
          <reference field="8" count="1" selected="0">
            <x v="253"/>
          </reference>
          <reference field="11" count="1" selected="0">
            <x v="3"/>
          </reference>
          <reference field="13" count="1" selected="0">
            <x v="305"/>
          </reference>
        </references>
      </pivotArea>
    </format>
    <format dxfId="3003">
      <pivotArea dataOnly="0" labelOnly="1" outline="0" fieldPosition="0">
        <references count="4">
          <reference field="5" count="1">
            <x v="114"/>
          </reference>
          <reference field="8" count="1" selected="0">
            <x v="253"/>
          </reference>
          <reference field="11" count="1" selected="0">
            <x v="3"/>
          </reference>
          <reference field="13" count="1" selected="0">
            <x v="314"/>
          </reference>
        </references>
      </pivotArea>
    </format>
    <format dxfId="3002">
      <pivotArea dataOnly="0" labelOnly="1" outline="0" fieldPosition="0">
        <references count="4">
          <reference field="5" count="7">
            <x v="85"/>
            <x v="86"/>
            <x v="87"/>
            <x v="88"/>
            <x v="89"/>
            <x v="91"/>
            <x v="114"/>
          </reference>
          <reference field="8" count="1" selected="0">
            <x v="253"/>
          </reference>
          <reference field="11" count="1" selected="0">
            <x v="4"/>
          </reference>
          <reference field="13" count="1" selected="0">
            <x v="133"/>
          </reference>
        </references>
      </pivotArea>
    </format>
    <format dxfId="3001">
      <pivotArea dataOnly="0" labelOnly="1" outline="0" fieldPosition="0">
        <references count="4">
          <reference field="5" count="8">
            <x v="85"/>
            <x v="86"/>
            <x v="87"/>
            <x v="88"/>
            <x v="89"/>
            <x v="90"/>
            <x v="91"/>
            <x v="114"/>
          </reference>
          <reference field="8" count="1" selected="0">
            <x v="253"/>
          </reference>
          <reference field="11" count="1" selected="0">
            <x v="4"/>
          </reference>
          <reference field="13" count="1" selected="0">
            <x v="150"/>
          </reference>
        </references>
      </pivotArea>
    </format>
    <format dxfId="3000">
      <pivotArea dataOnly="0" labelOnly="1" outline="0" fieldPosition="0">
        <references count="4">
          <reference field="5" count="1">
            <x v="114"/>
          </reference>
          <reference field="8" count="1" selected="0">
            <x v="253"/>
          </reference>
          <reference field="11" count="1" selected="0">
            <x v="4"/>
          </reference>
          <reference field="13" count="1" selected="0">
            <x v="280"/>
          </reference>
        </references>
      </pivotArea>
    </format>
    <format dxfId="2999">
      <pivotArea dataOnly="0" labelOnly="1" outline="0" fieldPosition="0">
        <references count="4">
          <reference field="5" count="7">
            <x v="85"/>
            <x v="86"/>
            <x v="87"/>
            <x v="88"/>
            <x v="89"/>
            <x v="91"/>
            <x v="114"/>
          </reference>
          <reference field="8" count="1" selected="0">
            <x v="253"/>
          </reference>
          <reference field="11" count="1" selected="0">
            <x v="5"/>
          </reference>
          <reference field="13" count="1" selected="0">
            <x v="77"/>
          </reference>
        </references>
      </pivotArea>
    </format>
    <format dxfId="2998">
      <pivotArea dataOnly="0" labelOnly="1" outline="0" fieldPosition="0">
        <references count="4">
          <reference field="5" count="7">
            <x v="85"/>
            <x v="86"/>
            <x v="87"/>
            <x v="88"/>
            <x v="89"/>
            <x v="91"/>
            <x v="114"/>
          </reference>
          <reference field="8" count="1" selected="0">
            <x v="253"/>
          </reference>
          <reference field="11" count="1" selected="0">
            <x v="5"/>
          </reference>
          <reference field="13" count="1" selected="0">
            <x v="81"/>
          </reference>
        </references>
      </pivotArea>
    </format>
    <format dxfId="2997">
      <pivotArea dataOnly="0" labelOnly="1" outline="0" fieldPosition="0">
        <references count="4">
          <reference field="5" count="5">
            <x v="85"/>
            <x v="86"/>
            <x v="88"/>
            <x v="89"/>
            <x v="114"/>
          </reference>
          <reference field="8" count="1" selected="0">
            <x v="253"/>
          </reference>
          <reference field="11" count="1" selected="0">
            <x v="5"/>
          </reference>
          <reference field="13" count="1" selected="0">
            <x v="255"/>
          </reference>
        </references>
      </pivotArea>
    </format>
    <format dxfId="2996">
      <pivotArea dataOnly="0" labelOnly="1" outline="0" fieldPosition="0">
        <references count="4">
          <reference field="5" count="1">
            <x v="114"/>
          </reference>
          <reference field="8" count="1" selected="0">
            <x v="253"/>
          </reference>
          <reference field="11" count="1" selected="0">
            <x v="7"/>
          </reference>
          <reference field="13" count="1" selected="0">
            <x v="2"/>
          </reference>
        </references>
      </pivotArea>
    </format>
    <format dxfId="2995">
      <pivotArea dataOnly="0" labelOnly="1" outline="0" fieldPosition="0">
        <references count="4">
          <reference field="5" count="1">
            <x v="114"/>
          </reference>
          <reference field="8" count="1" selected="0">
            <x v="253"/>
          </reference>
          <reference field="11" count="1" selected="0">
            <x v="7"/>
          </reference>
          <reference field="13" count="1" selected="0">
            <x v="72"/>
          </reference>
        </references>
      </pivotArea>
    </format>
    <format dxfId="2994">
      <pivotArea dataOnly="0" labelOnly="1" outline="0" fieldPosition="0">
        <references count="4">
          <reference field="5" count="1">
            <x v="114"/>
          </reference>
          <reference field="8" count="1" selected="0">
            <x v="253"/>
          </reference>
          <reference field="11" count="1" selected="0">
            <x v="7"/>
          </reference>
          <reference field="13" count="1" selected="0">
            <x v="93"/>
          </reference>
        </references>
      </pivotArea>
    </format>
    <format dxfId="2993">
      <pivotArea dataOnly="0" labelOnly="1" outline="0" fieldPosition="0">
        <references count="4">
          <reference field="5" count="1">
            <x v="114"/>
          </reference>
          <reference field="8" count="1" selected="0">
            <x v="253"/>
          </reference>
          <reference field="11" count="1" selected="0">
            <x v="7"/>
          </reference>
          <reference field="13" count="1" selected="0">
            <x v="129"/>
          </reference>
        </references>
      </pivotArea>
    </format>
    <format dxfId="2992">
      <pivotArea dataOnly="0" labelOnly="1" outline="0" fieldPosition="0">
        <references count="4">
          <reference field="5" count="2">
            <x v="64"/>
            <x v="104"/>
          </reference>
          <reference field="8" count="1" selected="0">
            <x v="254"/>
          </reference>
          <reference field="11" count="1" selected="0">
            <x v="1"/>
          </reference>
          <reference field="13" count="1" selected="0">
            <x v="121"/>
          </reference>
        </references>
      </pivotArea>
    </format>
    <format dxfId="2991">
      <pivotArea dataOnly="0" labelOnly="1" outline="0" fieldPosition="0">
        <references count="4">
          <reference field="5" count="1">
            <x v="64"/>
          </reference>
          <reference field="8" count="1" selected="0">
            <x v="254"/>
          </reference>
          <reference field="11" count="1" selected="0">
            <x v="1"/>
          </reference>
          <reference field="13" count="1" selected="0">
            <x v="169"/>
          </reference>
        </references>
      </pivotArea>
    </format>
    <format dxfId="2990">
      <pivotArea dataOnly="0" labelOnly="1" outline="0" fieldPosition="0">
        <references count="4">
          <reference field="5" count="1">
            <x v="104"/>
          </reference>
          <reference field="8" count="1" selected="0">
            <x v="254"/>
          </reference>
          <reference field="11" count="1" selected="0">
            <x v="3"/>
          </reference>
          <reference field="13" count="1" selected="0">
            <x v="17"/>
          </reference>
        </references>
      </pivotArea>
    </format>
    <format dxfId="2989">
      <pivotArea dataOnly="0" labelOnly="1" outline="0" fieldPosition="0">
        <references count="4">
          <reference field="5" count="1">
            <x v="114"/>
          </reference>
          <reference field="8" count="1" selected="0">
            <x v="255"/>
          </reference>
          <reference field="11" count="1" selected="0">
            <x v="2"/>
          </reference>
          <reference field="13" count="1" selected="0">
            <x v="35"/>
          </reference>
        </references>
      </pivotArea>
    </format>
    <format dxfId="2988">
      <pivotArea dataOnly="0" labelOnly="1" outline="0" fieldPosition="0">
        <references count="4">
          <reference field="5" count="1">
            <x v="114"/>
          </reference>
          <reference field="8" count="1" selected="0">
            <x v="255"/>
          </reference>
          <reference field="11" count="1" selected="0">
            <x v="2"/>
          </reference>
          <reference field="13" count="1" selected="0">
            <x v="205"/>
          </reference>
        </references>
      </pivotArea>
    </format>
    <format dxfId="2987">
      <pivotArea dataOnly="0" labelOnly="1" outline="0" fieldPosition="0">
        <references count="4">
          <reference field="5" count="1">
            <x v="114"/>
          </reference>
          <reference field="8" count="1" selected="0">
            <x v="255"/>
          </reference>
          <reference field="11" count="1" selected="0">
            <x v="2"/>
          </reference>
          <reference field="13" count="1" selected="0">
            <x v="238"/>
          </reference>
        </references>
      </pivotArea>
    </format>
    <format dxfId="2986">
      <pivotArea dataOnly="0" labelOnly="1" outline="0" fieldPosition="0">
        <references count="4">
          <reference field="5" count="1">
            <x v="114"/>
          </reference>
          <reference field="8" count="1" selected="0">
            <x v="255"/>
          </reference>
          <reference field="11" count="1" selected="0">
            <x v="3"/>
          </reference>
          <reference field="13" count="1" selected="0">
            <x v="4"/>
          </reference>
        </references>
      </pivotArea>
    </format>
    <format dxfId="2985">
      <pivotArea dataOnly="0" labelOnly="1" outline="0" fieldPosition="0">
        <references count="4">
          <reference field="5" count="1">
            <x v="114"/>
          </reference>
          <reference field="8" count="1" selected="0">
            <x v="255"/>
          </reference>
          <reference field="11" count="1" selected="0">
            <x v="3"/>
          </reference>
          <reference field="13" count="1" selected="0">
            <x v="7"/>
          </reference>
        </references>
      </pivotArea>
    </format>
    <format dxfId="2984">
      <pivotArea dataOnly="0" labelOnly="1" outline="0" fieldPosition="0">
        <references count="4">
          <reference field="5" count="1">
            <x v="114"/>
          </reference>
          <reference field="8" count="1" selected="0">
            <x v="255"/>
          </reference>
          <reference field="11" count="1" selected="0">
            <x v="3"/>
          </reference>
          <reference field="13" count="1" selected="0">
            <x v="32"/>
          </reference>
        </references>
      </pivotArea>
    </format>
    <format dxfId="2983">
      <pivotArea dataOnly="0" labelOnly="1" outline="0" fieldPosition="0">
        <references count="4">
          <reference field="5" count="1">
            <x v="114"/>
          </reference>
          <reference field="8" count="1" selected="0">
            <x v="255"/>
          </reference>
          <reference field="11" count="1" selected="0">
            <x v="3"/>
          </reference>
          <reference field="13" count="1" selected="0">
            <x v="57"/>
          </reference>
        </references>
      </pivotArea>
    </format>
    <format dxfId="2982">
      <pivotArea dataOnly="0" labelOnly="1" outline="0" fieldPosition="0">
        <references count="4">
          <reference field="5" count="1">
            <x v="114"/>
          </reference>
          <reference field="8" count="1" selected="0">
            <x v="255"/>
          </reference>
          <reference field="11" count="1" selected="0">
            <x v="3"/>
          </reference>
          <reference field="13" count="1" selected="0">
            <x v="69"/>
          </reference>
        </references>
      </pivotArea>
    </format>
    <format dxfId="2981">
      <pivotArea dataOnly="0" labelOnly="1" outline="0" fieldPosition="0">
        <references count="4">
          <reference field="5" count="1">
            <x v="114"/>
          </reference>
          <reference field="8" count="1" selected="0">
            <x v="255"/>
          </reference>
          <reference field="11" count="1" selected="0">
            <x v="3"/>
          </reference>
          <reference field="13" count="1" selected="0">
            <x v="89"/>
          </reference>
        </references>
      </pivotArea>
    </format>
    <format dxfId="2980">
      <pivotArea dataOnly="0" labelOnly="1" outline="0" fieldPosition="0">
        <references count="4">
          <reference field="5" count="1">
            <x v="114"/>
          </reference>
          <reference field="8" count="1" selected="0">
            <x v="255"/>
          </reference>
          <reference field="11" count="1" selected="0">
            <x v="3"/>
          </reference>
          <reference field="13" count="1" selected="0">
            <x v="105"/>
          </reference>
        </references>
      </pivotArea>
    </format>
    <format dxfId="2979">
      <pivotArea dataOnly="0" labelOnly="1" outline="0" fieldPosition="0">
        <references count="4">
          <reference field="5" count="1">
            <x v="114"/>
          </reference>
          <reference field="8" count="1" selected="0">
            <x v="255"/>
          </reference>
          <reference field="11" count="1" selected="0">
            <x v="3"/>
          </reference>
          <reference field="13" count="1" selected="0">
            <x v="240"/>
          </reference>
        </references>
      </pivotArea>
    </format>
    <format dxfId="2978">
      <pivotArea dataOnly="0" labelOnly="1" outline="0" fieldPosition="0">
        <references count="4">
          <reference field="5" count="1">
            <x v="114"/>
          </reference>
          <reference field="8" count="1" selected="0">
            <x v="255"/>
          </reference>
          <reference field="11" count="1" selected="0">
            <x v="3"/>
          </reference>
          <reference field="13" count="1" selected="0">
            <x v="287"/>
          </reference>
        </references>
      </pivotArea>
    </format>
    <format dxfId="2977">
      <pivotArea dataOnly="0" labelOnly="1" outline="0" fieldPosition="0">
        <references count="4">
          <reference field="5" count="1">
            <x v="114"/>
          </reference>
          <reference field="8" count="1" selected="0">
            <x v="255"/>
          </reference>
          <reference field="11" count="1" selected="0">
            <x v="3"/>
          </reference>
          <reference field="13" count="1" selected="0">
            <x v="314"/>
          </reference>
        </references>
      </pivotArea>
    </format>
    <format dxfId="2976">
      <pivotArea dataOnly="0" labelOnly="1" outline="0" fieldPosition="0">
        <references count="4">
          <reference field="5" count="1">
            <x v="114"/>
          </reference>
          <reference field="8" count="1" selected="0">
            <x v="255"/>
          </reference>
          <reference field="11" count="1" selected="0">
            <x v="4"/>
          </reference>
          <reference field="13" count="1" selected="0">
            <x v="133"/>
          </reference>
        </references>
      </pivotArea>
    </format>
    <format dxfId="2975">
      <pivotArea dataOnly="0" labelOnly="1" outline="0" fieldPosition="0">
        <references count="4">
          <reference field="5" count="1">
            <x v="114"/>
          </reference>
          <reference field="8" count="1" selected="0">
            <x v="255"/>
          </reference>
          <reference field="11" count="1" selected="0">
            <x v="4"/>
          </reference>
          <reference field="13" count="1" selected="0">
            <x v="150"/>
          </reference>
        </references>
      </pivotArea>
    </format>
    <format dxfId="2974">
      <pivotArea dataOnly="0" labelOnly="1" outline="0" fieldPosition="0">
        <references count="4">
          <reference field="5" count="1">
            <x v="114"/>
          </reference>
          <reference field="8" count="1" selected="0">
            <x v="255"/>
          </reference>
          <reference field="11" count="1" selected="0">
            <x v="5"/>
          </reference>
          <reference field="13" count="1" selected="0">
            <x v="77"/>
          </reference>
        </references>
      </pivotArea>
    </format>
    <format dxfId="2973">
      <pivotArea dataOnly="0" labelOnly="1" outline="0" fieldPosition="0">
        <references count="4">
          <reference field="5" count="1">
            <x v="114"/>
          </reference>
          <reference field="8" count="1" selected="0">
            <x v="255"/>
          </reference>
          <reference field="11" count="1" selected="0">
            <x v="5"/>
          </reference>
          <reference field="13" count="1" selected="0">
            <x v="81"/>
          </reference>
        </references>
      </pivotArea>
    </format>
    <format dxfId="2972">
      <pivotArea dataOnly="0" labelOnly="1" outline="0" fieldPosition="0">
        <references count="4">
          <reference field="5" count="1">
            <x v="114"/>
          </reference>
          <reference field="8" count="1" selected="0">
            <x v="255"/>
          </reference>
          <reference field="11" count="1" selected="0">
            <x v="7"/>
          </reference>
          <reference field="13" count="1" selected="0">
            <x v="72"/>
          </reference>
        </references>
      </pivotArea>
    </format>
    <format dxfId="2971">
      <pivotArea dataOnly="0" labelOnly="1" outline="0" fieldPosition="0">
        <references count="4">
          <reference field="5" count="1">
            <x v="85"/>
          </reference>
          <reference field="8" count="1" selected="0">
            <x v="256"/>
          </reference>
          <reference field="11" count="1" selected="0">
            <x v="2"/>
          </reference>
          <reference field="13" count="1" selected="0">
            <x v="10"/>
          </reference>
        </references>
      </pivotArea>
    </format>
    <format dxfId="2970">
      <pivotArea dataOnly="0" labelOnly="1" outline="0" fieldPosition="0">
        <references count="4">
          <reference field="5" count="2">
            <x v="85"/>
            <x v="87"/>
          </reference>
          <reference field="8" count="1" selected="0">
            <x v="256"/>
          </reference>
          <reference field="11" count="1" selected="0">
            <x v="2"/>
          </reference>
          <reference field="13" count="1" selected="0">
            <x v="18"/>
          </reference>
        </references>
      </pivotArea>
    </format>
    <format dxfId="2969">
      <pivotArea dataOnly="0" labelOnly="1" outline="0" fieldPosition="0">
        <references count="4">
          <reference field="5" count="1">
            <x v="85"/>
          </reference>
          <reference field="8" count="1" selected="0">
            <x v="256"/>
          </reference>
          <reference field="11" count="1" selected="0">
            <x v="2"/>
          </reference>
          <reference field="13" count="1" selected="0">
            <x v="21"/>
          </reference>
        </references>
      </pivotArea>
    </format>
    <format dxfId="2968">
      <pivotArea dataOnly="0" labelOnly="1" outline="0" fieldPosition="0">
        <references count="4">
          <reference field="5" count="1">
            <x v="85"/>
          </reference>
          <reference field="8" count="1" selected="0">
            <x v="256"/>
          </reference>
          <reference field="11" count="1" selected="0">
            <x v="2"/>
          </reference>
          <reference field="13" count="1" selected="0">
            <x v="35"/>
          </reference>
        </references>
      </pivotArea>
    </format>
    <format dxfId="2967">
      <pivotArea dataOnly="0" labelOnly="1" outline="0" fieldPosition="0">
        <references count="4">
          <reference field="5" count="1">
            <x v="85"/>
          </reference>
          <reference field="8" count="1" selected="0">
            <x v="256"/>
          </reference>
          <reference field="11" count="1" selected="0">
            <x v="2"/>
          </reference>
          <reference field="13" count="1" selected="0">
            <x v="38"/>
          </reference>
        </references>
      </pivotArea>
    </format>
    <format dxfId="2966">
      <pivotArea dataOnly="0" labelOnly="1" outline="0" fieldPosition="0">
        <references count="4">
          <reference field="5" count="3">
            <x v="85"/>
            <x v="88"/>
            <x v="114"/>
          </reference>
          <reference field="8" count="1" selected="0">
            <x v="256"/>
          </reference>
          <reference field="11" count="1" selected="0">
            <x v="2"/>
          </reference>
          <reference field="13" count="1" selected="0">
            <x v="44"/>
          </reference>
        </references>
      </pivotArea>
    </format>
    <format dxfId="2965">
      <pivotArea dataOnly="0" labelOnly="1" outline="0" fieldPosition="0">
        <references count="4">
          <reference field="5" count="1">
            <x v="85"/>
          </reference>
          <reference field="8" count="1" selected="0">
            <x v="256"/>
          </reference>
          <reference field="11" count="1" selected="0">
            <x v="2"/>
          </reference>
          <reference field="13" count="1" selected="0">
            <x v="50"/>
          </reference>
        </references>
      </pivotArea>
    </format>
    <format dxfId="2964">
      <pivotArea dataOnly="0" labelOnly="1" outline="0" fieldPosition="0">
        <references count="4">
          <reference field="5" count="1">
            <x v="85"/>
          </reference>
          <reference field="8" count="1" selected="0">
            <x v="256"/>
          </reference>
          <reference field="11" count="1" selected="0">
            <x v="2"/>
          </reference>
          <reference field="13" count="1" selected="0">
            <x v="52"/>
          </reference>
        </references>
      </pivotArea>
    </format>
    <format dxfId="2963">
      <pivotArea dataOnly="0" labelOnly="1" outline="0" fieldPosition="0">
        <references count="4">
          <reference field="5" count="2">
            <x v="86"/>
            <x v="91"/>
          </reference>
          <reference field="8" count="1" selected="0">
            <x v="256"/>
          </reference>
          <reference field="11" count="1" selected="0">
            <x v="2"/>
          </reference>
          <reference field="13" count="1" selected="0">
            <x v="55"/>
          </reference>
        </references>
      </pivotArea>
    </format>
    <format dxfId="2962">
      <pivotArea dataOnly="0" labelOnly="1" outline="0" fieldPosition="0">
        <references count="4">
          <reference field="5" count="2">
            <x v="85"/>
            <x v="87"/>
          </reference>
          <reference field="8" count="1" selected="0">
            <x v="256"/>
          </reference>
          <reference field="11" count="1" selected="0">
            <x v="2"/>
          </reference>
          <reference field="13" count="1" selected="0">
            <x v="60"/>
          </reference>
        </references>
      </pivotArea>
    </format>
    <format dxfId="2961">
      <pivotArea dataOnly="0" labelOnly="1" outline="0" fieldPosition="0">
        <references count="4">
          <reference field="5" count="1">
            <x v="85"/>
          </reference>
          <reference field="8" count="1" selected="0">
            <x v="256"/>
          </reference>
          <reference field="11" count="1" selected="0">
            <x v="2"/>
          </reference>
          <reference field="13" count="1" selected="0">
            <x v="66"/>
          </reference>
        </references>
      </pivotArea>
    </format>
    <format dxfId="2960">
      <pivotArea dataOnly="0" labelOnly="1" outline="0" fieldPosition="0">
        <references count="4">
          <reference field="5" count="1">
            <x v="85"/>
          </reference>
          <reference field="8" count="1" selected="0">
            <x v="256"/>
          </reference>
          <reference field="11" count="1" selected="0">
            <x v="2"/>
          </reference>
          <reference field="13" count="1" selected="0">
            <x v="71"/>
          </reference>
        </references>
      </pivotArea>
    </format>
    <format dxfId="2959">
      <pivotArea dataOnly="0" labelOnly="1" outline="0" fieldPosition="0">
        <references count="4">
          <reference field="5" count="1">
            <x v="85"/>
          </reference>
          <reference field="8" count="1" selected="0">
            <x v="256"/>
          </reference>
          <reference field="11" count="1" selected="0">
            <x v="2"/>
          </reference>
          <reference field="13" count="1" selected="0">
            <x v="76"/>
          </reference>
        </references>
      </pivotArea>
    </format>
    <format dxfId="2958">
      <pivotArea dataOnly="0" labelOnly="1" outline="0" fieldPosition="0">
        <references count="4">
          <reference field="5" count="1">
            <x v="114"/>
          </reference>
          <reference field="8" count="1" selected="0">
            <x v="256"/>
          </reference>
          <reference field="11" count="1" selected="0">
            <x v="2"/>
          </reference>
          <reference field="13" count="1" selected="0">
            <x v="128"/>
          </reference>
        </references>
      </pivotArea>
    </format>
    <format dxfId="2957">
      <pivotArea dataOnly="0" labelOnly="1" outline="0" fieldPosition="0">
        <references count="4">
          <reference field="5" count="1">
            <x v="85"/>
          </reference>
          <reference field="8" count="1" selected="0">
            <x v="256"/>
          </reference>
          <reference field="11" count="1" selected="0">
            <x v="2"/>
          </reference>
          <reference field="13" count="1" selected="0">
            <x v="144"/>
          </reference>
        </references>
      </pivotArea>
    </format>
    <format dxfId="2956">
      <pivotArea dataOnly="0" labelOnly="1" outline="0" fieldPosition="0">
        <references count="4">
          <reference field="5" count="2">
            <x v="85"/>
            <x v="91"/>
          </reference>
          <reference field="8" count="1" selected="0">
            <x v="256"/>
          </reference>
          <reference field="11" count="1" selected="0">
            <x v="2"/>
          </reference>
          <reference field="13" count="1" selected="0">
            <x v="153"/>
          </reference>
        </references>
      </pivotArea>
    </format>
    <format dxfId="2955">
      <pivotArea dataOnly="0" labelOnly="1" outline="0" fieldPosition="0">
        <references count="4">
          <reference field="5" count="2">
            <x v="87"/>
            <x v="88"/>
          </reference>
          <reference field="8" count="1" selected="0">
            <x v="256"/>
          </reference>
          <reference field="11" count="1" selected="0">
            <x v="2"/>
          </reference>
          <reference field="13" count="1" selected="0">
            <x v="173"/>
          </reference>
        </references>
      </pivotArea>
    </format>
    <format dxfId="2954">
      <pivotArea dataOnly="0" labelOnly="1" outline="0" fieldPosition="0">
        <references count="4">
          <reference field="5" count="2">
            <x v="85"/>
            <x v="114"/>
          </reference>
          <reference field="8" count="1" selected="0">
            <x v="256"/>
          </reference>
          <reference field="11" count="1" selected="0">
            <x v="2"/>
          </reference>
          <reference field="13" count="1" selected="0">
            <x v="204"/>
          </reference>
        </references>
      </pivotArea>
    </format>
    <format dxfId="2953">
      <pivotArea dataOnly="0" labelOnly="1" outline="0" fieldPosition="0">
        <references count="4">
          <reference field="5" count="1">
            <x v="85"/>
          </reference>
          <reference field="8" count="1" selected="0">
            <x v="256"/>
          </reference>
          <reference field="11" count="1" selected="0">
            <x v="2"/>
          </reference>
          <reference field="13" count="1" selected="0">
            <x v="205"/>
          </reference>
        </references>
      </pivotArea>
    </format>
    <format dxfId="2952">
      <pivotArea dataOnly="0" labelOnly="1" outline="0" fieldPosition="0">
        <references count="4">
          <reference field="5" count="3">
            <x v="85"/>
            <x v="88"/>
            <x v="91"/>
          </reference>
          <reference field="8" count="1" selected="0">
            <x v="256"/>
          </reference>
          <reference field="11" count="1" selected="0">
            <x v="2"/>
          </reference>
          <reference field="13" count="1" selected="0">
            <x v="232"/>
          </reference>
        </references>
      </pivotArea>
    </format>
    <format dxfId="2951">
      <pivotArea dataOnly="0" labelOnly="1" outline="0" fieldPosition="0">
        <references count="4">
          <reference field="5" count="5">
            <x v="85"/>
            <x v="88"/>
            <x v="89"/>
            <x v="91"/>
            <x v="114"/>
          </reference>
          <reference field="8" count="1" selected="0">
            <x v="256"/>
          </reference>
          <reference field="11" count="1" selected="0">
            <x v="2"/>
          </reference>
          <reference field="13" count="1" selected="0">
            <x v="238"/>
          </reference>
        </references>
      </pivotArea>
    </format>
    <format dxfId="2950">
      <pivotArea dataOnly="0" labelOnly="1" outline="0" fieldPosition="0">
        <references count="4">
          <reference field="5" count="1">
            <x v="85"/>
          </reference>
          <reference field="8" count="1" selected="0">
            <x v="256"/>
          </reference>
          <reference field="11" count="1" selected="0">
            <x v="2"/>
          </reference>
          <reference field="13" count="1" selected="0">
            <x v="263"/>
          </reference>
        </references>
      </pivotArea>
    </format>
    <format dxfId="2949">
      <pivotArea dataOnly="0" labelOnly="1" outline="0" fieldPosition="0">
        <references count="4">
          <reference field="5" count="1">
            <x v="87"/>
          </reference>
          <reference field="8" count="1" selected="0">
            <x v="256"/>
          </reference>
          <reference field="11" count="1" selected="0">
            <x v="2"/>
          </reference>
          <reference field="13" count="1" selected="0">
            <x v="265"/>
          </reference>
        </references>
      </pivotArea>
    </format>
    <format dxfId="2948">
      <pivotArea dataOnly="0" labelOnly="1" outline="0" fieldPosition="0">
        <references count="4">
          <reference field="5" count="1">
            <x v="85"/>
          </reference>
          <reference field="8" count="1" selected="0">
            <x v="256"/>
          </reference>
          <reference field="11" count="1" selected="0">
            <x v="2"/>
          </reference>
          <reference field="13" count="1" selected="0">
            <x v="279"/>
          </reference>
        </references>
      </pivotArea>
    </format>
    <format dxfId="2947">
      <pivotArea dataOnly="0" labelOnly="1" outline="0" fieldPosition="0">
        <references count="4">
          <reference field="5" count="1">
            <x v="85"/>
          </reference>
          <reference field="8" count="1" selected="0">
            <x v="256"/>
          </reference>
          <reference field="11" count="1" selected="0">
            <x v="2"/>
          </reference>
          <reference field="13" count="1" selected="0">
            <x v="285"/>
          </reference>
        </references>
      </pivotArea>
    </format>
    <format dxfId="2946">
      <pivotArea dataOnly="0" labelOnly="1" outline="0" fieldPosition="0">
        <references count="4">
          <reference field="5" count="2">
            <x v="89"/>
            <x v="114"/>
          </reference>
          <reference field="8" count="1" selected="0">
            <x v="256"/>
          </reference>
          <reference field="11" count="1" selected="0">
            <x v="3"/>
          </reference>
          <reference field="13" count="1" selected="0">
            <x v="4"/>
          </reference>
        </references>
      </pivotArea>
    </format>
    <format dxfId="2945">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7"/>
          </reference>
        </references>
      </pivotArea>
    </format>
    <format dxfId="2944">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17"/>
          </reference>
        </references>
      </pivotArea>
    </format>
    <format dxfId="2943">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32"/>
          </reference>
        </references>
      </pivotArea>
    </format>
    <format dxfId="2942">
      <pivotArea dataOnly="0" labelOnly="1" outline="0" fieldPosition="0">
        <references count="4">
          <reference field="5" count="4">
            <x v="85"/>
            <x v="86"/>
            <x v="87"/>
            <x v="91"/>
          </reference>
          <reference field="8" count="1" selected="0">
            <x v="256"/>
          </reference>
          <reference field="11" count="1" selected="0">
            <x v="3"/>
          </reference>
          <reference field="13" count="1" selected="0">
            <x v="47"/>
          </reference>
        </references>
      </pivotArea>
    </format>
    <format dxfId="2941">
      <pivotArea dataOnly="0" labelOnly="1" outline="0" fieldPosition="0">
        <references count="4">
          <reference field="5" count="4">
            <x v="85"/>
            <x v="86"/>
            <x v="87"/>
            <x v="114"/>
          </reference>
          <reference field="8" count="1" selected="0">
            <x v="256"/>
          </reference>
          <reference field="11" count="1" selected="0">
            <x v="3"/>
          </reference>
          <reference field="13" count="1" selected="0">
            <x v="49"/>
          </reference>
        </references>
      </pivotArea>
    </format>
    <format dxfId="2940">
      <pivotArea dataOnly="0" labelOnly="1" outline="0" fieldPosition="0">
        <references count="4">
          <reference field="5" count="1">
            <x v="114"/>
          </reference>
          <reference field="8" count="1" selected="0">
            <x v="256"/>
          </reference>
          <reference field="11" count="1" selected="0">
            <x v="3"/>
          </reference>
          <reference field="13" count="1" selected="0">
            <x v="54"/>
          </reference>
        </references>
      </pivotArea>
    </format>
    <format dxfId="2939">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57"/>
          </reference>
        </references>
      </pivotArea>
    </format>
    <format dxfId="2938">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69"/>
          </reference>
        </references>
      </pivotArea>
    </format>
    <format dxfId="2937">
      <pivotArea dataOnly="0" labelOnly="1" outline="0" fieldPosition="0">
        <references count="4">
          <reference field="5" count="2">
            <x v="91"/>
            <x v="114"/>
          </reference>
          <reference field="8" count="1" selected="0">
            <x v="256"/>
          </reference>
          <reference field="11" count="1" selected="0">
            <x v="3"/>
          </reference>
          <reference field="13" count="1" selected="0">
            <x v="78"/>
          </reference>
        </references>
      </pivotArea>
    </format>
    <format dxfId="2936">
      <pivotArea dataOnly="0" labelOnly="1" outline="0" fieldPosition="0">
        <references count="4">
          <reference field="5" count="2">
            <x v="85"/>
            <x v="91"/>
          </reference>
          <reference field="8" count="1" selected="0">
            <x v="256"/>
          </reference>
          <reference field="11" count="1" selected="0">
            <x v="3"/>
          </reference>
          <reference field="13" count="1" selected="0">
            <x v="83"/>
          </reference>
        </references>
      </pivotArea>
    </format>
    <format dxfId="2935">
      <pivotArea dataOnly="0" labelOnly="1" outline="0" fieldPosition="0">
        <references count="4">
          <reference field="5" count="7">
            <x v="85"/>
            <x v="86"/>
            <x v="87"/>
            <x v="88"/>
            <x v="89"/>
            <x v="91"/>
            <x v="114"/>
          </reference>
          <reference field="8" count="1" selected="0">
            <x v="256"/>
          </reference>
          <reference field="11" count="1" selected="0">
            <x v="3"/>
          </reference>
          <reference field="13" count="1" selected="0">
            <x v="89"/>
          </reference>
        </references>
      </pivotArea>
    </format>
    <format dxfId="2934">
      <pivotArea dataOnly="0" labelOnly="1" outline="0" fieldPosition="0">
        <references count="4">
          <reference field="5" count="1">
            <x v="114"/>
          </reference>
          <reference field="8" count="1" selected="0">
            <x v="256"/>
          </reference>
          <reference field="11" count="1" selected="0">
            <x v="3"/>
          </reference>
          <reference field="13" count="1" selected="0">
            <x v="92"/>
          </reference>
        </references>
      </pivotArea>
    </format>
    <format dxfId="2933">
      <pivotArea dataOnly="0" labelOnly="1" outline="0" fieldPosition="0">
        <references count="4">
          <reference field="5" count="3">
            <x v="86"/>
            <x v="88"/>
            <x v="90"/>
          </reference>
          <reference field="8" count="1" selected="0">
            <x v="256"/>
          </reference>
          <reference field="11" count="1" selected="0">
            <x v="3"/>
          </reference>
          <reference field="13" count="1" selected="0">
            <x v="101"/>
          </reference>
        </references>
      </pivotArea>
    </format>
    <format dxfId="2932">
      <pivotArea dataOnly="0" labelOnly="1" outline="0" fieldPosition="0">
        <references count="4">
          <reference field="5" count="7">
            <x v="85"/>
            <x v="86"/>
            <x v="87"/>
            <x v="88"/>
            <x v="89"/>
            <x v="91"/>
            <x v="114"/>
          </reference>
          <reference field="8" count="1" selected="0">
            <x v="256"/>
          </reference>
          <reference field="11" count="1" selected="0">
            <x v="3"/>
          </reference>
          <reference field="13" count="1" selected="0">
            <x v="105"/>
          </reference>
        </references>
      </pivotArea>
    </format>
    <format dxfId="2931">
      <pivotArea dataOnly="0" labelOnly="1" outline="0" fieldPosition="0">
        <references count="4">
          <reference field="5" count="7">
            <x v="85"/>
            <x v="86"/>
            <x v="87"/>
            <x v="88"/>
            <x v="89"/>
            <x v="91"/>
            <x v="114"/>
          </reference>
          <reference field="8" count="1" selected="0">
            <x v="256"/>
          </reference>
          <reference field="11" count="1" selected="0">
            <x v="3"/>
          </reference>
          <reference field="13" count="1" selected="0">
            <x v="110"/>
          </reference>
        </references>
      </pivotArea>
    </format>
    <format dxfId="2930">
      <pivotArea dataOnly="0" labelOnly="1" outline="0" fieldPosition="0">
        <references count="4">
          <reference field="5" count="6">
            <x v="86"/>
            <x v="87"/>
            <x v="88"/>
            <x v="90"/>
            <x v="91"/>
            <x v="114"/>
          </reference>
          <reference field="8" count="1" selected="0">
            <x v="256"/>
          </reference>
          <reference field="11" count="1" selected="0">
            <x v="3"/>
          </reference>
          <reference field="13" count="1" selected="0">
            <x v="131"/>
          </reference>
        </references>
      </pivotArea>
    </format>
    <format dxfId="2929">
      <pivotArea dataOnly="0" labelOnly="1" outline="0" fieldPosition="0">
        <references count="4">
          <reference field="5" count="1">
            <x v="88"/>
          </reference>
          <reference field="8" count="1" selected="0">
            <x v="256"/>
          </reference>
          <reference field="11" count="1" selected="0">
            <x v="3"/>
          </reference>
          <reference field="13" count="1" selected="0">
            <x v="134"/>
          </reference>
        </references>
      </pivotArea>
    </format>
    <format dxfId="2928">
      <pivotArea dataOnly="0" labelOnly="1" outline="0" fieldPosition="0">
        <references count="4">
          <reference field="5" count="1">
            <x v="114"/>
          </reference>
          <reference field="8" count="1" selected="0">
            <x v="256"/>
          </reference>
          <reference field="11" count="1" selected="0">
            <x v="3"/>
          </reference>
          <reference field="13" count="1" selected="0">
            <x v="146"/>
          </reference>
        </references>
      </pivotArea>
    </format>
    <format dxfId="2927">
      <pivotArea dataOnly="0" labelOnly="1" outline="0" fieldPosition="0">
        <references count="4">
          <reference field="5" count="1">
            <x v="86"/>
          </reference>
          <reference field="8" count="1" selected="0">
            <x v="256"/>
          </reference>
          <reference field="11" count="1" selected="0">
            <x v="3"/>
          </reference>
          <reference field="13" count="1" selected="0">
            <x v="218"/>
          </reference>
        </references>
      </pivotArea>
    </format>
    <format dxfId="2926">
      <pivotArea dataOnly="0" labelOnly="1" outline="0" fieldPosition="0">
        <references count="4">
          <reference field="5" count="4">
            <x v="88"/>
            <x v="89"/>
            <x v="91"/>
            <x v="114"/>
          </reference>
          <reference field="8" count="1" selected="0">
            <x v="256"/>
          </reference>
          <reference field="11" count="1" selected="0">
            <x v="3"/>
          </reference>
          <reference field="13" count="1" selected="0">
            <x v="240"/>
          </reference>
        </references>
      </pivotArea>
    </format>
    <format dxfId="2925">
      <pivotArea dataOnly="0" labelOnly="1" outline="0" fieldPosition="0">
        <references count="4">
          <reference field="5" count="2">
            <x v="91"/>
            <x v="114"/>
          </reference>
          <reference field="8" count="1" selected="0">
            <x v="256"/>
          </reference>
          <reference field="11" count="1" selected="0">
            <x v="3"/>
          </reference>
          <reference field="13" count="1" selected="0">
            <x v="242"/>
          </reference>
        </references>
      </pivotArea>
    </format>
    <format dxfId="2924">
      <pivotArea dataOnly="0" labelOnly="1" outline="0" fieldPosition="0">
        <references count="4">
          <reference field="5" count="2">
            <x v="91"/>
            <x v="114"/>
          </reference>
          <reference field="8" count="1" selected="0">
            <x v="256"/>
          </reference>
          <reference field="11" count="1" selected="0">
            <x v="3"/>
          </reference>
          <reference field="13" count="1" selected="0">
            <x v="243"/>
          </reference>
        </references>
      </pivotArea>
    </format>
    <format dxfId="2923">
      <pivotArea dataOnly="0" labelOnly="1" outline="0" fieldPosition="0">
        <references count="4">
          <reference field="5" count="6">
            <x v="86"/>
            <x v="87"/>
            <x v="88"/>
            <x v="89"/>
            <x v="91"/>
            <x v="114"/>
          </reference>
          <reference field="8" count="1" selected="0">
            <x v="256"/>
          </reference>
          <reference field="11" count="1" selected="0">
            <x v="3"/>
          </reference>
          <reference field="13" count="1" selected="0">
            <x v="251"/>
          </reference>
        </references>
      </pivotArea>
    </format>
    <format dxfId="2922">
      <pivotArea dataOnly="0" labelOnly="1" outline="0" fieldPosition="0">
        <references count="4">
          <reference field="5" count="7">
            <x v="85"/>
            <x v="86"/>
            <x v="87"/>
            <x v="88"/>
            <x v="89"/>
            <x v="91"/>
            <x v="114"/>
          </reference>
          <reference field="8" count="1" selected="0">
            <x v="256"/>
          </reference>
          <reference field="11" count="1" selected="0">
            <x v="3"/>
          </reference>
          <reference field="13" count="1" selected="0">
            <x v="287"/>
          </reference>
        </references>
      </pivotArea>
    </format>
    <format dxfId="2921">
      <pivotArea dataOnly="0" labelOnly="1" outline="0" fieldPosition="0">
        <references count="4">
          <reference field="5" count="8">
            <x v="85"/>
            <x v="86"/>
            <x v="87"/>
            <x v="88"/>
            <x v="89"/>
            <x v="90"/>
            <x v="91"/>
            <x v="114"/>
          </reference>
          <reference field="8" count="1" selected="0">
            <x v="256"/>
          </reference>
          <reference field="11" count="1" selected="0">
            <x v="3"/>
          </reference>
          <reference field="13" count="1" selected="0">
            <x v="305"/>
          </reference>
        </references>
      </pivotArea>
    </format>
    <format dxfId="2920">
      <pivotArea dataOnly="0" labelOnly="1" outline="0" fieldPosition="0">
        <references count="4">
          <reference field="5" count="3">
            <x v="88"/>
            <x v="89"/>
            <x v="114"/>
          </reference>
          <reference field="8" count="1" selected="0">
            <x v="256"/>
          </reference>
          <reference field="11" count="1" selected="0">
            <x v="3"/>
          </reference>
          <reference field="13" count="1" selected="0">
            <x v="314"/>
          </reference>
        </references>
      </pivotArea>
    </format>
    <format dxfId="2919">
      <pivotArea dataOnly="0" labelOnly="1" outline="0" fieldPosition="0">
        <references count="4">
          <reference field="5" count="2">
            <x v="85"/>
            <x v="91"/>
          </reference>
          <reference field="8" count="1" selected="0">
            <x v="256"/>
          </reference>
          <reference field="11" count="1" selected="0">
            <x v="3"/>
          </reference>
          <reference field="13" count="1" selected="0">
            <x v="316"/>
          </reference>
        </references>
      </pivotArea>
    </format>
    <format dxfId="2918">
      <pivotArea dataOnly="0" labelOnly="1" outline="0" fieldPosition="0">
        <references count="4">
          <reference field="5" count="8">
            <x v="85"/>
            <x v="86"/>
            <x v="87"/>
            <x v="88"/>
            <x v="89"/>
            <x v="90"/>
            <x v="91"/>
            <x v="114"/>
          </reference>
          <reference field="8" count="1" selected="0">
            <x v="256"/>
          </reference>
          <reference field="11" count="1" selected="0">
            <x v="4"/>
          </reference>
          <reference field="13" count="1" selected="0">
            <x v="133"/>
          </reference>
        </references>
      </pivotArea>
    </format>
    <format dxfId="2917">
      <pivotArea dataOnly="0" labelOnly="1" outline="0" fieldPosition="0">
        <references count="4">
          <reference field="5" count="4">
            <x v="85"/>
            <x v="89"/>
            <x v="90"/>
            <x v="114"/>
          </reference>
          <reference field="8" count="1" selected="0">
            <x v="256"/>
          </reference>
          <reference field="11" count="1" selected="0">
            <x v="4"/>
          </reference>
          <reference field="13" count="1" selected="0">
            <x v="150"/>
          </reference>
        </references>
      </pivotArea>
    </format>
    <format dxfId="2916">
      <pivotArea dataOnly="0" labelOnly="1" outline="0" fieldPosition="0">
        <references count="4">
          <reference field="5" count="6">
            <x v="85"/>
            <x v="86"/>
            <x v="88"/>
            <x v="89"/>
            <x v="91"/>
            <x v="114"/>
          </reference>
          <reference field="8" count="1" selected="0">
            <x v="256"/>
          </reference>
          <reference field="11" count="1" selected="0">
            <x v="5"/>
          </reference>
          <reference field="13" count="1" selected="0">
            <x v="77"/>
          </reference>
        </references>
      </pivotArea>
    </format>
    <format dxfId="2915">
      <pivotArea dataOnly="0" labelOnly="1" outline="0" fieldPosition="0">
        <references count="4">
          <reference field="5" count="7">
            <x v="85"/>
            <x v="86"/>
            <x v="87"/>
            <x v="88"/>
            <x v="89"/>
            <x v="91"/>
            <x v="114"/>
          </reference>
          <reference field="8" count="1" selected="0">
            <x v="256"/>
          </reference>
          <reference field="11" count="1" selected="0">
            <x v="5"/>
          </reference>
          <reference field="13" count="1" selected="0">
            <x v="81"/>
          </reference>
        </references>
      </pivotArea>
    </format>
    <format dxfId="2914">
      <pivotArea dataOnly="0" labelOnly="1" outline="0" fieldPosition="0">
        <references count="4">
          <reference field="5" count="7">
            <x v="85"/>
            <x v="86"/>
            <x v="87"/>
            <x v="88"/>
            <x v="89"/>
            <x v="91"/>
            <x v="114"/>
          </reference>
          <reference field="8" count="1" selected="0">
            <x v="256"/>
          </reference>
          <reference field="11" count="1" selected="0">
            <x v="5"/>
          </reference>
          <reference field="13" count="1" selected="0">
            <x v="255"/>
          </reference>
        </references>
      </pivotArea>
    </format>
    <format dxfId="2913">
      <pivotArea dataOnly="0" labelOnly="1" outline="0" fieldPosition="0">
        <references count="4">
          <reference field="5" count="1">
            <x v="85"/>
          </reference>
          <reference field="8" count="1" selected="0">
            <x v="256"/>
          </reference>
          <reference field="11" count="1" selected="0">
            <x v="5"/>
          </reference>
          <reference field="13" count="1" selected="0">
            <x v="268"/>
          </reference>
        </references>
      </pivotArea>
    </format>
    <format dxfId="2912">
      <pivotArea dataOnly="0" labelOnly="1" outline="0" fieldPosition="0">
        <references count="4">
          <reference field="5" count="1">
            <x v="114"/>
          </reference>
          <reference field="8" count="1" selected="0">
            <x v="256"/>
          </reference>
          <reference field="11" count="1" selected="0">
            <x v="6"/>
          </reference>
          <reference field="13" count="1" selected="0">
            <x v="68"/>
          </reference>
        </references>
      </pivotArea>
    </format>
    <format dxfId="2911">
      <pivotArea dataOnly="0" labelOnly="1" outline="0" fieldPosition="0">
        <references count="4">
          <reference field="5" count="1">
            <x v="85"/>
          </reference>
          <reference field="8" count="1" selected="0">
            <x v="256"/>
          </reference>
          <reference field="11" count="1" selected="0">
            <x v="6"/>
          </reference>
          <reference field="13" count="1" selected="0">
            <x v="191"/>
          </reference>
        </references>
      </pivotArea>
    </format>
    <format dxfId="2910">
      <pivotArea dataOnly="0" labelOnly="1" outline="0" fieldPosition="0">
        <references count="4">
          <reference field="5" count="2">
            <x v="85"/>
            <x v="114"/>
          </reference>
          <reference field="8" count="1" selected="0">
            <x v="256"/>
          </reference>
          <reference field="11" count="1" selected="0">
            <x v="7"/>
          </reference>
          <reference field="13" count="1" selected="0">
            <x v="8"/>
          </reference>
        </references>
      </pivotArea>
    </format>
    <format dxfId="2909">
      <pivotArea dataOnly="0" labelOnly="1" outline="0" fieldPosition="0">
        <references count="4">
          <reference field="5" count="3">
            <x v="85"/>
            <x v="86"/>
            <x v="114"/>
          </reference>
          <reference field="8" count="1" selected="0">
            <x v="256"/>
          </reference>
          <reference field="11" count="1" selected="0">
            <x v="7"/>
          </reference>
          <reference field="13" count="1" selected="0">
            <x v="72"/>
          </reference>
        </references>
      </pivotArea>
    </format>
    <format dxfId="2908">
      <pivotArea dataOnly="0" labelOnly="1" outline="0" fieldPosition="0">
        <references count="4">
          <reference field="5" count="1">
            <x v="114"/>
          </reference>
          <reference field="8" count="1" selected="0">
            <x v="256"/>
          </reference>
          <reference field="11" count="1" selected="0">
            <x v="7"/>
          </reference>
          <reference field="13" count="1" selected="0">
            <x v="93"/>
          </reference>
        </references>
      </pivotArea>
    </format>
    <format dxfId="2907">
      <pivotArea dataOnly="0" labelOnly="1" outline="0" fieldPosition="0">
        <references count="4">
          <reference field="5" count="2">
            <x v="89"/>
            <x v="114"/>
          </reference>
          <reference field="8" count="1" selected="0">
            <x v="256"/>
          </reference>
          <reference field="11" count="1" selected="0">
            <x v="7"/>
          </reference>
          <reference field="13" count="1" selected="0">
            <x v="129"/>
          </reference>
        </references>
      </pivotArea>
    </format>
    <format dxfId="2906">
      <pivotArea dataOnly="0" labelOnly="1" outline="0" fieldPosition="0">
        <references count="4">
          <reference field="5" count="2">
            <x v="85"/>
            <x v="114"/>
          </reference>
          <reference field="8" count="1" selected="0">
            <x v="256"/>
          </reference>
          <reference field="11" count="1" selected="0">
            <x v="7"/>
          </reference>
          <reference field="13" count="1" selected="0">
            <x v="308"/>
          </reference>
        </references>
      </pivotArea>
    </format>
    <format dxfId="2905">
      <pivotArea dataOnly="0" labelOnly="1" outline="0" fieldPosition="0">
        <references count="4">
          <reference field="5" count="1">
            <x v="114"/>
          </reference>
          <reference field="8" count="1" selected="0">
            <x v="257"/>
          </reference>
          <reference field="11" count="1" selected="0">
            <x v="2"/>
          </reference>
          <reference field="13" count="1" selected="0">
            <x v="204"/>
          </reference>
        </references>
      </pivotArea>
    </format>
    <format dxfId="2904">
      <pivotArea dataOnly="0" labelOnly="1" outline="0" fieldPosition="0">
        <references count="4">
          <reference field="5" count="1">
            <x v="91"/>
          </reference>
          <reference field="8" count="1" selected="0">
            <x v="257"/>
          </reference>
          <reference field="11" count="1" selected="0">
            <x v="2"/>
          </reference>
          <reference field="13" count="1" selected="0">
            <x v="232"/>
          </reference>
        </references>
      </pivotArea>
    </format>
    <format dxfId="2903">
      <pivotArea dataOnly="0" labelOnly="1" outline="0" fieldPosition="0">
        <references count="4">
          <reference field="5" count="1">
            <x v="114"/>
          </reference>
          <reference field="8" count="1" selected="0">
            <x v="257"/>
          </reference>
          <reference field="11" count="1" selected="0">
            <x v="2"/>
          </reference>
          <reference field="13" count="1" selected="0">
            <x v="238"/>
          </reference>
        </references>
      </pivotArea>
    </format>
    <format dxfId="2902">
      <pivotArea dataOnly="0" labelOnly="1" outline="0" fieldPosition="0">
        <references count="4">
          <reference field="5" count="1">
            <x v="88"/>
          </reference>
          <reference field="8" count="1" selected="0">
            <x v="257"/>
          </reference>
          <reference field="11" count="1" selected="0">
            <x v="2"/>
          </reference>
          <reference field="13" count="1" selected="0">
            <x v="263"/>
          </reference>
        </references>
      </pivotArea>
    </format>
    <format dxfId="2901">
      <pivotArea dataOnly="0" labelOnly="1" outline="0" fieldPosition="0">
        <references count="4">
          <reference field="5" count="1">
            <x v="88"/>
          </reference>
          <reference field="8" count="1" selected="0">
            <x v="257"/>
          </reference>
          <reference field="11" count="1" selected="0">
            <x v="2"/>
          </reference>
          <reference field="13" count="1" selected="0">
            <x v="265"/>
          </reference>
        </references>
      </pivotArea>
    </format>
    <format dxfId="2900">
      <pivotArea dataOnly="0" labelOnly="1" outline="0" fieldPosition="0">
        <references count="4">
          <reference field="5" count="1">
            <x v="91"/>
          </reference>
          <reference field="8" count="1" selected="0">
            <x v="257"/>
          </reference>
          <reference field="11" count="1" selected="0">
            <x v="2"/>
          </reference>
          <reference field="13" count="1" selected="0">
            <x v="285"/>
          </reference>
        </references>
      </pivotArea>
    </format>
    <format dxfId="2899">
      <pivotArea dataOnly="0" labelOnly="1" outline="0" fieldPosition="0">
        <references count="4">
          <reference field="5" count="5">
            <x v="85"/>
            <x v="86"/>
            <x v="89"/>
            <x v="91"/>
            <x v="114"/>
          </reference>
          <reference field="8" count="1" selected="0">
            <x v="257"/>
          </reference>
          <reference field="11" count="1" selected="0">
            <x v="3"/>
          </reference>
          <reference field="13" count="1" selected="0">
            <x v="7"/>
          </reference>
        </references>
      </pivotArea>
    </format>
    <format dxfId="2898">
      <pivotArea dataOnly="0" labelOnly="1" outline="0" fieldPosition="0">
        <references count="4">
          <reference field="5" count="4">
            <x v="85"/>
            <x v="89"/>
            <x v="91"/>
            <x v="114"/>
          </reference>
          <reference field="8" count="1" selected="0">
            <x v="257"/>
          </reference>
          <reference field="11" count="1" selected="0">
            <x v="3"/>
          </reference>
          <reference field="13" count="1" selected="0">
            <x v="17"/>
          </reference>
        </references>
      </pivotArea>
    </format>
    <format dxfId="2897">
      <pivotArea dataOnly="0" labelOnly="1" outline="0" fieldPosition="0">
        <references count="4">
          <reference field="5" count="7">
            <x v="85"/>
            <x v="86"/>
            <x v="87"/>
            <x v="88"/>
            <x v="89"/>
            <x v="91"/>
            <x v="114"/>
          </reference>
          <reference field="8" count="1" selected="0">
            <x v="257"/>
          </reference>
          <reference field="11" count="1" selected="0">
            <x v="3"/>
          </reference>
          <reference field="13" count="1" selected="0">
            <x v="32"/>
          </reference>
        </references>
      </pivotArea>
    </format>
    <format dxfId="2896">
      <pivotArea dataOnly="0" labelOnly="1" outline="0" fieldPosition="0">
        <references count="4">
          <reference field="5" count="2">
            <x v="87"/>
            <x v="91"/>
          </reference>
          <reference field="8" count="1" selected="0">
            <x v="257"/>
          </reference>
          <reference field="11" count="1" selected="0">
            <x v="3"/>
          </reference>
          <reference field="13" count="1" selected="0">
            <x v="47"/>
          </reference>
        </references>
      </pivotArea>
    </format>
    <format dxfId="2895">
      <pivotArea dataOnly="0" labelOnly="1" outline="0" fieldPosition="0">
        <references count="4">
          <reference field="5" count="3">
            <x v="89"/>
            <x v="91"/>
            <x v="114"/>
          </reference>
          <reference field="8" count="1" selected="0">
            <x v="257"/>
          </reference>
          <reference field="11" count="1" selected="0">
            <x v="3"/>
          </reference>
          <reference field="13" count="1" selected="0">
            <x v="57"/>
          </reference>
        </references>
      </pivotArea>
    </format>
    <format dxfId="2894">
      <pivotArea dataOnly="0" labelOnly="1" outline="0" fieldPosition="0">
        <references count="4">
          <reference field="5" count="7">
            <x v="85"/>
            <x v="86"/>
            <x v="87"/>
            <x v="88"/>
            <x v="89"/>
            <x v="91"/>
            <x v="114"/>
          </reference>
          <reference field="8" count="1" selected="0">
            <x v="257"/>
          </reference>
          <reference field="11" count="1" selected="0">
            <x v="3"/>
          </reference>
          <reference field="13" count="1" selected="0">
            <x v="69"/>
          </reference>
        </references>
      </pivotArea>
    </format>
    <format dxfId="2893">
      <pivotArea dataOnly="0" labelOnly="1" outline="0" fieldPosition="0">
        <references count="4">
          <reference field="5" count="7">
            <x v="85"/>
            <x v="86"/>
            <x v="87"/>
            <x v="88"/>
            <x v="89"/>
            <x v="91"/>
            <x v="114"/>
          </reference>
          <reference field="8" count="1" selected="0">
            <x v="257"/>
          </reference>
          <reference field="11" count="1" selected="0">
            <x v="3"/>
          </reference>
          <reference field="13" count="1" selected="0">
            <x v="89"/>
          </reference>
        </references>
      </pivotArea>
    </format>
    <format dxfId="2892">
      <pivotArea dataOnly="0" labelOnly="1" outline="0" fieldPosition="0">
        <references count="4">
          <reference field="5" count="1">
            <x v="86"/>
          </reference>
          <reference field="8" count="1" selected="0">
            <x v="257"/>
          </reference>
          <reference field="11" count="1" selected="0">
            <x v="3"/>
          </reference>
          <reference field="13" count="1" selected="0">
            <x v="101"/>
          </reference>
        </references>
      </pivotArea>
    </format>
    <format dxfId="2891">
      <pivotArea dataOnly="0" labelOnly="1" outline="0" fieldPosition="0">
        <references count="4">
          <reference field="5" count="6">
            <x v="85"/>
            <x v="86"/>
            <x v="87"/>
            <x v="89"/>
            <x v="91"/>
            <x v="114"/>
          </reference>
          <reference field="8" count="1" selected="0">
            <x v="257"/>
          </reference>
          <reference field="11" count="1" selected="0">
            <x v="3"/>
          </reference>
          <reference field="13" count="1" selected="0">
            <x v="105"/>
          </reference>
        </references>
      </pivotArea>
    </format>
    <format dxfId="2890">
      <pivotArea dataOnly="0" labelOnly="1" outline="0" fieldPosition="0">
        <references count="4">
          <reference field="5" count="4">
            <x v="87"/>
            <x v="89"/>
            <x v="91"/>
            <x v="114"/>
          </reference>
          <reference field="8" count="1" selected="0">
            <x v="257"/>
          </reference>
          <reference field="11" count="1" selected="0">
            <x v="3"/>
          </reference>
          <reference field="13" count="1" selected="0">
            <x v="110"/>
          </reference>
        </references>
      </pivotArea>
    </format>
    <format dxfId="2889">
      <pivotArea dataOnly="0" labelOnly="1" outline="0" fieldPosition="0">
        <references count="4">
          <reference field="5" count="1">
            <x v="91"/>
          </reference>
          <reference field="8" count="1" selected="0">
            <x v="257"/>
          </reference>
          <reference field="11" count="1" selected="0">
            <x v="3"/>
          </reference>
          <reference field="13" count="1" selected="0">
            <x v="131"/>
          </reference>
        </references>
      </pivotArea>
    </format>
    <format dxfId="2888">
      <pivotArea dataOnly="0" labelOnly="1" outline="0" fieldPosition="0">
        <references count="4">
          <reference field="5" count="1">
            <x v="86"/>
          </reference>
          <reference field="8" count="1" selected="0">
            <x v="257"/>
          </reference>
          <reference field="11" count="1" selected="0">
            <x v="3"/>
          </reference>
          <reference field="13" count="1" selected="0">
            <x v="218"/>
          </reference>
        </references>
      </pivotArea>
    </format>
    <format dxfId="2887">
      <pivotArea dataOnly="0" labelOnly="1" outline="0" fieldPosition="0">
        <references count="4">
          <reference field="5" count="4">
            <x v="86"/>
            <x v="88"/>
            <x v="91"/>
            <x v="114"/>
          </reference>
          <reference field="8" count="1" selected="0">
            <x v="257"/>
          </reference>
          <reference field="11" count="1" selected="0">
            <x v="3"/>
          </reference>
          <reference field="13" count="1" selected="0">
            <x v="240"/>
          </reference>
        </references>
      </pivotArea>
    </format>
    <format dxfId="2886">
      <pivotArea dataOnly="0" labelOnly="1" outline="0" fieldPosition="0">
        <references count="4">
          <reference field="5" count="2">
            <x v="91"/>
            <x v="114"/>
          </reference>
          <reference field="8" count="1" selected="0">
            <x v="257"/>
          </reference>
          <reference field="11" count="1" selected="0">
            <x v="3"/>
          </reference>
          <reference field="13" count="1" selected="0">
            <x v="242"/>
          </reference>
        </references>
      </pivotArea>
    </format>
    <format dxfId="2885">
      <pivotArea dataOnly="0" labelOnly="1" outline="0" fieldPosition="0">
        <references count="4">
          <reference field="5" count="1">
            <x v="114"/>
          </reference>
          <reference field="8" count="1" selected="0">
            <x v="257"/>
          </reference>
          <reference field="11" count="1" selected="0">
            <x v="3"/>
          </reference>
          <reference field="13" count="1" selected="0">
            <x v="243"/>
          </reference>
        </references>
      </pivotArea>
    </format>
    <format dxfId="2884">
      <pivotArea dataOnly="0" labelOnly="1" outline="0" fieldPosition="0">
        <references count="4">
          <reference field="5" count="4">
            <x v="86"/>
            <x v="89"/>
            <x v="91"/>
            <x v="114"/>
          </reference>
          <reference field="8" count="1" selected="0">
            <x v="257"/>
          </reference>
          <reference field="11" count="1" selected="0">
            <x v="3"/>
          </reference>
          <reference field="13" count="1" selected="0">
            <x v="251"/>
          </reference>
        </references>
      </pivotArea>
    </format>
    <format dxfId="2883">
      <pivotArea dataOnly="0" labelOnly="1" outline="0" fieldPosition="0">
        <references count="4">
          <reference field="5" count="7">
            <x v="85"/>
            <x v="86"/>
            <x v="87"/>
            <x v="88"/>
            <x v="89"/>
            <x v="91"/>
            <x v="114"/>
          </reference>
          <reference field="8" count="1" selected="0">
            <x v="257"/>
          </reference>
          <reference field="11" count="1" selected="0">
            <x v="3"/>
          </reference>
          <reference field="13" count="1" selected="0">
            <x v="287"/>
          </reference>
        </references>
      </pivotArea>
    </format>
    <format dxfId="2882">
      <pivotArea dataOnly="0" labelOnly="1" outline="0" fieldPosition="0">
        <references count="4">
          <reference field="5" count="4">
            <x v="87"/>
            <x v="89"/>
            <x v="91"/>
            <x v="114"/>
          </reference>
          <reference field="8" count="1" selected="0">
            <x v="257"/>
          </reference>
          <reference field="11" count="1" selected="0">
            <x v="3"/>
          </reference>
          <reference field="13" count="1" selected="0">
            <x v="305"/>
          </reference>
        </references>
      </pivotArea>
    </format>
    <format dxfId="2881">
      <pivotArea dataOnly="0" labelOnly="1" outline="0" fieldPosition="0">
        <references count="4">
          <reference field="5" count="2">
            <x v="89"/>
            <x v="114"/>
          </reference>
          <reference field="8" count="1" selected="0">
            <x v="257"/>
          </reference>
          <reference field="11" count="1" selected="0">
            <x v="3"/>
          </reference>
          <reference field="13" count="1" selected="0">
            <x v="314"/>
          </reference>
        </references>
      </pivotArea>
    </format>
    <format dxfId="2880">
      <pivotArea dataOnly="0" labelOnly="1" outline="0" fieldPosition="0">
        <references count="4">
          <reference field="5" count="6">
            <x v="85"/>
            <x v="86"/>
            <x v="87"/>
            <x v="89"/>
            <x v="91"/>
            <x v="114"/>
          </reference>
          <reference field="8" count="1" selected="0">
            <x v="257"/>
          </reference>
          <reference field="11" count="1" selected="0">
            <x v="4"/>
          </reference>
          <reference field="13" count="1" selected="0">
            <x v="133"/>
          </reference>
        </references>
      </pivotArea>
    </format>
    <format dxfId="2879">
      <pivotArea dataOnly="0" labelOnly="1" outline="0" fieldPosition="0">
        <references count="4">
          <reference field="5" count="1">
            <x v="89"/>
          </reference>
          <reference field="8" count="1" selected="0">
            <x v="257"/>
          </reference>
          <reference field="11" count="1" selected="0">
            <x v="4"/>
          </reference>
          <reference field="13" count="1" selected="0">
            <x v="150"/>
          </reference>
        </references>
      </pivotArea>
    </format>
    <format dxfId="2878">
      <pivotArea dataOnly="0" labelOnly="1" outline="0" fieldPosition="0">
        <references count="4">
          <reference field="5" count="6">
            <x v="85"/>
            <x v="86"/>
            <x v="88"/>
            <x v="89"/>
            <x v="91"/>
            <x v="114"/>
          </reference>
          <reference field="8" count="1" selected="0">
            <x v="257"/>
          </reference>
          <reference field="11" count="1" selected="0">
            <x v="5"/>
          </reference>
          <reference field="13" count="1" selected="0">
            <x v="77"/>
          </reference>
        </references>
      </pivotArea>
    </format>
    <format dxfId="2877">
      <pivotArea dataOnly="0" labelOnly="1" outline="0" fieldPosition="0">
        <references count="4">
          <reference field="5" count="7">
            <x v="85"/>
            <x v="86"/>
            <x v="87"/>
            <x v="88"/>
            <x v="89"/>
            <x v="91"/>
            <x v="114"/>
          </reference>
          <reference field="8" count="1" selected="0">
            <x v="257"/>
          </reference>
          <reference field="11" count="1" selected="0">
            <x v="5"/>
          </reference>
          <reference field="13" count="1" selected="0">
            <x v="81"/>
          </reference>
        </references>
      </pivotArea>
    </format>
    <format dxfId="2876">
      <pivotArea dataOnly="0" labelOnly="1" outline="0" fieldPosition="0">
        <references count="4">
          <reference field="5" count="2">
            <x v="87"/>
            <x v="114"/>
          </reference>
          <reference field="8" count="1" selected="0">
            <x v="257"/>
          </reference>
          <reference field="11" count="1" selected="0">
            <x v="5"/>
          </reference>
          <reference field="13" count="1" selected="0">
            <x v="255"/>
          </reference>
        </references>
      </pivotArea>
    </format>
    <format dxfId="2875">
      <pivotArea dataOnly="0" labelOnly="1" outline="0" fieldPosition="0">
        <references count="4">
          <reference field="5" count="1">
            <x v="85"/>
          </reference>
          <reference field="8" count="1" selected="0">
            <x v="257"/>
          </reference>
          <reference field="11" count="1" selected="0">
            <x v="5"/>
          </reference>
          <reference field="13" count="1" selected="0">
            <x v="268"/>
          </reference>
        </references>
      </pivotArea>
    </format>
    <format dxfId="2874">
      <pivotArea dataOnly="0" labelOnly="1" outline="0" fieldPosition="0">
        <references count="4">
          <reference field="5" count="1">
            <x v="89"/>
          </reference>
          <reference field="8" count="1" selected="0">
            <x v="257"/>
          </reference>
          <reference field="11" count="1" selected="0">
            <x v="7"/>
          </reference>
          <reference field="13" count="1" selected="0">
            <x v="8"/>
          </reference>
        </references>
      </pivotArea>
    </format>
    <format dxfId="2873">
      <pivotArea dataOnly="0" labelOnly="1" outline="0" fieldPosition="0">
        <references count="4">
          <reference field="5" count="2">
            <x v="85"/>
            <x v="114"/>
          </reference>
          <reference field="8" count="1" selected="0">
            <x v="257"/>
          </reference>
          <reference field="11" count="1" selected="0">
            <x v="7"/>
          </reference>
          <reference field="13" count="1" selected="0">
            <x v="72"/>
          </reference>
        </references>
      </pivotArea>
    </format>
    <format dxfId="2872">
      <pivotArea dataOnly="0" labelOnly="1" outline="0" fieldPosition="0">
        <references count="4">
          <reference field="5" count="2">
            <x v="89"/>
            <x v="114"/>
          </reference>
          <reference field="8" count="1" selected="0">
            <x v="257"/>
          </reference>
          <reference field="11" count="1" selected="0">
            <x v="7"/>
          </reference>
          <reference field="13" count="1" selected="0">
            <x v="129"/>
          </reference>
        </references>
      </pivotArea>
    </format>
    <format dxfId="2871">
      <pivotArea dataOnly="0" labelOnly="1" outline="0" fieldPosition="0">
        <references count="4">
          <reference field="5" count="1">
            <x v="64"/>
          </reference>
          <reference field="8" count="1" selected="0">
            <x v="258"/>
          </reference>
          <reference field="11" count="1" selected="0">
            <x v="1"/>
          </reference>
          <reference field="13" count="1" selected="0">
            <x v="169"/>
          </reference>
        </references>
      </pivotArea>
    </format>
    <format dxfId="2870">
      <pivotArea dataOnly="0" labelOnly="1" outline="0" fieldPosition="0">
        <references count="4">
          <reference field="5" count="1">
            <x v="45"/>
          </reference>
          <reference field="8" count="1" selected="0">
            <x v="259"/>
          </reference>
          <reference field="11" count="1" selected="0">
            <x v="3"/>
          </reference>
          <reference field="13" count="1" selected="0">
            <x v="4"/>
          </reference>
        </references>
      </pivotArea>
    </format>
    <format dxfId="2869">
      <pivotArea dataOnly="0" labelOnly="1" outline="0" fieldPosition="0">
        <references count="4">
          <reference field="5" count="1">
            <x v="117"/>
          </reference>
          <reference field="8" count="1" selected="0">
            <x v="259"/>
          </reference>
          <reference field="11" count="1" selected="0">
            <x v="3"/>
          </reference>
          <reference field="13" count="1" selected="0">
            <x v="29"/>
          </reference>
        </references>
      </pivotArea>
    </format>
    <format dxfId="2868">
      <pivotArea dataOnly="0" labelOnly="1" outline="0" fieldPosition="0">
        <references count="4">
          <reference field="5" count="2">
            <x v="45"/>
            <x v="117"/>
          </reference>
          <reference field="8" count="1" selected="0">
            <x v="259"/>
          </reference>
          <reference field="11" count="1" selected="0">
            <x v="3"/>
          </reference>
          <reference field="13" count="1" selected="0">
            <x v="218"/>
          </reference>
        </references>
      </pivotArea>
    </format>
    <format dxfId="2867">
      <pivotArea dataOnly="0" labelOnly="1" outline="0" fieldPosition="0">
        <references count="4">
          <reference field="5" count="2">
            <x v="45"/>
            <x v="117"/>
          </reference>
          <reference field="8" count="1" selected="0">
            <x v="259"/>
          </reference>
          <reference field="11" count="1" selected="0">
            <x v="3"/>
          </reference>
          <reference field="13" count="1" selected="0">
            <x v="314"/>
          </reference>
        </references>
      </pivotArea>
    </format>
    <format dxfId="2866">
      <pivotArea dataOnly="0" labelOnly="1" outline="0" fieldPosition="0">
        <references count="4">
          <reference field="5" count="2">
            <x v="45"/>
            <x v="116"/>
          </reference>
          <reference field="8" count="1" selected="0">
            <x v="259"/>
          </reference>
          <reference field="11" count="1" selected="0">
            <x v="5"/>
          </reference>
          <reference field="13" count="1" selected="0">
            <x v="81"/>
          </reference>
        </references>
      </pivotArea>
    </format>
    <format dxfId="2865">
      <pivotArea dataOnly="0" labelOnly="1" outline="0" fieldPosition="0">
        <references count="4">
          <reference field="5" count="1">
            <x v="45"/>
          </reference>
          <reference field="8" count="1" selected="0">
            <x v="259"/>
          </reference>
          <reference field="11" count="1" selected="0">
            <x v="5"/>
          </reference>
          <reference field="13" count="1" selected="0">
            <x v="86"/>
          </reference>
        </references>
      </pivotArea>
    </format>
    <format dxfId="2864">
      <pivotArea dataOnly="0" labelOnly="1" outline="0" fieldPosition="0">
        <references count="4">
          <reference field="5" count="1">
            <x v="116"/>
          </reference>
          <reference field="8" count="1" selected="0">
            <x v="259"/>
          </reference>
          <reference field="11" count="1" selected="0">
            <x v="5"/>
          </reference>
          <reference field="13" count="1" selected="0">
            <x v="178"/>
          </reference>
        </references>
      </pivotArea>
    </format>
    <format dxfId="2863">
      <pivotArea dataOnly="0" labelOnly="1" outline="0" fieldPosition="0">
        <references count="4">
          <reference field="5" count="1">
            <x v="45"/>
          </reference>
          <reference field="8" count="1" selected="0">
            <x v="259"/>
          </reference>
          <reference field="11" count="1" selected="0">
            <x v="5"/>
          </reference>
          <reference field="13" count="1" selected="0">
            <x v="229"/>
          </reference>
        </references>
      </pivotArea>
    </format>
    <format dxfId="2862">
      <pivotArea dataOnly="0" labelOnly="1" outline="0" fieldPosition="0">
        <references count="4">
          <reference field="5" count="1">
            <x v="116"/>
          </reference>
          <reference field="8" count="1" selected="0">
            <x v="259"/>
          </reference>
          <reference field="11" count="1" selected="0">
            <x v="5"/>
          </reference>
          <reference field="13" count="1" selected="0">
            <x v="307"/>
          </reference>
        </references>
      </pivotArea>
    </format>
    <format dxfId="2861">
      <pivotArea dataOnly="0" labelOnly="1" outline="0" fieldPosition="0">
        <references count="4">
          <reference field="5" count="1">
            <x v="23"/>
          </reference>
          <reference field="8" count="1" selected="0">
            <x v="260"/>
          </reference>
          <reference field="11" count="1" selected="0">
            <x v="1"/>
          </reference>
          <reference field="13" count="1" selected="0">
            <x v="94"/>
          </reference>
        </references>
      </pivotArea>
    </format>
    <format dxfId="2860">
      <pivotArea dataOnly="0" labelOnly="1" outline="0" fieldPosition="0">
        <references count="4">
          <reference field="5" count="1">
            <x v="117"/>
          </reference>
          <reference field="8" count="1" selected="0">
            <x v="260"/>
          </reference>
          <reference field="11" count="1" selected="0">
            <x v="3"/>
          </reference>
          <reference field="13" count="1" selected="0">
            <x v="29"/>
          </reference>
        </references>
      </pivotArea>
    </format>
    <format dxfId="2859">
      <pivotArea dataOnly="0" labelOnly="1" outline="0" fieldPosition="0">
        <references count="4">
          <reference field="5" count="1">
            <x v="23"/>
          </reference>
          <reference field="8" count="1" selected="0">
            <x v="260"/>
          </reference>
          <reference field="11" count="1" selected="0">
            <x v="3"/>
          </reference>
          <reference field="13" count="1" selected="0">
            <x v="92"/>
          </reference>
        </references>
      </pivotArea>
    </format>
    <format dxfId="2858">
      <pivotArea dataOnly="0" labelOnly="1" outline="0" fieldPosition="0">
        <references count="4">
          <reference field="5" count="1">
            <x v="117"/>
          </reference>
          <reference field="8" count="1" selected="0">
            <x v="260"/>
          </reference>
          <reference field="11" count="1" selected="0">
            <x v="3"/>
          </reference>
          <reference field="13" count="1" selected="0">
            <x v="218"/>
          </reference>
        </references>
      </pivotArea>
    </format>
    <format dxfId="2857">
      <pivotArea dataOnly="0" labelOnly="1" outline="0" fieldPosition="0">
        <references count="4">
          <reference field="5" count="1">
            <x v="117"/>
          </reference>
          <reference field="8" count="1" selected="0">
            <x v="260"/>
          </reference>
          <reference field="11" count="1" selected="0">
            <x v="3"/>
          </reference>
          <reference field="13" count="1" selected="0">
            <x v="314"/>
          </reference>
        </references>
      </pivotArea>
    </format>
    <format dxfId="2856">
      <pivotArea dataOnly="0" labelOnly="1" outline="0" fieldPosition="0">
        <references count="4">
          <reference field="5" count="1">
            <x v="23"/>
          </reference>
          <reference field="8" count="1" selected="0">
            <x v="260"/>
          </reference>
          <reference field="11" count="1" selected="0">
            <x v="4"/>
          </reference>
          <reference field="13" count="1" selected="0">
            <x v="133"/>
          </reference>
        </references>
      </pivotArea>
    </format>
    <format dxfId="2855">
      <pivotArea dataOnly="0" labelOnly="1" outline="0" fieldPosition="0">
        <references count="4">
          <reference field="5" count="1">
            <x v="116"/>
          </reference>
          <reference field="8" count="1" selected="0">
            <x v="260"/>
          </reference>
          <reference field="11" count="1" selected="0">
            <x v="5"/>
          </reference>
          <reference field="13" count="1" selected="0">
            <x v="77"/>
          </reference>
        </references>
      </pivotArea>
    </format>
    <format dxfId="2854">
      <pivotArea dataOnly="0" labelOnly="1" outline="0" fieldPosition="0">
        <references count="4">
          <reference field="5" count="1">
            <x v="117"/>
          </reference>
          <reference field="8" count="1" selected="0">
            <x v="261"/>
          </reference>
          <reference field="11" count="1" selected="0">
            <x v="3"/>
          </reference>
          <reference field="13" count="1" selected="0">
            <x v="29"/>
          </reference>
        </references>
      </pivotArea>
    </format>
    <format dxfId="2853">
      <pivotArea dataOnly="0" labelOnly="1" outline="0" fieldPosition="0">
        <references count="4">
          <reference field="5" count="1">
            <x v="117"/>
          </reference>
          <reference field="8" count="1" selected="0">
            <x v="261"/>
          </reference>
          <reference field="11" count="1" selected="0">
            <x v="3"/>
          </reference>
          <reference field="13" count="1" selected="0">
            <x v="218"/>
          </reference>
        </references>
      </pivotArea>
    </format>
    <format dxfId="2852">
      <pivotArea dataOnly="0" labelOnly="1" outline="0" fieldPosition="0">
        <references count="4">
          <reference field="5" count="1">
            <x v="117"/>
          </reference>
          <reference field="8" count="1" selected="0">
            <x v="261"/>
          </reference>
          <reference field="11" count="1" selected="0">
            <x v="3"/>
          </reference>
          <reference field="13" count="1" selected="0">
            <x v="314"/>
          </reference>
        </references>
      </pivotArea>
    </format>
    <format dxfId="2851">
      <pivotArea dataOnly="0" labelOnly="1" outline="0" fieldPosition="0">
        <references count="4">
          <reference field="5" count="1">
            <x v="20"/>
          </reference>
          <reference field="8" count="1" selected="0">
            <x v="261"/>
          </reference>
          <reference field="11" count="1" selected="0">
            <x v="5"/>
          </reference>
          <reference field="13" count="1" selected="0">
            <x v="77"/>
          </reference>
        </references>
      </pivotArea>
    </format>
    <format dxfId="2850">
      <pivotArea dataOnly="0" labelOnly="1" outline="0" fieldPosition="0">
        <references count="4">
          <reference field="5" count="1">
            <x v="116"/>
          </reference>
          <reference field="8" count="1" selected="0">
            <x v="261"/>
          </reference>
          <reference field="11" count="1" selected="0">
            <x v="5"/>
          </reference>
          <reference field="13" count="1" selected="0">
            <x v="81"/>
          </reference>
        </references>
      </pivotArea>
    </format>
    <format dxfId="2849">
      <pivotArea dataOnly="0" labelOnly="1" outline="0" fieldPosition="0">
        <references count="4">
          <reference field="5" count="1">
            <x v="20"/>
          </reference>
          <reference field="8" count="1" selected="0">
            <x v="262"/>
          </reference>
          <reference field="11" count="1" selected="0">
            <x v="5"/>
          </reference>
          <reference field="13" count="1" selected="0">
            <x v="77"/>
          </reference>
        </references>
      </pivotArea>
    </format>
    <format dxfId="2848">
      <pivotArea dataOnly="0" labelOnly="1" outline="0" fieldPosition="0">
        <references count="4">
          <reference field="5" count="1">
            <x v="70"/>
          </reference>
          <reference field="8" count="1" selected="0">
            <x v="263"/>
          </reference>
          <reference field="11" count="1" selected="0">
            <x v="1"/>
          </reference>
          <reference field="13" count="1" selected="0">
            <x v="286"/>
          </reference>
        </references>
      </pivotArea>
    </format>
    <format dxfId="2847">
      <pivotArea dataOnly="0" labelOnly="1" outline="0" fieldPosition="0">
        <references count="4">
          <reference field="5" count="1">
            <x v="0"/>
          </reference>
          <reference field="8" count="1" selected="0">
            <x v="264"/>
          </reference>
          <reference field="11" count="1" selected="0">
            <x v="0"/>
          </reference>
          <reference field="13" count="1" selected="0">
            <x v="283"/>
          </reference>
        </references>
      </pivotArea>
    </format>
    <format dxfId="2846">
      <pivotArea dataOnly="0" labelOnly="1" outline="0" fieldPosition="0">
        <references count="4">
          <reference field="5" count="1">
            <x v="116"/>
          </reference>
          <reference field="8" count="1" selected="0">
            <x v="264"/>
          </reference>
          <reference field="11" count="1" selected="0">
            <x v="5"/>
          </reference>
          <reference field="13" count="1" selected="0">
            <x v="81"/>
          </reference>
        </references>
      </pivotArea>
    </format>
    <format dxfId="2845">
      <pivotArea dataOnly="0" labelOnly="1" outline="0" fieldPosition="0">
        <references count="4">
          <reference field="5" count="1">
            <x v="116"/>
          </reference>
          <reference field="8" count="1" selected="0">
            <x v="264"/>
          </reference>
          <reference field="11" count="1" selected="0">
            <x v="5"/>
          </reference>
          <reference field="13" count="1" selected="0">
            <x v="117"/>
          </reference>
        </references>
      </pivotArea>
    </format>
    <format dxfId="2844">
      <pivotArea dataOnly="0" labelOnly="1" outline="0" fieldPosition="0">
        <references count="4">
          <reference field="5" count="1">
            <x v="32"/>
          </reference>
          <reference field="8" count="1" selected="0">
            <x v="265"/>
          </reference>
          <reference field="11" count="1" selected="0">
            <x v="1"/>
          </reference>
          <reference field="13" count="1" selected="0">
            <x v="286"/>
          </reference>
        </references>
      </pivotArea>
    </format>
    <format dxfId="2843">
      <pivotArea dataOnly="0" labelOnly="1" outline="0" fieldPosition="0">
        <references count="4">
          <reference field="5" count="2">
            <x v="3"/>
            <x v="4"/>
          </reference>
          <reference field="8" count="1" selected="0">
            <x v="266"/>
          </reference>
          <reference field="11" count="1" selected="0">
            <x v="5"/>
          </reference>
          <reference field="13" count="1" selected="0">
            <x v="77"/>
          </reference>
        </references>
      </pivotArea>
    </format>
    <format dxfId="2842">
      <pivotArea dataOnly="0" labelOnly="1" outline="0" fieldPosition="0">
        <references count="4">
          <reference field="5" count="1">
            <x v="20"/>
          </reference>
          <reference field="8" count="1" selected="0">
            <x v="268"/>
          </reference>
          <reference field="11" count="1" selected="0">
            <x v="5"/>
          </reference>
          <reference field="13" count="1" selected="0">
            <x v="77"/>
          </reference>
        </references>
      </pivotArea>
    </format>
    <format dxfId="2841">
      <pivotArea dataOnly="0" labelOnly="1" outline="0" fieldPosition="0">
        <references count="4">
          <reference field="5" count="1">
            <x v="65"/>
          </reference>
          <reference field="8" count="1" selected="0">
            <x v="269"/>
          </reference>
          <reference field="11" count="1" selected="0">
            <x v="2"/>
          </reference>
          <reference field="13" count="1" selected="0">
            <x v="279"/>
          </reference>
        </references>
      </pivotArea>
    </format>
    <format dxfId="2840">
      <pivotArea dataOnly="0" labelOnly="1" outline="0" fieldPosition="0">
        <references count="4">
          <reference field="5" count="1">
            <x v="64"/>
          </reference>
          <reference field="8" count="1" selected="0">
            <x v="270"/>
          </reference>
          <reference field="11" count="1" selected="0">
            <x v="1"/>
          </reference>
          <reference field="13" count="1" selected="0">
            <x v="171"/>
          </reference>
        </references>
      </pivotArea>
    </format>
    <format dxfId="2839">
      <pivotArea dataOnly="0" labelOnly="1" outline="0" fieldPosition="0">
        <references count="4">
          <reference field="5" count="1">
            <x v="60"/>
          </reference>
          <reference field="8" count="1" selected="0">
            <x v="271"/>
          </reference>
          <reference field="11" count="1" selected="0">
            <x v="1"/>
          </reference>
          <reference field="13" count="1" selected="0">
            <x v="75"/>
          </reference>
        </references>
      </pivotArea>
    </format>
    <format dxfId="2838">
      <pivotArea dataOnly="0" labelOnly="1" outline="0" fieldPosition="0">
        <references count="4">
          <reference field="5" count="2">
            <x v="116"/>
            <x v="117"/>
          </reference>
          <reference field="8" count="1" selected="0">
            <x v="272"/>
          </reference>
          <reference field="11" count="1" selected="0">
            <x v="3"/>
          </reference>
          <reference field="13" count="1" selected="0">
            <x v="29"/>
          </reference>
        </references>
      </pivotArea>
    </format>
    <format dxfId="2837">
      <pivotArea dataOnly="0" labelOnly="1" outline="0" fieldPosition="0">
        <references count="4">
          <reference field="5" count="1">
            <x v="117"/>
          </reference>
          <reference field="8" count="1" selected="0">
            <x v="272"/>
          </reference>
          <reference field="11" count="1" selected="0">
            <x v="3"/>
          </reference>
          <reference field="13" count="1" selected="0">
            <x v="218"/>
          </reference>
        </references>
      </pivotArea>
    </format>
    <format dxfId="2836">
      <pivotArea dataOnly="0" labelOnly="1" outline="0" fieldPosition="0">
        <references count="4">
          <reference field="5" count="1">
            <x v="32"/>
          </reference>
          <reference field="8" count="1" selected="0">
            <x v="272"/>
          </reference>
          <reference field="11" count="1" selected="0">
            <x v="3"/>
          </reference>
          <reference field="13" count="1" selected="0">
            <x v="240"/>
          </reference>
        </references>
      </pivotArea>
    </format>
    <format dxfId="2835">
      <pivotArea dataOnly="0" labelOnly="1" outline="0" fieldPosition="0">
        <references count="4">
          <reference field="5" count="1">
            <x v="32"/>
          </reference>
          <reference field="8" count="1" selected="0">
            <x v="272"/>
          </reference>
          <reference field="11" count="1" selected="0">
            <x v="3"/>
          </reference>
          <reference field="13" count="1" selected="0">
            <x v="287"/>
          </reference>
        </references>
      </pivotArea>
    </format>
    <format dxfId="2834">
      <pivotArea dataOnly="0" labelOnly="1" outline="0" fieldPosition="0">
        <references count="4">
          <reference field="5" count="1">
            <x v="117"/>
          </reference>
          <reference field="8" count="1" selected="0">
            <x v="272"/>
          </reference>
          <reference field="11" count="1" selected="0">
            <x v="3"/>
          </reference>
          <reference field="13" count="1" selected="0">
            <x v="314"/>
          </reference>
        </references>
      </pivotArea>
    </format>
    <format dxfId="2833">
      <pivotArea dataOnly="0" labelOnly="1" outline="0" fieldPosition="0">
        <references count="4">
          <reference field="5" count="1">
            <x v="32"/>
          </reference>
          <reference field="8" count="1" selected="0">
            <x v="272"/>
          </reference>
          <reference field="11" count="1" selected="0">
            <x v="4"/>
          </reference>
          <reference field="13" count="1" selected="0">
            <x v="133"/>
          </reference>
        </references>
      </pivotArea>
    </format>
    <format dxfId="2832">
      <pivotArea dataOnly="0" labelOnly="1" outline="0" fieldPosition="0">
        <references count="4">
          <reference field="5" count="1">
            <x v="116"/>
          </reference>
          <reference field="8" count="1" selected="0">
            <x v="272"/>
          </reference>
          <reference field="11" count="1" selected="0">
            <x v="5"/>
          </reference>
          <reference field="13" count="1" selected="0">
            <x v="81"/>
          </reference>
        </references>
      </pivotArea>
    </format>
    <format dxfId="2831">
      <pivotArea dataOnly="0" labelOnly="1" outline="0" fieldPosition="0">
        <references count="4">
          <reference field="5" count="1">
            <x v="103"/>
          </reference>
          <reference field="8" count="1" selected="0">
            <x v="274"/>
          </reference>
          <reference field="11" count="1" selected="0">
            <x v="3"/>
          </reference>
          <reference field="13" count="1" selected="0">
            <x v="287"/>
          </reference>
        </references>
      </pivotArea>
    </format>
    <format dxfId="2830">
      <pivotArea dataOnly="0" labelOnly="1" outline="0" fieldPosition="0">
        <references count="4">
          <reference field="5" count="1">
            <x v="103"/>
          </reference>
          <reference field="8" count="1" selected="0">
            <x v="274"/>
          </reference>
          <reference field="11" count="1" selected="0">
            <x v="4"/>
          </reference>
          <reference field="13" count="1" selected="0">
            <x v="133"/>
          </reference>
        </references>
      </pivotArea>
    </format>
    <format dxfId="2829">
      <pivotArea dataOnly="0" labelOnly="1" outline="0" fieldPosition="0">
        <references count="4">
          <reference field="5" count="1">
            <x v="64"/>
          </reference>
          <reference field="8" count="1" selected="0">
            <x v="275"/>
          </reference>
          <reference field="11" count="1" selected="0">
            <x v="1"/>
          </reference>
          <reference field="13" count="1" selected="0">
            <x v="169"/>
          </reference>
        </references>
      </pivotArea>
    </format>
    <format dxfId="2828">
      <pivotArea dataOnly="0" labelOnly="1" outline="0" fieldPosition="0">
        <references count="4">
          <reference field="5" count="1">
            <x v="29"/>
          </reference>
          <reference field="8" count="1" selected="0">
            <x v="275"/>
          </reference>
          <reference field="11" count="1" selected="0">
            <x v="3"/>
          </reference>
          <reference field="13" count="1" selected="0">
            <x v="17"/>
          </reference>
        </references>
      </pivotArea>
    </format>
    <format dxfId="2827">
      <pivotArea dataOnly="0" labelOnly="1" outline="0" fieldPosition="0">
        <references count="4">
          <reference field="5" count="1">
            <x v="29"/>
          </reference>
          <reference field="8" count="1" selected="0">
            <x v="275"/>
          </reference>
          <reference field="11" count="1" selected="0">
            <x v="3"/>
          </reference>
          <reference field="13" count="1" selected="0">
            <x v="69"/>
          </reference>
        </references>
      </pivotArea>
    </format>
    <format dxfId="2826">
      <pivotArea dataOnly="0" labelOnly="1" outline="0" fieldPosition="0">
        <references count="4">
          <reference field="5" count="1">
            <x v="29"/>
          </reference>
          <reference field="8" count="1" selected="0">
            <x v="275"/>
          </reference>
          <reference field="11" count="1" selected="0">
            <x v="3"/>
          </reference>
          <reference field="13" count="1" selected="0">
            <x v="305"/>
          </reference>
        </references>
      </pivotArea>
    </format>
    <format dxfId="2825">
      <pivotArea dataOnly="0" labelOnly="1" outline="0" fieldPosition="0">
        <references count="4">
          <reference field="5" count="1">
            <x v="110"/>
          </reference>
          <reference field="8" count="1" selected="0">
            <x v="276"/>
          </reference>
          <reference field="11" count="1" selected="0">
            <x v="3"/>
          </reference>
          <reference field="13" count="1" selected="0">
            <x v="32"/>
          </reference>
        </references>
      </pivotArea>
    </format>
    <format dxfId="2824">
      <pivotArea dataOnly="0" labelOnly="1" outline="0" fieldPosition="0">
        <references count="4">
          <reference field="5" count="1">
            <x v="110"/>
          </reference>
          <reference field="8" count="1" selected="0">
            <x v="276"/>
          </reference>
          <reference field="11" count="1" selected="0">
            <x v="3"/>
          </reference>
          <reference field="13" count="1" selected="0">
            <x v="92"/>
          </reference>
        </references>
      </pivotArea>
    </format>
    <format dxfId="2823">
      <pivotArea dataOnly="0" labelOnly="1" outline="0" fieldPosition="0">
        <references count="4">
          <reference field="5" count="1">
            <x v="110"/>
          </reference>
          <reference field="8" count="1" selected="0">
            <x v="276"/>
          </reference>
          <reference field="11" count="1" selected="0">
            <x v="3"/>
          </reference>
          <reference field="13" count="1" selected="0">
            <x v="242"/>
          </reference>
        </references>
      </pivotArea>
    </format>
    <format dxfId="2822">
      <pivotArea dataOnly="0" labelOnly="1" outline="0" fieldPosition="0">
        <references count="4">
          <reference field="5" count="2">
            <x v="116"/>
            <x v="117"/>
          </reference>
          <reference field="8" count="1" selected="0">
            <x v="276"/>
          </reference>
          <reference field="11" count="1" selected="0">
            <x v="3"/>
          </reference>
          <reference field="13" count="1" selected="0">
            <x v="287"/>
          </reference>
        </references>
      </pivotArea>
    </format>
    <format dxfId="2821">
      <pivotArea dataOnly="0" labelOnly="1" outline="0" fieldPosition="0">
        <references count="4">
          <reference field="5" count="1">
            <x v="20"/>
          </reference>
          <reference field="8" count="1" selected="0">
            <x v="276"/>
          </reference>
          <reference field="11" count="1" selected="0">
            <x v="5"/>
          </reference>
          <reference field="13" count="1" selected="0">
            <x v="255"/>
          </reference>
        </references>
      </pivotArea>
    </format>
    <format dxfId="2820">
      <pivotArea dataOnly="0" labelOnly="1" outline="0" fieldPosition="0">
        <references count="4">
          <reference field="5" count="1">
            <x v="103"/>
          </reference>
          <reference field="8" count="1" selected="0">
            <x v="277"/>
          </reference>
          <reference field="11" count="1" selected="0">
            <x v="3"/>
          </reference>
          <reference field="13" count="1" selected="0">
            <x v="7"/>
          </reference>
        </references>
      </pivotArea>
    </format>
    <format dxfId="2819">
      <pivotArea dataOnly="0" labelOnly="1" outline="0" fieldPosition="0">
        <references count="4">
          <reference field="5" count="1">
            <x v="103"/>
          </reference>
          <reference field="8" count="1" selected="0">
            <x v="277"/>
          </reference>
          <reference field="11" count="1" selected="0">
            <x v="3"/>
          </reference>
          <reference field="13" count="1" selected="0">
            <x v="134"/>
          </reference>
        </references>
      </pivotArea>
    </format>
    <format dxfId="2818">
      <pivotArea dataOnly="0" labelOnly="1" outline="0" fieldPosition="0">
        <references count="4">
          <reference field="5" count="1">
            <x v="103"/>
          </reference>
          <reference field="8" count="1" selected="0">
            <x v="277"/>
          </reference>
          <reference field="11" count="1" selected="0">
            <x v="3"/>
          </reference>
          <reference field="13" count="1" selected="0">
            <x v="242"/>
          </reference>
        </references>
      </pivotArea>
    </format>
    <format dxfId="2817">
      <pivotArea dataOnly="0" labelOnly="1" outline="0" fieldPosition="0">
        <references count="4">
          <reference field="5" count="1">
            <x v="103"/>
          </reference>
          <reference field="8" count="1" selected="0">
            <x v="277"/>
          </reference>
          <reference field="11" count="1" selected="0">
            <x v="3"/>
          </reference>
          <reference field="13" count="1" selected="0">
            <x v="287"/>
          </reference>
        </references>
      </pivotArea>
    </format>
    <format dxfId="2816">
      <pivotArea dataOnly="0" labelOnly="1" outline="0" fieldPosition="0">
        <references count="4">
          <reference field="5" count="1">
            <x v="103"/>
          </reference>
          <reference field="8" count="1" selected="0">
            <x v="277"/>
          </reference>
          <reference field="11" count="1" selected="0">
            <x v="5"/>
          </reference>
          <reference field="13" count="1" selected="0">
            <x v="77"/>
          </reference>
        </references>
      </pivotArea>
    </format>
    <format dxfId="2815">
      <pivotArea dataOnly="0" labelOnly="1" outline="0" fieldPosition="0">
        <references count="4">
          <reference field="5" count="1">
            <x v="103"/>
          </reference>
          <reference field="8" count="1" selected="0">
            <x v="277"/>
          </reference>
          <reference field="11" count="1" selected="0">
            <x v="5"/>
          </reference>
          <reference field="13" count="1" selected="0">
            <x v="81"/>
          </reference>
        </references>
      </pivotArea>
    </format>
    <format dxfId="2814">
      <pivotArea dataOnly="0" labelOnly="1" outline="0" fieldPosition="0">
        <references count="4">
          <reference field="5" count="1">
            <x v="103"/>
          </reference>
          <reference field="8" count="1" selected="0">
            <x v="277"/>
          </reference>
          <reference field="11" count="1" selected="0">
            <x v="7"/>
          </reference>
          <reference field="13" count="1" selected="0">
            <x v="93"/>
          </reference>
        </references>
      </pivotArea>
    </format>
    <format dxfId="2813">
      <pivotArea dataOnly="0" labelOnly="1" outline="0" fieldPosition="0">
        <references count="4">
          <reference field="5" count="1">
            <x v="20"/>
          </reference>
          <reference field="8" count="1" selected="0">
            <x v="278"/>
          </reference>
          <reference field="11" count="1" selected="0">
            <x v="5"/>
          </reference>
          <reference field="13" count="1" selected="0">
            <x v="77"/>
          </reference>
        </references>
      </pivotArea>
    </format>
    <format dxfId="2812">
      <pivotArea dataOnly="0" labelOnly="1" outline="0" fieldPosition="0">
        <references count="4">
          <reference field="5" count="1">
            <x v="20"/>
          </reference>
          <reference field="8" count="1" selected="0">
            <x v="281"/>
          </reference>
          <reference field="11" count="1" selected="0">
            <x v="5"/>
          </reference>
          <reference field="13" count="1" selected="0">
            <x v="77"/>
          </reference>
        </references>
      </pivotArea>
    </format>
    <format dxfId="2811">
      <pivotArea dataOnly="0" labelOnly="1" outline="0" fieldPosition="0">
        <references count="4">
          <reference field="5" count="1">
            <x v="20"/>
          </reference>
          <reference field="8" count="1" selected="0">
            <x v="284"/>
          </reference>
          <reference field="11" count="1" selected="0">
            <x v="5"/>
          </reference>
          <reference field="13" count="1" selected="0">
            <x v="77"/>
          </reference>
        </references>
      </pivotArea>
    </format>
    <format dxfId="2810">
      <pivotArea dataOnly="0" labelOnly="1" outline="0" fieldPosition="0">
        <references count="4">
          <reference field="5" count="1">
            <x v="117"/>
          </reference>
          <reference field="8" count="1" selected="0">
            <x v="286"/>
          </reference>
          <reference field="11" count="1" selected="0">
            <x v="3"/>
          </reference>
          <reference field="13" count="1" selected="0">
            <x v="29"/>
          </reference>
        </references>
      </pivotArea>
    </format>
    <format dxfId="2809">
      <pivotArea dataOnly="0" labelOnly="1" outline="0" fieldPosition="0">
        <references count="4">
          <reference field="5" count="1">
            <x v="117"/>
          </reference>
          <reference field="8" count="1" selected="0">
            <x v="286"/>
          </reference>
          <reference field="11" count="1" selected="0">
            <x v="3"/>
          </reference>
          <reference field="13" count="1" selected="0">
            <x v="218"/>
          </reference>
        </references>
      </pivotArea>
    </format>
    <format dxfId="2808">
      <pivotArea dataOnly="0" labelOnly="1" outline="0" fieldPosition="0">
        <references count="4">
          <reference field="5" count="1">
            <x v="101"/>
          </reference>
          <reference field="8" count="1" selected="0">
            <x v="286"/>
          </reference>
          <reference field="11" count="1" selected="0">
            <x v="3"/>
          </reference>
          <reference field="13" count="1" selected="0">
            <x v="287"/>
          </reference>
        </references>
      </pivotArea>
    </format>
    <format dxfId="2807">
      <pivotArea dataOnly="0" labelOnly="1" outline="0" fieldPosition="0">
        <references count="4">
          <reference field="5" count="1">
            <x v="117"/>
          </reference>
          <reference field="8" count="1" selected="0">
            <x v="286"/>
          </reference>
          <reference field="11" count="1" selected="0">
            <x v="3"/>
          </reference>
          <reference field="13" count="1" selected="0">
            <x v="314"/>
          </reference>
        </references>
      </pivotArea>
    </format>
    <format dxfId="2806">
      <pivotArea dataOnly="0" labelOnly="1" outline="0" fieldPosition="0">
        <references count="4">
          <reference field="5" count="1">
            <x v="0"/>
          </reference>
          <reference field="8" count="1" selected="0">
            <x v="288"/>
          </reference>
          <reference field="11" count="1" selected="0">
            <x v="3"/>
          </reference>
          <reference field="13" count="1" selected="0">
            <x v="287"/>
          </reference>
        </references>
      </pivotArea>
    </format>
    <format dxfId="2805">
      <pivotArea dataOnly="0" labelOnly="1" outline="0" fieldPosition="0">
        <references count="4">
          <reference field="5" count="2">
            <x v="20"/>
            <x v="116"/>
          </reference>
          <reference field="8" count="1" selected="0">
            <x v="288"/>
          </reference>
          <reference field="11" count="1" selected="0">
            <x v="5"/>
          </reference>
          <reference field="13" count="1" selected="0">
            <x v="77"/>
          </reference>
        </references>
      </pivotArea>
    </format>
    <format dxfId="2804">
      <pivotArea dataOnly="0" labelOnly="1" outline="0" fieldPosition="0">
        <references count="4">
          <reference field="5" count="1">
            <x v="116"/>
          </reference>
          <reference field="8" count="1" selected="0">
            <x v="288"/>
          </reference>
          <reference field="11" count="1" selected="0">
            <x v="5"/>
          </reference>
          <reference field="13" count="1" selected="0">
            <x v="306"/>
          </reference>
        </references>
      </pivotArea>
    </format>
    <format dxfId="2803">
      <pivotArea dataOnly="0" labelOnly="1" outline="0" fieldPosition="0">
        <references count="4">
          <reference field="5" count="1">
            <x v="108"/>
          </reference>
          <reference field="8" count="1" selected="0">
            <x v="290"/>
          </reference>
          <reference field="11" count="1" selected="0">
            <x v="1"/>
          </reference>
          <reference field="13" count="1" selected="0">
            <x v="149"/>
          </reference>
        </references>
      </pivotArea>
    </format>
    <format dxfId="2802">
      <pivotArea dataOnly="0" labelOnly="1" outline="0" fieldPosition="0">
        <references count="4">
          <reference field="5" count="1">
            <x v="116"/>
          </reference>
          <reference field="8" count="1" selected="0">
            <x v="290"/>
          </reference>
          <reference field="11" count="1" selected="0">
            <x v="5"/>
          </reference>
          <reference field="13" count="1" selected="0">
            <x v="77"/>
          </reference>
        </references>
      </pivotArea>
    </format>
    <format dxfId="2801">
      <pivotArea dataOnly="0" labelOnly="1" outline="0" fieldPosition="0">
        <references count="4">
          <reference field="5" count="1">
            <x v="64"/>
          </reference>
          <reference field="8" count="1" selected="0">
            <x v="293"/>
          </reference>
          <reference field="11" count="1" selected="0">
            <x v="1"/>
          </reference>
          <reference field="13" count="1" selected="0">
            <x v="59"/>
          </reference>
        </references>
      </pivotArea>
    </format>
    <format dxfId="2800">
      <pivotArea dataOnly="0" labelOnly="1" outline="0" fieldPosition="0">
        <references count="4">
          <reference field="5" count="1">
            <x v="64"/>
          </reference>
          <reference field="8" count="1" selected="0">
            <x v="293"/>
          </reference>
          <reference field="11" count="1" selected="0">
            <x v="1"/>
          </reference>
          <reference field="13" count="1" selected="0">
            <x v="130"/>
          </reference>
        </references>
      </pivotArea>
    </format>
    <format dxfId="2799">
      <pivotArea dataOnly="0" labelOnly="1" outline="0" fieldPosition="0">
        <references count="4">
          <reference field="5" count="1">
            <x v="64"/>
          </reference>
          <reference field="8" count="1" selected="0">
            <x v="293"/>
          </reference>
          <reference field="11" count="1" selected="0">
            <x v="3"/>
          </reference>
          <reference field="13" count="1" selected="0">
            <x v="69"/>
          </reference>
        </references>
      </pivotArea>
    </format>
    <format dxfId="2798">
      <pivotArea dataOnly="0" labelOnly="1" outline="0" fieldPosition="0">
        <references count="4">
          <reference field="5" count="1">
            <x v="64"/>
          </reference>
          <reference field="8" count="1" selected="0">
            <x v="293"/>
          </reference>
          <reference field="11" count="1" selected="0">
            <x v="5"/>
          </reference>
          <reference field="13" count="1" selected="0">
            <x v="96"/>
          </reference>
        </references>
      </pivotArea>
    </format>
    <format dxfId="2797">
      <pivotArea dataOnly="0" labelOnly="1" outline="0" fieldPosition="0">
        <references count="4">
          <reference field="5" count="1">
            <x v="64"/>
          </reference>
          <reference field="8" count="1" selected="0">
            <x v="293"/>
          </reference>
          <reference field="11" count="1" selected="0">
            <x v="5"/>
          </reference>
          <reference field="13" count="1" selected="0">
            <x v="229"/>
          </reference>
        </references>
      </pivotArea>
    </format>
    <format dxfId="2796">
      <pivotArea dataOnly="0" labelOnly="1" outline="0" fieldPosition="0">
        <references count="4">
          <reference field="5" count="1">
            <x v="52"/>
          </reference>
          <reference field="8" count="1" selected="0">
            <x v="295"/>
          </reference>
          <reference field="11" count="1" selected="0">
            <x v="1"/>
          </reference>
          <reference field="13" count="1" selected="0">
            <x v="151"/>
          </reference>
        </references>
      </pivotArea>
    </format>
    <format dxfId="2795">
      <pivotArea dataOnly="0" labelOnly="1" outline="0" fieldPosition="0">
        <references count="4">
          <reference field="5" count="1">
            <x v="47"/>
          </reference>
          <reference field="8" count="1" selected="0">
            <x v="296"/>
          </reference>
          <reference field="11" count="1" selected="0">
            <x v="1"/>
          </reference>
          <reference field="13" count="1" selected="0">
            <x v="286"/>
          </reference>
        </references>
      </pivotArea>
    </format>
    <format dxfId="2794">
      <pivotArea dataOnly="0" labelOnly="1" outline="0" fieldPosition="0">
        <references count="4">
          <reference field="5" count="1">
            <x v="101"/>
          </reference>
          <reference field="8" count="1" selected="0">
            <x v="296"/>
          </reference>
          <reference field="11" count="1" selected="0">
            <x v="3"/>
          </reference>
          <reference field="13" count="1" selected="0">
            <x v="242"/>
          </reference>
        </references>
      </pivotArea>
    </format>
    <format dxfId="2793">
      <pivotArea dataOnly="0" labelOnly="1" outline="0" fieldPosition="0">
        <references count="4">
          <reference field="5" count="1">
            <x v="101"/>
          </reference>
          <reference field="8" count="1" selected="0">
            <x v="296"/>
          </reference>
          <reference field="11" count="1" selected="0">
            <x v="3"/>
          </reference>
          <reference field="13" count="1" selected="0">
            <x v="243"/>
          </reference>
        </references>
      </pivotArea>
    </format>
    <format dxfId="2792">
      <pivotArea dataOnly="0" labelOnly="1" outline="0" fieldPosition="0">
        <references count="4">
          <reference field="5" count="1">
            <x v="116"/>
          </reference>
          <reference field="8" count="1" selected="0">
            <x v="296"/>
          </reference>
          <reference field="11" count="1" selected="0">
            <x v="5"/>
          </reference>
          <reference field="13" count="1" selected="0">
            <x v="81"/>
          </reference>
        </references>
      </pivotArea>
    </format>
    <format dxfId="2791">
      <pivotArea dataOnly="0" labelOnly="1" outline="0" fieldPosition="0">
        <references count="4">
          <reference field="5" count="1">
            <x v="63"/>
          </reference>
          <reference field="8" count="1" selected="0">
            <x v="297"/>
          </reference>
          <reference field="11" count="1" selected="0">
            <x v="1"/>
          </reference>
          <reference field="13" count="1" selected="0">
            <x v="113"/>
          </reference>
        </references>
      </pivotArea>
    </format>
    <format dxfId="2790">
      <pivotArea dataOnly="0" labelOnly="1" outline="0" fieldPosition="0">
        <references count="4">
          <reference field="5" count="1">
            <x v="63"/>
          </reference>
          <reference field="8" count="1" selected="0">
            <x v="297"/>
          </reference>
          <reference field="11" count="1" selected="0">
            <x v="3"/>
          </reference>
          <reference field="13" count="1" selected="0">
            <x v="32"/>
          </reference>
        </references>
      </pivotArea>
    </format>
    <format dxfId="2789">
      <pivotArea dataOnly="0" labelOnly="1" outline="0" fieldPosition="0">
        <references count="4">
          <reference field="5" count="1">
            <x v="63"/>
          </reference>
          <reference field="8" count="1" selected="0">
            <x v="297"/>
          </reference>
          <reference field="11" count="1" selected="0">
            <x v="3"/>
          </reference>
          <reference field="13" count="1" selected="0">
            <x v="287"/>
          </reference>
        </references>
      </pivotArea>
    </format>
    <format dxfId="2788">
      <pivotArea dataOnly="0" labelOnly="1" outline="0" fieldPosition="0">
        <references count="4">
          <reference field="5" count="1">
            <x v="63"/>
          </reference>
          <reference field="8" count="1" selected="0">
            <x v="297"/>
          </reference>
          <reference field="11" count="1" selected="0">
            <x v="4"/>
          </reference>
          <reference field="13" count="1" selected="0">
            <x v="158"/>
          </reference>
        </references>
      </pivotArea>
    </format>
    <format dxfId="2787">
      <pivotArea dataOnly="0" labelOnly="1" outline="0" fieldPosition="0">
        <references count="4">
          <reference field="5" count="1">
            <x v="63"/>
          </reference>
          <reference field="8" count="1" selected="0">
            <x v="297"/>
          </reference>
          <reference field="11" count="1" selected="0">
            <x v="4"/>
          </reference>
          <reference field="13" count="1" selected="0">
            <x v="280"/>
          </reference>
        </references>
      </pivotArea>
    </format>
    <format dxfId="2786">
      <pivotArea dataOnly="0" labelOnly="1" outline="0" fieldPosition="0">
        <references count="4">
          <reference field="5" count="1">
            <x v="63"/>
          </reference>
          <reference field="8" count="1" selected="0">
            <x v="298"/>
          </reference>
          <reference field="11" count="1" selected="0">
            <x v="1"/>
          </reference>
          <reference field="13" count="1" selected="0">
            <x v="103"/>
          </reference>
        </references>
      </pivotArea>
    </format>
    <format dxfId="2785">
      <pivotArea dataOnly="0" labelOnly="1" outline="0" fieldPosition="0">
        <references count="4">
          <reference field="5" count="1">
            <x v="63"/>
          </reference>
          <reference field="8" count="1" selected="0">
            <x v="298"/>
          </reference>
          <reference field="11" count="1" selected="0">
            <x v="1"/>
          </reference>
          <reference field="13" count="1" selected="0">
            <x v="286"/>
          </reference>
        </references>
      </pivotArea>
    </format>
    <format dxfId="2784">
      <pivotArea dataOnly="0" labelOnly="1" outline="0" fieldPosition="0">
        <references count="4">
          <reference field="5" count="1">
            <x v="63"/>
          </reference>
          <reference field="8" count="1" selected="0">
            <x v="298"/>
          </reference>
          <reference field="11" count="1" selected="0">
            <x v="3"/>
          </reference>
          <reference field="13" count="1" selected="0">
            <x v="17"/>
          </reference>
        </references>
      </pivotArea>
    </format>
    <format dxfId="2783">
      <pivotArea dataOnly="0" labelOnly="1" outline="0" fieldPosition="0">
        <references count="4">
          <reference field="5" count="1">
            <x v="63"/>
          </reference>
          <reference field="8" count="1" selected="0">
            <x v="298"/>
          </reference>
          <reference field="11" count="1" selected="0">
            <x v="3"/>
          </reference>
          <reference field="13" count="1" selected="0">
            <x v="32"/>
          </reference>
        </references>
      </pivotArea>
    </format>
    <format dxfId="2782">
      <pivotArea dataOnly="0" labelOnly="1" outline="0" fieldPosition="0">
        <references count="4">
          <reference field="5" count="1">
            <x v="101"/>
          </reference>
          <reference field="8" count="1" selected="0">
            <x v="298"/>
          </reference>
          <reference field="11" count="1" selected="0">
            <x v="3"/>
          </reference>
          <reference field="13" count="1" selected="0">
            <x v="242"/>
          </reference>
        </references>
      </pivotArea>
    </format>
    <format dxfId="2781">
      <pivotArea dataOnly="0" labelOnly="1" outline="0" fieldPosition="0">
        <references count="4">
          <reference field="5" count="2">
            <x v="63"/>
            <x v="101"/>
          </reference>
          <reference field="8" count="1" selected="0">
            <x v="298"/>
          </reference>
          <reference field="11" count="1" selected="0">
            <x v="3"/>
          </reference>
          <reference field="13" count="1" selected="0">
            <x v="243"/>
          </reference>
        </references>
      </pivotArea>
    </format>
    <format dxfId="2780">
      <pivotArea dataOnly="0" labelOnly="1" outline="0" fieldPosition="0">
        <references count="4">
          <reference field="5" count="1">
            <x v="63"/>
          </reference>
          <reference field="8" count="1" selected="0">
            <x v="298"/>
          </reference>
          <reference field="11" count="1" selected="0">
            <x v="3"/>
          </reference>
          <reference field="13" count="1" selected="0">
            <x v="287"/>
          </reference>
        </references>
      </pivotArea>
    </format>
    <format dxfId="2779">
      <pivotArea dataOnly="0" labelOnly="1" outline="0" fieldPosition="0">
        <references count="4">
          <reference field="5" count="1">
            <x v="63"/>
          </reference>
          <reference field="8" count="1" selected="0">
            <x v="298"/>
          </reference>
          <reference field="11" count="1" selected="0">
            <x v="3"/>
          </reference>
          <reference field="13" count="1" selected="0">
            <x v="305"/>
          </reference>
        </references>
      </pivotArea>
    </format>
    <format dxfId="2778">
      <pivotArea dataOnly="0" labelOnly="1" outline="0" fieldPosition="0">
        <references count="4">
          <reference field="5" count="1">
            <x v="20"/>
          </reference>
          <reference field="8" count="1" selected="0">
            <x v="298"/>
          </reference>
          <reference field="11" count="1" selected="0">
            <x v="5"/>
          </reference>
          <reference field="13" count="1" selected="0">
            <x v="81"/>
          </reference>
        </references>
      </pivotArea>
    </format>
    <format dxfId="2777">
      <pivotArea dataOnly="0" labelOnly="1" outline="0" fieldPosition="0">
        <references count="4">
          <reference field="5" count="1">
            <x v="63"/>
          </reference>
          <reference field="8" count="1" selected="0">
            <x v="298"/>
          </reference>
          <reference field="11" count="1" selected="0">
            <x v="5"/>
          </reference>
          <reference field="13" count="1" selected="0">
            <x v="96"/>
          </reference>
        </references>
      </pivotArea>
    </format>
    <format dxfId="2776">
      <pivotArea dataOnly="0" labelOnly="1" outline="0" fieldPosition="0">
        <references count="4">
          <reference field="5" count="1">
            <x v="110"/>
          </reference>
          <reference field="8" count="1" selected="0">
            <x v="299"/>
          </reference>
          <reference field="11" count="1" selected="0">
            <x v="3"/>
          </reference>
          <reference field="13" count="1" selected="0">
            <x v="7"/>
          </reference>
        </references>
      </pivotArea>
    </format>
    <format dxfId="2775">
      <pivotArea dataOnly="0" labelOnly="1" outline="0" fieldPosition="0">
        <references count="4">
          <reference field="5" count="1">
            <x v="110"/>
          </reference>
          <reference field="8" count="1" selected="0">
            <x v="299"/>
          </reference>
          <reference field="11" count="1" selected="0">
            <x v="3"/>
          </reference>
          <reference field="13" count="1" selected="0">
            <x v="17"/>
          </reference>
        </references>
      </pivotArea>
    </format>
    <format dxfId="2774">
      <pivotArea dataOnly="0" labelOnly="1" outline="0" fieldPosition="0">
        <references count="4">
          <reference field="5" count="1">
            <x v="110"/>
          </reference>
          <reference field="8" count="1" selected="0">
            <x v="299"/>
          </reference>
          <reference field="11" count="1" selected="0">
            <x v="3"/>
          </reference>
          <reference field="13" count="1" selected="0">
            <x v="32"/>
          </reference>
        </references>
      </pivotArea>
    </format>
    <format dxfId="2773">
      <pivotArea dataOnly="0" labelOnly="1" outline="0" fieldPosition="0">
        <references count="4">
          <reference field="5" count="1">
            <x v="110"/>
          </reference>
          <reference field="8" count="1" selected="0">
            <x v="299"/>
          </reference>
          <reference field="11" count="1" selected="0">
            <x v="3"/>
          </reference>
          <reference field="13" count="1" selected="0">
            <x v="69"/>
          </reference>
        </references>
      </pivotArea>
    </format>
    <format dxfId="2772">
      <pivotArea dataOnly="0" labelOnly="1" outline="0" fieldPosition="0">
        <references count="4">
          <reference field="5" count="1">
            <x v="110"/>
          </reference>
          <reference field="8" count="1" selected="0">
            <x v="299"/>
          </reference>
          <reference field="11" count="1" selected="0">
            <x v="3"/>
          </reference>
          <reference field="13" count="1" selected="0">
            <x v="92"/>
          </reference>
        </references>
      </pivotArea>
    </format>
    <format dxfId="2771">
      <pivotArea dataOnly="0" labelOnly="1" outline="0" fieldPosition="0">
        <references count="4">
          <reference field="5" count="1">
            <x v="110"/>
          </reference>
          <reference field="8" count="1" selected="0">
            <x v="299"/>
          </reference>
          <reference field="11" count="1" selected="0">
            <x v="3"/>
          </reference>
          <reference field="13" count="1" selected="0">
            <x v="100"/>
          </reference>
        </references>
      </pivotArea>
    </format>
    <format dxfId="2770">
      <pivotArea dataOnly="0" labelOnly="1" outline="0" fieldPosition="0">
        <references count="4">
          <reference field="5" count="1">
            <x v="110"/>
          </reference>
          <reference field="8" count="1" selected="0">
            <x v="299"/>
          </reference>
          <reference field="11" count="1" selected="0">
            <x v="3"/>
          </reference>
          <reference field="13" count="1" selected="0">
            <x v="242"/>
          </reference>
        </references>
      </pivotArea>
    </format>
    <format dxfId="2769">
      <pivotArea dataOnly="0" labelOnly="1" outline="0" fieldPosition="0">
        <references count="4">
          <reference field="5" count="1">
            <x v="117"/>
          </reference>
          <reference field="8" count="1" selected="0">
            <x v="299"/>
          </reference>
          <reference field="11" count="1" selected="0">
            <x v="3"/>
          </reference>
          <reference field="13" count="1" selected="0">
            <x v="287"/>
          </reference>
        </references>
      </pivotArea>
    </format>
    <format dxfId="2768">
      <pivotArea dataOnly="0" labelOnly="1" outline="0" fieldPosition="0">
        <references count="4">
          <reference field="5" count="1">
            <x v="110"/>
          </reference>
          <reference field="8" count="1" selected="0">
            <x v="299"/>
          </reference>
          <reference field="11" count="1" selected="0">
            <x v="3"/>
          </reference>
          <reference field="13" count="1" selected="0">
            <x v="305"/>
          </reference>
        </references>
      </pivotArea>
    </format>
    <format dxfId="2767">
      <pivotArea dataOnly="0" labelOnly="1" outline="0" fieldPosition="0">
        <references count="4">
          <reference field="5" count="1">
            <x v="110"/>
          </reference>
          <reference field="8" count="1" selected="0">
            <x v="299"/>
          </reference>
          <reference field="11" count="1" selected="0">
            <x v="4"/>
          </reference>
          <reference field="13" count="1" selected="0">
            <x v="133"/>
          </reference>
        </references>
      </pivotArea>
    </format>
    <format dxfId="2766">
      <pivotArea dataOnly="0" labelOnly="1" outline="0" fieldPosition="0">
        <references count="4">
          <reference field="5" count="1">
            <x v="54"/>
          </reference>
          <reference field="8" count="1" selected="0">
            <x v="300"/>
          </reference>
          <reference field="11" count="1" selected="0">
            <x v="0"/>
          </reference>
          <reference field="13" count="1" selected="0">
            <x v="132"/>
          </reference>
        </references>
      </pivotArea>
    </format>
    <format dxfId="2765">
      <pivotArea dataOnly="0" labelOnly="1" outline="0" fieldPosition="0">
        <references count="4">
          <reference field="5" count="1">
            <x v="54"/>
          </reference>
          <reference field="8" count="1" selected="0">
            <x v="300"/>
          </reference>
          <reference field="11" count="1" selected="0">
            <x v="1"/>
          </reference>
          <reference field="13" count="1" selected="0">
            <x v="130"/>
          </reference>
        </references>
      </pivotArea>
    </format>
    <format dxfId="2764">
      <pivotArea dataOnly="0" labelOnly="1" outline="0" fieldPosition="0">
        <references count="4">
          <reference field="5" count="1">
            <x v="54"/>
          </reference>
          <reference field="8" count="1" selected="0">
            <x v="300"/>
          </reference>
          <reference field="11" count="1" selected="0">
            <x v="1"/>
          </reference>
          <reference field="13" count="1" selected="0">
            <x v="147"/>
          </reference>
        </references>
      </pivotArea>
    </format>
    <format dxfId="2763">
      <pivotArea dataOnly="0" labelOnly="1" outline="0" fieldPosition="0">
        <references count="4">
          <reference field="5" count="1">
            <x v="54"/>
          </reference>
          <reference field="8" count="1" selected="0">
            <x v="300"/>
          </reference>
          <reference field="11" count="1" selected="0">
            <x v="3"/>
          </reference>
          <reference field="13" count="1" selected="0">
            <x v="17"/>
          </reference>
        </references>
      </pivotArea>
    </format>
    <format dxfId="2762">
      <pivotArea dataOnly="0" labelOnly="1" outline="0" fieldPosition="0">
        <references count="4">
          <reference field="5" count="1">
            <x v="54"/>
          </reference>
          <reference field="8" count="1" selected="0">
            <x v="300"/>
          </reference>
          <reference field="11" count="1" selected="0">
            <x v="3"/>
          </reference>
          <reference field="13" count="1" selected="0">
            <x v="32"/>
          </reference>
        </references>
      </pivotArea>
    </format>
    <format dxfId="2761">
      <pivotArea dataOnly="0" labelOnly="1" outline="0" fieldPosition="0">
        <references count="4">
          <reference field="5" count="1">
            <x v="54"/>
          </reference>
          <reference field="8" count="1" selected="0">
            <x v="300"/>
          </reference>
          <reference field="11" count="1" selected="0">
            <x v="3"/>
          </reference>
          <reference field="13" count="1" selected="0">
            <x v="242"/>
          </reference>
        </references>
      </pivotArea>
    </format>
    <format dxfId="2760">
      <pivotArea dataOnly="0" labelOnly="1" outline="0" fieldPosition="0">
        <references count="4">
          <reference field="5" count="1">
            <x v="54"/>
          </reference>
          <reference field="8" count="1" selected="0">
            <x v="300"/>
          </reference>
          <reference field="11" count="1" selected="0">
            <x v="3"/>
          </reference>
          <reference field="13" count="1" selected="0">
            <x v="243"/>
          </reference>
        </references>
      </pivotArea>
    </format>
    <format dxfId="2759">
      <pivotArea dataOnly="0" labelOnly="1" outline="0" fieldPosition="0">
        <references count="4">
          <reference field="5" count="1">
            <x v="54"/>
          </reference>
          <reference field="8" count="1" selected="0">
            <x v="300"/>
          </reference>
          <reference field="11" count="1" selected="0">
            <x v="3"/>
          </reference>
          <reference field="13" count="1" selected="0">
            <x v="251"/>
          </reference>
        </references>
      </pivotArea>
    </format>
    <format dxfId="2758">
      <pivotArea dataOnly="0" labelOnly="1" outline="0" fieldPosition="0">
        <references count="4">
          <reference field="5" count="1">
            <x v="54"/>
          </reference>
          <reference field="8" count="1" selected="0">
            <x v="300"/>
          </reference>
          <reference field="11" count="1" selected="0">
            <x v="3"/>
          </reference>
          <reference field="13" count="1" selected="0">
            <x v="287"/>
          </reference>
        </references>
      </pivotArea>
    </format>
    <format dxfId="2757">
      <pivotArea dataOnly="0" labelOnly="1" outline="0" fieldPosition="0">
        <references count="4">
          <reference field="5" count="1">
            <x v="54"/>
          </reference>
          <reference field="8" count="1" selected="0">
            <x v="300"/>
          </reference>
          <reference field="11" count="1" selected="0">
            <x v="4"/>
          </reference>
          <reference field="13" count="1" selected="0">
            <x v="158"/>
          </reference>
        </references>
      </pivotArea>
    </format>
    <format dxfId="2756">
      <pivotArea dataOnly="0" labelOnly="1" outline="0" fieldPosition="0">
        <references count="4">
          <reference field="5" count="1">
            <x v="20"/>
          </reference>
          <reference field="8" count="1" selected="0">
            <x v="300"/>
          </reference>
          <reference field="11" count="1" selected="0">
            <x v="5"/>
          </reference>
          <reference field="13" count="1" selected="0">
            <x v="81"/>
          </reference>
        </references>
      </pivotArea>
    </format>
    <format dxfId="2755">
      <pivotArea dataOnly="0" labelOnly="1" outline="0" fieldPosition="0">
        <references count="4">
          <reference field="5" count="1">
            <x v="54"/>
          </reference>
          <reference field="8" count="1" selected="0">
            <x v="300"/>
          </reference>
          <reference field="11" count="1" selected="0">
            <x v="5"/>
          </reference>
          <reference field="13" count="1" selected="0">
            <x v="96"/>
          </reference>
        </references>
      </pivotArea>
    </format>
    <format dxfId="2754">
      <pivotArea dataOnly="0" labelOnly="1" outline="0" fieldPosition="0">
        <references count="4">
          <reference field="5" count="1">
            <x v="54"/>
          </reference>
          <reference field="8" count="1" selected="0">
            <x v="300"/>
          </reference>
          <reference field="11" count="1" selected="0">
            <x v="7"/>
          </reference>
          <reference field="13" count="1" selected="0">
            <x v="72"/>
          </reference>
        </references>
      </pivotArea>
    </format>
    <format dxfId="2753">
      <pivotArea dataOnly="0" labelOnly="1" outline="0" fieldPosition="0">
        <references count="4">
          <reference field="5" count="1">
            <x v="54"/>
          </reference>
          <reference field="8" count="1" selected="0">
            <x v="300"/>
          </reference>
          <reference field="11" count="1" selected="0">
            <x v="7"/>
          </reference>
          <reference field="13" count="1" selected="0">
            <x v="129"/>
          </reference>
        </references>
      </pivotArea>
    </format>
    <format dxfId="2752">
      <pivotArea dataOnly="0" labelOnly="1" outline="0" fieldPosition="0">
        <references count="4">
          <reference field="5" count="1">
            <x v="16"/>
          </reference>
          <reference field="8" count="1" selected="0">
            <x v="301"/>
          </reference>
          <reference field="11" count="1" selected="0">
            <x v="3"/>
          </reference>
          <reference field="13" count="1" selected="0">
            <x v="92"/>
          </reference>
        </references>
      </pivotArea>
    </format>
    <format dxfId="2751">
      <pivotArea dataOnly="0" labelOnly="1" outline="0" fieldPosition="0">
        <references count="4">
          <reference field="5" count="1">
            <x v="64"/>
          </reference>
          <reference field="8" count="1" selected="0">
            <x v="302"/>
          </reference>
          <reference field="11" count="1" selected="0">
            <x v="1"/>
          </reference>
          <reference field="13" count="1" selected="0">
            <x v="157"/>
          </reference>
        </references>
      </pivotArea>
    </format>
    <format dxfId="2750">
      <pivotArea dataOnly="0" labelOnly="1" outline="0" fieldPosition="0">
        <references count="4">
          <reference field="5" count="1">
            <x v="64"/>
          </reference>
          <reference field="8" count="1" selected="0">
            <x v="302"/>
          </reference>
          <reference field="11" count="1" selected="0">
            <x v="5"/>
          </reference>
          <reference field="13" count="1" selected="0">
            <x v="96"/>
          </reference>
        </references>
      </pivotArea>
    </format>
    <format dxfId="2749">
      <pivotArea dataOnly="0" labelOnly="1" outline="0" fieldPosition="0">
        <references count="4">
          <reference field="5" count="1">
            <x v="110"/>
          </reference>
          <reference field="8" count="1" selected="0">
            <x v="303"/>
          </reference>
          <reference field="11" count="1" selected="0">
            <x v="3"/>
          </reference>
          <reference field="13" count="1" selected="0">
            <x v="305"/>
          </reference>
        </references>
      </pivotArea>
    </format>
    <format dxfId="2748">
      <pivotArea dataOnly="0" labelOnly="1" outline="0" fieldPosition="0">
        <references count="4">
          <reference field="5" count="1">
            <x v="108"/>
          </reference>
          <reference field="8" count="1" selected="0">
            <x v="305"/>
          </reference>
          <reference field="11" count="1" selected="0">
            <x v="1"/>
          </reference>
          <reference field="13" count="1" selected="0">
            <x v="286"/>
          </reference>
        </references>
      </pivotArea>
    </format>
    <format dxfId="2747">
      <pivotArea dataOnly="0" labelOnly="1" outline="0" fieldPosition="0">
        <references count="4">
          <reference field="5" count="1">
            <x v="95"/>
          </reference>
          <reference field="8" count="1" selected="0">
            <x v="306"/>
          </reference>
          <reference field="11" count="1" selected="0">
            <x v="3"/>
          </reference>
          <reference field="13" count="1" selected="0">
            <x v="278"/>
          </reference>
        </references>
      </pivotArea>
    </format>
    <format dxfId="2746">
      <pivotArea dataOnly="0" labelOnly="1" outline="0" fieldPosition="0">
        <references count="4">
          <reference field="5" count="1">
            <x v="2"/>
          </reference>
          <reference field="8" count="1" selected="0">
            <x v="306"/>
          </reference>
          <reference field="11" count="1" selected="0">
            <x v="6"/>
          </reference>
          <reference field="13" count="1" selected="0">
            <x v="191"/>
          </reference>
        </references>
      </pivotArea>
    </format>
    <format dxfId="2745">
      <pivotArea dataOnly="0" labelOnly="1" outline="0" fieldPosition="0">
        <references count="4">
          <reference field="5" count="1">
            <x v="35"/>
          </reference>
          <reference field="8" count="1" selected="0">
            <x v="311"/>
          </reference>
          <reference field="11" count="1" selected="0">
            <x v="3"/>
          </reference>
          <reference field="13" count="1" selected="0">
            <x v="251"/>
          </reference>
        </references>
      </pivotArea>
    </format>
    <format dxfId="2744">
      <pivotArea dataOnly="0" labelOnly="1" outline="0" fieldPosition="0">
        <references count="4">
          <reference field="5" count="1">
            <x v="35"/>
          </reference>
          <reference field="8" count="1" selected="0">
            <x v="311"/>
          </reference>
          <reference field="11" count="1" selected="0">
            <x v="3"/>
          </reference>
          <reference field="13" count="1" selected="0">
            <x v="272"/>
          </reference>
        </references>
      </pivotArea>
    </format>
    <format dxfId="2743">
      <pivotArea dataOnly="0" labelOnly="1" outline="0" fieldPosition="0">
        <references count="4">
          <reference field="5" count="1">
            <x v="47"/>
          </reference>
          <reference field="8" count="1" selected="0">
            <x v="312"/>
          </reference>
          <reference field="11" count="1" selected="0">
            <x v="0"/>
          </reference>
          <reference field="13" count="1" selected="0">
            <x v="45"/>
          </reference>
        </references>
      </pivotArea>
    </format>
    <format dxfId="2742">
      <pivotArea dataOnly="0" labelOnly="1" outline="0" fieldPosition="0">
        <references count="4">
          <reference field="5" count="1">
            <x v="47"/>
          </reference>
          <reference field="8" count="1" selected="0">
            <x v="312"/>
          </reference>
          <reference field="11" count="1" selected="0">
            <x v="0"/>
          </reference>
          <reference field="13" count="1" selected="0">
            <x v="48"/>
          </reference>
        </references>
      </pivotArea>
    </format>
    <format dxfId="2741">
      <pivotArea dataOnly="0" labelOnly="1" outline="0" fieldPosition="0">
        <references count="4">
          <reference field="5" count="1">
            <x v="101"/>
          </reference>
          <reference field="8" count="1" selected="0">
            <x v="312"/>
          </reference>
          <reference field="11" count="1" selected="0">
            <x v="1"/>
          </reference>
          <reference field="13" count="1" selected="0">
            <x v="266"/>
          </reference>
        </references>
      </pivotArea>
    </format>
    <format dxfId="2740">
      <pivotArea dataOnly="0" labelOnly="1" outline="0" fieldPosition="0">
        <references count="4">
          <reference field="5" count="1">
            <x v="101"/>
          </reference>
          <reference field="8" count="1" selected="0">
            <x v="312"/>
          </reference>
          <reference field="11" count="1" selected="0">
            <x v="1"/>
          </reference>
          <reference field="13" count="1" selected="0">
            <x v="286"/>
          </reference>
        </references>
      </pivotArea>
    </format>
    <format dxfId="2739">
      <pivotArea dataOnly="0" labelOnly="1" outline="0" fieldPosition="0">
        <references count="4">
          <reference field="5" count="1">
            <x v="101"/>
          </reference>
          <reference field="8" count="1" selected="0">
            <x v="312"/>
          </reference>
          <reference field="11" count="1" selected="0">
            <x v="3"/>
          </reference>
          <reference field="13" count="1" selected="0">
            <x v="17"/>
          </reference>
        </references>
      </pivotArea>
    </format>
    <format dxfId="2738">
      <pivotArea dataOnly="0" labelOnly="1" outline="0" fieldPosition="0">
        <references count="4">
          <reference field="5" count="1">
            <x v="101"/>
          </reference>
          <reference field="8" count="1" selected="0">
            <x v="312"/>
          </reference>
          <reference field="11" count="1" selected="0">
            <x v="3"/>
          </reference>
          <reference field="13" count="1" selected="0">
            <x v="32"/>
          </reference>
        </references>
      </pivotArea>
    </format>
    <format dxfId="2737">
      <pivotArea dataOnly="0" labelOnly="1" outline="0" fieldPosition="0">
        <references count="4">
          <reference field="5" count="1">
            <x v="111"/>
          </reference>
          <reference field="8" count="1" selected="0">
            <x v="312"/>
          </reference>
          <reference field="11" count="1" selected="0">
            <x v="3"/>
          </reference>
          <reference field="13" count="1" selected="0">
            <x v="57"/>
          </reference>
        </references>
      </pivotArea>
    </format>
    <format dxfId="2736">
      <pivotArea dataOnly="0" labelOnly="1" outline="0" fieldPosition="0">
        <references count="4">
          <reference field="5" count="1">
            <x v="101"/>
          </reference>
          <reference field="8" count="1" selected="0">
            <x v="312"/>
          </reference>
          <reference field="11" count="1" selected="0">
            <x v="3"/>
          </reference>
          <reference field="13" count="1" selected="0">
            <x v="78"/>
          </reference>
        </references>
      </pivotArea>
    </format>
    <format dxfId="2735">
      <pivotArea dataOnly="0" labelOnly="1" outline="0" fieldPosition="0">
        <references count="4">
          <reference field="5" count="1">
            <x v="101"/>
          </reference>
          <reference field="8" count="1" selected="0">
            <x v="312"/>
          </reference>
          <reference field="11" count="1" selected="0">
            <x v="3"/>
          </reference>
          <reference field="13" count="1" selected="0">
            <x v="116"/>
          </reference>
        </references>
      </pivotArea>
    </format>
    <format dxfId="2734">
      <pivotArea dataOnly="0" labelOnly="1" outline="0" fieldPosition="0">
        <references count="4">
          <reference field="5" count="3">
            <x v="47"/>
            <x v="70"/>
            <x v="101"/>
          </reference>
          <reference field="8" count="1" selected="0">
            <x v="312"/>
          </reference>
          <reference field="11" count="1" selected="0">
            <x v="3"/>
          </reference>
          <reference field="13" count="1" selected="0">
            <x v="240"/>
          </reference>
        </references>
      </pivotArea>
    </format>
    <format dxfId="2733">
      <pivotArea dataOnly="0" labelOnly="1" outline="0" fieldPosition="0">
        <references count="4">
          <reference field="5" count="3">
            <x v="101"/>
            <x v="110"/>
            <x v="111"/>
          </reference>
          <reference field="8" count="1" selected="0">
            <x v="312"/>
          </reference>
          <reference field="11" count="1" selected="0">
            <x v="3"/>
          </reference>
          <reference field="13" count="1" selected="0">
            <x v="242"/>
          </reference>
        </references>
      </pivotArea>
    </format>
    <format dxfId="2732">
      <pivotArea dataOnly="0" labelOnly="1" outline="0" fieldPosition="0">
        <references count="4">
          <reference field="5" count="3">
            <x v="70"/>
            <x v="101"/>
            <x v="111"/>
          </reference>
          <reference field="8" count="1" selected="0">
            <x v="312"/>
          </reference>
          <reference field="11" count="1" selected="0">
            <x v="3"/>
          </reference>
          <reference field="13" count="1" selected="0">
            <x v="243"/>
          </reference>
        </references>
      </pivotArea>
    </format>
    <format dxfId="2731">
      <pivotArea dataOnly="0" labelOnly="1" outline="0" fieldPosition="0">
        <references count="4">
          <reference field="5" count="2">
            <x v="101"/>
            <x v="111"/>
          </reference>
          <reference field="8" count="1" selected="0">
            <x v="312"/>
          </reference>
          <reference field="11" count="1" selected="0">
            <x v="3"/>
          </reference>
          <reference field="13" count="1" selected="0">
            <x v="287"/>
          </reference>
        </references>
      </pivotArea>
    </format>
    <format dxfId="2730">
      <pivotArea dataOnly="0" labelOnly="1" outline="0" fieldPosition="0">
        <references count="4">
          <reference field="5" count="1">
            <x v="101"/>
          </reference>
          <reference field="8" count="1" selected="0">
            <x v="312"/>
          </reference>
          <reference field="11" count="1" selected="0">
            <x v="3"/>
          </reference>
          <reference field="13" count="1" selected="0">
            <x v="305"/>
          </reference>
        </references>
      </pivotArea>
    </format>
    <format dxfId="2729">
      <pivotArea dataOnly="0" labelOnly="1" outline="0" fieldPosition="0">
        <references count="4">
          <reference field="5" count="1">
            <x v="101"/>
          </reference>
          <reference field="8" count="1" selected="0">
            <x v="312"/>
          </reference>
          <reference field="11" count="1" selected="0">
            <x v="4"/>
          </reference>
          <reference field="13" count="1" selected="0">
            <x v="133"/>
          </reference>
        </references>
      </pivotArea>
    </format>
    <format dxfId="2728">
      <pivotArea dataOnly="0" labelOnly="1" outline="0" fieldPosition="0">
        <references count="4">
          <reference field="5" count="1">
            <x v="101"/>
          </reference>
          <reference field="8" count="1" selected="0">
            <x v="312"/>
          </reference>
          <reference field="11" count="1" selected="0">
            <x v="4"/>
          </reference>
          <reference field="13" count="1" selected="0">
            <x v="280"/>
          </reference>
        </references>
      </pivotArea>
    </format>
    <format dxfId="2727">
      <pivotArea dataOnly="0" labelOnly="1" outline="0" fieldPosition="0">
        <references count="4">
          <reference field="5" count="2">
            <x v="101"/>
            <x v="116"/>
          </reference>
          <reference field="8" count="1" selected="0">
            <x v="312"/>
          </reference>
          <reference field="11" count="1" selected="0">
            <x v="5"/>
          </reference>
          <reference field="13" count="1" selected="0">
            <x v="77"/>
          </reference>
        </references>
      </pivotArea>
    </format>
    <format dxfId="2726">
      <pivotArea dataOnly="0" labelOnly="1" outline="0" fieldPosition="0">
        <references count="4">
          <reference field="5" count="2">
            <x v="20"/>
            <x v="116"/>
          </reference>
          <reference field="8" count="1" selected="0">
            <x v="312"/>
          </reference>
          <reference field="11" count="1" selected="0">
            <x v="5"/>
          </reference>
          <reference field="13" count="1" selected="0">
            <x v="81"/>
          </reference>
        </references>
      </pivotArea>
    </format>
    <format dxfId="2725">
      <pivotArea dataOnly="0" labelOnly="1" outline="0" fieldPosition="0">
        <references count="4">
          <reference field="5" count="3">
            <x v="60"/>
            <x v="70"/>
            <x v="111"/>
          </reference>
          <reference field="8" count="1" selected="0">
            <x v="312"/>
          </reference>
          <reference field="11" count="1" selected="0">
            <x v="5"/>
          </reference>
          <reference field="13" count="1" selected="0">
            <x v="96"/>
          </reference>
        </references>
      </pivotArea>
    </format>
    <format dxfId="2724">
      <pivotArea dataOnly="0" labelOnly="1" outline="0" fieldPosition="0">
        <references count="4">
          <reference field="5" count="1">
            <x v="101"/>
          </reference>
          <reference field="8" count="1" selected="0">
            <x v="312"/>
          </reference>
          <reference field="11" count="1" selected="0">
            <x v="7"/>
          </reference>
          <reference field="13" count="1" selected="0">
            <x v="93"/>
          </reference>
        </references>
      </pivotArea>
    </format>
    <format dxfId="2723">
      <pivotArea dataOnly="0" labelOnly="1" outline="0" fieldPosition="0">
        <references count="4">
          <reference field="5" count="1">
            <x v="47"/>
          </reference>
          <reference field="8" count="1" selected="0">
            <x v="313"/>
          </reference>
          <reference field="11" count="1" selected="0">
            <x v="0"/>
          </reference>
          <reference field="13" count="1" selected="0">
            <x v="45"/>
          </reference>
        </references>
      </pivotArea>
    </format>
    <format dxfId="2722">
      <pivotArea dataOnly="0" labelOnly="1" outline="0" fieldPosition="0">
        <references count="4">
          <reference field="5" count="1">
            <x v="47"/>
          </reference>
          <reference field="8" count="1" selected="0">
            <x v="313"/>
          </reference>
          <reference field="11" count="1" selected="0">
            <x v="0"/>
          </reference>
          <reference field="13" count="1" selected="0">
            <x v="48"/>
          </reference>
        </references>
      </pivotArea>
    </format>
    <format dxfId="2721">
      <pivotArea dataOnly="0" labelOnly="1" outline="0" fieldPosition="0">
        <references count="4">
          <reference field="5" count="1">
            <x v="47"/>
          </reference>
          <reference field="8" count="1" selected="0">
            <x v="313"/>
          </reference>
          <reference field="11" count="1" selected="0">
            <x v="3"/>
          </reference>
          <reference field="13" count="1" selected="0">
            <x v="240"/>
          </reference>
        </references>
      </pivotArea>
    </format>
    <format dxfId="2720">
      <pivotArea dataOnly="0" labelOnly="1" outline="0" fieldPosition="0">
        <references count="4">
          <reference field="5" count="1">
            <x v="101"/>
          </reference>
          <reference field="8" count="1" selected="0">
            <x v="313"/>
          </reference>
          <reference field="11" count="1" selected="0">
            <x v="3"/>
          </reference>
          <reference field="13" count="1" selected="0">
            <x v="242"/>
          </reference>
        </references>
      </pivotArea>
    </format>
    <format dxfId="2719">
      <pivotArea dataOnly="0" labelOnly="1" outline="0" fieldPosition="0">
        <references count="4">
          <reference field="5" count="1">
            <x v="101"/>
          </reference>
          <reference field="8" count="1" selected="0">
            <x v="313"/>
          </reference>
          <reference field="11" count="1" selected="0">
            <x v="3"/>
          </reference>
          <reference field="13" count="1" selected="0">
            <x v="243"/>
          </reference>
        </references>
      </pivotArea>
    </format>
    <format dxfId="2718">
      <pivotArea dataOnly="0" labelOnly="1" outline="0" fieldPosition="0">
        <references count="4">
          <reference field="5" count="3">
            <x v="20"/>
            <x v="101"/>
            <x v="116"/>
          </reference>
          <reference field="8" count="1" selected="0">
            <x v="313"/>
          </reference>
          <reference field="11" count="1" selected="0">
            <x v="5"/>
          </reference>
          <reference field="13" count="1" selected="0">
            <x v="81"/>
          </reference>
        </references>
      </pivotArea>
    </format>
    <format dxfId="2717">
      <pivotArea dataOnly="0" labelOnly="1" outline="0" fieldPosition="0">
        <references count="4">
          <reference field="5" count="1">
            <x v="101"/>
          </reference>
          <reference field="8" count="1" selected="0">
            <x v="314"/>
          </reference>
          <reference field="11" count="1" selected="0">
            <x v="1"/>
          </reference>
          <reference field="13" count="1" selected="0">
            <x v="244"/>
          </reference>
        </references>
      </pivotArea>
    </format>
    <format dxfId="2716">
      <pivotArea dataOnly="0" labelOnly="1" outline="0" fieldPosition="0">
        <references count="4">
          <reference field="5" count="1">
            <x v="101"/>
          </reference>
          <reference field="8" count="1" selected="0">
            <x v="314"/>
          </reference>
          <reference field="11" count="1" selected="0">
            <x v="1"/>
          </reference>
          <reference field="13" count="1" selected="0">
            <x v="246"/>
          </reference>
        </references>
      </pivotArea>
    </format>
    <format dxfId="2715">
      <pivotArea dataOnly="0" labelOnly="1" outline="0" fieldPosition="0">
        <references count="4">
          <reference field="5" count="1">
            <x v="101"/>
          </reference>
          <reference field="8" count="1" selected="0">
            <x v="314"/>
          </reference>
          <reference field="11" count="1" selected="0">
            <x v="1"/>
          </reference>
          <reference field="13" count="1" selected="0">
            <x v="266"/>
          </reference>
        </references>
      </pivotArea>
    </format>
    <format dxfId="2714">
      <pivotArea dataOnly="0" labelOnly="1" outline="0" fieldPosition="0">
        <references count="4">
          <reference field="5" count="1">
            <x v="101"/>
          </reference>
          <reference field="8" count="1" selected="0">
            <x v="314"/>
          </reference>
          <reference field="11" count="1" selected="0">
            <x v="2"/>
          </reference>
          <reference field="13" count="1" selected="0">
            <x v="38"/>
          </reference>
        </references>
      </pivotArea>
    </format>
    <format dxfId="2713">
      <pivotArea dataOnly="0" labelOnly="1" outline="0" fieldPosition="0">
        <references count="4">
          <reference field="5" count="1">
            <x v="101"/>
          </reference>
          <reference field="8" count="1" selected="0">
            <x v="314"/>
          </reference>
          <reference field="11" count="1" selected="0">
            <x v="3"/>
          </reference>
          <reference field="13" count="1" selected="0">
            <x v="32"/>
          </reference>
        </references>
      </pivotArea>
    </format>
    <format dxfId="2712">
      <pivotArea dataOnly="0" labelOnly="1" outline="0" fieldPosition="0">
        <references count="4">
          <reference field="5" count="1">
            <x v="101"/>
          </reference>
          <reference field="8" count="1" selected="0">
            <x v="314"/>
          </reference>
          <reference field="11" count="1" selected="0">
            <x v="3"/>
          </reference>
          <reference field="13" count="1" selected="0">
            <x v="78"/>
          </reference>
        </references>
      </pivotArea>
    </format>
    <format dxfId="2711">
      <pivotArea dataOnly="0" labelOnly="1" outline="0" fieldPosition="0">
        <references count="4">
          <reference field="5" count="1">
            <x v="101"/>
          </reference>
          <reference field="8" count="1" selected="0">
            <x v="314"/>
          </reference>
          <reference field="11" count="1" selected="0">
            <x v="3"/>
          </reference>
          <reference field="13" count="1" selected="0">
            <x v="242"/>
          </reference>
        </references>
      </pivotArea>
    </format>
    <format dxfId="2710">
      <pivotArea dataOnly="0" labelOnly="1" outline="0" fieldPosition="0">
        <references count="4">
          <reference field="5" count="1">
            <x v="101"/>
          </reference>
          <reference field="8" count="1" selected="0">
            <x v="314"/>
          </reference>
          <reference field="11" count="1" selected="0">
            <x v="3"/>
          </reference>
          <reference field="13" count="1" selected="0">
            <x v="243"/>
          </reference>
        </references>
      </pivotArea>
    </format>
    <format dxfId="2709">
      <pivotArea dataOnly="0" labelOnly="1" outline="0" fieldPosition="0">
        <references count="4">
          <reference field="5" count="1">
            <x v="101"/>
          </reference>
          <reference field="8" count="1" selected="0">
            <x v="314"/>
          </reference>
          <reference field="11" count="1" selected="0">
            <x v="3"/>
          </reference>
          <reference field="13" count="1" selected="0">
            <x v="287"/>
          </reference>
        </references>
      </pivotArea>
    </format>
    <format dxfId="2708">
      <pivotArea dataOnly="0" labelOnly="1" outline="0" fieldPosition="0">
        <references count="4">
          <reference field="5" count="1">
            <x v="20"/>
          </reference>
          <reference field="8" count="1" selected="0">
            <x v="314"/>
          </reference>
          <reference field="11" count="1" selected="0">
            <x v="5"/>
          </reference>
          <reference field="13" count="1" selected="0">
            <x v="81"/>
          </reference>
        </references>
      </pivotArea>
    </format>
    <format dxfId="2707">
      <pivotArea dataOnly="0" labelOnly="1" outline="0" fieldPosition="0">
        <references count="4">
          <reference field="5" count="1">
            <x v="101"/>
          </reference>
          <reference field="8" count="1" selected="0">
            <x v="314"/>
          </reference>
          <reference field="11" count="1" selected="0">
            <x v="7"/>
          </reference>
          <reference field="13" count="1" selected="0">
            <x v="93"/>
          </reference>
        </references>
      </pivotArea>
    </format>
    <format dxfId="2706">
      <pivotArea dataOnly="0" labelOnly="1" outline="0" fieldPosition="0">
        <references count="4">
          <reference field="5" count="1">
            <x v="64"/>
          </reference>
          <reference field="8" count="1" selected="0">
            <x v="322"/>
          </reference>
          <reference field="11" count="1" selected="0">
            <x v="0"/>
          </reference>
          <reference field="13" count="1" selected="0">
            <x v="192"/>
          </reference>
        </references>
      </pivotArea>
    </format>
    <format dxfId="2705">
      <pivotArea dataOnly="0" labelOnly="1" outline="0" fieldPosition="0">
        <references count="4">
          <reference field="5" count="1">
            <x v="64"/>
          </reference>
          <reference field="8" count="1" selected="0">
            <x v="322"/>
          </reference>
          <reference field="11" count="1" selected="0">
            <x v="1"/>
          </reference>
          <reference field="13" count="1" selected="0">
            <x v="169"/>
          </reference>
        </references>
      </pivotArea>
    </format>
    <format dxfId="2704">
      <pivotArea dataOnly="0" labelOnly="1" outline="0" fieldPosition="0">
        <references count="4">
          <reference field="5" count="2">
            <x v="27"/>
            <x v="36"/>
          </reference>
          <reference field="8" count="1" selected="0">
            <x v="322"/>
          </reference>
          <reference field="11" count="1" selected="0">
            <x v="3"/>
          </reference>
          <reference field="13" count="1" selected="0">
            <x v="69"/>
          </reference>
        </references>
      </pivotArea>
    </format>
    <format dxfId="2703">
      <pivotArea dataOnly="0" labelOnly="1" outline="0" fieldPosition="0">
        <references count="4">
          <reference field="5" count="1">
            <x v="47"/>
          </reference>
          <reference field="8" count="1" selected="0">
            <x v="323"/>
          </reference>
          <reference field="11" count="1" selected="0">
            <x v="0"/>
          </reference>
          <reference field="13" count="1" selected="0">
            <x v="64"/>
          </reference>
        </references>
      </pivotArea>
    </format>
    <format dxfId="2702">
      <pivotArea dataOnly="0" labelOnly="1" outline="0" fieldPosition="0">
        <references count="4">
          <reference field="5" count="1">
            <x v="47"/>
          </reference>
          <reference field="8" count="1" selected="0">
            <x v="323"/>
          </reference>
          <reference field="11" count="1" selected="0">
            <x v="0"/>
          </reference>
          <reference field="13" count="1" selected="0">
            <x v="91"/>
          </reference>
        </references>
      </pivotArea>
    </format>
    <format dxfId="2701">
      <pivotArea dataOnly="0" labelOnly="1" outline="0" fieldPosition="0">
        <references count="4">
          <reference field="5" count="1">
            <x v="47"/>
          </reference>
          <reference field="8" count="1" selected="0">
            <x v="323"/>
          </reference>
          <reference field="11" count="1" selected="0">
            <x v="0"/>
          </reference>
          <reference field="13" count="1" selected="0">
            <x v="97"/>
          </reference>
        </references>
      </pivotArea>
    </format>
    <format dxfId="2700">
      <pivotArea dataOnly="0" labelOnly="1" outline="0" fieldPosition="0">
        <references count="4">
          <reference field="5" count="1">
            <x v="47"/>
          </reference>
          <reference field="8" count="1" selected="0">
            <x v="323"/>
          </reference>
          <reference field="11" count="1" selected="0">
            <x v="0"/>
          </reference>
          <reference field="13" count="1" selected="0">
            <x v="126"/>
          </reference>
        </references>
      </pivotArea>
    </format>
    <format dxfId="2699">
      <pivotArea dataOnly="0" labelOnly="1" outline="0" fieldPosition="0">
        <references count="4">
          <reference field="5" count="1">
            <x v="64"/>
          </reference>
          <reference field="8" count="1" selected="0">
            <x v="323"/>
          </reference>
          <reference field="11" count="1" selected="0">
            <x v="1"/>
          </reference>
          <reference field="13" count="1" selected="0">
            <x v="121"/>
          </reference>
        </references>
      </pivotArea>
    </format>
    <format dxfId="2698">
      <pivotArea dataOnly="0" labelOnly="1" outline="0" fieldPosition="0">
        <references count="4">
          <reference field="5" count="1">
            <x v="116"/>
          </reference>
          <reference field="8" count="1" selected="0">
            <x v="323"/>
          </reference>
          <reference field="11" count="1" selected="0">
            <x v="3"/>
          </reference>
          <reference field="13" count="1" selected="0">
            <x v="17"/>
          </reference>
        </references>
      </pivotArea>
    </format>
    <format dxfId="2697">
      <pivotArea dataOnly="0" labelOnly="1" outline="0" fieldPosition="0">
        <references count="4">
          <reference field="5" count="1">
            <x v="68"/>
          </reference>
          <reference field="8" count="1" selected="0">
            <x v="323"/>
          </reference>
          <reference field="11" count="1" selected="0">
            <x v="3"/>
          </reference>
          <reference field="13" count="1" selected="0">
            <x v="32"/>
          </reference>
        </references>
      </pivotArea>
    </format>
    <format dxfId="2696">
      <pivotArea dataOnly="0" labelOnly="1" outline="0" fieldPosition="0">
        <references count="4">
          <reference field="5" count="1">
            <x v="68"/>
          </reference>
          <reference field="8" count="1" selected="0">
            <x v="323"/>
          </reference>
          <reference field="11" count="1" selected="0">
            <x v="3"/>
          </reference>
          <reference field="13" count="1" selected="0">
            <x v="69"/>
          </reference>
        </references>
      </pivotArea>
    </format>
    <format dxfId="2695">
      <pivotArea dataOnly="0" labelOnly="1" outline="0" fieldPosition="0">
        <references count="4">
          <reference field="5" count="1">
            <x v="56"/>
          </reference>
          <reference field="8" count="1" selected="0">
            <x v="323"/>
          </reference>
          <reference field="11" count="1" selected="0">
            <x v="3"/>
          </reference>
          <reference field="13" count="1" selected="0">
            <x v="239"/>
          </reference>
        </references>
      </pivotArea>
    </format>
    <format dxfId="2694">
      <pivotArea dataOnly="0" labelOnly="1" outline="0" fieldPosition="0">
        <references count="4">
          <reference field="5" count="2">
            <x v="60"/>
            <x v="68"/>
          </reference>
          <reference field="8" count="1" selected="0">
            <x v="323"/>
          </reference>
          <reference field="11" count="1" selected="0">
            <x v="3"/>
          </reference>
          <reference field="13" count="1" selected="0">
            <x v="240"/>
          </reference>
        </references>
      </pivotArea>
    </format>
    <format dxfId="2693">
      <pivotArea dataOnly="0" labelOnly="1" outline="0" fieldPosition="0">
        <references count="4">
          <reference field="5" count="3">
            <x v="32"/>
            <x v="60"/>
            <x v="68"/>
          </reference>
          <reference field="8" count="1" selected="0">
            <x v="323"/>
          </reference>
          <reference field="11" count="1" selected="0">
            <x v="3"/>
          </reference>
          <reference field="13" count="1" selected="0">
            <x v="242"/>
          </reference>
        </references>
      </pivotArea>
    </format>
    <format dxfId="2692">
      <pivotArea dataOnly="0" labelOnly="1" outline="0" fieldPosition="0">
        <references count="4">
          <reference field="5" count="2">
            <x v="68"/>
            <x v="78"/>
          </reference>
          <reference field="8" count="1" selected="0">
            <x v="323"/>
          </reference>
          <reference field="11" count="1" selected="0">
            <x v="3"/>
          </reference>
          <reference field="13" count="1" selected="0">
            <x v="243"/>
          </reference>
        </references>
      </pivotArea>
    </format>
    <format dxfId="2691">
      <pivotArea dataOnly="0" labelOnly="1" outline="0" fieldPosition="0">
        <references count="4">
          <reference field="5" count="2">
            <x v="32"/>
            <x v="68"/>
          </reference>
          <reference field="8" count="1" selected="0">
            <x v="323"/>
          </reference>
          <reference field="11" count="1" selected="0">
            <x v="3"/>
          </reference>
          <reference field="13" count="1" selected="0">
            <x v="287"/>
          </reference>
        </references>
      </pivotArea>
    </format>
    <format dxfId="2690">
      <pivotArea dataOnly="0" labelOnly="1" outline="0" fieldPosition="0">
        <references count="4">
          <reference field="5" count="1">
            <x v="116"/>
          </reference>
          <reference field="8" count="1" selected="0">
            <x v="323"/>
          </reference>
          <reference field="11" count="1" selected="0">
            <x v="3"/>
          </reference>
          <reference field="13" count="1" selected="0">
            <x v="305"/>
          </reference>
        </references>
      </pivotArea>
    </format>
    <format dxfId="2689">
      <pivotArea dataOnly="0" labelOnly="1" outline="0" fieldPosition="0">
        <references count="4">
          <reference field="5" count="2">
            <x v="20"/>
            <x v="116"/>
          </reference>
          <reference field="8" count="1" selected="0">
            <x v="323"/>
          </reference>
          <reference field="11" count="1" selected="0">
            <x v="5"/>
          </reference>
          <reference field="13" count="1" selected="0">
            <x v="77"/>
          </reference>
        </references>
      </pivotArea>
    </format>
    <format dxfId="2688">
      <pivotArea dataOnly="0" labelOnly="1" outline="0" fieldPosition="0">
        <references count="4">
          <reference field="5" count="1">
            <x v="116"/>
          </reference>
          <reference field="8" count="1" selected="0">
            <x v="323"/>
          </reference>
          <reference field="11" count="1" selected="0">
            <x v="5"/>
          </reference>
          <reference field="13" count="1" selected="0">
            <x v="81"/>
          </reference>
        </references>
      </pivotArea>
    </format>
    <format dxfId="2687">
      <pivotArea dataOnly="0" labelOnly="1" outline="0" fieldPosition="0">
        <references count="4">
          <reference field="5" count="1">
            <x v="116"/>
          </reference>
          <reference field="8" count="1" selected="0">
            <x v="323"/>
          </reference>
          <reference field="11" count="1" selected="0">
            <x v="5"/>
          </reference>
          <reference field="13" count="1" selected="0">
            <x v="184"/>
          </reference>
        </references>
      </pivotArea>
    </format>
    <format dxfId="2686">
      <pivotArea dataOnly="0" labelOnly="1" outline="0" fieldPosition="0">
        <references count="4">
          <reference field="5" count="1">
            <x v="116"/>
          </reference>
          <reference field="8" count="1" selected="0">
            <x v="323"/>
          </reference>
          <reference field="11" count="1" selected="0">
            <x v="5"/>
          </reference>
          <reference field="13" count="1" selected="0">
            <x v="209"/>
          </reference>
        </references>
      </pivotArea>
    </format>
    <format dxfId="2685">
      <pivotArea dataOnly="0" labelOnly="1" outline="0" fieldPosition="0">
        <references count="4">
          <reference field="5" count="4">
            <x v="47"/>
            <x v="60"/>
            <x v="68"/>
            <x v="72"/>
          </reference>
          <reference field="8" count="1" selected="0">
            <x v="323"/>
          </reference>
          <reference field="11" count="1" selected="0">
            <x v="5"/>
          </reference>
          <reference field="13" count="1" selected="0">
            <x v="229"/>
          </reference>
        </references>
      </pivotArea>
    </format>
    <format dxfId="2684">
      <pivotArea dataOnly="0" labelOnly="1" outline="0" fieldPosition="0">
        <references count="4">
          <reference field="5" count="1">
            <x v="20"/>
          </reference>
          <reference field="8" count="1" selected="0">
            <x v="323"/>
          </reference>
          <reference field="11" count="1" selected="0">
            <x v="5"/>
          </reference>
          <reference field="13" count="1" selected="0">
            <x v="255"/>
          </reference>
        </references>
      </pivotArea>
    </format>
    <format dxfId="2683">
      <pivotArea dataOnly="0" labelOnly="1" outline="0" fieldPosition="0">
        <references count="4">
          <reference field="5" count="1">
            <x v="68"/>
          </reference>
          <reference field="8" count="1" selected="0">
            <x v="323"/>
          </reference>
          <reference field="11" count="1" selected="0">
            <x v="7"/>
          </reference>
          <reference field="13" count="1" selected="0">
            <x v="8"/>
          </reference>
        </references>
      </pivotArea>
    </format>
    <format dxfId="2682">
      <pivotArea dataOnly="0" labelOnly="1" outline="0" fieldPosition="0">
        <references count="4">
          <reference field="5" count="1">
            <x v="68"/>
          </reference>
          <reference field="8" count="1" selected="0">
            <x v="323"/>
          </reference>
          <reference field="11" count="1" selected="0">
            <x v="7"/>
          </reference>
          <reference field="13" count="1" selected="0">
            <x v="72"/>
          </reference>
        </references>
      </pivotArea>
    </format>
    <format dxfId="2681">
      <pivotArea dataOnly="0" labelOnly="1" outline="0" fieldPosition="0">
        <references count="4">
          <reference field="5" count="1">
            <x v="68"/>
          </reference>
          <reference field="8" count="1" selected="0">
            <x v="323"/>
          </reference>
          <reference field="11" count="1" selected="0">
            <x v="7"/>
          </reference>
          <reference field="13" count="1" selected="0">
            <x v="308"/>
          </reference>
        </references>
      </pivotArea>
    </format>
    <format dxfId="2680">
      <pivotArea dataOnly="0" labelOnly="1" outline="0" fieldPosition="0">
        <references count="4">
          <reference field="5" count="1">
            <x v="101"/>
          </reference>
          <reference field="8" count="1" selected="0">
            <x v="324"/>
          </reference>
          <reference field="11" count="1" selected="0">
            <x v="1"/>
          </reference>
          <reference field="13" count="1" selected="0">
            <x v="286"/>
          </reference>
        </references>
      </pivotArea>
    </format>
    <format dxfId="2679">
      <pivotArea dataOnly="0" labelOnly="1" outline="0" fieldPosition="0">
        <references count="4">
          <reference field="5" count="1">
            <x v="101"/>
          </reference>
          <reference field="8" count="1" selected="0">
            <x v="324"/>
          </reference>
          <reference field="11" count="1" selected="0">
            <x v="3"/>
          </reference>
          <reference field="13" count="1" selected="0">
            <x v="17"/>
          </reference>
        </references>
      </pivotArea>
    </format>
    <format dxfId="2678">
      <pivotArea dataOnly="0" labelOnly="1" outline="0" fieldPosition="0">
        <references count="4">
          <reference field="5" count="1">
            <x v="101"/>
          </reference>
          <reference field="8" count="1" selected="0">
            <x v="324"/>
          </reference>
          <reference field="11" count="1" selected="0">
            <x v="3"/>
          </reference>
          <reference field="13" count="1" selected="0">
            <x v="287"/>
          </reference>
        </references>
      </pivotArea>
    </format>
    <format dxfId="2677">
      <pivotArea dataOnly="0" labelOnly="1" outline="0" fieldPosition="0">
        <references count="4">
          <reference field="5" count="1">
            <x v="101"/>
          </reference>
          <reference field="8" count="1" selected="0">
            <x v="324"/>
          </reference>
          <reference field="11" count="1" selected="0">
            <x v="3"/>
          </reference>
          <reference field="13" count="1" selected="0">
            <x v="305"/>
          </reference>
        </references>
      </pivotArea>
    </format>
    <format dxfId="2676">
      <pivotArea dataOnly="0" labelOnly="1" outline="0" fieldPosition="0">
        <references count="4">
          <reference field="5" count="1">
            <x v="20"/>
          </reference>
          <reference field="8" count="1" selected="0">
            <x v="324"/>
          </reference>
          <reference field="11" count="1" selected="0">
            <x v="5"/>
          </reference>
          <reference field="13" count="1" selected="0">
            <x v="81"/>
          </reference>
        </references>
      </pivotArea>
    </format>
    <format dxfId="2675">
      <pivotArea dataOnly="0" labelOnly="1" outline="0" fieldPosition="0">
        <references count="4">
          <reference field="5" count="1">
            <x v="101"/>
          </reference>
          <reference field="8" count="1" selected="0">
            <x v="324"/>
          </reference>
          <reference field="11" count="1" selected="0">
            <x v="7"/>
          </reference>
          <reference field="13" count="1" selected="0">
            <x v="93"/>
          </reference>
        </references>
      </pivotArea>
    </format>
    <format dxfId="2674">
      <pivotArea dataOnly="0" labelOnly="1" outline="0" fieldPosition="0">
        <references count="4">
          <reference field="5" count="1">
            <x v="93"/>
          </reference>
          <reference field="8" count="1" selected="0">
            <x v="325"/>
          </reference>
          <reference field="11" count="1" selected="0">
            <x v="2"/>
          </reference>
          <reference field="13" count="1" selected="0">
            <x v="173"/>
          </reference>
        </references>
      </pivotArea>
    </format>
    <format dxfId="2673">
      <pivotArea dataOnly="0" labelOnly="1" outline="0" fieldPosition="0">
        <references count="4">
          <reference field="5" count="1">
            <x v="93"/>
          </reference>
          <reference field="8" count="1" selected="0">
            <x v="325"/>
          </reference>
          <reference field="11" count="1" selected="0">
            <x v="3"/>
          </reference>
          <reference field="13" count="1" selected="0">
            <x v="32"/>
          </reference>
        </references>
      </pivotArea>
    </format>
    <format dxfId="2672">
      <pivotArea dataOnly="0" labelOnly="1" outline="0" fieldPosition="0">
        <references count="4">
          <reference field="5" count="1">
            <x v="93"/>
          </reference>
          <reference field="8" count="1" selected="0">
            <x v="325"/>
          </reference>
          <reference field="11" count="1" selected="0">
            <x v="3"/>
          </reference>
          <reference field="13" count="1" selected="0">
            <x v="69"/>
          </reference>
        </references>
      </pivotArea>
    </format>
    <format dxfId="2671">
      <pivotArea dataOnly="0" labelOnly="1" outline="0" fieldPosition="0">
        <references count="4">
          <reference field="5" count="1">
            <x v="93"/>
          </reference>
          <reference field="8" count="1" selected="0">
            <x v="325"/>
          </reference>
          <reference field="11" count="1" selected="0">
            <x v="3"/>
          </reference>
          <reference field="13" count="1" selected="0">
            <x v="78"/>
          </reference>
        </references>
      </pivotArea>
    </format>
    <format dxfId="2670">
      <pivotArea dataOnly="0" labelOnly="1" outline="0" fieldPosition="0">
        <references count="4">
          <reference field="5" count="1">
            <x v="93"/>
          </reference>
          <reference field="8" count="1" selected="0">
            <x v="325"/>
          </reference>
          <reference field="11" count="1" selected="0">
            <x v="3"/>
          </reference>
          <reference field="13" count="1" selected="0">
            <x v="287"/>
          </reference>
        </references>
      </pivotArea>
    </format>
    <format dxfId="2669">
      <pivotArea dataOnly="0" labelOnly="1" outline="0" fieldPosition="0">
        <references count="4">
          <reference field="5" count="1">
            <x v="93"/>
          </reference>
          <reference field="8" count="1" selected="0">
            <x v="325"/>
          </reference>
          <reference field="11" count="1" selected="0">
            <x v="3"/>
          </reference>
          <reference field="13" count="1" selected="0">
            <x v="314"/>
          </reference>
        </references>
      </pivotArea>
    </format>
    <format dxfId="2668">
      <pivotArea dataOnly="0" labelOnly="1" outline="0" fieldPosition="0">
        <references count="4">
          <reference field="5" count="1">
            <x v="93"/>
          </reference>
          <reference field="8" count="1" selected="0">
            <x v="325"/>
          </reference>
          <reference field="11" count="1" selected="0">
            <x v="4"/>
          </reference>
          <reference field="13" count="1" selected="0">
            <x v="133"/>
          </reference>
        </references>
      </pivotArea>
    </format>
    <format dxfId="2667">
      <pivotArea dataOnly="0" labelOnly="1" outline="0" fieldPosition="0">
        <references count="4">
          <reference field="5" count="1">
            <x v="93"/>
          </reference>
          <reference field="8" count="1" selected="0">
            <x v="325"/>
          </reference>
          <reference field="11" count="1" selected="0">
            <x v="4"/>
          </reference>
          <reference field="13" count="1" selected="0">
            <x v="150"/>
          </reference>
        </references>
      </pivotArea>
    </format>
    <format dxfId="2666">
      <pivotArea dataOnly="0" labelOnly="1" outline="0" fieldPosition="0">
        <references count="4">
          <reference field="5" count="1">
            <x v="93"/>
          </reference>
          <reference field="8" count="1" selected="0">
            <x v="325"/>
          </reference>
          <reference field="11" count="1" selected="0">
            <x v="5"/>
          </reference>
          <reference field="13" count="1" selected="0">
            <x v="77"/>
          </reference>
        </references>
      </pivotArea>
    </format>
    <format dxfId="2665">
      <pivotArea dataOnly="0" labelOnly="1" outline="0" fieldPosition="0">
        <references count="4">
          <reference field="5" count="1">
            <x v="93"/>
          </reference>
          <reference field="8" count="1" selected="0">
            <x v="325"/>
          </reference>
          <reference field="11" count="1" selected="0">
            <x v="5"/>
          </reference>
          <reference field="13" count="1" selected="0">
            <x v="255"/>
          </reference>
        </references>
      </pivotArea>
    </format>
    <format dxfId="2664">
      <pivotArea dataOnly="0" labelOnly="1" outline="0" fieldPosition="0">
        <references count="4">
          <reference field="5" count="1">
            <x v="94"/>
          </reference>
          <reference field="8" count="1" selected="0">
            <x v="326"/>
          </reference>
          <reference field="11" count="1" selected="0">
            <x v="2"/>
          </reference>
          <reference field="13" count="1" selected="0">
            <x v="10"/>
          </reference>
        </references>
      </pivotArea>
    </format>
    <format dxfId="2663">
      <pivotArea dataOnly="0" labelOnly="1" outline="0" fieldPosition="0">
        <references count="4">
          <reference field="5" count="1">
            <x v="94"/>
          </reference>
          <reference field="8" count="1" selected="0">
            <x v="326"/>
          </reference>
          <reference field="11" count="1" selected="0">
            <x v="2"/>
          </reference>
          <reference field="13" count="1" selected="0">
            <x v="18"/>
          </reference>
        </references>
      </pivotArea>
    </format>
    <format dxfId="2662">
      <pivotArea dataOnly="0" labelOnly="1" outline="0" fieldPosition="0">
        <references count="4">
          <reference field="5" count="1">
            <x v="94"/>
          </reference>
          <reference field="8" count="1" selected="0">
            <x v="326"/>
          </reference>
          <reference field="11" count="1" selected="0">
            <x v="2"/>
          </reference>
          <reference field="13" count="1" selected="0">
            <x v="52"/>
          </reference>
        </references>
      </pivotArea>
    </format>
    <format dxfId="2661">
      <pivotArea dataOnly="0" labelOnly="1" outline="0" fieldPosition="0">
        <references count="4">
          <reference field="5" count="1">
            <x v="94"/>
          </reference>
          <reference field="8" count="1" selected="0">
            <x v="326"/>
          </reference>
          <reference field="11" count="1" selected="0">
            <x v="2"/>
          </reference>
          <reference field="13" count="1" selected="0">
            <x v="238"/>
          </reference>
        </references>
      </pivotArea>
    </format>
    <format dxfId="2660">
      <pivotArea dataOnly="0" labelOnly="1" outline="0" fieldPosition="0">
        <references count="4">
          <reference field="5" count="1">
            <x v="94"/>
          </reference>
          <reference field="8" count="1" selected="0">
            <x v="326"/>
          </reference>
          <reference field="11" count="1" selected="0">
            <x v="3"/>
          </reference>
          <reference field="13" count="1" selected="0">
            <x v="4"/>
          </reference>
        </references>
      </pivotArea>
    </format>
    <format dxfId="2659">
      <pivotArea dataOnly="0" labelOnly="1" outline="0" fieldPosition="0">
        <references count="4">
          <reference field="5" count="1">
            <x v="94"/>
          </reference>
          <reference field="8" count="1" selected="0">
            <x v="326"/>
          </reference>
          <reference field="11" count="1" selected="0">
            <x v="3"/>
          </reference>
          <reference field="13" count="1" selected="0">
            <x v="32"/>
          </reference>
        </references>
      </pivotArea>
    </format>
    <format dxfId="2658">
      <pivotArea dataOnly="0" labelOnly="1" outline="0" fieldPosition="0">
        <references count="4">
          <reference field="5" count="1">
            <x v="94"/>
          </reference>
          <reference field="8" count="1" selected="0">
            <x v="326"/>
          </reference>
          <reference field="11" count="1" selected="0">
            <x v="3"/>
          </reference>
          <reference field="13" count="1" selected="0">
            <x v="69"/>
          </reference>
        </references>
      </pivotArea>
    </format>
    <format dxfId="2657">
      <pivotArea dataOnly="0" labelOnly="1" outline="0" fieldPosition="0">
        <references count="4">
          <reference field="5" count="1">
            <x v="94"/>
          </reference>
          <reference field="8" count="1" selected="0">
            <x v="326"/>
          </reference>
          <reference field="11" count="1" selected="0">
            <x v="3"/>
          </reference>
          <reference field="13" count="1" selected="0">
            <x v="78"/>
          </reference>
        </references>
      </pivotArea>
    </format>
    <format dxfId="2656">
      <pivotArea dataOnly="0" labelOnly="1" outline="0" fieldPosition="0">
        <references count="4">
          <reference field="5" count="1">
            <x v="94"/>
          </reference>
          <reference field="8" count="1" selected="0">
            <x v="326"/>
          </reference>
          <reference field="11" count="1" selected="0">
            <x v="3"/>
          </reference>
          <reference field="13" count="1" selected="0">
            <x v="89"/>
          </reference>
        </references>
      </pivotArea>
    </format>
    <format dxfId="2655">
      <pivotArea dataOnly="0" labelOnly="1" outline="0" fieldPosition="0">
        <references count="4">
          <reference field="5" count="1">
            <x v="94"/>
          </reference>
          <reference field="8" count="1" selected="0">
            <x v="326"/>
          </reference>
          <reference field="11" count="1" selected="0">
            <x v="3"/>
          </reference>
          <reference field="13" count="1" selected="0">
            <x v="243"/>
          </reference>
        </references>
      </pivotArea>
    </format>
    <format dxfId="2654">
      <pivotArea dataOnly="0" labelOnly="1" outline="0" fieldPosition="0">
        <references count="4">
          <reference field="5" count="1">
            <x v="94"/>
          </reference>
          <reference field="8" count="1" selected="0">
            <x v="326"/>
          </reference>
          <reference field="11" count="1" selected="0">
            <x v="3"/>
          </reference>
          <reference field="13" count="1" selected="0">
            <x v="251"/>
          </reference>
        </references>
      </pivotArea>
    </format>
    <format dxfId="2653">
      <pivotArea dataOnly="0" labelOnly="1" outline="0" fieldPosition="0">
        <references count="4">
          <reference field="5" count="1">
            <x v="94"/>
          </reference>
          <reference field="8" count="1" selected="0">
            <x v="326"/>
          </reference>
          <reference field="11" count="1" selected="0">
            <x v="3"/>
          </reference>
          <reference field="13" count="1" selected="0">
            <x v="287"/>
          </reference>
        </references>
      </pivotArea>
    </format>
    <format dxfId="2652">
      <pivotArea dataOnly="0" labelOnly="1" outline="0" fieldPosition="0">
        <references count="4">
          <reference field="5" count="1">
            <x v="94"/>
          </reference>
          <reference field="8" count="1" selected="0">
            <x v="326"/>
          </reference>
          <reference field="11" count="1" selected="0">
            <x v="3"/>
          </reference>
          <reference field="13" count="1" selected="0">
            <x v="314"/>
          </reference>
        </references>
      </pivotArea>
    </format>
    <format dxfId="2651">
      <pivotArea dataOnly="0" labelOnly="1" outline="0" fieldPosition="0">
        <references count="4">
          <reference field="5" count="1">
            <x v="94"/>
          </reference>
          <reference field="8" count="1" selected="0">
            <x v="326"/>
          </reference>
          <reference field="11" count="1" selected="0">
            <x v="4"/>
          </reference>
          <reference field="13" count="1" selected="0">
            <x v="133"/>
          </reference>
        </references>
      </pivotArea>
    </format>
    <format dxfId="2650">
      <pivotArea dataOnly="0" labelOnly="1" outline="0" fieldPosition="0">
        <references count="4">
          <reference field="5" count="1">
            <x v="94"/>
          </reference>
          <reference field="8" count="1" selected="0">
            <x v="326"/>
          </reference>
          <reference field="11" count="1" selected="0">
            <x v="4"/>
          </reference>
          <reference field="13" count="1" selected="0">
            <x v="158"/>
          </reference>
        </references>
      </pivotArea>
    </format>
    <format dxfId="2649">
      <pivotArea dataOnly="0" labelOnly="1" outline="0" fieldPosition="0">
        <references count="4">
          <reference field="5" count="1">
            <x v="94"/>
          </reference>
          <reference field="8" count="1" selected="0">
            <x v="326"/>
          </reference>
          <reference field="11" count="1" selected="0">
            <x v="5"/>
          </reference>
          <reference field="13" count="1" selected="0">
            <x v="226"/>
          </reference>
        </references>
      </pivotArea>
    </format>
    <format dxfId="2648">
      <pivotArea dataOnly="0" labelOnly="1" outline="0" fieldPosition="0">
        <references count="4">
          <reference field="5" count="1">
            <x v="94"/>
          </reference>
          <reference field="8" count="1" selected="0">
            <x v="326"/>
          </reference>
          <reference field="11" count="1" selected="0">
            <x v="5"/>
          </reference>
          <reference field="13" count="1" selected="0">
            <x v="255"/>
          </reference>
        </references>
      </pivotArea>
    </format>
    <format dxfId="2647">
      <pivotArea dataOnly="0" labelOnly="1" outline="0" fieldPosition="0">
        <references count="4">
          <reference field="5" count="2">
            <x v="115"/>
            <x v="116"/>
          </reference>
          <reference field="8" count="1" selected="0">
            <x v="327"/>
          </reference>
          <reference field="11" count="1" selected="0">
            <x v="0"/>
          </reference>
          <reference field="13" count="1" selected="0">
            <x v="53"/>
          </reference>
        </references>
      </pivotArea>
    </format>
    <format dxfId="2646">
      <pivotArea dataOnly="0" labelOnly="1" outline="0" fieldPosition="0">
        <references count="4">
          <reference field="5" count="2">
            <x v="116"/>
            <x v="117"/>
          </reference>
          <reference field="8" count="1" selected="0">
            <x v="327"/>
          </reference>
          <reference field="11" count="1" selected="0">
            <x v="3"/>
          </reference>
          <reference field="13" count="1" selected="0">
            <x v="29"/>
          </reference>
        </references>
      </pivotArea>
    </format>
    <format dxfId="2645">
      <pivotArea dataOnly="0" labelOnly="1" outline="0" fieldPosition="0">
        <references count="4">
          <reference field="5" count="1">
            <x v="117"/>
          </reference>
          <reference field="8" count="1" selected="0">
            <x v="327"/>
          </reference>
          <reference field="11" count="1" selected="0">
            <x v="3"/>
          </reference>
          <reference field="13" count="1" selected="0">
            <x v="218"/>
          </reference>
        </references>
      </pivotArea>
    </format>
    <format dxfId="2644">
      <pivotArea dataOnly="0" labelOnly="1" outline="0" fieldPosition="0">
        <references count="4">
          <reference field="5" count="1">
            <x v="96"/>
          </reference>
          <reference field="8" count="1" selected="0">
            <x v="327"/>
          </reference>
          <reference field="11" count="1" selected="0">
            <x v="3"/>
          </reference>
          <reference field="13" count="1" selected="0">
            <x v="287"/>
          </reference>
        </references>
      </pivotArea>
    </format>
    <format dxfId="2643">
      <pivotArea dataOnly="0" labelOnly="1" outline="0" fieldPosition="0">
        <references count="4">
          <reference field="5" count="1">
            <x v="117"/>
          </reference>
          <reference field="8" count="1" selected="0">
            <x v="327"/>
          </reference>
          <reference field="11" count="1" selected="0">
            <x v="3"/>
          </reference>
          <reference field="13" count="1" selected="0">
            <x v="314"/>
          </reference>
        </references>
      </pivotArea>
    </format>
    <format dxfId="2642">
      <pivotArea dataOnly="0" labelOnly="1" outline="0" fieldPosition="0">
        <references count="4">
          <reference field="5" count="2">
            <x v="95"/>
            <x v="116"/>
          </reference>
          <reference field="8" count="1" selected="0">
            <x v="327"/>
          </reference>
          <reference field="11" count="1" selected="0">
            <x v="5"/>
          </reference>
          <reference field="13" count="1" selected="0">
            <x v="77"/>
          </reference>
        </references>
      </pivotArea>
    </format>
    <format dxfId="2641">
      <pivotArea dataOnly="0" labelOnly="1" outline="0" fieldPosition="0">
        <references count="4">
          <reference field="5" count="1">
            <x v="110"/>
          </reference>
          <reference field="8" count="1" selected="0">
            <x v="328"/>
          </reference>
          <reference field="11" count="1" selected="0">
            <x v="2"/>
          </reference>
          <reference field="13" count="1" selected="0">
            <x v="35"/>
          </reference>
        </references>
      </pivotArea>
    </format>
    <format dxfId="2640">
      <pivotArea dataOnly="0" labelOnly="1" outline="0" fieldPosition="0">
        <references count="4">
          <reference field="5" count="1">
            <x v="110"/>
          </reference>
          <reference field="8" count="1" selected="0">
            <x v="328"/>
          </reference>
          <reference field="11" count="1" selected="0">
            <x v="2"/>
          </reference>
          <reference field="13" count="1" selected="0">
            <x v="52"/>
          </reference>
        </references>
      </pivotArea>
    </format>
    <format dxfId="2639">
      <pivotArea dataOnly="0" labelOnly="1" outline="0" fieldPosition="0">
        <references count="4">
          <reference field="5" count="1">
            <x v="110"/>
          </reference>
          <reference field="8" count="1" selected="0">
            <x v="328"/>
          </reference>
          <reference field="11" count="1" selected="0">
            <x v="3"/>
          </reference>
          <reference field="13" count="1" selected="0">
            <x v="17"/>
          </reference>
        </references>
      </pivotArea>
    </format>
    <format dxfId="2638">
      <pivotArea dataOnly="0" labelOnly="1" outline="0" fieldPosition="0">
        <references count="4">
          <reference field="5" count="1">
            <x v="110"/>
          </reference>
          <reference field="8" count="1" selected="0">
            <x v="328"/>
          </reference>
          <reference field="11" count="1" selected="0">
            <x v="3"/>
          </reference>
          <reference field="13" count="1" selected="0">
            <x v="32"/>
          </reference>
        </references>
      </pivotArea>
    </format>
    <format dxfId="2637">
      <pivotArea dataOnly="0" labelOnly="1" outline="0" fieldPosition="0">
        <references count="4">
          <reference field="5" count="1">
            <x v="110"/>
          </reference>
          <reference field="8" count="1" selected="0">
            <x v="328"/>
          </reference>
          <reference field="11" count="1" selected="0">
            <x v="3"/>
          </reference>
          <reference field="13" count="1" selected="0">
            <x v="242"/>
          </reference>
        </references>
      </pivotArea>
    </format>
    <format dxfId="2636">
      <pivotArea dataOnly="0" labelOnly="1" outline="0" fieldPosition="0">
        <references count="4">
          <reference field="5" count="1">
            <x v="110"/>
          </reference>
          <reference field="8" count="1" selected="0">
            <x v="328"/>
          </reference>
          <reference field="11" count="1" selected="0">
            <x v="3"/>
          </reference>
          <reference field="13" count="1" selected="0">
            <x v="243"/>
          </reference>
        </references>
      </pivotArea>
    </format>
    <format dxfId="2635">
      <pivotArea dataOnly="0" labelOnly="1" outline="0" fieldPosition="0">
        <references count="4">
          <reference field="5" count="2">
            <x v="116"/>
            <x v="117"/>
          </reference>
          <reference field="8" count="1" selected="0">
            <x v="328"/>
          </reference>
          <reference field="11" count="1" selected="0">
            <x v="3"/>
          </reference>
          <reference field="13" count="1" selected="0">
            <x v="287"/>
          </reference>
        </references>
      </pivotArea>
    </format>
    <format dxfId="2634">
      <pivotArea dataOnly="0" labelOnly="1" outline="0" fieldPosition="0">
        <references count="4">
          <reference field="5" count="1">
            <x v="110"/>
          </reference>
          <reference field="8" count="1" selected="0">
            <x v="328"/>
          </reference>
          <reference field="11" count="1" selected="0">
            <x v="3"/>
          </reference>
          <reference field="13" count="1" selected="0">
            <x v="305"/>
          </reference>
        </references>
      </pivotArea>
    </format>
    <format dxfId="2633">
      <pivotArea dataOnly="0" labelOnly="1" outline="0" fieldPosition="0">
        <references count="4">
          <reference field="5" count="2">
            <x v="20"/>
            <x v="116"/>
          </reference>
          <reference field="8" count="1" selected="0">
            <x v="328"/>
          </reference>
          <reference field="11" count="1" selected="0">
            <x v="5"/>
          </reference>
          <reference field="13" count="1" selected="0">
            <x v="77"/>
          </reference>
        </references>
      </pivotArea>
    </format>
    <format dxfId="2632">
      <pivotArea dataOnly="0" labelOnly="1" outline="0" fieldPosition="0">
        <references count="4">
          <reference field="5" count="1">
            <x v="20"/>
          </reference>
          <reference field="8" count="1" selected="0">
            <x v="328"/>
          </reference>
          <reference field="11" count="1" selected="0">
            <x v="5"/>
          </reference>
          <reference field="13" count="1" selected="0">
            <x v="81"/>
          </reference>
        </references>
      </pivotArea>
    </format>
    <format dxfId="2631">
      <pivotArea dataOnly="0" labelOnly="1" outline="0" fieldPosition="0">
        <references count="4">
          <reference field="5" count="1">
            <x v="20"/>
          </reference>
          <reference field="8" count="1" selected="0">
            <x v="328"/>
          </reference>
          <reference field="11" count="1" selected="0">
            <x v="5"/>
          </reference>
          <reference field="13" count="1" selected="0">
            <x v="255"/>
          </reference>
        </references>
      </pivotArea>
    </format>
    <format dxfId="2630">
      <pivotArea dataOnly="0" labelOnly="1" outline="0" fieldPosition="0">
        <references count="4">
          <reference field="5" count="1">
            <x v="110"/>
          </reference>
          <reference field="8" count="1" selected="0">
            <x v="329"/>
          </reference>
          <reference field="11" count="1" selected="0">
            <x v="2"/>
          </reference>
          <reference field="13" count="1" selected="0">
            <x v="279"/>
          </reference>
        </references>
      </pivotArea>
    </format>
    <format dxfId="2629">
      <pivotArea dataOnly="0" labelOnly="1" outline="0" fieldPosition="0">
        <references count="4">
          <reference field="5" count="1">
            <x v="110"/>
          </reference>
          <reference field="8" count="1" selected="0">
            <x v="329"/>
          </reference>
          <reference field="11" count="1" selected="0">
            <x v="3"/>
          </reference>
          <reference field="13" count="1" selected="0">
            <x v="17"/>
          </reference>
        </references>
      </pivotArea>
    </format>
    <format dxfId="2628">
      <pivotArea dataOnly="0" labelOnly="1" outline="0" fieldPosition="0">
        <references count="4">
          <reference field="5" count="1">
            <x v="110"/>
          </reference>
          <reference field="8" count="1" selected="0">
            <x v="329"/>
          </reference>
          <reference field="11" count="1" selected="0">
            <x v="3"/>
          </reference>
          <reference field="13" count="1" selected="0">
            <x v="25"/>
          </reference>
        </references>
      </pivotArea>
    </format>
    <format dxfId="2627">
      <pivotArea dataOnly="0" labelOnly="1" outline="0" fieldPosition="0">
        <references count="4">
          <reference field="5" count="1">
            <x v="110"/>
          </reference>
          <reference field="8" count="1" selected="0">
            <x v="329"/>
          </reference>
          <reference field="11" count="1" selected="0">
            <x v="3"/>
          </reference>
          <reference field="13" count="1" selected="0">
            <x v="32"/>
          </reference>
        </references>
      </pivotArea>
    </format>
    <format dxfId="2626">
      <pivotArea dataOnly="0" labelOnly="1" outline="0" fieldPosition="0">
        <references count="4">
          <reference field="5" count="1">
            <x v="110"/>
          </reference>
          <reference field="8" count="1" selected="0">
            <x v="329"/>
          </reference>
          <reference field="11" count="1" selected="0">
            <x v="3"/>
          </reference>
          <reference field="13" count="1" selected="0">
            <x v="69"/>
          </reference>
        </references>
      </pivotArea>
    </format>
    <format dxfId="2625">
      <pivotArea dataOnly="0" labelOnly="1" outline="0" fieldPosition="0">
        <references count="4">
          <reference field="5" count="1">
            <x v="110"/>
          </reference>
          <reference field="8" count="1" selected="0">
            <x v="329"/>
          </reference>
          <reference field="11" count="1" selected="0">
            <x v="3"/>
          </reference>
          <reference field="13" count="1" selected="0">
            <x v="78"/>
          </reference>
        </references>
      </pivotArea>
    </format>
    <format dxfId="2624">
      <pivotArea dataOnly="0" labelOnly="1" outline="0" fieldPosition="0">
        <references count="4">
          <reference field="5" count="1">
            <x v="110"/>
          </reference>
          <reference field="8" count="1" selected="0">
            <x v="329"/>
          </reference>
          <reference field="11" count="1" selected="0">
            <x v="3"/>
          </reference>
          <reference field="13" count="1" selected="0">
            <x v="89"/>
          </reference>
        </references>
      </pivotArea>
    </format>
    <format dxfId="2623">
      <pivotArea dataOnly="0" labelOnly="1" outline="0" fieldPosition="0">
        <references count="4">
          <reference field="5" count="1">
            <x v="110"/>
          </reference>
          <reference field="8" count="1" selected="0">
            <x v="329"/>
          </reference>
          <reference field="11" count="1" selected="0">
            <x v="3"/>
          </reference>
          <reference field="13" count="1" selected="0">
            <x v="100"/>
          </reference>
        </references>
      </pivotArea>
    </format>
    <format dxfId="2622">
      <pivotArea dataOnly="0" labelOnly="1" outline="0" fieldPosition="0">
        <references count="4">
          <reference field="5" count="1">
            <x v="110"/>
          </reference>
          <reference field="8" count="1" selected="0">
            <x v="329"/>
          </reference>
          <reference field="11" count="1" selected="0">
            <x v="3"/>
          </reference>
          <reference field="13" count="1" selected="0">
            <x v="101"/>
          </reference>
        </references>
      </pivotArea>
    </format>
    <format dxfId="2621">
      <pivotArea dataOnly="0" labelOnly="1" outline="0" fieldPosition="0">
        <references count="4">
          <reference field="5" count="1">
            <x v="110"/>
          </reference>
          <reference field="8" count="1" selected="0">
            <x v="329"/>
          </reference>
          <reference field="11" count="1" selected="0">
            <x v="3"/>
          </reference>
          <reference field="13" count="1" selected="0">
            <x v="242"/>
          </reference>
        </references>
      </pivotArea>
    </format>
    <format dxfId="2620">
      <pivotArea dataOnly="0" labelOnly="1" outline="0" fieldPosition="0">
        <references count="4">
          <reference field="5" count="1">
            <x v="110"/>
          </reference>
          <reference field="8" count="1" selected="0">
            <x v="329"/>
          </reference>
          <reference field="11" count="1" selected="0">
            <x v="3"/>
          </reference>
          <reference field="13" count="1" selected="0">
            <x v="243"/>
          </reference>
        </references>
      </pivotArea>
    </format>
    <format dxfId="2619">
      <pivotArea dataOnly="0" labelOnly="1" outline="0" fieldPosition="0">
        <references count="4">
          <reference field="5" count="2">
            <x v="116"/>
            <x v="117"/>
          </reference>
          <reference field="8" count="1" selected="0">
            <x v="329"/>
          </reference>
          <reference field="11" count="1" selected="0">
            <x v="3"/>
          </reference>
          <reference field="13" count="1" selected="0">
            <x v="287"/>
          </reference>
        </references>
      </pivotArea>
    </format>
    <format dxfId="2618">
      <pivotArea dataOnly="0" labelOnly="1" outline="0" fieldPosition="0">
        <references count="4">
          <reference field="5" count="1">
            <x v="110"/>
          </reference>
          <reference field="8" count="1" selected="0">
            <x v="329"/>
          </reference>
          <reference field="11" count="1" selected="0">
            <x v="3"/>
          </reference>
          <reference field="13" count="1" selected="0">
            <x v="305"/>
          </reference>
        </references>
      </pivotArea>
    </format>
    <format dxfId="2617">
      <pivotArea dataOnly="0" labelOnly="1" outline="0" fieldPosition="0">
        <references count="4">
          <reference field="5" count="1">
            <x v="20"/>
          </reference>
          <reference field="8" count="1" selected="0">
            <x v="329"/>
          </reference>
          <reference field="11" count="1" selected="0">
            <x v="5"/>
          </reference>
          <reference field="13" count="1" selected="0">
            <x v="81"/>
          </reference>
        </references>
      </pivotArea>
    </format>
    <format dxfId="2616">
      <pivotArea dataOnly="0" labelOnly="1" outline="0" fieldPosition="0">
        <references count="4">
          <reference field="5" count="1">
            <x v="20"/>
          </reference>
          <reference field="8" count="1" selected="0">
            <x v="329"/>
          </reference>
          <reference field="11" count="1" selected="0">
            <x v="5"/>
          </reference>
          <reference field="13" count="1" selected="0">
            <x v="255"/>
          </reference>
        </references>
      </pivotArea>
    </format>
    <format dxfId="2615">
      <pivotArea dataOnly="0" labelOnly="1" outline="0" fieldPosition="0">
        <references count="4">
          <reference field="5" count="1">
            <x v="63"/>
          </reference>
          <reference field="8" count="1" selected="0">
            <x v="330"/>
          </reference>
          <reference field="11" count="1" selected="0">
            <x v="1"/>
          </reference>
          <reference field="13" count="1" selected="0">
            <x v="286"/>
          </reference>
        </references>
      </pivotArea>
    </format>
    <format dxfId="2614">
      <pivotArea dataOnly="0" labelOnly="1" outline="0" fieldPosition="0">
        <references count="4">
          <reference field="5" count="1">
            <x v="110"/>
          </reference>
          <reference field="8" count="1" selected="0">
            <x v="330"/>
          </reference>
          <reference field="11" count="1" selected="0">
            <x v="3"/>
          </reference>
          <reference field="13" count="1" selected="0">
            <x v="32"/>
          </reference>
        </references>
      </pivotArea>
    </format>
    <format dxfId="2613">
      <pivotArea dataOnly="0" labelOnly="1" outline="0" fieldPosition="0">
        <references count="4">
          <reference field="5" count="1">
            <x v="110"/>
          </reference>
          <reference field="8" count="1" selected="0">
            <x v="330"/>
          </reference>
          <reference field="11" count="1" selected="0">
            <x v="3"/>
          </reference>
          <reference field="13" count="1" selected="0">
            <x v="57"/>
          </reference>
        </references>
      </pivotArea>
    </format>
    <format dxfId="2612">
      <pivotArea dataOnly="0" labelOnly="1" outline="0" fieldPosition="0">
        <references count="4">
          <reference field="5" count="1">
            <x v="110"/>
          </reference>
          <reference field="8" count="1" selected="0">
            <x v="330"/>
          </reference>
          <reference field="11" count="1" selected="0">
            <x v="3"/>
          </reference>
          <reference field="13" count="1" selected="0">
            <x v="69"/>
          </reference>
        </references>
      </pivotArea>
    </format>
    <format dxfId="2611">
      <pivotArea dataOnly="0" labelOnly="1" outline="0" fieldPosition="0">
        <references count="4">
          <reference field="5" count="1">
            <x v="110"/>
          </reference>
          <reference field="8" count="1" selected="0">
            <x v="330"/>
          </reference>
          <reference field="11" count="1" selected="0">
            <x v="3"/>
          </reference>
          <reference field="13" count="1" selected="0">
            <x v="78"/>
          </reference>
        </references>
      </pivotArea>
    </format>
    <format dxfId="2610">
      <pivotArea dataOnly="0" labelOnly="1" outline="0" fieldPosition="0">
        <references count="4">
          <reference field="5" count="1">
            <x v="110"/>
          </reference>
          <reference field="8" count="1" selected="0">
            <x v="330"/>
          </reference>
          <reference field="11" count="1" selected="0">
            <x v="3"/>
          </reference>
          <reference field="13" count="1" selected="0">
            <x v="242"/>
          </reference>
        </references>
      </pivotArea>
    </format>
    <format dxfId="2609">
      <pivotArea dataOnly="0" labelOnly="1" outline="0" fieldPosition="0">
        <references count="4">
          <reference field="5" count="1">
            <x v="110"/>
          </reference>
          <reference field="8" count="1" selected="0">
            <x v="330"/>
          </reference>
          <reference field="11" count="1" selected="0">
            <x v="3"/>
          </reference>
          <reference field="13" count="1" selected="0">
            <x v="243"/>
          </reference>
        </references>
      </pivotArea>
    </format>
    <format dxfId="2608">
      <pivotArea dataOnly="0" labelOnly="1" outline="0" fieldPosition="0">
        <references count="4">
          <reference field="5" count="2">
            <x v="116"/>
            <x v="117"/>
          </reference>
          <reference field="8" count="1" selected="0">
            <x v="330"/>
          </reference>
          <reference field="11" count="1" selected="0">
            <x v="3"/>
          </reference>
          <reference field="13" count="1" selected="0">
            <x v="287"/>
          </reference>
        </references>
      </pivotArea>
    </format>
    <format dxfId="2607">
      <pivotArea dataOnly="0" labelOnly="1" outline="0" fieldPosition="0">
        <references count="4">
          <reference field="5" count="2">
            <x v="20"/>
            <x v="116"/>
          </reference>
          <reference field="8" count="1" selected="0">
            <x v="330"/>
          </reference>
          <reference field="11" count="1" selected="0">
            <x v="5"/>
          </reference>
          <reference field="13" count="1" selected="0">
            <x v="81"/>
          </reference>
        </references>
      </pivotArea>
    </format>
    <format dxfId="2606">
      <pivotArea dataOnly="0" labelOnly="1" outline="0" fieldPosition="0">
        <references count="4">
          <reference field="5" count="1">
            <x v="20"/>
          </reference>
          <reference field="8" count="1" selected="0">
            <x v="330"/>
          </reference>
          <reference field="11" count="1" selected="0">
            <x v="5"/>
          </reference>
          <reference field="13" count="1" selected="0">
            <x v="255"/>
          </reference>
        </references>
      </pivotArea>
    </format>
    <format dxfId="2605">
      <pivotArea dataOnly="0" labelOnly="1" outline="0" fieldPosition="0">
        <references count="4">
          <reference field="5" count="1">
            <x v="101"/>
          </reference>
          <reference field="8" count="1" selected="0">
            <x v="331"/>
          </reference>
          <reference field="11" count="1" selected="0">
            <x v="3"/>
          </reference>
          <reference field="13" count="1" selected="0">
            <x v="243"/>
          </reference>
        </references>
      </pivotArea>
    </format>
    <format dxfId="2604">
      <pivotArea dataOnly="0" labelOnly="1" outline="0" fieldPosition="0">
        <references count="4">
          <reference field="5" count="1">
            <x v="32"/>
          </reference>
          <reference field="8" count="1" selected="0">
            <x v="332"/>
          </reference>
          <reference field="11" count="1" selected="0">
            <x v="2"/>
          </reference>
          <reference field="13" count="1" selected="0">
            <x v="232"/>
          </reference>
        </references>
      </pivotArea>
    </format>
    <format dxfId="2603">
      <pivotArea dataOnly="0" labelOnly="1" outline="0" fieldPosition="0">
        <references count="4">
          <reference field="5" count="2">
            <x v="116"/>
            <x v="117"/>
          </reference>
          <reference field="8" count="1" selected="0">
            <x v="332"/>
          </reference>
          <reference field="11" count="1" selected="0">
            <x v="3"/>
          </reference>
          <reference field="13" count="1" selected="0">
            <x v="29"/>
          </reference>
        </references>
      </pivotArea>
    </format>
    <format dxfId="2602">
      <pivotArea dataOnly="0" labelOnly="1" outline="0" fieldPosition="0">
        <references count="4">
          <reference field="5" count="1">
            <x v="117"/>
          </reference>
          <reference field="8" count="1" selected="0">
            <x v="332"/>
          </reference>
          <reference field="11" count="1" selected="0">
            <x v="3"/>
          </reference>
          <reference field="13" count="1" selected="0">
            <x v="218"/>
          </reference>
        </references>
      </pivotArea>
    </format>
    <format dxfId="2601">
      <pivotArea dataOnly="0" labelOnly="1" outline="0" fieldPosition="0">
        <references count="4">
          <reference field="5" count="1">
            <x v="50"/>
          </reference>
          <reference field="8" count="1" selected="0">
            <x v="332"/>
          </reference>
          <reference field="11" count="1" selected="0">
            <x v="3"/>
          </reference>
          <reference field="13" count="1" selected="0">
            <x v="240"/>
          </reference>
        </references>
      </pivotArea>
    </format>
    <format dxfId="2600">
      <pivotArea dataOnly="0" labelOnly="1" outline="0" fieldPosition="0">
        <references count="4">
          <reference field="5" count="2">
            <x v="32"/>
            <x v="95"/>
          </reference>
          <reference field="8" count="1" selected="0">
            <x v="332"/>
          </reference>
          <reference field="11" count="1" selected="0">
            <x v="3"/>
          </reference>
          <reference field="13" count="1" selected="0">
            <x v="287"/>
          </reference>
        </references>
      </pivotArea>
    </format>
    <format dxfId="2599">
      <pivotArea dataOnly="0" labelOnly="1" outline="0" fieldPosition="0">
        <references count="4">
          <reference field="5" count="1">
            <x v="117"/>
          </reference>
          <reference field="8" count="1" selected="0">
            <x v="332"/>
          </reference>
          <reference field="11" count="1" selected="0">
            <x v="3"/>
          </reference>
          <reference field="13" count="1" selected="0">
            <x v="314"/>
          </reference>
        </references>
      </pivotArea>
    </format>
    <format dxfId="2598">
      <pivotArea dataOnly="0" labelOnly="1" outline="0" fieldPosition="0">
        <references count="4">
          <reference field="5" count="1">
            <x v="32"/>
          </reference>
          <reference field="8" count="1" selected="0">
            <x v="332"/>
          </reference>
          <reference field="11" count="1" selected="0">
            <x v="4"/>
          </reference>
          <reference field="13" count="1" selected="0">
            <x v="133"/>
          </reference>
        </references>
      </pivotArea>
    </format>
    <format dxfId="2597">
      <pivotArea dataOnly="0" labelOnly="1" outline="0" fieldPosition="0">
        <references count="4">
          <reference field="5" count="1">
            <x v="95"/>
          </reference>
          <reference field="8" count="1" selected="0">
            <x v="332"/>
          </reference>
          <reference field="11" count="1" selected="0">
            <x v="4"/>
          </reference>
          <reference field="13" count="1" selected="0">
            <x v="280"/>
          </reference>
        </references>
      </pivotArea>
    </format>
    <format dxfId="2596">
      <pivotArea dataOnly="0" labelOnly="1" outline="0" fieldPosition="0">
        <references count="4">
          <reference field="5" count="1">
            <x v="47"/>
          </reference>
          <reference field="8" count="1" selected="0">
            <x v="333"/>
          </reference>
          <reference field="11" count="1" selected="0">
            <x v="3"/>
          </reference>
          <reference field="13" count="1" selected="0">
            <x v="36"/>
          </reference>
        </references>
      </pivotArea>
    </format>
    <format dxfId="2595">
      <pivotArea dataOnly="0" labelOnly="1" outline="0" fieldPosition="0">
        <references count="4">
          <reference field="5" count="1">
            <x v="47"/>
          </reference>
          <reference field="8" count="1" selected="0">
            <x v="333"/>
          </reference>
          <reference field="11" count="1" selected="0">
            <x v="3"/>
          </reference>
          <reference field="13" count="1" selected="0">
            <x v="243"/>
          </reference>
        </references>
      </pivotArea>
    </format>
    <format dxfId="2594">
      <pivotArea dataOnly="0" labelOnly="1" outline="0" fieldPosition="0">
        <references count="4">
          <reference field="5" count="1">
            <x v="47"/>
          </reference>
          <reference field="8" count="1" selected="0">
            <x v="333"/>
          </reference>
          <reference field="11" count="1" selected="0">
            <x v="3"/>
          </reference>
          <reference field="13" count="1" selected="0">
            <x v="290"/>
          </reference>
        </references>
      </pivotArea>
    </format>
    <format dxfId="2593">
      <pivotArea dataOnly="0" labelOnly="1" outline="0" fieldPosition="0">
        <references count="4">
          <reference field="5" count="1">
            <x v="47"/>
          </reference>
          <reference field="8" count="1" selected="0">
            <x v="333"/>
          </reference>
          <reference field="11" count="1" selected="0">
            <x v="5"/>
          </reference>
          <reference field="13" count="1" selected="0">
            <x v="77"/>
          </reference>
        </references>
      </pivotArea>
    </format>
    <format dxfId="2592">
      <pivotArea dataOnly="0" labelOnly="1" outline="0" fieldPosition="0">
        <references count="4">
          <reference field="5" count="2">
            <x v="20"/>
            <x v="47"/>
          </reference>
          <reference field="8" count="1" selected="0">
            <x v="333"/>
          </reference>
          <reference field="11" count="1" selected="0">
            <x v="5"/>
          </reference>
          <reference field="13" count="1" selected="0">
            <x v="81"/>
          </reference>
        </references>
      </pivotArea>
    </format>
    <format dxfId="2591">
      <pivotArea dataOnly="0" labelOnly="1" outline="0" fieldPosition="0">
        <references count="4">
          <reference field="5" count="1">
            <x v="47"/>
          </reference>
          <reference field="8" count="1" selected="0">
            <x v="333"/>
          </reference>
          <reference field="11" count="1" selected="0">
            <x v="5"/>
          </reference>
          <reference field="13" count="1" selected="0">
            <x v="159"/>
          </reference>
        </references>
      </pivotArea>
    </format>
    <format dxfId="2590">
      <pivotArea dataOnly="0" labelOnly="1" outline="0" fieldPosition="0">
        <references count="4">
          <reference field="5" count="1">
            <x v="54"/>
          </reference>
          <reference field="8" count="1" selected="0">
            <x v="334"/>
          </reference>
          <reference field="11" count="1" selected="0">
            <x v="0"/>
          </reference>
          <reference field="13" count="1" selected="0">
            <x v="132"/>
          </reference>
        </references>
      </pivotArea>
    </format>
    <format dxfId="2589">
      <pivotArea dataOnly="0" labelOnly="1" outline="0" fieldPosition="0">
        <references count="4">
          <reference field="5" count="1">
            <x v="11"/>
          </reference>
          <reference field="8" count="1" selected="0">
            <x v="334"/>
          </reference>
          <reference field="11" count="1" selected="0">
            <x v="3"/>
          </reference>
          <reference field="13" count="1" selected="0">
            <x v="78"/>
          </reference>
        </references>
      </pivotArea>
    </format>
    <format dxfId="2588">
      <pivotArea dataOnly="0" labelOnly="1" outline="0" fieldPosition="0">
        <references count="4">
          <reference field="5" count="1">
            <x v="63"/>
          </reference>
          <reference field="8" count="1" selected="0">
            <x v="335"/>
          </reference>
          <reference field="11" count="1" selected="0">
            <x v="1"/>
          </reference>
          <reference field="13" count="1" selected="0">
            <x v="103"/>
          </reference>
        </references>
      </pivotArea>
    </format>
    <format dxfId="2587">
      <pivotArea dataOnly="0" labelOnly="1" outline="0" fieldPosition="0">
        <references count="4">
          <reference field="5" count="1">
            <x v="70"/>
          </reference>
          <reference field="8" count="1" selected="0">
            <x v="335"/>
          </reference>
          <reference field="11" count="1" selected="0">
            <x v="1"/>
          </reference>
          <reference field="13" count="1" selected="0">
            <x v="167"/>
          </reference>
        </references>
      </pivotArea>
    </format>
    <format dxfId="2586">
      <pivotArea dataOnly="0" labelOnly="1" outline="0" fieldPosition="0">
        <references count="4">
          <reference field="5" count="1">
            <x v="110"/>
          </reference>
          <reference field="8" count="1" selected="0">
            <x v="335"/>
          </reference>
          <reference field="11" count="1" selected="0">
            <x v="3"/>
          </reference>
          <reference field="13" count="1" selected="0">
            <x v="7"/>
          </reference>
        </references>
      </pivotArea>
    </format>
    <format dxfId="2585">
      <pivotArea dataOnly="0" labelOnly="1" outline="0" fieldPosition="0">
        <references count="4">
          <reference field="5" count="1">
            <x v="110"/>
          </reference>
          <reference field="8" count="1" selected="0">
            <x v="335"/>
          </reference>
          <reference field="11" count="1" selected="0">
            <x v="3"/>
          </reference>
          <reference field="13" count="1" selected="0">
            <x v="17"/>
          </reference>
        </references>
      </pivotArea>
    </format>
    <format dxfId="2584">
      <pivotArea dataOnly="0" labelOnly="1" outline="0" fieldPosition="0">
        <references count="4">
          <reference field="5" count="1">
            <x v="110"/>
          </reference>
          <reference field="8" count="1" selected="0">
            <x v="335"/>
          </reference>
          <reference field="11" count="1" selected="0">
            <x v="3"/>
          </reference>
          <reference field="13" count="1" selected="0">
            <x v="32"/>
          </reference>
        </references>
      </pivotArea>
    </format>
    <format dxfId="2583">
      <pivotArea dataOnly="0" labelOnly="1" outline="0" fieldPosition="0">
        <references count="4">
          <reference field="5" count="1">
            <x v="47"/>
          </reference>
          <reference field="8" count="1" selected="0">
            <x v="335"/>
          </reference>
          <reference field="11" count="1" selected="0">
            <x v="3"/>
          </reference>
          <reference field="13" count="1" selected="0">
            <x v="36"/>
          </reference>
        </references>
      </pivotArea>
    </format>
    <format dxfId="2582">
      <pivotArea dataOnly="0" labelOnly="1" outline="0" fieldPosition="0">
        <references count="4">
          <reference field="5" count="1">
            <x v="110"/>
          </reference>
          <reference field="8" count="1" selected="0">
            <x v="335"/>
          </reference>
          <reference field="11" count="1" selected="0">
            <x v="3"/>
          </reference>
          <reference field="13" count="1" selected="0">
            <x v="69"/>
          </reference>
        </references>
      </pivotArea>
    </format>
    <format dxfId="2581">
      <pivotArea dataOnly="0" labelOnly="1" outline="0" fieldPosition="0">
        <references count="4">
          <reference field="5" count="1">
            <x v="110"/>
          </reference>
          <reference field="8" count="1" selected="0">
            <x v="335"/>
          </reference>
          <reference field="11" count="1" selected="0">
            <x v="3"/>
          </reference>
          <reference field="13" count="1" selected="0">
            <x v="100"/>
          </reference>
        </references>
      </pivotArea>
    </format>
    <format dxfId="2580">
      <pivotArea dataOnly="0" labelOnly="1" outline="0" fieldPosition="0">
        <references count="4">
          <reference field="5" count="1">
            <x v="110"/>
          </reference>
          <reference field="8" count="1" selected="0">
            <x v="335"/>
          </reference>
          <reference field="11" count="1" selected="0">
            <x v="3"/>
          </reference>
          <reference field="13" count="1" selected="0">
            <x v="242"/>
          </reference>
        </references>
      </pivotArea>
    </format>
    <format dxfId="2579">
      <pivotArea dataOnly="0" labelOnly="1" outline="0" fieldPosition="0">
        <references count="4">
          <reference field="5" count="1">
            <x v="110"/>
          </reference>
          <reference field="8" count="1" selected="0">
            <x v="335"/>
          </reference>
          <reference field="11" count="1" selected="0">
            <x v="3"/>
          </reference>
          <reference field="13" count="1" selected="0">
            <x v="243"/>
          </reference>
        </references>
      </pivotArea>
    </format>
    <format dxfId="2578">
      <pivotArea dataOnly="0" labelOnly="1" outline="0" fieldPosition="0">
        <references count="4">
          <reference field="5" count="1">
            <x v="35"/>
          </reference>
          <reference field="8" count="1" selected="0">
            <x v="335"/>
          </reference>
          <reference field="11" count="1" selected="0">
            <x v="3"/>
          </reference>
          <reference field="13" count="1" selected="0">
            <x v="272"/>
          </reference>
        </references>
      </pivotArea>
    </format>
    <format dxfId="2577">
      <pivotArea dataOnly="0" labelOnly="1" outline="0" fieldPosition="0">
        <references count="4">
          <reference field="5" count="2">
            <x v="116"/>
            <x v="117"/>
          </reference>
          <reference field="8" count="1" selected="0">
            <x v="335"/>
          </reference>
          <reference field="11" count="1" selected="0">
            <x v="3"/>
          </reference>
          <reference field="13" count="1" selected="0">
            <x v="287"/>
          </reference>
        </references>
      </pivotArea>
    </format>
    <format dxfId="2576">
      <pivotArea dataOnly="0" labelOnly="1" outline="0" fieldPosition="0">
        <references count="4">
          <reference field="5" count="1">
            <x v="110"/>
          </reference>
          <reference field="8" count="1" selected="0">
            <x v="335"/>
          </reference>
          <reference field="11" count="1" selected="0">
            <x v="3"/>
          </reference>
          <reference field="13" count="1" selected="0">
            <x v="305"/>
          </reference>
        </references>
      </pivotArea>
    </format>
    <format dxfId="2575">
      <pivotArea dataOnly="0" labelOnly="1" outline="0" fieldPosition="0">
        <references count="4">
          <reference field="5" count="1">
            <x v="68"/>
          </reference>
          <reference field="8" count="1" selected="0">
            <x v="335"/>
          </reference>
          <reference field="11" count="1" selected="0">
            <x v="4"/>
          </reference>
          <reference field="13" count="1" selected="0">
            <x v="133"/>
          </reference>
        </references>
      </pivotArea>
    </format>
    <format dxfId="2574">
      <pivotArea dataOnly="0" labelOnly="1" outline="0" fieldPosition="0">
        <references count="4">
          <reference field="5" count="1">
            <x v="70"/>
          </reference>
          <reference field="8" count="1" selected="0">
            <x v="335"/>
          </reference>
          <reference field="11" count="1" selected="0">
            <x v="4"/>
          </reference>
          <reference field="13" count="1" selected="0">
            <x v="280"/>
          </reference>
        </references>
      </pivotArea>
    </format>
    <format dxfId="2573">
      <pivotArea dataOnly="0" labelOnly="1" outline="0" fieldPosition="0">
        <references count="4">
          <reference field="5" count="1">
            <x v="20"/>
          </reference>
          <reference field="8" count="1" selected="0">
            <x v="335"/>
          </reference>
          <reference field="11" count="1" selected="0">
            <x v="5"/>
          </reference>
          <reference field="13" count="1" selected="0">
            <x v="81"/>
          </reference>
        </references>
      </pivotArea>
    </format>
    <format dxfId="2572">
      <pivotArea dataOnly="0" labelOnly="1" outline="0" fieldPosition="0">
        <references count="4">
          <reference field="5" count="1">
            <x v="20"/>
          </reference>
          <reference field="8" count="1" selected="0">
            <x v="335"/>
          </reference>
          <reference field="11" count="1" selected="0">
            <x v="5"/>
          </reference>
          <reference field="13" count="1" selected="0">
            <x v="255"/>
          </reference>
        </references>
      </pivotArea>
    </format>
    <format dxfId="2571">
      <pivotArea dataOnly="0" labelOnly="1" outline="0" fieldPosition="0">
        <references count="4">
          <reference field="5" count="1">
            <x v="101"/>
          </reference>
          <reference field="8" count="1" selected="0">
            <x v="336"/>
          </reference>
          <reference field="11" count="1" selected="0">
            <x v="1"/>
          </reference>
          <reference field="13" count="1" selected="0">
            <x v="286"/>
          </reference>
        </references>
      </pivotArea>
    </format>
    <format dxfId="2570">
      <pivotArea dataOnly="0" labelOnly="1" outline="0" fieldPosition="0">
        <references count="4">
          <reference field="5" count="1">
            <x v="101"/>
          </reference>
          <reference field="8" count="1" selected="0">
            <x v="336"/>
          </reference>
          <reference field="11" count="1" selected="0">
            <x v="3"/>
          </reference>
          <reference field="13" count="1" selected="0">
            <x v="17"/>
          </reference>
        </references>
      </pivotArea>
    </format>
    <format dxfId="2569">
      <pivotArea dataOnly="0" labelOnly="1" outline="0" fieldPosition="0">
        <references count="4">
          <reference field="5" count="1">
            <x v="101"/>
          </reference>
          <reference field="8" count="1" selected="0">
            <x v="336"/>
          </reference>
          <reference field="11" count="1" selected="0">
            <x v="3"/>
          </reference>
          <reference field="13" count="1" selected="0">
            <x v="287"/>
          </reference>
        </references>
      </pivotArea>
    </format>
    <format dxfId="2568">
      <pivotArea dataOnly="0" labelOnly="1" outline="0" fieldPosition="0">
        <references count="4">
          <reference field="5" count="1">
            <x v="101"/>
          </reference>
          <reference field="8" count="1" selected="0">
            <x v="336"/>
          </reference>
          <reference field="11" count="1" selected="0">
            <x v="3"/>
          </reference>
          <reference field="13" count="1" selected="0">
            <x v="305"/>
          </reference>
        </references>
      </pivotArea>
    </format>
    <format dxfId="2567">
      <pivotArea dataOnly="0" labelOnly="1" outline="0" fieldPosition="0">
        <references count="4">
          <reference field="5" count="1">
            <x v="20"/>
          </reference>
          <reference field="8" count="1" selected="0">
            <x v="336"/>
          </reference>
          <reference field="11" count="1" selected="0">
            <x v="5"/>
          </reference>
          <reference field="13" count="1" selected="0">
            <x v="81"/>
          </reference>
        </references>
      </pivotArea>
    </format>
    <format dxfId="2566">
      <pivotArea dataOnly="0" labelOnly="1" outline="0" fieldPosition="0">
        <references count="4">
          <reference field="5" count="1">
            <x v="101"/>
          </reference>
          <reference field="8" count="1" selected="0">
            <x v="336"/>
          </reference>
          <reference field="11" count="1" selected="0">
            <x v="7"/>
          </reference>
          <reference field="13" count="1" selected="0">
            <x v="93"/>
          </reference>
        </references>
      </pivotArea>
    </format>
    <format dxfId="2565">
      <pivotArea dataOnly="0" labelOnly="1" outline="0" fieldPosition="0">
        <references count="4">
          <reference field="5" count="1">
            <x v="108"/>
          </reference>
          <reference field="8" count="1" selected="0">
            <x v="337"/>
          </reference>
          <reference field="11" count="1" selected="0">
            <x v="2"/>
          </reference>
          <reference field="13" count="1" selected="0">
            <x v="52"/>
          </reference>
        </references>
      </pivotArea>
    </format>
    <format dxfId="2564">
      <pivotArea dataOnly="0" labelOnly="1" outline="0" fieldPosition="0">
        <references count="4">
          <reference field="5" count="1">
            <x v="108"/>
          </reference>
          <reference field="8" count="1" selected="0">
            <x v="337"/>
          </reference>
          <reference field="11" count="1" selected="0">
            <x v="2"/>
          </reference>
          <reference field="13" count="1" selected="0">
            <x v="173"/>
          </reference>
        </references>
      </pivotArea>
    </format>
    <format dxfId="2563">
      <pivotArea dataOnly="0" labelOnly="1" outline="0" fieldPosition="0">
        <references count="4">
          <reference field="5" count="1">
            <x v="108"/>
          </reference>
          <reference field="8" count="1" selected="0">
            <x v="337"/>
          </reference>
          <reference field="11" count="1" selected="0">
            <x v="2"/>
          </reference>
          <reference field="13" count="1" selected="0">
            <x v="285"/>
          </reference>
        </references>
      </pivotArea>
    </format>
    <format dxfId="2562">
      <pivotArea dataOnly="0" labelOnly="1" outline="0" fieldPosition="0">
        <references count="4">
          <reference field="5" count="1">
            <x v="108"/>
          </reference>
          <reference field="8" count="1" selected="0">
            <x v="337"/>
          </reference>
          <reference field="11" count="1" selected="0">
            <x v="3"/>
          </reference>
          <reference field="13" count="1" selected="0">
            <x v="242"/>
          </reference>
        </references>
      </pivotArea>
    </format>
    <format dxfId="2561">
      <pivotArea dataOnly="0" labelOnly="1" outline="0" fieldPosition="0">
        <references count="4">
          <reference field="5" count="1">
            <x v="108"/>
          </reference>
          <reference field="8" count="1" selected="0">
            <x v="337"/>
          </reference>
          <reference field="11" count="1" selected="0">
            <x v="3"/>
          </reference>
          <reference field="13" count="1" selected="0">
            <x v="243"/>
          </reference>
        </references>
      </pivotArea>
    </format>
    <format dxfId="2560">
      <pivotArea dataOnly="0" labelOnly="1" outline="0" fieldPosition="0">
        <references count="4">
          <reference field="5" count="1">
            <x v="108"/>
          </reference>
          <reference field="8" count="1" selected="0">
            <x v="337"/>
          </reference>
          <reference field="11" count="1" selected="0">
            <x v="5"/>
          </reference>
          <reference field="13" count="1" selected="0">
            <x v="96"/>
          </reference>
        </references>
      </pivotArea>
    </format>
    <format dxfId="2559">
      <pivotArea dataOnly="0" labelOnly="1" outline="0" fieldPosition="0">
        <references count="4">
          <reference field="5" count="1">
            <x v="64"/>
          </reference>
          <reference field="8" count="1" selected="0">
            <x v="338"/>
          </reference>
          <reference field="11" count="1" selected="0">
            <x v="1"/>
          </reference>
          <reference field="13" count="1" selected="0">
            <x v="169"/>
          </reference>
        </references>
      </pivotArea>
    </format>
    <format dxfId="2558">
      <pivotArea dataOnly="0" labelOnly="1" outline="0" fieldPosition="0">
        <references count="4">
          <reference field="5" count="2">
            <x v="116"/>
            <x v="117"/>
          </reference>
          <reference field="8" count="1" selected="0">
            <x v="338"/>
          </reference>
          <reference field="11" count="1" selected="0">
            <x v="3"/>
          </reference>
          <reference field="13" count="1" selected="0">
            <x v="29"/>
          </reference>
        </references>
      </pivotArea>
    </format>
    <format dxfId="2557">
      <pivotArea dataOnly="0" labelOnly="1" outline="0" fieldPosition="0">
        <references count="4">
          <reference field="5" count="1">
            <x v="117"/>
          </reference>
          <reference field="8" count="1" selected="0">
            <x v="338"/>
          </reference>
          <reference field="11" count="1" selected="0">
            <x v="3"/>
          </reference>
          <reference field="13" count="1" selected="0">
            <x v="218"/>
          </reference>
        </references>
      </pivotArea>
    </format>
    <format dxfId="2556">
      <pivotArea dataOnly="0" labelOnly="1" outline="0" fieldPosition="0">
        <references count="4">
          <reference field="5" count="1">
            <x v="64"/>
          </reference>
          <reference field="8" count="1" selected="0">
            <x v="338"/>
          </reference>
          <reference field="11" count="1" selected="0">
            <x v="3"/>
          </reference>
          <reference field="13" count="1" selected="0">
            <x v="243"/>
          </reference>
        </references>
      </pivotArea>
    </format>
    <format dxfId="2555">
      <pivotArea dataOnly="0" labelOnly="1" outline="0" fieldPosition="0">
        <references count="4">
          <reference field="5" count="1">
            <x v="117"/>
          </reference>
          <reference field="8" count="1" selected="0">
            <x v="338"/>
          </reference>
          <reference field="11" count="1" selected="0">
            <x v="3"/>
          </reference>
          <reference field="13" count="1" selected="0">
            <x v="314"/>
          </reference>
        </references>
      </pivotArea>
    </format>
    <format dxfId="2554">
      <pivotArea dataOnly="0" labelOnly="1" outline="0" fieldPosition="0">
        <references count="4">
          <reference field="5" count="1">
            <x v="116"/>
          </reference>
          <reference field="8" count="1" selected="0">
            <x v="338"/>
          </reference>
          <reference field="11" count="1" selected="0">
            <x v="5"/>
          </reference>
          <reference field="13" count="1" selected="0">
            <x v="81"/>
          </reference>
        </references>
      </pivotArea>
    </format>
    <format dxfId="2553">
      <pivotArea dataOnly="0" labelOnly="1" outline="0" fieldPosition="0">
        <references count="4">
          <reference field="5" count="1">
            <x v="20"/>
          </reference>
          <reference field="8" count="1" selected="0">
            <x v="338"/>
          </reference>
          <reference field="11" count="1" selected="0">
            <x v="5"/>
          </reference>
          <reference field="13" count="1" selected="0">
            <x v="255"/>
          </reference>
        </references>
      </pivotArea>
    </format>
    <format dxfId="2552">
      <pivotArea dataOnly="0" labelOnly="1" outline="0" fieldPosition="0">
        <references count="4">
          <reference field="5" count="1">
            <x v="72"/>
          </reference>
          <reference field="8" count="1" selected="0">
            <x v="338"/>
          </reference>
          <reference field="11" count="1" selected="0">
            <x v="7"/>
          </reference>
          <reference field="13" count="1" selected="0">
            <x v="72"/>
          </reference>
        </references>
      </pivotArea>
    </format>
    <format dxfId="2551">
      <pivotArea dataOnly="0" labelOnly="1" outline="0" fieldPosition="0">
        <references count="4">
          <reference field="5" count="1">
            <x v="64"/>
          </reference>
          <reference field="8" count="1" selected="0">
            <x v="338"/>
          </reference>
          <reference field="11" count="1" selected="0">
            <x v="7"/>
          </reference>
          <reference field="13" count="1" selected="0">
            <x v="129"/>
          </reference>
        </references>
      </pivotArea>
    </format>
    <format dxfId="2550">
      <pivotArea dataOnly="0" labelOnly="1" outline="0" fieldPosition="0">
        <references count="4">
          <reference field="5" count="1">
            <x v="64"/>
          </reference>
          <reference field="8" count="1" selected="0">
            <x v="338"/>
          </reference>
          <reference field="11" count="1" selected="0">
            <x v="7"/>
          </reference>
          <reference field="13" count="1" selected="0">
            <x v="308"/>
          </reference>
        </references>
      </pivotArea>
    </format>
    <format dxfId="2549">
      <pivotArea dataOnly="0" labelOnly="1" outline="0" fieldPosition="0">
        <references count="4">
          <reference field="5" count="1">
            <x v="70"/>
          </reference>
          <reference field="8" count="1" selected="0">
            <x v="339"/>
          </reference>
          <reference field="11" count="1" selected="0">
            <x v="1"/>
          </reference>
          <reference field="13" count="1" selected="0">
            <x v="181"/>
          </reference>
        </references>
      </pivotArea>
    </format>
    <format dxfId="2548">
      <pivotArea dataOnly="0" labelOnly="1" outline="0" fieldPosition="0">
        <references count="4">
          <reference field="5" count="1">
            <x v="70"/>
          </reference>
          <reference field="8" count="1" selected="0">
            <x v="339"/>
          </reference>
          <reference field="11" count="1" selected="0">
            <x v="3"/>
          </reference>
          <reference field="13" count="1" selected="0">
            <x v="69"/>
          </reference>
        </references>
      </pivotArea>
    </format>
    <format dxfId="2547">
      <pivotArea dataOnly="0" labelOnly="1" outline="0" fieldPosition="0">
        <references count="4">
          <reference field="5" count="1">
            <x v="70"/>
          </reference>
          <reference field="8" count="1" selected="0">
            <x v="339"/>
          </reference>
          <reference field="11" count="1" selected="0">
            <x v="5"/>
          </reference>
          <reference field="13" count="1" selected="0">
            <x v="96"/>
          </reference>
        </references>
      </pivotArea>
    </format>
    <format dxfId="2546">
      <pivotArea dataOnly="0" labelOnly="1" outline="0" fieldPosition="0">
        <references count="4">
          <reference field="5" count="1">
            <x v="95"/>
          </reference>
          <reference field="8" count="1" selected="0">
            <x v="340"/>
          </reference>
          <reference field="11" count="1" selected="0">
            <x v="3"/>
          </reference>
          <reference field="13" count="1" selected="0">
            <x v="57"/>
          </reference>
        </references>
      </pivotArea>
    </format>
    <format dxfId="2545">
      <pivotArea dataOnly="0" labelOnly="1" outline="0" fieldPosition="0">
        <references count="4">
          <reference field="5" count="1">
            <x v="95"/>
          </reference>
          <reference field="8" count="1" selected="0">
            <x v="340"/>
          </reference>
          <reference field="11" count="1" selected="0">
            <x v="4"/>
          </reference>
          <reference field="13" count="1" selected="0">
            <x v="150"/>
          </reference>
        </references>
      </pivotArea>
    </format>
    <format dxfId="2544">
      <pivotArea dataOnly="0" labelOnly="1" outline="0" fieldPosition="0">
        <references count="4">
          <reference field="5" count="1">
            <x v="116"/>
          </reference>
          <reference field="8" count="1" selected="0">
            <x v="340"/>
          </reference>
          <reference field="11" count="1" selected="0">
            <x v="5"/>
          </reference>
          <reference field="13" count="1" selected="0">
            <x v="81"/>
          </reference>
        </references>
      </pivotArea>
    </format>
    <format dxfId="2543">
      <pivotArea dataOnly="0" labelOnly="1" outline="0" fieldPosition="0">
        <references count="4">
          <reference field="5" count="1">
            <x v="116"/>
          </reference>
          <reference field="8" count="1" selected="0">
            <x v="341"/>
          </reference>
          <reference field="11" count="1" selected="0">
            <x v="0"/>
          </reference>
          <reference field="13" count="1" selected="0">
            <x v="107"/>
          </reference>
        </references>
      </pivotArea>
    </format>
    <format dxfId="2542">
      <pivotArea dataOnly="0" labelOnly="1" outline="0" fieldPosition="0">
        <references count="4">
          <reference field="5" count="2">
            <x v="116"/>
            <x v="117"/>
          </reference>
          <reference field="8" count="1" selected="0">
            <x v="341"/>
          </reference>
          <reference field="11" count="1" selected="0">
            <x v="3"/>
          </reference>
          <reference field="13" count="1" selected="0">
            <x v="29"/>
          </reference>
        </references>
      </pivotArea>
    </format>
    <format dxfId="2541">
      <pivotArea dataOnly="0" labelOnly="1" outline="0" fieldPosition="0">
        <references count="4">
          <reference field="5" count="1">
            <x v="117"/>
          </reference>
          <reference field="8" count="1" selected="0">
            <x v="341"/>
          </reference>
          <reference field="11" count="1" selected="0">
            <x v="3"/>
          </reference>
          <reference field="13" count="1" selected="0">
            <x v="218"/>
          </reference>
        </references>
      </pivotArea>
    </format>
    <format dxfId="2540">
      <pivotArea dataOnly="0" labelOnly="1" outline="0" fieldPosition="0">
        <references count="4">
          <reference field="5" count="1">
            <x v="59"/>
          </reference>
          <reference field="8" count="1" selected="0">
            <x v="341"/>
          </reference>
          <reference field="11" count="1" selected="0">
            <x v="3"/>
          </reference>
          <reference field="13" count="1" selected="0">
            <x v="240"/>
          </reference>
        </references>
      </pivotArea>
    </format>
    <format dxfId="2539">
      <pivotArea dataOnly="0" labelOnly="1" outline="0" fieldPosition="0">
        <references count="4">
          <reference field="5" count="1">
            <x v="59"/>
          </reference>
          <reference field="8" count="1" selected="0">
            <x v="341"/>
          </reference>
          <reference field="11" count="1" selected="0">
            <x v="3"/>
          </reference>
          <reference field="13" count="1" selected="0">
            <x v="243"/>
          </reference>
        </references>
      </pivotArea>
    </format>
    <format dxfId="2538">
      <pivotArea dataOnly="0" labelOnly="1" outline="0" fieldPosition="0">
        <references count="4">
          <reference field="5" count="1">
            <x v="117"/>
          </reference>
          <reference field="8" count="1" selected="0">
            <x v="341"/>
          </reference>
          <reference field="11" count="1" selected="0">
            <x v="3"/>
          </reference>
          <reference field="13" count="1" selected="0">
            <x v="314"/>
          </reference>
        </references>
      </pivotArea>
    </format>
    <format dxfId="2537">
      <pivotArea dataOnly="0" labelOnly="1" outline="0" fieldPosition="0">
        <references count="4">
          <reference field="5" count="1">
            <x v="116"/>
          </reference>
          <reference field="8" count="1" selected="0">
            <x v="341"/>
          </reference>
          <reference field="11" count="1" selected="0">
            <x v="5"/>
          </reference>
          <reference field="13" count="1" selected="0">
            <x v="81"/>
          </reference>
        </references>
      </pivotArea>
    </format>
    <format dxfId="2536">
      <pivotArea dataOnly="0" labelOnly="1" outline="0" fieldPosition="0">
        <references count="4">
          <reference field="5" count="1">
            <x v="59"/>
          </reference>
          <reference field="8" count="1" selected="0">
            <x v="341"/>
          </reference>
          <reference field="11" count="1" selected="0">
            <x v="5"/>
          </reference>
          <reference field="13" count="1" selected="0">
            <x v="236"/>
          </reference>
        </references>
      </pivotArea>
    </format>
    <format dxfId="2535">
      <pivotArea dataOnly="0" labelOnly="1" outline="0" fieldPosition="0">
        <references count="4">
          <reference field="5" count="1">
            <x v="59"/>
          </reference>
          <reference field="8" count="1" selected="0">
            <x v="341"/>
          </reference>
          <reference field="11" count="1" selected="0">
            <x v="7"/>
          </reference>
          <reference field="13" count="1" selected="0">
            <x v="72"/>
          </reference>
        </references>
      </pivotArea>
    </format>
    <format dxfId="2534">
      <pivotArea dataOnly="0" labelOnly="1" outline="0" fieldPosition="0">
        <references count="4">
          <reference field="5" count="1">
            <x v="64"/>
          </reference>
          <reference field="8" count="1" selected="0">
            <x v="342"/>
          </reference>
          <reference field="11" count="1" selected="0">
            <x v="1"/>
          </reference>
          <reference field="13" count="1" selected="0">
            <x v="169"/>
          </reference>
        </references>
      </pivotArea>
    </format>
    <format dxfId="2533">
      <pivotArea dataOnly="0" labelOnly="1" outline="0" fieldPosition="0">
        <references count="4">
          <reference field="5" count="2">
            <x v="116"/>
            <x v="117"/>
          </reference>
          <reference field="8" count="1" selected="0">
            <x v="342"/>
          </reference>
          <reference field="11" count="1" selected="0">
            <x v="3"/>
          </reference>
          <reference field="13" count="1" selected="0">
            <x v="29"/>
          </reference>
        </references>
      </pivotArea>
    </format>
    <format dxfId="2532">
      <pivotArea dataOnly="0" labelOnly="1" outline="0" fieldPosition="0">
        <references count="4">
          <reference field="5" count="1">
            <x v="117"/>
          </reference>
          <reference field="8" count="1" selected="0">
            <x v="342"/>
          </reference>
          <reference field="11" count="1" selected="0">
            <x v="3"/>
          </reference>
          <reference field="13" count="1" selected="0">
            <x v="218"/>
          </reference>
        </references>
      </pivotArea>
    </format>
    <format dxfId="2531">
      <pivotArea dataOnly="0" labelOnly="1" outline="0" fieldPosition="0">
        <references count="4">
          <reference field="5" count="1">
            <x v="117"/>
          </reference>
          <reference field="8" count="1" selected="0">
            <x v="342"/>
          </reference>
          <reference field="11" count="1" selected="0">
            <x v="3"/>
          </reference>
          <reference field="13" count="1" selected="0">
            <x v="314"/>
          </reference>
        </references>
      </pivotArea>
    </format>
    <format dxfId="2530">
      <pivotArea dataOnly="0" labelOnly="1" outline="0" fieldPosition="0">
        <references count="4">
          <reference field="5" count="1">
            <x v="20"/>
          </reference>
          <reference field="8" count="1" selected="0">
            <x v="342"/>
          </reference>
          <reference field="11" count="1" selected="0">
            <x v="5"/>
          </reference>
          <reference field="13" count="1" selected="0">
            <x v="77"/>
          </reference>
        </references>
      </pivotArea>
    </format>
    <format dxfId="2529">
      <pivotArea dataOnly="0" labelOnly="1" outline="0" fieldPosition="0">
        <references count="4">
          <reference field="5" count="1">
            <x v="64"/>
          </reference>
          <reference field="8" count="1" selected="0">
            <x v="342"/>
          </reference>
          <reference field="11" count="1" selected="0">
            <x v="7"/>
          </reference>
          <reference field="13" count="1" selected="0">
            <x v="129"/>
          </reference>
        </references>
      </pivotArea>
    </format>
    <format dxfId="2528">
      <pivotArea dataOnly="0" labelOnly="1" outline="0" fieldPosition="0">
        <references count="4">
          <reference field="5" count="1">
            <x v="72"/>
          </reference>
          <reference field="8" count="1" selected="0">
            <x v="343"/>
          </reference>
          <reference field="11" count="1" selected="0">
            <x v="3"/>
          </reference>
          <reference field="13" count="1" selected="0">
            <x v="14"/>
          </reference>
        </references>
      </pivotArea>
    </format>
    <format dxfId="2527">
      <pivotArea dataOnly="0" labelOnly="1" outline="0" fieldPosition="0">
        <references count="4">
          <reference field="5" count="1">
            <x v="72"/>
          </reference>
          <reference field="8" count="1" selected="0">
            <x v="343"/>
          </reference>
          <reference field="11" count="1" selected="0">
            <x v="3"/>
          </reference>
          <reference field="13" count="1" selected="0">
            <x v="240"/>
          </reference>
        </references>
      </pivotArea>
    </format>
    <format dxfId="2526">
      <pivotArea dataOnly="0" labelOnly="1" outline="0" fieldPosition="0">
        <references count="4">
          <reference field="5" count="1">
            <x v="72"/>
          </reference>
          <reference field="8" count="1" selected="0">
            <x v="343"/>
          </reference>
          <reference field="11" count="1" selected="0">
            <x v="3"/>
          </reference>
          <reference field="13" count="1" selected="0">
            <x v="242"/>
          </reference>
        </references>
      </pivotArea>
    </format>
    <format dxfId="2525">
      <pivotArea dataOnly="0" labelOnly="1" outline="0" fieldPosition="0">
        <references count="4">
          <reference field="5" count="1">
            <x v="72"/>
          </reference>
          <reference field="8" count="1" selected="0">
            <x v="343"/>
          </reference>
          <reference field="11" count="1" selected="0">
            <x v="3"/>
          </reference>
          <reference field="13" count="1" selected="0">
            <x v="287"/>
          </reference>
        </references>
      </pivotArea>
    </format>
    <format dxfId="2524">
      <pivotArea dataOnly="0" labelOnly="1" outline="0" fieldPosition="0">
        <references count="4">
          <reference field="5" count="1">
            <x v="72"/>
          </reference>
          <reference field="8" count="1" selected="0">
            <x v="343"/>
          </reference>
          <reference field="11" count="1" selected="0">
            <x v="7"/>
          </reference>
          <reference field="13" count="1" selected="0">
            <x v="72"/>
          </reference>
        </references>
      </pivotArea>
    </format>
    <format dxfId="2523">
      <pivotArea dataOnly="0" labelOnly="1" outline="0" fieldPosition="0">
        <references count="4">
          <reference field="5" count="1">
            <x v="101"/>
          </reference>
          <reference field="8" count="1" selected="0">
            <x v="344"/>
          </reference>
          <reference field="11" count="1" selected="0">
            <x v="1"/>
          </reference>
          <reference field="13" count="1" selected="0">
            <x v="246"/>
          </reference>
        </references>
      </pivotArea>
    </format>
    <format dxfId="2522">
      <pivotArea dataOnly="0" labelOnly="1" outline="0" fieldPosition="0">
        <references count="4">
          <reference field="5" count="1">
            <x v="101"/>
          </reference>
          <reference field="8" count="1" selected="0">
            <x v="344"/>
          </reference>
          <reference field="11" count="1" selected="0">
            <x v="1"/>
          </reference>
          <reference field="13" count="1" selected="0">
            <x v="266"/>
          </reference>
        </references>
      </pivotArea>
    </format>
    <format dxfId="2521">
      <pivotArea dataOnly="0" labelOnly="1" outline="0" fieldPosition="0">
        <references count="4">
          <reference field="5" count="1">
            <x v="101"/>
          </reference>
          <reference field="8" count="1" selected="0">
            <x v="344"/>
          </reference>
          <reference field="11" count="1" selected="0">
            <x v="3"/>
          </reference>
          <reference field="13" count="1" selected="0">
            <x v="32"/>
          </reference>
        </references>
      </pivotArea>
    </format>
    <format dxfId="2520">
      <pivotArea dataOnly="0" labelOnly="1" outline="0" fieldPosition="0">
        <references count="4">
          <reference field="5" count="1">
            <x v="101"/>
          </reference>
          <reference field="8" count="1" selected="0">
            <x v="344"/>
          </reference>
          <reference field="11" count="1" selected="0">
            <x v="3"/>
          </reference>
          <reference field="13" count="1" selected="0">
            <x v="242"/>
          </reference>
        </references>
      </pivotArea>
    </format>
    <format dxfId="2519">
      <pivotArea dataOnly="0" labelOnly="1" outline="0" fieldPosition="0">
        <references count="4">
          <reference field="5" count="1">
            <x v="101"/>
          </reference>
          <reference field="8" count="1" selected="0">
            <x v="344"/>
          </reference>
          <reference field="11" count="1" selected="0">
            <x v="3"/>
          </reference>
          <reference field="13" count="1" selected="0">
            <x v="243"/>
          </reference>
        </references>
      </pivotArea>
    </format>
    <format dxfId="2518">
      <pivotArea dataOnly="0" labelOnly="1" outline="0" fieldPosition="0">
        <references count="4">
          <reference field="5" count="1">
            <x v="101"/>
          </reference>
          <reference field="8" count="1" selected="0">
            <x v="344"/>
          </reference>
          <reference field="11" count="1" selected="0">
            <x v="3"/>
          </reference>
          <reference field="13" count="1" selected="0">
            <x v="287"/>
          </reference>
        </references>
      </pivotArea>
    </format>
    <format dxfId="2517">
      <pivotArea dataOnly="0" labelOnly="1" outline="0" fieldPosition="0">
        <references count="4">
          <reference field="5" count="1">
            <x v="20"/>
          </reference>
          <reference field="8" count="1" selected="0">
            <x v="344"/>
          </reference>
          <reference field="11" count="1" selected="0">
            <x v="5"/>
          </reference>
          <reference field="13" count="1" selected="0">
            <x v="81"/>
          </reference>
        </references>
      </pivotArea>
    </format>
    <format dxfId="2516">
      <pivotArea dataOnly="0" labelOnly="1" outline="0" fieldPosition="0">
        <references count="4">
          <reference field="5" count="1">
            <x v="101"/>
          </reference>
          <reference field="8" count="1" selected="0">
            <x v="344"/>
          </reference>
          <reference field="11" count="1" selected="0">
            <x v="7"/>
          </reference>
          <reference field="13" count="1" selected="0">
            <x v="93"/>
          </reference>
        </references>
      </pivotArea>
    </format>
    <format dxfId="2515">
      <pivotArea dataOnly="0" labelOnly="1" outline="0" fieldPosition="0">
        <references count="4">
          <reference field="5" count="1">
            <x v="108"/>
          </reference>
          <reference field="8" count="1" selected="0">
            <x v="345"/>
          </reference>
          <reference field="11" count="1" selected="0">
            <x v="1"/>
          </reference>
          <reference field="13" count="1" selected="0">
            <x v="125"/>
          </reference>
        </references>
      </pivotArea>
    </format>
    <format dxfId="2514">
      <pivotArea dataOnly="0" labelOnly="1" outline="0" fieldPosition="0">
        <references count="4">
          <reference field="5" count="1">
            <x v="108"/>
          </reference>
          <reference field="8" count="1" selected="0">
            <x v="345"/>
          </reference>
          <reference field="11" count="1" selected="0">
            <x v="1"/>
          </reference>
          <reference field="13" count="1" selected="0">
            <x v="149"/>
          </reference>
        </references>
      </pivotArea>
    </format>
    <format dxfId="2513">
      <pivotArea dataOnly="0" labelOnly="1" outline="0" fieldPosition="0">
        <references count="4">
          <reference field="5" count="1">
            <x v="101"/>
          </reference>
          <reference field="8" count="1" selected="0">
            <x v="345"/>
          </reference>
          <reference field="11" count="1" selected="0">
            <x v="1"/>
          </reference>
          <reference field="13" count="1" selected="0">
            <x v="266"/>
          </reference>
        </references>
      </pivotArea>
    </format>
    <format dxfId="2512">
      <pivotArea dataOnly="0" labelOnly="1" outline="0" fieldPosition="0">
        <references count="4">
          <reference field="5" count="1">
            <x v="108"/>
          </reference>
          <reference field="8" count="1" selected="0">
            <x v="345"/>
          </reference>
          <reference field="11" count="1" selected="0">
            <x v="1"/>
          </reference>
          <reference field="13" count="1" selected="0">
            <x v="286"/>
          </reference>
        </references>
      </pivotArea>
    </format>
    <format dxfId="2511">
      <pivotArea dataOnly="0" labelOnly="1" outline="0" fieldPosition="0">
        <references count="4">
          <reference field="5" count="1">
            <x v="108"/>
          </reference>
          <reference field="8" count="1" selected="0">
            <x v="345"/>
          </reference>
          <reference field="11" count="1" selected="0">
            <x v="3"/>
          </reference>
          <reference field="13" count="1" selected="0">
            <x v="57"/>
          </reference>
        </references>
      </pivotArea>
    </format>
    <format dxfId="2510">
      <pivotArea dataOnly="0" labelOnly="1" outline="0" fieldPosition="0">
        <references count="4">
          <reference field="5" count="1">
            <x v="108"/>
          </reference>
          <reference field="8" count="1" selected="0">
            <x v="345"/>
          </reference>
          <reference field="11" count="1" selected="0">
            <x v="3"/>
          </reference>
          <reference field="13" count="1" selected="0">
            <x v="69"/>
          </reference>
        </references>
      </pivotArea>
    </format>
    <format dxfId="2509">
      <pivotArea dataOnly="0" labelOnly="1" outline="0" fieldPosition="0">
        <references count="4">
          <reference field="5" count="1">
            <x v="108"/>
          </reference>
          <reference field="8" count="1" selected="0">
            <x v="345"/>
          </reference>
          <reference field="11" count="1" selected="0">
            <x v="3"/>
          </reference>
          <reference field="13" count="1" selected="0">
            <x v="242"/>
          </reference>
        </references>
      </pivotArea>
    </format>
    <format dxfId="2508">
      <pivotArea dataOnly="0" labelOnly="1" outline="0" fieldPosition="0">
        <references count="4">
          <reference field="5" count="1">
            <x v="108"/>
          </reference>
          <reference field="8" count="1" selected="0">
            <x v="345"/>
          </reference>
          <reference field="11" count="1" selected="0">
            <x v="3"/>
          </reference>
          <reference field="13" count="1" selected="0">
            <x v="243"/>
          </reference>
        </references>
      </pivotArea>
    </format>
    <format dxfId="2507">
      <pivotArea dataOnly="0" labelOnly="1" outline="0" fieldPosition="0">
        <references count="4">
          <reference field="5" count="1">
            <x v="108"/>
          </reference>
          <reference field="8" count="1" selected="0">
            <x v="345"/>
          </reference>
          <reference field="11" count="1" selected="0">
            <x v="4"/>
          </reference>
          <reference field="13" count="1" selected="0">
            <x v="133"/>
          </reference>
        </references>
      </pivotArea>
    </format>
    <format dxfId="2506">
      <pivotArea dataOnly="0" labelOnly="1" outline="0" fieldPosition="0">
        <references count="4">
          <reference field="5" count="1">
            <x v="108"/>
          </reference>
          <reference field="8" count="1" selected="0">
            <x v="345"/>
          </reference>
          <reference field="11" count="1" selected="0">
            <x v="4"/>
          </reference>
          <reference field="13" count="1" selected="0">
            <x v="158"/>
          </reference>
        </references>
      </pivotArea>
    </format>
    <format dxfId="2505">
      <pivotArea dataOnly="0" labelOnly="1" outline="0" fieldPosition="0">
        <references count="4">
          <reference field="5" count="2">
            <x v="20"/>
            <x v="108"/>
          </reference>
          <reference field="8" count="1" selected="0">
            <x v="345"/>
          </reference>
          <reference field="11" count="1" selected="0">
            <x v="5"/>
          </reference>
          <reference field="13" count="1" selected="0">
            <x v="77"/>
          </reference>
        </references>
      </pivotArea>
    </format>
    <format dxfId="2504">
      <pivotArea dataOnly="0" labelOnly="1" outline="0" fieldPosition="0">
        <references count="4">
          <reference field="5" count="1">
            <x v="60"/>
          </reference>
          <reference field="8" count="1" selected="0">
            <x v="346"/>
          </reference>
          <reference field="11" count="1" selected="0">
            <x v="1"/>
          </reference>
          <reference field="13" count="1" selected="0">
            <x v="31"/>
          </reference>
        </references>
      </pivotArea>
    </format>
    <format dxfId="2503">
      <pivotArea dataOnly="0" labelOnly="1" outline="0" fieldPosition="0">
        <references count="4">
          <reference field="5" count="1">
            <x v="60"/>
          </reference>
          <reference field="8" count="1" selected="0">
            <x v="346"/>
          </reference>
          <reference field="11" count="1" selected="0">
            <x v="1"/>
          </reference>
          <reference field="13" count="1" selected="0">
            <x v="286"/>
          </reference>
        </references>
      </pivotArea>
    </format>
    <format dxfId="2502">
      <pivotArea dataOnly="0" labelOnly="1" outline="0" fieldPosition="0">
        <references count="4">
          <reference field="5" count="1">
            <x v="60"/>
          </reference>
          <reference field="8" count="1" selected="0">
            <x v="346"/>
          </reference>
          <reference field="11" count="1" selected="0">
            <x v="3"/>
          </reference>
          <reference field="13" count="1" selected="0">
            <x v="17"/>
          </reference>
        </references>
      </pivotArea>
    </format>
    <format dxfId="2501">
      <pivotArea dataOnly="0" labelOnly="1" outline="0" fieldPosition="0">
        <references count="4">
          <reference field="5" count="1">
            <x v="60"/>
          </reference>
          <reference field="8" count="1" selected="0">
            <x v="346"/>
          </reference>
          <reference field="11" count="1" selected="0">
            <x v="3"/>
          </reference>
          <reference field="13" count="1" selected="0">
            <x v="242"/>
          </reference>
        </references>
      </pivotArea>
    </format>
    <format dxfId="2500">
      <pivotArea dataOnly="0" labelOnly="1" outline="0" fieldPosition="0">
        <references count="4">
          <reference field="5" count="1">
            <x v="60"/>
          </reference>
          <reference field="8" count="1" selected="0">
            <x v="346"/>
          </reference>
          <reference field="11" count="1" selected="0">
            <x v="3"/>
          </reference>
          <reference field="13" count="1" selected="0">
            <x v="287"/>
          </reference>
        </references>
      </pivotArea>
    </format>
    <format dxfId="2499">
      <pivotArea dataOnly="0" labelOnly="1" outline="0" fieldPosition="0">
        <references count="4">
          <reference field="5" count="1">
            <x v="60"/>
          </reference>
          <reference field="8" count="1" selected="0">
            <x v="346"/>
          </reference>
          <reference field="11" count="1" selected="0">
            <x v="3"/>
          </reference>
          <reference field="13" count="1" selected="0">
            <x v="305"/>
          </reference>
        </references>
      </pivotArea>
    </format>
    <format dxfId="2498">
      <pivotArea dataOnly="0" labelOnly="1" outline="0" fieldPosition="0">
        <references count="4">
          <reference field="5" count="1">
            <x v="20"/>
          </reference>
          <reference field="8" count="1" selected="0">
            <x v="346"/>
          </reference>
          <reference field="11" count="1" selected="0">
            <x v="5"/>
          </reference>
          <reference field="13" count="1" selected="0">
            <x v="81"/>
          </reference>
        </references>
      </pivotArea>
    </format>
    <format dxfId="2497">
      <pivotArea dataOnly="0" labelOnly="1" outline="0" fieldPosition="0">
        <references count="4">
          <reference field="5" count="1">
            <x v="64"/>
          </reference>
          <reference field="8" count="1" selected="0">
            <x v="347"/>
          </reference>
          <reference field="11" count="1" selected="0">
            <x v="1"/>
          </reference>
          <reference field="13" count="1" selected="0">
            <x v="169"/>
          </reference>
        </references>
      </pivotArea>
    </format>
    <format dxfId="2496">
      <pivotArea dataOnly="0" labelOnly="1" outline="0" fieldPosition="0">
        <references count="4">
          <reference field="5" count="1">
            <x v="70"/>
          </reference>
          <reference field="8" count="1" selected="0">
            <x v="348"/>
          </reference>
          <reference field="11" count="1" selected="0">
            <x v="1"/>
          </reference>
          <reference field="13" count="1" selected="0">
            <x v="286"/>
          </reference>
        </references>
      </pivotArea>
    </format>
    <format dxfId="2495">
      <pivotArea dataOnly="0" labelOnly="1" outline="0" fieldPosition="0">
        <references count="4">
          <reference field="5" count="1">
            <x v="70"/>
          </reference>
          <reference field="8" count="1" selected="0">
            <x v="348"/>
          </reference>
          <reference field="11" count="1" selected="0">
            <x v="4"/>
          </reference>
          <reference field="13" count="1" selected="0">
            <x v="280"/>
          </reference>
        </references>
      </pivotArea>
    </format>
    <format dxfId="2494">
      <pivotArea dataOnly="0" labelOnly="1" outline="0" fieldPosition="0">
        <references count="4">
          <reference field="5" count="2">
            <x v="115"/>
            <x v="116"/>
          </reference>
          <reference field="8" count="1" selected="0">
            <x v="349"/>
          </reference>
          <reference field="11" count="1" selected="0">
            <x v="0"/>
          </reference>
          <reference field="13" count="1" selected="0">
            <x v="53"/>
          </reference>
        </references>
      </pivotArea>
    </format>
    <format dxfId="2493">
      <pivotArea dataOnly="0" labelOnly="1" outline="0" fieldPosition="0">
        <references count="4">
          <reference field="5" count="1">
            <x v="95"/>
          </reference>
          <reference field="8" count="1" selected="0">
            <x v="349"/>
          </reference>
          <reference field="11" count="1" selected="0">
            <x v="3"/>
          </reference>
          <reference field="13" count="1" selected="0">
            <x v="4"/>
          </reference>
        </references>
      </pivotArea>
    </format>
    <format dxfId="2492">
      <pivotArea dataOnly="0" labelOnly="1" outline="0" fieldPosition="0">
        <references count="4">
          <reference field="5" count="2">
            <x v="116"/>
            <x v="117"/>
          </reference>
          <reference field="8" count="1" selected="0">
            <x v="349"/>
          </reference>
          <reference field="11" count="1" selected="0">
            <x v="3"/>
          </reference>
          <reference field="13" count="1" selected="0">
            <x v="29"/>
          </reference>
        </references>
      </pivotArea>
    </format>
    <format dxfId="2491">
      <pivotArea dataOnly="0" labelOnly="1" outline="0" fieldPosition="0">
        <references count="4">
          <reference field="5" count="1">
            <x v="95"/>
          </reference>
          <reference field="8" count="1" selected="0">
            <x v="349"/>
          </reference>
          <reference field="11" count="1" selected="0">
            <x v="3"/>
          </reference>
          <reference field="13" count="1" selected="0">
            <x v="54"/>
          </reference>
        </references>
      </pivotArea>
    </format>
    <format dxfId="2490">
      <pivotArea dataOnly="0" labelOnly="1" outline="0" fieldPosition="0">
        <references count="4">
          <reference field="5" count="1">
            <x v="95"/>
          </reference>
          <reference field="8" count="1" selected="0">
            <x v="349"/>
          </reference>
          <reference field="11" count="1" selected="0">
            <x v="3"/>
          </reference>
          <reference field="13" count="1" selected="0">
            <x v="57"/>
          </reference>
        </references>
      </pivotArea>
    </format>
    <format dxfId="2489">
      <pivotArea dataOnly="0" labelOnly="1" outline="0" fieldPosition="0">
        <references count="4">
          <reference field="5" count="1">
            <x v="117"/>
          </reference>
          <reference field="8" count="1" selected="0">
            <x v="349"/>
          </reference>
          <reference field="11" count="1" selected="0">
            <x v="3"/>
          </reference>
          <reference field="13" count="1" selected="0">
            <x v="218"/>
          </reference>
        </references>
      </pivotArea>
    </format>
    <format dxfId="2488">
      <pivotArea dataOnly="0" labelOnly="1" outline="0" fieldPosition="0">
        <references count="4">
          <reference field="5" count="1">
            <x v="95"/>
          </reference>
          <reference field="8" count="1" selected="0">
            <x v="349"/>
          </reference>
          <reference field="11" count="1" selected="0">
            <x v="3"/>
          </reference>
          <reference field="13" count="1" selected="0">
            <x v="287"/>
          </reference>
        </references>
      </pivotArea>
    </format>
    <format dxfId="2487">
      <pivotArea dataOnly="0" labelOnly="1" outline="0" fieldPosition="0">
        <references count="4">
          <reference field="5" count="2">
            <x v="95"/>
            <x v="117"/>
          </reference>
          <reference field="8" count="1" selected="0">
            <x v="349"/>
          </reference>
          <reference field="11" count="1" selected="0">
            <x v="3"/>
          </reference>
          <reference field="13" count="1" selected="0">
            <x v="314"/>
          </reference>
        </references>
      </pivotArea>
    </format>
    <format dxfId="2486">
      <pivotArea dataOnly="0" labelOnly="1" outline="0" fieldPosition="0">
        <references count="4">
          <reference field="5" count="1">
            <x v="116"/>
          </reference>
          <reference field="8" count="1" selected="0">
            <x v="349"/>
          </reference>
          <reference field="11" count="1" selected="0">
            <x v="5"/>
          </reference>
          <reference field="13" count="1" selected="0">
            <x v="77"/>
          </reference>
        </references>
      </pivotArea>
    </format>
    <format dxfId="2485">
      <pivotArea dataOnly="0" labelOnly="1" outline="0" fieldPosition="0">
        <references count="4">
          <reference field="5" count="1">
            <x v="20"/>
          </reference>
          <reference field="8" count="1" selected="0">
            <x v="349"/>
          </reference>
          <reference field="11" count="1" selected="0">
            <x v="5"/>
          </reference>
          <reference field="13" count="1" selected="0">
            <x v="255"/>
          </reference>
        </references>
      </pivotArea>
    </format>
    <format dxfId="2484">
      <pivotArea dataOnly="0" labelOnly="1" outline="0" fieldPosition="0">
        <references count="4">
          <reference field="5" count="1">
            <x v="2"/>
          </reference>
          <reference field="8" count="1" selected="0">
            <x v="349"/>
          </reference>
          <reference field="11" count="1" selected="0">
            <x v="5"/>
          </reference>
          <reference field="13" count="1" selected="0">
            <x v="268"/>
          </reference>
        </references>
      </pivotArea>
    </format>
    <format dxfId="2483">
      <pivotArea dataOnly="0" labelOnly="1" outline="0" fieldPosition="0">
        <references count="4">
          <reference field="5" count="1">
            <x v="2"/>
          </reference>
          <reference field="8" count="1" selected="0">
            <x v="349"/>
          </reference>
          <reference field="11" count="1" selected="0">
            <x v="5"/>
          </reference>
          <reference field="13" count="1" selected="0">
            <x v="274"/>
          </reference>
        </references>
      </pivotArea>
    </format>
    <format dxfId="2482">
      <pivotArea dataOnly="0" labelOnly="1" outline="0" fieldPosition="0">
        <references count="4">
          <reference field="5" count="1">
            <x v="2"/>
          </reference>
          <reference field="8" count="1" selected="0">
            <x v="349"/>
          </reference>
          <reference field="11" count="1" selected="0">
            <x v="6"/>
          </reference>
          <reference field="13" count="1" selected="0">
            <x v="191"/>
          </reference>
        </references>
      </pivotArea>
    </format>
    <format dxfId="2481">
      <pivotArea dataOnly="0" labelOnly="1" outline="0" fieldPosition="0">
        <references count="4">
          <reference field="5" count="1">
            <x v="2"/>
          </reference>
          <reference field="8" count="1" selected="0">
            <x v="349"/>
          </reference>
          <reference field="11" count="1" selected="0">
            <x v="6"/>
          </reference>
          <reference field="13" count="1" selected="0">
            <x v="198"/>
          </reference>
        </references>
      </pivotArea>
    </format>
    <format dxfId="2480">
      <pivotArea dataOnly="0" labelOnly="1" outline="0" fieldPosition="0">
        <references count="4">
          <reference field="5" count="1">
            <x v="2"/>
          </reference>
          <reference field="8" count="1" selected="0">
            <x v="349"/>
          </reference>
          <reference field="11" count="1" selected="0">
            <x v="6"/>
          </reference>
          <reference field="13" count="1" selected="0">
            <x v="199"/>
          </reference>
        </references>
      </pivotArea>
    </format>
    <format dxfId="2479">
      <pivotArea dataOnly="0" labelOnly="1" outline="0" fieldPosition="0">
        <references count="4">
          <reference field="5" count="1">
            <x v="95"/>
          </reference>
          <reference field="8" count="1" selected="0">
            <x v="349"/>
          </reference>
          <reference field="11" count="1" selected="0">
            <x v="7"/>
          </reference>
          <reference field="13" count="1" selected="0">
            <x v="93"/>
          </reference>
        </references>
      </pivotArea>
    </format>
    <format dxfId="2478">
      <pivotArea dataOnly="0" labelOnly="1" outline="0" fieldPosition="0">
        <references count="4">
          <reference field="5" count="1">
            <x v="64"/>
          </reference>
          <reference field="8" count="1" selected="0">
            <x v="350"/>
          </reference>
          <reference field="11" count="1" selected="0">
            <x v="0"/>
          </reference>
          <reference field="13" count="1" selected="0">
            <x v="185"/>
          </reference>
        </references>
      </pivotArea>
    </format>
    <format dxfId="2477">
      <pivotArea dataOnly="0" labelOnly="1" outline="0" fieldPosition="0">
        <references count="4">
          <reference field="5" count="2">
            <x v="101"/>
            <x v="110"/>
          </reference>
          <reference field="8" count="1" selected="0">
            <x v="350"/>
          </reference>
          <reference field="11" count="1" selected="0">
            <x v="1"/>
          </reference>
          <reference field="13" count="1" selected="0">
            <x v="90"/>
          </reference>
        </references>
      </pivotArea>
    </format>
    <format dxfId="2476">
      <pivotArea dataOnly="0" labelOnly="1" outline="0" fieldPosition="0">
        <references count="4">
          <reference field="5" count="1">
            <x v="64"/>
          </reference>
          <reference field="8" count="1" selected="0">
            <x v="350"/>
          </reference>
          <reference field="11" count="1" selected="0">
            <x v="1"/>
          </reference>
          <reference field="13" count="1" selected="0">
            <x v="169"/>
          </reference>
        </references>
      </pivotArea>
    </format>
    <format dxfId="2475">
      <pivotArea dataOnly="0" labelOnly="1" outline="0" fieldPosition="0">
        <references count="4">
          <reference field="5" count="1">
            <x v="101"/>
          </reference>
          <reference field="8" count="1" selected="0">
            <x v="350"/>
          </reference>
          <reference field="11" count="1" selected="0">
            <x v="1"/>
          </reference>
          <reference field="13" count="1" selected="0">
            <x v="286"/>
          </reference>
        </references>
      </pivotArea>
    </format>
    <format dxfId="2474">
      <pivotArea dataOnly="0" labelOnly="1" outline="0" fieldPosition="0">
        <references count="4">
          <reference field="5" count="2">
            <x v="101"/>
            <x v="110"/>
          </reference>
          <reference field="8" count="1" selected="0">
            <x v="350"/>
          </reference>
          <reference field="11" count="1" selected="0">
            <x v="3"/>
          </reference>
          <reference field="13" count="1" selected="0">
            <x v="17"/>
          </reference>
        </references>
      </pivotArea>
    </format>
    <format dxfId="2473">
      <pivotArea dataOnly="0" labelOnly="1" outline="0" fieldPosition="0">
        <references count="4">
          <reference field="5" count="2">
            <x v="101"/>
            <x v="110"/>
          </reference>
          <reference field="8" count="1" selected="0">
            <x v="350"/>
          </reference>
          <reference field="11" count="1" selected="0">
            <x v="3"/>
          </reference>
          <reference field="13" count="1" selected="0">
            <x v="32"/>
          </reference>
        </references>
      </pivotArea>
    </format>
    <format dxfId="2472">
      <pivotArea dataOnly="0" labelOnly="1" outline="0" fieldPosition="0">
        <references count="4">
          <reference field="5" count="1">
            <x v="110"/>
          </reference>
          <reference field="8" count="1" selected="0">
            <x v="350"/>
          </reference>
          <reference field="11" count="1" selected="0">
            <x v="3"/>
          </reference>
          <reference field="13" count="1" selected="0">
            <x v="69"/>
          </reference>
        </references>
      </pivotArea>
    </format>
    <format dxfId="2471">
      <pivotArea dataOnly="0" labelOnly="1" outline="0" fieldPosition="0">
        <references count="4">
          <reference field="5" count="1">
            <x v="110"/>
          </reference>
          <reference field="8" count="1" selected="0">
            <x v="350"/>
          </reference>
          <reference field="11" count="1" selected="0">
            <x v="3"/>
          </reference>
          <reference field="13" count="1" selected="0">
            <x v="78"/>
          </reference>
        </references>
      </pivotArea>
    </format>
    <format dxfId="2470">
      <pivotArea dataOnly="0" labelOnly="1" outline="0" fieldPosition="0">
        <references count="4">
          <reference field="5" count="1">
            <x v="110"/>
          </reference>
          <reference field="8" count="1" selected="0">
            <x v="350"/>
          </reference>
          <reference field="11" count="1" selected="0">
            <x v="3"/>
          </reference>
          <reference field="13" count="1" selected="0">
            <x v="100"/>
          </reference>
        </references>
      </pivotArea>
    </format>
    <format dxfId="2469">
      <pivotArea dataOnly="0" labelOnly="1" outline="0" fieldPosition="0">
        <references count="4">
          <reference field="5" count="1">
            <x v="64"/>
          </reference>
          <reference field="8" count="1" selected="0">
            <x v="350"/>
          </reference>
          <reference field="11" count="1" selected="0">
            <x v="3"/>
          </reference>
          <reference field="13" count="1" selected="0">
            <x v="240"/>
          </reference>
        </references>
      </pivotArea>
    </format>
    <format dxfId="2468">
      <pivotArea dataOnly="0" labelOnly="1" outline="0" fieldPosition="0">
        <references count="4">
          <reference field="5" count="2">
            <x v="101"/>
            <x v="110"/>
          </reference>
          <reference field="8" count="1" selected="0">
            <x v="350"/>
          </reference>
          <reference field="11" count="1" selected="0">
            <x v="3"/>
          </reference>
          <reference field="13" count="1" selected="0">
            <x v="242"/>
          </reference>
        </references>
      </pivotArea>
    </format>
    <format dxfId="2467">
      <pivotArea dataOnly="0" labelOnly="1" outline="0" fieldPosition="0">
        <references count="4">
          <reference field="5" count="2">
            <x v="101"/>
            <x v="110"/>
          </reference>
          <reference field="8" count="1" selected="0">
            <x v="350"/>
          </reference>
          <reference field="11" count="1" selected="0">
            <x v="3"/>
          </reference>
          <reference field="13" count="1" selected="0">
            <x v="243"/>
          </reference>
        </references>
      </pivotArea>
    </format>
    <format dxfId="2466">
      <pivotArea dataOnly="0" labelOnly="1" outline="0" fieldPosition="0">
        <references count="4">
          <reference field="5" count="1">
            <x v="101"/>
          </reference>
          <reference field="8" count="1" selected="0">
            <x v="350"/>
          </reference>
          <reference field="11" count="1" selected="0">
            <x v="3"/>
          </reference>
          <reference field="13" count="1" selected="0">
            <x v="287"/>
          </reference>
        </references>
      </pivotArea>
    </format>
    <format dxfId="2465">
      <pivotArea dataOnly="0" labelOnly="1" outline="0" fieldPosition="0">
        <references count="4">
          <reference field="5" count="2">
            <x v="101"/>
            <x v="110"/>
          </reference>
          <reference field="8" count="1" selected="0">
            <x v="350"/>
          </reference>
          <reference field="11" count="1" selected="0">
            <x v="3"/>
          </reference>
          <reference field="13" count="1" selected="0">
            <x v="305"/>
          </reference>
        </references>
      </pivotArea>
    </format>
    <format dxfId="2464">
      <pivotArea dataOnly="0" labelOnly="1" outline="0" fieldPosition="0">
        <references count="4">
          <reference field="5" count="1">
            <x v="116"/>
          </reference>
          <reference field="8" count="1" selected="0">
            <x v="350"/>
          </reference>
          <reference field="11" count="1" selected="0">
            <x v="5"/>
          </reference>
          <reference field="13" count="1" selected="0">
            <x v="77"/>
          </reference>
        </references>
      </pivotArea>
    </format>
    <format dxfId="2463">
      <pivotArea dataOnly="0" labelOnly="1" outline="0" fieldPosition="0">
        <references count="4">
          <reference field="5" count="1">
            <x v="20"/>
          </reference>
          <reference field="8" count="1" selected="0">
            <x v="350"/>
          </reference>
          <reference field="11" count="1" selected="0">
            <x v="5"/>
          </reference>
          <reference field="13" count="1" selected="0">
            <x v="81"/>
          </reference>
        </references>
      </pivotArea>
    </format>
    <format dxfId="2462">
      <pivotArea dataOnly="0" labelOnly="1" outline="0" fieldPosition="0">
        <references count="4">
          <reference field="5" count="1">
            <x v="20"/>
          </reference>
          <reference field="8" count="1" selected="0">
            <x v="350"/>
          </reference>
          <reference field="11" count="1" selected="0">
            <x v="5"/>
          </reference>
          <reference field="13" count="1" selected="0">
            <x v="255"/>
          </reference>
        </references>
      </pivotArea>
    </format>
    <format dxfId="2461">
      <pivotArea dataOnly="0" labelOnly="1" outline="0" fieldPosition="0">
        <references count="4">
          <reference field="5" count="1">
            <x v="101"/>
          </reference>
          <reference field="8" count="1" selected="0">
            <x v="350"/>
          </reference>
          <reference field="11" count="1" selected="0">
            <x v="7"/>
          </reference>
          <reference field="13" count="1" selected="0">
            <x v="93"/>
          </reference>
        </references>
      </pivotArea>
    </format>
    <format dxfId="2460">
      <pivotArea dataOnly="0" labelOnly="1" outline="0" fieldPosition="0">
        <references count="4">
          <reference field="5" count="1">
            <x v="47"/>
          </reference>
          <reference field="8" count="1" selected="0">
            <x v="351"/>
          </reference>
          <reference field="11" count="1" selected="0">
            <x v="0"/>
          </reference>
          <reference field="13" count="1" selected="0">
            <x v="45"/>
          </reference>
        </references>
      </pivotArea>
    </format>
    <format dxfId="2459">
      <pivotArea dataOnly="0" labelOnly="1" outline="0" fieldPosition="0">
        <references count="4">
          <reference field="5" count="1">
            <x v="101"/>
          </reference>
          <reference field="8" count="1" selected="0">
            <x v="351"/>
          </reference>
          <reference field="11" count="1" selected="0">
            <x v="3"/>
          </reference>
          <reference field="13" count="1" selected="0">
            <x v="17"/>
          </reference>
        </references>
      </pivotArea>
    </format>
    <format dxfId="2458">
      <pivotArea dataOnly="0" labelOnly="1" outline="0" fieldPosition="0">
        <references count="4">
          <reference field="5" count="1">
            <x v="101"/>
          </reference>
          <reference field="8" count="1" selected="0">
            <x v="351"/>
          </reference>
          <reference field="11" count="1" selected="0">
            <x v="3"/>
          </reference>
          <reference field="13" count="1" selected="0">
            <x v="32"/>
          </reference>
        </references>
      </pivotArea>
    </format>
    <format dxfId="2457">
      <pivotArea dataOnly="0" labelOnly="1" outline="0" fieldPosition="0">
        <references count="4">
          <reference field="5" count="1">
            <x v="108"/>
          </reference>
          <reference field="8" count="1" selected="0">
            <x v="351"/>
          </reference>
          <reference field="11" count="1" selected="0">
            <x v="3"/>
          </reference>
          <reference field="13" count="1" selected="0">
            <x v="57"/>
          </reference>
        </references>
      </pivotArea>
    </format>
    <format dxfId="2456">
      <pivotArea dataOnly="0" labelOnly="1" outline="0" fieldPosition="0">
        <references count="4">
          <reference field="5" count="1">
            <x v="101"/>
          </reference>
          <reference field="8" count="1" selected="0">
            <x v="351"/>
          </reference>
          <reference field="11" count="1" selected="0">
            <x v="3"/>
          </reference>
          <reference field="13" count="1" selected="0">
            <x v="116"/>
          </reference>
        </references>
      </pivotArea>
    </format>
    <format dxfId="2455">
      <pivotArea dataOnly="0" labelOnly="1" outline="0" fieldPosition="0">
        <references count="4">
          <reference field="5" count="2">
            <x v="101"/>
            <x v="108"/>
          </reference>
          <reference field="8" count="1" selected="0">
            <x v="351"/>
          </reference>
          <reference field="11" count="1" selected="0">
            <x v="3"/>
          </reference>
          <reference field="13" count="1" selected="0">
            <x v="242"/>
          </reference>
        </references>
      </pivotArea>
    </format>
    <format dxfId="2454">
      <pivotArea dataOnly="0" labelOnly="1" outline="0" fieldPosition="0">
        <references count="4">
          <reference field="5" count="2">
            <x v="101"/>
            <x v="108"/>
          </reference>
          <reference field="8" count="1" selected="0">
            <x v="351"/>
          </reference>
          <reference field="11" count="1" selected="0">
            <x v="3"/>
          </reference>
          <reference field="13" count="1" selected="0">
            <x v="243"/>
          </reference>
        </references>
      </pivotArea>
    </format>
    <format dxfId="2453">
      <pivotArea dataOnly="0" labelOnly="1" outline="0" fieldPosition="0">
        <references count="4">
          <reference field="5" count="1">
            <x v="101"/>
          </reference>
          <reference field="8" count="1" selected="0">
            <x v="351"/>
          </reference>
          <reference field="11" count="1" selected="0">
            <x v="3"/>
          </reference>
          <reference field="13" count="1" selected="0">
            <x v="287"/>
          </reference>
        </references>
      </pivotArea>
    </format>
    <format dxfId="2452">
      <pivotArea dataOnly="0" labelOnly="1" outline="0" fieldPosition="0">
        <references count="4">
          <reference field="5" count="1">
            <x v="101"/>
          </reference>
          <reference field="8" count="1" selected="0">
            <x v="351"/>
          </reference>
          <reference field="11" count="1" selected="0">
            <x v="3"/>
          </reference>
          <reference field="13" count="1" selected="0">
            <x v="305"/>
          </reference>
        </references>
      </pivotArea>
    </format>
    <format dxfId="2451">
      <pivotArea dataOnly="0" labelOnly="1" outline="0" fieldPosition="0">
        <references count="4">
          <reference field="5" count="2">
            <x v="20"/>
            <x v="116"/>
          </reference>
          <reference field="8" count="1" selected="0">
            <x v="351"/>
          </reference>
          <reference field="11" count="1" selected="0">
            <x v="5"/>
          </reference>
          <reference field="13" count="1" selected="0">
            <x v="77"/>
          </reference>
        </references>
      </pivotArea>
    </format>
    <format dxfId="2450">
      <pivotArea dataOnly="0" labelOnly="1" outline="0" fieldPosition="0">
        <references count="4">
          <reference field="5" count="1">
            <x v="20"/>
          </reference>
          <reference field="8" count="1" selected="0">
            <x v="351"/>
          </reference>
          <reference field="11" count="1" selected="0">
            <x v="5"/>
          </reference>
          <reference field="13" count="1" selected="0">
            <x v="81"/>
          </reference>
        </references>
      </pivotArea>
    </format>
    <format dxfId="2449">
      <pivotArea dataOnly="0" labelOnly="1" outline="0" fieldPosition="0">
        <references count="4">
          <reference field="5" count="1">
            <x v="108"/>
          </reference>
          <reference field="8" count="1" selected="0">
            <x v="351"/>
          </reference>
          <reference field="11" count="1" selected="0">
            <x v="5"/>
          </reference>
          <reference field="13" count="1" selected="0">
            <x v="96"/>
          </reference>
        </references>
      </pivotArea>
    </format>
    <format dxfId="2448">
      <pivotArea dataOnly="0" labelOnly="1" outline="0" fieldPosition="0">
        <references count="4">
          <reference field="5" count="1">
            <x v="47"/>
          </reference>
          <reference field="8" count="1" selected="0">
            <x v="352"/>
          </reference>
          <reference field="11" count="1" selected="0">
            <x v="0"/>
          </reference>
          <reference field="13" count="1" selected="0">
            <x v="3"/>
          </reference>
        </references>
      </pivotArea>
    </format>
    <format dxfId="2447">
      <pivotArea dataOnly="0" labelOnly="1" outline="0" fieldPosition="0">
        <references count="4">
          <reference field="5" count="1">
            <x v="47"/>
          </reference>
          <reference field="8" count="1" selected="0">
            <x v="352"/>
          </reference>
          <reference field="11" count="1" selected="0">
            <x v="0"/>
          </reference>
          <reference field="13" count="1" selected="0">
            <x v="34"/>
          </reference>
        </references>
      </pivotArea>
    </format>
    <format dxfId="2446">
      <pivotArea dataOnly="0" labelOnly="1" outline="0" fieldPosition="0">
        <references count="4">
          <reference field="5" count="1">
            <x v="64"/>
          </reference>
          <reference field="8" count="1" selected="0">
            <x v="352"/>
          </reference>
          <reference field="11" count="1" selected="0">
            <x v="1"/>
          </reference>
          <reference field="13" count="1" selected="0">
            <x v="169"/>
          </reference>
        </references>
      </pivotArea>
    </format>
    <format dxfId="2445">
      <pivotArea dataOnly="0" labelOnly="1" outline="0" fieldPosition="0">
        <references count="4">
          <reference field="5" count="1">
            <x v="95"/>
          </reference>
          <reference field="8" count="1" selected="0">
            <x v="352"/>
          </reference>
          <reference field="11" count="1" selected="0">
            <x v="1"/>
          </reference>
          <reference field="13" count="1" selected="0">
            <x v="286"/>
          </reference>
        </references>
      </pivotArea>
    </format>
    <format dxfId="2444">
      <pivotArea dataOnly="0" labelOnly="1" outline="0" fieldPosition="0">
        <references count="4">
          <reference field="5" count="1">
            <x v="95"/>
          </reference>
          <reference field="8" count="1" selected="0">
            <x v="352"/>
          </reference>
          <reference field="11" count="1" selected="0">
            <x v="2"/>
          </reference>
          <reference field="13" count="1" selected="0">
            <x v="71"/>
          </reference>
        </references>
      </pivotArea>
    </format>
    <format dxfId="2443">
      <pivotArea dataOnly="0" labelOnly="1" outline="0" fieldPosition="0">
        <references count="4">
          <reference field="5" count="1">
            <x v="95"/>
          </reference>
          <reference field="8" count="1" selected="0">
            <x v="352"/>
          </reference>
          <reference field="11" count="1" selected="0">
            <x v="3"/>
          </reference>
          <reference field="13" count="1" selected="0">
            <x v="7"/>
          </reference>
        </references>
      </pivotArea>
    </format>
    <format dxfId="2442">
      <pivotArea dataOnly="0" labelOnly="1" outline="0" fieldPosition="0">
        <references count="4">
          <reference field="5" count="3">
            <x v="95"/>
            <x v="116"/>
            <x v="117"/>
          </reference>
          <reference field="8" count="1" selected="0">
            <x v="352"/>
          </reference>
          <reference field="11" count="1" selected="0">
            <x v="3"/>
          </reference>
          <reference field="13" count="1" selected="0">
            <x v="29"/>
          </reference>
        </references>
      </pivotArea>
    </format>
    <format dxfId="2441">
      <pivotArea dataOnly="0" labelOnly="1" outline="0" fieldPosition="0">
        <references count="4">
          <reference field="5" count="1">
            <x v="95"/>
          </reference>
          <reference field="8" count="1" selected="0">
            <x v="352"/>
          </reference>
          <reference field="11" count="1" selected="0">
            <x v="3"/>
          </reference>
          <reference field="13" count="1" selected="0">
            <x v="100"/>
          </reference>
        </references>
      </pivotArea>
    </format>
    <format dxfId="2440">
      <pivotArea dataOnly="0" labelOnly="1" outline="0" fieldPosition="0">
        <references count="4">
          <reference field="5" count="1">
            <x v="95"/>
          </reference>
          <reference field="8" count="1" selected="0">
            <x v="352"/>
          </reference>
          <reference field="11" count="1" selected="0">
            <x v="3"/>
          </reference>
          <reference field="13" count="1" selected="0">
            <x v="131"/>
          </reference>
        </references>
      </pivotArea>
    </format>
    <format dxfId="2439">
      <pivotArea dataOnly="0" labelOnly="1" outline="0" fieldPosition="0">
        <references count="4">
          <reference field="5" count="1">
            <x v="117"/>
          </reference>
          <reference field="8" count="1" selected="0">
            <x v="352"/>
          </reference>
          <reference field="11" count="1" selected="0">
            <x v="3"/>
          </reference>
          <reference field="13" count="1" selected="0">
            <x v="218"/>
          </reference>
        </references>
      </pivotArea>
    </format>
    <format dxfId="2438">
      <pivotArea dataOnly="0" labelOnly="1" outline="0" fieldPosition="0">
        <references count="4">
          <reference field="5" count="1">
            <x v="95"/>
          </reference>
          <reference field="8" count="1" selected="0">
            <x v="352"/>
          </reference>
          <reference field="11" count="1" selected="0">
            <x v="3"/>
          </reference>
          <reference field="13" count="1" selected="0">
            <x v="240"/>
          </reference>
        </references>
      </pivotArea>
    </format>
    <format dxfId="2437">
      <pivotArea dataOnly="0" labelOnly="1" outline="0" fieldPosition="0">
        <references count="4">
          <reference field="5" count="1">
            <x v="95"/>
          </reference>
          <reference field="8" count="1" selected="0">
            <x v="352"/>
          </reference>
          <reference field="11" count="1" selected="0">
            <x v="3"/>
          </reference>
          <reference field="13" count="1" selected="0">
            <x v="242"/>
          </reference>
        </references>
      </pivotArea>
    </format>
    <format dxfId="2436">
      <pivotArea dataOnly="0" labelOnly="1" outline="0" fieldPosition="0">
        <references count="4">
          <reference field="5" count="2">
            <x v="60"/>
            <x v="95"/>
          </reference>
          <reference field="8" count="1" selected="0">
            <x v="352"/>
          </reference>
          <reference field="11" count="1" selected="0">
            <x v="3"/>
          </reference>
          <reference field="13" count="1" selected="0">
            <x v="243"/>
          </reference>
        </references>
      </pivotArea>
    </format>
    <format dxfId="2435">
      <pivotArea dataOnly="0" labelOnly="1" outline="0" fieldPosition="0">
        <references count="4">
          <reference field="5" count="1">
            <x v="95"/>
          </reference>
          <reference field="8" count="1" selected="0">
            <x v="352"/>
          </reference>
          <reference field="11" count="1" selected="0">
            <x v="3"/>
          </reference>
          <reference field="13" count="1" selected="0">
            <x v="251"/>
          </reference>
        </references>
      </pivotArea>
    </format>
    <format dxfId="2434">
      <pivotArea dataOnly="0" labelOnly="1" outline="0" fieldPosition="0">
        <references count="4">
          <reference field="5" count="1">
            <x v="95"/>
          </reference>
          <reference field="8" count="1" selected="0">
            <x v="352"/>
          </reference>
          <reference field="11" count="1" selected="0">
            <x v="3"/>
          </reference>
          <reference field="13" count="1" selected="0">
            <x v="287"/>
          </reference>
        </references>
      </pivotArea>
    </format>
    <format dxfId="2433">
      <pivotArea dataOnly="0" labelOnly="1" outline="0" fieldPosition="0">
        <references count="4">
          <reference field="5" count="1">
            <x v="117"/>
          </reference>
          <reference field="8" count="1" selected="0">
            <x v="352"/>
          </reference>
          <reference field="11" count="1" selected="0">
            <x v="3"/>
          </reference>
          <reference field="13" count="1" selected="0">
            <x v="314"/>
          </reference>
        </references>
      </pivotArea>
    </format>
    <format dxfId="2432">
      <pivotArea dataOnly="0" labelOnly="1" outline="0" fieldPosition="0">
        <references count="4">
          <reference field="5" count="1">
            <x v="95"/>
          </reference>
          <reference field="8" count="1" selected="0">
            <x v="352"/>
          </reference>
          <reference field="11" count="1" selected="0">
            <x v="4"/>
          </reference>
          <reference field="13" count="1" selected="0">
            <x v="158"/>
          </reference>
        </references>
      </pivotArea>
    </format>
    <format dxfId="2431">
      <pivotArea dataOnly="0" labelOnly="1" outline="0" fieldPosition="0">
        <references count="4">
          <reference field="5" count="1">
            <x v="95"/>
          </reference>
          <reference field="8" count="1" selected="0">
            <x v="352"/>
          </reference>
          <reference field="11" count="1" selected="0">
            <x v="4"/>
          </reference>
          <reference field="13" count="1" selected="0">
            <x v="280"/>
          </reference>
        </references>
      </pivotArea>
    </format>
    <format dxfId="2430">
      <pivotArea dataOnly="0" labelOnly="1" outline="0" fieldPosition="0">
        <references count="4">
          <reference field="5" count="2">
            <x v="95"/>
            <x v="116"/>
          </reference>
          <reference field="8" count="1" selected="0">
            <x v="352"/>
          </reference>
          <reference field="11" count="1" selected="0">
            <x v="5"/>
          </reference>
          <reference field="13" count="1" selected="0">
            <x v="77"/>
          </reference>
        </references>
      </pivotArea>
    </format>
    <format dxfId="2429">
      <pivotArea dataOnly="0" labelOnly="1" outline="0" fieldPosition="0">
        <references count="4">
          <reference field="5" count="2">
            <x v="95"/>
            <x v="116"/>
          </reference>
          <reference field="8" count="1" selected="0">
            <x v="352"/>
          </reference>
          <reference field="11" count="1" selected="0">
            <x v="5"/>
          </reference>
          <reference field="13" count="1" selected="0">
            <x v="81"/>
          </reference>
        </references>
      </pivotArea>
    </format>
    <format dxfId="2428">
      <pivotArea dataOnly="0" labelOnly="1" outline="0" fieldPosition="0">
        <references count="4">
          <reference field="5" count="1">
            <x v="116"/>
          </reference>
          <reference field="8" count="1" selected="0">
            <x v="352"/>
          </reference>
          <reference field="11" count="1" selected="0">
            <x v="5"/>
          </reference>
          <reference field="13" count="1" selected="0">
            <x v="154"/>
          </reference>
        </references>
      </pivotArea>
    </format>
    <format dxfId="2427">
      <pivotArea dataOnly="0" labelOnly="1" outline="0" fieldPosition="0">
        <references count="4">
          <reference field="5" count="1">
            <x v="20"/>
          </reference>
          <reference field="8" count="1" selected="0">
            <x v="352"/>
          </reference>
          <reference field="11" count="1" selected="0">
            <x v="5"/>
          </reference>
          <reference field="13" count="1" selected="0">
            <x v="255"/>
          </reference>
        </references>
      </pivotArea>
    </format>
    <format dxfId="2426">
      <pivotArea dataOnly="0" labelOnly="1" outline="0" fieldPosition="0">
        <references count="4">
          <reference field="5" count="1">
            <x v="2"/>
          </reference>
          <reference field="8" count="1" selected="0">
            <x v="352"/>
          </reference>
          <reference field="11" count="1" selected="0">
            <x v="5"/>
          </reference>
          <reference field="13" count="1" selected="0">
            <x v="268"/>
          </reference>
        </references>
      </pivotArea>
    </format>
    <format dxfId="2425">
      <pivotArea dataOnly="0" labelOnly="1" outline="0" fieldPosition="0">
        <references count="4">
          <reference field="5" count="1">
            <x v="2"/>
          </reference>
          <reference field="8" count="1" selected="0">
            <x v="352"/>
          </reference>
          <reference field="11" count="1" selected="0">
            <x v="6"/>
          </reference>
          <reference field="13" count="1" selected="0">
            <x v="191"/>
          </reference>
        </references>
      </pivotArea>
    </format>
    <format dxfId="2424">
      <pivotArea dataOnly="0" labelOnly="1" outline="0" fieldPosition="0">
        <references count="4">
          <reference field="5" count="1">
            <x v="2"/>
          </reference>
          <reference field="8" count="1" selected="0">
            <x v="352"/>
          </reference>
          <reference field="11" count="1" selected="0">
            <x v="6"/>
          </reference>
          <reference field="13" count="1" selected="0">
            <x v="198"/>
          </reference>
        </references>
      </pivotArea>
    </format>
    <format dxfId="2423">
      <pivotArea dataOnly="0" labelOnly="1" outline="0" fieldPosition="0">
        <references count="4">
          <reference field="5" count="1">
            <x v="2"/>
          </reference>
          <reference field="8" count="1" selected="0">
            <x v="352"/>
          </reference>
          <reference field="11" count="1" selected="0">
            <x v="6"/>
          </reference>
          <reference field="13" count="1" selected="0">
            <x v="199"/>
          </reference>
        </references>
      </pivotArea>
    </format>
    <format dxfId="2422">
      <pivotArea dataOnly="0" labelOnly="1" outline="0" fieldPosition="0">
        <references count="4">
          <reference field="5" count="1">
            <x v="95"/>
          </reference>
          <reference field="8" count="1" selected="0">
            <x v="352"/>
          </reference>
          <reference field="11" count="1" selected="0">
            <x v="7"/>
          </reference>
          <reference field="13" count="1" selected="0">
            <x v="8"/>
          </reference>
        </references>
      </pivotArea>
    </format>
    <format dxfId="2421">
      <pivotArea dataOnly="0" labelOnly="1" outline="0" fieldPosition="0">
        <references count="4">
          <reference field="5" count="1">
            <x v="95"/>
          </reference>
          <reference field="8" count="1" selected="0">
            <x v="352"/>
          </reference>
          <reference field="11" count="1" selected="0">
            <x v="7"/>
          </reference>
          <reference field="13" count="1" selected="0">
            <x v="72"/>
          </reference>
        </references>
      </pivotArea>
    </format>
    <format dxfId="2420">
      <pivotArea dataOnly="0" labelOnly="1" outline="0" fieldPosition="0">
        <references count="4">
          <reference field="5" count="1">
            <x v="64"/>
          </reference>
          <reference field="8" count="1" selected="0">
            <x v="352"/>
          </reference>
          <reference field="11" count="1" selected="0">
            <x v="7"/>
          </reference>
          <reference field="13" count="1" selected="0">
            <x v="129"/>
          </reference>
        </references>
      </pivotArea>
    </format>
    <format dxfId="2419">
      <pivotArea dataOnly="0" labelOnly="1" outline="0" fieldPosition="0">
        <references count="4">
          <reference field="5" count="1">
            <x v="101"/>
          </reference>
          <reference field="8" count="1" selected="0">
            <x v="353"/>
          </reference>
          <reference field="11" count="1" selected="0">
            <x v="1"/>
          </reference>
          <reference field="13" count="1" selected="0">
            <x v="286"/>
          </reference>
        </references>
      </pivotArea>
    </format>
    <format dxfId="2418">
      <pivotArea dataOnly="0" labelOnly="1" outline="0" fieldPosition="0">
        <references count="4">
          <reference field="5" count="1">
            <x v="101"/>
          </reference>
          <reference field="8" count="1" selected="0">
            <x v="353"/>
          </reference>
          <reference field="11" count="1" selected="0">
            <x v="3"/>
          </reference>
          <reference field="13" count="1" selected="0">
            <x v="242"/>
          </reference>
        </references>
      </pivotArea>
    </format>
    <format dxfId="2417">
      <pivotArea dataOnly="0" labelOnly="1" outline="0" fieldPosition="0">
        <references count="4">
          <reference field="5" count="1">
            <x v="101"/>
          </reference>
          <reference field="8" count="1" selected="0">
            <x v="353"/>
          </reference>
          <reference field="11" count="1" selected="0">
            <x v="3"/>
          </reference>
          <reference field="13" count="1" selected="0">
            <x v="243"/>
          </reference>
        </references>
      </pivotArea>
    </format>
    <format dxfId="2416">
      <pivotArea dataOnly="0" labelOnly="1" outline="0" fieldPosition="0">
        <references count="4">
          <reference field="5" count="1">
            <x v="20"/>
          </reference>
          <reference field="8" count="1" selected="0">
            <x v="353"/>
          </reference>
          <reference field="11" count="1" selected="0">
            <x v="5"/>
          </reference>
          <reference field="13" count="1" selected="0">
            <x v="81"/>
          </reference>
        </references>
      </pivotArea>
    </format>
    <format dxfId="2415">
      <pivotArea dataOnly="0" labelOnly="1" outline="0" fieldPosition="0">
        <references count="4">
          <reference field="5" count="1">
            <x v="101"/>
          </reference>
          <reference field="8" count="1" selected="0">
            <x v="353"/>
          </reference>
          <reference field="11" count="1" selected="0">
            <x v="7"/>
          </reference>
          <reference field="13" count="1" selected="0">
            <x v="93"/>
          </reference>
        </references>
      </pivotArea>
    </format>
    <format dxfId="2414">
      <pivotArea dataOnly="0" labelOnly="1" outline="0" fieldPosition="0">
        <references count="4">
          <reference field="5" count="1">
            <x v="64"/>
          </reference>
          <reference field="8" count="1" selected="0">
            <x v="354"/>
          </reference>
          <reference field="11" count="1" selected="0">
            <x v="1"/>
          </reference>
          <reference field="13" count="1" selected="0">
            <x v="169"/>
          </reference>
        </references>
      </pivotArea>
    </format>
    <format dxfId="2413">
      <pivotArea dataOnly="0" labelOnly="1" outline="0" fieldPosition="0">
        <references count="4">
          <reference field="5" count="1">
            <x v="101"/>
          </reference>
          <reference field="8" count="1" selected="0">
            <x v="354"/>
          </reference>
          <reference field="11" count="1" selected="0">
            <x v="3"/>
          </reference>
          <reference field="13" count="1" selected="0">
            <x v="242"/>
          </reference>
        </references>
      </pivotArea>
    </format>
    <format dxfId="2412">
      <pivotArea dataOnly="0" labelOnly="1" outline="0" fieldPosition="0">
        <references count="4">
          <reference field="5" count="1">
            <x v="101"/>
          </reference>
          <reference field="8" count="1" selected="0">
            <x v="354"/>
          </reference>
          <reference field="11" count="1" selected="0">
            <x v="3"/>
          </reference>
          <reference field="13" count="1" selected="0">
            <x v="243"/>
          </reference>
        </references>
      </pivotArea>
    </format>
    <format dxfId="2411">
      <pivotArea dataOnly="0" labelOnly="1" outline="0" fieldPosition="0">
        <references count="4">
          <reference field="5" count="1">
            <x v="64"/>
          </reference>
          <reference field="8" count="1" selected="0">
            <x v="354"/>
          </reference>
          <reference field="11" count="1" selected="0">
            <x v="7"/>
          </reference>
          <reference field="13" count="1" selected="0">
            <x v="129"/>
          </reference>
        </references>
      </pivotArea>
    </format>
    <format dxfId="2410">
      <pivotArea dataOnly="0" labelOnly="1" outline="0" fieldPosition="0">
        <references count="4">
          <reference field="5" count="1">
            <x v="47"/>
          </reference>
          <reference field="8" count="1" selected="0">
            <x v="355"/>
          </reference>
          <reference field="11" count="1" selected="0">
            <x v="0"/>
          </reference>
          <reference field="13" count="1" selected="0">
            <x v="45"/>
          </reference>
        </references>
      </pivotArea>
    </format>
    <format dxfId="2409">
      <pivotArea dataOnly="0" labelOnly="1" outline="0" fieldPosition="0">
        <references count="4">
          <reference field="5" count="1">
            <x v="101"/>
          </reference>
          <reference field="8" count="1" selected="0">
            <x v="355"/>
          </reference>
          <reference field="11" count="1" selected="0">
            <x v="3"/>
          </reference>
          <reference field="13" count="1" selected="0">
            <x v="116"/>
          </reference>
        </references>
      </pivotArea>
    </format>
    <format dxfId="2408">
      <pivotArea dataOnly="0" labelOnly="1" outline="0" fieldPosition="0">
        <references count="4">
          <reference field="5" count="1">
            <x v="101"/>
          </reference>
          <reference field="8" count="1" selected="0">
            <x v="355"/>
          </reference>
          <reference field="11" count="1" selected="0">
            <x v="3"/>
          </reference>
          <reference field="13" count="1" selected="0">
            <x v="242"/>
          </reference>
        </references>
      </pivotArea>
    </format>
    <format dxfId="2407">
      <pivotArea dataOnly="0" labelOnly="1" outline="0" fieldPosition="0">
        <references count="4">
          <reference field="5" count="1">
            <x v="60"/>
          </reference>
          <reference field="8" count="1" selected="0">
            <x v="356"/>
          </reference>
          <reference field="11" count="1" selected="0">
            <x v="2"/>
          </reference>
          <reference field="13" count="1" selected="0">
            <x v="173"/>
          </reference>
        </references>
      </pivotArea>
    </format>
    <format dxfId="2406">
      <pivotArea dataOnly="0" labelOnly="1" outline="0" fieldPosition="0">
        <references count="4">
          <reference field="5" count="1">
            <x v="60"/>
          </reference>
          <reference field="8" count="1" selected="0">
            <x v="356"/>
          </reference>
          <reference field="11" count="1" selected="0">
            <x v="3"/>
          </reference>
          <reference field="13" count="1" selected="0">
            <x v="17"/>
          </reference>
        </references>
      </pivotArea>
    </format>
    <format dxfId="2405">
      <pivotArea dataOnly="0" labelOnly="1" outline="0" fieldPosition="0">
        <references count="4">
          <reference field="5" count="1">
            <x v="60"/>
          </reference>
          <reference field="8" count="1" selected="0">
            <x v="356"/>
          </reference>
          <reference field="11" count="1" selected="0">
            <x v="3"/>
          </reference>
          <reference field="13" count="1" selected="0">
            <x v="32"/>
          </reference>
        </references>
      </pivotArea>
    </format>
    <format dxfId="2404">
      <pivotArea dataOnly="0" labelOnly="1" outline="0" fieldPosition="0">
        <references count="4">
          <reference field="5" count="1">
            <x v="60"/>
          </reference>
          <reference field="8" count="1" selected="0">
            <x v="356"/>
          </reference>
          <reference field="11" count="1" selected="0">
            <x v="3"/>
          </reference>
          <reference field="13" count="1" selected="0">
            <x v="69"/>
          </reference>
        </references>
      </pivotArea>
    </format>
    <format dxfId="2403">
      <pivotArea dataOnly="0" labelOnly="1" outline="0" fieldPosition="0">
        <references count="4">
          <reference field="5" count="1">
            <x v="60"/>
          </reference>
          <reference field="8" count="1" selected="0">
            <x v="356"/>
          </reference>
          <reference field="11" count="1" selected="0">
            <x v="3"/>
          </reference>
          <reference field="13" count="1" selected="0">
            <x v="240"/>
          </reference>
        </references>
      </pivotArea>
    </format>
    <format dxfId="2402">
      <pivotArea dataOnly="0" labelOnly="1" outline="0" fieldPosition="0">
        <references count="4">
          <reference field="5" count="1">
            <x v="60"/>
          </reference>
          <reference field="8" count="1" selected="0">
            <x v="356"/>
          </reference>
          <reference field="11" count="1" selected="0">
            <x v="3"/>
          </reference>
          <reference field="13" count="1" selected="0">
            <x v="242"/>
          </reference>
        </references>
      </pivotArea>
    </format>
    <format dxfId="2401">
      <pivotArea dataOnly="0" labelOnly="1" outline="0" fieldPosition="0">
        <references count="4">
          <reference field="5" count="1">
            <x v="60"/>
          </reference>
          <reference field="8" count="1" selected="0">
            <x v="356"/>
          </reference>
          <reference field="11" count="1" selected="0">
            <x v="3"/>
          </reference>
          <reference field="13" count="1" selected="0">
            <x v="243"/>
          </reference>
        </references>
      </pivotArea>
    </format>
    <format dxfId="2400">
      <pivotArea dataOnly="0" labelOnly="1" outline="0" fieldPosition="0">
        <references count="4">
          <reference field="5" count="1">
            <x v="60"/>
          </reference>
          <reference field="8" count="1" selected="0">
            <x v="356"/>
          </reference>
          <reference field="11" count="1" selected="0">
            <x v="3"/>
          </reference>
          <reference field="13" count="1" selected="0">
            <x v="251"/>
          </reference>
        </references>
      </pivotArea>
    </format>
    <format dxfId="2399">
      <pivotArea dataOnly="0" labelOnly="1" outline="0" fieldPosition="0">
        <references count="4">
          <reference field="5" count="1">
            <x v="60"/>
          </reference>
          <reference field="8" count="1" selected="0">
            <x v="356"/>
          </reference>
          <reference field="11" count="1" selected="0">
            <x v="3"/>
          </reference>
          <reference field="13" count="1" selected="0">
            <x v="287"/>
          </reference>
        </references>
      </pivotArea>
    </format>
    <format dxfId="2398">
      <pivotArea dataOnly="0" labelOnly="1" outline="0" fieldPosition="0">
        <references count="4">
          <reference field="5" count="1">
            <x v="20"/>
          </reference>
          <reference field="8" count="1" selected="0">
            <x v="356"/>
          </reference>
          <reference field="11" count="1" selected="0">
            <x v="5"/>
          </reference>
          <reference field="13" count="1" selected="0">
            <x v="81"/>
          </reference>
        </references>
      </pivotArea>
    </format>
    <format dxfId="2397">
      <pivotArea dataOnly="0" labelOnly="1" outline="0" fieldPosition="0">
        <references count="4">
          <reference field="5" count="1">
            <x v="60"/>
          </reference>
          <reference field="8" count="1" selected="0">
            <x v="356"/>
          </reference>
          <reference field="11" count="1" selected="0">
            <x v="5"/>
          </reference>
          <reference field="13" count="1" selected="0">
            <x v="96"/>
          </reference>
        </references>
      </pivotArea>
    </format>
    <format dxfId="2396">
      <pivotArea dataOnly="0" labelOnly="1" outline="0" fieldPosition="0">
        <references count="4">
          <reference field="5" count="1">
            <x v="20"/>
          </reference>
          <reference field="8" count="1" selected="0">
            <x v="356"/>
          </reference>
          <reference field="11" count="1" selected="0">
            <x v="5"/>
          </reference>
          <reference field="13" count="1" selected="0">
            <x v="255"/>
          </reference>
        </references>
      </pivotArea>
    </format>
    <format dxfId="2395">
      <pivotArea dataOnly="0" labelOnly="1" outline="0" fieldPosition="0">
        <references count="4">
          <reference field="5" count="1">
            <x v="60"/>
          </reference>
          <reference field="8" count="1" selected="0">
            <x v="356"/>
          </reference>
          <reference field="11" count="1" selected="0">
            <x v="7"/>
          </reference>
          <reference field="13" count="1" selected="0">
            <x v="72"/>
          </reference>
        </references>
      </pivotArea>
    </format>
    <format dxfId="2394">
      <pivotArea dataOnly="0" labelOnly="1" outline="0" fieldPosition="0">
        <references count="4">
          <reference field="5" count="1">
            <x v="60"/>
          </reference>
          <reference field="8" count="1" selected="0">
            <x v="357"/>
          </reference>
          <reference field="11" count="1" selected="0">
            <x v="3"/>
          </reference>
          <reference field="13" count="1" selected="0">
            <x v="17"/>
          </reference>
        </references>
      </pivotArea>
    </format>
    <format dxfId="2393">
      <pivotArea dataOnly="0" labelOnly="1" outline="0" fieldPosition="0">
        <references count="4">
          <reference field="5" count="1">
            <x v="60"/>
          </reference>
          <reference field="8" count="1" selected="0">
            <x v="357"/>
          </reference>
          <reference field="11" count="1" selected="0">
            <x v="3"/>
          </reference>
          <reference field="13" count="1" selected="0">
            <x v="32"/>
          </reference>
        </references>
      </pivotArea>
    </format>
    <format dxfId="2392">
      <pivotArea dataOnly="0" labelOnly="1" outline="0" fieldPosition="0">
        <references count="4">
          <reference field="5" count="1">
            <x v="60"/>
          </reference>
          <reference field="8" count="1" selected="0">
            <x v="357"/>
          </reference>
          <reference field="11" count="1" selected="0">
            <x v="3"/>
          </reference>
          <reference field="13" count="1" selected="0">
            <x v="243"/>
          </reference>
        </references>
      </pivotArea>
    </format>
    <format dxfId="2391">
      <pivotArea dataOnly="0" labelOnly="1" outline="0" fieldPosition="0">
        <references count="4">
          <reference field="5" count="3">
            <x v="39"/>
            <x v="60"/>
            <x v="72"/>
          </reference>
          <reference field="8" count="1" selected="0">
            <x v="357"/>
          </reference>
          <reference field="11" count="1" selected="0">
            <x v="3"/>
          </reference>
          <reference field="13" count="1" selected="0">
            <x v="305"/>
          </reference>
        </references>
      </pivotArea>
    </format>
    <format dxfId="2390">
      <pivotArea dataOnly="0" labelOnly="1" outline="0" fieldPosition="0">
        <references count="4">
          <reference field="5" count="1">
            <x v="64"/>
          </reference>
          <reference field="8" count="1" selected="0">
            <x v="358"/>
          </reference>
          <reference field="11" count="1" selected="0">
            <x v="1"/>
          </reference>
          <reference field="13" count="1" selected="0">
            <x v="130"/>
          </reference>
        </references>
      </pivotArea>
    </format>
    <format dxfId="2389">
      <pivotArea dataOnly="0" labelOnly="1" outline="0" fieldPosition="0">
        <references count="4">
          <reference field="5" count="1">
            <x v="64"/>
          </reference>
          <reference field="8" count="1" selected="0">
            <x v="358"/>
          </reference>
          <reference field="11" count="1" selected="0">
            <x v="1"/>
          </reference>
          <reference field="13" count="1" selected="0">
            <x v="169"/>
          </reference>
        </references>
      </pivotArea>
    </format>
    <format dxfId="2388">
      <pivotArea dataOnly="0" labelOnly="1" outline="0" fieldPosition="0">
        <references count="4">
          <reference field="5" count="1">
            <x v="32"/>
          </reference>
          <reference field="8" count="1" selected="0">
            <x v="358"/>
          </reference>
          <reference field="11" count="1" selected="0">
            <x v="1"/>
          </reference>
          <reference field="13" count="1" selected="0">
            <x v="286"/>
          </reference>
        </references>
      </pivotArea>
    </format>
    <format dxfId="2387">
      <pivotArea dataOnly="0" labelOnly="1" outline="0" fieldPosition="0">
        <references count="4">
          <reference field="5" count="1">
            <x v="64"/>
          </reference>
          <reference field="8" count="1" selected="0">
            <x v="358"/>
          </reference>
          <reference field="11" count="1" selected="0">
            <x v="3"/>
          </reference>
          <reference field="13" count="1" selected="0">
            <x v="69"/>
          </reference>
        </references>
      </pivotArea>
    </format>
    <format dxfId="2386">
      <pivotArea dataOnly="0" labelOnly="1" outline="0" fieldPosition="0">
        <references count="4">
          <reference field="5" count="1">
            <x v="64"/>
          </reference>
          <reference field="8" count="1" selected="0">
            <x v="358"/>
          </reference>
          <reference field="11" count="1" selected="0">
            <x v="3"/>
          </reference>
          <reference field="13" count="1" selected="0">
            <x v="240"/>
          </reference>
        </references>
      </pivotArea>
    </format>
    <format dxfId="2385">
      <pivotArea dataOnly="0" labelOnly="1" outline="0" fieldPosition="0">
        <references count="4">
          <reference field="5" count="1">
            <x v="64"/>
          </reference>
          <reference field="8" count="1" selected="0">
            <x v="358"/>
          </reference>
          <reference field="11" count="1" selected="0">
            <x v="3"/>
          </reference>
          <reference field="13" count="1" selected="0">
            <x v="287"/>
          </reference>
        </references>
      </pivotArea>
    </format>
    <format dxfId="2384">
      <pivotArea dataOnly="0" labelOnly="1" outline="0" fieldPosition="0">
        <references count="4">
          <reference field="5" count="1">
            <x v="64"/>
          </reference>
          <reference field="8" count="1" selected="0">
            <x v="358"/>
          </reference>
          <reference field="11" count="1" selected="0">
            <x v="5"/>
          </reference>
          <reference field="13" count="1" selected="0">
            <x v="96"/>
          </reference>
        </references>
      </pivotArea>
    </format>
    <format dxfId="2383">
      <pivotArea dataOnly="0" labelOnly="1" outline="0" fieldPosition="0">
        <references count="4">
          <reference field="5" count="1">
            <x v="64"/>
          </reference>
          <reference field="8" count="1" selected="0">
            <x v="358"/>
          </reference>
          <reference field="11" count="1" selected="0">
            <x v="5"/>
          </reference>
          <reference field="13" count="1" selected="0">
            <x v="226"/>
          </reference>
        </references>
      </pivotArea>
    </format>
    <format dxfId="2382">
      <pivotArea dataOnly="0" labelOnly="1" outline="0" fieldPosition="0">
        <references count="4">
          <reference field="5" count="1">
            <x v="20"/>
          </reference>
          <reference field="8" count="1" selected="0">
            <x v="358"/>
          </reference>
          <reference field="11" count="1" selected="0">
            <x v="5"/>
          </reference>
          <reference field="13" count="1" selected="0">
            <x v="255"/>
          </reference>
        </references>
      </pivotArea>
    </format>
    <format dxfId="2381">
      <pivotArea dataOnly="0" labelOnly="1" outline="0" fieldPosition="0">
        <references count="4">
          <reference field="5" count="1">
            <x v="64"/>
          </reference>
          <reference field="8" count="1" selected="0">
            <x v="358"/>
          </reference>
          <reference field="11" count="1" selected="0">
            <x v="7"/>
          </reference>
          <reference field="13" count="1" selected="0">
            <x v="8"/>
          </reference>
        </references>
      </pivotArea>
    </format>
    <format dxfId="2380">
      <pivotArea dataOnly="0" labelOnly="1" outline="0" fieldPosition="0">
        <references count="4">
          <reference field="5" count="1">
            <x v="103"/>
          </reference>
          <reference field="8" count="1" selected="0">
            <x v="359"/>
          </reference>
          <reference field="11" count="1" selected="0">
            <x v="5"/>
          </reference>
          <reference field="13" count="1" selected="0">
            <x v="81"/>
          </reference>
        </references>
      </pivotArea>
    </format>
    <format dxfId="2379">
      <pivotArea dataOnly="0" labelOnly="1" outline="0" fieldPosition="0">
        <references count="4">
          <reference field="5" count="1">
            <x v="63"/>
          </reference>
          <reference field="8" count="1" selected="0">
            <x v="360"/>
          </reference>
          <reference field="11" count="1" selected="0">
            <x v="1"/>
          </reference>
          <reference field="13" count="1" selected="0">
            <x v="216"/>
          </reference>
        </references>
      </pivotArea>
    </format>
    <format dxfId="2378">
      <pivotArea dataOnly="0" labelOnly="1" outline="0" fieldPosition="0">
        <references count="4">
          <reference field="5" count="1">
            <x v="63"/>
          </reference>
          <reference field="8" count="1" selected="0">
            <x v="360"/>
          </reference>
          <reference field="11" count="1" selected="0">
            <x v="1"/>
          </reference>
          <reference field="13" count="1" selected="0">
            <x v="286"/>
          </reference>
        </references>
      </pivotArea>
    </format>
    <format dxfId="2377">
      <pivotArea dataOnly="0" labelOnly="1" outline="0" fieldPosition="0">
        <references count="4">
          <reference field="5" count="1">
            <x v="63"/>
          </reference>
          <reference field="8" count="1" selected="0">
            <x v="360"/>
          </reference>
          <reference field="11" count="1" selected="0">
            <x v="3"/>
          </reference>
          <reference field="13" count="1" selected="0">
            <x v="17"/>
          </reference>
        </references>
      </pivotArea>
    </format>
    <format dxfId="2376">
      <pivotArea dataOnly="0" labelOnly="1" outline="0" fieldPosition="0">
        <references count="4">
          <reference field="5" count="1">
            <x v="63"/>
          </reference>
          <reference field="8" count="1" selected="0">
            <x v="360"/>
          </reference>
          <reference field="11" count="1" selected="0">
            <x v="3"/>
          </reference>
          <reference field="13" count="1" selected="0">
            <x v="243"/>
          </reference>
        </references>
      </pivotArea>
    </format>
    <format dxfId="2375">
      <pivotArea dataOnly="0" labelOnly="1" outline="0" fieldPosition="0">
        <references count="4">
          <reference field="5" count="1">
            <x v="63"/>
          </reference>
          <reference field="8" count="1" selected="0">
            <x v="360"/>
          </reference>
          <reference field="11" count="1" selected="0">
            <x v="3"/>
          </reference>
          <reference field="13" count="1" selected="0">
            <x v="305"/>
          </reference>
        </references>
      </pivotArea>
    </format>
    <format dxfId="2374">
      <pivotArea dataOnly="0" labelOnly="1" outline="0" fieldPosition="0">
        <references count="4">
          <reference field="5" count="1">
            <x v="20"/>
          </reference>
          <reference field="8" count="1" selected="0">
            <x v="360"/>
          </reference>
          <reference field="11" count="1" selected="0">
            <x v="5"/>
          </reference>
          <reference field="13" count="1" selected="0">
            <x v="81"/>
          </reference>
        </references>
      </pivotArea>
    </format>
    <format dxfId="2373">
      <pivotArea dataOnly="0" labelOnly="1" outline="0" fieldPosition="0">
        <references count="4">
          <reference field="5" count="1">
            <x v="63"/>
          </reference>
          <reference field="8" count="1" selected="0">
            <x v="360"/>
          </reference>
          <reference field="11" count="1" selected="0">
            <x v="5"/>
          </reference>
          <reference field="13" count="1" selected="0">
            <x v="96"/>
          </reference>
        </references>
      </pivotArea>
    </format>
    <format dxfId="2372">
      <pivotArea dataOnly="0" labelOnly="1" outline="0" fieldPosition="0">
        <references count="4">
          <reference field="5" count="1">
            <x v="56"/>
          </reference>
          <reference field="8" count="1" selected="0">
            <x v="361"/>
          </reference>
          <reference field="11" count="1" selected="0">
            <x v="0"/>
          </reference>
          <reference field="13" count="1" selected="0">
            <x v="221"/>
          </reference>
        </references>
      </pivotArea>
    </format>
    <format dxfId="2371">
      <pivotArea dataOnly="0" labelOnly="1" outline="0" fieldPosition="0">
        <references count="4">
          <reference field="5" count="2">
            <x v="56"/>
            <x v="64"/>
          </reference>
          <reference field="8" count="1" selected="0">
            <x v="361"/>
          </reference>
          <reference field="11" count="1" selected="0">
            <x v="1"/>
          </reference>
          <reference field="13" count="1" selected="0">
            <x v="75"/>
          </reference>
        </references>
      </pivotArea>
    </format>
    <format dxfId="2370">
      <pivotArea dataOnly="0" labelOnly="1" outline="0" fieldPosition="0">
        <references count="4">
          <reference field="5" count="1">
            <x v="63"/>
          </reference>
          <reference field="8" count="1" selected="0">
            <x v="361"/>
          </reference>
          <reference field="11" count="1" selected="0">
            <x v="1"/>
          </reference>
          <reference field="13" count="1" selected="0">
            <x v="286"/>
          </reference>
        </references>
      </pivotArea>
    </format>
    <format dxfId="2369">
      <pivotArea dataOnly="0" labelOnly="1" outline="0" fieldPosition="0">
        <references count="4">
          <reference field="5" count="1">
            <x v="70"/>
          </reference>
          <reference field="8" count="1" selected="0">
            <x v="361"/>
          </reference>
          <reference field="11" count="1" selected="0">
            <x v="3"/>
          </reference>
          <reference field="13" count="1" selected="0">
            <x v="240"/>
          </reference>
        </references>
      </pivotArea>
    </format>
    <format dxfId="2368">
      <pivotArea dataOnly="0" labelOnly="1" outline="0" fieldPosition="0">
        <references count="4">
          <reference field="5" count="1">
            <x v="70"/>
          </reference>
          <reference field="8" count="1" selected="0">
            <x v="361"/>
          </reference>
          <reference field="11" count="1" selected="0">
            <x v="3"/>
          </reference>
          <reference field="13" count="1" selected="0">
            <x v="242"/>
          </reference>
        </references>
      </pivotArea>
    </format>
    <format dxfId="2367">
      <pivotArea dataOnly="0" labelOnly="1" outline="0" fieldPosition="0">
        <references count="4">
          <reference field="5" count="1">
            <x v="70"/>
          </reference>
          <reference field="8" count="1" selected="0">
            <x v="361"/>
          </reference>
          <reference field="11" count="1" selected="0">
            <x v="3"/>
          </reference>
          <reference field="13" count="1" selected="0">
            <x v="243"/>
          </reference>
        </references>
      </pivotArea>
    </format>
    <format dxfId="2366">
      <pivotArea dataOnly="0" labelOnly="1" outline="0" fieldPosition="0">
        <references count="4">
          <reference field="5" count="1">
            <x v="101"/>
          </reference>
          <reference field="8" count="1" selected="0">
            <x v="362"/>
          </reference>
          <reference field="11" count="1" selected="0">
            <x v="3"/>
          </reference>
          <reference field="13" count="1" selected="0">
            <x v="32"/>
          </reference>
        </references>
      </pivotArea>
    </format>
    <format dxfId="2365">
      <pivotArea dataOnly="0" labelOnly="1" outline="0" fieldPosition="0">
        <references count="4">
          <reference field="5" count="1">
            <x v="101"/>
          </reference>
          <reference field="8" count="1" selected="0">
            <x v="363"/>
          </reference>
          <reference field="11" count="1" selected="0">
            <x v="3"/>
          </reference>
          <reference field="13" count="1" selected="0">
            <x v="32"/>
          </reference>
        </references>
      </pivotArea>
    </format>
    <format dxfId="2364">
      <pivotArea dataOnly="0" labelOnly="1" outline="0" fieldPosition="0">
        <references count="4">
          <reference field="5" count="1">
            <x v="2"/>
          </reference>
          <reference field="8" count="1" selected="0">
            <x v="364"/>
          </reference>
          <reference field="11" count="1" selected="0">
            <x v="5"/>
          </reference>
          <reference field="13" count="1" selected="0">
            <x v="37"/>
          </reference>
        </references>
      </pivotArea>
    </format>
    <format dxfId="2363">
      <pivotArea dataOnly="0" labelOnly="1" outline="0" fieldPosition="0">
        <references count="4">
          <reference field="5" count="1">
            <x v="110"/>
          </reference>
          <reference field="8" count="1" selected="0">
            <x v="365"/>
          </reference>
          <reference field="11" count="1" selected="0">
            <x v="3"/>
          </reference>
          <reference field="13" count="1" selected="0">
            <x v="7"/>
          </reference>
        </references>
      </pivotArea>
    </format>
    <format dxfId="2362">
      <pivotArea dataOnly="0" labelOnly="1" outline="0" fieldPosition="0">
        <references count="4">
          <reference field="5" count="1">
            <x v="110"/>
          </reference>
          <reference field="8" count="1" selected="0">
            <x v="365"/>
          </reference>
          <reference field="11" count="1" selected="0">
            <x v="3"/>
          </reference>
          <reference field="13" count="1" selected="0">
            <x v="32"/>
          </reference>
        </references>
      </pivotArea>
    </format>
    <format dxfId="2361">
      <pivotArea dataOnly="0" labelOnly="1" outline="0" fieldPosition="0">
        <references count="4">
          <reference field="5" count="1">
            <x v="110"/>
          </reference>
          <reference field="8" count="1" selected="0">
            <x v="365"/>
          </reference>
          <reference field="11" count="1" selected="0">
            <x v="3"/>
          </reference>
          <reference field="13" count="1" selected="0">
            <x v="54"/>
          </reference>
        </references>
      </pivotArea>
    </format>
    <format dxfId="2360">
      <pivotArea dataOnly="0" labelOnly="1" outline="0" fieldPosition="0">
        <references count="4">
          <reference field="5" count="1">
            <x v="110"/>
          </reference>
          <reference field="8" count="1" selected="0">
            <x v="365"/>
          </reference>
          <reference field="11" count="1" selected="0">
            <x v="3"/>
          </reference>
          <reference field="13" count="1" selected="0">
            <x v="100"/>
          </reference>
        </references>
      </pivotArea>
    </format>
    <format dxfId="2359">
      <pivotArea dataOnly="0" labelOnly="1" outline="0" fieldPosition="0">
        <references count="4">
          <reference field="5" count="1">
            <x v="117"/>
          </reference>
          <reference field="8" count="1" selected="0">
            <x v="365"/>
          </reference>
          <reference field="11" count="1" selected="0">
            <x v="3"/>
          </reference>
          <reference field="13" count="1" selected="0">
            <x v="287"/>
          </reference>
        </references>
      </pivotArea>
    </format>
    <format dxfId="2358">
      <pivotArea dataOnly="0" labelOnly="1" outline="0" fieldPosition="0">
        <references count="4">
          <reference field="5" count="1">
            <x v="85"/>
          </reference>
          <reference field="8" count="1" selected="0">
            <x v="367"/>
          </reference>
          <reference field="11" count="1" selected="0">
            <x v="2"/>
          </reference>
          <reference field="13" count="1" selected="0">
            <x v="44"/>
          </reference>
        </references>
      </pivotArea>
    </format>
    <format dxfId="2357">
      <pivotArea dataOnly="0" labelOnly="1" outline="0" fieldPosition="0">
        <references count="4">
          <reference field="5" count="1">
            <x v="85"/>
          </reference>
          <reference field="8" count="1" selected="0">
            <x v="367"/>
          </reference>
          <reference field="11" count="1" selected="0">
            <x v="2"/>
          </reference>
          <reference field="13" count="1" selected="0">
            <x v="153"/>
          </reference>
        </references>
      </pivotArea>
    </format>
    <format dxfId="2356">
      <pivotArea dataOnly="0" labelOnly="1" outline="0" fieldPosition="0">
        <references count="4">
          <reference field="5" count="1">
            <x v="85"/>
          </reference>
          <reference field="8" count="1" selected="0">
            <x v="367"/>
          </reference>
          <reference field="11" count="1" selected="0">
            <x v="2"/>
          </reference>
          <reference field="13" count="1" selected="0">
            <x v="205"/>
          </reference>
        </references>
      </pivotArea>
    </format>
    <format dxfId="2355">
      <pivotArea dataOnly="0" labelOnly="1" outline="0" fieldPosition="0">
        <references count="4">
          <reference field="5" count="1">
            <x v="85"/>
          </reference>
          <reference field="8" count="1" selected="0">
            <x v="367"/>
          </reference>
          <reference field="11" count="1" selected="0">
            <x v="2"/>
          </reference>
          <reference field="13" count="1" selected="0">
            <x v="263"/>
          </reference>
        </references>
      </pivotArea>
    </format>
    <format dxfId="2354">
      <pivotArea dataOnly="0" labelOnly="1" outline="0" fieldPosition="0">
        <references count="4">
          <reference field="5" count="2">
            <x v="85"/>
            <x v="88"/>
          </reference>
          <reference field="8" count="1" selected="0">
            <x v="367"/>
          </reference>
          <reference field="11" count="1" selected="0">
            <x v="3"/>
          </reference>
          <reference field="13" count="1" selected="0">
            <x v="4"/>
          </reference>
        </references>
      </pivotArea>
    </format>
    <format dxfId="2353">
      <pivotArea dataOnly="0" labelOnly="1" outline="0" fieldPosition="0">
        <references count="4">
          <reference field="5" count="2">
            <x v="85"/>
            <x v="86"/>
          </reference>
          <reference field="8" count="1" selected="0">
            <x v="367"/>
          </reference>
          <reference field="11" count="1" selected="0">
            <x v="3"/>
          </reference>
          <reference field="13" count="1" selected="0">
            <x v="7"/>
          </reference>
        </references>
      </pivotArea>
    </format>
    <format dxfId="2352">
      <pivotArea dataOnly="0" labelOnly="1" outline="0" fieldPosition="0">
        <references count="4">
          <reference field="5" count="1">
            <x v="86"/>
          </reference>
          <reference field="8" count="1" selected="0">
            <x v="367"/>
          </reference>
          <reference field="11" count="1" selected="0">
            <x v="3"/>
          </reference>
          <reference field="13" count="1" selected="0">
            <x v="17"/>
          </reference>
        </references>
      </pivotArea>
    </format>
    <format dxfId="2351">
      <pivotArea dataOnly="0" labelOnly="1" outline="0" fieldPosition="0">
        <references count="4">
          <reference field="5" count="3">
            <x v="85"/>
            <x v="86"/>
            <x v="88"/>
          </reference>
          <reference field="8" count="1" selected="0">
            <x v="367"/>
          </reference>
          <reference field="11" count="1" selected="0">
            <x v="3"/>
          </reference>
          <reference field="13" count="1" selected="0">
            <x v="32"/>
          </reference>
        </references>
      </pivotArea>
    </format>
    <format dxfId="2350">
      <pivotArea dataOnly="0" labelOnly="1" outline="0" fieldPosition="0">
        <references count="4">
          <reference field="5" count="1">
            <x v="86"/>
          </reference>
          <reference field="8" count="1" selected="0">
            <x v="367"/>
          </reference>
          <reference field="11" count="1" selected="0">
            <x v="3"/>
          </reference>
          <reference field="13" count="1" selected="0">
            <x v="47"/>
          </reference>
        </references>
      </pivotArea>
    </format>
    <format dxfId="2349">
      <pivotArea dataOnly="0" labelOnly="1" outline="0" fieldPosition="0">
        <references count="4">
          <reference field="5" count="1">
            <x v="86"/>
          </reference>
          <reference field="8" count="1" selected="0">
            <x v="367"/>
          </reference>
          <reference field="11" count="1" selected="0">
            <x v="3"/>
          </reference>
          <reference field="13" count="1" selected="0">
            <x v="57"/>
          </reference>
        </references>
      </pivotArea>
    </format>
    <format dxfId="2348">
      <pivotArea dataOnly="0" labelOnly="1" outline="0" fieldPosition="0">
        <references count="4">
          <reference field="5" count="1">
            <x v="86"/>
          </reference>
          <reference field="8" count="1" selected="0">
            <x v="367"/>
          </reference>
          <reference field="11" count="1" selected="0">
            <x v="3"/>
          </reference>
          <reference field="13" count="1" selected="0">
            <x v="218"/>
          </reference>
        </references>
      </pivotArea>
    </format>
    <format dxfId="2347">
      <pivotArea dataOnly="0" labelOnly="1" outline="0" fieldPosition="0">
        <references count="4">
          <reference field="5" count="1">
            <x v="91"/>
          </reference>
          <reference field="8" count="1" selected="0">
            <x v="367"/>
          </reference>
          <reference field="11" count="1" selected="0">
            <x v="3"/>
          </reference>
          <reference field="13" count="1" selected="0">
            <x v="240"/>
          </reference>
        </references>
      </pivotArea>
    </format>
    <format dxfId="2346">
      <pivotArea dataOnly="0" labelOnly="1" outline="0" fieldPosition="0">
        <references count="4">
          <reference field="5" count="1">
            <x v="88"/>
          </reference>
          <reference field="8" count="1" selected="0">
            <x v="367"/>
          </reference>
          <reference field="11" count="1" selected="0">
            <x v="3"/>
          </reference>
          <reference field="13" count="1" selected="0">
            <x v="251"/>
          </reference>
        </references>
      </pivotArea>
    </format>
    <format dxfId="2345">
      <pivotArea dataOnly="0" labelOnly="1" outline="0" fieldPosition="0">
        <references count="4">
          <reference field="5" count="3">
            <x v="85"/>
            <x v="86"/>
            <x v="88"/>
          </reference>
          <reference field="8" count="1" selected="0">
            <x v="367"/>
          </reference>
          <reference field="11" count="1" selected="0">
            <x v="3"/>
          </reference>
          <reference field="13" count="1" selected="0">
            <x v="287"/>
          </reference>
        </references>
      </pivotArea>
    </format>
    <format dxfId="2344">
      <pivotArea dataOnly="0" labelOnly="1" outline="0" fieldPosition="0">
        <references count="4">
          <reference field="5" count="4">
            <x v="85"/>
            <x v="87"/>
            <x v="88"/>
            <x v="91"/>
          </reference>
          <reference field="8" count="1" selected="0">
            <x v="367"/>
          </reference>
          <reference field="11" count="1" selected="0">
            <x v="4"/>
          </reference>
          <reference field="13" count="1" selected="0">
            <x v="133"/>
          </reference>
        </references>
      </pivotArea>
    </format>
    <format dxfId="2343">
      <pivotArea dataOnly="0" labelOnly="1" outline="0" fieldPosition="0">
        <references count="4">
          <reference field="5" count="1">
            <x v="85"/>
          </reference>
          <reference field="8" count="1" selected="0">
            <x v="367"/>
          </reference>
          <reference field="11" count="1" selected="0">
            <x v="4"/>
          </reference>
          <reference field="13" count="1" selected="0">
            <x v="150"/>
          </reference>
        </references>
      </pivotArea>
    </format>
    <format dxfId="2342">
      <pivotArea dataOnly="0" labelOnly="1" outline="0" fieldPosition="0">
        <references count="4">
          <reference field="5" count="5">
            <x v="85"/>
            <x v="86"/>
            <x v="87"/>
            <x v="88"/>
            <x v="91"/>
          </reference>
          <reference field="8" count="1" selected="0">
            <x v="367"/>
          </reference>
          <reference field="11" count="1" selected="0">
            <x v="5"/>
          </reference>
          <reference field="13" count="1" selected="0">
            <x v="77"/>
          </reference>
        </references>
      </pivotArea>
    </format>
    <format dxfId="2341">
      <pivotArea dataOnly="0" labelOnly="1" outline="0" fieldPosition="0">
        <references count="4">
          <reference field="5" count="4">
            <x v="85"/>
            <x v="86"/>
            <x v="88"/>
            <x v="91"/>
          </reference>
          <reference field="8" count="1" selected="0">
            <x v="367"/>
          </reference>
          <reference field="11" count="1" selected="0">
            <x v="5"/>
          </reference>
          <reference field="13" count="1" selected="0">
            <x v="81"/>
          </reference>
        </references>
      </pivotArea>
    </format>
    <format dxfId="2340">
      <pivotArea dataOnly="0" labelOnly="1" outline="0" fieldPosition="0">
        <references count="4">
          <reference field="5" count="1">
            <x v="85"/>
          </reference>
          <reference field="8" count="1" selected="0">
            <x v="367"/>
          </reference>
          <reference field="11" count="1" selected="0">
            <x v="6"/>
          </reference>
          <reference field="13" count="1" selected="0">
            <x v="176"/>
          </reference>
        </references>
      </pivotArea>
    </format>
    <format dxfId="2339">
      <pivotArea dataOnly="0" labelOnly="1" outline="0" fieldPosition="0">
        <references count="4">
          <reference field="5" count="1">
            <x v="85"/>
          </reference>
          <reference field="8" count="1" selected="0">
            <x v="367"/>
          </reference>
          <reference field="11" count="1" selected="0">
            <x v="6"/>
          </reference>
          <reference field="13" count="1" selected="0">
            <x v="191"/>
          </reference>
        </references>
      </pivotArea>
    </format>
    <format dxfId="2338">
      <pivotArea dataOnly="0" labelOnly="1" outline="0" fieldPosition="0">
        <references count="4">
          <reference field="5" count="1">
            <x v="85"/>
          </reference>
          <reference field="8" count="1" selected="0">
            <x v="367"/>
          </reference>
          <reference field="11" count="1" selected="0">
            <x v="6"/>
          </reference>
          <reference field="13" count="1" selected="0">
            <x v="298"/>
          </reference>
        </references>
      </pivotArea>
    </format>
    <format dxfId="2337">
      <pivotArea dataOnly="0" labelOnly="1" outline="0" fieldPosition="0">
        <references count="4">
          <reference field="5" count="1">
            <x v="86"/>
          </reference>
          <reference field="8" count="1" selected="0">
            <x v="367"/>
          </reference>
          <reference field="11" count="1" selected="0">
            <x v="7"/>
          </reference>
          <reference field="13" count="1" selected="0">
            <x v="72"/>
          </reference>
        </references>
      </pivotArea>
    </format>
    <format dxfId="2336">
      <pivotArea dataOnly="0" labelOnly="1" outline="0" fieldPosition="0">
        <references count="4">
          <reference field="5" count="1">
            <x v="85"/>
          </reference>
          <reference field="8" count="1" selected="0">
            <x v="367"/>
          </reference>
          <reference field="11" count="1" selected="0">
            <x v="7"/>
          </reference>
          <reference field="13" count="1" selected="0">
            <x v="308"/>
          </reference>
        </references>
      </pivotArea>
    </format>
    <format dxfId="2335">
      <pivotArea dataOnly="0" labelOnly="1" outline="0" fieldPosition="0">
        <references count="4">
          <reference field="5" count="2">
            <x v="116"/>
            <x v="117"/>
          </reference>
          <reference field="8" count="1" selected="0">
            <x v="368"/>
          </reference>
          <reference field="11" count="1" selected="0">
            <x v="3"/>
          </reference>
          <reference field="13" count="1" selected="0">
            <x v="29"/>
          </reference>
        </references>
      </pivotArea>
    </format>
    <format dxfId="2334">
      <pivotArea dataOnly="0" labelOnly="1" outline="0" fieldPosition="0">
        <references count="4">
          <reference field="5" count="1">
            <x v="117"/>
          </reference>
          <reference field="8" count="1" selected="0">
            <x v="368"/>
          </reference>
          <reference field="11" count="1" selected="0">
            <x v="3"/>
          </reference>
          <reference field="13" count="1" selected="0">
            <x v="218"/>
          </reference>
        </references>
      </pivotArea>
    </format>
    <format dxfId="2333">
      <pivotArea dataOnly="0" labelOnly="1" outline="0" fieldPosition="0">
        <references count="4">
          <reference field="5" count="1">
            <x v="114"/>
          </reference>
          <reference field="8" count="1" selected="0">
            <x v="368"/>
          </reference>
          <reference field="11" count="1" selected="0">
            <x v="3"/>
          </reference>
          <reference field="13" count="1" selected="0">
            <x v="240"/>
          </reference>
        </references>
      </pivotArea>
    </format>
    <format dxfId="2332">
      <pivotArea dataOnly="0" labelOnly="1" outline="0" fieldPosition="0">
        <references count="4">
          <reference field="5" count="1">
            <x v="117"/>
          </reference>
          <reference field="8" count="1" selected="0">
            <x v="368"/>
          </reference>
          <reference field="11" count="1" selected="0">
            <x v="3"/>
          </reference>
          <reference field="13" count="1" selected="0">
            <x v="314"/>
          </reference>
        </references>
      </pivotArea>
    </format>
    <format dxfId="2331">
      <pivotArea dataOnly="0" labelOnly="1" outline="0" fieldPosition="0">
        <references count="4">
          <reference field="5" count="1">
            <x v="20"/>
          </reference>
          <reference field="8" count="1" selected="0">
            <x v="368"/>
          </reference>
          <reference field="11" count="1" selected="0">
            <x v="5"/>
          </reference>
          <reference field="13" count="1" selected="0">
            <x v="77"/>
          </reference>
        </references>
      </pivotArea>
    </format>
    <format dxfId="2330">
      <pivotArea dataOnly="0" labelOnly="1" outline="0" fieldPosition="0">
        <references count="4">
          <reference field="5" count="2">
            <x v="20"/>
            <x v="116"/>
          </reference>
          <reference field="8" count="1" selected="0">
            <x v="368"/>
          </reference>
          <reference field="11" count="1" selected="0">
            <x v="5"/>
          </reference>
          <reference field="13" count="1" selected="0">
            <x v="81"/>
          </reference>
        </references>
      </pivotArea>
    </format>
    <format dxfId="2329">
      <pivotArea dataOnly="0" labelOnly="1" outline="0" fieldPosition="0">
        <references count="4">
          <reference field="5" count="1">
            <x v="38"/>
          </reference>
          <reference field="8" count="1" selected="0">
            <x v="368"/>
          </reference>
          <reference field="11" count="1" selected="0">
            <x v="5"/>
          </reference>
          <reference field="13" count="1" selected="0">
            <x v="141"/>
          </reference>
        </references>
      </pivotArea>
    </format>
    <format dxfId="2328">
      <pivotArea dataOnly="0" labelOnly="1" outline="0" fieldPosition="0">
        <references count="4">
          <reference field="5" count="1">
            <x v="20"/>
          </reference>
          <reference field="8" count="1" selected="0">
            <x v="368"/>
          </reference>
          <reference field="11" count="1" selected="0">
            <x v="5"/>
          </reference>
          <reference field="13" count="1" selected="0">
            <x v="255"/>
          </reference>
        </references>
      </pivotArea>
    </format>
    <format dxfId="2327">
      <pivotArea dataOnly="0" labelOnly="1" outline="0" fieldPosition="0">
        <references count="4">
          <reference field="5" count="1">
            <x v="108"/>
          </reference>
          <reference field="8" count="1" selected="0">
            <x v="369"/>
          </reference>
          <reference field="11" count="1" selected="0">
            <x v="1"/>
          </reference>
          <reference field="13" count="1" selected="0">
            <x v="125"/>
          </reference>
        </references>
      </pivotArea>
    </format>
    <format dxfId="2326">
      <pivotArea dataOnly="0" labelOnly="1" outline="0" fieldPosition="0">
        <references count="4">
          <reference field="5" count="1">
            <x v="108"/>
          </reference>
          <reference field="8" count="1" selected="0">
            <x v="369"/>
          </reference>
          <reference field="11" count="1" selected="0">
            <x v="1"/>
          </reference>
          <reference field="13" count="1" selected="0">
            <x v="286"/>
          </reference>
        </references>
      </pivotArea>
    </format>
    <format dxfId="2325">
      <pivotArea dataOnly="0" labelOnly="1" outline="0" fieldPosition="0">
        <references count="4">
          <reference field="5" count="1">
            <x v="72"/>
          </reference>
          <reference field="8" count="1" selected="0">
            <x v="370"/>
          </reference>
          <reference field="11" count="1" selected="0">
            <x v="3"/>
          </reference>
          <reference field="13" count="1" selected="0">
            <x v="14"/>
          </reference>
        </references>
      </pivotArea>
    </format>
    <format dxfId="2324">
      <pivotArea dataOnly="0" labelOnly="1" outline="0" fieldPosition="0">
        <references count="4">
          <reference field="5" count="2">
            <x v="2"/>
            <x v="85"/>
          </reference>
          <reference field="8" count="1" selected="0">
            <x v="370"/>
          </reference>
          <reference field="11" count="1" selected="0">
            <x v="5"/>
          </reference>
          <reference field="13" count="1" selected="0">
            <x v="268"/>
          </reference>
        </references>
      </pivotArea>
    </format>
    <format dxfId="2323">
      <pivotArea dataOnly="0" labelOnly="1" outline="0" fieldPosition="0">
        <references count="4">
          <reference field="5" count="1">
            <x v="63"/>
          </reference>
          <reference field="8" count="1" selected="0">
            <x v="371"/>
          </reference>
          <reference field="11" count="1" selected="0">
            <x v="1"/>
          </reference>
          <reference field="13" count="1" selected="0">
            <x v="216"/>
          </reference>
        </references>
      </pivotArea>
    </format>
    <format dxfId="2322">
      <pivotArea dataOnly="0" labelOnly="1" outline="0" fieldPosition="0">
        <references count="4">
          <reference field="5" count="1">
            <x v="32"/>
          </reference>
          <reference field="8" count="1" selected="0">
            <x v="371"/>
          </reference>
          <reference field="11" count="1" selected="0">
            <x v="1"/>
          </reference>
          <reference field="13" count="1" selected="0">
            <x v="286"/>
          </reference>
        </references>
      </pivotArea>
    </format>
    <format dxfId="2321">
      <pivotArea dataOnly="0" labelOnly="1" outline="0" fieldPosition="0">
        <references count="4">
          <reference field="5" count="1">
            <x v="63"/>
          </reference>
          <reference field="8" count="1" selected="0">
            <x v="371"/>
          </reference>
          <reference field="11" count="1" selected="0">
            <x v="2"/>
          </reference>
          <reference field="13" count="1" selected="0">
            <x v="50"/>
          </reference>
        </references>
      </pivotArea>
    </format>
    <format dxfId="2320">
      <pivotArea dataOnly="0" labelOnly="1" outline="0" fieldPosition="0">
        <references count="4">
          <reference field="5" count="1">
            <x v="32"/>
          </reference>
          <reference field="8" count="1" selected="0">
            <x v="371"/>
          </reference>
          <reference field="11" count="1" selected="0">
            <x v="3"/>
          </reference>
          <reference field="13" count="1" selected="0">
            <x v="32"/>
          </reference>
        </references>
      </pivotArea>
    </format>
    <format dxfId="2319">
      <pivotArea dataOnly="0" labelOnly="1" outline="0" fieldPosition="0">
        <references count="4">
          <reference field="5" count="1">
            <x v="32"/>
          </reference>
          <reference field="8" count="1" selected="0">
            <x v="371"/>
          </reference>
          <reference field="11" count="1" selected="0">
            <x v="3"/>
          </reference>
          <reference field="13" count="1" selected="0">
            <x v="78"/>
          </reference>
        </references>
      </pivotArea>
    </format>
    <format dxfId="2318">
      <pivotArea dataOnly="0" labelOnly="1" outline="0" fieldPosition="0">
        <references count="4">
          <reference field="5" count="1">
            <x v="32"/>
          </reference>
          <reference field="8" count="1" selected="0">
            <x v="371"/>
          </reference>
          <reference field="11" count="1" selected="0">
            <x v="3"/>
          </reference>
          <reference field="13" count="1" selected="0">
            <x v="146"/>
          </reference>
        </references>
      </pivotArea>
    </format>
    <format dxfId="2317">
      <pivotArea dataOnly="0" labelOnly="1" outline="0" fieldPosition="0">
        <references count="4">
          <reference field="5" count="2">
            <x v="32"/>
            <x v="63"/>
          </reference>
          <reference field="8" count="1" selected="0">
            <x v="371"/>
          </reference>
          <reference field="11" count="1" selected="0">
            <x v="3"/>
          </reference>
          <reference field="13" count="1" selected="0">
            <x v="287"/>
          </reference>
        </references>
      </pivotArea>
    </format>
    <format dxfId="2316">
      <pivotArea dataOnly="0" labelOnly="1" outline="0" fieldPosition="0">
        <references count="4">
          <reference field="5" count="1">
            <x v="63"/>
          </reference>
          <reference field="8" count="1" selected="0">
            <x v="371"/>
          </reference>
          <reference field="11" count="1" selected="0">
            <x v="3"/>
          </reference>
          <reference field="13" count="1" selected="0">
            <x v="305"/>
          </reference>
        </references>
      </pivotArea>
    </format>
    <format dxfId="2315">
      <pivotArea dataOnly="0" labelOnly="1" outline="0" fieldPosition="0">
        <references count="4">
          <reference field="5" count="1">
            <x v="32"/>
          </reference>
          <reference field="8" count="1" selected="0">
            <x v="372"/>
          </reference>
          <reference field="11" count="1" selected="0">
            <x v="3"/>
          </reference>
          <reference field="13" count="1" selected="0">
            <x v="32"/>
          </reference>
        </references>
      </pivotArea>
    </format>
    <format dxfId="2314">
      <pivotArea dataOnly="0" labelOnly="1" outline="0" fieldPosition="0">
        <references count="4">
          <reference field="5" count="1">
            <x v="32"/>
          </reference>
          <reference field="8" count="1" selected="0">
            <x v="372"/>
          </reference>
          <reference field="11" count="1" selected="0">
            <x v="3"/>
          </reference>
          <reference field="13" count="1" selected="0">
            <x v="242"/>
          </reference>
        </references>
      </pivotArea>
    </format>
    <format dxfId="2313">
      <pivotArea dataOnly="0" labelOnly="1" outline="0" fieldPosition="0">
        <references count="4">
          <reference field="5" count="1">
            <x v="32"/>
          </reference>
          <reference field="8" count="1" selected="0">
            <x v="372"/>
          </reference>
          <reference field="11" count="1" selected="0">
            <x v="3"/>
          </reference>
          <reference field="13" count="1" selected="0">
            <x v="287"/>
          </reference>
        </references>
      </pivotArea>
    </format>
    <format dxfId="2312">
      <pivotArea dataOnly="0" labelOnly="1" outline="0" fieldPosition="0">
        <references count="4">
          <reference field="5" count="1">
            <x v="64"/>
          </reference>
          <reference field="8" count="1" selected="0">
            <x v="373"/>
          </reference>
          <reference field="11" count="1" selected="0">
            <x v="0"/>
          </reference>
          <reference field="13" count="1" selected="0">
            <x v="53"/>
          </reference>
        </references>
      </pivotArea>
    </format>
    <format dxfId="2311">
      <pivotArea dataOnly="0" labelOnly="1" outline="0" fieldPosition="0">
        <references count="4">
          <reference field="5" count="1">
            <x v="104"/>
          </reference>
          <reference field="8" count="1" selected="0">
            <x v="373"/>
          </reference>
          <reference field="11" count="1" selected="0">
            <x v="2"/>
          </reference>
          <reference field="13" count="1" selected="0">
            <x v="52"/>
          </reference>
        </references>
      </pivotArea>
    </format>
    <format dxfId="2310">
      <pivotArea dataOnly="0" labelOnly="1" outline="0" fieldPosition="0">
        <references count="4">
          <reference field="5" count="1">
            <x v="104"/>
          </reference>
          <reference field="8" count="1" selected="0">
            <x v="373"/>
          </reference>
          <reference field="11" count="1" selected="0">
            <x v="2"/>
          </reference>
          <reference field="13" count="1" selected="0">
            <x v="71"/>
          </reference>
        </references>
      </pivotArea>
    </format>
    <format dxfId="2309">
      <pivotArea dataOnly="0" labelOnly="1" outline="0" fieldPosition="0">
        <references count="4">
          <reference field="5" count="1">
            <x v="104"/>
          </reference>
          <reference field="8" count="1" selected="0">
            <x v="373"/>
          </reference>
          <reference field="11" count="1" selected="0">
            <x v="3"/>
          </reference>
          <reference field="13" count="1" selected="0">
            <x v="240"/>
          </reference>
        </references>
      </pivotArea>
    </format>
    <format dxfId="2308">
      <pivotArea dataOnly="0" labelOnly="1" outline="0" fieldPosition="0">
        <references count="4">
          <reference field="5" count="1">
            <x v="104"/>
          </reference>
          <reference field="8" count="1" selected="0">
            <x v="373"/>
          </reference>
          <reference field="11" count="1" selected="0">
            <x v="3"/>
          </reference>
          <reference field="13" count="1" selected="0">
            <x v="242"/>
          </reference>
        </references>
      </pivotArea>
    </format>
    <format dxfId="2307">
      <pivotArea dataOnly="0" labelOnly="1" outline="0" fieldPosition="0">
        <references count="4">
          <reference field="5" count="1">
            <x v="104"/>
          </reference>
          <reference field="8" count="1" selected="0">
            <x v="373"/>
          </reference>
          <reference field="11" count="1" selected="0">
            <x v="3"/>
          </reference>
          <reference field="13" count="1" selected="0">
            <x v="243"/>
          </reference>
        </references>
      </pivotArea>
    </format>
    <format dxfId="2306">
      <pivotArea dataOnly="0" labelOnly="1" outline="0" fieldPosition="0">
        <references count="4">
          <reference field="5" count="1">
            <x v="20"/>
          </reference>
          <reference field="8" count="1" selected="0">
            <x v="373"/>
          </reference>
          <reference field="11" count="1" selected="0">
            <x v="5"/>
          </reference>
          <reference field="13" count="1" selected="0">
            <x v="81"/>
          </reference>
        </references>
      </pivotArea>
    </format>
    <format dxfId="2305">
      <pivotArea dataOnly="0" labelOnly="1" outline="0" fieldPosition="0">
        <references count="4">
          <reference field="5" count="1">
            <x v="64"/>
          </reference>
          <reference field="8" count="1" selected="0">
            <x v="374"/>
          </reference>
          <reference field="11" count="1" selected="0">
            <x v="0"/>
          </reference>
          <reference field="13" count="1" selected="0">
            <x v="53"/>
          </reference>
        </references>
      </pivotArea>
    </format>
    <format dxfId="2304">
      <pivotArea dataOnly="0" labelOnly="1" outline="0" fieldPosition="0">
        <references count="4">
          <reference field="5" count="1">
            <x v="64"/>
          </reference>
          <reference field="8" count="1" selected="0">
            <x v="374"/>
          </reference>
          <reference field="11" count="1" selected="0">
            <x v="1"/>
          </reference>
          <reference field="13" count="1" selected="0">
            <x v="169"/>
          </reference>
        </references>
      </pivotArea>
    </format>
    <format dxfId="2303">
      <pivotArea dataOnly="0" labelOnly="1" outline="0" fieldPosition="0">
        <references count="4">
          <reference field="5" count="1">
            <x v="64"/>
          </reference>
          <reference field="8" count="1" selected="0">
            <x v="374"/>
          </reference>
          <reference field="11" count="1" selected="0">
            <x v="1"/>
          </reference>
          <reference field="13" count="1" selected="0">
            <x v="172"/>
          </reference>
        </references>
      </pivotArea>
    </format>
    <format dxfId="2302">
      <pivotArea dataOnly="0" labelOnly="1" outline="0" fieldPosition="0">
        <references count="4">
          <reference field="5" count="1">
            <x v="104"/>
          </reference>
          <reference field="8" count="1" selected="0">
            <x v="374"/>
          </reference>
          <reference field="11" count="1" selected="0">
            <x v="3"/>
          </reference>
          <reference field="13" count="1" selected="0">
            <x v="242"/>
          </reference>
        </references>
      </pivotArea>
    </format>
    <format dxfId="2301">
      <pivotArea dataOnly="0" labelOnly="1" outline="0" fieldPosition="0">
        <references count="4">
          <reference field="5" count="2">
            <x v="64"/>
            <x v="103"/>
          </reference>
          <reference field="8" count="1" selected="0">
            <x v="375"/>
          </reference>
          <reference field="11" count="1" selected="0">
            <x v="1"/>
          </reference>
          <reference field="13" count="1" selected="0">
            <x v="169"/>
          </reference>
        </references>
      </pivotArea>
    </format>
    <format dxfId="2300">
      <pivotArea dataOnly="0" labelOnly="1" outline="0" fieldPosition="0">
        <references count="4">
          <reference field="5" count="1">
            <x v="103"/>
          </reference>
          <reference field="8" count="1" selected="0">
            <x v="375"/>
          </reference>
          <reference field="11" count="1" selected="0">
            <x v="2"/>
          </reference>
          <reference field="13" count="1" selected="0">
            <x v="35"/>
          </reference>
        </references>
      </pivotArea>
    </format>
    <format dxfId="2299">
      <pivotArea dataOnly="0" labelOnly="1" outline="0" fieldPosition="0">
        <references count="4">
          <reference field="5" count="1">
            <x v="103"/>
          </reference>
          <reference field="8" count="1" selected="0">
            <x v="375"/>
          </reference>
          <reference field="11" count="1" selected="0">
            <x v="3"/>
          </reference>
          <reference field="13" count="1" selected="0">
            <x v="4"/>
          </reference>
        </references>
      </pivotArea>
    </format>
    <format dxfId="2298">
      <pivotArea dataOnly="0" labelOnly="1" outline="0" fieldPosition="0">
        <references count="4">
          <reference field="5" count="2">
            <x v="103"/>
            <x v="110"/>
          </reference>
          <reference field="8" count="1" selected="0">
            <x v="375"/>
          </reference>
          <reference field="11" count="1" selected="0">
            <x v="3"/>
          </reference>
          <reference field="13" count="1" selected="0">
            <x v="7"/>
          </reference>
        </references>
      </pivotArea>
    </format>
    <format dxfId="2297">
      <pivotArea dataOnly="0" labelOnly="1" outline="0" fieldPosition="0">
        <references count="4">
          <reference field="5" count="1">
            <x v="103"/>
          </reference>
          <reference field="8" count="1" selected="0">
            <x v="375"/>
          </reference>
          <reference field="11" count="1" selected="0">
            <x v="3"/>
          </reference>
          <reference field="13" count="1" selected="0">
            <x v="17"/>
          </reference>
        </references>
      </pivotArea>
    </format>
    <format dxfId="2296">
      <pivotArea dataOnly="0" labelOnly="1" outline="0" fieldPosition="0">
        <references count="4">
          <reference field="5" count="1">
            <x v="103"/>
          </reference>
          <reference field="8" count="1" selected="0">
            <x v="375"/>
          </reference>
          <reference field="11" count="1" selected="0">
            <x v="3"/>
          </reference>
          <reference field="13" count="1" selected="0">
            <x v="32"/>
          </reference>
        </references>
      </pivotArea>
    </format>
    <format dxfId="2295">
      <pivotArea dataOnly="0" labelOnly="1" outline="0" fieldPosition="0">
        <references count="4">
          <reference field="5" count="1">
            <x v="103"/>
          </reference>
          <reference field="8" count="1" selected="0">
            <x v="375"/>
          </reference>
          <reference field="11" count="1" selected="0">
            <x v="3"/>
          </reference>
          <reference field="13" count="1" selected="0">
            <x v="54"/>
          </reference>
        </references>
      </pivotArea>
    </format>
    <format dxfId="2294">
      <pivotArea dataOnly="0" labelOnly="1" outline="0" fieldPosition="0">
        <references count="4">
          <reference field="5" count="1">
            <x v="103"/>
          </reference>
          <reference field="8" count="1" selected="0">
            <x v="375"/>
          </reference>
          <reference field="11" count="1" selected="0">
            <x v="3"/>
          </reference>
          <reference field="13" count="1" selected="0">
            <x v="57"/>
          </reference>
        </references>
      </pivotArea>
    </format>
    <format dxfId="2293">
      <pivotArea dataOnly="0" labelOnly="1" outline="0" fieldPosition="0">
        <references count="4">
          <reference field="5" count="1">
            <x v="103"/>
          </reference>
          <reference field="8" count="1" selected="0">
            <x v="375"/>
          </reference>
          <reference field="11" count="1" selected="0">
            <x v="3"/>
          </reference>
          <reference field="13" count="1" selected="0">
            <x v="83"/>
          </reference>
        </references>
      </pivotArea>
    </format>
    <format dxfId="2292">
      <pivotArea dataOnly="0" labelOnly="1" outline="0" fieldPosition="0">
        <references count="4">
          <reference field="5" count="1">
            <x v="103"/>
          </reference>
          <reference field="8" count="1" selected="0">
            <x v="375"/>
          </reference>
          <reference field="11" count="1" selected="0">
            <x v="3"/>
          </reference>
          <reference field="13" count="1" selected="0">
            <x v="100"/>
          </reference>
        </references>
      </pivotArea>
    </format>
    <format dxfId="2291">
      <pivotArea dataOnly="0" labelOnly="1" outline="0" fieldPosition="0">
        <references count="4">
          <reference field="5" count="1">
            <x v="103"/>
          </reference>
          <reference field="8" count="1" selected="0">
            <x v="375"/>
          </reference>
          <reference field="11" count="1" selected="0">
            <x v="3"/>
          </reference>
          <reference field="13" count="1" selected="0">
            <x v="134"/>
          </reference>
        </references>
      </pivotArea>
    </format>
    <format dxfId="2290">
      <pivotArea dataOnly="0" labelOnly="1" outline="0" fieldPosition="0">
        <references count="4">
          <reference field="5" count="1">
            <x v="103"/>
          </reference>
          <reference field="8" count="1" selected="0">
            <x v="375"/>
          </reference>
          <reference field="11" count="1" selected="0">
            <x v="3"/>
          </reference>
          <reference field="13" count="1" selected="0">
            <x v="240"/>
          </reference>
        </references>
      </pivotArea>
    </format>
    <format dxfId="2289">
      <pivotArea dataOnly="0" labelOnly="1" outline="0" fieldPosition="0">
        <references count="4">
          <reference field="5" count="1">
            <x v="103"/>
          </reference>
          <reference field="8" count="1" selected="0">
            <x v="375"/>
          </reference>
          <reference field="11" count="1" selected="0">
            <x v="3"/>
          </reference>
          <reference field="13" count="1" selected="0">
            <x v="242"/>
          </reference>
        </references>
      </pivotArea>
    </format>
    <format dxfId="2288">
      <pivotArea dataOnly="0" labelOnly="1" outline="0" fieldPosition="0">
        <references count="4">
          <reference field="5" count="1">
            <x v="103"/>
          </reference>
          <reference field="8" count="1" selected="0">
            <x v="375"/>
          </reference>
          <reference field="11" count="1" selected="0">
            <x v="3"/>
          </reference>
          <reference field="13" count="1" selected="0">
            <x v="243"/>
          </reference>
        </references>
      </pivotArea>
    </format>
    <format dxfId="2287">
      <pivotArea dataOnly="0" labelOnly="1" outline="0" fieldPosition="0">
        <references count="4">
          <reference field="5" count="1">
            <x v="103"/>
          </reference>
          <reference field="8" count="1" selected="0">
            <x v="375"/>
          </reference>
          <reference field="11" count="1" selected="0">
            <x v="3"/>
          </reference>
          <reference field="13" count="1" selected="0">
            <x v="251"/>
          </reference>
        </references>
      </pivotArea>
    </format>
    <format dxfId="2286">
      <pivotArea dataOnly="0" labelOnly="1" outline="0" fieldPosition="0">
        <references count="4">
          <reference field="5" count="1">
            <x v="103"/>
          </reference>
          <reference field="8" count="1" selected="0">
            <x v="375"/>
          </reference>
          <reference field="11" count="1" selected="0">
            <x v="3"/>
          </reference>
          <reference field="13" count="1" selected="0">
            <x v="287"/>
          </reference>
        </references>
      </pivotArea>
    </format>
    <format dxfId="2285">
      <pivotArea dataOnly="0" labelOnly="1" outline="0" fieldPosition="0">
        <references count="4">
          <reference field="5" count="1">
            <x v="103"/>
          </reference>
          <reference field="8" count="1" selected="0">
            <x v="375"/>
          </reference>
          <reference field="11" count="1" selected="0">
            <x v="3"/>
          </reference>
          <reference field="13" count="1" selected="0">
            <x v="305"/>
          </reference>
        </references>
      </pivotArea>
    </format>
    <format dxfId="2284">
      <pivotArea dataOnly="0" labelOnly="1" outline="0" fieldPosition="0">
        <references count="4">
          <reference field="5" count="1">
            <x v="103"/>
          </reference>
          <reference field="8" count="1" selected="0">
            <x v="375"/>
          </reference>
          <reference field="11" count="1" selected="0">
            <x v="3"/>
          </reference>
          <reference field="13" count="1" selected="0">
            <x v="316"/>
          </reference>
        </references>
      </pivotArea>
    </format>
    <format dxfId="2283">
      <pivotArea dataOnly="0" labelOnly="1" outline="0" fieldPosition="0">
        <references count="4">
          <reference field="5" count="1">
            <x v="103"/>
          </reference>
          <reference field="8" count="1" selected="0">
            <x v="375"/>
          </reference>
          <reference field="11" count="1" selected="0">
            <x v="4"/>
          </reference>
          <reference field="13" count="1" selected="0">
            <x v="133"/>
          </reference>
        </references>
      </pivotArea>
    </format>
    <format dxfId="2282">
      <pivotArea dataOnly="0" labelOnly="1" outline="0" fieldPosition="0">
        <references count="4">
          <reference field="5" count="1">
            <x v="103"/>
          </reference>
          <reference field="8" count="1" selected="0">
            <x v="375"/>
          </reference>
          <reference field="11" count="1" selected="0">
            <x v="5"/>
          </reference>
          <reference field="13" count="1" selected="0">
            <x v="77"/>
          </reference>
        </references>
      </pivotArea>
    </format>
    <format dxfId="2281">
      <pivotArea dataOnly="0" labelOnly="1" outline="0" fieldPosition="0">
        <references count="4">
          <reference field="5" count="1">
            <x v="20"/>
          </reference>
          <reference field="8" count="1" selected="0">
            <x v="375"/>
          </reference>
          <reference field="11" count="1" selected="0">
            <x v="5"/>
          </reference>
          <reference field="13" count="1" selected="0">
            <x v="81"/>
          </reference>
        </references>
      </pivotArea>
    </format>
    <format dxfId="2280">
      <pivotArea dataOnly="0" labelOnly="1" outline="0" fieldPosition="0">
        <references count="4">
          <reference field="5" count="1">
            <x v="103"/>
          </reference>
          <reference field="8" count="1" selected="0">
            <x v="375"/>
          </reference>
          <reference field="11" count="1" selected="0">
            <x v="5"/>
          </reference>
          <reference field="13" count="1" selected="0">
            <x v="96"/>
          </reference>
        </references>
      </pivotArea>
    </format>
    <format dxfId="2279">
      <pivotArea dataOnly="0" labelOnly="1" outline="0" fieldPosition="0">
        <references count="4">
          <reference field="5" count="1">
            <x v="20"/>
          </reference>
          <reference field="8" count="1" selected="0">
            <x v="375"/>
          </reference>
          <reference field="11" count="1" selected="0">
            <x v="5"/>
          </reference>
          <reference field="13" count="1" selected="0">
            <x v="255"/>
          </reference>
        </references>
      </pivotArea>
    </format>
    <format dxfId="2278">
      <pivotArea dataOnly="0" labelOnly="1" outline="0" fieldPosition="0">
        <references count="4">
          <reference field="5" count="1">
            <x v="103"/>
          </reference>
          <reference field="8" count="1" selected="0">
            <x v="375"/>
          </reference>
          <reference field="11" count="1" selected="0">
            <x v="7"/>
          </reference>
          <reference field="13" count="1" selected="0">
            <x v="93"/>
          </reference>
        </references>
      </pivotArea>
    </format>
    <format dxfId="2277">
      <pivotArea dataOnly="0" labelOnly="1" outline="0" fieldPosition="0">
        <references count="4">
          <reference field="5" count="1">
            <x v="103"/>
          </reference>
          <reference field="8" count="1" selected="0">
            <x v="375"/>
          </reference>
          <reference field="11" count="1" selected="0">
            <x v="7"/>
          </reference>
          <reference field="13" count="1" selected="0">
            <x v="129"/>
          </reference>
        </references>
      </pivotArea>
    </format>
    <format dxfId="2276">
      <pivotArea dataOnly="0" labelOnly="1" outline="0" fieldPosition="0">
        <references count="4">
          <reference field="5" count="1">
            <x v="86"/>
          </reference>
          <reference field="8" count="1" selected="0">
            <x v="376"/>
          </reference>
          <reference field="11" count="1" selected="0">
            <x v="5"/>
          </reference>
          <reference field="13" count="1" selected="0">
            <x v="77"/>
          </reference>
        </references>
      </pivotArea>
    </format>
    <format dxfId="2275">
      <pivotArea dataOnly="0" labelOnly="1" outline="0" fieldPosition="0">
        <references count="4">
          <reference field="5" count="2">
            <x v="2"/>
            <x v="86"/>
          </reference>
          <reference field="8" count="1" selected="0">
            <x v="376"/>
          </reference>
          <reference field="11" count="1" selected="0">
            <x v="5"/>
          </reference>
          <reference field="13" count="1" selected="0">
            <x v="268"/>
          </reference>
        </references>
      </pivotArea>
    </format>
    <format dxfId="2274">
      <pivotArea dataOnly="0" labelOnly="1" outline="0" fieldPosition="0">
        <references count="4">
          <reference field="5" count="1">
            <x v="88"/>
          </reference>
          <reference field="8" count="1" selected="0">
            <x v="377"/>
          </reference>
          <reference field="11" count="1" selected="0">
            <x v="5"/>
          </reference>
          <reference field="13" count="1" selected="0">
            <x v="77"/>
          </reference>
        </references>
      </pivotArea>
    </format>
    <format dxfId="2273">
      <pivotArea dataOnly="0" labelOnly="1" outline="0" fieldPosition="0">
        <references count="4">
          <reference field="5" count="1">
            <x v="2"/>
          </reference>
          <reference field="8" count="1" selected="0">
            <x v="377"/>
          </reference>
          <reference field="11" count="1" selected="0">
            <x v="5"/>
          </reference>
          <reference field="13" count="1" selected="0">
            <x v="268"/>
          </reference>
        </references>
      </pivotArea>
    </format>
    <format dxfId="2272">
      <pivotArea dataOnly="0" labelOnly="1" outline="0" fieldPosition="0">
        <references count="4">
          <reference field="5" count="1">
            <x v="32"/>
          </reference>
          <reference field="8" count="1" selected="0">
            <x v="378"/>
          </reference>
          <reference field="11" count="1" selected="0">
            <x v="1"/>
          </reference>
          <reference field="13" count="1" selected="0">
            <x v="286"/>
          </reference>
        </references>
      </pivotArea>
    </format>
    <format dxfId="2271">
      <pivotArea dataOnly="0" labelOnly="1" outline="0" fieldPosition="0">
        <references count="4">
          <reference field="5" count="4">
            <x v="16"/>
            <x v="34"/>
            <x v="51"/>
            <x v="101"/>
          </reference>
          <reference field="8" count="1" selected="0">
            <x v="378"/>
          </reference>
          <reference field="11" count="1" selected="0">
            <x v="3"/>
          </reference>
          <reference field="13" count="1" selected="0">
            <x v="7"/>
          </reference>
        </references>
      </pivotArea>
    </format>
    <format dxfId="2270">
      <pivotArea dataOnly="0" labelOnly="1" outline="0" fieldPosition="0">
        <references count="4">
          <reference field="5" count="2">
            <x v="70"/>
            <x v="72"/>
          </reference>
          <reference field="8" count="1" selected="0">
            <x v="378"/>
          </reference>
          <reference field="11" count="1" selected="0">
            <x v="3"/>
          </reference>
          <reference field="13" count="1" selected="0">
            <x v="32"/>
          </reference>
        </references>
      </pivotArea>
    </format>
    <format dxfId="2269">
      <pivotArea dataOnly="0" labelOnly="1" outline="0" fieldPosition="0">
        <references count="4">
          <reference field="5" count="2">
            <x v="34"/>
            <x v="51"/>
          </reference>
          <reference field="8" count="1" selected="0">
            <x v="378"/>
          </reference>
          <reference field="11" count="1" selected="0">
            <x v="3"/>
          </reference>
          <reference field="13" count="1" selected="0">
            <x v="69"/>
          </reference>
        </references>
      </pivotArea>
    </format>
    <format dxfId="2268">
      <pivotArea dataOnly="0" labelOnly="1" outline="0" fieldPosition="0">
        <references count="4">
          <reference field="5" count="1">
            <x v="101"/>
          </reference>
          <reference field="8" count="1" selected="0">
            <x v="378"/>
          </reference>
          <reference field="11" count="1" selected="0">
            <x v="3"/>
          </reference>
          <reference field="13" count="1" selected="0">
            <x v="240"/>
          </reference>
        </references>
      </pivotArea>
    </format>
    <format dxfId="2267">
      <pivotArea dataOnly="0" labelOnly="1" outline="0" fieldPosition="0">
        <references count="4">
          <reference field="5" count="6">
            <x v="34"/>
            <x v="64"/>
            <x v="72"/>
            <x v="92"/>
            <x v="93"/>
            <x v="112"/>
          </reference>
          <reference field="8" count="1" selected="0">
            <x v="378"/>
          </reference>
          <reference field="11" count="1" selected="0">
            <x v="3"/>
          </reference>
          <reference field="13" count="1" selected="0">
            <x v="287"/>
          </reference>
        </references>
      </pivotArea>
    </format>
    <format dxfId="2266">
      <pivotArea dataOnly="0" labelOnly="1" outline="0" fieldPosition="0">
        <references count="4">
          <reference field="5" count="1">
            <x v="64"/>
          </reference>
          <reference field="8" count="1" selected="0">
            <x v="378"/>
          </reference>
          <reference field="11" count="1" selected="0">
            <x v="7"/>
          </reference>
          <reference field="13" count="1" selected="0">
            <x v="8"/>
          </reference>
        </references>
      </pivotArea>
    </format>
    <format dxfId="2265">
      <pivotArea dataOnly="0" labelOnly="1" outline="0" fieldPosition="0">
        <references count="4">
          <reference field="5" count="1">
            <x v="101"/>
          </reference>
          <reference field="8" count="1" selected="0">
            <x v="378"/>
          </reference>
          <reference field="11" count="1" selected="0">
            <x v="7"/>
          </reference>
          <reference field="13" count="1" selected="0">
            <x v="93"/>
          </reference>
        </references>
      </pivotArea>
    </format>
    <format dxfId="2264">
      <pivotArea dataOnly="0" labelOnly="1" outline="0" fieldPosition="0">
        <references count="4">
          <reference field="5" count="1">
            <x v="64"/>
          </reference>
          <reference field="8" count="1" selected="0">
            <x v="379"/>
          </reference>
          <reference field="11" count="1" selected="0">
            <x v="1"/>
          </reference>
          <reference field="13" count="1" selected="0">
            <x v="169"/>
          </reference>
        </references>
      </pivotArea>
    </format>
    <format dxfId="2263">
      <pivotArea dataOnly="0" labelOnly="1" outline="0" fieldPosition="0">
        <references count="4">
          <reference field="5" count="1">
            <x v="64"/>
          </reference>
          <reference field="8" count="1" selected="0">
            <x v="379"/>
          </reference>
          <reference field="11" count="1" selected="0">
            <x v="1"/>
          </reference>
          <reference field="13" count="1" selected="0">
            <x v="171"/>
          </reference>
        </references>
      </pivotArea>
    </format>
    <format dxfId="2262">
      <pivotArea dataOnly="0" labelOnly="1" outline="0" fieldPosition="0">
        <references count="4">
          <reference field="5" count="1">
            <x v="0"/>
          </reference>
          <reference field="8" count="1" selected="0">
            <x v="379"/>
          </reference>
          <reference field="11" count="1" selected="0">
            <x v="3"/>
          </reference>
          <reference field="13" count="1" selected="0">
            <x v="267"/>
          </reference>
        </references>
      </pivotArea>
    </format>
    <format dxfId="2261">
      <pivotArea dataOnly="0" labelOnly="1" outline="0" fieldPosition="0">
        <references count="4">
          <reference field="5" count="1">
            <x v="64"/>
          </reference>
          <reference field="8" count="1" selected="0">
            <x v="379"/>
          </reference>
          <reference field="11" count="1" selected="0">
            <x v="7"/>
          </reference>
          <reference field="13" count="1" selected="0">
            <x v="129"/>
          </reference>
        </references>
      </pivotArea>
    </format>
    <format dxfId="2260">
      <pivotArea dataOnly="0" labelOnly="1" outline="0" fieldPosition="0">
        <references count="4">
          <reference field="5" count="1">
            <x v="62"/>
          </reference>
          <reference field="8" count="1" selected="0">
            <x v="380"/>
          </reference>
          <reference field="11" count="1" selected="0">
            <x v="4"/>
          </reference>
          <reference field="13" count="1" selected="0">
            <x v="158"/>
          </reference>
        </references>
      </pivotArea>
    </format>
    <format dxfId="2259">
      <pivotArea dataOnly="0" labelOnly="1" outline="0" fieldPosition="0">
        <references count="4">
          <reference field="5" count="1">
            <x v="115"/>
          </reference>
          <reference field="8" count="1" selected="0">
            <x v="380"/>
          </reference>
          <reference field="11" count="1" selected="0">
            <x v="5"/>
          </reference>
          <reference field="13" count="1" selected="0">
            <x v="229"/>
          </reference>
        </references>
      </pivotArea>
    </format>
    <format dxfId="2258">
      <pivotArea dataOnly="0" labelOnly="1" outline="0" fieldPosition="0">
        <references count="4">
          <reference field="5" count="1">
            <x v="68"/>
          </reference>
          <reference field="8" count="1" selected="0">
            <x v="381"/>
          </reference>
          <reference field="11" count="1" selected="0">
            <x v="2"/>
          </reference>
          <reference field="13" count="1" selected="0">
            <x v="55"/>
          </reference>
        </references>
      </pivotArea>
    </format>
    <format dxfId="2257">
      <pivotArea dataOnly="0" labelOnly="1" outline="0" fieldPosition="0">
        <references count="4">
          <reference field="5" count="2">
            <x v="116"/>
            <x v="117"/>
          </reference>
          <reference field="8" count="1" selected="0">
            <x v="381"/>
          </reference>
          <reference field="11" count="1" selected="0">
            <x v="3"/>
          </reference>
          <reference field="13" count="1" selected="0">
            <x v="29"/>
          </reference>
        </references>
      </pivotArea>
    </format>
    <format dxfId="2256">
      <pivotArea dataOnly="0" labelOnly="1" outline="0" fieldPosition="0">
        <references count="4">
          <reference field="5" count="1">
            <x v="117"/>
          </reference>
          <reference field="8" count="1" selected="0">
            <x v="381"/>
          </reference>
          <reference field="11" count="1" selected="0">
            <x v="3"/>
          </reference>
          <reference field="13" count="1" selected="0">
            <x v="218"/>
          </reference>
        </references>
      </pivotArea>
    </format>
    <format dxfId="2255">
      <pivotArea dataOnly="0" labelOnly="1" outline="0" fieldPosition="0">
        <references count="4">
          <reference field="5" count="1">
            <x v="68"/>
          </reference>
          <reference field="8" count="1" selected="0">
            <x v="381"/>
          </reference>
          <reference field="11" count="1" selected="0">
            <x v="3"/>
          </reference>
          <reference field="13" count="1" selected="0">
            <x v="240"/>
          </reference>
        </references>
      </pivotArea>
    </format>
    <format dxfId="2254">
      <pivotArea dataOnly="0" labelOnly="1" outline="0" fieldPosition="0">
        <references count="4">
          <reference field="5" count="1">
            <x v="68"/>
          </reference>
          <reference field="8" count="1" selected="0">
            <x v="381"/>
          </reference>
          <reference field="11" count="1" selected="0">
            <x v="3"/>
          </reference>
          <reference field="13" count="1" selected="0">
            <x v="243"/>
          </reference>
        </references>
      </pivotArea>
    </format>
    <format dxfId="2253">
      <pivotArea dataOnly="0" labelOnly="1" outline="0" fieldPosition="0">
        <references count="4">
          <reference field="5" count="1">
            <x v="117"/>
          </reference>
          <reference field="8" count="1" selected="0">
            <x v="381"/>
          </reference>
          <reference field="11" count="1" selected="0">
            <x v="3"/>
          </reference>
          <reference field="13" count="1" selected="0">
            <x v="314"/>
          </reference>
        </references>
      </pivotArea>
    </format>
    <format dxfId="2252">
      <pivotArea dataOnly="0" labelOnly="1" outline="0" fieldPosition="0">
        <references count="4">
          <reference field="5" count="1">
            <x v="50"/>
          </reference>
          <reference field="8" count="1" selected="0">
            <x v="382"/>
          </reference>
          <reference field="11" count="1" selected="0">
            <x v="3"/>
          </reference>
          <reference field="13" count="1" selected="0">
            <x v="7"/>
          </reference>
        </references>
      </pivotArea>
    </format>
    <format dxfId="2251">
      <pivotArea dataOnly="0" labelOnly="1" outline="0" fieldPosition="0">
        <references count="4">
          <reference field="5" count="1">
            <x v="50"/>
          </reference>
          <reference field="8" count="1" selected="0">
            <x v="382"/>
          </reference>
          <reference field="11" count="1" selected="0">
            <x v="3"/>
          </reference>
          <reference field="13" count="1" selected="0">
            <x v="240"/>
          </reference>
        </references>
      </pivotArea>
    </format>
    <format dxfId="2250">
      <pivotArea dataOnly="0" labelOnly="1" outline="0" fieldPosition="0">
        <references count="4">
          <reference field="5" count="1">
            <x v="50"/>
          </reference>
          <reference field="8" count="1" selected="0">
            <x v="382"/>
          </reference>
          <reference field="11" count="1" selected="0">
            <x v="3"/>
          </reference>
          <reference field="13" count="1" selected="0">
            <x v="242"/>
          </reference>
        </references>
      </pivotArea>
    </format>
    <format dxfId="2249">
      <pivotArea dataOnly="0" labelOnly="1" outline="0" fieldPosition="0">
        <references count="4">
          <reference field="5" count="1">
            <x v="50"/>
          </reference>
          <reference field="8" count="1" selected="0">
            <x v="382"/>
          </reference>
          <reference field="11" count="1" selected="0">
            <x v="3"/>
          </reference>
          <reference field="13" count="1" selected="0">
            <x v="243"/>
          </reference>
        </references>
      </pivotArea>
    </format>
    <format dxfId="2248">
      <pivotArea dataOnly="0" labelOnly="1" outline="0" fieldPosition="0">
        <references count="4">
          <reference field="5" count="1">
            <x v="50"/>
          </reference>
          <reference field="8" count="1" selected="0">
            <x v="382"/>
          </reference>
          <reference field="11" count="1" selected="0">
            <x v="3"/>
          </reference>
          <reference field="13" count="1" selected="0">
            <x v="251"/>
          </reference>
        </references>
      </pivotArea>
    </format>
    <format dxfId="2247">
      <pivotArea dataOnly="0" labelOnly="1" outline="0" fieldPosition="0">
        <references count="4">
          <reference field="5" count="2">
            <x v="20"/>
            <x v="116"/>
          </reference>
          <reference field="8" count="1" selected="0">
            <x v="382"/>
          </reference>
          <reference field="11" count="1" selected="0">
            <x v="5"/>
          </reference>
          <reference field="13" count="1" selected="0">
            <x v="81"/>
          </reference>
        </references>
      </pivotArea>
    </format>
    <format dxfId="2246">
      <pivotArea dataOnly="0" labelOnly="1" outline="0" fieldPosition="0">
        <references count="4">
          <reference field="5" count="1">
            <x v="91"/>
          </reference>
          <reference field="8" count="1" selected="0">
            <x v="383"/>
          </reference>
          <reference field="11" count="1" selected="0">
            <x v="3"/>
          </reference>
          <reference field="13" count="1" selected="0">
            <x v="89"/>
          </reference>
        </references>
      </pivotArea>
    </format>
    <format dxfId="2245">
      <pivotArea dataOnly="0" labelOnly="1" outline="0" fieldPosition="0">
        <references count="4">
          <reference field="5" count="1">
            <x v="68"/>
          </reference>
          <reference field="8" count="1" selected="0">
            <x v="383"/>
          </reference>
          <reference field="11" count="1" selected="0">
            <x v="3"/>
          </reference>
          <reference field="13" count="1" selected="0">
            <x v="240"/>
          </reference>
        </references>
      </pivotArea>
    </format>
    <format dxfId="2244">
      <pivotArea dataOnly="0" labelOnly="1" outline="0" fieldPosition="0">
        <references count="4">
          <reference field="5" count="4">
            <x v="3"/>
            <x v="10"/>
            <x v="100"/>
            <x v="101"/>
          </reference>
          <reference field="8" count="1" selected="0">
            <x v="383"/>
          </reference>
          <reference field="11" count="1" selected="0">
            <x v="3"/>
          </reference>
          <reference field="13" count="1" selected="0">
            <x v="242"/>
          </reference>
        </references>
      </pivotArea>
    </format>
    <format dxfId="2243">
      <pivotArea dataOnly="0" labelOnly="1" outline="0" fieldPosition="0">
        <references count="4">
          <reference field="5" count="2">
            <x v="91"/>
            <x v="101"/>
          </reference>
          <reference field="8" count="1" selected="0">
            <x v="383"/>
          </reference>
          <reference field="11" count="1" selected="0">
            <x v="3"/>
          </reference>
          <reference field="13" count="1" selected="0">
            <x v="243"/>
          </reference>
        </references>
      </pivotArea>
    </format>
    <format dxfId="2242">
      <pivotArea dataOnly="0" labelOnly="1" outline="0" fieldPosition="0">
        <references count="4">
          <reference field="5" count="2">
            <x v="60"/>
            <x v="78"/>
          </reference>
          <reference field="8" count="1" selected="0">
            <x v="383"/>
          </reference>
          <reference field="11" count="1" selected="0">
            <x v="3"/>
          </reference>
          <reference field="13" count="1" selected="0">
            <x v="287"/>
          </reference>
        </references>
      </pivotArea>
    </format>
    <format dxfId="2241">
      <pivotArea dataOnly="0" labelOnly="1" outline="0" fieldPosition="0">
        <references count="4">
          <reference field="5" count="1">
            <x v="88"/>
          </reference>
          <reference field="8" count="1" selected="0">
            <x v="383"/>
          </reference>
          <reference field="11" count="1" selected="0">
            <x v="5"/>
          </reference>
          <reference field="13" count="1" selected="0">
            <x v="77"/>
          </reference>
        </references>
      </pivotArea>
    </format>
    <format dxfId="2240">
      <pivotArea dataOnly="0" labelOnly="1" outline="0" fieldPosition="0">
        <references count="4">
          <reference field="5" count="3">
            <x v="60"/>
            <x v="88"/>
            <x v="116"/>
          </reference>
          <reference field="8" count="1" selected="0">
            <x v="383"/>
          </reference>
          <reference field="11" count="1" selected="0">
            <x v="5"/>
          </reference>
          <reference field="13" count="1" selected="0">
            <x v="81"/>
          </reference>
        </references>
      </pivotArea>
    </format>
    <format dxfId="2239">
      <pivotArea dataOnly="0" labelOnly="1" outline="0" fieldPosition="0">
        <references count="4">
          <reference field="5" count="50">
            <x v="3"/>
            <x v="4"/>
            <x v="6"/>
            <x v="8"/>
            <x v="10"/>
            <x v="11"/>
            <x v="12"/>
            <x v="13"/>
            <x v="14"/>
            <x v="15"/>
            <x v="16"/>
            <x v="17"/>
            <x v="18"/>
            <x v="19"/>
            <x v="21"/>
            <x v="22"/>
            <x v="23"/>
            <x v="24"/>
            <x v="25"/>
            <x v="27"/>
            <x v="28"/>
            <x v="29"/>
            <x v="30"/>
            <x v="32"/>
            <x v="33"/>
            <x v="34"/>
            <x v="40"/>
            <x v="41"/>
            <x v="42"/>
            <x v="45"/>
            <x v="47"/>
            <x v="48"/>
            <x v="50"/>
            <x v="56"/>
            <x v="60"/>
            <x v="63"/>
            <x v="64"/>
            <x v="65"/>
            <x v="66"/>
            <x v="67"/>
            <x v="68"/>
            <x v="69"/>
            <x v="70"/>
            <x v="71"/>
            <x v="72"/>
            <x v="73"/>
            <x v="74"/>
            <x v="76"/>
            <x v="78"/>
            <x v="79"/>
          </reference>
          <reference field="8" count="1" selected="0">
            <x v="383"/>
          </reference>
          <reference field="11" count="1" selected="0">
            <x v="5"/>
          </reference>
          <reference field="13" count="1" selected="0">
            <x v="223"/>
          </reference>
        </references>
      </pivotArea>
    </format>
    <format dxfId="2238">
      <pivotArea dataOnly="0" labelOnly="1" outline="0" fieldPosition="0">
        <references count="4">
          <reference field="5" count="22">
            <x v="80"/>
            <x v="81"/>
            <x v="82"/>
            <x v="84"/>
            <x v="85"/>
            <x v="86"/>
            <x v="88"/>
            <x v="91"/>
            <x v="92"/>
            <x v="93"/>
            <x v="94"/>
            <x v="100"/>
            <x v="101"/>
            <x v="104"/>
            <x v="105"/>
            <x v="106"/>
            <x v="107"/>
            <x v="108"/>
            <x v="110"/>
            <x v="111"/>
            <x v="114"/>
            <x v="115"/>
          </reference>
          <reference field="8" count="1" selected="0">
            <x v="383"/>
          </reference>
          <reference field="11" count="1" selected="0">
            <x v="5"/>
          </reference>
          <reference field="13" count="1" selected="0">
            <x v="223"/>
          </reference>
        </references>
      </pivotArea>
    </format>
    <format dxfId="2237">
      <pivotArea dataOnly="0" labelOnly="1" outline="0" fieldPosition="0">
        <references count="4">
          <reference field="5" count="1">
            <x v="78"/>
          </reference>
          <reference field="8" count="1" selected="0">
            <x v="384"/>
          </reference>
          <reference field="11" count="1" selected="0">
            <x v="3"/>
          </reference>
          <reference field="13" count="1" selected="0">
            <x v="240"/>
          </reference>
        </references>
      </pivotArea>
    </format>
    <format dxfId="2236">
      <pivotArea dataOnly="0" labelOnly="1" outline="0" fieldPosition="0">
        <references count="4">
          <reference field="5" count="1">
            <x v="77"/>
          </reference>
          <reference field="8" count="1" selected="0">
            <x v="384"/>
          </reference>
          <reference field="11" count="1" selected="0">
            <x v="3"/>
          </reference>
          <reference field="13" count="1" selected="0">
            <x v="287"/>
          </reference>
        </references>
      </pivotArea>
    </format>
    <format dxfId="2235">
      <pivotArea dataOnly="0" labelOnly="1" outline="0" fieldPosition="0">
        <references count="4">
          <reference field="5" count="1">
            <x v="60"/>
          </reference>
          <reference field="8" count="1" selected="0">
            <x v="384"/>
          </reference>
          <reference field="11" count="1" selected="0">
            <x v="5"/>
          </reference>
          <reference field="13" count="1" selected="0">
            <x v="77"/>
          </reference>
        </references>
      </pivotArea>
    </format>
    <format dxfId="2234">
      <pivotArea dataOnly="0" labelOnly="1" outline="0" fieldPosition="0">
        <references count="4">
          <reference field="5" count="1">
            <x v="116"/>
          </reference>
          <reference field="8" count="1" selected="0">
            <x v="384"/>
          </reference>
          <reference field="11" count="1" selected="0">
            <x v="5"/>
          </reference>
          <reference field="13" count="1" selected="0">
            <x v="81"/>
          </reference>
        </references>
      </pivotArea>
    </format>
    <format dxfId="2233">
      <pivotArea dataOnly="0" labelOnly="1" outline="0" fieldPosition="0">
        <references count="4">
          <reference field="5" count="4">
            <x v="20"/>
            <x v="77"/>
            <x v="115"/>
            <x v="116"/>
          </reference>
          <reference field="8" count="1" selected="0">
            <x v="384"/>
          </reference>
          <reference field="11" count="1" selected="0">
            <x v="5"/>
          </reference>
          <reference field="13" count="1" selected="0">
            <x v="210"/>
          </reference>
        </references>
      </pivotArea>
    </format>
    <format dxfId="2232">
      <pivotArea dataOnly="0" labelOnly="1" outline="0" fieldPosition="0">
        <references count="4">
          <reference field="5" count="1">
            <x v="47"/>
          </reference>
          <reference field="8" count="1" selected="0">
            <x v="385"/>
          </reference>
          <reference field="11" count="1" selected="0">
            <x v="0"/>
          </reference>
          <reference field="13" count="1" selected="0">
            <x v="192"/>
          </reference>
        </references>
      </pivotArea>
    </format>
    <format dxfId="2231">
      <pivotArea dataOnly="0" labelOnly="1" outline="0" fieldPosition="0">
        <references count="4">
          <reference field="5" count="1">
            <x v="108"/>
          </reference>
          <reference field="8" count="1" selected="0">
            <x v="385"/>
          </reference>
          <reference field="11" count="1" selected="0">
            <x v="1"/>
          </reference>
          <reference field="13" count="1" selected="0">
            <x v="125"/>
          </reference>
        </references>
      </pivotArea>
    </format>
    <format dxfId="2230">
      <pivotArea dataOnly="0" labelOnly="1" outline="0" fieldPosition="0">
        <references count="4">
          <reference field="5" count="1">
            <x v="47"/>
          </reference>
          <reference field="8" count="1" selected="0">
            <x v="386"/>
          </reference>
          <reference field="11" count="1" selected="0">
            <x v="0"/>
          </reference>
          <reference field="13" count="1" selected="0">
            <x v="192"/>
          </reference>
        </references>
      </pivotArea>
    </format>
    <format dxfId="2229">
      <pivotArea dataOnly="0" labelOnly="1" outline="0" fieldPosition="0">
        <references count="4">
          <reference field="5" count="1">
            <x v="108"/>
          </reference>
          <reference field="8" count="1" selected="0">
            <x v="386"/>
          </reference>
          <reference field="11" count="1" selected="0">
            <x v="1"/>
          </reference>
          <reference field="13" count="1" selected="0">
            <x v="125"/>
          </reference>
        </references>
      </pivotArea>
    </format>
    <format dxfId="2228">
      <pivotArea dataOnly="0" labelOnly="1" outline="0" fieldPosition="0">
        <references count="4">
          <reference field="5" count="1">
            <x v="58"/>
          </reference>
          <reference field="8" count="1" selected="0">
            <x v="387"/>
          </reference>
          <reference field="11" count="1" selected="0">
            <x v="1"/>
          </reference>
          <reference field="13" count="1" selected="0">
            <x v="211"/>
          </reference>
        </references>
      </pivotArea>
    </format>
    <format dxfId="2227">
      <pivotArea dataOnly="0" labelOnly="1" outline="0" fieldPosition="0">
        <references count="4">
          <reference field="5" count="1">
            <x v="58"/>
          </reference>
          <reference field="8" count="1" selected="0">
            <x v="387"/>
          </reference>
          <reference field="11" count="1" selected="0">
            <x v="2"/>
          </reference>
          <reference field="13" count="1" selected="0">
            <x v="71"/>
          </reference>
        </references>
      </pivotArea>
    </format>
    <format dxfId="2226">
      <pivotArea dataOnly="0" labelOnly="1" outline="0" fieldPosition="0">
        <references count="4">
          <reference field="5" count="1">
            <x v="58"/>
          </reference>
          <reference field="8" count="1" selected="0">
            <x v="387"/>
          </reference>
          <reference field="11" count="1" selected="0">
            <x v="3"/>
          </reference>
          <reference field="13" count="1" selected="0">
            <x v="57"/>
          </reference>
        </references>
      </pivotArea>
    </format>
    <format dxfId="2225">
      <pivotArea dataOnly="0" labelOnly="1" outline="0" fieldPosition="0">
        <references count="4">
          <reference field="5" count="1">
            <x v="58"/>
          </reference>
          <reference field="8" count="1" selected="0">
            <x v="387"/>
          </reference>
          <reference field="11" count="1" selected="0">
            <x v="3"/>
          </reference>
          <reference field="13" count="1" selected="0">
            <x v="242"/>
          </reference>
        </references>
      </pivotArea>
    </format>
    <format dxfId="2224">
      <pivotArea dataOnly="0" labelOnly="1" outline="0" fieldPosition="0">
        <references count="4">
          <reference field="5" count="1">
            <x v="58"/>
          </reference>
          <reference field="8" count="1" selected="0">
            <x v="387"/>
          </reference>
          <reference field="11" count="1" selected="0">
            <x v="3"/>
          </reference>
          <reference field="13" count="1" selected="0">
            <x v="243"/>
          </reference>
        </references>
      </pivotArea>
    </format>
    <format dxfId="2223">
      <pivotArea dataOnly="0" labelOnly="1" outline="0" fieldPosition="0">
        <references count="4">
          <reference field="5" count="2">
            <x v="20"/>
            <x v="58"/>
          </reference>
          <reference field="8" count="1" selected="0">
            <x v="387"/>
          </reference>
          <reference field="11" count="1" selected="0">
            <x v="5"/>
          </reference>
          <reference field="13" count="1" selected="0">
            <x v="81"/>
          </reference>
        </references>
      </pivotArea>
    </format>
    <format dxfId="2222">
      <pivotArea dataOnly="0" labelOnly="1" outline="0" fieldPosition="0">
        <references count="4">
          <reference field="5" count="1">
            <x v="58"/>
          </reference>
          <reference field="8" count="1" selected="0">
            <x v="387"/>
          </reference>
          <reference field="11" count="1" selected="0">
            <x v="5"/>
          </reference>
          <reference field="13" count="1" selected="0">
            <x v="96"/>
          </reference>
        </references>
      </pivotArea>
    </format>
    <format dxfId="2221">
      <pivotArea dataOnly="0" labelOnly="1" outline="0" fieldPosition="0">
        <references count="4">
          <reference field="5" count="1">
            <x v="64"/>
          </reference>
          <reference field="8" count="1" selected="0">
            <x v="388"/>
          </reference>
          <reference field="11" count="1" selected="0">
            <x v="1"/>
          </reference>
          <reference field="13" count="1" selected="0">
            <x v="286"/>
          </reference>
        </references>
      </pivotArea>
    </format>
    <format dxfId="2220">
      <pivotArea dataOnly="0" labelOnly="1" outline="0" fieldPosition="0">
        <references count="4">
          <reference field="5" count="1">
            <x v="64"/>
          </reference>
          <reference field="8" count="1" selected="0">
            <x v="388"/>
          </reference>
          <reference field="11" count="1" selected="0">
            <x v="3"/>
          </reference>
          <reference field="13" count="1" selected="0">
            <x v="240"/>
          </reference>
        </references>
      </pivotArea>
    </format>
    <format dxfId="2219">
      <pivotArea dataOnly="0" labelOnly="1" outline="0" fieldPosition="0">
        <references count="4">
          <reference field="5" count="1">
            <x v="64"/>
          </reference>
          <reference field="8" count="1" selected="0">
            <x v="388"/>
          </reference>
          <reference field="11" count="1" selected="0">
            <x v="3"/>
          </reference>
          <reference field="13" count="1" selected="0">
            <x v="242"/>
          </reference>
        </references>
      </pivotArea>
    </format>
    <format dxfId="2218">
      <pivotArea dataOnly="0" labelOnly="1" outline="0" fieldPosition="0">
        <references count="4">
          <reference field="5" count="1">
            <x v="20"/>
          </reference>
          <reference field="8" count="1" selected="0">
            <x v="388"/>
          </reference>
          <reference field="11" count="1" selected="0">
            <x v="5"/>
          </reference>
          <reference field="13" count="1" selected="0">
            <x v="255"/>
          </reference>
        </references>
      </pivotArea>
    </format>
    <format dxfId="2217">
      <pivotArea dataOnly="0" labelOnly="1" outline="0" fieldPosition="0">
        <references count="4">
          <reference field="5" count="1">
            <x v="47"/>
          </reference>
          <reference field="8" count="1" selected="0">
            <x v="389"/>
          </reference>
          <reference field="11" count="1" selected="0">
            <x v="0"/>
          </reference>
          <reference field="13" count="1" selected="0">
            <x v="91"/>
          </reference>
        </references>
      </pivotArea>
    </format>
    <format dxfId="2216">
      <pivotArea dataOnly="0" labelOnly="1" outline="0" fieldPosition="0">
        <references count="4">
          <reference field="5" count="1">
            <x v="47"/>
          </reference>
          <reference field="8" count="1" selected="0">
            <x v="389"/>
          </reference>
          <reference field="11" count="1" selected="0">
            <x v="0"/>
          </reference>
          <reference field="13" count="1" selected="0">
            <x v="162"/>
          </reference>
        </references>
      </pivotArea>
    </format>
    <format dxfId="2215">
      <pivotArea dataOnly="0" labelOnly="1" outline="0" fieldPosition="0">
        <references count="4">
          <reference field="5" count="1">
            <x v="78"/>
          </reference>
          <reference field="8" count="1" selected="0">
            <x v="389"/>
          </reference>
          <reference field="11" count="1" selected="0">
            <x v="3"/>
          </reference>
          <reference field="13" count="1" selected="0">
            <x v="242"/>
          </reference>
        </references>
      </pivotArea>
    </format>
    <format dxfId="2214">
      <pivotArea dataOnly="0" labelOnly="1" outline="0" fieldPosition="0">
        <references count="4">
          <reference field="5" count="2">
            <x v="20"/>
            <x v="116"/>
          </reference>
          <reference field="8" count="1" selected="0">
            <x v="389"/>
          </reference>
          <reference field="11" count="1" selected="0">
            <x v="5"/>
          </reference>
          <reference field="13" count="1" selected="0">
            <x v="77"/>
          </reference>
        </references>
      </pivotArea>
    </format>
    <format dxfId="2213">
      <pivotArea dataOnly="0" labelOnly="1" outline="0" fieldPosition="0">
        <references count="4">
          <reference field="5" count="1">
            <x v="116"/>
          </reference>
          <reference field="8" count="1" selected="0">
            <x v="389"/>
          </reference>
          <reference field="11" count="1" selected="0">
            <x v="5"/>
          </reference>
          <reference field="13" count="1" selected="0">
            <x v="81"/>
          </reference>
        </references>
      </pivotArea>
    </format>
    <format dxfId="2212">
      <pivotArea dataOnly="0" labelOnly="1" outline="0" fieldPosition="0">
        <references count="4">
          <reference field="5" count="1">
            <x v="38"/>
          </reference>
          <reference field="8" count="1" selected="0">
            <x v="389"/>
          </reference>
          <reference field="11" count="1" selected="0">
            <x v="5"/>
          </reference>
          <reference field="13" count="1" selected="0">
            <x v="140"/>
          </reference>
        </references>
      </pivotArea>
    </format>
    <format dxfId="2211">
      <pivotArea dataOnly="0" labelOnly="1" outline="0" fieldPosition="0">
        <references count="4">
          <reference field="5" count="1">
            <x v="31"/>
          </reference>
          <reference field="8" count="1" selected="0">
            <x v="390"/>
          </reference>
          <reference field="11" count="1" selected="0">
            <x v="1"/>
          </reference>
          <reference field="13" count="1" selected="0">
            <x v="0"/>
          </reference>
        </references>
      </pivotArea>
    </format>
    <format dxfId="2210">
      <pivotArea dataOnly="0" labelOnly="1" outline="0" fieldPosition="0">
        <references count="4">
          <reference field="5" count="1">
            <x v="31"/>
          </reference>
          <reference field="8" count="1" selected="0">
            <x v="390"/>
          </reference>
          <reference field="11" count="1" selected="0">
            <x v="1"/>
          </reference>
          <reference field="13" count="1" selected="0">
            <x v="42"/>
          </reference>
        </references>
      </pivotArea>
    </format>
    <format dxfId="2209">
      <pivotArea dataOnly="0" labelOnly="1" outline="0" fieldPosition="0">
        <references count="4">
          <reference field="5" count="1">
            <x v="31"/>
          </reference>
          <reference field="8" count="1" selected="0">
            <x v="390"/>
          </reference>
          <reference field="11" count="1" selected="0">
            <x v="1"/>
          </reference>
          <reference field="13" count="1" selected="0">
            <x v="127"/>
          </reference>
        </references>
      </pivotArea>
    </format>
    <format dxfId="2208">
      <pivotArea dataOnly="0" labelOnly="1" outline="0" fieldPosition="0">
        <references count="4">
          <reference field="5" count="1">
            <x v="31"/>
          </reference>
          <reference field="8" count="1" selected="0">
            <x v="390"/>
          </reference>
          <reference field="11" count="1" selected="0">
            <x v="1"/>
          </reference>
          <reference field="13" count="1" selected="0">
            <x v="219"/>
          </reference>
        </references>
      </pivotArea>
    </format>
    <format dxfId="2207">
      <pivotArea dataOnly="0" labelOnly="1" outline="0" fieldPosition="0">
        <references count="4">
          <reference field="5" count="1">
            <x v="31"/>
          </reference>
          <reference field="8" count="1" selected="0">
            <x v="390"/>
          </reference>
          <reference field="11" count="1" selected="0">
            <x v="1"/>
          </reference>
          <reference field="13" count="1" selected="0">
            <x v="225"/>
          </reference>
        </references>
      </pivotArea>
    </format>
    <format dxfId="2206">
      <pivotArea dataOnly="0" labelOnly="1" outline="0" fieldPosition="0">
        <references count="4">
          <reference field="5" count="1">
            <x v="31"/>
          </reference>
          <reference field="8" count="1" selected="0">
            <x v="390"/>
          </reference>
          <reference field="11" count="1" selected="0">
            <x v="3"/>
          </reference>
          <reference field="13" count="1" selected="0">
            <x v="17"/>
          </reference>
        </references>
      </pivotArea>
    </format>
    <format dxfId="2205">
      <pivotArea dataOnly="0" labelOnly="1" outline="0" fieldPosition="0">
        <references count="4">
          <reference field="5" count="1">
            <x v="31"/>
          </reference>
          <reference field="8" count="1" selected="0">
            <x v="390"/>
          </reference>
          <reference field="11" count="1" selected="0">
            <x v="3"/>
          </reference>
          <reference field="13" count="1" selected="0">
            <x v="32"/>
          </reference>
        </references>
      </pivotArea>
    </format>
    <format dxfId="2204">
      <pivotArea dataOnly="0" labelOnly="1" outline="0" fieldPosition="0">
        <references count="4">
          <reference field="5" count="1">
            <x v="31"/>
          </reference>
          <reference field="8" count="1" selected="0">
            <x v="390"/>
          </reference>
          <reference field="11" count="1" selected="0">
            <x v="3"/>
          </reference>
          <reference field="13" count="1" selected="0">
            <x v="240"/>
          </reference>
        </references>
      </pivotArea>
    </format>
    <format dxfId="2203">
      <pivotArea dataOnly="0" labelOnly="1" outline="0" fieldPosition="0">
        <references count="4">
          <reference field="5" count="1">
            <x v="31"/>
          </reference>
          <reference field="8" count="1" selected="0">
            <x v="390"/>
          </reference>
          <reference field="11" count="1" selected="0">
            <x v="3"/>
          </reference>
          <reference field="13" count="1" selected="0">
            <x v="243"/>
          </reference>
        </references>
      </pivotArea>
    </format>
    <format dxfId="2202">
      <pivotArea dataOnly="0" labelOnly="1" outline="0" fieldPosition="0">
        <references count="4">
          <reference field="5" count="1">
            <x v="31"/>
          </reference>
          <reference field="8" count="1" selected="0">
            <x v="390"/>
          </reference>
          <reference field="11" count="1" selected="0">
            <x v="3"/>
          </reference>
          <reference field="13" count="1" selected="0">
            <x v="287"/>
          </reference>
        </references>
      </pivotArea>
    </format>
    <format dxfId="2201">
      <pivotArea dataOnly="0" labelOnly="1" outline="0" fieldPosition="0">
        <references count="4">
          <reference field="5" count="1">
            <x v="31"/>
          </reference>
          <reference field="8" count="1" selected="0">
            <x v="390"/>
          </reference>
          <reference field="11" count="1" selected="0">
            <x v="3"/>
          </reference>
          <reference field="13" count="1" selected="0">
            <x v="305"/>
          </reference>
        </references>
      </pivotArea>
    </format>
    <format dxfId="2200">
      <pivotArea dataOnly="0" labelOnly="1" outline="0" fieldPosition="0">
        <references count="4">
          <reference field="5" count="2">
            <x v="20"/>
            <x v="116"/>
          </reference>
          <reference field="8" count="1" selected="0">
            <x v="390"/>
          </reference>
          <reference field="11" count="1" selected="0">
            <x v="5"/>
          </reference>
          <reference field="13" count="1" selected="0">
            <x v="81"/>
          </reference>
        </references>
      </pivotArea>
    </format>
    <format dxfId="2199">
      <pivotArea dataOnly="0" labelOnly="1" outline="0" fieldPosition="0">
        <references count="4">
          <reference field="5" count="1">
            <x v="20"/>
          </reference>
          <reference field="8" count="1" selected="0">
            <x v="390"/>
          </reference>
          <reference field="11" count="1" selected="0">
            <x v="5"/>
          </reference>
          <reference field="13" count="1" selected="0">
            <x v="255"/>
          </reference>
        </references>
      </pivotArea>
    </format>
    <format dxfId="2198">
      <pivotArea dataOnly="0" labelOnly="1" outline="0" fieldPosition="0">
        <references count="4">
          <reference field="5" count="2">
            <x v="116"/>
            <x v="117"/>
          </reference>
          <reference field="8" count="1" selected="0">
            <x v="391"/>
          </reference>
          <reference field="11" count="1" selected="0">
            <x v="3"/>
          </reference>
          <reference field="13" count="1" selected="0">
            <x v="29"/>
          </reference>
        </references>
      </pivotArea>
    </format>
    <format dxfId="2197">
      <pivotArea dataOnly="0" labelOnly="1" outline="0" fieldPosition="0">
        <references count="4">
          <reference field="5" count="1">
            <x v="117"/>
          </reference>
          <reference field="8" count="1" selected="0">
            <x v="391"/>
          </reference>
          <reference field="11" count="1" selected="0">
            <x v="3"/>
          </reference>
          <reference field="13" count="1" selected="0">
            <x v="218"/>
          </reference>
        </references>
      </pivotArea>
    </format>
    <format dxfId="2196">
      <pivotArea dataOnly="0" labelOnly="1" outline="0" fieldPosition="0">
        <references count="4">
          <reference field="5" count="1">
            <x v="117"/>
          </reference>
          <reference field="8" count="1" selected="0">
            <x v="391"/>
          </reference>
          <reference field="11" count="1" selected="0">
            <x v="3"/>
          </reference>
          <reference field="13" count="1" selected="0">
            <x v="314"/>
          </reference>
        </references>
      </pivotArea>
    </format>
    <format dxfId="2195">
      <pivotArea dataOnly="0" labelOnly="1" outline="0" fieldPosition="0">
        <references count="4">
          <reference field="5" count="1">
            <x v="2"/>
          </reference>
          <reference field="8" count="1" selected="0">
            <x v="391"/>
          </reference>
          <reference field="11" count="1" selected="0">
            <x v="5"/>
          </reference>
          <reference field="13" count="1" selected="0">
            <x v="264"/>
          </reference>
        </references>
      </pivotArea>
    </format>
    <format dxfId="2194">
      <pivotArea dataOnly="0" labelOnly="1" outline="0" fieldPosition="0">
        <references count="4">
          <reference field="5" count="1">
            <x v="2"/>
          </reference>
          <reference field="8" count="1" selected="0">
            <x v="391"/>
          </reference>
          <reference field="11" count="1" selected="0">
            <x v="5"/>
          </reference>
          <reference field="13" count="1" selected="0">
            <x v="274"/>
          </reference>
        </references>
      </pivotArea>
    </format>
    <format dxfId="2193">
      <pivotArea dataOnly="0" labelOnly="1" outline="0" fieldPosition="0">
        <references count="4">
          <reference field="5" count="1">
            <x v="2"/>
          </reference>
          <reference field="8" count="1" selected="0">
            <x v="391"/>
          </reference>
          <reference field="11" count="1" selected="0">
            <x v="6"/>
          </reference>
          <reference field="13" count="1" selected="0">
            <x v="176"/>
          </reference>
        </references>
      </pivotArea>
    </format>
    <format dxfId="2192">
      <pivotArea dataOnly="0" labelOnly="1" outline="0" fieldPosition="0">
        <references count="4">
          <reference field="5" count="1">
            <x v="2"/>
          </reference>
          <reference field="8" count="1" selected="0">
            <x v="391"/>
          </reference>
          <reference field="11" count="1" selected="0">
            <x v="6"/>
          </reference>
          <reference field="13" count="1" selected="0">
            <x v="183"/>
          </reference>
        </references>
      </pivotArea>
    </format>
    <format dxfId="2191">
      <pivotArea dataOnly="0" labelOnly="1" outline="0" fieldPosition="0">
        <references count="4">
          <reference field="5" count="1">
            <x v="2"/>
          </reference>
          <reference field="8" count="1" selected="0">
            <x v="391"/>
          </reference>
          <reference field="11" count="1" selected="0">
            <x v="6"/>
          </reference>
          <reference field="13" count="1" selected="0">
            <x v="186"/>
          </reference>
        </references>
      </pivotArea>
    </format>
    <format dxfId="2190">
      <pivotArea dataOnly="0" labelOnly="1" outline="0" fieldPosition="0">
        <references count="4">
          <reference field="5" count="1">
            <x v="2"/>
          </reference>
          <reference field="8" count="1" selected="0">
            <x v="391"/>
          </reference>
          <reference field="11" count="1" selected="0">
            <x v="6"/>
          </reference>
          <reference field="13" count="1" selected="0">
            <x v="189"/>
          </reference>
        </references>
      </pivotArea>
    </format>
    <format dxfId="2189">
      <pivotArea dataOnly="0" labelOnly="1" outline="0" fieldPosition="0">
        <references count="4">
          <reference field="5" count="1">
            <x v="2"/>
          </reference>
          <reference field="8" count="1" selected="0">
            <x v="391"/>
          </reference>
          <reference field="11" count="1" selected="0">
            <x v="6"/>
          </reference>
          <reference field="13" count="1" selected="0">
            <x v="319"/>
          </reference>
        </references>
      </pivotArea>
    </format>
    <format dxfId="2188">
      <pivotArea dataOnly="0" labelOnly="1" outline="0" fieldPosition="0">
        <references count="4">
          <reference field="5" count="2">
            <x v="116"/>
            <x v="117"/>
          </reference>
          <reference field="8" count="1" selected="0">
            <x v="392"/>
          </reference>
          <reference field="11" count="1" selected="0">
            <x v="3"/>
          </reference>
          <reference field="13" count="1" selected="0">
            <x v="29"/>
          </reference>
        </references>
      </pivotArea>
    </format>
    <format dxfId="2187">
      <pivotArea dataOnly="0" labelOnly="1" outline="0" fieldPosition="0">
        <references count="4">
          <reference field="5" count="1">
            <x v="117"/>
          </reference>
          <reference field="8" count="1" selected="0">
            <x v="392"/>
          </reference>
          <reference field="11" count="1" selected="0">
            <x v="3"/>
          </reference>
          <reference field="13" count="1" selected="0">
            <x v="218"/>
          </reference>
        </references>
      </pivotArea>
    </format>
    <format dxfId="2186">
      <pivotArea dataOnly="0" labelOnly="1" outline="0" fieldPosition="0">
        <references count="4">
          <reference field="5" count="1">
            <x v="117"/>
          </reference>
          <reference field="8" count="1" selected="0">
            <x v="392"/>
          </reference>
          <reference field="11" count="1" selected="0">
            <x v="3"/>
          </reference>
          <reference field="13" count="1" selected="0">
            <x v="314"/>
          </reference>
        </references>
      </pivotArea>
    </format>
    <format dxfId="2185">
      <pivotArea dataOnly="0" labelOnly="1" outline="0" fieldPosition="0">
        <references count="4">
          <reference field="5" count="1">
            <x v="2"/>
          </reference>
          <reference field="8" count="1" selected="0">
            <x v="392"/>
          </reference>
          <reference field="11" count="1" selected="0">
            <x v="5"/>
          </reference>
          <reference field="13" count="1" selected="0">
            <x v="274"/>
          </reference>
        </references>
      </pivotArea>
    </format>
    <format dxfId="2184">
      <pivotArea dataOnly="0" labelOnly="1" outline="0" fieldPosition="0">
        <references count="4">
          <reference field="5" count="1">
            <x v="2"/>
          </reference>
          <reference field="8" count="1" selected="0">
            <x v="392"/>
          </reference>
          <reference field="11" count="1" selected="0">
            <x v="6"/>
          </reference>
          <reference field="13" count="1" selected="0">
            <x v="176"/>
          </reference>
        </references>
      </pivotArea>
    </format>
    <format dxfId="2183">
      <pivotArea dataOnly="0" labelOnly="1" outline="0" fieldPosition="0">
        <references count="4">
          <reference field="5" count="1">
            <x v="2"/>
          </reference>
          <reference field="8" count="1" selected="0">
            <x v="392"/>
          </reference>
          <reference field="11" count="1" selected="0">
            <x v="6"/>
          </reference>
          <reference field="13" count="1" selected="0">
            <x v="183"/>
          </reference>
        </references>
      </pivotArea>
    </format>
    <format dxfId="2182">
      <pivotArea dataOnly="0" labelOnly="1" outline="0" fieldPosition="0">
        <references count="4">
          <reference field="5" count="1">
            <x v="2"/>
          </reference>
          <reference field="8" count="1" selected="0">
            <x v="392"/>
          </reference>
          <reference field="11" count="1" selected="0">
            <x v="6"/>
          </reference>
          <reference field="13" count="1" selected="0">
            <x v="186"/>
          </reference>
        </references>
      </pivotArea>
    </format>
    <format dxfId="2181">
      <pivotArea dataOnly="0" labelOnly="1" outline="0" fieldPosition="0">
        <references count="4">
          <reference field="5" count="1">
            <x v="2"/>
          </reference>
          <reference field="8" count="1" selected="0">
            <x v="392"/>
          </reference>
          <reference field="11" count="1" selected="0">
            <x v="6"/>
          </reference>
          <reference field="13" count="1" selected="0">
            <x v="189"/>
          </reference>
        </references>
      </pivotArea>
    </format>
    <format dxfId="2180">
      <pivotArea dataOnly="0" labelOnly="1" outline="0" fieldPosition="0">
        <references count="4">
          <reference field="5" count="2">
            <x v="116"/>
            <x v="117"/>
          </reference>
          <reference field="8" count="1" selected="0">
            <x v="393"/>
          </reference>
          <reference field="11" count="1" selected="0">
            <x v="3"/>
          </reference>
          <reference field="13" count="1" selected="0">
            <x v="29"/>
          </reference>
        </references>
      </pivotArea>
    </format>
    <format dxfId="2179">
      <pivotArea dataOnly="0" labelOnly="1" outline="0" fieldPosition="0">
        <references count="4">
          <reference field="5" count="1">
            <x v="117"/>
          </reference>
          <reference field="8" count="1" selected="0">
            <x v="393"/>
          </reference>
          <reference field="11" count="1" selected="0">
            <x v="3"/>
          </reference>
          <reference field="13" count="1" selected="0">
            <x v="218"/>
          </reference>
        </references>
      </pivotArea>
    </format>
    <format dxfId="2178">
      <pivotArea dataOnly="0" labelOnly="1" outline="0" fieldPosition="0">
        <references count="4">
          <reference field="5" count="1">
            <x v="117"/>
          </reference>
          <reference field="8" count="1" selected="0">
            <x v="393"/>
          </reference>
          <reference field="11" count="1" selected="0">
            <x v="3"/>
          </reference>
          <reference field="13" count="1" selected="0">
            <x v="314"/>
          </reference>
        </references>
      </pivotArea>
    </format>
    <format dxfId="2177">
      <pivotArea dataOnly="0" labelOnly="1" outline="0" fieldPosition="0">
        <references count="4">
          <reference field="5" count="1">
            <x v="97"/>
          </reference>
          <reference field="8" count="1" selected="0">
            <x v="393"/>
          </reference>
          <reference field="11" count="1" selected="0">
            <x v="5"/>
          </reference>
          <reference field="13" count="1" selected="0">
            <x v="264"/>
          </reference>
        </references>
      </pivotArea>
    </format>
    <format dxfId="2176">
      <pivotArea dataOnly="0" labelOnly="1" outline="0" fieldPosition="0">
        <references count="4">
          <reference field="5" count="1">
            <x v="2"/>
          </reference>
          <reference field="8" count="1" selected="0">
            <x v="393"/>
          </reference>
          <reference field="11" count="1" selected="0">
            <x v="5"/>
          </reference>
          <reference field="13" count="1" selected="0">
            <x v="274"/>
          </reference>
        </references>
      </pivotArea>
    </format>
    <format dxfId="2175">
      <pivotArea dataOnly="0" labelOnly="1" outline="0" fieldPosition="0">
        <references count="4">
          <reference field="5" count="1">
            <x v="2"/>
          </reference>
          <reference field="8" count="1" selected="0">
            <x v="393"/>
          </reference>
          <reference field="11" count="1" selected="0">
            <x v="6"/>
          </reference>
          <reference field="13" count="1" selected="0">
            <x v="176"/>
          </reference>
        </references>
      </pivotArea>
    </format>
    <format dxfId="2174">
      <pivotArea dataOnly="0" labelOnly="1" outline="0" fieldPosition="0">
        <references count="4">
          <reference field="5" count="1">
            <x v="2"/>
          </reference>
          <reference field="8" count="1" selected="0">
            <x v="393"/>
          </reference>
          <reference field="11" count="1" selected="0">
            <x v="6"/>
          </reference>
          <reference field="13" count="1" selected="0">
            <x v="183"/>
          </reference>
        </references>
      </pivotArea>
    </format>
    <format dxfId="2173">
      <pivotArea dataOnly="0" labelOnly="1" outline="0" fieldPosition="0">
        <references count="4">
          <reference field="5" count="1">
            <x v="2"/>
          </reference>
          <reference field="8" count="1" selected="0">
            <x v="393"/>
          </reference>
          <reference field="11" count="1" selected="0">
            <x v="6"/>
          </reference>
          <reference field="13" count="1" selected="0">
            <x v="186"/>
          </reference>
        </references>
      </pivotArea>
    </format>
    <format dxfId="2172">
      <pivotArea dataOnly="0" labelOnly="1" outline="0" fieldPosition="0">
        <references count="4">
          <reference field="5" count="1">
            <x v="2"/>
          </reference>
          <reference field="8" count="1" selected="0">
            <x v="393"/>
          </reference>
          <reference field="11" count="1" selected="0">
            <x v="6"/>
          </reference>
          <reference field="13" count="1" selected="0">
            <x v="189"/>
          </reference>
        </references>
      </pivotArea>
    </format>
    <format dxfId="2171">
      <pivotArea dataOnly="0" labelOnly="1" outline="0" fieldPosition="0">
        <references count="4">
          <reference field="5" count="1">
            <x v="2"/>
          </reference>
          <reference field="8" count="1" selected="0">
            <x v="393"/>
          </reference>
          <reference field="11" count="1" selected="0">
            <x v="6"/>
          </reference>
          <reference field="13" count="1" selected="0">
            <x v="319"/>
          </reference>
        </references>
      </pivotArea>
    </format>
    <format dxfId="2170">
      <pivotArea dataOnly="0" labelOnly="1" outline="0" fieldPosition="0">
        <references count="4">
          <reference field="5" count="1">
            <x v="65"/>
          </reference>
          <reference field="8" count="1" selected="0">
            <x v="394"/>
          </reference>
          <reference field="11" count="1" selected="0">
            <x v="2"/>
          </reference>
          <reference field="13" count="1" selected="0">
            <x v="235"/>
          </reference>
        </references>
      </pivotArea>
    </format>
    <format dxfId="2169">
      <pivotArea dataOnly="0" labelOnly="1" outline="0" fieldPosition="0">
        <references count="4">
          <reference field="5" count="1">
            <x v="65"/>
          </reference>
          <reference field="8" count="1" selected="0">
            <x v="394"/>
          </reference>
          <reference field="11" count="1" selected="0">
            <x v="2"/>
          </reference>
          <reference field="13" count="1" selected="0">
            <x v="279"/>
          </reference>
        </references>
      </pivotArea>
    </format>
    <format dxfId="2168">
      <pivotArea dataOnly="0" labelOnly="1" outline="0" fieldPosition="0">
        <references count="4">
          <reference field="5" count="1">
            <x v="65"/>
          </reference>
          <reference field="8" count="1" selected="0">
            <x v="394"/>
          </reference>
          <reference field="11" count="1" selected="0">
            <x v="3"/>
          </reference>
          <reference field="13" count="1" selected="0">
            <x v="240"/>
          </reference>
        </references>
      </pivotArea>
    </format>
    <format dxfId="2167">
      <pivotArea dataOnly="0" labelOnly="1" outline="0" fieldPosition="0">
        <references count="4">
          <reference field="5" count="1">
            <x v="65"/>
          </reference>
          <reference field="8" count="1" selected="0">
            <x v="394"/>
          </reference>
          <reference field="11" count="1" selected="0">
            <x v="3"/>
          </reference>
          <reference field="13" count="1" selected="0">
            <x v="242"/>
          </reference>
        </references>
      </pivotArea>
    </format>
    <format dxfId="2166">
      <pivotArea dataOnly="0" labelOnly="1" outline="0" fieldPosition="0">
        <references count="4">
          <reference field="5" count="1">
            <x v="65"/>
          </reference>
          <reference field="8" count="1" selected="0">
            <x v="394"/>
          </reference>
          <reference field="11" count="1" selected="0">
            <x v="3"/>
          </reference>
          <reference field="13" count="1" selected="0">
            <x v="243"/>
          </reference>
        </references>
      </pivotArea>
    </format>
    <format dxfId="2165">
      <pivotArea dataOnly="0" labelOnly="1" outline="0" fieldPosition="0">
        <references count="4">
          <reference field="5" count="1">
            <x v="116"/>
          </reference>
          <reference field="8" count="1" selected="0">
            <x v="394"/>
          </reference>
          <reference field="11" count="1" selected="0">
            <x v="5"/>
          </reference>
          <reference field="13" count="1" selected="0">
            <x v="81"/>
          </reference>
        </references>
      </pivotArea>
    </format>
    <format dxfId="2164">
      <pivotArea dataOnly="0" labelOnly="1" outline="0" fieldPosition="0">
        <references count="4">
          <reference field="5" count="1">
            <x v="65"/>
          </reference>
          <reference field="8" count="1" selected="0">
            <x v="394"/>
          </reference>
          <reference field="11" count="1" selected="0">
            <x v="7"/>
          </reference>
          <reference field="13" count="1" selected="0">
            <x v="72"/>
          </reference>
        </references>
      </pivotArea>
    </format>
    <format dxfId="2163">
      <pivotArea dataOnly="0" labelOnly="1" outline="0" fieldPosition="0">
        <references count="4">
          <reference field="5" count="2">
            <x v="116"/>
            <x v="117"/>
          </reference>
          <reference field="8" count="1" selected="0">
            <x v="395"/>
          </reference>
          <reference field="11" count="1" selected="0">
            <x v="3"/>
          </reference>
          <reference field="13" count="1" selected="0">
            <x v="29"/>
          </reference>
        </references>
      </pivotArea>
    </format>
    <format dxfId="2162">
      <pivotArea dataOnly="0" labelOnly="1" outline="0" fieldPosition="0">
        <references count="4">
          <reference field="5" count="1">
            <x v="117"/>
          </reference>
          <reference field="8" count="1" selected="0">
            <x v="395"/>
          </reference>
          <reference field="11" count="1" selected="0">
            <x v="3"/>
          </reference>
          <reference field="13" count="1" selected="0">
            <x v="218"/>
          </reference>
        </references>
      </pivotArea>
    </format>
    <format dxfId="2161">
      <pivotArea dataOnly="0" labelOnly="1" outline="0" fieldPosition="0">
        <references count="4">
          <reference field="5" count="1">
            <x v="70"/>
          </reference>
          <reference field="8" count="1" selected="0">
            <x v="395"/>
          </reference>
          <reference field="11" count="1" selected="0">
            <x v="3"/>
          </reference>
          <reference field="13" count="1" selected="0">
            <x v="240"/>
          </reference>
        </references>
      </pivotArea>
    </format>
    <format dxfId="2160">
      <pivotArea dataOnly="0" labelOnly="1" outline="0" fieldPosition="0">
        <references count="4">
          <reference field="5" count="1">
            <x v="70"/>
          </reference>
          <reference field="8" count="1" selected="0">
            <x v="395"/>
          </reference>
          <reference field="11" count="1" selected="0">
            <x v="3"/>
          </reference>
          <reference field="13" count="1" selected="0">
            <x v="242"/>
          </reference>
        </references>
      </pivotArea>
    </format>
    <format dxfId="2159">
      <pivotArea dataOnly="0" labelOnly="1" outline="0" fieldPosition="0">
        <references count="4">
          <reference field="5" count="1">
            <x v="117"/>
          </reference>
          <reference field="8" count="1" selected="0">
            <x v="395"/>
          </reference>
          <reference field="11" count="1" selected="0">
            <x v="3"/>
          </reference>
          <reference field="13" count="1" selected="0">
            <x v="314"/>
          </reference>
        </references>
      </pivotArea>
    </format>
    <format dxfId="2158">
      <pivotArea dataOnly="0" labelOnly="1" outline="0" fieldPosition="0">
        <references count="4">
          <reference field="5" count="1">
            <x v="70"/>
          </reference>
          <reference field="8" count="1" selected="0">
            <x v="395"/>
          </reference>
          <reference field="11" count="1" selected="0">
            <x v="4"/>
          </reference>
          <reference field="13" count="1" selected="0">
            <x v="133"/>
          </reference>
        </references>
      </pivotArea>
    </format>
    <format dxfId="2157">
      <pivotArea dataOnly="0" labelOnly="1" outline="0" fieldPosition="0">
        <references count="4">
          <reference field="5" count="1">
            <x v="108"/>
          </reference>
          <reference field="8" count="1" selected="0">
            <x v="397"/>
          </reference>
          <reference field="11" count="1" selected="0">
            <x v="1"/>
          </reference>
          <reference field="13" count="1" selected="0">
            <x v="125"/>
          </reference>
        </references>
      </pivotArea>
    </format>
    <format dxfId="2156">
      <pivotArea dataOnly="0" labelOnly="1" outline="0" fieldPosition="0">
        <references count="4">
          <reference field="5" count="1">
            <x v="56"/>
          </reference>
          <reference field="8" count="1" selected="0">
            <x v="399"/>
          </reference>
          <reference field="11" count="1" selected="0">
            <x v="0"/>
          </reference>
          <reference field="13" count="1" selected="0">
            <x v="221"/>
          </reference>
        </references>
      </pivotArea>
    </format>
    <format dxfId="2155">
      <pivotArea dataOnly="0" labelOnly="1" outline="0" fieldPosition="0">
        <references count="4">
          <reference field="5" count="1">
            <x v="56"/>
          </reference>
          <reference field="8" count="1" selected="0">
            <x v="399"/>
          </reference>
          <reference field="11" count="1" selected="0">
            <x v="3"/>
          </reference>
          <reference field="13" count="1" selected="0">
            <x v="4"/>
          </reference>
        </references>
      </pivotArea>
    </format>
    <format dxfId="2154">
      <pivotArea dataOnly="0" labelOnly="1" outline="0" fieldPosition="0">
        <references count="4">
          <reference field="5" count="1">
            <x v="56"/>
          </reference>
          <reference field="8" count="1" selected="0">
            <x v="399"/>
          </reference>
          <reference field="11" count="1" selected="0">
            <x v="3"/>
          </reference>
          <reference field="13" count="1" selected="0">
            <x v="177"/>
          </reference>
        </references>
      </pivotArea>
    </format>
    <format dxfId="2153">
      <pivotArea dataOnly="0" labelOnly="1" outline="0" fieldPosition="0">
        <references count="4">
          <reference field="5" count="1">
            <x v="56"/>
          </reference>
          <reference field="8" count="1" selected="0">
            <x v="399"/>
          </reference>
          <reference field="11" count="1" selected="0">
            <x v="3"/>
          </reference>
          <reference field="13" count="1" selected="0">
            <x v="239"/>
          </reference>
        </references>
      </pivotArea>
    </format>
    <format dxfId="2152">
      <pivotArea dataOnly="0" labelOnly="1" outline="0" fieldPosition="0">
        <references count="4">
          <reference field="5" count="1">
            <x v="56"/>
          </reference>
          <reference field="8" count="1" selected="0">
            <x v="399"/>
          </reference>
          <reference field="11" count="1" selected="0">
            <x v="3"/>
          </reference>
          <reference field="13" count="1" selected="0">
            <x v="317"/>
          </reference>
        </references>
      </pivotArea>
    </format>
    <format dxfId="2151">
      <pivotArea dataOnly="0" labelOnly="1" outline="0" fieldPosition="0">
        <references count="4">
          <reference field="5" count="1">
            <x v="56"/>
          </reference>
          <reference field="8" count="1" selected="0">
            <x v="399"/>
          </reference>
          <reference field="11" count="1" selected="0">
            <x v="6"/>
          </reference>
          <reference field="13" count="1" selected="0">
            <x v="199"/>
          </reference>
        </references>
      </pivotArea>
    </format>
    <format dxfId="2150">
      <pivotArea dataOnly="0" labelOnly="1" outline="0" fieldPosition="0">
        <references count="4">
          <reference field="5" count="2">
            <x v="116"/>
            <x v="117"/>
          </reference>
          <reference field="8" count="1" selected="0">
            <x v="400"/>
          </reference>
          <reference field="11" count="1" selected="0">
            <x v="3"/>
          </reference>
          <reference field="13" count="1" selected="0">
            <x v="29"/>
          </reference>
        </references>
      </pivotArea>
    </format>
    <format dxfId="2149">
      <pivotArea dataOnly="0" labelOnly="1" outline="0" fieldPosition="0">
        <references count="4">
          <reference field="5" count="1">
            <x v="86"/>
          </reference>
          <reference field="8" count="1" selected="0">
            <x v="400"/>
          </reference>
          <reference field="11" count="1" selected="0">
            <x v="3"/>
          </reference>
          <reference field="13" count="1" selected="0">
            <x v="89"/>
          </reference>
        </references>
      </pivotArea>
    </format>
    <format dxfId="2148">
      <pivotArea dataOnly="0" labelOnly="1" outline="0" fieldPosition="0">
        <references count="4">
          <reference field="5" count="1">
            <x v="117"/>
          </reference>
          <reference field="8" count="1" selected="0">
            <x v="400"/>
          </reference>
          <reference field="11" count="1" selected="0">
            <x v="3"/>
          </reference>
          <reference field="13" count="1" selected="0">
            <x v="218"/>
          </reference>
        </references>
      </pivotArea>
    </format>
    <format dxfId="2147">
      <pivotArea dataOnly="0" labelOnly="1" outline="0" fieldPosition="0">
        <references count="4">
          <reference field="5" count="3">
            <x v="86"/>
            <x v="116"/>
            <x v="117"/>
          </reference>
          <reference field="8" count="1" selected="0">
            <x v="400"/>
          </reference>
          <reference field="11" count="1" selected="0">
            <x v="3"/>
          </reference>
          <reference field="13" count="1" selected="0">
            <x v="287"/>
          </reference>
        </references>
      </pivotArea>
    </format>
    <format dxfId="2146">
      <pivotArea dataOnly="0" labelOnly="1" outline="0" fieldPosition="0">
        <references count="4">
          <reference field="5" count="1">
            <x v="117"/>
          </reference>
          <reference field="8" count="1" selected="0">
            <x v="400"/>
          </reference>
          <reference field="11" count="1" selected="0">
            <x v="3"/>
          </reference>
          <reference field="13" count="1" selected="0">
            <x v="314"/>
          </reference>
        </references>
      </pivotArea>
    </format>
    <format dxfId="2145">
      <pivotArea dataOnly="0" labelOnly="1" outline="0" fieldPosition="0">
        <references count="4">
          <reference field="5" count="3">
            <x v="45"/>
            <x v="86"/>
            <x v="110"/>
          </reference>
          <reference field="8" count="1" selected="0">
            <x v="400"/>
          </reference>
          <reference field="11" count="1" selected="0">
            <x v="5"/>
          </reference>
          <reference field="13" count="1" selected="0">
            <x v="77"/>
          </reference>
        </references>
      </pivotArea>
    </format>
    <format dxfId="2144">
      <pivotArea dataOnly="0" labelOnly="1" outline="0" fieldPosition="0">
        <references count="4">
          <reference field="5" count="1">
            <x v="86"/>
          </reference>
          <reference field="8" count="1" selected="0">
            <x v="400"/>
          </reference>
          <reference field="11" count="1" selected="0">
            <x v="5"/>
          </reference>
          <reference field="13" count="1" selected="0">
            <x v="81"/>
          </reference>
        </references>
      </pivotArea>
    </format>
    <format dxfId="2143">
      <pivotArea dataOnly="0" labelOnly="1" outline="0" fieldPosition="0">
        <references count="4">
          <reference field="5" count="2">
            <x v="116"/>
            <x v="117"/>
          </reference>
          <reference field="8" count="1" selected="0">
            <x v="401"/>
          </reference>
          <reference field="11" count="1" selected="0">
            <x v="3"/>
          </reference>
          <reference field="13" count="1" selected="0">
            <x v="29"/>
          </reference>
        </references>
      </pivotArea>
    </format>
    <format dxfId="2142">
      <pivotArea dataOnly="0" labelOnly="1" outline="0" fieldPosition="0">
        <references count="4">
          <reference field="5" count="1">
            <x v="85"/>
          </reference>
          <reference field="8" count="1" selected="0">
            <x v="401"/>
          </reference>
          <reference field="11" count="1" selected="0">
            <x v="3"/>
          </reference>
          <reference field="13" count="1" selected="0">
            <x v="89"/>
          </reference>
        </references>
      </pivotArea>
    </format>
    <format dxfId="2141">
      <pivotArea dataOnly="0" labelOnly="1" outline="0" fieldPosition="0">
        <references count="4">
          <reference field="5" count="1">
            <x v="117"/>
          </reference>
          <reference field="8" count="1" selected="0">
            <x v="401"/>
          </reference>
          <reference field="11" count="1" selected="0">
            <x v="3"/>
          </reference>
          <reference field="13" count="1" selected="0">
            <x v="218"/>
          </reference>
        </references>
      </pivotArea>
    </format>
    <format dxfId="2140">
      <pivotArea dataOnly="0" labelOnly="1" outline="0" fieldPosition="0">
        <references count="4">
          <reference field="5" count="2">
            <x v="116"/>
            <x v="117"/>
          </reference>
          <reference field="8" count="1" selected="0">
            <x v="401"/>
          </reference>
          <reference field="11" count="1" selected="0">
            <x v="3"/>
          </reference>
          <reference field="13" count="1" selected="0">
            <x v="287"/>
          </reference>
        </references>
      </pivotArea>
    </format>
    <format dxfId="2139">
      <pivotArea dataOnly="0" labelOnly="1" outline="0" fieldPosition="0">
        <references count="4">
          <reference field="5" count="1">
            <x v="117"/>
          </reference>
          <reference field="8" count="1" selected="0">
            <x v="401"/>
          </reference>
          <reference field="11" count="1" selected="0">
            <x v="3"/>
          </reference>
          <reference field="13" count="1" selected="0">
            <x v="314"/>
          </reference>
        </references>
      </pivotArea>
    </format>
    <format dxfId="2138">
      <pivotArea dataOnly="0" labelOnly="1" outline="0" fieldPosition="0">
        <references count="4">
          <reference field="5" count="3">
            <x v="45"/>
            <x v="85"/>
            <x v="110"/>
          </reference>
          <reference field="8" count="1" selected="0">
            <x v="401"/>
          </reference>
          <reference field="11" count="1" selected="0">
            <x v="5"/>
          </reference>
          <reference field="13" count="1" selected="0">
            <x v="77"/>
          </reference>
        </references>
      </pivotArea>
    </format>
    <format dxfId="2137">
      <pivotArea dataOnly="0" labelOnly="1" outline="0" fieldPosition="0">
        <references count="4">
          <reference field="5" count="1">
            <x v="85"/>
          </reference>
          <reference field="8" count="1" selected="0">
            <x v="401"/>
          </reference>
          <reference field="11" count="1" selected="0">
            <x v="5"/>
          </reference>
          <reference field="13" count="1" selected="0">
            <x v="81"/>
          </reference>
        </references>
      </pivotArea>
    </format>
    <format dxfId="2136">
      <pivotArea dataOnly="0" labelOnly="1" outline="0" fieldPosition="0">
        <references count="4">
          <reference field="5" count="1">
            <x v="2"/>
          </reference>
          <reference field="8" count="1" selected="0">
            <x v="401"/>
          </reference>
          <reference field="11" count="1" selected="0">
            <x v="5"/>
          </reference>
          <reference field="13" count="1" selected="0">
            <x v="268"/>
          </reference>
        </references>
      </pivotArea>
    </format>
    <format dxfId="2135">
      <pivotArea dataOnly="0" labelOnly="1" outline="0" fieldPosition="0">
        <references count="4">
          <reference field="5" count="1">
            <x v="50"/>
          </reference>
          <reference field="8" count="1" selected="0">
            <x v="402"/>
          </reference>
          <reference field="11" count="1" selected="0">
            <x v="3"/>
          </reference>
          <reference field="13" count="1" selected="0">
            <x v="240"/>
          </reference>
        </references>
      </pivotArea>
    </format>
    <format dxfId="2134">
      <pivotArea dataOnly="0" labelOnly="1" outline="0" fieldPosition="0">
        <references count="4">
          <reference field="5" count="1">
            <x v="50"/>
          </reference>
          <reference field="8" count="1" selected="0">
            <x v="402"/>
          </reference>
          <reference field="11" count="1" selected="0">
            <x v="3"/>
          </reference>
          <reference field="13" count="1" selected="0">
            <x v="243"/>
          </reference>
        </references>
      </pivotArea>
    </format>
    <format dxfId="2133">
      <pivotArea dataOnly="0" labelOnly="1" outline="0" fieldPosition="0">
        <references count="4">
          <reference field="5" count="1">
            <x v="2"/>
          </reference>
          <reference field="8" count="1" selected="0">
            <x v="402"/>
          </reference>
          <reference field="11" count="1" selected="0">
            <x v="6"/>
          </reference>
          <reference field="13" count="1" selected="0">
            <x v="191"/>
          </reference>
        </references>
      </pivotArea>
    </format>
    <format dxfId="2132">
      <pivotArea dataOnly="0" labelOnly="1" outline="0" fieldPosition="0">
        <references count="4">
          <reference field="5" count="1">
            <x v="2"/>
          </reference>
          <reference field="8" count="1" selected="0">
            <x v="402"/>
          </reference>
          <reference field="11" count="1" selected="0">
            <x v="6"/>
          </reference>
          <reference field="13" count="1" selected="0">
            <x v="199"/>
          </reference>
        </references>
      </pivotArea>
    </format>
    <format dxfId="2131">
      <pivotArea dataOnly="0" labelOnly="1" outline="0" fieldPosition="0">
        <references count="4">
          <reference field="5" count="1">
            <x v="32"/>
          </reference>
          <reference field="8" count="1" selected="0">
            <x v="403"/>
          </reference>
          <reference field="11" count="1" selected="0">
            <x v="3"/>
          </reference>
          <reference field="13" count="1" selected="0">
            <x v="32"/>
          </reference>
        </references>
      </pivotArea>
    </format>
    <format dxfId="2130">
      <pivotArea dataOnly="0" labelOnly="1" outline="0" fieldPosition="0">
        <references count="4">
          <reference field="5" count="1">
            <x v="32"/>
          </reference>
          <reference field="8" count="1" selected="0">
            <x v="403"/>
          </reference>
          <reference field="11" count="1" selected="0">
            <x v="3"/>
          </reference>
          <reference field="13" count="1" selected="0">
            <x v="287"/>
          </reference>
        </references>
      </pivotArea>
    </format>
    <format dxfId="2129">
      <pivotArea dataOnly="0" labelOnly="1" outline="0" fieldPosition="0">
        <references count="4">
          <reference field="5" count="1">
            <x v="2"/>
          </reference>
          <reference field="8" count="1" selected="0">
            <x v="403"/>
          </reference>
          <reference field="11" count="1" selected="0">
            <x v="6"/>
          </reference>
          <reference field="13" count="1" selected="0">
            <x v="198"/>
          </reference>
        </references>
      </pivotArea>
    </format>
    <format dxfId="2128">
      <pivotArea dataOnly="0" labelOnly="1" outline="0" fieldPosition="0">
        <references count="4">
          <reference field="5" count="1">
            <x v="2"/>
          </reference>
          <reference field="8" count="1" selected="0">
            <x v="403"/>
          </reference>
          <reference field="11" count="1" selected="0">
            <x v="6"/>
          </reference>
          <reference field="13" count="1" selected="0">
            <x v="199"/>
          </reference>
        </references>
      </pivotArea>
    </format>
    <format dxfId="2127">
      <pivotArea dataOnly="0" labelOnly="1" outline="0" fieldPosition="0">
        <references count="4">
          <reference field="5" count="1">
            <x v="2"/>
          </reference>
          <reference field="8" count="1" selected="0">
            <x v="403"/>
          </reference>
          <reference field="11" count="1" selected="0">
            <x v="6"/>
          </reference>
          <reference field="13" count="1" selected="0">
            <x v="203"/>
          </reference>
        </references>
      </pivotArea>
    </format>
    <format dxfId="2126">
      <pivotArea dataOnly="0" labelOnly="1" outline="0" fieldPosition="0">
        <references count="4">
          <reference field="5" count="1">
            <x v="2"/>
          </reference>
          <reference field="8" count="1" selected="0">
            <x v="403"/>
          </reference>
          <reference field="11" count="1" selected="0">
            <x v="6"/>
          </reference>
          <reference field="13" count="1" selected="0">
            <x v="318"/>
          </reference>
        </references>
      </pivotArea>
    </format>
    <format dxfId="2125">
      <pivotArea dataOnly="0" labelOnly="1" outline="0" fieldPosition="0">
        <references count="4">
          <reference field="5" count="1">
            <x v="89"/>
          </reference>
          <reference field="8" count="1" selected="0">
            <x v="404"/>
          </reference>
          <reference field="11" count="1" selected="0">
            <x v="3"/>
          </reference>
          <reference field="13" count="1" selected="0">
            <x v="287"/>
          </reference>
        </references>
      </pivotArea>
    </format>
    <format dxfId="2124">
      <pivotArea dataOnly="0" labelOnly="1" outline="0" fieldPosition="0">
        <references count="4">
          <reference field="5" count="1">
            <x v="2"/>
          </reference>
          <reference field="8" count="1" selected="0">
            <x v="404"/>
          </reference>
          <reference field="11" count="1" selected="0">
            <x v="6"/>
          </reference>
          <reference field="13" count="1" selected="0">
            <x v="191"/>
          </reference>
        </references>
      </pivotArea>
    </format>
    <format dxfId="2123">
      <pivotArea dataOnly="0" labelOnly="1" outline="0" fieldPosition="0">
        <references count="4">
          <reference field="5" count="1">
            <x v="2"/>
          </reference>
          <reference field="8" count="1" selected="0">
            <x v="404"/>
          </reference>
          <reference field="11" count="1" selected="0">
            <x v="6"/>
          </reference>
          <reference field="13" count="1" selected="0">
            <x v="198"/>
          </reference>
        </references>
      </pivotArea>
    </format>
    <format dxfId="2122">
      <pivotArea dataOnly="0" labelOnly="1" outline="0" fieldPosition="0">
        <references count="4">
          <reference field="5" count="1">
            <x v="2"/>
          </reference>
          <reference field="8" count="1" selected="0">
            <x v="404"/>
          </reference>
          <reference field="11" count="1" selected="0">
            <x v="6"/>
          </reference>
          <reference field="13" count="1" selected="0">
            <x v="199"/>
          </reference>
        </references>
      </pivotArea>
    </format>
    <format dxfId="2121">
      <pivotArea dataOnly="0" labelOnly="1" outline="0" fieldPosition="0">
        <references count="4">
          <reference field="5" count="1">
            <x v="2"/>
          </reference>
          <reference field="8" count="1" selected="0">
            <x v="406"/>
          </reference>
          <reference field="11" count="1" selected="0">
            <x v="6"/>
          </reference>
          <reference field="13" count="1" selected="0">
            <x v="191"/>
          </reference>
        </references>
      </pivotArea>
    </format>
    <format dxfId="2120">
      <pivotArea dataOnly="0" labelOnly="1" outline="0" fieldPosition="0">
        <references count="4">
          <reference field="5" count="1">
            <x v="2"/>
          </reference>
          <reference field="8" count="1" selected="0">
            <x v="406"/>
          </reference>
          <reference field="11" count="1" selected="0">
            <x v="6"/>
          </reference>
          <reference field="13" count="1" selected="0">
            <x v="198"/>
          </reference>
        </references>
      </pivotArea>
    </format>
    <format dxfId="2119">
      <pivotArea dataOnly="0" labelOnly="1" outline="0" fieldPosition="0">
        <references count="4">
          <reference field="5" count="1">
            <x v="65"/>
          </reference>
          <reference field="8" count="1" selected="0">
            <x v="407"/>
          </reference>
          <reference field="11" count="1" selected="0">
            <x v="3"/>
          </reference>
          <reference field="13" count="1" selected="0">
            <x v="57"/>
          </reference>
        </references>
      </pivotArea>
    </format>
    <format dxfId="2118">
      <pivotArea dataOnly="0" labelOnly="1" outline="0" fieldPosition="0">
        <references count="4">
          <reference field="5" count="1">
            <x v="2"/>
          </reference>
          <reference field="8" count="1" selected="0">
            <x v="408"/>
          </reference>
          <reference field="11" count="1" selected="0">
            <x v="5"/>
          </reference>
          <reference field="13" count="1" selected="0">
            <x v="77"/>
          </reference>
        </references>
      </pivotArea>
    </format>
    <format dxfId="2117">
      <pivotArea dataOnly="0" labelOnly="1" outline="0" fieldPosition="0">
        <references count="4">
          <reference field="5" count="1">
            <x v="2"/>
          </reference>
          <reference field="8" count="1" selected="0">
            <x v="408"/>
          </reference>
          <reference field="11" count="1" selected="0">
            <x v="6"/>
          </reference>
          <reference field="13" count="1" selected="0">
            <x v="176"/>
          </reference>
        </references>
      </pivotArea>
    </format>
    <format dxfId="2116">
      <pivotArea dataOnly="0" labelOnly="1" outline="0" fieldPosition="0">
        <references count="4">
          <reference field="5" count="1">
            <x v="2"/>
          </reference>
          <reference field="8" count="1" selected="0">
            <x v="408"/>
          </reference>
          <reference field="11" count="1" selected="0">
            <x v="6"/>
          </reference>
          <reference field="13" count="1" selected="0">
            <x v="183"/>
          </reference>
        </references>
      </pivotArea>
    </format>
    <format dxfId="2115">
      <pivotArea dataOnly="0" labelOnly="1" outline="0" fieldPosition="0">
        <references count="4">
          <reference field="5" count="1">
            <x v="2"/>
          </reference>
          <reference field="8" count="1" selected="0">
            <x v="408"/>
          </reference>
          <reference field="11" count="1" selected="0">
            <x v="6"/>
          </reference>
          <reference field="13" count="1" selected="0">
            <x v="186"/>
          </reference>
        </references>
      </pivotArea>
    </format>
    <format dxfId="2114">
      <pivotArea dataOnly="0" labelOnly="1" outline="0" fieldPosition="0">
        <references count="4">
          <reference field="5" count="1">
            <x v="2"/>
          </reference>
          <reference field="8" count="1" selected="0">
            <x v="408"/>
          </reference>
          <reference field="11" count="1" selected="0">
            <x v="6"/>
          </reference>
          <reference field="13" count="1" selected="0">
            <x v="189"/>
          </reference>
        </references>
      </pivotArea>
    </format>
    <format dxfId="2113">
      <pivotArea dataOnly="0" labelOnly="1" outline="0" fieldPosition="0">
        <references count="4">
          <reference field="5" count="1">
            <x v="2"/>
          </reference>
          <reference field="8" count="1" selected="0">
            <x v="408"/>
          </reference>
          <reference field="11" count="1" selected="0">
            <x v="6"/>
          </reference>
          <reference field="13" count="1" selected="0">
            <x v="319"/>
          </reference>
        </references>
      </pivotArea>
    </format>
    <format dxfId="2112">
      <pivotArea dataOnly="0" labelOnly="1" outline="0" fieldPosition="0">
        <references count="4">
          <reference field="5" count="1">
            <x v="2"/>
          </reference>
          <reference field="8" count="1" selected="0">
            <x v="409"/>
          </reference>
          <reference field="11" count="1" selected="0">
            <x v="5"/>
          </reference>
          <reference field="13" count="1" selected="0">
            <x v="268"/>
          </reference>
        </references>
      </pivotArea>
    </format>
    <format dxfId="2111">
      <pivotArea dataOnly="0" labelOnly="1" outline="0" fieldPosition="0">
        <references count="4">
          <reference field="5" count="1">
            <x v="2"/>
          </reference>
          <reference field="8" count="1" selected="0">
            <x v="409"/>
          </reference>
          <reference field="11" count="1" selected="0">
            <x v="6"/>
          </reference>
          <reference field="13" count="1" selected="0">
            <x v="176"/>
          </reference>
        </references>
      </pivotArea>
    </format>
    <format dxfId="2110">
      <pivotArea dataOnly="0" labelOnly="1" outline="0" fieldPosition="0">
        <references count="4">
          <reference field="5" count="1">
            <x v="2"/>
          </reference>
          <reference field="8" count="1" selected="0">
            <x v="409"/>
          </reference>
          <reference field="11" count="1" selected="0">
            <x v="6"/>
          </reference>
          <reference field="13" count="1" selected="0">
            <x v="183"/>
          </reference>
        </references>
      </pivotArea>
    </format>
    <format dxfId="2109">
      <pivotArea dataOnly="0" labelOnly="1" outline="0" fieldPosition="0">
        <references count="4">
          <reference field="5" count="1">
            <x v="2"/>
          </reference>
          <reference field="8" count="1" selected="0">
            <x v="409"/>
          </reference>
          <reference field="11" count="1" selected="0">
            <x v="6"/>
          </reference>
          <reference field="13" count="1" selected="0">
            <x v="186"/>
          </reference>
        </references>
      </pivotArea>
    </format>
    <format dxfId="2108">
      <pivotArea dataOnly="0" labelOnly="1" outline="0" fieldPosition="0">
        <references count="4">
          <reference field="5" count="1">
            <x v="2"/>
          </reference>
          <reference field="8" count="1" selected="0">
            <x v="409"/>
          </reference>
          <reference field="11" count="1" selected="0">
            <x v="6"/>
          </reference>
          <reference field="13" count="1" selected="0">
            <x v="189"/>
          </reference>
        </references>
      </pivotArea>
    </format>
    <format dxfId="2107">
      <pivotArea dataOnly="0" labelOnly="1" outline="0" fieldPosition="0">
        <references count="4">
          <reference field="5" count="1">
            <x v="2"/>
          </reference>
          <reference field="8" count="1" selected="0">
            <x v="409"/>
          </reference>
          <reference field="11" count="1" selected="0">
            <x v="6"/>
          </reference>
          <reference field="13" count="1" selected="0">
            <x v="319"/>
          </reference>
        </references>
      </pivotArea>
    </format>
    <format dxfId="2106">
      <pivotArea dataOnly="0" labelOnly="1" outline="0" fieldPosition="0">
        <references count="4">
          <reference field="5" count="1">
            <x v="2"/>
          </reference>
          <reference field="8" count="1" selected="0">
            <x v="410"/>
          </reference>
          <reference field="11" count="1" selected="0">
            <x v="5"/>
          </reference>
          <reference field="13" count="1" selected="0">
            <x v="77"/>
          </reference>
        </references>
      </pivotArea>
    </format>
    <format dxfId="2105">
      <pivotArea dataOnly="0" labelOnly="1" outline="0" fieldPosition="0">
        <references count="4">
          <reference field="5" count="1">
            <x v="2"/>
          </reference>
          <reference field="8" count="1" selected="0">
            <x v="410"/>
          </reference>
          <reference field="11" count="1" selected="0">
            <x v="6"/>
          </reference>
          <reference field="13" count="1" selected="0">
            <x v="176"/>
          </reference>
        </references>
      </pivotArea>
    </format>
    <format dxfId="2104">
      <pivotArea dataOnly="0" labelOnly="1" outline="0" fieldPosition="0">
        <references count="4">
          <reference field="5" count="1">
            <x v="2"/>
          </reference>
          <reference field="8" count="1" selected="0">
            <x v="410"/>
          </reference>
          <reference field="11" count="1" selected="0">
            <x v="6"/>
          </reference>
          <reference field="13" count="1" selected="0">
            <x v="183"/>
          </reference>
        </references>
      </pivotArea>
    </format>
    <format dxfId="2103">
      <pivotArea dataOnly="0" labelOnly="1" outline="0" fieldPosition="0">
        <references count="4">
          <reference field="5" count="1">
            <x v="2"/>
          </reference>
          <reference field="8" count="1" selected="0">
            <x v="410"/>
          </reference>
          <reference field="11" count="1" selected="0">
            <x v="6"/>
          </reference>
          <reference field="13" count="1" selected="0">
            <x v="186"/>
          </reference>
        </references>
      </pivotArea>
    </format>
    <format dxfId="2102">
      <pivotArea dataOnly="0" labelOnly="1" outline="0" fieldPosition="0">
        <references count="4">
          <reference field="5" count="1">
            <x v="2"/>
          </reference>
          <reference field="8" count="1" selected="0">
            <x v="410"/>
          </reference>
          <reference field="11" count="1" selected="0">
            <x v="6"/>
          </reference>
          <reference field="13" count="1" selected="0">
            <x v="189"/>
          </reference>
        </references>
      </pivotArea>
    </format>
    <format dxfId="2101">
      <pivotArea dataOnly="0" labelOnly="1" outline="0" fieldPosition="0">
        <references count="4">
          <reference field="5" count="1">
            <x v="2"/>
          </reference>
          <reference field="8" count="1" selected="0">
            <x v="410"/>
          </reference>
          <reference field="11" count="1" selected="0">
            <x v="6"/>
          </reference>
          <reference field="13" count="1" selected="0">
            <x v="319"/>
          </reference>
        </references>
      </pivotArea>
    </format>
    <format dxfId="2100">
      <pivotArea dataOnly="0" labelOnly="1" outline="0" fieldPosition="0">
        <references count="4">
          <reference field="5" count="1">
            <x v="2"/>
          </reference>
          <reference field="8" count="1" selected="0">
            <x v="411"/>
          </reference>
          <reference field="11" count="1" selected="0">
            <x v="5"/>
          </reference>
          <reference field="13" count="1" selected="0">
            <x v="268"/>
          </reference>
        </references>
      </pivotArea>
    </format>
    <format dxfId="2099">
      <pivotArea dataOnly="0" labelOnly="1" outline="0" fieldPosition="0">
        <references count="4">
          <reference field="5" count="1">
            <x v="2"/>
          </reference>
          <reference field="8" count="1" selected="0">
            <x v="411"/>
          </reference>
          <reference field="11" count="1" selected="0">
            <x v="6"/>
          </reference>
          <reference field="13" count="1" selected="0">
            <x v="176"/>
          </reference>
        </references>
      </pivotArea>
    </format>
    <format dxfId="2098">
      <pivotArea dataOnly="0" labelOnly="1" outline="0" fieldPosition="0">
        <references count="4">
          <reference field="5" count="1">
            <x v="2"/>
          </reference>
          <reference field="8" count="1" selected="0">
            <x v="411"/>
          </reference>
          <reference field="11" count="1" selected="0">
            <x v="6"/>
          </reference>
          <reference field="13" count="1" selected="0">
            <x v="183"/>
          </reference>
        </references>
      </pivotArea>
    </format>
    <format dxfId="2097">
      <pivotArea dataOnly="0" labelOnly="1" outline="0" fieldPosition="0">
        <references count="4">
          <reference field="5" count="1">
            <x v="2"/>
          </reference>
          <reference field="8" count="1" selected="0">
            <x v="411"/>
          </reference>
          <reference field="11" count="1" selected="0">
            <x v="6"/>
          </reference>
          <reference field="13" count="1" selected="0">
            <x v="186"/>
          </reference>
        </references>
      </pivotArea>
    </format>
    <format dxfId="2096">
      <pivotArea dataOnly="0" labelOnly="1" outline="0" fieldPosition="0">
        <references count="4">
          <reference field="5" count="1">
            <x v="2"/>
          </reference>
          <reference field="8" count="1" selected="0">
            <x v="411"/>
          </reference>
          <reference field="11" count="1" selected="0">
            <x v="6"/>
          </reference>
          <reference field="13" count="1" selected="0">
            <x v="189"/>
          </reference>
        </references>
      </pivotArea>
    </format>
    <format dxfId="2095">
      <pivotArea dataOnly="0" labelOnly="1" outline="0" fieldPosition="0">
        <references count="4">
          <reference field="5" count="1">
            <x v="2"/>
          </reference>
          <reference field="8" count="1" selected="0">
            <x v="411"/>
          </reference>
          <reference field="11" count="1" selected="0">
            <x v="6"/>
          </reference>
          <reference field="13" count="1" selected="0">
            <x v="319"/>
          </reference>
        </references>
      </pivotArea>
    </format>
    <format dxfId="2094">
      <pivotArea dataOnly="0" labelOnly="1" outline="0" fieldPosition="0">
        <references count="4">
          <reference field="5" count="1">
            <x v="2"/>
          </reference>
          <reference field="8" count="1" selected="0">
            <x v="412"/>
          </reference>
          <reference field="11" count="1" selected="0">
            <x v="6"/>
          </reference>
          <reference field="13" count="1" selected="0">
            <x v="176"/>
          </reference>
        </references>
      </pivotArea>
    </format>
    <format dxfId="2093">
      <pivotArea dataOnly="0" labelOnly="1" outline="0" fieldPosition="0">
        <references count="4">
          <reference field="5" count="1">
            <x v="2"/>
          </reference>
          <reference field="8" count="1" selected="0">
            <x v="412"/>
          </reference>
          <reference field="11" count="1" selected="0">
            <x v="6"/>
          </reference>
          <reference field="13" count="1" selected="0">
            <x v="183"/>
          </reference>
        </references>
      </pivotArea>
    </format>
    <format dxfId="2092">
      <pivotArea dataOnly="0" labelOnly="1" outline="0" fieldPosition="0">
        <references count="4">
          <reference field="5" count="1">
            <x v="2"/>
          </reference>
          <reference field="8" count="1" selected="0">
            <x v="412"/>
          </reference>
          <reference field="11" count="1" selected="0">
            <x v="6"/>
          </reference>
          <reference field="13" count="1" selected="0">
            <x v="186"/>
          </reference>
        </references>
      </pivotArea>
    </format>
    <format dxfId="2091">
      <pivotArea dataOnly="0" labelOnly="1" outline="0" fieldPosition="0">
        <references count="4">
          <reference field="5" count="1">
            <x v="2"/>
          </reference>
          <reference field="8" count="1" selected="0">
            <x v="412"/>
          </reference>
          <reference field="11" count="1" selected="0">
            <x v="6"/>
          </reference>
          <reference field="13" count="1" selected="0">
            <x v="189"/>
          </reference>
        </references>
      </pivotArea>
    </format>
    <format dxfId="2090">
      <pivotArea dataOnly="0" labelOnly="1" outline="0" fieldPosition="0">
        <references count="4">
          <reference field="5" count="1">
            <x v="2"/>
          </reference>
          <reference field="8" count="1" selected="0">
            <x v="413"/>
          </reference>
          <reference field="11" count="1" selected="0">
            <x v="6"/>
          </reference>
          <reference field="13" count="1" selected="0">
            <x v="176"/>
          </reference>
        </references>
      </pivotArea>
    </format>
    <format dxfId="2089">
      <pivotArea dataOnly="0" labelOnly="1" outline="0" fieldPosition="0">
        <references count="4">
          <reference field="5" count="1">
            <x v="2"/>
          </reference>
          <reference field="8" count="1" selected="0">
            <x v="413"/>
          </reference>
          <reference field="11" count="1" selected="0">
            <x v="6"/>
          </reference>
          <reference field="13" count="1" selected="0">
            <x v="183"/>
          </reference>
        </references>
      </pivotArea>
    </format>
    <format dxfId="2088">
      <pivotArea dataOnly="0" labelOnly="1" outline="0" fieldPosition="0">
        <references count="4">
          <reference field="5" count="1">
            <x v="2"/>
          </reference>
          <reference field="8" count="1" selected="0">
            <x v="413"/>
          </reference>
          <reference field="11" count="1" selected="0">
            <x v="6"/>
          </reference>
          <reference field="13" count="1" selected="0">
            <x v="186"/>
          </reference>
        </references>
      </pivotArea>
    </format>
    <format dxfId="2087">
      <pivotArea dataOnly="0" labelOnly="1" outline="0" fieldPosition="0">
        <references count="4">
          <reference field="5" count="1">
            <x v="2"/>
          </reference>
          <reference field="8" count="1" selected="0">
            <x v="413"/>
          </reference>
          <reference field="11" count="1" selected="0">
            <x v="6"/>
          </reference>
          <reference field="13" count="1" selected="0">
            <x v="189"/>
          </reference>
        </references>
      </pivotArea>
    </format>
    <format dxfId="2086">
      <pivotArea dataOnly="0" labelOnly="1" outline="0" fieldPosition="0">
        <references count="4">
          <reference field="5" count="1">
            <x v="85"/>
          </reference>
          <reference field="8" count="1" selected="0">
            <x v="414"/>
          </reference>
          <reference field="11" count="1" selected="0">
            <x v="3"/>
          </reference>
          <reference field="13" count="1" selected="0">
            <x v="32"/>
          </reference>
        </references>
      </pivotArea>
    </format>
    <format dxfId="2085">
      <pivotArea dataOnly="0" labelOnly="1" outline="0" fieldPosition="0">
        <references count="4">
          <reference field="5" count="1">
            <x v="85"/>
          </reference>
          <reference field="8" count="1" selected="0">
            <x v="414"/>
          </reference>
          <reference field="11" count="1" selected="0">
            <x v="3"/>
          </reference>
          <reference field="13" count="1" selected="0">
            <x v="287"/>
          </reference>
        </references>
      </pivotArea>
    </format>
    <format dxfId="2084">
      <pivotArea dataOnly="0" labelOnly="1" outline="0" fieldPosition="0">
        <references count="4">
          <reference field="5" count="1">
            <x v="85"/>
          </reference>
          <reference field="8" count="1" selected="0">
            <x v="414"/>
          </reference>
          <reference field="11" count="1" selected="0">
            <x v="5"/>
          </reference>
          <reference field="13" count="1" selected="0">
            <x v="77"/>
          </reference>
        </references>
      </pivotArea>
    </format>
    <format dxfId="2083">
      <pivotArea dataOnly="0" labelOnly="1" outline="0" fieldPosition="0">
        <references count="4">
          <reference field="5" count="1">
            <x v="85"/>
          </reference>
          <reference field="8" count="1" selected="0">
            <x v="414"/>
          </reference>
          <reference field="11" count="1" selected="0">
            <x v="5"/>
          </reference>
          <reference field="13" count="1" selected="0">
            <x v="268"/>
          </reference>
        </references>
      </pivotArea>
    </format>
    <format dxfId="2082">
      <pivotArea dataOnly="0" labelOnly="1" outline="0" fieldPosition="0">
        <references count="4">
          <reference field="5" count="1">
            <x v="72"/>
          </reference>
          <reference field="8" count="1" selected="0">
            <x v="415"/>
          </reference>
          <reference field="11" count="1" selected="0">
            <x v="3"/>
          </reference>
          <reference field="13" count="1" selected="0">
            <x v="17"/>
          </reference>
        </references>
      </pivotArea>
    </format>
    <format dxfId="2081">
      <pivotArea dataOnly="0" labelOnly="1" outline="0" fieldPosition="0">
        <references count="4">
          <reference field="5" count="1">
            <x v="72"/>
          </reference>
          <reference field="8" count="1" selected="0">
            <x v="415"/>
          </reference>
          <reference field="11" count="1" selected="0">
            <x v="3"/>
          </reference>
          <reference field="13" count="1" selected="0">
            <x v="57"/>
          </reference>
        </references>
      </pivotArea>
    </format>
    <format dxfId="2080">
      <pivotArea dataOnly="0" labelOnly="1" outline="0" fieldPosition="0">
        <references count="4">
          <reference field="5" count="1">
            <x v="72"/>
          </reference>
          <reference field="8" count="1" selected="0">
            <x v="415"/>
          </reference>
          <reference field="11" count="1" selected="0">
            <x v="3"/>
          </reference>
          <reference field="13" count="1" selected="0">
            <x v="69"/>
          </reference>
        </references>
      </pivotArea>
    </format>
    <format dxfId="2079">
      <pivotArea dataOnly="0" labelOnly="1" outline="0" fieldPosition="0">
        <references count="4">
          <reference field="5" count="1">
            <x v="72"/>
          </reference>
          <reference field="8" count="1" selected="0">
            <x v="415"/>
          </reference>
          <reference field="11" count="1" selected="0">
            <x v="3"/>
          </reference>
          <reference field="13" count="1" selected="0">
            <x v="83"/>
          </reference>
        </references>
      </pivotArea>
    </format>
    <format dxfId="2078">
      <pivotArea dataOnly="0" labelOnly="1" outline="0" fieldPosition="0">
        <references count="4">
          <reference field="5" count="1">
            <x v="72"/>
          </reference>
          <reference field="8" count="1" selected="0">
            <x v="415"/>
          </reference>
          <reference field="11" count="1" selected="0">
            <x v="3"/>
          </reference>
          <reference field="13" count="1" selected="0">
            <x v="163"/>
          </reference>
        </references>
      </pivotArea>
    </format>
    <format dxfId="2077">
      <pivotArea dataOnly="0" labelOnly="1" outline="0" fieldPosition="0">
        <references count="4">
          <reference field="5" count="1">
            <x v="72"/>
          </reference>
          <reference field="8" count="1" selected="0">
            <x v="415"/>
          </reference>
          <reference field="11" count="1" selected="0">
            <x v="3"/>
          </reference>
          <reference field="13" count="1" selected="0">
            <x v="240"/>
          </reference>
        </references>
      </pivotArea>
    </format>
    <format dxfId="2076">
      <pivotArea dataOnly="0" labelOnly="1" outline="0" fieldPosition="0">
        <references count="4">
          <reference field="5" count="1">
            <x v="72"/>
          </reference>
          <reference field="8" count="1" selected="0">
            <x v="415"/>
          </reference>
          <reference field="11" count="1" selected="0">
            <x v="3"/>
          </reference>
          <reference field="13" count="1" selected="0">
            <x v="242"/>
          </reference>
        </references>
      </pivotArea>
    </format>
    <format dxfId="2075">
      <pivotArea dataOnly="0" labelOnly="1" outline="0" fieldPosition="0">
        <references count="4">
          <reference field="5" count="1">
            <x v="72"/>
          </reference>
          <reference field="8" count="1" selected="0">
            <x v="415"/>
          </reference>
          <reference field="11" count="1" selected="0">
            <x v="3"/>
          </reference>
          <reference field="13" count="1" selected="0">
            <x v="243"/>
          </reference>
        </references>
      </pivotArea>
    </format>
    <format dxfId="2074">
      <pivotArea dataOnly="0" labelOnly="1" outline="0" fieldPosition="0">
        <references count="4">
          <reference field="5" count="1">
            <x v="72"/>
          </reference>
          <reference field="8" count="1" selected="0">
            <x v="415"/>
          </reference>
          <reference field="11" count="1" selected="0">
            <x v="3"/>
          </reference>
          <reference field="13" count="1" selected="0">
            <x v="251"/>
          </reference>
        </references>
      </pivotArea>
    </format>
    <format dxfId="2073">
      <pivotArea dataOnly="0" labelOnly="1" outline="0" fieldPosition="0">
        <references count="4">
          <reference field="5" count="2">
            <x v="32"/>
            <x v="72"/>
          </reference>
          <reference field="8" count="1" selected="0">
            <x v="415"/>
          </reference>
          <reference field="11" count="1" selected="0">
            <x v="3"/>
          </reference>
          <reference field="13" count="1" selected="0">
            <x v="287"/>
          </reference>
        </references>
      </pivotArea>
    </format>
    <format dxfId="2072">
      <pivotArea dataOnly="0" labelOnly="1" outline="0" fieldPosition="0">
        <references count="4">
          <reference field="5" count="1">
            <x v="72"/>
          </reference>
          <reference field="8" count="1" selected="0">
            <x v="415"/>
          </reference>
          <reference field="11" count="1" selected="0">
            <x v="3"/>
          </reference>
          <reference field="13" count="1" selected="0">
            <x v="316"/>
          </reference>
        </references>
      </pivotArea>
    </format>
    <format dxfId="2071">
      <pivotArea dataOnly="0" labelOnly="1" outline="0" fieldPosition="0">
        <references count="4">
          <reference field="5" count="1">
            <x v="20"/>
          </reference>
          <reference field="8" count="1" selected="0">
            <x v="415"/>
          </reference>
          <reference field="11" count="1" selected="0">
            <x v="5"/>
          </reference>
          <reference field="13" count="1" selected="0">
            <x v="255"/>
          </reference>
        </references>
      </pivotArea>
    </format>
    <format dxfId="2070">
      <pivotArea dataOnly="0" labelOnly="1" outline="0" fieldPosition="0">
        <references count="4">
          <reference field="5" count="1">
            <x v="72"/>
          </reference>
          <reference field="8" count="1" selected="0">
            <x v="415"/>
          </reference>
          <reference field="11" count="1" selected="0">
            <x v="6"/>
          </reference>
          <reference field="13" count="1" selected="0">
            <x v="68"/>
          </reference>
        </references>
      </pivotArea>
    </format>
    <format dxfId="2069">
      <pivotArea dataOnly="0" labelOnly="1" outline="0" fieldPosition="0">
        <references count="4">
          <reference field="5" count="1">
            <x v="72"/>
          </reference>
          <reference field="8" count="1" selected="0">
            <x v="415"/>
          </reference>
          <reference field="11" count="1" selected="0">
            <x v="7"/>
          </reference>
          <reference field="13" count="1" selected="0">
            <x v="72"/>
          </reference>
        </references>
      </pivotArea>
    </format>
    <format dxfId="2068">
      <pivotArea dataOnly="0" labelOnly="1" outline="0" fieldPosition="0">
        <references count="4">
          <reference field="5" count="1">
            <x v="85"/>
          </reference>
          <reference field="8" count="1" selected="0">
            <x v="416"/>
          </reference>
          <reference field="11" count="1" selected="0">
            <x v="3"/>
          </reference>
          <reference field="13" count="1" selected="0">
            <x v="32"/>
          </reference>
        </references>
      </pivotArea>
    </format>
    <format dxfId="2067">
      <pivotArea dataOnly="0" labelOnly="1" outline="0" fieldPosition="0">
        <references count="4">
          <reference field="5" count="1">
            <x v="85"/>
          </reference>
          <reference field="8" count="1" selected="0">
            <x v="416"/>
          </reference>
          <reference field="11" count="1" selected="0">
            <x v="3"/>
          </reference>
          <reference field="13" count="1" selected="0">
            <x v="47"/>
          </reference>
        </references>
      </pivotArea>
    </format>
    <format dxfId="2066">
      <pivotArea dataOnly="0" labelOnly="1" outline="0" fieldPosition="0">
        <references count="4">
          <reference field="5" count="1">
            <x v="85"/>
          </reference>
          <reference field="8" count="1" selected="0">
            <x v="416"/>
          </reference>
          <reference field="11" count="1" selected="0">
            <x v="3"/>
          </reference>
          <reference field="13" count="1" selected="0">
            <x v="272"/>
          </reference>
        </references>
      </pivotArea>
    </format>
    <format dxfId="2065">
      <pivotArea dataOnly="0" labelOnly="1" outline="0" fieldPosition="0">
        <references count="4">
          <reference field="5" count="2">
            <x v="116"/>
            <x v="117"/>
          </reference>
          <reference field="8" count="1" selected="0">
            <x v="417"/>
          </reference>
          <reference field="11" count="1" selected="0">
            <x v="3"/>
          </reference>
          <reference field="13" count="1" selected="0">
            <x v="29"/>
          </reference>
        </references>
      </pivotArea>
    </format>
    <format dxfId="2064">
      <pivotArea dataOnly="0" labelOnly="1" outline="0" fieldPosition="0">
        <references count="4">
          <reference field="5" count="1">
            <x v="26"/>
          </reference>
          <reference field="8" count="1" selected="0">
            <x v="417"/>
          </reference>
          <reference field="11" count="1" selected="0">
            <x v="3"/>
          </reference>
          <reference field="13" count="1" selected="0">
            <x v="57"/>
          </reference>
        </references>
      </pivotArea>
    </format>
    <format dxfId="2063">
      <pivotArea dataOnly="0" labelOnly="1" outline="0" fieldPosition="0">
        <references count="4">
          <reference field="5" count="1">
            <x v="26"/>
          </reference>
          <reference field="8" count="1" selected="0">
            <x v="417"/>
          </reference>
          <reference field="11" count="1" selected="0">
            <x v="3"/>
          </reference>
          <reference field="13" count="1" selected="0">
            <x v="242"/>
          </reference>
        </references>
      </pivotArea>
    </format>
    <format dxfId="2062">
      <pivotArea dataOnly="0" labelOnly="1" outline="0" fieldPosition="0">
        <references count="4">
          <reference field="5" count="1">
            <x v="26"/>
          </reference>
          <reference field="8" count="1" selected="0">
            <x v="417"/>
          </reference>
          <reference field="11" count="1" selected="0">
            <x v="3"/>
          </reference>
          <reference field="13" count="1" selected="0">
            <x v="243"/>
          </reference>
        </references>
      </pivotArea>
    </format>
    <format dxfId="2061">
      <pivotArea dataOnly="0" labelOnly="1" outline="0" fieldPosition="0">
        <references count="4">
          <reference field="5" count="1">
            <x v="26"/>
          </reference>
          <reference field="8" count="1" selected="0">
            <x v="417"/>
          </reference>
          <reference field="11" count="1" selected="0">
            <x v="3"/>
          </reference>
          <reference field="13" count="1" selected="0">
            <x v="247"/>
          </reference>
        </references>
      </pivotArea>
    </format>
    <format dxfId="2060">
      <pivotArea dataOnly="0" labelOnly="1" outline="0" fieldPosition="0">
        <references count="4">
          <reference field="5" count="1">
            <x v="26"/>
          </reference>
          <reference field="8" count="1" selected="0">
            <x v="417"/>
          </reference>
          <reference field="11" count="1" selected="0">
            <x v="3"/>
          </reference>
          <reference field="13" count="1" selected="0">
            <x v="251"/>
          </reference>
        </references>
      </pivotArea>
    </format>
    <format dxfId="2059">
      <pivotArea dataOnly="0" labelOnly="1" outline="0" fieldPosition="0">
        <references count="4">
          <reference field="5" count="1">
            <x v="117"/>
          </reference>
          <reference field="8" count="1" selected="0">
            <x v="417"/>
          </reference>
          <reference field="11" count="1" selected="0">
            <x v="3"/>
          </reference>
          <reference field="13" count="1" selected="0">
            <x v="314"/>
          </reference>
        </references>
      </pivotArea>
    </format>
    <format dxfId="2058">
      <pivotArea dataOnly="0" labelOnly="1" outline="0" fieldPosition="0">
        <references count="4">
          <reference field="5" count="1">
            <x v="20"/>
          </reference>
          <reference field="8" count="1" selected="0">
            <x v="417"/>
          </reference>
          <reference field="11" count="1" selected="0">
            <x v="5"/>
          </reference>
          <reference field="13" count="1" selected="0">
            <x v="81"/>
          </reference>
        </references>
      </pivotArea>
    </format>
    <format dxfId="2057">
      <pivotArea dataOnly="0" labelOnly="1" outline="0" fieldPosition="0">
        <references count="4">
          <reference field="5" count="1">
            <x v="116"/>
          </reference>
          <reference field="8" count="1" selected="0">
            <x v="417"/>
          </reference>
          <reference field="11" count="1" selected="0">
            <x v="5"/>
          </reference>
          <reference field="13" count="1" selected="0">
            <x v="124"/>
          </reference>
        </references>
      </pivotArea>
    </format>
    <format dxfId="2056">
      <pivotArea dataOnly="0" labelOnly="1" outline="0" fieldPosition="0">
        <references count="4">
          <reference field="5" count="1">
            <x v="29"/>
          </reference>
          <reference field="8" count="1" selected="0">
            <x v="418"/>
          </reference>
          <reference field="11" count="1" selected="0">
            <x v="3"/>
          </reference>
          <reference field="13" count="1" selected="0">
            <x v="17"/>
          </reference>
        </references>
      </pivotArea>
    </format>
    <format dxfId="2055">
      <pivotArea dataOnly="0" labelOnly="1" outline="0" fieldPosition="0">
        <references count="4">
          <reference field="5" count="1">
            <x v="29"/>
          </reference>
          <reference field="8" count="1" selected="0">
            <x v="418"/>
          </reference>
          <reference field="11" count="1" selected="0">
            <x v="3"/>
          </reference>
          <reference field="13" count="1" selected="0">
            <x v="69"/>
          </reference>
        </references>
      </pivotArea>
    </format>
    <format dxfId="2054">
      <pivotArea dataOnly="0" labelOnly="1" outline="0" fieldPosition="0">
        <references count="4">
          <reference field="5" count="1">
            <x v="29"/>
          </reference>
          <reference field="8" count="1" selected="0">
            <x v="418"/>
          </reference>
          <reference field="11" count="1" selected="0">
            <x v="3"/>
          </reference>
          <reference field="13" count="1" selected="0">
            <x v="242"/>
          </reference>
        </references>
      </pivotArea>
    </format>
    <format dxfId="2053">
      <pivotArea dataOnly="0" labelOnly="1" outline="0" fieldPosition="0">
        <references count="4">
          <reference field="5" count="1">
            <x v="29"/>
          </reference>
          <reference field="8" count="1" selected="0">
            <x v="418"/>
          </reference>
          <reference field="11" count="1" selected="0">
            <x v="3"/>
          </reference>
          <reference field="13" count="1" selected="0">
            <x v="243"/>
          </reference>
        </references>
      </pivotArea>
    </format>
    <format dxfId="2052">
      <pivotArea dataOnly="0" labelOnly="1" outline="0" fieldPosition="0">
        <references count="4">
          <reference field="5" count="1">
            <x v="29"/>
          </reference>
          <reference field="8" count="1" selected="0">
            <x v="418"/>
          </reference>
          <reference field="11" count="1" selected="0">
            <x v="3"/>
          </reference>
          <reference field="13" count="1" selected="0">
            <x v="287"/>
          </reference>
        </references>
      </pivotArea>
    </format>
    <format dxfId="2051">
      <pivotArea dataOnly="0" labelOnly="1" outline="0" fieldPosition="0">
        <references count="4">
          <reference field="5" count="1">
            <x v="29"/>
          </reference>
          <reference field="8" count="1" selected="0">
            <x v="418"/>
          </reference>
          <reference field="11" count="1" selected="0">
            <x v="5"/>
          </reference>
          <reference field="13" count="1" selected="0">
            <x v="77"/>
          </reference>
        </references>
      </pivotArea>
    </format>
    <format dxfId="2050">
      <pivotArea dataOnly="0" labelOnly="1" outline="0" fieldPosition="0">
        <references count="4">
          <reference field="5" count="3">
            <x v="20"/>
            <x v="29"/>
            <x v="116"/>
          </reference>
          <reference field="8" count="1" selected="0">
            <x v="418"/>
          </reference>
          <reference field="11" count="1" selected="0">
            <x v="5"/>
          </reference>
          <reference field="13" count="1" selected="0">
            <x v="81"/>
          </reference>
        </references>
      </pivotArea>
    </format>
    <format dxfId="2049">
      <pivotArea dataOnly="0" labelOnly="1" outline="0" fieldPosition="0">
        <references count="4">
          <reference field="5" count="1">
            <x v="29"/>
          </reference>
          <reference field="8" count="1" selected="0">
            <x v="418"/>
          </reference>
          <reference field="11" count="1" selected="0">
            <x v="5"/>
          </reference>
          <reference field="13" count="1" selected="0">
            <x v="96"/>
          </reference>
        </references>
      </pivotArea>
    </format>
    <format dxfId="2048">
      <pivotArea dataOnly="0" labelOnly="1" outline="0" fieldPosition="0">
        <references count="4">
          <reference field="5" count="1">
            <x v="20"/>
          </reference>
          <reference field="8" count="1" selected="0">
            <x v="418"/>
          </reference>
          <reference field="11" count="1" selected="0">
            <x v="5"/>
          </reference>
          <reference field="13" count="1" selected="0">
            <x v="255"/>
          </reference>
        </references>
      </pivotArea>
    </format>
    <format dxfId="2047">
      <pivotArea dataOnly="0" labelOnly="1" outline="0" fieldPosition="0">
        <references count="4">
          <reference field="5" count="1">
            <x v="29"/>
          </reference>
          <reference field="8" count="1" selected="0">
            <x v="418"/>
          </reference>
          <reference field="11" count="1" selected="0">
            <x v="7"/>
          </reference>
          <reference field="13" count="1" selected="0">
            <x v="8"/>
          </reference>
        </references>
      </pivotArea>
    </format>
    <format dxfId="2046">
      <pivotArea dataOnly="0" labelOnly="1" outline="0" fieldPosition="0">
        <references count="4">
          <reference field="5" count="1">
            <x v="29"/>
          </reference>
          <reference field="8" count="1" selected="0">
            <x v="418"/>
          </reference>
          <reference field="11" count="1" selected="0">
            <x v="7"/>
          </reference>
          <reference field="13" count="1" selected="0">
            <x v="72"/>
          </reference>
        </references>
      </pivotArea>
    </format>
    <format dxfId="2045">
      <pivotArea dataOnly="0" labelOnly="1" outline="0" fieldPosition="0">
        <references count="4">
          <reference field="5" count="1">
            <x v="29"/>
          </reference>
          <reference field="8" count="1" selected="0">
            <x v="418"/>
          </reference>
          <reference field="11" count="1" selected="0">
            <x v="7"/>
          </reference>
          <reference field="13" count="1" selected="0">
            <x v="308"/>
          </reference>
        </references>
      </pivotArea>
    </format>
    <format dxfId="2044">
      <pivotArea dataOnly="0" labelOnly="1" outline="0" fieldPosition="0">
        <references count="4">
          <reference field="5" count="1">
            <x v="23"/>
          </reference>
          <reference field="8" count="1" selected="0">
            <x v="420"/>
          </reference>
          <reference field="11" count="1" selected="0">
            <x v="3"/>
          </reference>
          <reference field="13" count="1" selected="0">
            <x v="32"/>
          </reference>
        </references>
      </pivotArea>
    </format>
    <format dxfId="2043">
      <pivotArea dataOnly="0" labelOnly="1" outline="0" fieldPosition="0">
        <references count="4">
          <reference field="5" count="1">
            <x v="23"/>
          </reference>
          <reference field="8" count="1" selected="0">
            <x v="420"/>
          </reference>
          <reference field="11" count="1" selected="0">
            <x v="3"/>
          </reference>
          <reference field="13" count="1" selected="0">
            <x v="69"/>
          </reference>
        </references>
      </pivotArea>
    </format>
    <format dxfId="2042">
      <pivotArea dataOnly="0" labelOnly="1" outline="0" fieldPosition="0">
        <references count="4">
          <reference field="5" count="1">
            <x v="23"/>
          </reference>
          <reference field="8" count="1" selected="0">
            <x v="420"/>
          </reference>
          <reference field="11" count="1" selected="0">
            <x v="3"/>
          </reference>
          <reference field="13" count="1" selected="0">
            <x v="92"/>
          </reference>
        </references>
      </pivotArea>
    </format>
    <format dxfId="2041">
      <pivotArea dataOnly="0" labelOnly="1" outline="0" fieldPosition="0">
        <references count="4">
          <reference field="5" count="1">
            <x v="23"/>
          </reference>
          <reference field="8" count="1" selected="0">
            <x v="420"/>
          </reference>
          <reference field="11" count="1" selected="0">
            <x v="3"/>
          </reference>
          <reference field="13" count="1" selected="0">
            <x v="101"/>
          </reference>
        </references>
      </pivotArea>
    </format>
    <format dxfId="2040">
      <pivotArea dataOnly="0" labelOnly="1" outline="0" fieldPosition="0">
        <references count="4">
          <reference field="5" count="1">
            <x v="23"/>
          </reference>
          <reference field="8" count="1" selected="0">
            <x v="420"/>
          </reference>
          <reference field="11" count="1" selected="0">
            <x v="3"/>
          </reference>
          <reference field="13" count="1" selected="0">
            <x v="242"/>
          </reference>
        </references>
      </pivotArea>
    </format>
    <format dxfId="2039">
      <pivotArea dataOnly="0" labelOnly="1" outline="0" fieldPosition="0">
        <references count="4">
          <reference field="5" count="1">
            <x v="23"/>
          </reference>
          <reference field="8" count="1" selected="0">
            <x v="420"/>
          </reference>
          <reference field="11" count="1" selected="0">
            <x v="3"/>
          </reference>
          <reference field="13" count="1" selected="0">
            <x v="243"/>
          </reference>
        </references>
      </pivotArea>
    </format>
    <format dxfId="2038">
      <pivotArea dataOnly="0" labelOnly="1" outline="0" fieldPosition="0">
        <references count="4">
          <reference field="5" count="1">
            <x v="23"/>
          </reference>
          <reference field="8" count="1" selected="0">
            <x v="420"/>
          </reference>
          <reference field="11" count="1" selected="0">
            <x v="3"/>
          </reference>
          <reference field="13" count="1" selected="0">
            <x v="287"/>
          </reference>
        </references>
      </pivotArea>
    </format>
    <format dxfId="2037">
      <pivotArea dataOnly="0" labelOnly="1" outline="0" fieldPosition="0">
        <references count="4">
          <reference field="5" count="2">
            <x v="20"/>
            <x v="116"/>
          </reference>
          <reference field="8" count="1" selected="0">
            <x v="420"/>
          </reference>
          <reference field="11" count="1" selected="0">
            <x v="5"/>
          </reference>
          <reference field="13" count="1" selected="0">
            <x v="81"/>
          </reference>
        </references>
      </pivotArea>
    </format>
    <format dxfId="2036">
      <pivotArea dataOnly="0" labelOnly="1" outline="0" fieldPosition="0">
        <references count="4">
          <reference field="5" count="1">
            <x v="23"/>
          </reference>
          <reference field="8" count="1" selected="0">
            <x v="420"/>
          </reference>
          <reference field="11" count="1" selected="0">
            <x v="7"/>
          </reference>
          <reference field="13" count="1" selected="0">
            <x v="72"/>
          </reference>
        </references>
      </pivotArea>
    </format>
    <format dxfId="2035">
      <pivotArea dataOnly="0" labelOnly="1" outline="0" fieldPosition="0">
        <references count="4">
          <reference field="5" count="1">
            <x v="64"/>
          </reference>
          <reference field="8" count="1" selected="0">
            <x v="421"/>
          </reference>
          <reference field="11" count="1" selected="0">
            <x v="0"/>
          </reference>
          <reference field="13" count="1" selected="0">
            <x v="53"/>
          </reference>
        </references>
      </pivotArea>
    </format>
    <format dxfId="2034">
      <pivotArea dataOnly="0" labelOnly="1" outline="0" fieldPosition="0">
        <references count="4">
          <reference field="5" count="1">
            <x v="64"/>
          </reference>
          <reference field="8" count="1" selected="0">
            <x v="421"/>
          </reference>
          <reference field="11" count="1" selected="0">
            <x v="0"/>
          </reference>
          <reference field="13" count="1" selected="0">
            <x v="58"/>
          </reference>
        </references>
      </pivotArea>
    </format>
    <format dxfId="2033">
      <pivotArea dataOnly="0" labelOnly="1" outline="0" fieldPosition="0">
        <references count="4">
          <reference field="5" count="1">
            <x v="64"/>
          </reference>
          <reference field="8" count="1" selected="0">
            <x v="421"/>
          </reference>
          <reference field="11" count="1" selected="0">
            <x v="1"/>
          </reference>
          <reference field="13" count="1" selected="0">
            <x v="169"/>
          </reference>
        </references>
      </pivotArea>
    </format>
    <format dxfId="2032">
      <pivotArea dataOnly="0" labelOnly="1" outline="0" fieldPosition="0">
        <references count="4">
          <reference field="5" count="2">
            <x v="101"/>
            <x v="108"/>
          </reference>
          <reference field="8" count="1" selected="0">
            <x v="421"/>
          </reference>
          <reference field="11" count="1" selected="0">
            <x v="3"/>
          </reference>
          <reference field="13" count="1" selected="0">
            <x v="17"/>
          </reference>
        </references>
      </pivotArea>
    </format>
    <format dxfId="2031">
      <pivotArea dataOnly="0" labelOnly="1" outline="0" fieldPosition="0">
        <references count="4">
          <reference field="5" count="1">
            <x v="101"/>
          </reference>
          <reference field="8" count="1" selected="0">
            <x v="421"/>
          </reference>
          <reference field="11" count="1" selected="0">
            <x v="3"/>
          </reference>
          <reference field="13" count="1" selected="0">
            <x v="32"/>
          </reference>
        </references>
      </pivotArea>
    </format>
    <format dxfId="2030">
      <pivotArea dataOnly="0" labelOnly="1" outline="0" fieldPosition="0">
        <references count="4">
          <reference field="5" count="1">
            <x v="101"/>
          </reference>
          <reference field="8" count="1" selected="0">
            <x v="421"/>
          </reference>
          <reference field="11" count="1" selected="0">
            <x v="3"/>
          </reference>
          <reference field="13" count="1" selected="0">
            <x v="242"/>
          </reference>
        </references>
      </pivotArea>
    </format>
    <format dxfId="2029">
      <pivotArea dataOnly="0" labelOnly="1" outline="0" fieldPosition="0">
        <references count="4">
          <reference field="5" count="1">
            <x v="101"/>
          </reference>
          <reference field="8" count="1" selected="0">
            <x v="421"/>
          </reference>
          <reference field="11" count="1" selected="0">
            <x v="3"/>
          </reference>
          <reference field="13" count="1" selected="0">
            <x v="243"/>
          </reference>
        </references>
      </pivotArea>
    </format>
    <format dxfId="2028">
      <pivotArea dataOnly="0" labelOnly="1" outline="0" fieldPosition="0">
        <references count="4">
          <reference field="5" count="2">
            <x v="101"/>
            <x v="108"/>
          </reference>
          <reference field="8" count="1" selected="0">
            <x v="421"/>
          </reference>
          <reference field="11" count="1" selected="0">
            <x v="3"/>
          </reference>
          <reference field="13" count="1" selected="0">
            <x v="287"/>
          </reference>
        </references>
      </pivotArea>
    </format>
    <format dxfId="2027">
      <pivotArea dataOnly="0" labelOnly="1" outline="0" fieldPosition="0">
        <references count="4">
          <reference field="5" count="1">
            <x v="101"/>
          </reference>
          <reference field="8" count="1" selected="0">
            <x v="421"/>
          </reference>
          <reference field="11" count="1" selected="0">
            <x v="3"/>
          </reference>
          <reference field="13" count="1" selected="0">
            <x v="305"/>
          </reference>
        </references>
      </pivotArea>
    </format>
    <format dxfId="2026">
      <pivotArea dataOnly="0" labelOnly="1" outline="0" fieldPosition="0">
        <references count="4">
          <reference field="5" count="1">
            <x v="101"/>
          </reference>
          <reference field="8" count="1" selected="0">
            <x v="421"/>
          </reference>
          <reference field="11" count="1" selected="0">
            <x v="7"/>
          </reference>
          <reference field="13" count="1" selected="0">
            <x v="93"/>
          </reference>
        </references>
      </pivotArea>
    </format>
    <format dxfId="2025">
      <pivotArea dataOnly="0" labelOnly="1" outline="0" fieldPosition="0">
        <references count="4">
          <reference field="5" count="1">
            <x v="95"/>
          </reference>
          <reference field="8" count="1" selected="0">
            <x v="422"/>
          </reference>
          <reference field="11" count="1" selected="0">
            <x v="2"/>
          </reference>
          <reference field="13" count="1" selected="0">
            <x v="71"/>
          </reference>
        </references>
      </pivotArea>
    </format>
    <format dxfId="2024">
      <pivotArea dataOnly="0" labelOnly="1" outline="0" fieldPosition="0">
        <references count="4">
          <reference field="5" count="1">
            <x v="95"/>
          </reference>
          <reference field="8" count="1" selected="0">
            <x v="422"/>
          </reference>
          <reference field="11" count="1" selected="0">
            <x v="3"/>
          </reference>
          <reference field="13" count="1" selected="0">
            <x v="7"/>
          </reference>
        </references>
      </pivotArea>
    </format>
    <format dxfId="2023">
      <pivotArea dataOnly="0" labelOnly="1" outline="0" fieldPosition="0">
        <references count="4">
          <reference field="5" count="1">
            <x v="95"/>
          </reference>
          <reference field="8" count="1" selected="0">
            <x v="422"/>
          </reference>
          <reference field="11" count="1" selected="0">
            <x v="3"/>
          </reference>
          <reference field="13" count="1" selected="0">
            <x v="17"/>
          </reference>
        </references>
      </pivotArea>
    </format>
    <format dxfId="2022">
      <pivotArea dataOnly="0" labelOnly="1" outline="0" fieldPosition="0">
        <references count="4">
          <reference field="5" count="2">
            <x v="116"/>
            <x v="117"/>
          </reference>
          <reference field="8" count="1" selected="0">
            <x v="422"/>
          </reference>
          <reference field="11" count="1" selected="0">
            <x v="3"/>
          </reference>
          <reference field="13" count="1" selected="0">
            <x v="29"/>
          </reference>
        </references>
      </pivotArea>
    </format>
    <format dxfId="2021">
      <pivotArea dataOnly="0" labelOnly="1" outline="0" fieldPosition="0">
        <references count="4">
          <reference field="5" count="1">
            <x v="95"/>
          </reference>
          <reference field="8" count="1" selected="0">
            <x v="422"/>
          </reference>
          <reference field="11" count="1" selected="0">
            <x v="3"/>
          </reference>
          <reference field="13" count="1" selected="0">
            <x v="57"/>
          </reference>
        </references>
      </pivotArea>
    </format>
    <format dxfId="2020">
      <pivotArea dataOnly="0" labelOnly="1" outline="0" fieldPosition="0">
        <references count="4">
          <reference field="5" count="1">
            <x v="95"/>
          </reference>
          <reference field="8" count="1" selected="0">
            <x v="422"/>
          </reference>
          <reference field="11" count="1" selected="0">
            <x v="3"/>
          </reference>
          <reference field="13" count="1" selected="0">
            <x v="69"/>
          </reference>
        </references>
      </pivotArea>
    </format>
    <format dxfId="2019">
      <pivotArea dataOnly="0" labelOnly="1" outline="0" fieldPosition="0">
        <references count="4">
          <reference field="5" count="1">
            <x v="95"/>
          </reference>
          <reference field="8" count="1" selected="0">
            <x v="422"/>
          </reference>
          <reference field="11" count="1" selected="0">
            <x v="3"/>
          </reference>
          <reference field="13" count="1" selected="0">
            <x v="131"/>
          </reference>
        </references>
      </pivotArea>
    </format>
    <format dxfId="2018">
      <pivotArea dataOnly="0" labelOnly="1" outline="0" fieldPosition="0">
        <references count="4">
          <reference field="5" count="1">
            <x v="95"/>
          </reference>
          <reference field="8" count="1" selected="0">
            <x v="422"/>
          </reference>
          <reference field="11" count="1" selected="0">
            <x v="3"/>
          </reference>
          <reference field="13" count="1" selected="0">
            <x v="163"/>
          </reference>
        </references>
      </pivotArea>
    </format>
    <format dxfId="2017">
      <pivotArea dataOnly="0" labelOnly="1" outline="0" fieldPosition="0">
        <references count="4">
          <reference field="5" count="1">
            <x v="117"/>
          </reference>
          <reference field="8" count="1" selected="0">
            <x v="422"/>
          </reference>
          <reference field="11" count="1" selected="0">
            <x v="3"/>
          </reference>
          <reference field="13" count="1" selected="0">
            <x v="218"/>
          </reference>
        </references>
      </pivotArea>
    </format>
    <format dxfId="2016">
      <pivotArea dataOnly="0" labelOnly="1" outline="0" fieldPosition="0">
        <references count="4">
          <reference field="5" count="1">
            <x v="95"/>
          </reference>
          <reference field="8" count="1" selected="0">
            <x v="422"/>
          </reference>
          <reference field="11" count="1" selected="0">
            <x v="3"/>
          </reference>
          <reference field="13" count="1" selected="0">
            <x v="240"/>
          </reference>
        </references>
      </pivotArea>
    </format>
    <format dxfId="2015">
      <pivotArea dataOnly="0" labelOnly="1" outline="0" fieldPosition="0">
        <references count="4">
          <reference field="5" count="1">
            <x v="95"/>
          </reference>
          <reference field="8" count="1" selected="0">
            <x v="422"/>
          </reference>
          <reference field="11" count="1" selected="0">
            <x v="3"/>
          </reference>
          <reference field="13" count="1" selected="0">
            <x v="242"/>
          </reference>
        </references>
      </pivotArea>
    </format>
    <format dxfId="2014">
      <pivotArea dataOnly="0" labelOnly="1" outline="0" fieldPosition="0">
        <references count="4">
          <reference field="5" count="1">
            <x v="95"/>
          </reference>
          <reference field="8" count="1" selected="0">
            <x v="422"/>
          </reference>
          <reference field="11" count="1" selected="0">
            <x v="3"/>
          </reference>
          <reference field="13" count="1" selected="0">
            <x v="243"/>
          </reference>
        </references>
      </pivotArea>
    </format>
    <format dxfId="2013">
      <pivotArea dataOnly="0" labelOnly="1" outline="0" fieldPosition="0">
        <references count="4">
          <reference field="5" count="1">
            <x v="95"/>
          </reference>
          <reference field="8" count="1" selected="0">
            <x v="422"/>
          </reference>
          <reference field="11" count="1" selected="0">
            <x v="3"/>
          </reference>
          <reference field="13" count="1" selected="0">
            <x v="251"/>
          </reference>
        </references>
      </pivotArea>
    </format>
    <format dxfId="2012">
      <pivotArea dataOnly="0" labelOnly="1" outline="0" fieldPosition="0">
        <references count="4">
          <reference field="5" count="2">
            <x v="62"/>
            <x v="95"/>
          </reference>
          <reference field="8" count="1" selected="0">
            <x v="422"/>
          </reference>
          <reference field="11" count="1" selected="0">
            <x v="3"/>
          </reference>
          <reference field="13" count="1" selected="0">
            <x v="287"/>
          </reference>
        </references>
      </pivotArea>
    </format>
    <format dxfId="2011">
      <pivotArea dataOnly="0" labelOnly="1" outline="0" fieldPosition="0">
        <references count="4">
          <reference field="5" count="1">
            <x v="95"/>
          </reference>
          <reference field="8" count="1" selected="0">
            <x v="422"/>
          </reference>
          <reference field="11" count="1" selected="0">
            <x v="3"/>
          </reference>
          <reference field="13" count="1" selected="0">
            <x v="313"/>
          </reference>
        </references>
      </pivotArea>
    </format>
    <format dxfId="2010">
      <pivotArea dataOnly="0" labelOnly="1" outline="0" fieldPosition="0">
        <references count="4">
          <reference field="5" count="1">
            <x v="117"/>
          </reference>
          <reference field="8" count="1" selected="0">
            <x v="422"/>
          </reference>
          <reference field="11" count="1" selected="0">
            <x v="3"/>
          </reference>
          <reference field="13" count="1" selected="0">
            <x v="314"/>
          </reference>
        </references>
      </pivotArea>
    </format>
    <format dxfId="2009">
      <pivotArea dataOnly="0" labelOnly="1" outline="0" fieldPosition="0">
        <references count="4">
          <reference field="5" count="1">
            <x v="95"/>
          </reference>
          <reference field="8" count="1" selected="0">
            <x v="422"/>
          </reference>
          <reference field="11" count="1" selected="0">
            <x v="5"/>
          </reference>
          <reference field="13" count="1" selected="0">
            <x v="81"/>
          </reference>
        </references>
      </pivotArea>
    </format>
    <format dxfId="2008">
      <pivotArea dataOnly="0" labelOnly="1" outline="0" fieldPosition="0">
        <references count="4">
          <reference field="5" count="1">
            <x v="95"/>
          </reference>
          <reference field="8" count="1" selected="0">
            <x v="422"/>
          </reference>
          <reference field="11" count="1" selected="0">
            <x v="7"/>
          </reference>
          <reference field="13" count="1" selected="0">
            <x v="8"/>
          </reference>
        </references>
      </pivotArea>
    </format>
    <format dxfId="2007">
      <pivotArea dataOnly="0" labelOnly="1" outline="0" fieldPosition="0">
        <references count="4">
          <reference field="5" count="1">
            <x v="95"/>
          </reference>
          <reference field="8" count="1" selected="0">
            <x v="422"/>
          </reference>
          <reference field="11" count="1" selected="0">
            <x v="7"/>
          </reference>
          <reference field="13" count="1" selected="0">
            <x v="72"/>
          </reference>
        </references>
      </pivotArea>
    </format>
    <format dxfId="2006">
      <pivotArea dataOnly="0" labelOnly="1" outline="0" fieldPosition="0">
        <references count="4">
          <reference field="5" count="1">
            <x v="110"/>
          </reference>
          <reference field="8" count="1" selected="0">
            <x v="423"/>
          </reference>
          <reference field="11" count="1" selected="0">
            <x v="3"/>
          </reference>
          <reference field="13" count="1" selected="0">
            <x v="7"/>
          </reference>
        </references>
      </pivotArea>
    </format>
    <format dxfId="2005">
      <pivotArea dataOnly="0" labelOnly="1" outline="0" fieldPosition="0">
        <references count="4">
          <reference field="5" count="1">
            <x v="110"/>
          </reference>
          <reference field="8" count="1" selected="0">
            <x v="423"/>
          </reference>
          <reference field="11" count="1" selected="0">
            <x v="3"/>
          </reference>
          <reference field="13" count="1" selected="0">
            <x v="17"/>
          </reference>
        </references>
      </pivotArea>
    </format>
    <format dxfId="2004">
      <pivotArea dataOnly="0" labelOnly="1" outline="0" fieldPosition="0">
        <references count="4">
          <reference field="5" count="1">
            <x v="110"/>
          </reference>
          <reference field="8" count="1" selected="0">
            <x v="423"/>
          </reference>
          <reference field="11" count="1" selected="0">
            <x v="3"/>
          </reference>
          <reference field="13" count="1" selected="0">
            <x v="32"/>
          </reference>
        </references>
      </pivotArea>
    </format>
    <format dxfId="2003">
      <pivotArea dataOnly="0" labelOnly="1" outline="0" fieldPosition="0">
        <references count="4">
          <reference field="5" count="1">
            <x v="110"/>
          </reference>
          <reference field="8" count="1" selected="0">
            <x v="423"/>
          </reference>
          <reference field="11" count="1" selected="0">
            <x v="3"/>
          </reference>
          <reference field="13" count="1" selected="0">
            <x v="57"/>
          </reference>
        </references>
      </pivotArea>
    </format>
    <format dxfId="2002">
      <pivotArea dataOnly="0" labelOnly="1" outline="0" fieldPosition="0">
        <references count="4">
          <reference field="5" count="1">
            <x v="110"/>
          </reference>
          <reference field="8" count="1" selected="0">
            <x v="423"/>
          </reference>
          <reference field="11" count="1" selected="0">
            <x v="3"/>
          </reference>
          <reference field="13" count="1" selected="0">
            <x v="69"/>
          </reference>
        </references>
      </pivotArea>
    </format>
    <format dxfId="2001">
      <pivotArea dataOnly="0" labelOnly="1" outline="0" fieldPosition="0">
        <references count="4">
          <reference field="5" count="1">
            <x v="23"/>
          </reference>
          <reference field="8" count="1" selected="0">
            <x v="423"/>
          </reference>
          <reference field="11" count="1" selected="0">
            <x v="3"/>
          </reference>
          <reference field="13" count="1" selected="0">
            <x v="92"/>
          </reference>
        </references>
      </pivotArea>
    </format>
    <format dxfId="2000">
      <pivotArea dataOnly="0" labelOnly="1" outline="0" fieldPosition="0">
        <references count="4">
          <reference field="5" count="1">
            <x v="110"/>
          </reference>
          <reference field="8" count="1" selected="0">
            <x v="423"/>
          </reference>
          <reference field="11" count="1" selected="0">
            <x v="3"/>
          </reference>
          <reference field="13" count="1" selected="0">
            <x v="163"/>
          </reference>
        </references>
      </pivotArea>
    </format>
    <format dxfId="1999">
      <pivotArea dataOnly="0" labelOnly="1" outline="0" fieldPosition="0">
        <references count="4">
          <reference field="5" count="1">
            <x v="110"/>
          </reference>
          <reference field="8" count="1" selected="0">
            <x v="423"/>
          </reference>
          <reference field="11" count="1" selected="0">
            <x v="3"/>
          </reference>
          <reference field="13" count="1" selected="0">
            <x v="242"/>
          </reference>
        </references>
      </pivotArea>
    </format>
    <format dxfId="1998">
      <pivotArea dataOnly="0" labelOnly="1" outline="0" fieldPosition="0">
        <references count="4">
          <reference field="5" count="1">
            <x v="110"/>
          </reference>
          <reference field="8" count="1" selected="0">
            <x v="423"/>
          </reference>
          <reference field="11" count="1" selected="0">
            <x v="3"/>
          </reference>
          <reference field="13" count="1" selected="0">
            <x v="243"/>
          </reference>
        </references>
      </pivotArea>
    </format>
    <format dxfId="1997">
      <pivotArea dataOnly="0" labelOnly="1" outline="0" fieldPosition="0">
        <references count="4">
          <reference field="5" count="2">
            <x v="116"/>
            <x v="117"/>
          </reference>
          <reference field="8" count="1" selected="0">
            <x v="423"/>
          </reference>
          <reference field="11" count="1" selected="0">
            <x v="3"/>
          </reference>
          <reference field="13" count="1" selected="0">
            <x v="287"/>
          </reference>
        </references>
      </pivotArea>
    </format>
    <format dxfId="1996">
      <pivotArea dataOnly="0" labelOnly="1" outline="0" fieldPosition="0">
        <references count="4">
          <reference field="5" count="1">
            <x v="110"/>
          </reference>
          <reference field="8" count="1" selected="0">
            <x v="423"/>
          </reference>
          <reference field="11" count="1" selected="0">
            <x v="3"/>
          </reference>
          <reference field="13" count="1" selected="0">
            <x v="296"/>
          </reference>
        </references>
      </pivotArea>
    </format>
    <format dxfId="1995">
      <pivotArea dataOnly="0" labelOnly="1" outline="0" fieldPosition="0">
        <references count="4">
          <reference field="5" count="1">
            <x v="110"/>
          </reference>
          <reference field="8" count="1" selected="0">
            <x v="423"/>
          </reference>
          <reference field="11" count="1" selected="0">
            <x v="3"/>
          </reference>
          <reference field="13" count="1" selected="0">
            <x v="305"/>
          </reference>
        </references>
      </pivotArea>
    </format>
    <format dxfId="1994">
      <pivotArea dataOnly="0" labelOnly="1" outline="0" fieldPosition="0">
        <references count="4">
          <reference field="5" count="2">
            <x v="110"/>
            <x v="116"/>
          </reference>
          <reference field="8" count="1" selected="0">
            <x v="423"/>
          </reference>
          <reference field="11" count="1" selected="0">
            <x v="5"/>
          </reference>
          <reference field="13" count="1" selected="0">
            <x v="81"/>
          </reference>
        </references>
      </pivotArea>
    </format>
    <format dxfId="1993">
      <pivotArea dataOnly="0" labelOnly="1" outline="0" fieldPosition="0">
        <references count="4">
          <reference field="5" count="1">
            <x v="20"/>
          </reference>
          <reference field="8" count="1" selected="0">
            <x v="423"/>
          </reference>
          <reference field="11" count="1" selected="0">
            <x v="5"/>
          </reference>
          <reference field="13" count="1" selected="0">
            <x v="255"/>
          </reference>
        </references>
      </pivotArea>
    </format>
    <format dxfId="1992">
      <pivotArea dataOnly="0" labelOnly="1" outline="0" fieldPosition="0">
        <references count="4">
          <reference field="5" count="1">
            <x v="27"/>
          </reference>
          <reference field="8" count="1" selected="0">
            <x v="424"/>
          </reference>
          <reference field="11" count="1" selected="0">
            <x v="0"/>
          </reference>
          <reference field="13" count="1" selected="0">
            <x v="221"/>
          </reference>
        </references>
      </pivotArea>
    </format>
    <format dxfId="1991">
      <pivotArea dataOnly="0" labelOnly="1" outline="0" fieldPosition="0">
        <references count="4">
          <reference field="5" count="1">
            <x v="27"/>
          </reference>
          <reference field="8" count="1" selected="0">
            <x v="424"/>
          </reference>
          <reference field="11" count="1" selected="0">
            <x v="3"/>
          </reference>
          <reference field="13" count="1" selected="0">
            <x v="7"/>
          </reference>
        </references>
      </pivotArea>
    </format>
    <format dxfId="1990">
      <pivotArea dataOnly="0" labelOnly="1" outline="0" fieldPosition="0">
        <references count="4">
          <reference field="5" count="1">
            <x v="27"/>
          </reference>
          <reference field="8" count="1" selected="0">
            <x v="424"/>
          </reference>
          <reference field="11" count="1" selected="0">
            <x v="3"/>
          </reference>
          <reference field="13" count="1" selected="0">
            <x v="69"/>
          </reference>
        </references>
      </pivotArea>
    </format>
    <format dxfId="1989">
      <pivotArea dataOnly="0" labelOnly="1" outline="0" fieldPosition="0">
        <references count="4">
          <reference field="5" count="1">
            <x v="27"/>
          </reference>
          <reference field="8" count="1" selected="0">
            <x v="424"/>
          </reference>
          <reference field="11" count="1" selected="0">
            <x v="3"/>
          </reference>
          <reference field="13" count="1" selected="0">
            <x v="78"/>
          </reference>
        </references>
      </pivotArea>
    </format>
    <format dxfId="1988">
      <pivotArea dataOnly="0" labelOnly="1" outline="0" fieldPosition="0">
        <references count="4">
          <reference field="5" count="1">
            <x v="72"/>
          </reference>
          <reference field="8" count="1" selected="0">
            <x v="424"/>
          </reference>
          <reference field="11" count="1" selected="0">
            <x v="3"/>
          </reference>
          <reference field="13" count="1" selected="0">
            <x v="83"/>
          </reference>
        </references>
      </pivotArea>
    </format>
    <format dxfId="1987">
      <pivotArea dataOnly="0" labelOnly="1" outline="0" fieldPosition="0">
        <references count="4">
          <reference field="5" count="1">
            <x v="27"/>
          </reference>
          <reference field="8" count="1" selected="0">
            <x v="424"/>
          </reference>
          <reference field="11" count="1" selected="0">
            <x v="3"/>
          </reference>
          <reference field="13" count="1" selected="0">
            <x v="240"/>
          </reference>
        </references>
      </pivotArea>
    </format>
    <format dxfId="1986">
      <pivotArea dataOnly="0" labelOnly="1" outline="0" fieldPosition="0">
        <references count="4">
          <reference field="5" count="1">
            <x v="27"/>
          </reference>
          <reference field="8" count="1" selected="0">
            <x v="424"/>
          </reference>
          <reference field="11" count="1" selected="0">
            <x v="3"/>
          </reference>
          <reference field="13" count="1" selected="0">
            <x v="242"/>
          </reference>
        </references>
      </pivotArea>
    </format>
    <format dxfId="1985">
      <pivotArea dataOnly="0" labelOnly="1" outline="0" fieldPosition="0">
        <references count="4">
          <reference field="5" count="1">
            <x v="27"/>
          </reference>
          <reference field="8" count="1" selected="0">
            <x v="424"/>
          </reference>
          <reference field="11" count="1" selected="0">
            <x v="3"/>
          </reference>
          <reference field="13" count="1" selected="0">
            <x v="243"/>
          </reference>
        </references>
      </pivotArea>
    </format>
    <format dxfId="1984">
      <pivotArea dataOnly="0" labelOnly="1" outline="0" fieldPosition="0">
        <references count="4">
          <reference field="5" count="1">
            <x v="27"/>
          </reference>
          <reference field="8" count="1" selected="0">
            <x v="424"/>
          </reference>
          <reference field="11" count="1" selected="0">
            <x v="3"/>
          </reference>
          <reference field="13" count="1" selected="0">
            <x v="287"/>
          </reference>
        </references>
      </pivotArea>
    </format>
    <format dxfId="1983">
      <pivotArea dataOnly="0" labelOnly="1" outline="0" fieldPosition="0">
        <references count="4">
          <reference field="5" count="2">
            <x v="20"/>
            <x v="116"/>
          </reference>
          <reference field="8" count="1" selected="0">
            <x v="424"/>
          </reference>
          <reference field="11" count="1" selected="0">
            <x v="5"/>
          </reference>
          <reference field="13" count="1" selected="0">
            <x v="81"/>
          </reference>
        </references>
      </pivotArea>
    </format>
    <format dxfId="1982">
      <pivotArea dataOnly="0" labelOnly="1" outline="0" fieldPosition="0">
        <references count="4">
          <reference field="5" count="1">
            <x v="20"/>
          </reference>
          <reference field="8" count="1" selected="0">
            <x v="424"/>
          </reference>
          <reference field="11" count="1" selected="0">
            <x v="5"/>
          </reference>
          <reference field="13" count="1" selected="0">
            <x v="255"/>
          </reference>
        </references>
      </pivotArea>
    </format>
    <format dxfId="1981">
      <pivotArea dataOnly="0" labelOnly="1" outline="0" fieldPosition="0">
        <references count="4">
          <reference field="5" count="1">
            <x v="37"/>
          </reference>
          <reference field="8" count="1" selected="0">
            <x v="425"/>
          </reference>
          <reference field="11" count="1" selected="0">
            <x v="3"/>
          </reference>
          <reference field="13" count="1" selected="0">
            <x v="32"/>
          </reference>
        </references>
      </pivotArea>
    </format>
    <format dxfId="1980">
      <pivotArea dataOnly="0" labelOnly="1" outline="0" fieldPosition="0">
        <references count="4">
          <reference field="5" count="1">
            <x v="37"/>
          </reference>
          <reference field="8" count="1" selected="0">
            <x v="425"/>
          </reference>
          <reference field="11" count="1" selected="0">
            <x v="3"/>
          </reference>
          <reference field="13" count="1" selected="0">
            <x v="69"/>
          </reference>
        </references>
      </pivotArea>
    </format>
    <format dxfId="1979">
      <pivotArea dataOnly="0" labelOnly="1" outline="0" fieldPosition="0">
        <references count="4">
          <reference field="5" count="1">
            <x v="37"/>
          </reference>
          <reference field="8" count="1" selected="0">
            <x v="425"/>
          </reference>
          <reference field="11" count="1" selected="0">
            <x v="3"/>
          </reference>
          <reference field="13" count="1" selected="0">
            <x v="240"/>
          </reference>
        </references>
      </pivotArea>
    </format>
    <format dxfId="1978">
      <pivotArea dataOnly="0" labelOnly="1" outline="0" fieldPosition="0">
        <references count="4">
          <reference field="5" count="3">
            <x v="23"/>
            <x v="37"/>
            <x v="67"/>
          </reference>
          <reference field="8" count="1" selected="0">
            <x v="425"/>
          </reference>
          <reference field="11" count="1" selected="0">
            <x v="3"/>
          </reference>
          <reference field="13" count="1" selected="0">
            <x v="242"/>
          </reference>
        </references>
      </pivotArea>
    </format>
    <format dxfId="1977">
      <pivotArea dataOnly="0" labelOnly="1" outline="0" fieldPosition="0">
        <references count="4">
          <reference field="5" count="4">
            <x v="23"/>
            <x v="37"/>
            <x v="43"/>
            <x v="67"/>
          </reference>
          <reference field="8" count="1" selected="0">
            <x v="425"/>
          </reference>
          <reference field="11" count="1" selected="0">
            <x v="3"/>
          </reference>
          <reference field="13" count="1" selected="0">
            <x v="243"/>
          </reference>
        </references>
      </pivotArea>
    </format>
    <format dxfId="1976">
      <pivotArea dataOnly="0" labelOnly="1" outline="0" fieldPosition="0">
        <references count="4">
          <reference field="5" count="2">
            <x v="37"/>
            <x v="67"/>
          </reference>
          <reference field="8" count="1" selected="0">
            <x v="425"/>
          </reference>
          <reference field="11" count="1" selected="0">
            <x v="3"/>
          </reference>
          <reference field="13" count="1" selected="0">
            <x v="287"/>
          </reference>
        </references>
      </pivotArea>
    </format>
    <format dxfId="1975">
      <pivotArea dataOnly="0" labelOnly="1" outline="0" fieldPosition="0">
        <references count="4">
          <reference field="5" count="1">
            <x v="43"/>
          </reference>
          <reference field="8" count="1" selected="0">
            <x v="425"/>
          </reference>
          <reference field="11" count="1" selected="0">
            <x v="4"/>
          </reference>
          <reference field="13" count="1" selected="0">
            <x v="158"/>
          </reference>
        </references>
      </pivotArea>
    </format>
    <format dxfId="1974">
      <pivotArea dataOnly="0" labelOnly="1" outline="0" fieldPosition="0">
        <references count="4">
          <reference field="5" count="1">
            <x v="20"/>
          </reference>
          <reference field="8" count="1" selected="0">
            <x v="425"/>
          </reference>
          <reference field="11" count="1" selected="0">
            <x v="5"/>
          </reference>
          <reference field="13" count="1" selected="0">
            <x v="81"/>
          </reference>
        </references>
      </pivotArea>
    </format>
    <format dxfId="1973">
      <pivotArea dataOnly="0" labelOnly="1" outline="0" fieldPosition="0">
        <references count="4">
          <reference field="5" count="2">
            <x v="37"/>
            <x v="67"/>
          </reference>
          <reference field="8" count="1" selected="0">
            <x v="425"/>
          </reference>
          <reference field="11" count="1" selected="0">
            <x v="5"/>
          </reference>
          <reference field="13" count="1" selected="0">
            <x v="96"/>
          </reference>
        </references>
      </pivotArea>
    </format>
    <format dxfId="1972">
      <pivotArea dataOnly="0" labelOnly="1" outline="0" fieldPosition="0">
        <references count="4">
          <reference field="5" count="1">
            <x v="20"/>
          </reference>
          <reference field="8" count="1" selected="0">
            <x v="425"/>
          </reference>
          <reference field="11" count="1" selected="0">
            <x v="5"/>
          </reference>
          <reference field="13" count="1" selected="0">
            <x v="255"/>
          </reference>
        </references>
      </pivotArea>
    </format>
    <format dxfId="1971">
      <pivotArea dataOnly="0" labelOnly="1" outline="0" fieldPosition="0">
        <references count="4">
          <reference field="5" count="1">
            <x v="78"/>
          </reference>
          <reference field="8" count="1" selected="0">
            <x v="426"/>
          </reference>
          <reference field="11" count="1" selected="0">
            <x v="3"/>
          </reference>
          <reference field="13" count="1" selected="0">
            <x v="57"/>
          </reference>
        </references>
      </pivotArea>
    </format>
    <format dxfId="1970">
      <pivotArea dataOnly="0" labelOnly="1" outline="0" fieldPosition="0">
        <references count="4">
          <reference field="5" count="1">
            <x v="78"/>
          </reference>
          <reference field="8" count="1" selected="0">
            <x v="426"/>
          </reference>
          <reference field="11" count="1" selected="0">
            <x v="3"/>
          </reference>
          <reference field="13" count="1" selected="0">
            <x v="69"/>
          </reference>
        </references>
      </pivotArea>
    </format>
    <format dxfId="1969">
      <pivotArea dataOnly="0" labelOnly="1" outline="0" fieldPosition="0">
        <references count="4">
          <reference field="5" count="1">
            <x v="78"/>
          </reference>
          <reference field="8" count="1" selected="0">
            <x v="426"/>
          </reference>
          <reference field="11" count="1" selected="0">
            <x v="3"/>
          </reference>
          <reference field="13" count="1" selected="0">
            <x v="287"/>
          </reference>
        </references>
      </pivotArea>
    </format>
    <format dxfId="1968">
      <pivotArea dataOnly="0" labelOnly="1" outline="0" fieldPosition="0">
        <references count="4">
          <reference field="5" count="1">
            <x v="78"/>
          </reference>
          <reference field="8" count="1" selected="0">
            <x v="426"/>
          </reference>
          <reference field="11" count="1" selected="0">
            <x v="7"/>
          </reference>
          <reference field="13" count="1" selected="0">
            <x v="72"/>
          </reference>
        </references>
      </pivotArea>
    </format>
    <format dxfId="1967">
      <pivotArea dataOnly="0" labelOnly="1" outline="0" fieldPosition="0">
        <references count="4">
          <reference field="5" count="1">
            <x v="35"/>
          </reference>
          <reference field="8" count="1" selected="0">
            <x v="427"/>
          </reference>
          <reference field="11" count="1" selected="0">
            <x v="3"/>
          </reference>
          <reference field="13" count="1" selected="0">
            <x v="32"/>
          </reference>
        </references>
      </pivotArea>
    </format>
    <format dxfId="1966">
      <pivotArea dataOnly="0" labelOnly="1" outline="0" fieldPosition="0">
        <references count="4">
          <reference field="5" count="1">
            <x v="35"/>
          </reference>
          <reference field="8" count="1" selected="0">
            <x v="427"/>
          </reference>
          <reference field="11" count="1" selected="0">
            <x v="3"/>
          </reference>
          <reference field="13" count="1" selected="0">
            <x v="57"/>
          </reference>
        </references>
      </pivotArea>
    </format>
    <format dxfId="1965">
      <pivotArea dataOnly="0" labelOnly="1" outline="0" fieldPosition="0">
        <references count="4">
          <reference field="5" count="1">
            <x v="35"/>
          </reference>
          <reference field="8" count="1" selected="0">
            <x v="427"/>
          </reference>
          <reference field="11" count="1" selected="0">
            <x v="3"/>
          </reference>
          <reference field="13" count="1" selected="0">
            <x v="240"/>
          </reference>
        </references>
      </pivotArea>
    </format>
    <format dxfId="1964">
      <pivotArea dataOnly="0" labelOnly="1" outline="0" fieldPosition="0">
        <references count="4">
          <reference field="5" count="1">
            <x v="35"/>
          </reference>
          <reference field="8" count="1" selected="0">
            <x v="427"/>
          </reference>
          <reference field="11" count="1" selected="0">
            <x v="3"/>
          </reference>
          <reference field="13" count="1" selected="0">
            <x v="242"/>
          </reference>
        </references>
      </pivotArea>
    </format>
    <format dxfId="1963">
      <pivotArea dataOnly="0" labelOnly="1" outline="0" fieldPosition="0">
        <references count="4">
          <reference field="5" count="1">
            <x v="35"/>
          </reference>
          <reference field="8" count="1" selected="0">
            <x v="427"/>
          </reference>
          <reference field="11" count="1" selected="0">
            <x v="3"/>
          </reference>
          <reference field="13" count="1" selected="0">
            <x v="243"/>
          </reference>
        </references>
      </pivotArea>
    </format>
    <format dxfId="1962">
      <pivotArea dataOnly="0" labelOnly="1" outline="0" fieldPosition="0">
        <references count="4">
          <reference field="5" count="1">
            <x v="35"/>
          </reference>
          <reference field="8" count="1" selected="0">
            <x v="427"/>
          </reference>
          <reference field="11" count="1" selected="0">
            <x v="3"/>
          </reference>
          <reference field="13" count="1" selected="0">
            <x v="287"/>
          </reference>
        </references>
      </pivotArea>
    </format>
    <format dxfId="1961">
      <pivotArea dataOnly="0" labelOnly="1" outline="0" fieldPosition="0">
        <references count="4">
          <reference field="5" count="1">
            <x v="35"/>
          </reference>
          <reference field="8" count="1" selected="0">
            <x v="427"/>
          </reference>
          <reference field="11" count="1" selected="0">
            <x v="4"/>
          </reference>
          <reference field="13" count="1" selected="0">
            <x v="133"/>
          </reference>
        </references>
      </pivotArea>
    </format>
    <format dxfId="1960">
      <pivotArea dataOnly="0" labelOnly="1" outline="0" fieldPosition="0">
        <references count="4">
          <reference field="5" count="2">
            <x v="20"/>
            <x v="35"/>
          </reference>
          <reference field="8" count="1" selected="0">
            <x v="427"/>
          </reference>
          <reference field="11" count="1" selected="0">
            <x v="5"/>
          </reference>
          <reference field="13" count="1" selected="0">
            <x v="77"/>
          </reference>
        </references>
      </pivotArea>
    </format>
    <format dxfId="1959">
      <pivotArea dataOnly="0" labelOnly="1" outline="0" fieldPosition="0">
        <references count="4">
          <reference field="5" count="2">
            <x v="35"/>
            <x v="116"/>
          </reference>
          <reference field="8" count="1" selected="0">
            <x v="427"/>
          </reference>
          <reference field="11" count="1" selected="0">
            <x v="5"/>
          </reference>
          <reference field="13" count="1" selected="0">
            <x v="81"/>
          </reference>
        </references>
      </pivotArea>
    </format>
    <format dxfId="1958">
      <pivotArea dataOnly="0" labelOnly="1" outline="0" fieldPosition="0">
        <references count="4">
          <reference field="5" count="1">
            <x v="35"/>
          </reference>
          <reference field="8" count="1" selected="0">
            <x v="427"/>
          </reference>
          <reference field="11" count="1" selected="0">
            <x v="5"/>
          </reference>
          <reference field="13" count="1" selected="0">
            <x v="99"/>
          </reference>
        </references>
      </pivotArea>
    </format>
    <format dxfId="1957">
      <pivotArea dataOnly="0" labelOnly="1" outline="0" fieldPosition="0">
        <references count="4">
          <reference field="5" count="2">
            <x v="20"/>
            <x v="35"/>
          </reference>
          <reference field="8" count="1" selected="0">
            <x v="427"/>
          </reference>
          <reference field="11" count="1" selected="0">
            <x v="5"/>
          </reference>
          <reference field="13" count="1" selected="0">
            <x v="255"/>
          </reference>
        </references>
      </pivotArea>
    </format>
    <format dxfId="1956">
      <pivotArea dataOnly="0" labelOnly="1" outline="0" fieldPosition="0">
        <references count="4">
          <reference field="5" count="1">
            <x v="51"/>
          </reference>
          <reference field="8" count="1" selected="0">
            <x v="428"/>
          </reference>
          <reference field="11" count="1" selected="0">
            <x v="2"/>
          </reference>
          <reference field="13" count="1" selected="0">
            <x v="55"/>
          </reference>
        </references>
      </pivotArea>
    </format>
    <format dxfId="1955">
      <pivotArea dataOnly="0" labelOnly="1" outline="0" fieldPosition="0">
        <references count="4">
          <reference field="5" count="1">
            <x v="51"/>
          </reference>
          <reference field="8" count="1" selected="0">
            <x v="428"/>
          </reference>
          <reference field="11" count="1" selected="0">
            <x v="2"/>
          </reference>
          <reference field="13" count="1" selected="0">
            <x v="263"/>
          </reference>
        </references>
      </pivotArea>
    </format>
    <format dxfId="1954">
      <pivotArea dataOnly="0" labelOnly="1" outline="0" fieldPosition="0">
        <references count="4">
          <reference field="5" count="1">
            <x v="37"/>
          </reference>
          <reference field="8" count="1" selected="0">
            <x v="428"/>
          </reference>
          <reference field="11" count="1" selected="0">
            <x v="3"/>
          </reference>
          <reference field="13" count="1" selected="0">
            <x v="4"/>
          </reference>
        </references>
      </pivotArea>
    </format>
    <format dxfId="1953">
      <pivotArea dataOnly="0" labelOnly="1" outline="0" fieldPosition="0">
        <references count="4">
          <reference field="5" count="3">
            <x v="34"/>
            <x v="37"/>
            <x v="51"/>
          </reference>
          <reference field="8" count="1" selected="0">
            <x v="428"/>
          </reference>
          <reference field="11" count="1" selected="0">
            <x v="3"/>
          </reference>
          <reference field="13" count="1" selected="0">
            <x v="69"/>
          </reference>
        </references>
      </pivotArea>
    </format>
    <format dxfId="1952">
      <pivotArea dataOnly="0" labelOnly="1" outline="0" fieldPosition="0">
        <references count="4">
          <reference field="5" count="1">
            <x v="37"/>
          </reference>
          <reference field="8" count="1" selected="0">
            <x v="428"/>
          </reference>
          <reference field="11" count="1" selected="0">
            <x v="3"/>
          </reference>
          <reference field="13" count="1" selected="0">
            <x v="105"/>
          </reference>
        </references>
      </pivotArea>
    </format>
    <format dxfId="1951">
      <pivotArea dataOnly="0" labelOnly="1" outline="0" fieldPosition="0">
        <references count="4">
          <reference field="5" count="1">
            <x v="51"/>
          </reference>
          <reference field="8" count="1" selected="0">
            <x v="428"/>
          </reference>
          <reference field="11" count="1" selected="0">
            <x v="3"/>
          </reference>
          <reference field="13" count="1" selected="0">
            <x v="163"/>
          </reference>
        </references>
      </pivotArea>
    </format>
    <format dxfId="1950">
      <pivotArea dataOnly="0" labelOnly="1" outline="0" fieldPosition="0">
        <references count="4">
          <reference field="5" count="3">
            <x v="34"/>
            <x v="37"/>
            <x v="51"/>
          </reference>
          <reference field="8" count="1" selected="0">
            <x v="428"/>
          </reference>
          <reference field="11" count="1" selected="0">
            <x v="3"/>
          </reference>
          <reference field="13" count="1" selected="0">
            <x v="240"/>
          </reference>
        </references>
      </pivotArea>
    </format>
    <format dxfId="1949">
      <pivotArea dataOnly="0" labelOnly="1" outline="0" fieldPosition="0">
        <references count="4">
          <reference field="5" count="2">
            <x v="37"/>
            <x v="51"/>
          </reference>
          <reference field="8" count="1" selected="0">
            <x v="428"/>
          </reference>
          <reference field="11" count="1" selected="0">
            <x v="3"/>
          </reference>
          <reference field="13" count="1" selected="0">
            <x v="242"/>
          </reference>
        </references>
      </pivotArea>
    </format>
    <format dxfId="1948">
      <pivotArea dataOnly="0" labelOnly="1" outline="0" fieldPosition="0">
        <references count="4">
          <reference field="5" count="2">
            <x v="37"/>
            <x v="51"/>
          </reference>
          <reference field="8" count="1" selected="0">
            <x v="428"/>
          </reference>
          <reference field="11" count="1" selected="0">
            <x v="3"/>
          </reference>
          <reference field="13" count="1" selected="0">
            <x v="243"/>
          </reference>
        </references>
      </pivotArea>
    </format>
    <format dxfId="1947">
      <pivotArea dataOnly="0" labelOnly="1" outline="0" fieldPosition="0">
        <references count="4">
          <reference field="5" count="2">
            <x v="37"/>
            <x v="51"/>
          </reference>
          <reference field="8" count="1" selected="0">
            <x v="428"/>
          </reference>
          <reference field="11" count="1" selected="0">
            <x v="3"/>
          </reference>
          <reference field="13" count="1" selected="0">
            <x v="287"/>
          </reference>
        </references>
      </pivotArea>
    </format>
    <format dxfId="1946">
      <pivotArea dataOnly="0" labelOnly="1" outline="0" fieldPosition="0">
        <references count="4">
          <reference field="5" count="1">
            <x v="51"/>
          </reference>
          <reference field="8" count="1" selected="0">
            <x v="428"/>
          </reference>
          <reference field="11" count="1" selected="0">
            <x v="4"/>
          </reference>
          <reference field="13" count="1" selected="0">
            <x v="150"/>
          </reference>
        </references>
      </pivotArea>
    </format>
    <format dxfId="1945">
      <pivotArea dataOnly="0" labelOnly="1" outline="0" fieldPosition="0">
        <references count="4">
          <reference field="5" count="5">
            <x v="20"/>
            <x v="34"/>
            <x v="37"/>
            <x v="51"/>
            <x v="116"/>
          </reference>
          <reference field="8" count="1" selected="0">
            <x v="428"/>
          </reference>
          <reference field="11" count="1" selected="0">
            <x v="5"/>
          </reference>
          <reference field="13" count="1" selected="0">
            <x v="77"/>
          </reference>
        </references>
      </pivotArea>
    </format>
    <format dxfId="1944">
      <pivotArea dataOnly="0" labelOnly="1" outline="0" fieldPosition="0">
        <references count="4">
          <reference field="5" count="2">
            <x v="20"/>
            <x v="51"/>
          </reference>
          <reference field="8" count="1" selected="0">
            <x v="428"/>
          </reference>
          <reference field="11" count="1" selected="0">
            <x v="5"/>
          </reference>
          <reference field="13" count="1" selected="0">
            <x v="81"/>
          </reference>
        </references>
      </pivotArea>
    </format>
    <format dxfId="1943">
      <pivotArea dataOnly="0" labelOnly="1" outline="0" fieldPosition="0">
        <references count="4">
          <reference field="5" count="1">
            <x v="51"/>
          </reference>
          <reference field="8" count="1" selected="0">
            <x v="428"/>
          </reference>
          <reference field="11" count="1" selected="0">
            <x v="5"/>
          </reference>
          <reference field="13" count="1" selected="0">
            <x v="96"/>
          </reference>
        </references>
      </pivotArea>
    </format>
    <format dxfId="1942">
      <pivotArea dataOnly="0" labelOnly="1" outline="0" fieldPosition="0">
        <references count="4">
          <reference field="5" count="3">
            <x v="51"/>
            <x v="64"/>
            <x v="116"/>
          </reference>
          <reference field="8" count="1" selected="0">
            <x v="428"/>
          </reference>
          <reference field="11" count="1" selected="0">
            <x v="5"/>
          </reference>
          <reference field="13" count="1" selected="0">
            <x v="226"/>
          </reference>
        </references>
      </pivotArea>
    </format>
    <format dxfId="1941">
      <pivotArea dataOnly="0" labelOnly="1" outline="0" fieldPosition="0">
        <references count="4">
          <reference field="5" count="2">
            <x v="37"/>
            <x v="51"/>
          </reference>
          <reference field="8" count="1" selected="0">
            <x v="428"/>
          </reference>
          <reference field="11" count="1" selected="0">
            <x v="5"/>
          </reference>
          <reference field="13" count="1" selected="0">
            <x v="255"/>
          </reference>
        </references>
      </pivotArea>
    </format>
    <format dxfId="1940">
      <pivotArea dataOnly="0" labelOnly="1" outline="0" fieldPosition="0">
        <references count="4">
          <reference field="5" count="1">
            <x v="46"/>
          </reference>
          <reference field="8" count="1" selected="0">
            <x v="429"/>
          </reference>
          <reference field="11" count="1" selected="0">
            <x v="3"/>
          </reference>
          <reference field="13" count="1" selected="0">
            <x v="32"/>
          </reference>
        </references>
      </pivotArea>
    </format>
    <format dxfId="1939">
      <pivotArea dataOnly="0" labelOnly="1" outline="0" fieldPosition="0">
        <references count="4">
          <reference field="5" count="1">
            <x v="46"/>
          </reference>
          <reference field="8" count="1" selected="0">
            <x v="429"/>
          </reference>
          <reference field="11" count="1" selected="0">
            <x v="3"/>
          </reference>
          <reference field="13" count="1" selected="0">
            <x v="163"/>
          </reference>
        </references>
      </pivotArea>
    </format>
    <format dxfId="1938">
      <pivotArea dataOnly="0" labelOnly="1" outline="0" fieldPosition="0">
        <references count="4">
          <reference field="5" count="1">
            <x v="46"/>
          </reference>
          <reference field="8" count="1" selected="0">
            <x v="429"/>
          </reference>
          <reference field="11" count="1" selected="0">
            <x v="3"/>
          </reference>
          <reference field="13" count="1" selected="0">
            <x v="240"/>
          </reference>
        </references>
      </pivotArea>
    </format>
    <format dxfId="1937">
      <pivotArea dataOnly="0" labelOnly="1" outline="0" fieldPosition="0">
        <references count="4">
          <reference field="5" count="1">
            <x v="46"/>
          </reference>
          <reference field="8" count="1" selected="0">
            <x v="429"/>
          </reference>
          <reference field="11" count="1" selected="0">
            <x v="3"/>
          </reference>
          <reference field="13" count="1" selected="0">
            <x v="242"/>
          </reference>
        </references>
      </pivotArea>
    </format>
    <format dxfId="1936">
      <pivotArea dataOnly="0" labelOnly="1" outline="0" fieldPosition="0">
        <references count="4">
          <reference field="5" count="1">
            <x v="46"/>
          </reference>
          <reference field="8" count="1" selected="0">
            <x v="429"/>
          </reference>
          <reference field="11" count="1" selected="0">
            <x v="3"/>
          </reference>
          <reference field="13" count="1" selected="0">
            <x v="243"/>
          </reference>
        </references>
      </pivotArea>
    </format>
    <format dxfId="1935">
      <pivotArea dataOnly="0" labelOnly="1" outline="0" fieldPosition="0">
        <references count="4">
          <reference field="5" count="1">
            <x v="46"/>
          </reference>
          <reference field="8" count="1" selected="0">
            <x v="429"/>
          </reference>
          <reference field="11" count="1" selected="0">
            <x v="3"/>
          </reference>
          <reference field="13" count="1" selected="0">
            <x v="287"/>
          </reference>
        </references>
      </pivotArea>
    </format>
    <format dxfId="1934">
      <pivotArea dataOnly="0" labelOnly="1" outline="0" fieldPosition="0">
        <references count="4">
          <reference field="5" count="1">
            <x v="46"/>
          </reference>
          <reference field="8" count="1" selected="0">
            <x v="429"/>
          </reference>
          <reference field="11" count="1" selected="0">
            <x v="3"/>
          </reference>
          <reference field="13" count="1" selected="0">
            <x v="305"/>
          </reference>
        </references>
      </pivotArea>
    </format>
    <format dxfId="1933">
      <pivotArea dataOnly="0" labelOnly="1" outline="0" fieldPosition="0">
        <references count="4">
          <reference field="5" count="1">
            <x v="46"/>
          </reference>
          <reference field="8" count="1" selected="0">
            <x v="429"/>
          </reference>
          <reference field="11" count="1" selected="0">
            <x v="5"/>
          </reference>
          <reference field="13" count="1" selected="0">
            <x v="255"/>
          </reference>
        </references>
      </pivotArea>
    </format>
    <format dxfId="1932">
      <pivotArea dataOnly="0" labelOnly="1" outline="0" fieldPosition="0">
        <references count="4">
          <reference field="5" count="1">
            <x v="51"/>
          </reference>
          <reference field="8" count="1" selected="0">
            <x v="430"/>
          </reference>
          <reference field="11" count="1" selected="0">
            <x v="3"/>
          </reference>
          <reference field="13" count="1" selected="0">
            <x v="69"/>
          </reference>
        </references>
      </pivotArea>
    </format>
    <format dxfId="1931">
      <pivotArea dataOnly="0" labelOnly="1" outline="0" fieldPosition="0">
        <references count="4">
          <reference field="5" count="1">
            <x v="51"/>
          </reference>
          <reference field="8" count="1" selected="0">
            <x v="430"/>
          </reference>
          <reference field="11" count="1" selected="0">
            <x v="3"/>
          </reference>
          <reference field="13" count="1" selected="0">
            <x v="287"/>
          </reference>
        </references>
      </pivotArea>
    </format>
    <format dxfId="1930">
      <pivotArea dataOnly="0" labelOnly="1" outline="0" fieldPosition="0">
        <references count="4">
          <reference field="5" count="1">
            <x v="20"/>
          </reference>
          <reference field="8" count="1" selected="0">
            <x v="430"/>
          </reference>
          <reference field="11" count="1" selected="0">
            <x v="5"/>
          </reference>
          <reference field="13" count="1" selected="0">
            <x v="77"/>
          </reference>
        </references>
      </pivotArea>
    </format>
    <format dxfId="1929">
      <pivotArea dataOnly="0" labelOnly="1" outline="0" fieldPosition="0">
        <references count="4">
          <reference field="5" count="1">
            <x v="116"/>
          </reference>
          <reference field="8" count="1" selected="0">
            <x v="430"/>
          </reference>
          <reference field="11" count="1" selected="0">
            <x v="5"/>
          </reference>
          <reference field="13" count="1" selected="0">
            <x v="81"/>
          </reference>
        </references>
      </pivotArea>
    </format>
    <format dxfId="1928">
      <pivotArea dataOnly="0" labelOnly="1" outline="0" fieldPosition="0">
        <references count="4">
          <reference field="5" count="1">
            <x v="50"/>
          </reference>
          <reference field="8" count="1" selected="0">
            <x v="431"/>
          </reference>
          <reference field="11" count="1" selected="0">
            <x v="1"/>
          </reference>
          <reference field="13" count="1" selected="0">
            <x v="286"/>
          </reference>
        </references>
      </pivotArea>
    </format>
    <format dxfId="1927">
      <pivotArea dataOnly="0" labelOnly="1" outline="0" fieldPosition="0">
        <references count="4">
          <reference field="5" count="1">
            <x v="50"/>
          </reference>
          <reference field="8" count="1" selected="0">
            <x v="431"/>
          </reference>
          <reference field="11" count="1" selected="0">
            <x v="3"/>
          </reference>
          <reference field="13" count="1" selected="0">
            <x v="7"/>
          </reference>
        </references>
      </pivotArea>
    </format>
    <format dxfId="1926">
      <pivotArea dataOnly="0" labelOnly="1" outline="0" fieldPosition="0">
        <references count="4">
          <reference field="5" count="1">
            <x v="50"/>
          </reference>
          <reference field="8" count="1" selected="0">
            <x v="431"/>
          </reference>
          <reference field="11" count="1" selected="0">
            <x v="3"/>
          </reference>
          <reference field="13" count="1" selected="0">
            <x v="32"/>
          </reference>
        </references>
      </pivotArea>
    </format>
    <format dxfId="1925">
      <pivotArea dataOnly="0" labelOnly="1" outline="0" fieldPosition="0">
        <references count="4">
          <reference field="5" count="1">
            <x v="50"/>
          </reference>
          <reference field="8" count="1" selected="0">
            <x v="431"/>
          </reference>
          <reference field="11" count="1" selected="0">
            <x v="3"/>
          </reference>
          <reference field="13" count="1" selected="0">
            <x v="57"/>
          </reference>
        </references>
      </pivotArea>
    </format>
    <format dxfId="1924">
      <pivotArea dataOnly="0" labelOnly="1" outline="0" fieldPosition="0">
        <references count="4">
          <reference field="5" count="1">
            <x v="50"/>
          </reference>
          <reference field="8" count="1" selected="0">
            <x v="431"/>
          </reference>
          <reference field="11" count="1" selected="0">
            <x v="3"/>
          </reference>
          <reference field="13" count="1" selected="0">
            <x v="69"/>
          </reference>
        </references>
      </pivotArea>
    </format>
    <format dxfId="1923">
      <pivotArea dataOnly="0" labelOnly="1" outline="0" fieldPosition="0">
        <references count="4">
          <reference field="5" count="1">
            <x v="50"/>
          </reference>
          <reference field="8" count="1" selected="0">
            <x v="431"/>
          </reference>
          <reference field="11" count="1" selected="0">
            <x v="3"/>
          </reference>
          <reference field="13" count="1" selected="0">
            <x v="163"/>
          </reference>
        </references>
      </pivotArea>
    </format>
    <format dxfId="1922">
      <pivotArea dataOnly="0" labelOnly="1" outline="0" fieldPosition="0">
        <references count="4">
          <reference field="5" count="1">
            <x v="50"/>
          </reference>
          <reference field="8" count="1" selected="0">
            <x v="431"/>
          </reference>
          <reference field="11" count="1" selected="0">
            <x v="3"/>
          </reference>
          <reference field="13" count="1" selected="0">
            <x v="240"/>
          </reference>
        </references>
      </pivotArea>
    </format>
    <format dxfId="1921">
      <pivotArea dataOnly="0" labelOnly="1" outline="0" fieldPosition="0">
        <references count="4">
          <reference field="5" count="1">
            <x v="50"/>
          </reference>
          <reference field="8" count="1" selected="0">
            <x v="431"/>
          </reference>
          <reference field="11" count="1" selected="0">
            <x v="3"/>
          </reference>
          <reference field="13" count="1" selected="0">
            <x v="242"/>
          </reference>
        </references>
      </pivotArea>
    </format>
    <format dxfId="1920">
      <pivotArea dataOnly="0" labelOnly="1" outline="0" fieldPosition="0">
        <references count="4">
          <reference field="5" count="1">
            <x v="50"/>
          </reference>
          <reference field="8" count="1" selected="0">
            <x v="431"/>
          </reference>
          <reference field="11" count="1" selected="0">
            <x v="3"/>
          </reference>
          <reference field="13" count="1" selected="0">
            <x v="243"/>
          </reference>
        </references>
      </pivotArea>
    </format>
    <format dxfId="1919">
      <pivotArea dataOnly="0" labelOnly="1" outline="0" fieldPosition="0">
        <references count="4">
          <reference field="5" count="1">
            <x v="50"/>
          </reference>
          <reference field="8" count="1" selected="0">
            <x v="431"/>
          </reference>
          <reference field="11" count="1" selected="0">
            <x v="3"/>
          </reference>
          <reference field="13" count="1" selected="0">
            <x v="251"/>
          </reference>
        </references>
      </pivotArea>
    </format>
    <format dxfId="1918">
      <pivotArea dataOnly="0" labelOnly="1" outline="0" fieldPosition="0">
        <references count="4">
          <reference field="5" count="1">
            <x v="50"/>
          </reference>
          <reference field="8" count="1" selected="0">
            <x v="431"/>
          </reference>
          <reference field="11" count="1" selected="0">
            <x v="3"/>
          </reference>
          <reference field="13" count="1" selected="0">
            <x v="287"/>
          </reference>
        </references>
      </pivotArea>
    </format>
    <format dxfId="1917">
      <pivotArea dataOnly="0" labelOnly="1" outline="0" fieldPosition="0">
        <references count="4">
          <reference field="5" count="1">
            <x v="50"/>
          </reference>
          <reference field="8" count="1" selected="0">
            <x v="431"/>
          </reference>
          <reference field="11" count="1" selected="0">
            <x v="4"/>
          </reference>
          <reference field="13" count="1" selected="0">
            <x v="133"/>
          </reference>
        </references>
      </pivotArea>
    </format>
    <format dxfId="1916">
      <pivotArea dataOnly="0" labelOnly="1" outline="0" fieldPosition="0">
        <references count="4">
          <reference field="5" count="2">
            <x v="20"/>
            <x v="50"/>
          </reference>
          <reference field="8" count="1" selected="0">
            <x v="431"/>
          </reference>
          <reference field="11" count="1" selected="0">
            <x v="5"/>
          </reference>
          <reference field="13" count="1" selected="0">
            <x v="77"/>
          </reference>
        </references>
      </pivotArea>
    </format>
    <format dxfId="1915">
      <pivotArea dataOnly="0" labelOnly="1" outline="0" fieldPosition="0">
        <references count="4">
          <reference field="5" count="2">
            <x v="20"/>
            <x v="116"/>
          </reference>
          <reference field="8" count="1" selected="0">
            <x v="431"/>
          </reference>
          <reference field="11" count="1" selected="0">
            <x v="5"/>
          </reference>
          <reference field="13" count="1" selected="0">
            <x v="81"/>
          </reference>
        </references>
      </pivotArea>
    </format>
    <format dxfId="1914">
      <pivotArea dataOnly="0" labelOnly="1" outline="0" fieldPosition="0">
        <references count="4">
          <reference field="5" count="1">
            <x v="50"/>
          </reference>
          <reference field="8" count="1" selected="0">
            <x v="431"/>
          </reference>
          <reference field="11" count="1" selected="0">
            <x v="5"/>
          </reference>
          <reference field="13" count="1" selected="0">
            <x v="226"/>
          </reference>
        </references>
      </pivotArea>
    </format>
    <format dxfId="1913">
      <pivotArea dataOnly="0" labelOnly="1" outline="0" fieldPosition="0">
        <references count="4">
          <reference field="5" count="1">
            <x v="50"/>
          </reference>
          <reference field="8" count="1" selected="0">
            <x v="431"/>
          </reference>
          <reference field="11" count="1" selected="0">
            <x v="5"/>
          </reference>
          <reference field="13" count="1" selected="0">
            <x v="229"/>
          </reference>
        </references>
      </pivotArea>
    </format>
    <format dxfId="1912">
      <pivotArea dataOnly="0" labelOnly="1" outline="0" fieldPosition="0">
        <references count="4">
          <reference field="5" count="1">
            <x v="20"/>
          </reference>
          <reference field="8" count="1" selected="0">
            <x v="431"/>
          </reference>
          <reference field="11" count="1" selected="0">
            <x v="5"/>
          </reference>
          <reference field="13" count="1" selected="0">
            <x v="255"/>
          </reference>
        </references>
      </pivotArea>
    </format>
    <format dxfId="1911">
      <pivotArea dataOnly="0" labelOnly="1" outline="0" fieldPosition="0">
        <references count="4">
          <reference field="5" count="1">
            <x v="50"/>
          </reference>
          <reference field="8" count="1" selected="0">
            <x v="431"/>
          </reference>
          <reference field="11" count="1" selected="0">
            <x v="6"/>
          </reference>
          <reference field="13" count="1" selected="0">
            <x v="198"/>
          </reference>
        </references>
      </pivotArea>
    </format>
    <format dxfId="1910">
      <pivotArea dataOnly="0" labelOnly="1" outline="0" fieldPosition="0">
        <references count="4">
          <reference field="5" count="1">
            <x v="29"/>
          </reference>
          <reference field="8" count="1" selected="0">
            <x v="432"/>
          </reference>
          <reference field="11" count="1" selected="0">
            <x v="3"/>
          </reference>
          <reference field="13" count="1" selected="0">
            <x v="69"/>
          </reference>
        </references>
      </pivotArea>
    </format>
    <format dxfId="1909">
      <pivotArea dataOnly="0" labelOnly="1" outline="0" fieldPosition="0">
        <references count="4">
          <reference field="5" count="1">
            <x v="29"/>
          </reference>
          <reference field="8" count="1" selected="0">
            <x v="432"/>
          </reference>
          <reference field="11" count="1" selected="0">
            <x v="3"/>
          </reference>
          <reference field="13" count="1" selected="0">
            <x v="240"/>
          </reference>
        </references>
      </pivotArea>
    </format>
    <format dxfId="1908">
      <pivotArea dataOnly="0" labelOnly="1" outline="0" fieldPosition="0">
        <references count="4">
          <reference field="5" count="1">
            <x v="29"/>
          </reference>
          <reference field="8" count="1" selected="0">
            <x v="432"/>
          </reference>
          <reference field="11" count="1" selected="0">
            <x v="3"/>
          </reference>
          <reference field="13" count="1" selected="0">
            <x v="242"/>
          </reference>
        </references>
      </pivotArea>
    </format>
    <format dxfId="1907">
      <pivotArea dataOnly="0" labelOnly="1" outline="0" fieldPosition="0">
        <references count="4">
          <reference field="5" count="1">
            <x v="29"/>
          </reference>
          <reference field="8" count="1" selected="0">
            <x v="432"/>
          </reference>
          <reference field="11" count="1" selected="0">
            <x v="3"/>
          </reference>
          <reference field="13" count="1" selected="0">
            <x v="243"/>
          </reference>
        </references>
      </pivotArea>
    </format>
    <format dxfId="1906">
      <pivotArea dataOnly="0" labelOnly="1" outline="0" fieldPosition="0">
        <references count="4">
          <reference field="5" count="1">
            <x v="20"/>
          </reference>
          <reference field="8" count="1" selected="0">
            <x v="432"/>
          </reference>
          <reference field="11" count="1" selected="0">
            <x v="5"/>
          </reference>
          <reference field="13" count="1" selected="0">
            <x v="81"/>
          </reference>
        </references>
      </pivotArea>
    </format>
    <format dxfId="1905">
      <pivotArea dataOnly="0" labelOnly="1" outline="0" fieldPosition="0">
        <references count="4">
          <reference field="5" count="1">
            <x v="20"/>
          </reference>
          <reference field="8" count="1" selected="0">
            <x v="432"/>
          </reference>
          <reference field="11" count="1" selected="0">
            <x v="5"/>
          </reference>
          <reference field="13" count="1" selected="0">
            <x v="255"/>
          </reference>
        </references>
      </pivotArea>
    </format>
    <format dxfId="1904">
      <pivotArea dataOnly="0" labelOnly="1" outline="0" fieldPosition="0">
        <references count="4">
          <reference field="5" count="1">
            <x v="29"/>
          </reference>
          <reference field="8" count="1" selected="0">
            <x v="432"/>
          </reference>
          <reference field="11" count="1" selected="0">
            <x v="7"/>
          </reference>
          <reference field="13" count="1" selected="0">
            <x v="72"/>
          </reference>
        </references>
      </pivotArea>
    </format>
    <format dxfId="1903">
      <pivotArea dataOnly="0" labelOnly="1" outline="0" fieldPosition="0">
        <references count="4">
          <reference field="5" count="2">
            <x v="64"/>
            <x v="68"/>
          </reference>
          <reference field="8" count="1" selected="0">
            <x v="433"/>
          </reference>
          <reference field="11" count="1" selected="0">
            <x v="3"/>
          </reference>
          <reference field="13" count="1" selected="0">
            <x v="240"/>
          </reference>
        </references>
      </pivotArea>
    </format>
    <format dxfId="1902">
      <pivotArea dataOnly="0" labelOnly="1" outline="0" fieldPosition="0">
        <references count="4">
          <reference field="5" count="1">
            <x v="64"/>
          </reference>
          <reference field="8" count="1" selected="0">
            <x v="433"/>
          </reference>
          <reference field="11" count="1" selected="0">
            <x v="3"/>
          </reference>
          <reference field="13" count="1" selected="0">
            <x v="243"/>
          </reference>
        </references>
      </pivotArea>
    </format>
    <format dxfId="1901">
      <pivotArea dataOnly="0" labelOnly="1" outline="0" fieldPosition="0">
        <references count="4">
          <reference field="5" count="1">
            <x v="64"/>
          </reference>
          <reference field="8" count="1" selected="0">
            <x v="433"/>
          </reference>
          <reference field="11" count="1" selected="0">
            <x v="5"/>
          </reference>
          <reference field="13" count="1" selected="0">
            <x v="77"/>
          </reference>
        </references>
      </pivotArea>
    </format>
    <format dxfId="1900">
      <pivotArea dataOnly="0" labelOnly="1" outline="0" fieldPosition="0">
        <references count="4">
          <reference field="5" count="1">
            <x v="116"/>
          </reference>
          <reference field="8" count="1" selected="0">
            <x v="433"/>
          </reference>
          <reference field="11" count="1" selected="0">
            <x v="5"/>
          </reference>
          <reference field="13" count="1" selected="0">
            <x v="81"/>
          </reference>
        </references>
      </pivotArea>
    </format>
    <format dxfId="1899">
      <pivotArea dataOnly="0" labelOnly="1" outline="0" fieldPosition="0">
        <references count="4">
          <reference field="5" count="2">
            <x v="100"/>
            <x v="111"/>
          </reference>
          <reference field="8" count="1" selected="0">
            <x v="434"/>
          </reference>
          <reference field="11" count="1" selected="0">
            <x v="2"/>
          </reference>
          <reference field="13" count="1" selected="0">
            <x v="35"/>
          </reference>
        </references>
      </pivotArea>
    </format>
    <format dxfId="1898">
      <pivotArea dataOnly="0" labelOnly="1" outline="0" fieldPosition="0">
        <references count="4">
          <reference field="5" count="1">
            <x v="32"/>
          </reference>
          <reference field="8" count="1" selected="0">
            <x v="434"/>
          </reference>
          <reference field="11" count="1" selected="0">
            <x v="2"/>
          </reference>
          <reference field="13" count="1" selected="0">
            <x v="50"/>
          </reference>
        </references>
      </pivotArea>
    </format>
    <format dxfId="1897">
      <pivotArea dataOnly="0" labelOnly="1" outline="0" fieldPosition="0">
        <references count="4">
          <reference field="5" count="2">
            <x v="71"/>
            <x v="112"/>
          </reference>
          <reference field="8" count="1" selected="0">
            <x v="434"/>
          </reference>
          <reference field="11" count="1" selected="0">
            <x v="2"/>
          </reference>
          <reference field="13" count="1" selected="0">
            <x v="60"/>
          </reference>
        </references>
      </pivotArea>
    </format>
    <format dxfId="1896">
      <pivotArea dataOnly="0" labelOnly="1" outline="0" fieldPosition="0">
        <references count="4">
          <reference field="5" count="1">
            <x v="58"/>
          </reference>
          <reference field="8" count="1" selected="0">
            <x v="434"/>
          </reference>
          <reference field="11" count="1" selected="0">
            <x v="2"/>
          </reference>
          <reference field="13" count="1" selected="0">
            <x v="71"/>
          </reference>
        </references>
      </pivotArea>
    </format>
    <format dxfId="1895">
      <pivotArea dataOnly="0" labelOnly="1" outline="0" fieldPosition="0">
        <references count="4">
          <reference field="5" count="3">
            <x v="60"/>
            <x v="73"/>
            <x v="108"/>
          </reference>
          <reference field="8" count="1" selected="0">
            <x v="434"/>
          </reference>
          <reference field="11" count="1" selected="0">
            <x v="2"/>
          </reference>
          <reference field="13" count="1" selected="0">
            <x v="173"/>
          </reference>
        </references>
      </pivotArea>
    </format>
    <format dxfId="1894">
      <pivotArea dataOnly="0" labelOnly="1" outline="0" fieldPosition="0">
        <references count="4">
          <reference field="5" count="1">
            <x v="71"/>
          </reference>
          <reference field="8" count="1" selected="0">
            <x v="434"/>
          </reference>
          <reference field="11" count="1" selected="0">
            <x v="2"/>
          </reference>
          <reference field="13" count="1" selected="0">
            <x v="204"/>
          </reference>
        </references>
      </pivotArea>
    </format>
    <format dxfId="1893">
      <pivotArea dataOnly="0" labelOnly="1" outline="0" fieldPosition="0">
        <references count="4">
          <reference field="5" count="1">
            <x v="70"/>
          </reference>
          <reference field="8" count="1" selected="0">
            <x v="434"/>
          </reference>
          <reference field="11" count="1" selected="0">
            <x v="2"/>
          </reference>
          <reference field="13" count="1" selected="0">
            <x v="205"/>
          </reference>
        </references>
      </pivotArea>
    </format>
    <format dxfId="1892">
      <pivotArea dataOnly="0" labelOnly="1" outline="0" fieldPosition="0">
        <references count="4">
          <reference field="5" count="3">
            <x v="29"/>
            <x v="68"/>
            <x v="70"/>
          </reference>
          <reference field="8" count="1" selected="0">
            <x v="434"/>
          </reference>
          <reference field="11" count="1" selected="0">
            <x v="2"/>
          </reference>
          <reference field="13" count="1" selected="0">
            <x v="263"/>
          </reference>
        </references>
      </pivotArea>
    </format>
    <format dxfId="1891">
      <pivotArea dataOnly="0" labelOnly="1" outline="0" fieldPosition="0">
        <references count="4">
          <reference field="5" count="1">
            <x v="108"/>
          </reference>
          <reference field="8" count="1" selected="0">
            <x v="434"/>
          </reference>
          <reference field="11" count="1" selected="0">
            <x v="2"/>
          </reference>
          <reference field="13" count="1" selected="0">
            <x v="285"/>
          </reference>
        </references>
      </pivotArea>
    </format>
    <format dxfId="1890">
      <pivotArea dataOnly="0" labelOnly="1" outline="0" fieldPosition="0">
        <references count="4">
          <reference field="5" count="1">
            <x v="112"/>
          </reference>
          <reference field="8" count="1" selected="0">
            <x v="434"/>
          </reference>
          <reference field="11" count="1" selected="0">
            <x v="3"/>
          </reference>
          <reference field="13" count="1" selected="0">
            <x v="17"/>
          </reference>
        </references>
      </pivotArea>
    </format>
    <format dxfId="1889">
      <pivotArea dataOnly="0" labelOnly="1" outline="0" fieldPosition="0">
        <references count="4">
          <reference field="5" count="1">
            <x v="112"/>
          </reference>
          <reference field="8" count="1" selected="0">
            <x v="434"/>
          </reference>
          <reference field="11" count="1" selected="0">
            <x v="3"/>
          </reference>
          <reference field="13" count="1" selected="0">
            <x v="287"/>
          </reference>
        </references>
      </pivotArea>
    </format>
    <format dxfId="1888">
      <pivotArea dataOnly="0" labelOnly="1" outline="0" fieldPosition="0">
        <references count="4">
          <reference field="5" count="1">
            <x v="60"/>
          </reference>
          <reference field="8" count="1" selected="0">
            <x v="434"/>
          </reference>
          <reference field="11" count="1" selected="0">
            <x v="4"/>
          </reference>
          <reference field="13" count="1" selected="0">
            <x v="95"/>
          </reference>
        </references>
      </pivotArea>
    </format>
    <format dxfId="1887">
      <pivotArea dataOnly="0" labelOnly="1" outline="0" fieldPosition="0">
        <references count="4">
          <reference field="5" count="3">
            <x v="32"/>
            <x v="68"/>
            <x v="71"/>
          </reference>
          <reference field="8" count="1" selected="0">
            <x v="434"/>
          </reference>
          <reference field="11" count="1" selected="0">
            <x v="4"/>
          </reference>
          <reference field="13" count="1" selected="0">
            <x v="133"/>
          </reference>
        </references>
      </pivotArea>
    </format>
    <format dxfId="1886">
      <pivotArea dataOnly="0" labelOnly="1" outline="0" fieldPosition="0">
        <references count="4">
          <reference field="5" count="1">
            <x v="112"/>
          </reference>
          <reference field="8" count="1" selected="0">
            <x v="434"/>
          </reference>
          <reference field="11" count="1" selected="0">
            <x v="4"/>
          </reference>
          <reference field="13" count="1" selected="0">
            <x v="150"/>
          </reference>
        </references>
      </pivotArea>
    </format>
    <format dxfId="1885">
      <pivotArea dataOnly="0" labelOnly="1" outline="0" fieldPosition="0">
        <references count="4">
          <reference field="5" count="2">
            <x v="100"/>
            <x v="108"/>
          </reference>
          <reference field="8" count="1" selected="0">
            <x v="434"/>
          </reference>
          <reference field="11" count="1" selected="0">
            <x v="4"/>
          </reference>
          <reference field="13" count="1" selected="0">
            <x v="158"/>
          </reference>
        </references>
      </pivotArea>
    </format>
    <format dxfId="1884">
      <pivotArea dataOnly="0" labelOnly="1" outline="0" fieldPosition="0">
        <references count="4">
          <reference field="5" count="1">
            <x v="70"/>
          </reference>
          <reference field="8" count="1" selected="0">
            <x v="434"/>
          </reference>
          <reference field="11" count="1" selected="0">
            <x v="4"/>
          </reference>
          <reference field="13" count="1" selected="0">
            <x v="280"/>
          </reference>
        </references>
      </pivotArea>
    </format>
    <format dxfId="1883">
      <pivotArea dataOnly="0" labelOnly="1" outline="0" fieldPosition="0">
        <references count="4">
          <reference field="5" count="36">
            <x v="9"/>
            <x v="16"/>
            <x v="17"/>
            <x v="19"/>
            <x v="27"/>
            <x v="29"/>
            <x v="32"/>
            <x v="34"/>
            <x v="36"/>
            <x v="37"/>
            <x v="42"/>
            <x v="44"/>
            <x v="45"/>
            <x v="51"/>
            <x v="52"/>
            <x v="54"/>
            <x v="55"/>
            <x v="58"/>
            <x v="60"/>
            <x v="61"/>
            <x v="62"/>
            <x v="63"/>
            <x v="67"/>
            <x v="68"/>
            <x v="70"/>
            <x v="71"/>
            <x v="72"/>
            <x v="78"/>
            <x v="81"/>
            <x v="95"/>
            <x v="96"/>
            <x v="100"/>
            <x v="101"/>
            <x v="103"/>
            <x v="108"/>
            <x v="111"/>
          </reference>
          <reference field="8" count="1" selected="0">
            <x v="434"/>
          </reference>
          <reference field="11" count="1" selected="0">
            <x v="5"/>
          </reference>
          <reference field="13" count="1" selected="0">
            <x v="96"/>
          </reference>
        </references>
      </pivotArea>
    </format>
    <format dxfId="1882">
      <pivotArea dataOnly="0" labelOnly="1" outline="0" fieldPosition="0">
        <references count="4">
          <reference field="5" count="1">
            <x v="35"/>
          </reference>
          <reference field="8" count="1" selected="0">
            <x v="434"/>
          </reference>
          <reference field="11" count="1" selected="0">
            <x v="5"/>
          </reference>
          <reference field="13" count="1" selected="0">
            <x v="99"/>
          </reference>
        </references>
      </pivotArea>
    </format>
    <format dxfId="1881">
      <pivotArea dataOnly="0" labelOnly="1" outline="0" fieldPosition="0">
        <references count="4">
          <reference field="5" count="1">
            <x v="95"/>
          </reference>
          <reference field="8" count="1" selected="0">
            <x v="435"/>
          </reference>
          <reference field="11" count="1" selected="0">
            <x v="3"/>
          </reference>
          <reference field="13" count="1" selected="0">
            <x v="32"/>
          </reference>
        </references>
      </pivotArea>
    </format>
    <format dxfId="1880">
      <pivotArea dataOnly="0" labelOnly="1" outline="0" fieldPosition="0">
        <references count="4">
          <reference field="5" count="1">
            <x v="95"/>
          </reference>
          <reference field="8" count="1" selected="0">
            <x v="435"/>
          </reference>
          <reference field="11" count="1" selected="0">
            <x v="3"/>
          </reference>
          <reference field="13" count="1" selected="0">
            <x v="287"/>
          </reference>
        </references>
      </pivotArea>
    </format>
    <format dxfId="1879">
      <pivotArea dataOnly="0" labelOnly="1" outline="0" fieldPosition="0">
        <references count="4">
          <reference field="5" count="1">
            <x v="38"/>
          </reference>
          <reference field="8" count="1" selected="0">
            <x v="436"/>
          </reference>
          <reference field="11" count="1" selected="0">
            <x v="3"/>
          </reference>
          <reference field="13" count="1" selected="0">
            <x v="32"/>
          </reference>
        </references>
      </pivotArea>
    </format>
    <format dxfId="1878">
      <pivotArea dataOnly="0" labelOnly="1" outline="0" fieldPosition="0">
        <references count="4">
          <reference field="5" count="1">
            <x v="38"/>
          </reference>
          <reference field="8" count="1" selected="0">
            <x v="436"/>
          </reference>
          <reference field="11" count="1" selected="0">
            <x v="3"/>
          </reference>
          <reference field="13" count="1" selected="0">
            <x v="224"/>
          </reference>
        </references>
      </pivotArea>
    </format>
    <format dxfId="1877">
      <pivotArea dataOnly="0" labelOnly="1" outline="0" fieldPosition="0">
        <references count="4">
          <reference field="5" count="1">
            <x v="38"/>
          </reference>
          <reference field="8" count="1" selected="0">
            <x v="436"/>
          </reference>
          <reference field="11" count="1" selected="0">
            <x v="3"/>
          </reference>
          <reference field="13" count="1" selected="0">
            <x v="227"/>
          </reference>
        </references>
      </pivotArea>
    </format>
    <format dxfId="1876">
      <pivotArea dataOnly="0" labelOnly="1" outline="0" fieldPosition="0">
        <references count="4">
          <reference field="5" count="1">
            <x v="38"/>
          </reference>
          <reference field="8" count="1" selected="0">
            <x v="436"/>
          </reference>
          <reference field="11" count="1" selected="0">
            <x v="3"/>
          </reference>
          <reference field="13" count="1" selected="0">
            <x v="240"/>
          </reference>
        </references>
      </pivotArea>
    </format>
    <format dxfId="1875">
      <pivotArea dataOnly="0" labelOnly="1" outline="0" fieldPosition="0">
        <references count="4">
          <reference field="5" count="1">
            <x v="38"/>
          </reference>
          <reference field="8" count="1" selected="0">
            <x v="436"/>
          </reference>
          <reference field="11" count="1" selected="0">
            <x v="3"/>
          </reference>
          <reference field="13" count="1" selected="0">
            <x v="242"/>
          </reference>
        </references>
      </pivotArea>
    </format>
    <format dxfId="1874">
      <pivotArea dataOnly="0" labelOnly="1" outline="0" fieldPosition="0">
        <references count="4">
          <reference field="5" count="1">
            <x v="38"/>
          </reference>
          <reference field="8" count="1" selected="0">
            <x v="436"/>
          </reference>
          <reference field="11" count="1" selected="0">
            <x v="3"/>
          </reference>
          <reference field="13" count="1" selected="0">
            <x v="287"/>
          </reference>
        </references>
      </pivotArea>
    </format>
    <format dxfId="1873">
      <pivotArea dataOnly="0" labelOnly="1" outline="0" fieldPosition="0">
        <references count="4">
          <reference field="5" count="1">
            <x v="38"/>
          </reference>
          <reference field="8" count="1" selected="0">
            <x v="436"/>
          </reference>
          <reference field="11" count="1" selected="0">
            <x v="5"/>
          </reference>
          <reference field="13" count="1" selected="0">
            <x v="81"/>
          </reference>
        </references>
      </pivotArea>
    </format>
    <format dxfId="1872">
      <pivotArea dataOnly="0" labelOnly="1" outline="0" fieldPosition="0">
        <references count="4">
          <reference field="5" count="1">
            <x v="38"/>
          </reference>
          <reference field="8" count="1" selected="0">
            <x v="436"/>
          </reference>
          <reference field="11" count="1" selected="0">
            <x v="5"/>
          </reference>
          <reference field="13" count="1" selected="0">
            <x v="140"/>
          </reference>
        </references>
      </pivotArea>
    </format>
    <format dxfId="1871">
      <pivotArea dataOnly="0" labelOnly="1" outline="0" fieldPosition="0">
        <references count="4">
          <reference field="5" count="1">
            <x v="38"/>
          </reference>
          <reference field="8" count="1" selected="0">
            <x v="436"/>
          </reference>
          <reference field="11" count="1" selected="0">
            <x v="5"/>
          </reference>
          <reference field="13" count="1" selected="0">
            <x v="141"/>
          </reference>
        </references>
      </pivotArea>
    </format>
    <format dxfId="1870">
      <pivotArea dataOnly="0" labelOnly="1" outline="0" fieldPosition="0">
        <references count="4">
          <reference field="5" count="1">
            <x v="38"/>
          </reference>
          <reference field="8" count="1" selected="0">
            <x v="436"/>
          </reference>
          <reference field="11" count="1" selected="0">
            <x v="5"/>
          </reference>
          <reference field="13" count="1" selected="0">
            <x v="145"/>
          </reference>
        </references>
      </pivotArea>
    </format>
    <format dxfId="1869">
      <pivotArea dataOnly="0" labelOnly="1" outline="0" fieldPosition="0">
        <references count="4">
          <reference field="5" count="1">
            <x v="34"/>
          </reference>
          <reference field="8" count="1" selected="0">
            <x v="437"/>
          </reference>
          <reference field="11" count="1" selected="0">
            <x v="3"/>
          </reference>
          <reference field="13" count="1" selected="0">
            <x v="69"/>
          </reference>
        </references>
      </pivotArea>
    </format>
    <format dxfId="1868">
      <pivotArea dataOnly="0" labelOnly="1" outline="0" fieldPosition="0">
        <references count="4">
          <reference field="5" count="1">
            <x v="34"/>
          </reference>
          <reference field="8" count="1" selected="0">
            <x v="437"/>
          </reference>
          <reference field="11" count="1" selected="0">
            <x v="3"/>
          </reference>
          <reference field="13" count="1" selected="0">
            <x v="240"/>
          </reference>
        </references>
      </pivotArea>
    </format>
    <format dxfId="1867">
      <pivotArea dataOnly="0" labelOnly="1" outline="0" fieldPosition="0">
        <references count="4">
          <reference field="5" count="1">
            <x v="34"/>
          </reference>
          <reference field="8" count="1" selected="0">
            <x v="437"/>
          </reference>
          <reference field="11" count="1" selected="0">
            <x v="3"/>
          </reference>
          <reference field="13" count="1" selected="0">
            <x v="272"/>
          </reference>
        </references>
      </pivotArea>
    </format>
    <format dxfId="1866">
      <pivotArea dataOnly="0" labelOnly="1" outline="0" fieldPosition="0">
        <references count="4">
          <reference field="5" count="1">
            <x v="20"/>
          </reference>
          <reference field="8" count="1" selected="0">
            <x v="437"/>
          </reference>
          <reference field="11" count="1" selected="0">
            <x v="5"/>
          </reference>
          <reference field="13" count="1" selected="0">
            <x v="81"/>
          </reference>
        </references>
      </pivotArea>
    </format>
    <format dxfId="1865">
      <pivotArea dataOnly="0" labelOnly="1" outline="0" fieldPosition="0">
        <references count="4">
          <reference field="5" count="1">
            <x v="35"/>
          </reference>
          <reference field="8" count="1" selected="0">
            <x v="438"/>
          </reference>
          <reference field="11" count="1" selected="0">
            <x v="5"/>
          </reference>
          <reference field="13" count="1" selected="0">
            <x v="77"/>
          </reference>
        </references>
      </pivotArea>
    </format>
    <format dxfId="1864">
      <pivotArea dataOnly="0" labelOnly="1" outline="0" fieldPosition="0">
        <references count="4">
          <reference field="5" count="1">
            <x v="35"/>
          </reference>
          <reference field="8" count="1" selected="0">
            <x v="438"/>
          </reference>
          <reference field="11" count="1" selected="0">
            <x v="5"/>
          </reference>
          <reference field="13" count="1" selected="0">
            <x v="81"/>
          </reference>
        </references>
      </pivotArea>
    </format>
    <format dxfId="1863">
      <pivotArea dataOnly="0" labelOnly="1" outline="0" fieldPosition="0">
        <references count="4">
          <reference field="5" count="1">
            <x v="35"/>
          </reference>
          <reference field="8" count="1" selected="0">
            <x v="439"/>
          </reference>
          <reference field="11" count="1" selected="0">
            <x v="3"/>
          </reference>
          <reference field="13" count="1" selected="0">
            <x v="242"/>
          </reference>
        </references>
      </pivotArea>
    </format>
    <format dxfId="1862">
      <pivotArea dataOnly="0" labelOnly="1" outline="0" fieldPosition="0">
        <references count="4">
          <reference field="5" count="1">
            <x v="35"/>
          </reference>
          <reference field="8" count="1" selected="0">
            <x v="439"/>
          </reference>
          <reference field="11" count="1" selected="0">
            <x v="5"/>
          </reference>
          <reference field="13" count="1" selected="0">
            <x v="77"/>
          </reference>
        </references>
      </pivotArea>
    </format>
    <format dxfId="1861">
      <pivotArea dataOnly="0" labelOnly="1" outline="0" fieldPosition="0">
        <references count="4">
          <reference field="5" count="1">
            <x v="35"/>
          </reference>
          <reference field="8" count="1" selected="0">
            <x v="439"/>
          </reference>
          <reference field="11" count="1" selected="0">
            <x v="5"/>
          </reference>
          <reference field="13" count="1" selected="0">
            <x v="81"/>
          </reference>
        </references>
      </pivotArea>
    </format>
    <format dxfId="1860">
      <pivotArea dataOnly="0" labelOnly="1" outline="0" fieldPosition="0">
        <references count="4">
          <reference field="5" count="2">
            <x v="88"/>
            <x v="89"/>
          </reference>
          <reference field="8" count="1" selected="0">
            <x v="440"/>
          </reference>
          <reference field="11" count="1" selected="0">
            <x v="3"/>
          </reference>
          <reference field="13" count="1" selected="0">
            <x v="7"/>
          </reference>
        </references>
      </pivotArea>
    </format>
    <format dxfId="1859">
      <pivotArea dataOnly="0" labelOnly="1" outline="0" fieldPosition="0">
        <references count="4">
          <reference field="5" count="1">
            <x v="89"/>
          </reference>
          <reference field="8" count="1" selected="0">
            <x v="440"/>
          </reference>
          <reference field="11" count="1" selected="0">
            <x v="3"/>
          </reference>
          <reference field="13" count="1" selected="0">
            <x v="17"/>
          </reference>
        </references>
      </pivotArea>
    </format>
    <format dxfId="1858">
      <pivotArea dataOnly="0" labelOnly="1" outline="0" fieldPosition="0">
        <references count="4">
          <reference field="5" count="4">
            <x v="87"/>
            <x v="88"/>
            <x v="89"/>
            <x v="114"/>
          </reference>
          <reference field="8" count="1" selected="0">
            <x v="440"/>
          </reference>
          <reference field="11" count="1" selected="0">
            <x v="3"/>
          </reference>
          <reference field="13" count="1" selected="0">
            <x v="32"/>
          </reference>
        </references>
      </pivotArea>
    </format>
    <format dxfId="1857">
      <pivotArea dataOnly="0" labelOnly="1" outline="0" fieldPosition="0">
        <references count="4">
          <reference field="5" count="2">
            <x v="86"/>
            <x v="87"/>
          </reference>
          <reference field="8" count="1" selected="0">
            <x v="440"/>
          </reference>
          <reference field="11" count="1" selected="0">
            <x v="3"/>
          </reference>
          <reference field="13" count="1" selected="0">
            <x v="47"/>
          </reference>
        </references>
      </pivotArea>
    </format>
    <format dxfId="1856">
      <pivotArea dataOnly="0" labelOnly="1" outline="0" fieldPosition="0">
        <references count="4">
          <reference field="5" count="4">
            <x v="86"/>
            <x v="88"/>
            <x v="89"/>
            <x v="91"/>
          </reference>
          <reference field="8" count="1" selected="0">
            <x v="440"/>
          </reference>
          <reference field="11" count="1" selected="0">
            <x v="3"/>
          </reference>
          <reference field="13" count="1" selected="0">
            <x v="57"/>
          </reference>
        </references>
      </pivotArea>
    </format>
    <format dxfId="1855">
      <pivotArea dataOnly="0" labelOnly="1" outline="0" fieldPosition="0">
        <references count="4">
          <reference field="5" count="7">
            <x v="85"/>
            <x v="86"/>
            <x v="87"/>
            <x v="88"/>
            <x v="89"/>
            <x v="91"/>
            <x v="114"/>
          </reference>
          <reference field="8" count="1" selected="0">
            <x v="440"/>
          </reference>
          <reference field="11" count="1" selected="0">
            <x v="3"/>
          </reference>
          <reference field="13" count="1" selected="0">
            <x v="69"/>
          </reference>
        </references>
      </pivotArea>
    </format>
    <format dxfId="1854">
      <pivotArea dataOnly="0" labelOnly="1" outline="0" fieldPosition="0">
        <references count="4">
          <reference field="5" count="1">
            <x v="89"/>
          </reference>
          <reference field="8" count="1" selected="0">
            <x v="440"/>
          </reference>
          <reference field="11" count="1" selected="0">
            <x v="3"/>
          </reference>
          <reference field="13" count="1" selected="0">
            <x v="89"/>
          </reference>
        </references>
      </pivotArea>
    </format>
    <format dxfId="1853">
      <pivotArea dataOnly="0" labelOnly="1" outline="0" fieldPosition="0">
        <references count="4">
          <reference field="5" count="2">
            <x v="86"/>
            <x v="88"/>
          </reference>
          <reference field="8" count="1" selected="0">
            <x v="440"/>
          </reference>
          <reference field="11" count="1" selected="0">
            <x v="3"/>
          </reference>
          <reference field="13" count="1" selected="0">
            <x v="101"/>
          </reference>
        </references>
      </pivotArea>
    </format>
    <format dxfId="1852">
      <pivotArea dataOnly="0" labelOnly="1" outline="0" fieldPosition="0">
        <references count="4">
          <reference field="5" count="3">
            <x v="85"/>
            <x v="88"/>
            <x v="89"/>
          </reference>
          <reference field="8" count="1" selected="0">
            <x v="440"/>
          </reference>
          <reference field="11" count="1" selected="0">
            <x v="3"/>
          </reference>
          <reference field="13" count="1" selected="0">
            <x v="105"/>
          </reference>
        </references>
      </pivotArea>
    </format>
    <format dxfId="1851">
      <pivotArea dataOnly="0" labelOnly="1" outline="0" fieldPosition="0">
        <references count="4">
          <reference field="5" count="2">
            <x v="88"/>
            <x v="89"/>
          </reference>
          <reference field="8" count="1" selected="0">
            <x v="440"/>
          </reference>
          <reference field="11" count="1" selected="0">
            <x v="3"/>
          </reference>
          <reference field="13" count="1" selected="0">
            <x v="110"/>
          </reference>
        </references>
      </pivotArea>
    </format>
    <format dxfId="1850">
      <pivotArea dataOnly="0" labelOnly="1" outline="0" fieldPosition="0">
        <references count="4">
          <reference field="5" count="7">
            <x v="85"/>
            <x v="86"/>
            <x v="87"/>
            <x v="88"/>
            <x v="89"/>
            <x v="91"/>
            <x v="114"/>
          </reference>
          <reference field="8" count="1" selected="0">
            <x v="440"/>
          </reference>
          <reference field="11" count="1" selected="0">
            <x v="3"/>
          </reference>
          <reference field="13" count="1" selected="0">
            <x v="163"/>
          </reference>
        </references>
      </pivotArea>
    </format>
    <format dxfId="1849">
      <pivotArea dataOnly="0" labelOnly="1" outline="0" fieldPosition="0">
        <references count="4">
          <reference field="5" count="3">
            <x v="86"/>
            <x v="88"/>
            <x v="114"/>
          </reference>
          <reference field="8" count="1" selected="0">
            <x v="440"/>
          </reference>
          <reference field="11" count="1" selected="0">
            <x v="3"/>
          </reference>
          <reference field="13" count="1" selected="0">
            <x v="240"/>
          </reference>
        </references>
      </pivotArea>
    </format>
    <format dxfId="1848">
      <pivotArea dataOnly="0" labelOnly="1" outline="0" fieldPosition="0">
        <references count="4">
          <reference field="5" count="4">
            <x v="86"/>
            <x v="87"/>
            <x v="88"/>
            <x v="89"/>
          </reference>
          <reference field="8" count="1" selected="0">
            <x v="440"/>
          </reference>
          <reference field="11" count="1" selected="0">
            <x v="3"/>
          </reference>
          <reference field="13" count="1" selected="0">
            <x v="251"/>
          </reference>
        </references>
      </pivotArea>
    </format>
    <format dxfId="1847">
      <pivotArea dataOnly="0" labelOnly="1" outline="0" fieldPosition="0">
        <references count="4">
          <reference field="5" count="4">
            <x v="86"/>
            <x v="88"/>
            <x v="89"/>
            <x v="114"/>
          </reference>
          <reference field="8" count="1" selected="0">
            <x v="440"/>
          </reference>
          <reference field="11" count="1" selected="0">
            <x v="3"/>
          </reference>
          <reference field="13" count="1" selected="0">
            <x v="287"/>
          </reference>
        </references>
      </pivotArea>
    </format>
    <format dxfId="1846">
      <pivotArea dataOnly="0" labelOnly="1" outline="0" fieldPosition="0">
        <references count="4">
          <reference field="5" count="2">
            <x v="88"/>
            <x v="89"/>
          </reference>
          <reference field="8" count="1" selected="0">
            <x v="440"/>
          </reference>
          <reference field="11" count="1" selected="0">
            <x v="3"/>
          </reference>
          <reference field="13" count="1" selected="0">
            <x v="305"/>
          </reference>
        </references>
      </pivotArea>
    </format>
    <format dxfId="1845">
      <pivotArea dataOnly="0" labelOnly="1" outline="0" fieldPosition="0">
        <references count="4">
          <reference field="5" count="2">
            <x v="89"/>
            <x v="114"/>
          </reference>
          <reference field="8" count="1" selected="0">
            <x v="440"/>
          </reference>
          <reference field="11" count="1" selected="0">
            <x v="3"/>
          </reference>
          <reference field="13" count="1" selected="0">
            <x v="314"/>
          </reference>
        </references>
      </pivotArea>
    </format>
    <format dxfId="1844">
      <pivotArea dataOnly="0" labelOnly="1" outline="0" fieldPosition="0">
        <references count="4">
          <reference field="5" count="2">
            <x v="86"/>
            <x v="87"/>
          </reference>
          <reference field="8" count="1" selected="0">
            <x v="440"/>
          </reference>
          <reference field="11" count="1" selected="0">
            <x v="4"/>
          </reference>
          <reference field="13" count="1" selected="0">
            <x v="133"/>
          </reference>
        </references>
      </pivotArea>
    </format>
    <format dxfId="1843">
      <pivotArea dataOnly="0" labelOnly="1" outline="0" fieldPosition="0">
        <references count="4">
          <reference field="5" count="4">
            <x v="85"/>
            <x v="86"/>
            <x v="89"/>
            <x v="114"/>
          </reference>
          <reference field="8" count="1" selected="0">
            <x v="440"/>
          </reference>
          <reference field="11" count="1" selected="0">
            <x v="5"/>
          </reference>
          <reference field="13" count="1" selected="0">
            <x v="77"/>
          </reference>
        </references>
      </pivotArea>
    </format>
    <format dxfId="1842">
      <pivotArea dataOnly="0" labelOnly="1" outline="0" fieldPosition="0">
        <references count="4">
          <reference field="5" count="4">
            <x v="85"/>
            <x v="86"/>
            <x v="88"/>
            <x v="114"/>
          </reference>
          <reference field="8" count="1" selected="0">
            <x v="440"/>
          </reference>
          <reference field="11" count="1" selected="0">
            <x v="5"/>
          </reference>
          <reference field="13" count="1" selected="0">
            <x v="81"/>
          </reference>
        </references>
      </pivotArea>
    </format>
    <format dxfId="1841">
      <pivotArea dataOnly="0" labelOnly="1" outline="0" fieldPosition="0">
        <references count="4">
          <reference field="5" count="2">
            <x v="86"/>
            <x v="88"/>
          </reference>
          <reference field="8" count="1" selected="0">
            <x v="440"/>
          </reference>
          <reference field="11" count="1" selected="0">
            <x v="5"/>
          </reference>
          <reference field="13" count="1" selected="0">
            <x v="255"/>
          </reference>
        </references>
      </pivotArea>
    </format>
    <format dxfId="1840">
      <pivotArea dataOnly="0" labelOnly="1" outline="0" fieldPosition="0">
        <references count="4">
          <reference field="5" count="1">
            <x v="23"/>
          </reference>
          <reference field="8" count="1" selected="0">
            <x v="441"/>
          </reference>
          <reference field="11" count="1" selected="0">
            <x v="3"/>
          </reference>
          <reference field="13" count="1" selected="0">
            <x v="32"/>
          </reference>
        </references>
      </pivotArea>
    </format>
    <format dxfId="1839">
      <pivotArea dataOnly="0" labelOnly="1" outline="0" fieldPosition="0">
        <references count="4">
          <reference field="5" count="1">
            <x v="23"/>
          </reference>
          <reference field="8" count="1" selected="0">
            <x v="441"/>
          </reference>
          <reference field="11" count="1" selected="0">
            <x v="3"/>
          </reference>
          <reference field="13" count="1" selected="0">
            <x v="57"/>
          </reference>
        </references>
      </pivotArea>
    </format>
    <format dxfId="1838">
      <pivotArea dataOnly="0" labelOnly="1" outline="0" fieldPosition="0">
        <references count="4">
          <reference field="5" count="1">
            <x v="23"/>
          </reference>
          <reference field="8" count="1" selected="0">
            <x v="441"/>
          </reference>
          <reference field="11" count="1" selected="0">
            <x v="3"/>
          </reference>
          <reference field="13" count="1" selected="0">
            <x v="78"/>
          </reference>
        </references>
      </pivotArea>
    </format>
    <format dxfId="1837">
      <pivotArea dataOnly="0" labelOnly="1" outline="0" fieldPosition="0">
        <references count="4">
          <reference field="5" count="1">
            <x v="23"/>
          </reference>
          <reference field="8" count="1" selected="0">
            <x v="441"/>
          </reference>
          <reference field="11" count="1" selected="0">
            <x v="3"/>
          </reference>
          <reference field="13" count="1" selected="0">
            <x v="92"/>
          </reference>
        </references>
      </pivotArea>
    </format>
    <format dxfId="1836">
      <pivotArea dataOnly="0" labelOnly="1" outline="0" fieldPosition="0">
        <references count="4">
          <reference field="5" count="1">
            <x v="23"/>
          </reference>
          <reference field="8" count="1" selected="0">
            <x v="441"/>
          </reference>
          <reference field="11" count="1" selected="0">
            <x v="3"/>
          </reference>
          <reference field="13" count="1" selected="0">
            <x v="240"/>
          </reference>
        </references>
      </pivotArea>
    </format>
    <format dxfId="1835">
      <pivotArea dataOnly="0" labelOnly="1" outline="0" fieldPosition="0">
        <references count="4">
          <reference field="5" count="1">
            <x v="23"/>
          </reference>
          <reference field="8" count="1" selected="0">
            <x v="441"/>
          </reference>
          <reference field="11" count="1" selected="0">
            <x v="3"/>
          </reference>
          <reference field="13" count="1" selected="0">
            <x v="242"/>
          </reference>
        </references>
      </pivotArea>
    </format>
    <format dxfId="1834">
      <pivotArea dataOnly="0" labelOnly="1" outline="0" fieldPosition="0">
        <references count="4">
          <reference field="5" count="1">
            <x v="23"/>
          </reference>
          <reference field="8" count="1" selected="0">
            <x v="441"/>
          </reference>
          <reference field="11" count="1" selected="0">
            <x v="3"/>
          </reference>
          <reference field="13" count="1" selected="0">
            <x v="243"/>
          </reference>
        </references>
      </pivotArea>
    </format>
    <format dxfId="1833">
      <pivotArea dataOnly="0" labelOnly="1" outline="0" fieldPosition="0">
        <references count="4">
          <reference field="5" count="1">
            <x v="23"/>
          </reference>
          <reference field="8" count="1" selected="0">
            <x v="441"/>
          </reference>
          <reference field="11" count="1" selected="0">
            <x v="3"/>
          </reference>
          <reference field="13" count="1" selected="0">
            <x v="251"/>
          </reference>
        </references>
      </pivotArea>
    </format>
    <format dxfId="1832">
      <pivotArea dataOnly="0" labelOnly="1" outline="0" fieldPosition="0">
        <references count="4">
          <reference field="5" count="3">
            <x v="20"/>
            <x v="23"/>
            <x v="116"/>
          </reference>
          <reference field="8" count="1" selected="0">
            <x v="441"/>
          </reference>
          <reference field="11" count="1" selected="0">
            <x v="5"/>
          </reference>
          <reference field="13" count="1" selected="0">
            <x v="81"/>
          </reference>
        </references>
      </pivotArea>
    </format>
    <format dxfId="1831">
      <pivotArea dataOnly="0" labelOnly="1" outline="0" fieldPosition="0">
        <references count="4">
          <reference field="5" count="1">
            <x v="23"/>
          </reference>
          <reference field="8" count="1" selected="0">
            <x v="441"/>
          </reference>
          <reference field="11" count="1" selected="0">
            <x v="5"/>
          </reference>
          <reference field="13" count="1" selected="0">
            <x v="226"/>
          </reference>
        </references>
      </pivotArea>
    </format>
    <format dxfId="1830">
      <pivotArea dataOnly="0" labelOnly="1" outline="0" fieldPosition="0">
        <references count="4">
          <reference field="5" count="1">
            <x v="23"/>
          </reference>
          <reference field="8" count="1" selected="0">
            <x v="441"/>
          </reference>
          <reference field="11" count="1" selected="0">
            <x v="7"/>
          </reference>
          <reference field="13" count="1" selected="0">
            <x v="72"/>
          </reference>
        </references>
      </pivotArea>
    </format>
    <format dxfId="1829">
      <pivotArea dataOnly="0" labelOnly="1" outline="0" fieldPosition="0">
        <references count="4">
          <reference field="5" count="1">
            <x v="3"/>
          </reference>
          <reference field="8" count="1" selected="0">
            <x v="442"/>
          </reference>
          <reference field="11" count="1" selected="0">
            <x v="3"/>
          </reference>
          <reference field="13" count="1" selected="0">
            <x v="163"/>
          </reference>
        </references>
      </pivotArea>
    </format>
    <format dxfId="1828">
      <pivotArea dataOnly="0" labelOnly="1" outline="0" fieldPosition="0">
        <references count="4">
          <reference field="5" count="1">
            <x v="3"/>
          </reference>
          <reference field="8" count="1" selected="0">
            <x v="442"/>
          </reference>
          <reference field="11" count="1" selected="0">
            <x v="3"/>
          </reference>
          <reference field="13" count="1" selected="0">
            <x v="251"/>
          </reference>
        </references>
      </pivotArea>
    </format>
    <format dxfId="1827">
      <pivotArea dataOnly="0" labelOnly="1" outline="0" fieldPosition="0">
        <references count="4">
          <reference field="5" count="1">
            <x v="20"/>
          </reference>
          <reference field="8" count="1" selected="0">
            <x v="442"/>
          </reference>
          <reference field="11" count="1" selected="0">
            <x v="5"/>
          </reference>
          <reference field="13" count="1" selected="0">
            <x v="77"/>
          </reference>
        </references>
      </pivotArea>
    </format>
    <format dxfId="1826">
      <pivotArea dataOnly="0" labelOnly="1" outline="0" fieldPosition="0">
        <references count="4">
          <reference field="5" count="2">
            <x v="3"/>
            <x v="4"/>
          </reference>
          <reference field="8" count="1" selected="0">
            <x v="442"/>
          </reference>
          <reference field="11" count="1" selected="0">
            <x v="5"/>
          </reference>
          <reference field="13" count="1" selected="0">
            <x v="226"/>
          </reference>
        </references>
      </pivotArea>
    </format>
    <format dxfId="1825">
      <pivotArea dataOnly="0" labelOnly="1" outline="0" fieldPosition="0">
        <references count="4">
          <reference field="5" count="2">
            <x v="91"/>
            <x v="114"/>
          </reference>
          <reference field="8" count="1" selected="0">
            <x v="443"/>
          </reference>
          <reference field="11" count="1" selected="0">
            <x v="3"/>
          </reference>
          <reference field="13" count="1" selected="0">
            <x v="7"/>
          </reference>
        </references>
      </pivotArea>
    </format>
    <format dxfId="1824">
      <pivotArea dataOnly="0" labelOnly="1" outline="0" fieldPosition="0">
        <references count="4">
          <reference field="5" count="1">
            <x v="114"/>
          </reference>
          <reference field="8" count="1" selected="0">
            <x v="443"/>
          </reference>
          <reference field="11" count="1" selected="0">
            <x v="3"/>
          </reference>
          <reference field="13" count="1" selected="0">
            <x v="32"/>
          </reference>
        </references>
      </pivotArea>
    </format>
    <format dxfId="1823">
      <pivotArea dataOnly="0" labelOnly="1" outline="0" fieldPosition="0">
        <references count="4">
          <reference field="5" count="1">
            <x v="91"/>
          </reference>
          <reference field="8" count="1" selected="0">
            <x v="443"/>
          </reference>
          <reference field="11" count="1" selected="0">
            <x v="3"/>
          </reference>
          <reference field="13" count="1" selected="0">
            <x v="57"/>
          </reference>
        </references>
      </pivotArea>
    </format>
    <format dxfId="1822">
      <pivotArea dataOnly="0" labelOnly="1" outline="0" fieldPosition="0">
        <references count="4">
          <reference field="5" count="3">
            <x v="86"/>
            <x v="91"/>
            <x v="114"/>
          </reference>
          <reference field="8" count="1" selected="0">
            <x v="443"/>
          </reference>
          <reference field="11" count="1" selected="0">
            <x v="3"/>
          </reference>
          <reference field="13" count="1" selected="0">
            <x v="69"/>
          </reference>
        </references>
      </pivotArea>
    </format>
    <format dxfId="1821">
      <pivotArea dataOnly="0" labelOnly="1" outline="0" fieldPosition="0">
        <references count="4">
          <reference field="5" count="2">
            <x v="91"/>
            <x v="114"/>
          </reference>
          <reference field="8" count="1" selected="0">
            <x v="443"/>
          </reference>
          <reference field="11" count="1" selected="0">
            <x v="3"/>
          </reference>
          <reference field="13" count="1" selected="0">
            <x v="89"/>
          </reference>
        </references>
      </pivotArea>
    </format>
    <format dxfId="1820">
      <pivotArea dataOnly="0" labelOnly="1" outline="0" fieldPosition="0">
        <references count="4">
          <reference field="5" count="1">
            <x v="86"/>
          </reference>
          <reference field="8" count="1" selected="0">
            <x v="443"/>
          </reference>
          <reference field="11" count="1" selected="0">
            <x v="3"/>
          </reference>
          <reference field="13" count="1" selected="0">
            <x v="101"/>
          </reference>
        </references>
      </pivotArea>
    </format>
    <format dxfId="1819">
      <pivotArea dataOnly="0" labelOnly="1" outline="0" fieldPosition="0">
        <references count="4">
          <reference field="5" count="2">
            <x v="91"/>
            <x v="114"/>
          </reference>
          <reference field="8" count="1" selected="0">
            <x v="443"/>
          </reference>
          <reference field="11" count="1" selected="0">
            <x v="3"/>
          </reference>
          <reference field="13" count="1" selected="0">
            <x v="105"/>
          </reference>
        </references>
      </pivotArea>
    </format>
    <format dxfId="1818">
      <pivotArea dataOnly="0" labelOnly="1" outline="0" fieldPosition="0">
        <references count="4">
          <reference field="5" count="1">
            <x v="91"/>
          </reference>
          <reference field="8" count="1" selected="0">
            <x v="443"/>
          </reference>
          <reference field="11" count="1" selected="0">
            <x v="3"/>
          </reference>
          <reference field="13" count="1" selected="0">
            <x v="163"/>
          </reference>
        </references>
      </pivotArea>
    </format>
    <format dxfId="1817">
      <pivotArea dataOnly="0" labelOnly="1" outline="0" fieldPosition="0">
        <references count="4">
          <reference field="5" count="2">
            <x v="91"/>
            <x v="114"/>
          </reference>
          <reference field="8" count="1" selected="0">
            <x v="443"/>
          </reference>
          <reference field="11" count="1" selected="0">
            <x v="3"/>
          </reference>
          <reference field="13" count="1" selected="0">
            <x v="240"/>
          </reference>
        </references>
      </pivotArea>
    </format>
    <format dxfId="1816">
      <pivotArea dataOnly="0" labelOnly="1" outline="0" fieldPosition="0">
        <references count="4">
          <reference field="5" count="1">
            <x v="114"/>
          </reference>
          <reference field="8" count="1" selected="0">
            <x v="443"/>
          </reference>
          <reference field="11" count="1" selected="0">
            <x v="3"/>
          </reference>
          <reference field="13" count="1" selected="0">
            <x v="242"/>
          </reference>
        </references>
      </pivotArea>
    </format>
    <format dxfId="1815">
      <pivotArea dataOnly="0" labelOnly="1" outline="0" fieldPosition="0">
        <references count="4">
          <reference field="5" count="3">
            <x v="86"/>
            <x v="91"/>
            <x v="114"/>
          </reference>
          <reference field="8" count="1" selected="0">
            <x v="443"/>
          </reference>
          <reference field="11" count="1" selected="0">
            <x v="3"/>
          </reference>
          <reference field="13" count="1" selected="0">
            <x v="287"/>
          </reference>
        </references>
      </pivotArea>
    </format>
    <format dxfId="1814">
      <pivotArea dataOnly="0" labelOnly="1" outline="0" fieldPosition="0">
        <references count="4">
          <reference field="5" count="1">
            <x v="114"/>
          </reference>
          <reference field="8" count="1" selected="0">
            <x v="443"/>
          </reference>
          <reference field="11" count="1" selected="0">
            <x v="3"/>
          </reference>
          <reference field="13" count="1" selected="0">
            <x v="314"/>
          </reference>
        </references>
      </pivotArea>
    </format>
    <format dxfId="1813">
      <pivotArea dataOnly="0" labelOnly="1" outline="0" fieldPosition="0">
        <references count="4">
          <reference field="5" count="1">
            <x v="114"/>
          </reference>
          <reference field="8" count="1" selected="0">
            <x v="443"/>
          </reference>
          <reference field="11" count="1" selected="0">
            <x v="4"/>
          </reference>
          <reference field="13" count="1" selected="0">
            <x v="133"/>
          </reference>
        </references>
      </pivotArea>
    </format>
    <format dxfId="1812">
      <pivotArea dataOnly="0" labelOnly="1" outline="0" fieldPosition="0">
        <references count="4">
          <reference field="5" count="3">
            <x v="86"/>
            <x v="91"/>
            <x v="114"/>
          </reference>
          <reference field="8" count="1" selected="0">
            <x v="443"/>
          </reference>
          <reference field="11" count="1" selected="0">
            <x v="5"/>
          </reference>
          <reference field="13" count="1" selected="0">
            <x v="77"/>
          </reference>
        </references>
      </pivotArea>
    </format>
    <format dxfId="1811">
      <pivotArea dataOnly="0" labelOnly="1" outline="0" fieldPosition="0">
        <references count="4">
          <reference field="5" count="4">
            <x v="85"/>
            <x v="86"/>
            <x v="91"/>
            <x v="114"/>
          </reference>
          <reference field="8" count="1" selected="0">
            <x v="443"/>
          </reference>
          <reference field="11" count="1" selected="0">
            <x v="5"/>
          </reference>
          <reference field="13" count="1" selected="0">
            <x v="81"/>
          </reference>
        </references>
      </pivotArea>
    </format>
    <format dxfId="1810">
      <pivotArea dataOnly="0" labelOnly="1" outline="0" fieldPosition="0">
        <references count="4">
          <reference field="5" count="1">
            <x v="86"/>
          </reference>
          <reference field="8" count="1" selected="0">
            <x v="443"/>
          </reference>
          <reference field="11" count="1" selected="0">
            <x v="5"/>
          </reference>
          <reference field="13" count="1" selected="0">
            <x v="255"/>
          </reference>
        </references>
      </pivotArea>
    </format>
    <format dxfId="1809">
      <pivotArea dataOnly="0" labelOnly="1" outline="0" fieldPosition="0">
        <references count="4">
          <reference field="5" count="1">
            <x v="114"/>
          </reference>
          <reference field="8" count="1" selected="0">
            <x v="443"/>
          </reference>
          <reference field="11" count="1" selected="0">
            <x v="6"/>
          </reference>
          <reference field="13" count="1" selected="0">
            <x v="68"/>
          </reference>
        </references>
      </pivotArea>
    </format>
    <format dxfId="1808">
      <pivotArea dataOnly="0" labelOnly="1" outline="0" fieldPosition="0">
        <references count="4">
          <reference field="5" count="1">
            <x v="108"/>
          </reference>
          <reference field="8" count="1" selected="0">
            <x v="444"/>
          </reference>
          <reference field="11" count="1" selected="0">
            <x v="3"/>
          </reference>
          <reference field="13" count="1" selected="0">
            <x v="57"/>
          </reference>
        </references>
      </pivotArea>
    </format>
    <format dxfId="1807">
      <pivotArea dataOnly="0" labelOnly="1" outline="0" fieldPosition="0">
        <references count="4">
          <reference field="5" count="1">
            <x v="63"/>
          </reference>
          <reference field="8" count="1" selected="0">
            <x v="446"/>
          </reference>
          <reference field="11" count="1" selected="0">
            <x v="3"/>
          </reference>
          <reference field="13" count="1" selected="0">
            <x v="217"/>
          </reference>
        </references>
      </pivotArea>
    </format>
    <format dxfId="1806">
      <pivotArea dataOnly="0" labelOnly="1" outline="0" fieldPosition="0">
        <references count="4">
          <reference field="5" count="1">
            <x v="114"/>
          </reference>
          <reference field="8" count="1" selected="0">
            <x v="447"/>
          </reference>
          <reference field="11" count="1" selected="0">
            <x v="2"/>
          </reference>
          <reference field="13" count="1" selected="0">
            <x v="238"/>
          </reference>
        </references>
      </pivotArea>
    </format>
    <format dxfId="1805">
      <pivotArea dataOnly="0" labelOnly="1" outline="0" fieldPosition="0">
        <references count="4">
          <reference field="5" count="2">
            <x v="88"/>
            <x v="114"/>
          </reference>
          <reference field="8" count="1" selected="0">
            <x v="447"/>
          </reference>
          <reference field="11" count="1" selected="0">
            <x v="3"/>
          </reference>
          <reference field="13" count="1" selected="0">
            <x v="7"/>
          </reference>
        </references>
      </pivotArea>
    </format>
    <format dxfId="1804">
      <pivotArea dataOnly="0" labelOnly="1" outline="0" fieldPosition="0">
        <references count="4">
          <reference field="5" count="1">
            <x v="88"/>
          </reference>
          <reference field="8" count="1" selected="0">
            <x v="447"/>
          </reference>
          <reference field="11" count="1" selected="0">
            <x v="3"/>
          </reference>
          <reference field="13" count="1" selected="0">
            <x v="17"/>
          </reference>
        </references>
      </pivotArea>
    </format>
    <format dxfId="1803">
      <pivotArea dataOnly="0" labelOnly="1" outline="0" fieldPosition="0">
        <references count="4">
          <reference field="5" count="4">
            <x v="87"/>
            <x v="88"/>
            <x v="89"/>
            <x v="114"/>
          </reference>
          <reference field="8" count="1" selected="0">
            <x v="447"/>
          </reference>
          <reference field="11" count="1" selected="0">
            <x v="3"/>
          </reference>
          <reference field="13" count="1" selected="0">
            <x v="32"/>
          </reference>
        </references>
      </pivotArea>
    </format>
    <format dxfId="1802">
      <pivotArea dataOnly="0" labelOnly="1" outline="0" fieldPosition="0">
        <references count="4">
          <reference field="5" count="2">
            <x v="87"/>
            <x v="91"/>
          </reference>
          <reference field="8" count="1" selected="0">
            <x v="447"/>
          </reference>
          <reference field="11" count="1" selected="0">
            <x v="3"/>
          </reference>
          <reference field="13" count="1" selected="0">
            <x v="47"/>
          </reference>
        </references>
      </pivotArea>
    </format>
    <format dxfId="1801">
      <pivotArea dataOnly="0" labelOnly="1" outline="0" fieldPosition="0">
        <references count="4">
          <reference field="5" count="2">
            <x v="88"/>
            <x v="91"/>
          </reference>
          <reference field="8" count="1" selected="0">
            <x v="447"/>
          </reference>
          <reference field="11" count="1" selected="0">
            <x v="3"/>
          </reference>
          <reference field="13" count="1" selected="0">
            <x v="57"/>
          </reference>
        </references>
      </pivotArea>
    </format>
    <format dxfId="1800">
      <pivotArea dataOnly="0" labelOnly="1" outline="0" fieldPosition="0">
        <references count="4">
          <reference field="5" count="7">
            <x v="85"/>
            <x v="86"/>
            <x v="87"/>
            <x v="88"/>
            <x v="89"/>
            <x v="91"/>
            <x v="114"/>
          </reference>
          <reference field="8" count="1" selected="0">
            <x v="447"/>
          </reference>
          <reference field="11" count="1" selected="0">
            <x v="3"/>
          </reference>
          <reference field="13" count="1" selected="0">
            <x v="69"/>
          </reference>
        </references>
      </pivotArea>
    </format>
    <format dxfId="1799">
      <pivotArea dataOnly="0" labelOnly="1" outline="0" fieldPosition="0">
        <references count="4">
          <reference field="5" count="2">
            <x v="85"/>
            <x v="91"/>
          </reference>
          <reference field="8" count="1" selected="0">
            <x v="447"/>
          </reference>
          <reference field="11" count="1" selected="0">
            <x v="3"/>
          </reference>
          <reference field="13" count="1" selected="0">
            <x v="83"/>
          </reference>
        </references>
      </pivotArea>
    </format>
    <format dxfId="1798">
      <pivotArea dataOnly="0" labelOnly="1" outline="0" fieldPosition="0">
        <references count="4">
          <reference field="5" count="1">
            <x v="88"/>
          </reference>
          <reference field="8" count="1" selected="0">
            <x v="447"/>
          </reference>
          <reference field="11" count="1" selected="0">
            <x v="3"/>
          </reference>
          <reference field="13" count="1" selected="0">
            <x v="89"/>
          </reference>
        </references>
      </pivotArea>
    </format>
    <format dxfId="1797">
      <pivotArea dataOnly="0" labelOnly="1" outline="0" fieldPosition="0">
        <references count="4">
          <reference field="5" count="2">
            <x v="86"/>
            <x v="88"/>
          </reference>
          <reference field="8" count="1" selected="0">
            <x v="447"/>
          </reference>
          <reference field="11" count="1" selected="0">
            <x v="3"/>
          </reference>
          <reference field="13" count="1" selected="0">
            <x v="101"/>
          </reference>
        </references>
      </pivotArea>
    </format>
    <format dxfId="1796">
      <pivotArea dataOnly="0" labelOnly="1" outline="0" fieldPosition="0">
        <references count="4">
          <reference field="5" count="3">
            <x v="85"/>
            <x v="88"/>
            <x v="114"/>
          </reference>
          <reference field="8" count="1" selected="0">
            <x v="447"/>
          </reference>
          <reference field="11" count="1" selected="0">
            <x v="3"/>
          </reference>
          <reference field="13" count="1" selected="0">
            <x v="105"/>
          </reference>
        </references>
      </pivotArea>
    </format>
    <format dxfId="1795">
      <pivotArea dataOnly="0" labelOnly="1" outline="0" fieldPosition="0">
        <references count="4">
          <reference field="5" count="1">
            <x v="114"/>
          </reference>
          <reference field="8" count="1" selected="0">
            <x v="447"/>
          </reference>
          <reference field="11" count="1" selected="0">
            <x v="3"/>
          </reference>
          <reference field="13" count="1" selected="0">
            <x v="110"/>
          </reference>
        </references>
      </pivotArea>
    </format>
    <format dxfId="1794">
      <pivotArea dataOnly="0" labelOnly="1" outline="0" fieldPosition="0">
        <references count="4">
          <reference field="5" count="6">
            <x v="85"/>
            <x v="86"/>
            <x v="88"/>
            <x v="89"/>
            <x v="91"/>
            <x v="114"/>
          </reference>
          <reference field="8" count="1" selected="0">
            <x v="447"/>
          </reference>
          <reference field="11" count="1" selected="0">
            <x v="3"/>
          </reference>
          <reference field="13" count="1" selected="0">
            <x v="163"/>
          </reference>
        </references>
      </pivotArea>
    </format>
    <format dxfId="1793">
      <pivotArea dataOnly="0" labelOnly="1" outline="0" fieldPosition="0">
        <references count="4">
          <reference field="5" count="4">
            <x v="86"/>
            <x v="88"/>
            <x v="91"/>
            <x v="114"/>
          </reference>
          <reference field="8" count="1" selected="0">
            <x v="447"/>
          </reference>
          <reference field="11" count="1" selected="0">
            <x v="3"/>
          </reference>
          <reference field="13" count="1" selected="0">
            <x v="240"/>
          </reference>
        </references>
      </pivotArea>
    </format>
    <format dxfId="1792">
      <pivotArea dataOnly="0" labelOnly="1" outline="0" fieldPosition="0">
        <references count="4">
          <reference field="5" count="3">
            <x v="86"/>
            <x v="89"/>
            <x v="114"/>
          </reference>
          <reference field="8" count="1" selected="0">
            <x v="447"/>
          </reference>
          <reference field="11" count="1" selected="0">
            <x v="3"/>
          </reference>
          <reference field="13" count="1" selected="0">
            <x v="251"/>
          </reference>
        </references>
      </pivotArea>
    </format>
    <format dxfId="1791">
      <pivotArea dataOnly="0" labelOnly="1" outline="0" fieldPosition="0">
        <references count="4">
          <reference field="5" count="7">
            <x v="85"/>
            <x v="86"/>
            <x v="87"/>
            <x v="88"/>
            <x v="89"/>
            <x v="91"/>
            <x v="114"/>
          </reference>
          <reference field="8" count="1" selected="0">
            <x v="447"/>
          </reference>
          <reference field="11" count="1" selected="0">
            <x v="3"/>
          </reference>
          <reference field="13" count="1" selected="0">
            <x v="287"/>
          </reference>
        </references>
      </pivotArea>
    </format>
    <format dxfId="1790">
      <pivotArea dataOnly="0" labelOnly="1" outline="0" fieldPosition="0">
        <references count="4">
          <reference field="5" count="1">
            <x v="114"/>
          </reference>
          <reference field="8" count="1" selected="0">
            <x v="447"/>
          </reference>
          <reference field="11" count="1" selected="0">
            <x v="3"/>
          </reference>
          <reference field="13" count="1" selected="0">
            <x v="314"/>
          </reference>
        </references>
      </pivotArea>
    </format>
    <format dxfId="1789">
      <pivotArea dataOnly="0" labelOnly="1" outline="0" fieldPosition="0">
        <references count="4">
          <reference field="5" count="1">
            <x v="85"/>
          </reference>
          <reference field="8" count="1" selected="0">
            <x v="447"/>
          </reference>
          <reference field="11" count="1" selected="0">
            <x v="3"/>
          </reference>
          <reference field="13" count="1" selected="0">
            <x v="316"/>
          </reference>
        </references>
      </pivotArea>
    </format>
    <format dxfId="1788">
      <pivotArea dataOnly="0" labelOnly="1" outline="0" fieldPosition="0">
        <references count="4">
          <reference field="5" count="1">
            <x v="114"/>
          </reference>
          <reference field="8" count="1" selected="0">
            <x v="447"/>
          </reference>
          <reference field="11" count="1" selected="0">
            <x v="4"/>
          </reference>
          <reference field="13" count="1" selected="0">
            <x v="133"/>
          </reference>
        </references>
      </pivotArea>
    </format>
    <format dxfId="1787">
      <pivotArea dataOnly="0" labelOnly="1" outline="0" fieldPosition="0">
        <references count="4">
          <reference field="5" count="6">
            <x v="85"/>
            <x v="86"/>
            <x v="87"/>
            <x v="88"/>
            <x v="91"/>
            <x v="114"/>
          </reference>
          <reference field="8" count="1" selected="0">
            <x v="447"/>
          </reference>
          <reference field="11" count="1" selected="0">
            <x v="5"/>
          </reference>
          <reference field="13" count="1" selected="0">
            <x v="77"/>
          </reference>
        </references>
      </pivotArea>
    </format>
    <format dxfId="1786">
      <pivotArea dataOnly="0" labelOnly="1" outline="0" fieldPosition="0">
        <references count="4">
          <reference field="5" count="5">
            <x v="86"/>
            <x v="87"/>
            <x v="88"/>
            <x v="91"/>
            <x v="114"/>
          </reference>
          <reference field="8" count="1" selected="0">
            <x v="447"/>
          </reference>
          <reference field="11" count="1" selected="0">
            <x v="5"/>
          </reference>
          <reference field="13" count="1" selected="0">
            <x v="81"/>
          </reference>
        </references>
      </pivotArea>
    </format>
    <format dxfId="1785">
      <pivotArea dataOnly="0" labelOnly="1" outline="0" fieldPosition="0">
        <references count="4">
          <reference field="5" count="4">
            <x v="86"/>
            <x v="88"/>
            <x v="91"/>
            <x v="114"/>
          </reference>
          <reference field="8" count="1" selected="0">
            <x v="447"/>
          </reference>
          <reference field="11" count="1" selected="0">
            <x v="5"/>
          </reference>
          <reference field="13" count="1" selected="0">
            <x v="255"/>
          </reference>
        </references>
      </pivotArea>
    </format>
    <format dxfId="1784">
      <pivotArea dataOnly="0" labelOnly="1" outline="0" fieldPosition="0">
        <references count="4">
          <reference field="5" count="1">
            <x v="114"/>
          </reference>
          <reference field="8" count="1" selected="0">
            <x v="447"/>
          </reference>
          <reference field="11" count="1" selected="0">
            <x v="7"/>
          </reference>
          <reference field="13" count="1" selected="0">
            <x v="72"/>
          </reference>
        </references>
      </pivotArea>
    </format>
    <format dxfId="1783">
      <pivotArea dataOnly="0" labelOnly="1" outline="0" fieldPosition="0">
        <references count="4">
          <reference field="5" count="1">
            <x v="2"/>
          </reference>
          <reference field="8" count="1" selected="0">
            <x v="448"/>
          </reference>
          <reference field="11" count="1" selected="0">
            <x v="3"/>
          </reference>
          <reference field="13" count="1" selected="0">
            <x v="4"/>
          </reference>
        </references>
      </pivotArea>
    </format>
    <format dxfId="1782">
      <pivotArea dataOnly="0" labelOnly="1" outline="0" fieldPosition="0">
        <references count="4">
          <reference field="5" count="1">
            <x v="2"/>
          </reference>
          <reference field="8" count="1" selected="0">
            <x v="448"/>
          </reference>
          <reference field="11" count="1" selected="0">
            <x v="3"/>
          </reference>
          <reference field="13" count="1" selected="0">
            <x v="240"/>
          </reference>
        </references>
      </pivotArea>
    </format>
    <format dxfId="1781">
      <pivotArea dataOnly="0" labelOnly="1" outline="0" fieldPosition="0">
        <references count="4">
          <reference field="5" count="1">
            <x v="2"/>
          </reference>
          <reference field="8" count="1" selected="0">
            <x v="448"/>
          </reference>
          <reference field="11" count="1" selected="0">
            <x v="3"/>
          </reference>
          <reference field="13" count="1" selected="0">
            <x v="287"/>
          </reference>
        </references>
      </pivotArea>
    </format>
    <format dxfId="1780">
      <pivotArea dataOnly="0" labelOnly="1" outline="0" fieldPosition="0">
        <references count="4">
          <reference field="5" count="1">
            <x v="2"/>
          </reference>
          <reference field="8" count="1" selected="0">
            <x v="448"/>
          </reference>
          <reference field="11" count="1" selected="0">
            <x v="3"/>
          </reference>
          <reference field="13" count="1" selected="0">
            <x v="314"/>
          </reference>
        </references>
      </pivotArea>
    </format>
    <format dxfId="1779">
      <pivotArea dataOnly="0" labelOnly="1" outline="0" fieldPosition="0">
        <references count="4">
          <reference field="5" count="1">
            <x v="88"/>
          </reference>
          <reference field="8" count="1" selected="0">
            <x v="449"/>
          </reference>
          <reference field="11" count="1" selected="0">
            <x v="2"/>
          </reference>
          <reference field="13" count="1" selected="0">
            <x v="71"/>
          </reference>
        </references>
      </pivotArea>
    </format>
    <format dxfId="1778">
      <pivotArea dataOnly="0" labelOnly="1" outline="0" fieldPosition="0">
        <references count="4">
          <reference field="5" count="6">
            <x v="85"/>
            <x v="86"/>
            <x v="88"/>
            <x v="89"/>
            <x v="91"/>
            <x v="114"/>
          </reference>
          <reference field="8" count="1" selected="0">
            <x v="449"/>
          </reference>
          <reference field="11" count="1" selected="0">
            <x v="3"/>
          </reference>
          <reference field="13" count="1" selected="0">
            <x v="7"/>
          </reference>
        </references>
      </pivotArea>
    </format>
    <format dxfId="1777">
      <pivotArea dataOnly="0" labelOnly="1" outline="0" fieldPosition="0">
        <references count="4">
          <reference field="5" count="2">
            <x v="85"/>
            <x v="89"/>
          </reference>
          <reference field="8" count="1" selected="0">
            <x v="449"/>
          </reference>
          <reference field="11" count="1" selected="0">
            <x v="3"/>
          </reference>
          <reference field="13" count="1" selected="0">
            <x v="17"/>
          </reference>
        </references>
      </pivotArea>
    </format>
    <format dxfId="1776">
      <pivotArea dataOnly="0" labelOnly="1" outline="0" fieldPosition="0">
        <references count="4">
          <reference field="5" count="5">
            <x v="85"/>
            <x v="87"/>
            <x v="88"/>
            <x v="89"/>
            <x v="114"/>
          </reference>
          <reference field="8" count="1" selected="0">
            <x v="449"/>
          </reference>
          <reference field="11" count="1" selected="0">
            <x v="3"/>
          </reference>
          <reference field="13" count="1" selected="0">
            <x v="32"/>
          </reference>
        </references>
      </pivotArea>
    </format>
    <format dxfId="1775">
      <pivotArea dataOnly="0" labelOnly="1" outline="0" fieldPosition="0">
        <references count="4">
          <reference field="5" count="1">
            <x v="87"/>
          </reference>
          <reference field="8" count="1" selected="0">
            <x v="449"/>
          </reference>
          <reference field="11" count="1" selected="0">
            <x v="3"/>
          </reference>
          <reference field="13" count="1" selected="0">
            <x v="47"/>
          </reference>
        </references>
      </pivotArea>
    </format>
    <format dxfId="1774">
      <pivotArea dataOnly="0" labelOnly="1" outline="0" fieldPosition="0">
        <references count="4">
          <reference field="5" count="4">
            <x v="86"/>
            <x v="88"/>
            <x v="89"/>
            <x v="91"/>
          </reference>
          <reference field="8" count="1" selected="0">
            <x v="449"/>
          </reference>
          <reference field="11" count="1" selected="0">
            <x v="3"/>
          </reference>
          <reference field="13" count="1" selected="0">
            <x v="57"/>
          </reference>
        </references>
      </pivotArea>
    </format>
    <format dxfId="1773">
      <pivotArea dataOnly="0" labelOnly="1" outline="0" fieldPosition="0">
        <references count="4">
          <reference field="5" count="7">
            <x v="85"/>
            <x v="86"/>
            <x v="87"/>
            <x v="88"/>
            <x v="89"/>
            <x v="91"/>
            <x v="114"/>
          </reference>
          <reference field="8" count="1" selected="0">
            <x v="449"/>
          </reference>
          <reference field="11" count="1" selected="0">
            <x v="3"/>
          </reference>
          <reference field="13" count="1" selected="0">
            <x v="69"/>
          </reference>
        </references>
      </pivotArea>
    </format>
    <format dxfId="1772">
      <pivotArea dataOnly="0" labelOnly="1" outline="0" fieldPosition="0">
        <references count="4">
          <reference field="5" count="2">
            <x v="88"/>
            <x v="89"/>
          </reference>
          <reference field="8" count="1" selected="0">
            <x v="449"/>
          </reference>
          <reference field="11" count="1" selected="0">
            <x v="3"/>
          </reference>
          <reference field="13" count="1" selected="0">
            <x v="89"/>
          </reference>
        </references>
      </pivotArea>
    </format>
    <format dxfId="1771">
      <pivotArea dataOnly="0" labelOnly="1" outline="0" fieldPosition="0">
        <references count="4">
          <reference field="5" count="1">
            <x v="86"/>
          </reference>
          <reference field="8" count="1" selected="0">
            <x v="449"/>
          </reference>
          <reference field="11" count="1" selected="0">
            <x v="3"/>
          </reference>
          <reference field="13" count="1" selected="0">
            <x v="101"/>
          </reference>
        </references>
      </pivotArea>
    </format>
    <format dxfId="1770">
      <pivotArea dataOnly="0" labelOnly="1" outline="0" fieldPosition="0">
        <references count="4">
          <reference field="5" count="5">
            <x v="85"/>
            <x v="88"/>
            <x v="89"/>
            <x v="91"/>
            <x v="114"/>
          </reference>
          <reference field="8" count="1" selected="0">
            <x v="449"/>
          </reference>
          <reference field="11" count="1" selected="0">
            <x v="3"/>
          </reference>
          <reference field="13" count="1" selected="0">
            <x v="105"/>
          </reference>
        </references>
      </pivotArea>
    </format>
    <format dxfId="1769">
      <pivotArea dataOnly="0" labelOnly="1" outline="0" fieldPosition="0">
        <references count="4">
          <reference field="5" count="3">
            <x v="85"/>
            <x v="89"/>
            <x v="91"/>
          </reference>
          <reference field="8" count="1" selected="0">
            <x v="449"/>
          </reference>
          <reference field="11" count="1" selected="0">
            <x v="3"/>
          </reference>
          <reference field="13" count="1" selected="0">
            <x v="110"/>
          </reference>
        </references>
      </pivotArea>
    </format>
    <format dxfId="1768">
      <pivotArea dataOnly="0" labelOnly="1" outline="0" fieldPosition="0">
        <references count="4">
          <reference field="5" count="1">
            <x v="91"/>
          </reference>
          <reference field="8" count="1" selected="0">
            <x v="449"/>
          </reference>
          <reference field="11" count="1" selected="0">
            <x v="3"/>
          </reference>
          <reference field="13" count="1" selected="0">
            <x v="131"/>
          </reference>
        </references>
      </pivotArea>
    </format>
    <format dxfId="1767">
      <pivotArea dataOnly="0" labelOnly="1" outline="0" fieldPosition="0">
        <references count="4">
          <reference field="5" count="6">
            <x v="85"/>
            <x v="86"/>
            <x v="88"/>
            <x v="89"/>
            <x v="91"/>
            <x v="114"/>
          </reference>
          <reference field="8" count="1" selected="0">
            <x v="449"/>
          </reference>
          <reference field="11" count="1" selected="0">
            <x v="3"/>
          </reference>
          <reference field="13" count="1" selected="0">
            <x v="163"/>
          </reference>
        </references>
      </pivotArea>
    </format>
    <format dxfId="1766">
      <pivotArea dataOnly="0" labelOnly="1" outline="0" fieldPosition="0">
        <references count="4">
          <reference field="5" count="3">
            <x v="88"/>
            <x v="91"/>
            <x v="114"/>
          </reference>
          <reference field="8" count="1" selected="0">
            <x v="449"/>
          </reference>
          <reference field="11" count="1" selected="0">
            <x v="3"/>
          </reference>
          <reference field="13" count="1" selected="0">
            <x v="240"/>
          </reference>
        </references>
      </pivotArea>
    </format>
    <format dxfId="1765">
      <pivotArea dataOnly="0" labelOnly="1" outline="0" fieldPosition="0">
        <references count="4">
          <reference field="5" count="1">
            <x v="114"/>
          </reference>
          <reference field="8" count="1" selected="0">
            <x v="449"/>
          </reference>
          <reference field="11" count="1" selected="0">
            <x v="3"/>
          </reference>
          <reference field="13" count="1" selected="0">
            <x v="243"/>
          </reference>
        </references>
      </pivotArea>
    </format>
    <format dxfId="1764">
      <pivotArea dataOnly="0" labelOnly="1" outline="0" fieldPosition="0">
        <references count="4">
          <reference field="5" count="4">
            <x v="86"/>
            <x v="88"/>
            <x v="91"/>
            <x v="114"/>
          </reference>
          <reference field="8" count="1" selected="0">
            <x v="449"/>
          </reference>
          <reference field="11" count="1" selected="0">
            <x v="3"/>
          </reference>
          <reference field="13" count="1" selected="0">
            <x v="251"/>
          </reference>
        </references>
      </pivotArea>
    </format>
    <format dxfId="1763">
      <pivotArea dataOnly="0" labelOnly="1" outline="0" fieldPosition="0">
        <references count="4">
          <reference field="5" count="6">
            <x v="85"/>
            <x v="86"/>
            <x v="88"/>
            <x v="89"/>
            <x v="91"/>
            <x v="114"/>
          </reference>
          <reference field="8" count="1" selected="0">
            <x v="449"/>
          </reference>
          <reference field="11" count="1" selected="0">
            <x v="3"/>
          </reference>
          <reference field="13" count="1" selected="0">
            <x v="287"/>
          </reference>
        </references>
      </pivotArea>
    </format>
    <format dxfId="1762">
      <pivotArea dataOnly="0" labelOnly="1" outline="0" fieldPosition="0">
        <references count="4">
          <reference field="5" count="2">
            <x v="88"/>
            <x v="89"/>
          </reference>
          <reference field="8" count="1" selected="0">
            <x v="449"/>
          </reference>
          <reference field="11" count="1" selected="0">
            <x v="3"/>
          </reference>
          <reference field="13" count="1" selected="0">
            <x v="305"/>
          </reference>
        </references>
      </pivotArea>
    </format>
    <format dxfId="1761">
      <pivotArea dataOnly="0" labelOnly="1" outline="0" fieldPosition="0">
        <references count="4">
          <reference field="5" count="2">
            <x v="89"/>
            <x v="114"/>
          </reference>
          <reference field="8" count="1" selected="0">
            <x v="449"/>
          </reference>
          <reference field="11" count="1" selected="0">
            <x v="3"/>
          </reference>
          <reference field="13" count="1" selected="0">
            <x v="314"/>
          </reference>
        </references>
      </pivotArea>
    </format>
    <format dxfId="1760">
      <pivotArea dataOnly="0" labelOnly="1" outline="0" fieldPosition="0">
        <references count="4">
          <reference field="5" count="1">
            <x v="86"/>
          </reference>
          <reference field="8" count="1" selected="0">
            <x v="449"/>
          </reference>
          <reference field="11" count="1" selected="0">
            <x v="3"/>
          </reference>
          <reference field="13" count="1" selected="0">
            <x v="316"/>
          </reference>
        </references>
      </pivotArea>
    </format>
    <format dxfId="1759">
      <pivotArea dataOnly="0" labelOnly="1" outline="0" fieldPosition="0">
        <references count="4">
          <reference field="5" count="3">
            <x v="85"/>
            <x v="88"/>
            <x v="91"/>
          </reference>
          <reference field="8" count="1" selected="0">
            <x v="449"/>
          </reference>
          <reference field="11" count="1" selected="0">
            <x v="4"/>
          </reference>
          <reference field="13" count="1" selected="0">
            <x v="133"/>
          </reference>
        </references>
      </pivotArea>
    </format>
    <format dxfId="1758">
      <pivotArea dataOnly="0" labelOnly="1" outline="0" fieldPosition="0">
        <references count="4">
          <reference field="5" count="7">
            <x v="85"/>
            <x v="86"/>
            <x v="87"/>
            <x v="88"/>
            <x v="89"/>
            <x v="91"/>
            <x v="114"/>
          </reference>
          <reference field="8" count="1" selected="0">
            <x v="449"/>
          </reference>
          <reference field="11" count="1" selected="0">
            <x v="5"/>
          </reference>
          <reference field="13" count="1" selected="0">
            <x v="77"/>
          </reference>
        </references>
      </pivotArea>
    </format>
    <format dxfId="1757">
      <pivotArea dataOnly="0" labelOnly="1" outline="0" fieldPosition="0">
        <references count="4">
          <reference field="5" count="7">
            <x v="85"/>
            <x v="86"/>
            <x v="87"/>
            <x v="88"/>
            <x v="89"/>
            <x v="91"/>
            <x v="114"/>
          </reference>
          <reference field="8" count="1" selected="0">
            <x v="449"/>
          </reference>
          <reference field="11" count="1" selected="0">
            <x v="5"/>
          </reference>
          <reference field="13" count="1" selected="0">
            <x v="81"/>
          </reference>
        </references>
      </pivotArea>
    </format>
    <format dxfId="1756">
      <pivotArea dataOnly="0" labelOnly="1" outline="0" fieldPosition="0">
        <references count="4">
          <reference field="5" count="5">
            <x v="86"/>
            <x v="87"/>
            <x v="88"/>
            <x v="89"/>
            <x v="91"/>
          </reference>
          <reference field="8" count="1" selected="0">
            <x v="449"/>
          </reference>
          <reference field="11" count="1" selected="0">
            <x v="5"/>
          </reference>
          <reference field="13" count="1" selected="0">
            <x v="255"/>
          </reference>
        </references>
      </pivotArea>
    </format>
    <format dxfId="1755">
      <pivotArea dataOnly="0" labelOnly="1" outline="0" fieldPosition="0">
        <references count="4">
          <reference field="5" count="1">
            <x v="89"/>
          </reference>
          <reference field="8" count="1" selected="0">
            <x v="449"/>
          </reference>
          <reference field="11" count="1" selected="0">
            <x v="6"/>
          </reference>
          <reference field="13" count="1" selected="0">
            <x v="68"/>
          </reference>
        </references>
      </pivotArea>
    </format>
    <format dxfId="1754">
      <pivotArea dataOnly="0" labelOnly="1" outline="0" fieldPosition="0">
        <references count="4">
          <reference field="5" count="1">
            <x v="85"/>
          </reference>
          <reference field="8" count="1" selected="0">
            <x v="449"/>
          </reference>
          <reference field="11" count="1" selected="0">
            <x v="7"/>
          </reference>
          <reference field="13" count="1" selected="0">
            <x v="8"/>
          </reference>
        </references>
      </pivotArea>
    </format>
    <format dxfId="1753">
      <pivotArea dataOnly="0" labelOnly="1" outline="0" fieldPosition="0">
        <references count="4">
          <reference field="5" count="1">
            <x v="85"/>
          </reference>
          <reference field="8" count="1" selected="0">
            <x v="449"/>
          </reference>
          <reference field="11" count="1" selected="0">
            <x v="7"/>
          </reference>
          <reference field="13" count="1" selected="0">
            <x v="72"/>
          </reference>
        </references>
      </pivotArea>
    </format>
    <format dxfId="1752">
      <pivotArea dataOnly="0" labelOnly="1" outline="0" fieldPosition="0">
        <references count="4">
          <reference field="5" count="1">
            <x v="49"/>
          </reference>
          <reference field="8" count="1" selected="0">
            <x v="450"/>
          </reference>
          <reference field="11" count="1" selected="0">
            <x v="3"/>
          </reference>
          <reference field="13" count="1" selected="0">
            <x v="69"/>
          </reference>
        </references>
      </pivotArea>
    </format>
    <format dxfId="1751">
      <pivotArea dataOnly="0" labelOnly="1" outline="0" fieldPosition="0">
        <references count="4">
          <reference field="5" count="1">
            <x v="49"/>
          </reference>
          <reference field="8" count="1" selected="0">
            <x v="450"/>
          </reference>
          <reference field="11" count="1" selected="0">
            <x v="3"/>
          </reference>
          <reference field="13" count="1" selected="0">
            <x v="134"/>
          </reference>
        </references>
      </pivotArea>
    </format>
    <format dxfId="1750">
      <pivotArea dataOnly="0" labelOnly="1" outline="0" fieldPosition="0">
        <references count="4">
          <reference field="5" count="1">
            <x v="49"/>
          </reference>
          <reference field="8" count="1" selected="0">
            <x v="450"/>
          </reference>
          <reference field="11" count="1" selected="0">
            <x v="3"/>
          </reference>
          <reference field="13" count="1" selected="0">
            <x v="240"/>
          </reference>
        </references>
      </pivotArea>
    </format>
    <format dxfId="1749">
      <pivotArea dataOnly="0" labelOnly="1" outline="0" fieldPosition="0">
        <references count="4">
          <reference field="5" count="1">
            <x v="49"/>
          </reference>
          <reference field="8" count="1" selected="0">
            <x v="450"/>
          </reference>
          <reference field="11" count="1" selected="0">
            <x v="3"/>
          </reference>
          <reference field="13" count="1" selected="0">
            <x v="242"/>
          </reference>
        </references>
      </pivotArea>
    </format>
    <format dxfId="1748">
      <pivotArea dataOnly="0" labelOnly="1" outline="0" fieldPosition="0">
        <references count="4">
          <reference field="5" count="1">
            <x v="49"/>
          </reference>
          <reference field="8" count="1" selected="0">
            <x v="450"/>
          </reference>
          <reference field="11" count="1" selected="0">
            <x v="3"/>
          </reference>
          <reference field="13" count="1" selected="0">
            <x v="243"/>
          </reference>
        </references>
      </pivotArea>
    </format>
    <format dxfId="1747">
      <pivotArea dataOnly="0" labelOnly="1" outline="0" fieldPosition="0">
        <references count="4">
          <reference field="5" count="2">
            <x v="15"/>
            <x v="49"/>
          </reference>
          <reference field="8" count="1" selected="0">
            <x v="450"/>
          </reference>
          <reference field="11" count="1" selected="0">
            <x v="3"/>
          </reference>
          <reference field="13" count="1" selected="0">
            <x v="287"/>
          </reference>
        </references>
      </pivotArea>
    </format>
    <format dxfId="1746">
      <pivotArea dataOnly="0" labelOnly="1" outline="0" fieldPosition="0">
        <references count="4">
          <reference field="5" count="1">
            <x v="49"/>
          </reference>
          <reference field="8" count="1" selected="0">
            <x v="450"/>
          </reference>
          <reference field="11" count="1" selected="0">
            <x v="4"/>
          </reference>
          <reference field="13" count="1" selected="0">
            <x v="133"/>
          </reference>
        </references>
      </pivotArea>
    </format>
    <format dxfId="1745">
      <pivotArea dataOnly="0" labelOnly="1" outline="0" fieldPosition="0">
        <references count="4">
          <reference field="5" count="1">
            <x v="49"/>
          </reference>
          <reference field="8" count="1" selected="0">
            <x v="450"/>
          </reference>
          <reference field="11" count="1" selected="0">
            <x v="4"/>
          </reference>
          <reference field="13" count="1" selected="0">
            <x v="158"/>
          </reference>
        </references>
      </pivotArea>
    </format>
    <format dxfId="1744">
      <pivotArea dataOnly="0" labelOnly="1" outline="0" fieldPosition="0">
        <references count="4">
          <reference field="5" count="1">
            <x v="20"/>
          </reference>
          <reference field="8" count="1" selected="0">
            <x v="450"/>
          </reference>
          <reference field="11" count="1" selected="0">
            <x v="5"/>
          </reference>
          <reference field="13" count="1" selected="0">
            <x v="81"/>
          </reference>
        </references>
      </pivotArea>
    </format>
    <format dxfId="1743">
      <pivotArea dataOnly="0" labelOnly="1" outline="0" fieldPosition="0">
        <references count="4">
          <reference field="5" count="1">
            <x v="37"/>
          </reference>
          <reference field="8" count="1" selected="0">
            <x v="451"/>
          </reference>
          <reference field="11" count="1" selected="0">
            <x v="3"/>
          </reference>
          <reference field="13" count="1" selected="0">
            <x v="69"/>
          </reference>
        </references>
      </pivotArea>
    </format>
    <format dxfId="1742">
      <pivotArea dataOnly="0" labelOnly="1" outline="0" fieldPosition="0">
        <references count="4">
          <reference field="5" count="1">
            <x v="20"/>
          </reference>
          <reference field="8" count="1" selected="0">
            <x v="451"/>
          </reference>
          <reference field="11" count="1" selected="0">
            <x v="5"/>
          </reference>
          <reference field="13" count="1" selected="0">
            <x v="81"/>
          </reference>
        </references>
      </pivotArea>
    </format>
    <format dxfId="1741">
      <pivotArea dataOnly="0" labelOnly="1" outline="0" fieldPosition="0">
        <references count="4">
          <reference field="5" count="1">
            <x v="20"/>
          </reference>
          <reference field="8" count="1" selected="0">
            <x v="451"/>
          </reference>
          <reference field="11" count="1" selected="0">
            <x v="5"/>
          </reference>
          <reference field="13" count="1" selected="0">
            <x v="255"/>
          </reference>
        </references>
      </pivotArea>
    </format>
    <format dxfId="1740">
      <pivotArea dataOnly="0" labelOnly="1" outline="0" fieldPosition="0">
        <references count="4">
          <reference field="5" count="6">
            <x v="86"/>
            <x v="87"/>
            <x v="88"/>
            <x v="89"/>
            <x v="91"/>
            <x v="114"/>
          </reference>
          <reference field="8" count="1" selected="0">
            <x v="452"/>
          </reference>
          <reference field="11" count="1" selected="0">
            <x v="3"/>
          </reference>
          <reference field="13" count="1" selected="0">
            <x v="7"/>
          </reference>
        </references>
      </pivotArea>
    </format>
    <format dxfId="1739">
      <pivotArea dataOnly="0" labelOnly="1" outline="0" fieldPosition="0">
        <references count="4">
          <reference field="5" count="1">
            <x v="88"/>
          </reference>
          <reference field="8" count="1" selected="0">
            <x v="452"/>
          </reference>
          <reference field="11" count="1" selected="0">
            <x v="3"/>
          </reference>
          <reference field="13" count="1" selected="0">
            <x v="17"/>
          </reference>
        </references>
      </pivotArea>
    </format>
    <format dxfId="1738">
      <pivotArea dataOnly="0" labelOnly="1" outline="0" fieldPosition="0">
        <references count="4">
          <reference field="5" count="4">
            <x v="87"/>
            <x v="88"/>
            <x v="89"/>
            <x v="114"/>
          </reference>
          <reference field="8" count="1" selected="0">
            <x v="452"/>
          </reference>
          <reference field="11" count="1" selected="0">
            <x v="3"/>
          </reference>
          <reference field="13" count="1" selected="0">
            <x v="32"/>
          </reference>
        </references>
      </pivotArea>
    </format>
    <format dxfId="1737">
      <pivotArea dataOnly="0" labelOnly="1" outline="0" fieldPosition="0">
        <references count="4">
          <reference field="5" count="1">
            <x v="87"/>
          </reference>
          <reference field="8" count="1" selected="0">
            <x v="452"/>
          </reference>
          <reference field="11" count="1" selected="0">
            <x v="3"/>
          </reference>
          <reference field="13" count="1" selected="0">
            <x v="47"/>
          </reference>
        </references>
      </pivotArea>
    </format>
    <format dxfId="1736">
      <pivotArea dataOnly="0" labelOnly="1" outline="0" fieldPosition="0">
        <references count="4">
          <reference field="5" count="5">
            <x v="86"/>
            <x v="87"/>
            <x v="88"/>
            <x v="91"/>
            <x v="114"/>
          </reference>
          <reference field="8" count="1" selected="0">
            <x v="452"/>
          </reference>
          <reference field="11" count="1" selected="0">
            <x v="3"/>
          </reference>
          <reference field="13" count="1" selected="0">
            <x v="57"/>
          </reference>
        </references>
      </pivotArea>
    </format>
    <format dxfId="1735">
      <pivotArea dataOnly="0" labelOnly="1" outline="0" fieldPosition="0">
        <references count="4">
          <reference field="5" count="7">
            <x v="85"/>
            <x v="86"/>
            <x v="87"/>
            <x v="88"/>
            <x v="89"/>
            <x v="91"/>
            <x v="114"/>
          </reference>
          <reference field="8" count="1" selected="0">
            <x v="452"/>
          </reference>
          <reference field="11" count="1" selected="0">
            <x v="3"/>
          </reference>
          <reference field="13" count="1" selected="0">
            <x v="69"/>
          </reference>
        </references>
      </pivotArea>
    </format>
    <format dxfId="1734">
      <pivotArea dataOnly="0" labelOnly="1" outline="0" fieldPosition="0">
        <references count="4">
          <reference field="5" count="1">
            <x v="88"/>
          </reference>
          <reference field="8" count="1" selected="0">
            <x v="452"/>
          </reference>
          <reference field="11" count="1" selected="0">
            <x v="3"/>
          </reference>
          <reference field="13" count="1" selected="0">
            <x v="89"/>
          </reference>
        </references>
      </pivotArea>
    </format>
    <format dxfId="1733">
      <pivotArea dataOnly="0" labelOnly="1" outline="0" fieldPosition="0">
        <references count="4">
          <reference field="5" count="1">
            <x v="86"/>
          </reference>
          <reference field="8" count="1" selected="0">
            <x v="452"/>
          </reference>
          <reference field="11" count="1" selected="0">
            <x v="3"/>
          </reference>
          <reference field="13" count="1" selected="0">
            <x v="101"/>
          </reference>
        </references>
      </pivotArea>
    </format>
    <format dxfId="1732">
      <pivotArea dataOnly="0" labelOnly="1" outline="0" fieldPosition="0">
        <references count="4">
          <reference field="5" count="1">
            <x v="114"/>
          </reference>
          <reference field="8" count="1" selected="0">
            <x v="452"/>
          </reference>
          <reference field="11" count="1" selected="0">
            <x v="3"/>
          </reference>
          <reference field="13" count="1" selected="0">
            <x v="105"/>
          </reference>
        </references>
      </pivotArea>
    </format>
    <format dxfId="1731">
      <pivotArea dataOnly="0" labelOnly="1" outline="0" fieldPosition="0">
        <references count="4">
          <reference field="5" count="1">
            <x v="114"/>
          </reference>
          <reference field="8" count="1" selected="0">
            <x v="452"/>
          </reference>
          <reference field="11" count="1" selected="0">
            <x v="3"/>
          </reference>
          <reference field="13" count="1" selected="0">
            <x v="110"/>
          </reference>
        </references>
      </pivotArea>
    </format>
    <format dxfId="1730">
      <pivotArea dataOnly="0" labelOnly="1" outline="0" fieldPosition="0">
        <references count="4">
          <reference field="5" count="4">
            <x v="87"/>
            <x v="88"/>
            <x v="89"/>
            <x v="114"/>
          </reference>
          <reference field="8" count="1" selected="0">
            <x v="452"/>
          </reference>
          <reference field="11" count="1" selected="0">
            <x v="3"/>
          </reference>
          <reference field="13" count="1" selected="0">
            <x v="163"/>
          </reference>
        </references>
      </pivotArea>
    </format>
    <format dxfId="1729">
      <pivotArea dataOnly="0" labelOnly="1" outline="0" fieldPosition="0">
        <references count="4">
          <reference field="5" count="2">
            <x v="88"/>
            <x v="114"/>
          </reference>
          <reference field="8" count="1" selected="0">
            <x v="452"/>
          </reference>
          <reference field="11" count="1" selected="0">
            <x v="3"/>
          </reference>
          <reference field="13" count="1" selected="0">
            <x v="240"/>
          </reference>
        </references>
      </pivotArea>
    </format>
    <format dxfId="1728">
      <pivotArea dataOnly="0" labelOnly="1" outline="0" fieldPosition="0">
        <references count="4">
          <reference field="5" count="1">
            <x v="88"/>
          </reference>
          <reference field="8" count="1" selected="0">
            <x v="452"/>
          </reference>
          <reference field="11" count="1" selected="0">
            <x v="3"/>
          </reference>
          <reference field="13" count="1" selected="0">
            <x v="251"/>
          </reference>
        </references>
      </pivotArea>
    </format>
    <format dxfId="1727">
      <pivotArea dataOnly="0" labelOnly="1" outline="0" fieldPosition="0">
        <references count="4">
          <reference field="5" count="5">
            <x v="85"/>
            <x v="86"/>
            <x v="88"/>
            <x v="89"/>
            <x v="114"/>
          </reference>
          <reference field="8" count="1" selected="0">
            <x v="452"/>
          </reference>
          <reference field="11" count="1" selected="0">
            <x v="3"/>
          </reference>
          <reference field="13" count="1" selected="0">
            <x v="287"/>
          </reference>
        </references>
      </pivotArea>
    </format>
    <format dxfId="1726">
      <pivotArea dataOnly="0" labelOnly="1" outline="0" fieldPosition="0">
        <references count="4">
          <reference field="5" count="1">
            <x v="114"/>
          </reference>
          <reference field="8" count="1" selected="0">
            <x v="452"/>
          </reference>
          <reference field="11" count="1" selected="0">
            <x v="3"/>
          </reference>
          <reference field="13" count="1" selected="0">
            <x v="314"/>
          </reference>
        </references>
      </pivotArea>
    </format>
    <format dxfId="1725">
      <pivotArea dataOnly="0" labelOnly="1" outline="0" fieldPosition="0">
        <references count="4">
          <reference field="5" count="4">
            <x v="86"/>
            <x v="88"/>
            <x v="91"/>
            <x v="114"/>
          </reference>
          <reference field="8" count="1" selected="0">
            <x v="452"/>
          </reference>
          <reference field="11" count="1" selected="0">
            <x v="5"/>
          </reference>
          <reference field="13" count="1" selected="0">
            <x v="77"/>
          </reference>
        </references>
      </pivotArea>
    </format>
    <format dxfId="1724">
      <pivotArea dataOnly="0" labelOnly="1" outline="0" fieldPosition="0">
        <references count="4">
          <reference field="5" count="4">
            <x v="86"/>
            <x v="88"/>
            <x v="91"/>
            <x v="114"/>
          </reference>
          <reference field="8" count="1" selected="0">
            <x v="452"/>
          </reference>
          <reference field="11" count="1" selected="0">
            <x v="5"/>
          </reference>
          <reference field="13" count="1" selected="0">
            <x v="81"/>
          </reference>
        </references>
      </pivotArea>
    </format>
    <format dxfId="1723">
      <pivotArea dataOnly="0" labelOnly="1" outline="0" fieldPosition="0">
        <references count="4">
          <reference field="5" count="2">
            <x v="85"/>
            <x v="86"/>
          </reference>
          <reference field="8" count="1" selected="0">
            <x v="452"/>
          </reference>
          <reference field="11" count="1" selected="0">
            <x v="5"/>
          </reference>
          <reference field="13" count="1" selected="0">
            <x v="255"/>
          </reference>
        </references>
      </pivotArea>
    </format>
    <format dxfId="1722">
      <pivotArea dataOnly="0" labelOnly="1" outline="0" fieldPosition="0">
        <references count="4">
          <reference field="5" count="1">
            <x v="23"/>
          </reference>
          <reference field="8" count="1" selected="0">
            <x v="453"/>
          </reference>
          <reference field="11" count="1" selected="0">
            <x v="3"/>
          </reference>
          <reference field="13" count="1" selected="0">
            <x v="32"/>
          </reference>
        </references>
      </pivotArea>
    </format>
    <format dxfId="1721">
      <pivotArea dataOnly="0" labelOnly="1" outline="0" fieldPosition="0">
        <references count="4">
          <reference field="5" count="1">
            <x v="23"/>
          </reference>
          <reference field="8" count="1" selected="0">
            <x v="453"/>
          </reference>
          <reference field="11" count="1" selected="0">
            <x v="3"/>
          </reference>
          <reference field="13" count="1" selected="0">
            <x v="69"/>
          </reference>
        </references>
      </pivotArea>
    </format>
    <format dxfId="1720">
      <pivotArea dataOnly="0" labelOnly="1" outline="0" fieldPosition="0">
        <references count="4">
          <reference field="5" count="1">
            <x v="23"/>
          </reference>
          <reference field="8" count="1" selected="0">
            <x v="453"/>
          </reference>
          <reference field="11" count="1" selected="0">
            <x v="3"/>
          </reference>
          <reference field="13" count="1" selected="0">
            <x v="101"/>
          </reference>
        </references>
      </pivotArea>
    </format>
    <format dxfId="1719">
      <pivotArea dataOnly="0" labelOnly="1" outline="0" fieldPosition="0">
        <references count="4">
          <reference field="5" count="1">
            <x v="23"/>
          </reference>
          <reference field="8" count="1" selected="0">
            <x v="453"/>
          </reference>
          <reference field="11" count="1" selected="0">
            <x v="3"/>
          </reference>
          <reference field="13" count="1" selected="0">
            <x v="240"/>
          </reference>
        </references>
      </pivotArea>
    </format>
    <format dxfId="1718">
      <pivotArea dataOnly="0" labelOnly="1" outline="0" fieldPosition="0">
        <references count="4">
          <reference field="5" count="1">
            <x v="23"/>
          </reference>
          <reference field="8" count="1" selected="0">
            <x v="453"/>
          </reference>
          <reference field="11" count="1" selected="0">
            <x v="3"/>
          </reference>
          <reference field="13" count="1" selected="0">
            <x v="242"/>
          </reference>
        </references>
      </pivotArea>
    </format>
    <format dxfId="1717">
      <pivotArea dataOnly="0" labelOnly="1" outline="0" fieldPosition="0">
        <references count="4">
          <reference field="5" count="1">
            <x v="23"/>
          </reference>
          <reference field="8" count="1" selected="0">
            <x v="453"/>
          </reference>
          <reference field="11" count="1" selected="0">
            <x v="3"/>
          </reference>
          <reference field="13" count="1" selected="0">
            <x v="243"/>
          </reference>
        </references>
      </pivotArea>
    </format>
    <format dxfId="1716">
      <pivotArea dataOnly="0" labelOnly="1" outline="0" fieldPosition="0">
        <references count="4">
          <reference field="5" count="1">
            <x v="23"/>
          </reference>
          <reference field="8" count="1" selected="0">
            <x v="453"/>
          </reference>
          <reference field="11" count="1" selected="0">
            <x v="3"/>
          </reference>
          <reference field="13" count="1" selected="0">
            <x v="251"/>
          </reference>
        </references>
      </pivotArea>
    </format>
    <format dxfId="1715">
      <pivotArea dataOnly="0" labelOnly="1" outline="0" fieldPosition="0">
        <references count="4">
          <reference field="5" count="1">
            <x v="23"/>
          </reference>
          <reference field="8" count="1" selected="0">
            <x v="453"/>
          </reference>
          <reference field="11" count="1" selected="0">
            <x v="3"/>
          </reference>
          <reference field="13" count="1" selected="0">
            <x v="287"/>
          </reference>
        </references>
      </pivotArea>
    </format>
    <format dxfId="1714">
      <pivotArea dataOnly="0" labelOnly="1" outline="0" fieldPosition="0">
        <references count="4">
          <reference field="5" count="1">
            <x v="23"/>
          </reference>
          <reference field="8" count="1" selected="0">
            <x v="453"/>
          </reference>
          <reference field="11" count="1" selected="0">
            <x v="5"/>
          </reference>
          <reference field="13" count="1" selected="0">
            <x v="77"/>
          </reference>
        </references>
      </pivotArea>
    </format>
    <format dxfId="1713">
      <pivotArea dataOnly="0" labelOnly="1" outline="0" fieldPosition="0">
        <references count="4">
          <reference field="5" count="1">
            <x v="20"/>
          </reference>
          <reference field="8" count="1" selected="0">
            <x v="453"/>
          </reference>
          <reference field="11" count="1" selected="0">
            <x v="5"/>
          </reference>
          <reference field="13" count="1" selected="0">
            <x v="81"/>
          </reference>
        </references>
      </pivotArea>
    </format>
    <format dxfId="1712">
      <pivotArea dataOnly="0" labelOnly="1" outline="0" fieldPosition="0">
        <references count="4">
          <reference field="5" count="1">
            <x v="23"/>
          </reference>
          <reference field="8" count="1" selected="0">
            <x v="453"/>
          </reference>
          <reference field="11" count="1" selected="0">
            <x v="5"/>
          </reference>
          <reference field="13" count="1" selected="0">
            <x v="229"/>
          </reference>
        </references>
      </pivotArea>
    </format>
    <format dxfId="1711">
      <pivotArea dataOnly="0" labelOnly="1" outline="0" fieldPosition="0">
        <references count="4">
          <reference field="5" count="1">
            <x v="20"/>
          </reference>
          <reference field="8" count="1" selected="0">
            <x v="453"/>
          </reference>
          <reference field="11" count="1" selected="0">
            <x v="5"/>
          </reference>
          <reference field="13" count="1" selected="0">
            <x v="255"/>
          </reference>
        </references>
      </pivotArea>
    </format>
    <format dxfId="1710">
      <pivotArea dataOnly="0" labelOnly="1" outline="0" fieldPosition="0">
        <references count="4">
          <reference field="5" count="1">
            <x v="23"/>
          </reference>
          <reference field="8" count="1" selected="0">
            <x v="453"/>
          </reference>
          <reference field="11" count="1" selected="0">
            <x v="7"/>
          </reference>
          <reference field="13" count="1" selected="0">
            <x v="72"/>
          </reference>
        </references>
      </pivotArea>
    </format>
    <format dxfId="1709">
      <pivotArea dataOnly="0" labelOnly="1" outline="0" fieldPosition="0">
        <references count="4">
          <reference field="5" count="1">
            <x v="60"/>
          </reference>
          <reference field="8" count="1" selected="0">
            <x v="454"/>
          </reference>
          <reference field="11" count="1" selected="0">
            <x v="3"/>
          </reference>
          <reference field="13" count="1" selected="0">
            <x v="69"/>
          </reference>
        </references>
      </pivotArea>
    </format>
    <format dxfId="1708">
      <pivotArea dataOnly="0" labelOnly="1" outline="0" fieldPosition="0">
        <references count="4">
          <reference field="5" count="1">
            <x v="60"/>
          </reference>
          <reference field="8" count="1" selected="0">
            <x v="454"/>
          </reference>
          <reference field="11" count="1" selected="0">
            <x v="5"/>
          </reference>
          <reference field="13" count="1" selected="0">
            <x v="77"/>
          </reference>
        </references>
      </pivotArea>
    </format>
    <format dxfId="1707">
      <pivotArea dataOnly="0" labelOnly="1" outline="0" fieldPosition="0">
        <references count="4">
          <reference field="5" count="1">
            <x v="78"/>
          </reference>
          <reference field="8" count="1" selected="0">
            <x v="455"/>
          </reference>
          <reference field="11" count="1" selected="0">
            <x v="3"/>
          </reference>
          <reference field="13" count="1" selected="0">
            <x v="287"/>
          </reference>
        </references>
      </pivotArea>
    </format>
    <format dxfId="1706">
      <pivotArea dataOnly="0" labelOnly="1" outline="0" fieldPosition="0">
        <references count="4">
          <reference field="5" count="1">
            <x v="27"/>
          </reference>
          <reference field="8" count="1" selected="0">
            <x v="456"/>
          </reference>
          <reference field="11" count="1" selected="0">
            <x v="3"/>
          </reference>
          <reference field="13" count="1" selected="0">
            <x v="69"/>
          </reference>
        </references>
      </pivotArea>
    </format>
    <format dxfId="1705">
      <pivotArea dataOnly="0" labelOnly="1" outline="0" fieldPosition="0">
        <references count="4">
          <reference field="5" count="1">
            <x v="78"/>
          </reference>
          <reference field="8" count="1" selected="0">
            <x v="456"/>
          </reference>
          <reference field="11" count="1" selected="0">
            <x v="3"/>
          </reference>
          <reference field="13" count="1" selected="0">
            <x v="287"/>
          </reference>
        </references>
      </pivotArea>
    </format>
    <format dxfId="1704">
      <pivotArea dataOnly="0" labelOnly="1" outline="0" fieldPosition="0">
        <references count="4">
          <reference field="5" count="1">
            <x v="78"/>
          </reference>
          <reference field="8" count="1" selected="0">
            <x v="457"/>
          </reference>
          <reference field="11" count="1" selected="0">
            <x v="3"/>
          </reference>
          <reference field="13" count="1" selected="0">
            <x v="287"/>
          </reference>
        </references>
      </pivotArea>
    </format>
    <format dxfId="1703">
      <pivotArea dataOnly="0" labelOnly="1" outline="0" fieldPosition="0">
        <references count="4">
          <reference field="5" count="1">
            <x v="27"/>
          </reference>
          <reference field="8" count="1" selected="0">
            <x v="459"/>
          </reference>
          <reference field="11" count="1" selected="0">
            <x v="3"/>
          </reference>
          <reference field="13" count="1" selected="0">
            <x v="69"/>
          </reference>
        </references>
      </pivotArea>
    </format>
    <format dxfId="1702">
      <pivotArea dataOnly="0" labelOnly="1" outline="0" fieldPosition="0">
        <references count="4">
          <reference field="5" count="1">
            <x v="27"/>
          </reference>
          <reference field="8" count="1" selected="0">
            <x v="459"/>
          </reference>
          <reference field="11" count="1" selected="0">
            <x v="3"/>
          </reference>
          <reference field="13" count="1" selected="0">
            <x v="78"/>
          </reference>
        </references>
      </pivotArea>
    </format>
    <format dxfId="1701">
      <pivotArea dataOnly="0" labelOnly="1" outline="0" fieldPosition="0">
        <references count="4">
          <reference field="5" count="1">
            <x v="27"/>
          </reference>
          <reference field="8" count="1" selected="0">
            <x v="459"/>
          </reference>
          <reference field="11" count="1" selected="0">
            <x v="3"/>
          </reference>
          <reference field="13" count="1" selected="0">
            <x v="240"/>
          </reference>
        </references>
      </pivotArea>
    </format>
    <format dxfId="1700">
      <pivotArea dataOnly="0" labelOnly="1" outline="0" fieldPosition="0">
        <references count="4">
          <reference field="5" count="1">
            <x v="27"/>
          </reference>
          <reference field="8" count="1" selected="0">
            <x v="459"/>
          </reference>
          <reference field="11" count="1" selected="0">
            <x v="3"/>
          </reference>
          <reference field="13" count="1" selected="0">
            <x v="242"/>
          </reference>
        </references>
      </pivotArea>
    </format>
    <format dxfId="1699">
      <pivotArea dataOnly="0" labelOnly="1" outline="0" fieldPosition="0">
        <references count="4">
          <reference field="5" count="1">
            <x v="27"/>
          </reference>
          <reference field="8" count="1" selected="0">
            <x v="459"/>
          </reference>
          <reference field="11" count="1" selected="0">
            <x v="3"/>
          </reference>
          <reference field="13" count="1" selected="0">
            <x v="243"/>
          </reference>
        </references>
      </pivotArea>
    </format>
    <format dxfId="1698">
      <pivotArea dataOnly="0" labelOnly="1" outline="0" fieldPosition="0">
        <references count="4">
          <reference field="5" count="1">
            <x v="27"/>
          </reference>
          <reference field="8" count="1" selected="0">
            <x v="459"/>
          </reference>
          <reference field="11" count="1" selected="0">
            <x v="3"/>
          </reference>
          <reference field="13" count="1" selected="0">
            <x v="287"/>
          </reference>
        </references>
      </pivotArea>
    </format>
    <format dxfId="1697">
      <pivotArea dataOnly="0" labelOnly="1" outline="0" fieldPosition="0">
        <references count="4">
          <reference field="5" count="1">
            <x v="20"/>
          </reference>
          <reference field="8" count="1" selected="0">
            <x v="459"/>
          </reference>
          <reference field="11" count="1" selected="0">
            <x v="5"/>
          </reference>
          <reference field="13" count="1" selected="0">
            <x v="81"/>
          </reference>
        </references>
      </pivotArea>
    </format>
    <format dxfId="1696">
      <pivotArea dataOnly="0" labelOnly="1" outline="0" fieldPosition="0">
        <references count="4">
          <reference field="5" count="1">
            <x v="27"/>
          </reference>
          <reference field="8" count="1" selected="0">
            <x v="459"/>
          </reference>
          <reference field="11" count="1" selected="0">
            <x v="5"/>
          </reference>
          <reference field="13" count="1" selected="0">
            <x v="96"/>
          </reference>
        </references>
      </pivotArea>
    </format>
    <format dxfId="1695">
      <pivotArea dataOnly="0" labelOnly="1" outline="0" fieldPosition="0">
        <references count="4">
          <reference field="5" count="1">
            <x v="20"/>
          </reference>
          <reference field="8" count="1" selected="0">
            <x v="459"/>
          </reference>
          <reference field="11" count="1" selected="0">
            <x v="5"/>
          </reference>
          <reference field="13" count="1" selected="0">
            <x v="255"/>
          </reference>
        </references>
      </pivotArea>
    </format>
    <format dxfId="1694">
      <pivotArea dataOnly="0" labelOnly="1" outline="0" fieldPosition="0">
        <references count="4">
          <reference field="5" count="1">
            <x v="36"/>
          </reference>
          <reference field="8" count="1" selected="0">
            <x v="460"/>
          </reference>
          <reference field="11" count="1" selected="0">
            <x v="3"/>
          </reference>
          <reference field="13" count="1" selected="0">
            <x v="69"/>
          </reference>
        </references>
      </pivotArea>
    </format>
    <format dxfId="1693">
      <pivotArea dataOnly="0" labelOnly="1" outline="0" fieldPosition="0">
        <references count="4">
          <reference field="5" count="1">
            <x v="36"/>
          </reference>
          <reference field="8" count="1" selected="0">
            <x v="460"/>
          </reference>
          <reference field="11" count="1" selected="0">
            <x v="3"/>
          </reference>
          <reference field="13" count="1" selected="0">
            <x v="242"/>
          </reference>
        </references>
      </pivotArea>
    </format>
    <format dxfId="1692">
      <pivotArea dataOnly="0" labelOnly="1" outline="0" fieldPosition="0">
        <references count="4">
          <reference field="5" count="1">
            <x v="36"/>
          </reference>
          <reference field="8" count="1" selected="0">
            <x v="460"/>
          </reference>
          <reference field="11" count="1" selected="0">
            <x v="3"/>
          </reference>
          <reference field="13" count="1" selected="0">
            <x v="287"/>
          </reference>
        </references>
      </pivotArea>
    </format>
    <format dxfId="1691">
      <pivotArea dataOnly="0" labelOnly="1" outline="0" fieldPosition="0">
        <references count="4">
          <reference field="5" count="1">
            <x v="36"/>
          </reference>
          <reference field="8" count="1" selected="0">
            <x v="460"/>
          </reference>
          <reference field="11" count="1" selected="0">
            <x v="5"/>
          </reference>
          <reference field="13" count="1" selected="0">
            <x v="77"/>
          </reference>
        </references>
      </pivotArea>
    </format>
    <format dxfId="1690">
      <pivotArea dataOnly="0" labelOnly="1" outline="0" fieldPosition="0">
        <references count="4">
          <reference field="5" count="2">
            <x v="20"/>
            <x v="116"/>
          </reference>
          <reference field="8" count="1" selected="0">
            <x v="460"/>
          </reference>
          <reference field="11" count="1" selected="0">
            <x v="5"/>
          </reference>
          <reference field="13" count="1" selected="0">
            <x v="81"/>
          </reference>
        </references>
      </pivotArea>
    </format>
    <format dxfId="1689">
      <pivotArea dataOnly="0" labelOnly="1" outline="0" fieldPosition="0">
        <references count="4">
          <reference field="5" count="1">
            <x v="36"/>
          </reference>
          <reference field="8" count="1" selected="0">
            <x v="460"/>
          </reference>
          <reference field="11" count="1" selected="0">
            <x v="5"/>
          </reference>
          <reference field="13" count="1" selected="0">
            <x v="96"/>
          </reference>
        </references>
      </pivotArea>
    </format>
    <format dxfId="1688">
      <pivotArea dataOnly="0" labelOnly="1" outline="0" fieldPosition="0">
        <references count="4">
          <reference field="5" count="1">
            <x v="20"/>
          </reference>
          <reference field="8" count="1" selected="0">
            <x v="460"/>
          </reference>
          <reference field="11" count="1" selected="0">
            <x v="5"/>
          </reference>
          <reference field="13" count="1" selected="0">
            <x v="255"/>
          </reference>
        </references>
      </pivotArea>
    </format>
    <format dxfId="1687">
      <pivotArea dataOnly="0" labelOnly="1" outline="0" fieldPosition="0">
        <references count="4">
          <reference field="5" count="1">
            <x v="36"/>
          </reference>
          <reference field="8" count="1" selected="0">
            <x v="460"/>
          </reference>
          <reference field="11" count="1" selected="0">
            <x v="6"/>
          </reference>
          <reference field="13" count="1" selected="0">
            <x v="68"/>
          </reference>
        </references>
      </pivotArea>
    </format>
    <format dxfId="1686">
      <pivotArea dataOnly="0" labelOnly="1" outline="0" fieldPosition="0">
        <references count="4">
          <reference field="5" count="1">
            <x v="54"/>
          </reference>
          <reference field="8" count="1" selected="0">
            <x v="461"/>
          </reference>
          <reference field="11" count="1" selected="0">
            <x v="0"/>
          </reference>
          <reference field="13" count="1" selected="0">
            <x v="132"/>
          </reference>
        </references>
      </pivotArea>
    </format>
    <format dxfId="1685">
      <pivotArea dataOnly="0" labelOnly="1" outline="0" fieldPosition="0">
        <references count="4">
          <reference field="5" count="1">
            <x v="117"/>
          </reference>
          <reference field="8" count="1" selected="0">
            <x v="461"/>
          </reference>
          <reference field="11" count="1" selected="0">
            <x v="3"/>
          </reference>
          <reference field="13" count="1" selected="0">
            <x v="29"/>
          </reference>
        </references>
      </pivotArea>
    </format>
    <format dxfId="1684">
      <pivotArea dataOnly="0" labelOnly="1" outline="0" fieldPosition="0">
        <references count="4">
          <reference field="5" count="1">
            <x v="117"/>
          </reference>
          <reference field="8" count="1" selected="0">
            <x v="461"/>
          </reference>
          <reference field="11" count="1" selected="0">
            <x v="3"/>
          </reference>
          <reference field="13" count="1" selected="0">
            <x v="218"/>
          </reference>
        </references>
      </pivotArea>
    </format>
    <format dxfId="1683">
      <pivotArea dataOnly="0" labelOnly="1" outline="0" fieldPosition="0">
        <references count="4">
          <reference field="5" count="1">
            <x v="54"/>
          </reference>
          <reference field="8" count="1" selected="0">
            <x v="461"/>
          </reference>
          <reference field="11" count="1" selected="0">
            <x v="3"/>
          </reference>
          <reference field="13" count="1" selected="0">
            <x v="287"/>
          </reference>
        </references>
      </pivotArea>
    </format>
    <format dxfId="1682">
      <pivotArea dataOnly="0" labelOnly="1" outline="0" fieldPosition="0">
        <references count="4">
          <reference field="5" count="1">
            <x v="117"/>
          </reference>
          <reference field="8" count="1" selected="0">
            <x v="461"/>
          </reference>
          <reference field="11" count="1" selected="0">
            <x v="3"/>
          </reference>
          <reference field="13" count="1" selected="0">
            <x v="314"/>
          </reference>
        </references>
      </pivotArea>
    </format>
    <format dxfId="1681">
      <pivotArea dataOnly="0" labelOnly="1" outline="0" fieldPosition="0">
        <references count="4">
          <reference field="5" count="1">
            <x v="117"/>
          </reference>
          <reference field="8" count="1" selected="0">
            <x v="462"/>
          </reference>
          <reference field="11" count="1" selected="0">
            <x v="3"/>
          </reference>
          <reference field="13" count="1" selected="0">
            <x v="29"/>
          </reference>
        </references>
      </pivotArea>
    </format>
    <format dxfId="1680">
      <pivotArea dataOnly="0" labelOnly="1" outline="0" fieldPosition="0">
        <references count="4">
          <reference field="5" count="1">
            <x v="117"/>
          </reference>
          <reference field="8" count="1" selected="0">
            <x v="462"/>
          </reference>
          <reference field="11" count="1" selected="0">
            <x v="3"/>
          </reference>
          <reference field="13" count="1" selected="0">
            <x v="218"/>
          </reference>
        </references>
      </pivotArea>
    </format>
    <format dxfId="1679">
      <pivotArea dataOnly="0" labelOnly="1" outline="0" fieldPosition="0">
        <references count="4">
          <reference field="5" count="1">
            <x v="54"/>
          </reference>
          <reference field="8" count="1" selected="0">
            <x v="462"/>
          </reference>
          <reference field="11" count="1" selected="0">
            <x v="3"/>
          </reference>
          <reference field="13" count="1" selected="0">
            <x v="287"/>
          </reference>
        </references>
      </pivotArea>
    </format>
    <format dxfId="1678">
      <pivotArea dataOnly="0" labelOnly="1" outline="0" fieldPosition="0">
        <references count="4">
          <reference field="5" count="1">
            <x v="54"/>
          </reference>
          <reference field="8" count="1" selected="0">
            <x v="462"/>
          </reference>
          <reference field="11" count="1" selected="0">
            <x v="7"/>
          </reference>
          <reference field="13" count="1" selected="0">
            <x v="72"/>
          </reference>
        </references>
      </pivotArea>
    </format>
    <format dxfId="1677">
      <pivotArea dataOnly="0" labelOnly="1" outline="0" fieldPosition="0">
        <references count="4">
          <reference field="5" count="1">
            <x v="32"/>
          </reference>
          <reference field="8" count="1" selected="0">
            <x v="463"/>
          </reference>
          <reference field="11" count="1" selected="0">
            <x v="5"/>
          </reference>
          <reference field="13" count="1" selected="0">
            <x v="77"/>
          </reference>
        </references>
      </pivotArea>
    </format>
    <format dxfId="1676">
      <pivotArea dataOnly="0" labelOnly="1" outline="0" fieldPosition="0">
        <references count="4">
          <reference field="5" count="1">
            <x v="20"/>
          </reference>
          <reference field="8" count="1" selected="0">
            <x v="464"/>
          </reference>
          <reference field="11" count="1" selected="0">
            <x v="5"/>
          </reference>
          <reference field="13" count="1" selected="0">
            <x v="255"/>
          </reference>
        </references>
      </pivotArea>
    </format>
    <format dxfId="1675">
      <pivotArea dataOnly="0" labelOnly="1" outline="0" fieldPosition="0">
        <references count="4">
          <reference field="5" count="1">
            <x v="71"/>
          </reference>
          <reference field="8" count="1" selected="0">
            <x v="465"/>
          </reference>
          <reference field="11" count="1" selected="0">
            <x v="2"/>
          </reference>
          <reference field="13" count="1" selected="0">
            <x v="204"/>
          </reference>
        </references>
      </pivotArea>
    </format>
    <format dxfId="1674">
      <pivotArea dataOnly="0" labelOnly="1" outline="0" fieldPosition="0">
        <references count="4">
          <reference field="5" count="1">
            <x v="45"/>
          </reference>
          <reference field="8" count="1" selected="0">
            <x v="465"/>
          </reference>
          <reference field="11" count="1" selected="0">
            <x v="3"/>
          </reference>
          <reference field="13" count="1" selected="0">
            <x v="4"/>
          </reference>
        </references>
      </pivotArea>
    </format>
    <format dxfId="1673">
      <pivotArea dataOnly="0" labelOnly="1" outline="0" fieldPosition="0">
        <references count="4">
          <reference field="5" count="1">
            <x v="117"/>
          </reference>
          <reference field="8" count="1" selected="0">
            <x v="465"/>
          </reference>
          <reference field="11" count="1" selected="0">
            <x v="3"/>
          </reference>
          <reference field="13" count="1" selected="0">
            <x v="29"/>
          </reference>
        </references>
      </pivotArea>
    </format>
    <format dxfId="1672">
      <pivotArea dataOnly="0" labelOnly="1" outline="0" fieldPosition="0">
        <references count="4">
          <reference field="5" count="2">
            <x v="45"/>
            <x v="117"/>
          </reference>
          <reference field="8" count="1" selected="0">
            <x v="465"/>
          </reference>
          <reference field="11" count="1" selected="0">
            <x v="3"/>
          </reference>
          <reference field="13" count="1" selected="0">
            <x v="218"/>
          </reference>
        </references>
      </pivotArea>
    </format>
    <format dxfId="1671">
      <pivotArea dataOnly="0" labelOnly="1" outline="0" fieldPosition="0">
        <references count="4">
          <reference field="5" count="2">
            <x v="45"/>
            <x v="117"/>
          </reference>
          <reference field="8" count="1" selected="0">
            <x v="465"/>
          </reference>
          <reference field="11" count="1" selected="0">
            <x v="3"/>
          </reference>
          <reference field="13" count="1" selected="0">
            <x v="314"/>
          </reference>
        </references>
      </pivotArea>
    </format>
    <format dxfId="1670">
      <pivotArea dataOnly="0" labelOnly="1" outline="0" fieldPosition="0">
        <references count="4">
          <reference field="5" count="1">
            <x v="20"/>
          </reference>
          <reference field="8" count="1" selected="0">
            <x v="465"/>
          </reference>
          <reference field="11" count="1" selected="0">
            <x v="5"/>
          </reference>
          <reference field="13" count="1" selected="0">
            <x v="77"/>
          </reference>
        </references>
      </pivotArea>
    </format>
    <format dxfId="1669">
      <pivotArea dataOnly="0" labelOnly="1" outline="0" fieldPosition="0">
        <references count="4">
          <reference field="5" count="3">
            <x v="45"/>
            <x v="115"/>
            <x v="116"/>
          </reference>
          <reference field="8" count="1" selected="0">
            <x v="465"/>
          </reference>
          <reference field="11" count="1" selected="0">
            <x v="5"/>
          </reference>
          <reference field="13" count="1" selected="0">
            <x v="81"/>
          </reference>
        </references>
      </pivotArea>
    </format>
    <format dxfId="1668">
      <pivotArea dataOnly="0" labelOnly="1" outline="0" fieldPosition="0">
        <references count="4">
          <reference field="5" count="1">
            <x v="45"/>
          </reference>
          <reference field="8" count="1" selected="0">
            <x v="465"/>
          </reference>
          <reference field="11" count="1" selected="0">
            <x v="5"/>
          </reference>
          <reference field="13" count="1" selected="0">
            <x v="86"/>
          </reference>
        </references>
      </pivotArea>
    </format>
    <format dxfId="1667">
      <pivotArea dataOnly="0" labelOnly="1" outline="0" fieldPosition="0">
        <references count="4">
          <reference field="5" count="2">
            <x v="71"/>
            <x v="103"/>
          </reference>
          <reference field="8" count="1" selected="0">
            <x v="465"/>
          </reference>
          <reference field="11" count="1" selected="0">
            <x v="5"/>
          </reference>
          <reference field="13" count="1" selected="0">
            <x v="96"/>
          </reference>
        </references>
      </pivotArea>
    </format>
    <format dxfId="1666">
      <pivotArea dataOnly="0" labelOnly="1" outline="0" fieldPosition="0">
        <references count="4">
          <reference field="5" count="2">
            <x v="95"/>
            <x v="117"/>
          </reference>
          <reference field="8" count="1" selected="0">
            <x v="466"/>
          </reference>
          <reference field="11" count="1" selected="0">
            <x v="3"/>
          </reference>
          <reference field="13" count="1" selected="0">
            <x v="29"/>
          </reference>
        </references>
      </pivotArea>
    </format>
    <format dxfId="1665">
      <pivotArea dataOnly="0" labelOnly="1" outline="0" fieldPosition="0">
        <references count="4">
          <reference field="5" count="1">
            <x v="117"/>
          </reference>
          <reference field="8" count="1" selected="0">
            <x v="466"/>
          </reference>
          <reference field="11" count="1" selected="0">
            <x v="3"/>
          </reference>
          <reference field="13" count="1" selected="0">
            <x v="218"/>
          </reference>
        </references>
      </pivotArea>
    </format>
    <format dxfId="1664">
      <pivotArea dataOnly="0" labelOnly="1" outline="0" fieldPosition="0">
        <references count="4">
          <reference field="5" count="2">
            <x v="95"/>
            <x v="117"/>
          </reference>
          <reference field="8" count="1" selected="0">
            <x v="466"/>
          </reference>
          <reference field="11" count="1" selected="0">
            <x v="3"/>
          </reference>
          <reference field="13" count="1" selected="0">
            <x v="314"/>
          </reference>
        </references>
      </pivotArea>
    </format>
    <format dxfId="1663">
      <pivotArea dataOnly="0" labelOnly="1" outline="0" fieldPosition="0">
        <references count="4">
          <reference field="5" count="1">
            <x v="117"/>
          </reference>
          <reference field="8" count="1" selected="0">
            <x v="467"/>
          </reference>
          <reference field="11" count="1" selected="0">
            <x v="3"/>
          </reference>
          <reference field="13" count="1" selected="0">
            <x v="29"/>
          </reference>
        </references>
      </pivotArea>
    </format>
    <format dxfId="1662">
      <pivotArea dataOnly="0" labelOnly="1" outline="0" fieldPosition="0">
        <references count="4">
          <reference field="5" count="1">
            <x v="76"/>
          </reference>
          <reference field="8" count="1" selected="0">
            <x v="467"/>
          </reference>
          <reference field="11" count="1" selected="0">
            <x v="3"/>
          </reference>
          <reference field="13" count="1" selected="0">
            <x v="32"/>
          </reference>
        </references>
      </pivotArea>
    </format>
    <format dxfId="1661">
      <pivotArea dataOnly="0" labelOnly="1" outline="0" fieldPosition="0">
        <references count="4">
          <reference field="5" count="1">
            <x v="76"/>
          </reference>
          <reference field="8" count="1" selected="0">
            <x v="467"/>
          </reference>
          <reference field="11" count="1" selected="0">
            <x v="3"/>
          </reference>
          <reference field="13" count="1" selected="0">
            <x v="134"/>
          </reference>
        </references>
      </pivotArea>
    </format>
    <format dxfId="1660">
      <pivotArea dataOnly="0" labelOnly="1" outline="0" fieldPosition="0">
        <references count="4">
          <reference field="5" count="1">
            <x v="76"/>
          </reference>
          <reference field="8" count="1" selected="0">
            <x v="467"/>
          </reference>
          <reference field="11" count="1" selected="0">
            <x v="3"/>
          </reference>
          <reference field="13" count="1" selected="0">
            <x v="146"/>
          </reference>
        </references>
      </pivotArea>
    </format>
    <format dxfId="1659">
      <pivotArea dataOnly="0" labelOnly="1" outline="0" fieldPosition="0">
        <references count="4">
          <reference field="5" count="1">
            <x v="117"/>
          </reference>
          <reference field="8" count="1" selected="0">
            <x v="467"/>
          </reference>
          <reference field="11" count="1" selected="0">
            <x v="3"/>
          </reference>
          <reference field="13" count="1" selected="0">
            <x v="218"/>
          </reference>
        </references>
      </pivotArea>
    </format>
    <format dxfId="1658">
      <pivotArea dataOnly="0" labelOnly="1" outline="0" fieldPosition="0">
        <references count="4">
          <reference field="5" count="1">
            <x v="117"/>
          </reference>
          <reference field="8" count="1" selected="0">
            <x v="467"/>
          </reference>
          <reference field="11" count="1" selected="0">
            <x v="3"/>
          </reference>
          <reference field="13" count="1" selected="0">
            <x v="314"/>
          </reference>
        </references>
      </pivotArea>
    </format>
    <format dxfId="1657">
      <pivotArea dataOnly="0" labelOnly="1" outline="0" fieldPosition="0">
        <references count="4">
          <reference field="5" count="1">
            <x v="76"/>
          </reference>
          <reference field="8" count="1" selected="0">
            <x v="467"/>
          </reference>
          <reference field="11" count="1" selected="0">
            <x v="5"/>
          </reference>
          <reference field="13" count="1" selected="0">
            <x v="77"/>
          </reference>
        </references>
      </pivotArea>
    </format>
    <format dxfId="1656">
      <pivotArea dataOnly="0" labelOnly="1" outline="0" fieldPosition="0">
        <references count="4">
          <reference field="5" count="1">
            <x v="76"/>
          </reference>
          <reference field="8" count="1" selected="0">
            <x v="467"/>
          </reference>
          <reference field="11" count="1" selected="0">
            <x v="5"/>
          </reference>
          <reference field="13" count="1" selected="0">
            <x v="226"/>
          </reference>
        </references>
      </pivotArea>
    </format>
    <format dxfId="1655">
      <pivotArea dataOnly="0" labelOnly="1" outline="0" fieldPosition="0">
        <references count="4">
          <reference field="5" count="1">
            <x v="54"/>
          </reference>
          <reference field="8" count="1" selected="0">
            <x v="468"/>
          </reference>
          <reference field="11" count="1" selected="0">
            <x v="0"/>
          </reference>
          <reference field="13" count="1" selected="0">
            <x v="132"/>
          </reference>
        </references>
      </pivotArea>
    </format>
    <format dxfId="1654">
      <pivotArea dataOnly="0" labelOnly="1" outline="0" fieldPosition="0">
        <references count="4">
          <reference field="5" count="1">
            <x v="54"/>
          </reference>
          <reference field="8" count="1" selected="0">
            <x v="468"/>
          </reference>
          <reference field="11" count="1" selected="0">
            <x v="3"/>
          </reference>
          <reference field="13" count="1" selected="0">
            <x v="17"/>
          </reference>
        </references>
      </pivotArea>
    </format>
    <format dxfId="1653">
      <pivotArea dataOnly="0" labelOnly="1" outline="0" fieldPosition="0">
        <references count="4">
          <reference field="5" count="1">
            <x v="117"/>
          </reference>
          <reference field="8" count="1" selected="0">
            <x v="468"/>
          </reference>
          <reference field="11" count="1" selected="0">
            <x v="3"/>
          </reference>
          <reference field="13" count="1" selected="0">
            <x v="29"/>
          </reference>
        </references>
      </pivotArea>
    </format>
    <format dxfId="1652">
      <pivotArea dataOnly="0" labelOnly="1" outline="0" fieldPosition="0">
        <references count="4">
          <reference field="5" count="1">
            <x v="117"/>
          </reference>
          <reference field="8" count="1" selected="0">
            <x v="468"/>
          </reference>
          <reference field="11" count="1" selected="0">
            <x v="3"/>
          </reference>
          <reference field="13" count="1" selected="0">
            <x v="218"/>
          </reference>
        </references>
      </pivotArea>
    </format>
    <format dxfId="1651">
      <pivotArea dataOnly="0" labelOnly="1" outline="0" fieldPosition="0">
        <references count="4">
          <reference field="5" count="1">
            <x v="54"/>
          </reference>
          <reference field="8" count="1" selected="0">
            <x v="468"/>
          </reference>
          <reference field="11" count="1" selected="0">
            <x v="3"/>
          </reference>
          <reference field="13" count="1" selected="0">
            <x v="251"/>
          </reference>
        </references>
      </pivotArea>
    </format>
    <format dxfId="1650">
      <pivotArea dataOnly="0" labelOnly="1" outline="0" fieldPosition="0">
        <references count="4">
          <reference field="5" count="1">
            <x v="54"/>
          </reference>
          <reference field="8" count="1" selected="0">
            <x v="468"/>
          </reference>
          <reference field="11" count="1" selected="0">
            <x v="3"/>
          </reference>
          <reference field="13" count="1" selected="0">
            <x v="287"/>
          </reference>
        </references>
      </pivotArea>
    </format>
    <format dxfId="1649">
      <pivotArea dataOnly="0" labelOnly="1" outline="0" fieldPosition="0">
        <references count="4">
          <reference field="5" count="1">
            <x v="54"/>
          </reference>
          <reference field="8" count="1" selected="0">
            <x v="468"/>
          </reference>
          <reference field="11" count="1" selected="0">
            <x v="3"/>
          </reference>
          <reference field="13" count="1" selected="0">
            <x v="305"/>
          </reference>
        </references>
      </pivotArea>
    </format>
    <format dxfId="1648">
      <pivotArea dataOnly="0" labelOnly="1" outline="0" fieldPosition="0">
        <references count="4">
          <reference field="5" count="1">
            <x v="117"/>
          </reference>
          <reference field="8" count="1" selected="0">
            <x v="468"/>
          </reference>
          <reference field="11" count="1" selected="0">
            <x v="3"/>
          </reference>
          <reference field="13" count="1" selected="0">
            <x v="314"/>
          </reference>
        </references>
      </pivotArea>
    </format>
    <format dxfId="1647">
      <pivotArea dataOnly="0" labelOnly="1" outline="0" fieldPosition="0">
        <references count="4">
          <reference field="5" count="1">
            <x v="64"/>
          </reference>
          <reference field="8" count="1" selected="0">
            <x v="469"/>
          </reference>
          <reference field="11" count="1" selected="0">
            <x v="1"/>
          </reference>
          <reference field="13" count="1" selected="0">
            <x v="169"/>
          </reference>
        </references>
      </pivotArea>
    </format>
    <format dxfId="1646">
      <pivotArea dataOnly="0" labelOnly="1" outline="0" fieldPosition="0">
        <references count="4">
          <reference field="5" count="1">
            <x v="64"/>
          </reference>
          <reference field="8" count="1" selected="0">
            <x v="469"/>
          </reference>
          <reference field="11" count="1" selected="0">
            <x v="7"/>
          </reference>
          <reference field="13" count="1" selected="0">
            <x v="129"/>
          </reference>
        </references>
      </pivotArea>
    </format>
    <format dxfId="1645">
      <pivotArea dataOnly="0" labelOnly="1" outline="0" fieldPosition="0">
        <references count="4">
          <reference field="5" count="1">
            <x v="64"/>
          </reference>
          <reference field="8" count="1" selected="0">
            <x v="470"/>
          </reference>
          <reference field="11" count="1" selected="0">
            <x v="1"/>
          </reference>
          <reference field="13" count="1" selected="0">
            <x v="169"/>
          </reference>
        </references>
      </pivotArea>
    </format>
    <format dxfId="1644">
      <pivotArea dataOnly="0" labelOnly="1" outline="0" fieldPosition="0">
        <references count="4">
          <reference field="5" count="1">
            <x v="64"/>
          </reference>
          <reference field="8" count="1" selected="0">
            <x v="471"/>
          </reference>
          <reference field="11" count="1" selected="0">
            <x v="1"/>
          </reference>
          <reference field="13" count="1" selected="0">
            <x v="169"/>
          </reference>
        </references>
      </pivotArea>
    </format>
    <format dxfId="1643">
      <pivotArea dataOnly="0" labelOnly="1" outline="0" fieldPosition="0">
        <references count="4">
          <reference field="5" count="1">
            <x v="64"/>
          </reference>
          <reference field="8" count="1" selected="0">
            <x v="471"/>
          </reference>
          <reference field="11" count="1" selected="0">
            <x v="7"/>
          </reference>
          <reference field="13" count="1" selected="0">
            <x v="129"/>
          </reference>
        </references>
      </pivotArea>
    </format>
    <format dxfId="1642">
      <pivotArea dataOnly="0" labelOnly="1" outline="0" fieldPosition="0">
        <references count="4">
          <reference field="5" count="2">
            <x v="116"/>
            <x v="117"/>
          </reference>
          <reference field="8" count="1" selected="0">
            <x v="472"/>
          </reference>
          <reference field="11" count="1" selected="0">
            <x v="3"/>
          </reference>
          <reference field="13" count="1" selected="0">
            <x v="29"/>
          </reference>
        </references>
      </pivotArea>
    </format>
    <format dxfId="1641">
      <pivotArea dataOnly="0" labelOnly="1" outline="0" fieldPosition="0">
        <references count="4">
          <reference field="5" count="1">
            <x v="101"/>
          </reference>
          <reference field="8" count="1" selected="0">
            <x v="472"/>
          </reference>
          <reference field="11" count="1" selected="0">
            <x v="3"/>
          </reference>
          <reference field="13" count="1" selected="0">
            <x v="32"/>
          </reference>
        </references>
      </pivotArea>
    </format>
    <format dxfId="1640">
      <pivotArea dataOnly="0" labelOnly="1" outline="0" fieldPosition="0">
        <references count="4">
          <reference field="5" count="1">
            <x v="101"/>
          </reference>
          <reference field="8" count="1" selected="0">
            <x v="472"/>
          </reference>
          <reference field="11" count="1" selected="0">
            <x v="3"/>
          </reference>
          <reference field="13" count="1" selected="0">
            <x v="100"/>
          </reference>
        </references>
      </pivotArea>
    </format>
    <format dxfId="1639">
      <pivotArea dataOnly="0" labelOnly="1" outline="0" fieldPosition="0">
        <references count="4">
          <reference field="5" count="1">
            <x v="117"/>
          </reference>
          <reference field="8" count="1" selected="0">
            <x v="472"/>
          </reference>
          <reference field="11" count="1" selected="0">
            <x v="3"/>
          </reference>
          <reference field="13" count="1" selected="0">
            <x v="218"/>
          </reference>
        </references>
      </pivotArea>
    </format>
    <format dxfId="1638">
      <pivotArea dataOnly="0" labelOnly="1" outline="0" fieldPosition="0">
        <references count="4">
          <reference field="5" count="1">
            <x v="117"/>
          </reference>
          <reference field="8" count="1" selected="0">
            <x v="472"/>
          </reference>
          <reference field="11" count="1" selected="0">
            <x v="3"/>
          </reference>
          <reference field="13" count="1" selected="0">
            <x v="314"/>
          </reference>
        </references>
      </pivotArea>
    </format>
    <format dxfId="1637">
      <pivotArea dataOnly="0" labelOnly="1" outline="0" fieldPosition="0">
        <references count="4">
          <reference field="5" count="1">
            <x v="32"/>
          </reference>
          <reference field="8" count="1" selected="0">
            <x v="472"/>
          </reference>
          <reference field="11" count="1" selected="0">
            <x v="4"/>
          </reference>
          <reference field="13" count="1" selected="0">
            <x v="133"/>
          </reference>
        </references>
      </pivotArea>
    </format>
    <format dxfId="1636">
      <pivotArea dataOnly="0" labelOnly="1" outline="0" fieldPosition="0">
        <references count="4">
          <reference field="5" count="1">
            <x v="56"/>
          </reference>
          <reference field="8" count="1" selected="0">
            <x v="473"/>
          </reference>
          <reference field="11" count="1" selected="0">
            <x v="0"/>
          </reference>
          <reference field="13" count="1" selected="0">
            <x v="73"/>
          </reference>
        </references>
      </pivotArea>
    </format>
    <format dxfId="1635">
      <pivotArea dataOnly="0" labelOnly="1" outline="0" fieldPosition="0">
        <references count="4">
          <reference field="5" count="1">
            <x v="56"/>
          </reference>
          <reference field="8" count="1" selected="0">
            <x v="473"/>
          </reference>
          <reference field="11" count="1" selected="0">
            <x v="0"/>
          </reference>
          <reference field="13" count="1" selected="0">
            <x v="74"/>
          </reference>
        </references>
      </pivotArea>
    </format>
    <format dxfId="1634">
      <pivotArea dataOnly="0" labelOnly="1" outline="0" fieldPosition="0">
        <references count="4">
          <reference field="5" count="1">
            <x v="56"/>
          </reference>
          <reference field="8" count="1" selected="0">
            <x v="473"/>
          </reference>
          <reference field="11" count="1" selected="0">
            <x v="0"/>
          </reference>
          <reference field="13" count="1" selected="0">
            <x v="82"/>
          </reference>
        </references>
      </pivotArea>
    </format>
    <format dxfId="1633">
      <pivotArea dataOnly="0" labelOnly="1" outline="0" fieldPosition="0">
        <references count="4">
          <reference field="5" count="1">
            <x v="56"/>
          </reference>
          <reference field="8" count="1" selected="0">
            <x v="473"/>
          </reference>
          <reference field="11" count="1" selected="0">
            <x v="0"/>
          </reference>
          <reference field="13" count="1" selected="0">
            <x v="221"/>
          </reference>
        </references>
      </pivotArea>
    </format>
    <format dxfId="1632">
      <pivotArea dataOnly="0" labelOnly="1" outline="0" fieldPosition="0">
        <references count="4">
          <reference field="5" count="1">
            <x v="0"/>
          </reference>
          <reference field="8" count="1" selected="0">
            <x v="473"/>
          </reference>
          <reference field="11" count="1" selected="0">
            <x v="0"/>
          </reference>
          <reference field="13" count="1" selected="0">
            <x v="283"/>
          </reference>
        </references>
      </pivotArea>
    </format>
    <format dxfId="1631">
      <pivotArea dataOnly="0" labelOnly="1" outline="0" fieldPosition="0">
        <references count="4">
          <reference field="5" count="1">
            <x v="56"/>
          </reference>
          <reference field="8" count="1" selected="0">
            <x v="473"/>
          </reference>
          <reference field="11" count="1" selected="0">
            <x v="1"/>
          </reference>
          <reference field="13" count="1" selected="0">
            <x v="15"/>
          </reference>
        </references>
      </pivotArea>
    </format>
    <format dxfId="1630">
      <pivotArea dataOnly="0" labelOnly="1" outline="0" fieldPosition="0">
        <references count="4">
          <reference field="5" count="1">
            <x v="56"/>
          </reference>
          <reference field="8" count="1" selected="0">
            <x v="473"/>
          </reference>
          <reference field="11" count="1" selected="0">
            <x v="1"/>
          </reference>
          <reference field="13" count="1" selected="0">
            <x v="286"/>
          </reference>
        </references>
      </pivotArea>
    </format>
    <format dxfId="1629">
      <pivotArea dataOnly="0" labelOnly="1" outline="0" fieldPosition="0">
        <references count="4">
          <reference field="5" count="1">
            <x v="56"/>
          </reference>
          <reference field="8" count="1" selected="0">
            <x v="473"/>
          </reference>
          <reference field="11" count="1" selected="0">
            <x v="2"/>
          </reference>
          <reference field="13" count="1" selected="0">
            <x v="173"/>
          </reference>
        </references>
      </pivotArea>
    </format>
    <format dxfId="1628">
      <pivotArea dataOnly="0" labelOnly="1" outline="0" fieldPosition="0">
        <references count="4">
          <reference field="5" count="1">
            <x v="56"/>
          </reference>
          <reference field="8" count="1" selected="0">
            <x v="473"/>
          </reference>
          <reference field="11" count="1" selected="0">
            <x v="2"/>
          </reference>
          <reference field="13" count="1" selected="0">
            <x v="279"/>
          </reference>
        </references>
      </pivotArea>
    </format>
    <format dxfId="1627">
      <pivotArea dataOnly="0" labelOnly="1" outline="0" fieldPosition="0">
        <references count="4">
          <reference field="5" count="1">
            <x v="56"/>
          </reference>
          <reference field="8" count="1" selected="0">
            <x v="473"/>
          </reference>
          <reference field="11" count="1" selected="0">
            <x v="3"/>
          </reference>
          <reference field="13" count="1" selected="0">
            <x v="4"/>
          </reference>
        </references>
      </pivotArea>
    </format>
    <format dxfId="1626">
      <pivotArea dataOnly="0" labelOnly="1" outline="0" fieldPosition="0">
        <references count="4">
          <reference field="5" count="1">
            <x v="56"/>
          </reference>
          <reference field="8" count="1" selected="0">
            <x v="473"/>
          </reference>
          <reference field="11" count="1" selected="0">
            <x v="3"/>
          </reference>
          <reference field="13" count="1" selected="0">
            <x v="32"/>
          </reference>
        </references>
      </pivotArea>
    </format>
    <format dxfId="1625">
      <pivotArea dataOnly="0" labelOnly="1" outline="0" fieldPosition="0">
        <references count="4">
          <reference field="5" count="1">
            <x v="56"/>
          </reference>
          <reference field="8" count="1" selected="0">
            <x v="473"/>
          </reference>
          <reference field="11" count="1" selected="0">
            <x v="3"/>
          </reference>
          <reference field="13" count="1" selected="0">
            <x v="57"/>
          </reference>
        </references>
      </pivotArea>
    </format>
    <format dxfId="1624">
      <pivotArea dataOnly="0" labelOnly="1" outline="0" fieldPosition="0">
        <references count="4">
          <reference field="5" count="1">
            <x v="56"/>
          </reference>
          <reference field="8" count="1" selected="0">
            <x v="473"/>
          </reference>
          <reference field="11" count="1" selected="0">
            <x v="3"/>
          </reference>
          <reference field="13" count="1" selected="0">
            <x v="69"/>
          </reference>
        </references>
      </pivotArea>
    </format>
    <format dxfId="1623">
      <pivotArea dataOnly="0" labelOnly="1" outline="0" fieldPosition="0">
        <references count="4">
          <reference field="5" count="1">
            <x v="56"/>
          </reference>
          <reference field="8" count="1" selected="0">
            <x v="473"/>
          </reference>
          <reference field="11" count="1" selected="0">
            <x v="3"/>
          </reference>
          <reference field="13" count="1" selected="0">
            <x v="78"/>
          </reference>
        </references>
      </pivotArea>
    </format>
    <format dxfId="1622">
      <pivotArea dataOnly="0" labelOnly="1" outline="0" fieldPosition="0">
        <references count="4">
          <reference field="5" count="1">
            <x v="56"/>
          </reference>
          <reference field="8" count="1" selected="0">
            <x v="473"/>
          </reference>
          <reference field="11" count="1" selected="0">
            <x v="3"/>
          </reference>
          <reference field="13" count="1" selected="0">
            <x v="163"/>
          </reference>
        </references>
      </pivotArea>
    </format>
    <format dxfId="1621">
      <pivotArea dataOnly="0" labelOnly="1" outline="0" fieldPosition="0">
        <references count="4">
          <reference field="5" count="1">
            <x v="56"/>
          </reference>
          <reference field="8" count="1" selected="0">
            <x v="473"/>
          </reference>
          <reference field="11" count="1" selected="0">
            <x v="3"/>
          </reference>
          <reference field="13" count="1" selected="0">
            <x v="177"/>
          </reference>
        </references>
      </pivotArea>
    </format>
    <format dxfId="1620">
      <pivotArea dataOnly="0" labelOnly="1" outline="0" fieldPosition="0">
        <references count="4">
          <reference field="5" count="1">
            <x v="56"/>
          </reference>
          <reference field="8" count="1" selected="0">
            <x v="473"/>
          </reference>
          <reference field="11" count="1" selected="0">
            <x v="3"/>
          </reference>
          <reference field="13" count="1" selected="0">
            <x v="239"/>
          </reference>
        </references>
      </pivotArea>
    </format>
    <format dxfId="1619">
      <pivotArea dataOnly="0" labelOnly="1" outline="0" fieldPosition="0">
        <references count="4">
          <reference field="5" count="1">
            <x v="56"/>
          </reference>
          <reference field="8" count="1" selected="0">
            <x v="473"/>
          </reference>
          <reference field="11" count="1" selected="0">
            <x v="3"/>
          </reference>
          <reference field="13" count="1" selected="0">
            <x v="240"/>
          </reference>
        </references>
      </pivotArea>
    </format>
    <format dxfId="1618">
      <pivotArea dataOnly="0" labelOnly="1" outline="0" fieldPosition="0">
        <references count="4">
          <reference field="5" count="1">
            <x v="56"/>
          </reference>
          <reference field="8" count="1" selected="0">
            <x v="473"/>
          </reference>
          <reference field="11" count="1" selected="0">
            <x v="3"/>
          </reference>
          <reference field="13" count="1" selected="0">
            <x v="242"/>
          </reference>
        </references>
      </pivotArea>
    </format>
    <format dxfId="1617">
      <pivotArea dataOnly="0" labelOnly="1" outline="0" fieldPosition="0">
        <references count="4">
          <reference field="5" count="1">
            <x v="56"/>
          </reference>
          <reference field="8" count="1" selected="0">
            <x v="473"/>
          </reference>
          <reference field="11" count="1" selected="0">
            <x v="3"/>
          </reference>
          <reference field="13" count="1" selected="0">
            <x v="243"/>
          </reference>
        </references>
      </pivotArea>
    </format>
    <format dxfId="1616">
      <pivotArea dataOnly="0" labelOnly="1" outline="0" fieldPosition="0">
        <references count="4">
          <reference field="5" count="1">
            <x v="56"/>
          </reference>
          <reference field="8" count="1" selected="0">
            <x v="473"/>
          </reference>
          <reference field="11" count="1" selected="0">
            <x v="3"/>
          </reference>
          <reference field="13" count="1" selected="0">
            <x v="251"/>
          </reference>
        </references>
      </pivotArea>
    </format>
    <format dxfId="1615">
      <pivotArea dataOnly="0" labelOnly="1" outline="0" fieldPosition="0">
        <references count="4">
          <reference field="5" count="1">
            <x v="56"/>
          </reference>
          <reference field="8" count="1" selected="0">
            <x v="473"/>
          </reference>
          <reference field="11" count="1" selected="0">
            <x v="3"/>
          </reference>
          <reference field="13" count="1" selected="0">
            <x v="287"/>
          </reference>
        </references>
      </pivotArea>
    </format>
    <format dxfId="1614">
      <pivotArea dataOnly="0" labelOnly="1" outline="0" fieldPosition="0">
        <references count="4">
          <reference field="5" count="1">
            <x v="56"/>
          </reference>
          <reference field="8" count="1" selected="0">
            <x v="473"/>
          </reference>
          <reference field="11" count="1" selected="0">
            <x v="3"/>
          </reference>
          <reference field="13" count="1" selected="0">
            <x v="317"/>
          </reference>
        </references>
      </pivotArea>
    </format>
    <format dxfId="1613">
      <pivotArea dataOnly="0" labelOnly="1" outline="0" fieldPosition="0">
        <references count="4">
          <reference field="5" count="1">
            <x v="56"/>
          </reference>
          <reference field="8" count="1" selected="0">
            <x v="473"/>
          </reference>
          <reference field="11" count="1" selected="0">
            <x v="4"/>
          </reference>
          <reference field="13" count="1" selected="0">
            <x v="133"/>
          </reference>
        </references>
      </pivotArea>
    </format>
    <format dxfId="1612">
      <pivotArea dataOnly="0" labelOnly="1" outline="0" fieldPosition="0">
        <references count="4">
          <reference field="5" count="1">
            <x v="56"/>
          </reference>
          <reference field="8" count="1" selected="0">
            <x v="473"/>
          </reference>
          <reference field="11" count="1" selected="0">
            <x v="5"/>
          </reference>
          <reference field="13" count="1" selected="0">
            <x v="77"/>
          </reference>
        </references>
      </pivotArea>
    </format>
    <format dxfId="1611">
      <pivotArea dataOnly="0" labelOnly="1" outline="0" fieldPosition="0">
        <references count="4">
          <reference field="5" count="2">
            <x v="20"/>
            <x v="116"/>
          </reference>
          <reference field="8" count="1" selected="0">
            <x v="473"/>
          </reference>
          <reference field="11" count="1" selected="0">
            <x v="5"/>
          </reference>
          <reference field="13" count="1" selected="0">
            <x v="81"/>
          </reference>
        </references>
      </pivotArea>
    </format>
    <format dxfId="1610">
      <pivotArea dataOnly="0" labelOnly="1" outline="0" fieldPosition="0">
        <references count="4">
          <reference field="5" count="1">
            <x v="20"/>
          </reference>
          <reference field="8" count="1" selected="0">
            <x v="473"/>
          </reference>
          <reference field="11" count="1" selected="0">
            <x v="5"/>
          </reference>
          <reference field="13" count="1" selected="0">
            <x v="255"/>
          </reference>
        </references>
      </pivotArea>
    </format>
    <format dxfId="1609">
      <pivotArea dataOnly="0" labelOnly="1" outline="0" fieldPosition="0">
        <references count="4">
          <reference field="5" count="1">
            <x v="56"/>
          </reference>
          <reference field="8" count="1" selected="0">
            <x v="473"/>
          </reference>
          <reference field="11" count="1" selected="0">
            <x v="7"/>
          </reference>
          <reference field="13" count="1" selected="0">
            <x v="72"/>
          </reference>
        </references>
      </pivotArea>
    </format>
    <format dxfId="1608">
      <pivotArea dataOnly="0" labelOnly="1" outline="0" fieldPosition="0">
        <references count="4">
          <reference field="5" count="2">
            <x v="116"/>
            <x v="117"/>
          </reference>
          <reference field="8" count="1" selected="0">
            <x v="474"/>
          </reference>
          <reference field="11" count="1" selected="0">
            <x v="3"/>
          </reference>
          <reference field="13" count="1" selected="0">
            <x v="29"/>
          </reference>
        </references>
      </pivotArea>
    </format>
    <format dxfId="1607">
      <pivotArea dataOnly="0" labelOnly="1" outline="0" fieldPosition="0">
        <references count="4">
          <reference field="5" count="1">
            <x v="117"/>
          </reference>
          <reference field="8" count="1" selected="0">
            <x v="474"/>
          </reference>
          <reference field="11" count="1" selected="0">
            <x v="3"/>
          </reference>
          <reference field="13" count="1" selected="0">
            <x v="218"/>
          </reference>
        </references>
      </pivotArea>
    </format>
    <format dxfId="1606">
      <pivotArea dataOnly="0" labelOnly="1" outline="0" fieldPosition="0">
        <references count="4">
          <reference field="5" count="1">
            <x v="81"/>
          </reference>
          <reference field="8" count="1" selected="0">
            <x v="474"/>
          </reference>
          <reference field="11" count="1" selected="0">
            <x v="3"/>
          </reference>
          <reference field="13" count="1" selected="0">
            <x v="287"/>
          </reference>
        </references>
      </pivotArea>
    </format>
    <format dxfId="1605">
      <pivotArea dataOnly="0" labelOnly="1" outline="0" fieldPosition="0">
        <references count="4">
          <reference field="5" count="1">
            <x v="81"/>
          </reference>
          <reference field="8" count="1" selected="0">
            <x v="474"/>
          </reference>
          <reference field="11" count="1" selected="0">
            <x v="7"/>
          </reference>
          <reference field="13" count="1" selected="0">
            <x v="72"/>
          </reference>
        </references>
      </pivotArea>
    </format>
    <format dxfId="1604">
      <pivotArea dataOnly="0" labelOnly="1" outline="0" fieldPosition="0">
        <references count="4">
          <reference field="5" count="1">
            <x v="117"/>
          </reference>
          <reference field="8" count="1" selected="0">
            <x v="475"/>
          </reference>
          <reference field="11" count="1" selected="0">
            <x v="3"/>
          </reference>
          <reference field="13" count="1" selected="0">
            <x v="29"/>
          </reference>
        </references>
      </pivotArea>
    </format>
    <format dxfId="1603">
      <pivotArea dataOnly="0" labelOnly="1" outline="0" fieldPosition="0">
        <references count="4">
          <reference field="5" count="1">
            <x v="81"/>
          </reference>
          <reference field="8" count="1" selected="0">
            <x v="475"/>
          </reference>
          <reference field="11" count="1" selected="0">
            <x v="3"/>
          </reference>
          <reference field="13" count="1" selected="0">
            <x v="57"/>
          </reference>
        </references>
      </pivotArea>
    </format>
    <format dxfId="1602">
      <pivotArea dataOnly="0" labelOnly="1" outline="0" fieldPosition="0">
        <references count="4">
          <reference field="5" count="1">
            <x v="117"/>
          </reference>
          <reference field="8" count="1" selected="0">
            <x v="475"/>
          </reference>
          <reference field="11" count="1" selected="0">
            <x v="3"/>
          </reference>
          <reference field="13" count="1" selected="0">
            <x v="218"/>
          </reference>
        </references>
      </pivotArea>
    </format>
    <format dxfId="1601">
      <pivotArea dataOnly="0" labelOnly="1" outline="0" fieldPosition="0">
        <references count="4">
          <reference field="5" count="1">
            <x v="81"/>
          </reference>
          <reference field="8" count="1" selected="0">
            <x v="475"/>
          </reference>
          <reference field="11" count="1" selected="0">
            <x v="3"/>
          </reference>
          <reference field="13" count="1" selected="0">
            <x v="242"/>
          </reference>
        </references>
      </pivotArea>
    </format>
    <format dxfId="1600">
      <pivotArea dataOnly="0" labelOnly="1" outline="0" fieldPosition="0">
        <references count="4">
          <reference field="5" count="1">
            <x v="81"/>
          </reference>
          <reference field="8" count="1" selected="0">
            <x v="475"/>
          </reference>
          <reference field="11" count="1" selected="0">
            <x v="3"/>
          </reference>
          <reference field="13" count="1" selected="0">
            <x v="287"/>
          </reference>
        </references>
      </pivotArea>
    </format>
    <format dxfId="1599">
      <pivotArea dataOnly="0" labelOnly="1" outline="0" fieldPosition="0">
        <references count="4">
          <reference field="5" count="1">
            <x v="117"/>
          </reference>
          <reference field="8" count="1" selected="0">
            <x v="475"/>
          </reference>
          <reference field="11" count="1" selected="0">
            <x v="3"/>
          </reference>
          <reference field="13" count="1" selected="0">
            <x v="314"/>
          </reference>
        </references>
      </pivotArea>
    </format>
    <format dxfId="1598">
      <pivotArea dataOnly="0" labelOnly="1" outline="0" fieldPosition="0">
        <references count="4">
          <reference field="5" count="1">
            <x v="85"/>
          </reference>
          <reference field="8" count="1" selected="0">
            <x v="476"/>
          </reference>
          <reference field="11" count="1" selected="0">
            <x v="3"/>
          </reference>
          <reference field="13" count="1" selected="0">
            <x v="7"/>
          </reference>
        </references>
      </pivotArea>
    </format>
    <format dxfId="1597">
      <pivotArea dataOnly="0" labelOnly="1" outline="0" fieldPosition="0">
        <references count="4">
          <reference field="5" count="1">
            <x v="85"/>
          </reference>
          <reference field="8" count="1" selected="0">
            <x v="476"/>
          </reference>
          <reference field="11" count="1" selected="0">
            <x v="3"/>
          </reference>
          <reference field="13" count="1" selected="0">
            <x v="32"/>
          </reference>
        </references>
      </pivotArea>
    </format>
    <format dxfId="1596">
      <pivotArea dataOnly="0" labelOnly="1" outline="0" fieldPosition="0">
        <references count="4">
          <reference field="5" count="1">
            <x v="85"/>
          </reference>
          <reference field="8" count="1" selected="0">
            <x v="476"/>
          </reference>
          <reference field="11" count="1" selected="0">
            <x v="3"/>
          </reference>
          <reference field="13" count="1" selected="0">
            <x v="39"/>
          </reference>
        </references>
      </pivotArea>
    </format>
    <format dxfId="1595">
      <pivotArea dataOnly="0" labelOnly="1" outline="0" fieldPosition="0">
        <references count="4">
          <reference field="5" count="1">
            <x v="85"/>
          </reference>
          <reference field="8" count="1" selected="0">
            <x v="476"/>
          </reference>
          <reference field="11" count="1" selected="0">
            <x v="3"/>
          </reference>
          <reference field="13" count="1" selected="0">
            <x v="69"/>
          </reference>
        </references>
      </pivotArea>
    </format>
    <format dxfId="1594">
      <pivotArea dataOnly="0" labelOnly="1" outline="0" fieldPosition="0">
        <references count="4">
          <reference field="5" count="1">
            <x v="85"/>
          </reference>
          <reference field="8" count="1" selected="0">
            <x v="476"/>
          </reference>
          <reference field="11" count="1" selected="0">
            <x v="3"/>
          </reference>
          <reference field="13" count="1" selected="0">
            <x v="105"/>
          </reference>
        </references>
      </pivotArea>
    </format>
    <format dxfId="1593">
      <pivotArea dataOnly="0" labelOnly="1" outline="0" fieldPosition="0">
        <references count="4">
          <reference field="5" count="1">
            <x v="85"/>
          </reference>
          <reference field="8" count="1" selected="0">
            <x v="476"/>
          </reference>
          <reference field="11" count="1" selected="0">
            <x v="3"/>
          </reference>
          <reference field="13" count="1" selected="0">
            <x v="163"/>
          </reference>
        </references>
      </pivotArea>
    </format>
    <format dxfId="1592">
      <pivotArea dataOnly="0" labelOnly="1" outline="0" fieldPosition="0">
        <references count="4">
          <reference field="5" count="1">
            <x v="85"/>
          </reference>
          <reference field="8" count="1" selected="0">
            <x v="476"/>
          </reference>
          <reference field="11" count="1" selected="0">
            <x v="3"/>
          </reference>
          <reference field="13" count="1" selected="0">
            <x v="240"/>
          </reference>
        </references>
      </pivotArea>
    </format>
    <format dxfId="1591">
      <pivotArea dataOnly="0" labelOnly="1" outline="0" fieldPosition="0">
        <references count="4">
          <reference field="5" count="1">
            <x v="85"/>
          </reference>
          <reference field="8" count="1" selected="0">
            <x v="476"/>
          </reference>
          <reference field="11" count="1" selected="0">
            <x v="3"/>
          </reference>
          <reference field="13" count="1" selected="0">
            <x v="287"/>
          </reference>
        </references>
      </pivotArea>
    </format>
    <format dxfId="1590">
      <pivotArea dataOnly="0" labelOnly="1" outline="0" fieldPosition="0">
        <references count="4">
          <reference field="5" count="1">
            <x v="85"/>
          </reference>
          <reference field="8" count="1" selected="0">
            <x v="476"/>
          </reference>
          <reference field="11" count="1" selected="0">
            <x v="3"/>
          </reference>
          <reference field="13" count="1" selected="0">
            <x v="316"/>
          </reference>
        </references>
      </pivotArea>
    </format>
    <format dxfId="1589">
      <pivotArea dataOnly="0" labelOnly="1" outline="0" fieldPosition="0">
        <references count="4">
          <reference field="5" count="1">
            <x v="85"/>
          </reference>
          <reference field="8" count="1" selected="0">
            <x v="476"/>
          </reference>
          <reference field="11" count="1" selected="0">
            <x v="4"/>
          </reference>
          <reference field="13" count="1" selected="0">
            <x v="133"/>
          </reference>
        </references>
      </pivotArea>
    </format>
    <format dxfId="1588">
      <pivotArea dataOnly="0" labelOnly="1" outline="0" fieldPosition="0">
        <references count="4">
          <reference field="5" count="1">
            <x v="85"/>
          </reference>
          <reference field="8" count="1" selected="0">
            <x v="476"/>
          </reference>
          <reference field="11" count="1" selected="0">
            <x v="5"/>
          </reference>
          <reference field="13" count="1" selected="0">
            <x v="77"/>
          </reference>
        </references>
      </pivotArea>
    </format>
    <format dxfId="1587">
      <pivotArea dataOnly="0" labelOnly="1" outline="0" fieldPosition="0">
        <references count="4">
          <reference field="5" count="1">
            <x v="85"/>
          </reference>
          <reference field="8" count="1" selected="0">
            <x v="476"/>
          </reference>
          <reference field="11" count="1" selected="0">
            <x v="5"/>
          </reference>
          <reference field="13" count="1" selected="0">
            <x v="81"/>
          </reference>
        </references>
      </pivotArea>
    </format>
    <format dxfId="1586">
      <pivotArea dataOnly="0" labelOnly="1" outline="0" fieldPosition="0">
        <references count="4">
          <reference field="5" count="1">
            <x v="85"/>
          </reference>
          <reference field="8" count="1" selected="0">
            <x v="476"/>
          </reference>
          <reference field="11" count="1" selected="0">
            <x v="5"/>
          </reference>
          <reference field="13" count="1" selected="0">
            <x v="255"/>
          </reference>
        </references>
      </pivotArea>
    </format>
    <format dxfId="1585">
      <pivotArea dataOnly="0" labelOnly="1" outline="0" fieldPosition="0">
        <references count="4">
          <reference field="5" count="1">
            <x v="85"/>
          </reference>
          <reference field="8" count="1" selected="0">
            <x v="476"/>
          </reference>
          <reference field="11" count="1" selected="0">
            <x v="5"/>
          </reference>
          <reference field="13" count="1" selected="0">
            <x v="268"/>
          </reference>
        </references>
      </pivotArea>
    </format>
    <format dxfId="1584">
      <pivotArea dataOnly="0" labelOnly="1" outline="0" fieldPosition="0">
        <references count="4">
          <reference field="5" count="1">
            <x v="85"/>
          </reference>
          <reference field="8" count="1" selected="0">
            <x v="476"/>
          </reference>
          <reference field="11" count="1" selected="0">
            <x v="6"/>
          </reference>
          <reference field="13" count="1" selected="0">
            <x v="191"/>
          </reference>
        </references>
      </pivotArea>
    </format>
    <format dxfId="1583">
      <pivotArea dataOnly="0" labelOnly="1" outline="0" fieldPosition="0">
        <references count="4">
          <reference field="5" count="1">
            <x v="85"/>
          </reference>
          <reference field="8" count="1" selected="0">
            <x v="476"/>
          </reference>
          <reference field="11" count="1" selected="0">
            <x v="7"/>
          </reference>
          <reference field="13" count="1" selected="0">
            <x v="8"/>
          </reference>
        </references>
      </pivotArea>
    </format>
    <format dxfId="1582">
      <pivotArea dataOnly="0" labelOnly="1" outline="0" fieldPosition="0">
        <references count="4">
          <reference field="5" count="1">
            <x v="85"/>
          </reference>
          <reference field="8" count="1" selected="0">
            <x v="476"/>
          </reference>
          <reference field="11" count="1" selected="0">
            <x v="7"/>
          </reference>
          <reference field="13" count="1" selected="0">
            <x v="72"/>
          </reference>
        </references>
      </pivotArea>
    </format>
    <format dxfId="1581">
      <pivotArea dataOnly="0" labelOnly="1" outline="0" fieldPosition="0">
        <references count="4">
          <reference field="5" count="1">
            <x v="85"/>
          </reference>
          <reference field="8" count="1" selected="0">
            <x v="476"/>
          </reference>
          <reference field="11" count="1" selected="0">
            <x v="7"/>
          </reference>
          <reference field="13" count="1" selected="0">
            <x v="308"/>
          </reference>
        </references>
      </pivotArea>
    </format>
    <format dxfId="1580">
      <pivotArea dataOnly="0" labelOnly="1" outline="0" fieldPosition="0">
        <references count="4">
          <reference field="5" count="2">
            <x v="116"/>
            <x v="117"/>
          </reference>
          <reference field="8" count="1" selected="0">
            <x v="477"/>
          </reference>
          <reference field="11" count="1" selected="0">
            <x v="3"/>
          </reference>
          <reference field="13" count="1" selected="0">
            <x v="29"/>
          </reference>
        </references>
      </pivotArea>
    </format>
    <format dxfId="1579">
      <pivotArea dataOnly="0" labelOnly="1" outline="0" fieldPosition="0">
        <references count="4">
          <reference field="5" count="1">
            <x v="108"/>
          </reference>
          <reference field="8" count="1" selected="0">
            <x v="477"/>
          </reference>
          <reference field="11" count="1" selected="0">
            <x v="3"/>
          </reference>
          <reference field="13" count="1" selected="0">
            <x v="57"/>
          </reference>
        </references>
      </pivotArea>
    </format>
    <format dxfId="1578">
      <pivotArea dataOnly="0" labelOnly="1" outline="0" fieldPosition="0">
        <references count="4">
          <reference field="5" count="1">
            <x v="117"/>
          </reference>
          <reference field="8" count="1" selected="0">
            <x v="477"/>
          </reference>
          <reference field="11" count="1" selected="0">
            <x v="3"/>
          </reference>
          <reference field="13" count="1" selected="0">
            <x v="218"/>
          </reference>
        </references>
      </pivotArea>
    </format>
    <format dxfId="1577">
      <pivotArea dataOnly="0" labelOnly="1" outline="0" fieldPosition="0">
        <references count="4">
          <reference field="5" count="1">
            <x v="108"/>
          </reference>
          <reference field="8" count="1" selected="0">
            <x v="477"/>
          </reference>
          <reference field="11" count="1" selected="0">
            <x v="3"/>
          </reference>
          <reference field="13" count="1" selected="0">
            <x v="242"/>
          </reference>
        </references>
      </pivotArea>
    </format>
    <format dxfId="1576">
      <pivotArea dataOnly="0" labelOnly="1" outline="0" fieldPosition="0">
        <references count="4">
          <reference field="5" count="1">
            <x v="117"/>
          </reference>
          <reference field="8" count="1" selected="0">
            <x v="477"/>
          </reference>
          <reference field="11" count="1" selected="0">
            <x v="3"/>
          </reference>
          <reference field="13" count="1" selected="0">
            <x v="314"/>
          </reference>
        </references>
      </pivotArea>
    </format>
    <format dxfId="1575">
      <pivotArea dataOnly="0" labelOnly="1" outline="0" fieldPosition="0">
        <references count="4">
          <reference field="5" count="1">
            <x v="79"/>
          </reference>
          <reference field="8" count="1" selected="0">
            <x v="478"/>
          </reference>
          <reference field="11" count="1" selected="0">
            <x v="3"/>
          </reference>
          <reference field="13" count="1" selected="0">
            <x v="78"/>
          </reference>
        </references>
      </pivotArea>
    </format>
    <format dxfId="1574">
      <pivotArea dataOnly="0" labelOnly="1" outline="0" fieldPosition="0">
        <references count="4">
          <reference field="5" count="1">
            <x v="79"/>
          </reference>
          <reference field="8" count="1" selected="0">
            <x v="478"/>
          </reference>
          <reference field="11" count="1" selected="0">
            <x v="4"/>
          </reference>
          <reference field="13" count="1" selected="0">
            <x v="158"/>
          </reference>
        </references>
      </pivotArea>
    </format>
    <format dxfId="1573">
      <pivotArea dataOnly="0" labelOnly="1" outline="0" fieldPosition="0">
        <references count="4">
          <reference field="5" count="1">
            <x v="79"/>
          </reference>
          <reference field="8" count="1" selected="0">
            <x v="478"/>
          </reference>
          <reference field="11" count="1" selected="0">
            <x v="4"/>
          </reference>
          <reference field="13" count="1" selected="0">
            <x v="280"/>
          </reference>
        </references>
      </pivotArea>
    </format>
    <format dxfId="1572">
      <pivotArea dataOnly="0" labelOnly="1" outline="0" fieldPosition="0">
        <references count="4">
          <reference field="5" count="1">
            <x v="95"/>
          </reference>
          <reference field="8" count="1" selected="0">
            <x v="480"/>
          </reference>
          <reference field="11" count="1" selected="0">
            <x v="3"/>
          </reference>
          <reference field="13" count="1" selected="0">
            <x v="17"/>
          </reference>
        </references>
      </pivotArea>
    </format>
    <format dxfId="1571">
      <pivotArea dataOnly="0" labelOnly="1" outline="0" fieldPosition="0">
        <references count="4">
          <reference field="5" count="3">
            <x v="95"/>
            <x v="116"/>
            <x v="117"/>
          </reference>
          <reference field="8" count="1" selected="0">
            <x v="480"/>
          </reference>
          <reference field="11" count="1" selected="0">
            <x v="3"/>
          </reference>
          <reference field="13" count="1" selected="0">
            <x v="29"/>
          </reference>
        </references>
      </pivotArea>
    </format>
    <format dxfId="1570">
      <pivotArea dataOnly="0" labelOnly="1" outline="0" fieldPosition="0">
        <references count="4">
          <reference field="5" count="1">
            <x v="2"/>
          </reference>
          <reference field="8" count="1" selected="0">
            <x v="480"/>
          </reference>
          <reference field="11" count="1" selected="0">
            <x v="3"/>
          </reference>
          <reference field="13" count="1" selected="0">
            <x v="32"/>
          </reference>
        </references>
      </pivotArea>
    </format>
    <format dxfId="1569">
      <pivotArea dataOnly="0" labelOnly="1" outline="0" fieldPosition="0">
        <references count="4">
          <reference field="5" count="1">
            <x v="95"/>
          </reference>
          <reference field="8" count="1" selected="0">
            <x v="480"/>
          </reference>
          <reference field="11" count="1" selected="0">
            <x v="3"/>
          </reference>
          <reference field="13" count="1" selected="0">
            <x v="69"/>
          </reference>
        </references>
      </pivotArea>
    </format>
    <format dxfId="1568">
      <pivotArea dataOnly="0" labelOnly="1" outline="0" fieldPosition="0">
        <references count="4">
          <reference field="5" count="1">
            <x v="95"/>
          </reference>
          <reference field="8" count="1" selected="0">
            <x v="480"/>
          </reference>
          <reference field="11" count="1" selected="0">
            <x v="3"/>
          </reference>
          <reference field="13" count="1" selected="0">
            <x v="101"/>
          </reference>
        </references>
      </pivotArea>
    </format>
    <format dxfId="1567">
      <pivotArea dataOnly="0" labelOnly="1" outline="0" fieldPosition="0">
        <references count="4">
          <reference field="5" count="1">
            <x v="117"/>
          </reference>
          <reference field="8" count="1" selected="0">
            <x v="480"/>
          </reference>
          <reference field="11" count="1" selected="0">
            <x v="3"/>
          </reference>
          <reference field="13" count="1" selected="0">
            <x v="218"/>
          </reference>
        </references>
      </pivotArea>
    </format>
    <format dxfId="1566">
      <pivotArea dataOnly="0" labelOnly="1" outline="0" fieldPosition="0">
        <references count="4">
          <reference field="5" count="1">
            <x v="95"/>
          </reference>
          <reference field="8" count="1" selected="0">
            <x v="480"/>
          </reference>
          <reference field="11" count="1" selected="0">
            <x v="3"/>
          </reference>
          <reference field="13" count="1" selected="0">
            <x v="242"/>
          </reference>
        </references>
      </pivotArea>
    </format>
    <format dxfId="1565">
      <pivotArea dataOnly="0" labelOnly="1" outline="0" fieldPosition="0">
        <references count="4">
          <reference field="5" count="1">
            <x v="95"/>
          </reference>
          <reference field="8" count="1" selected="0">
            <x v="480"/>
          </reference>
          <reference field="11" count="1" selected="0">
            <x v="3"/>
          </reference>
          <reference field="13" count="1" selected="0">
            <x v="243"/>
          </reference>
        </references>
      </pivotArea>
    </format>
    <format dxfId="1564">
      <pivotArea dataOnly="0" labelOnly="1" outline="0" fieldPosition="0">
        <references count="4">
          <reference field="5" count="2">
            <x v="63"/>
            <x v="95"/>
          </reference>
          <reference field="8" count="1" selected="0">
            <x v="480"/>
          </reference>
          <reference field="11" count="1" selected="0">
            <x v="3"/>
          </reference>
          <reference field="13" count="1" selected="0">
            <x v="251"/>
          </reference>
        </references>
      </pivotArea>
    </format>
    <format dxfId="1563">
      <pivotArea dataOnly="0" labelOnly="1" outline="0" fieldPosition="0">
        <references count="4">
          <reference field="5" count="1">
            <x v="95"/>
          </reference>
          <reference field="8" count="1" selected="0">
            <x v="480"/>
          </reference>
          <reference field="11" count="1" selected="0">
            <x v="3"/>
          </reference>
          <reference field="13" count="1" selected="0">
            <x v="278"/>
          </reference>
        </references>
      </pivotArea>
    </format>
    <format dxfId="1562">
      <pivotArea dataOnly="0" labelOnly="1" outline="0" fieldPosition="0">
        <references count="4">
          <reference field="5" count="1">
            <x v="95"/>
          </reference>
          <reference field="8" count="1" selected="0">
            <x v="480"/>
          </reference>
          <reference field="11" count="1" selected="0">
            <x v="3"/>
          </reference>
          <reference field="13" count="1" selected="0">
            <x v="287"/>
          </reference>
        </references>
      </pivotArea>
    </format>
    <format dxfId="1561">
      <pivotArea dataOnly="0" labelOnly="1" outline="0" fieldPosition="0">
        <references count="4">
          <reference field="5" count="2">
            <x v="16"/>
            <x v="95"/>
          </reference>
          <reference field="8" count="1" selected="0">
            <x v="480"/>
          </reference>
          <reference field="11" count="1" selected="0">
            <x v="3"/>
          </reference>
          <reference field="13" count="1" selected="0">
            <x v="305"/>
          </reference>
        </references>
      </pivotArea>
    </format>
    <format dxfId="1560">
      <pivotArea dataOnly="0" labelOnly="1" outline="0" fieldPosition="0">
        <references count="4">
          <reference field="5" count="2">
            <x v="95"/>
            <x v="117"/>
          </reference>
          <reference field="8" count="1" selected="0">
            <x v="480"/>
          </reference>
          <reference field="11" count="1" selected="0">
            <x v="3"/>
          </reference>
          <reference field="13" count="1" selected="0">
            <x v="314"/>
          </reference>
        </references>
      </pivotArea>
    </format>
    <format dxfId="1559">
      <pivotArea dataOnly="0" labelOnly="1" outline="0" fieldPosition="0">
        <references count="4">
          <reference field="5" count="1">
            <x v="95"/>
          </reference>
          <reference field="8" count="1" selected="0">
            <x v="480"/>
          </reference>
          <reference field="11" count="1" selected="0">
            <x v="4"/>
          </reference>
          <reference field="13" count="1" selected="0">
            <x v="158"/>
          </reference>
        </references>
      </pivotArea>
    </format>
    <format dxfId="1558">
      <pivotArea dataOnly="0" labelOnly="1" outline="0" fieldPosition="0">
        <references count="4">
          <reference field="5" count="1">
            <x v="95"/>
          </reference>
          <reference field="8" count="1" selected="0">
            <x v="480"/>
          </reference>
          <reference field="11" count="1" selected="0">
            <x v="4"/>
          </reference>
          <reference field="13" count="1" selected="0">
            <x v="280"/>
          </reference>
        </references>
      </pivotArea>
    </format>
    <format dxfId="1557">
      <pivotArea dataOnly="0" labelOnly="1" outline="0" fieldPosition="0">
        <references count="4">
          <reference field="5" count="1">
            <x v="2"/>
          </reference>
          <reference field="8" count="1" selected="0">
            <x v="480"/>
          </reference>
          <reference field="11" count="1" selected="0">
            <x v="5"/>
          </reference>
          <reference field="13" count="1" selected="0">
            <x v="37"/>
          </reference>
        </references>
      </pivotArea>
    </format>
    <format dxfId="1556">
      <pivotArea dataOnly="0" labelOnly="1" outline="0" fieldPosition="0">
        <references count="4">
          <reference field="5" count="1">
            <x v="95"/>
          </reference>
          <reference field="8" count="1" selected="0">
            <x v="480"/>
          </reference>
          <reference field="11" count="1" selected="0">
            <x v="5"/>
          </reference>
          <reference field="13" count="1" selected="0">
            <x v="77"/>
          </reference>
        </references>
      </pivotArea>
    </format>
    <format dxfId="1555">
      <pivotArea dataOnly="0" labelOnly="1" outline="0" fieldPosition="0">
        <references count="4">
          <reference field="5" count="1">
            <x v="116"/>
          </reference>
          <reference field="8" count="1" selected="0">
            <x v="480"/>
          </reference>
          <reference field="11" count="1" selected="0">
            <x v="5"/>
          </reference>
          <reference field="13" count="1" selected="0">
            <x v="81"/>
          </reference>
        </references>
      </pivotArea>
    </format>
    <format dxfId="1554">
      <pivotArea dataOnly="0" labelOnly="1" outline="0" fieldPosition="0">
        <references count="4">
          <reference field="5" count="1">
            <x v="2"/>
          </reference>
          <reference field="8" count="1" selected="0">
            <x v="480"/>
          </reference>
          <reference field="11" count="1" selected="0">
            <x v="5"/>
          </reference>
          <reference field="13" count="1" selected="0">
            <x v="250"/>
          </reference>
        </references>
      </pivotArea>
    </format>
    <format dxfId="1553">
      <pivotArea dataOnly="0" labelOnly="1" outline="0" fieldPosition="0">
        <references count="4">
          <reference field="5" count="1">
            <x v="2"/>
          </reference>
          <reference field="8" count="1" selected="0">
            <x v="480"/>
          </reference>
          <reference field="11" count="1" selected="0">
            <x v="5"/>
          </reference>
          <reference field="13" count="1" selected="0">
            <x v="264"/>
          </reference>
        </references>
      </pivotArea>
    </format>
    <format dxfId="1552">
      <pivotArea dataOnly="0" labelOnly="1" outline="0" fieldPosition="0">
        <references count="4">
          <reference field="5" count="1">
            <x v="95"/>
          </reference>
          <reference field="8" count="1" selected="0">
            <x v="480"/>
          </reference>
          <reference field="11" count="1" selected="0">
            <x v="7"/>
          </reference>
          <reference field="13" count="1" selected="0">
            <x v="72"/>
          </reference>
        </references>
      </pivotArea>
    </format>
    <format dxfId="1551">
      <pivotArea dataOnly="0" labelOnly="1" outline="0" fieldPosition="0">
        <references count="4">
          <reference field="5" count="1">
            <x v="95"/>
          </reference>
          <reference field="8" count="1" selected="0">
            <x v="480"/>
          </reference>
          <reference field="11" count="1" selected="0">
            <x v="7"/>
          </reference>
          <reference field="13" count="1" selected="0">
            <x v="93"/>
          </reference>
        </references>
      </pivotArea>
    </format>
    <format dxfId="1550">
      <pivotArea dataOnly="0" labelOnly="1" outline="0" fieldPosition="0">
        <references count="4">
          <reference field="5" count="1">
            <x v="95"/>
          </reference>
          <reference field="8" count="1" selected="0">
            <x v="480"/>
          </reference>
          <reference field="11" count="1" selected="0">
            <x v="7"/>
          </reference>
          <reference field="13" count="1" selected="0">
            <x v="308"/>
          </reference>
        </references>
      </pivotArea>
    </format>
    <format dxfId="1549">
      <pivotArea dataOnly="0" labelOnly="1" outline="0" fieldPosition="0">
        <references count="4">
          <reference field="5" count="2">
            <x v="68"/>
            <x v="72"/>
          </reference>
          <reference field="8" count="1" selected="0">
            <x v="481"/>
          </reference>
          <reference field="11" count="1" selected="0">
            <x v="3"/>
          </reference>
          <reference field="13" count="1" selected="0">
            <x v="17"/>
          </reference>
        </references>
      </pivotArea>
    </format>
    <format dxfId="1548">
      <pivotArea dataOnly="0" labelOnly="1" outline="0" fieldPosition="0">
        <references count="4">
          <reference field="5" count="2">
            <x v="68"/>
            <x v="72"/>
          </reference>
          <reference field="8" count="1" selected="0">
            <x v="481"/>
          </reference>
          <reference field="11" count="1" selected="0">
            <x v="3"/>
          </reference>
          <reference field="13" count="1" selected="0">
            <x v="32"/>
          </reference>
        </references>
      </pivotArea>
    </format>
    <format dxfId="1547">
      <pivotArea dataOnly="0" labelOnly="1" outline="0" fieldPosition="0">
        <references count="4">
          <reference field="5" count="1">
            <x v="72"/>
          </reference>
          <reference field="8" count="1" selected="0">
            <x v="481"/>
          </reference>
          <reference field="11" count="1" selected="0">
            <x v="3"/>
          </reference>
          <reference field="13" count="1" selected="0">
            <x v="57"/>
          </reference>
        </references>
      </pivotArea>
    </format>
    <format dxfId="1546">
      <pivotArea dataOnly="0" labelOnly="1" outline="0" fieldPosition="0">
        <references count="4">
          <reference field="5" count="2">
            <x v="68"/>
            <x v="72"/>
          </reference>
          <reference field="8" count="1" selected="0">
            <x v="481"/>
          </reference>
          <reference field="11" count="1" selected="0">
            <x v="3"/>
          </reference>
          <reference field="13" count="1" selected="0">
            <x v="163"/>
          </reference>
        </references>
      </pivotArea>
    </format>
    <format dxfId="1545">
      <pivotArea dataOnly="0" labelOnly="1" outline="0" fieldPosition="0">
        <references count="4">
          <reference field="5" count="1">
            <x v="68"/>
          </reference>
          <reference field="8" count="1" selected="0">
            <x v="481"/>
          </reference>
          <reference field="11" count="1" selected="0">
            <x v="3"/>
          </reference>
          <reference field="13" count="1" selected="0">
            <x v="240"/>
          </reference>
        </references>
      </pivotArea>
    </format>
    <format dxfId="1544">
      <pivotArea dataOnly="0" labelOnly="1" outline="0" fieldPosition="0">
        <references count="4">
          <reference field="5" count="1">
            <x v="72"/>
          </reference>
          <reference field="8" count="1" selected="0">
            <x v="481"/>
          </reference>
          <reference field="11" count="1" selected="0">
            <x v="3"/>
          </reference>
          <reference field="13" count="1" selected="0">
            <x v="242"/>
          </reference>
        </references>
      </pivotArea>
    </format>
    <format dxfId="1543">
      <pivotArea dataOnly="0" labelOnly="1" outline="0" fieldPosition="0">
        <references count="4">
          <reference field="5" count="1">
            <x v="68"/>
          </reference>
          <reference field="8" count="1" selected="0">
            <x v="481"/>
          </reference>
          <reference field="11" count="1" selected="0">
            <x v="3"/>
          </reference>
          <reference field="13" count="1" selected="0">
            <x v="251"/>
          </reference>
        </references>
      </pivotArea>
    </format>
    <format dxfId="1542">
      <pivotArea dataOnly="0" labelOnly="1" outline="0" fieldPosition="0">
        <references count="4">
          <reference field="5" count="2">
            <x v="68"/>
            <x v="72"/>
          </reference>
          <reference field="8" count="1" selected="0">
            <x v="481"/>
          </reference>
          <reference field="11" count="1" selected="0">
            <x v="3"/>
          </reference>
          <reference field="13" count="1" selected="0">
            <x v="287"/>
          </reference>
        </references>
      </pivotArea>
    </format>
    <format dxfId="1541">
      <pivotArea dataOnly="0" labelOnly="1" outline="0" fieldPosition="0">
        <references count="4">
          <reference field="5" count="1">
            <x v="68"/>
          </reference>
          <reference field="8" count="1" selected="0">
            <x v="481"/>
          </reference>
          <reference field="11" count="1" selected="0">
            <x v="3"/>
          </reference>
          <reference field="13" count="1" selected="0">
            <x v="305"/>
          </reference>
        </references>
      </pivotArea>
    </format>
    <format dxfId="1540">
      <pivotArea dataOnly="0" labelOnly="1" outline="0" fieldPosition="0">
        <references count="4">
          <reference field="5" count="1">
            <x v="68"/>
          </reference>
          <reference field="8" count="1" selected="0">
            <x v="481"/>
          </reference>
          <reference field="11" count="1" selected="0">
            <x v="4"/>
          </reference>
          <reference field="13" count="1" selected="0">
            <x v="133"/>
          </reference>
        </references>
      </pivotArea>
    </format>
    <format dxfId="1539">
      <pivotArea dataOnly="0" labelOnly="1" outline="0" fieldPosition="0">
        <references count="4">
          <reference field="5" count="1">
            <x v="72"/>
          </reference>
          <reference field="8" count="1" selected="0">
            <x v="481"/>
          </reference>
          <reference field="11" count="1" selected="0">
            <x v="5"/>
          </reference>
          <reference field="13" count="1" selected="0">
            <x v="77"/>
          </reference>
        </references>
      </pivotArea>
    </format>
    <format dxfId="1538">
      <pivotArea dataOnly="0" labelOnly="1" outline="0" fieldPosition="0">
        <references count="4">
          <reference field="5" count="1">
            <x v="72"/>
          </reference>
          <reference field="8" count="1" selected="0">
            <x v="481"/>
          </reference>
          <reference field="11" count="1" selected="0">
            <x v="5"/>
          </reference>
          <reference field="13" count="1" selected="0">
            <x v="81"/>
          </reference>
        </references>
      </pivotArea>
    </format>
    <format dxfId="1537">
      <pivotArea dataOnly="0" labelOnly="1" outline="0" fieldPosition="0">
        <references count="4">
          <reference field="5" count="1">
            <x v="68"/>
          </reference>
          <reference field="8" count="1" selected="0">
            <x v="481"/>
          </reference>
          <reference field="11" count="1" selected="0">
            <x v="5"/>
          </reference>
          <reference field="13" count="1" selected="0">
            <x v="226"/>
          </reference>
        </references>
      </pivotArea>
    </format>
    <format dxfId="1536">
      <pivotArea dataOnly="0" labelOnly="1" outline="0" fieldPosition="0">
        <references count="4">
          <reference field="5" count="1">
            <x v="68"/>
          </reference>
          <reference field="8" count="1" selected="0">
            <x v="481"/>
          </reference>
          <reference field="11" count="1" selected="0">
            <x v="5"/>
          </reference>
          <reference field="13" count="1" selected="0">
            <x v="229"/>
          </reference>
        </references>
      </pivotArea>
    </format>
    <format dxfId="1535">
      <pivotArea dataOnly="0" labelOnly="1" outline="0" fieldPosition="0">
        <references count="4">
          <reference field="5" count="1">
            <x v="64"/>
          </reference>
          <reference field="8" count="1" selected="0">
            <x v="482"/>
          </reference>
          <reference field="11" count="1" selected="0">
            <x v="1"/>
          </reference>
          <reference field="13" count="1" selected="0">
            <x v="169"/>
          </reference>
        </references>
      </pivotArea>
    </format>
    <format dxfId="1534">
      <pivotArea dataOnly="0" labelOnly="1" outline="0" fieldPosition="0">
        <references count="4">
          <reference field="5" count="1">
            <x v="64"/>
          </reference>
          <reference field="8" count="1" selected="0">
            <x v="482"/>
          </reference>
          <reference field="11" count="1" selected="0">
            <x v="1"/>
          </reference>
          <reference field="13" count="1" selected="0">
            <x v="230"/>
          </reference>
        </references>
      </pivotArea>
    </format>
    <format dxfId="1533">
      <pivotArea dataOnly="0" labelOnly="1" outline="0" fieldPosition="0">
        <references count="4">
          <reference field="5" count="1">
            <x v="110"/>
          </reference>
          <reference field="8" count="1" selected="0">
            <x v="482"/>
          </reference>
          <reference field="11" count="1" selected="0">
            <x v="3"/>
          </reference>
          <reference field="13" count="1" selected="0">
            <x v="32"/>
          </reference>
        </references>
      </pivotArea>
    </format>
    <format dxfId="1532">
      <pivotArea dataOnly="0" labelOnly="1" outline="0" fieldPosition="0">
        <references count="4">
          <reference field="5" count="1">
            <x v="110"/>
          </reference>
          <reference field="8" count="1" selected="0">
            <x v="482"/>
          </reference>
          <reference field="11" count="1" selected="0">
            <x v="3"/>
          </reference>
          <reference field="13" count="1" selected="0">
            <x v="69"/>
          </reference>
        </references>
      </pivotArea>
    </format>
    <format dxfId="1531">
      <pivotArea dataOnly="0" labelOnly="1" outline="0" fieldPosition="0">
        <references count="4">
          <reference field="5" count="1">
            <x v="110"/>
          </reference>
          <reference field="8" count="1" selected="0">
            <x v="482"/>
          </reference>
          <reference field="11" count="1" selected="0">
            <x v="3"/>
          </reference>
          <reference field="13" count="1" selected="0">
            <x v="242"/>
          </reference>
        </references>
      </pivotArea>
    </format>
    <format dxfId="1530">
      <pivotArea dataOnly="0" labelOnly="1" outline="0" fieldPosition="0">
        <references count="4">
          <reference field="5" count="1">
            <x v="110"/>
          </reference>
          <reference field="8" count="1" selected="0">
            <x v="482"/>
          </reference>
          <reference field="11" count="1" selected="0">
            <x v="3"/>
          </reference>
          <reference field="13" count="1" selected="0">
            <x v="243"/>
          </reference>
        </references>
      </pivotArea>
    </format>
    <format dxfId="1529">
      <pivotArea dataOnly="0" labelOnly="1" outline="0" fieldPosition="0">
        <references count="4">
          <reference field="5" count="1">
            <x v="110"/>
          </reference>
          <reference field="8" count="1" selected="0">
            <x v="482"/>
          </reference>
          <reference field="11" count="1" selected="0">
            <x v="5"/>
          </reference>
          <reference field="13" count="1" selected="0">
            <x v="77"/>
          </reference>
        </references>
      </pivotArea>
    </format>
    <format dxfId="1528">
      <pivotArea dataOnly="0" labelOnly="1" outline="0" fieldPosition="0">
        <references count="4">
          <reference field="5" count="1">
            <x v="20"/>
          </reference>
          <reference field="8" count="1" selected="0">
            <x v="482"/>
          </reference>
          <reference field="11" count="1" selected="0">
            <x v="5"/>
          </reference>
          <reference field="13" count="1" selected="0">
            <x v="255"/>
          </reference>
        </references>
      </pivotArea>
    </format>
    <format dxfId="1527">
      <pivotArea dataOnly="0" labelOnly="1" outline="0" fieldPosition="0">
        <references count="4">
          <reference field="5" count="1">
            <x v="64"/>
          </reference>
          <reference field="8" count="1" selected="0">
            <x v="482"/>
          </reference>
          <reference field="11" count="1" selected="0">
            <x v="7"/>
          </reference>
          <reference field="13" count="1" selected="0">
            <x v="129"/>
          </reference>
        </references>
      </pivotArea>
    </format>
    <format dxfId="1526">
      <pivotArea dataOnly="0" labelOnly="1" outline="0" fieldPosition="0">
        <references count="4">
          <reference field="5" count="1">
            <x v="60"/>
          </reference>
          <reference field="8" count="1" selected="0">
            <x v="483"/>
          </reference>
          <reference field="11" count="1" selected="0">
            <x v="1"/>
          </reference>
          <reference field="13" count="1" selected="0">
            <x v="286"/>
          </reference>
        </references>
      </pivotArea>
    </format>
    <format dxfId="1525">
      <pivotArea dataOnly="0" labelOnly="1" outline="0" fieldPosition="0">
        <references count="4">
          <reference field="5" count="1">
            <x v="111"/>
          </reference>
          <reference field="8" count="1" selected="0">
            <x v="484"/>
          </reference>
          <reference field="11" count="1" selected="0">
            <x v="1"/>
          </reference>
          <reference field="13" count="1" selected="0">
            <x v="9"/>
          </reference>
        </references>
      </pivotArea>
    </format>
    <format dxfId="1524">
      <pivotArea dataOnly="0" labelOnly="1" outline="0" fieldPosition="0">
        <references count="4">
          <reference field="5" count="1">
            <x v="111"/>
          </reference>
          <reference field="8" count="1" selected="0">
            <x v="484"/>
          </reference>
          <reference field="11" count="1" selected="0">
            <x v="3"/>
          </reference>
          <reference field="13" count="1" selected="0">
            <x v="17"/>
          </reference>
        </references>
      </pivotArea>
    </format>
    <format dxfId="1523">
      <pivotArea dataOnly="0" labelOnly="1" outline="0" fieldPosition="0">
        <references count="4">
          <reference field="5" count="2">
            <x v="116"/>
            <x v="117"/>
          </reference>
          <reference field="8" count="1" selected="0">
            <x v="484"/>
          </reference>
          <reference field="11" count="1" selected="0">
            <x v="3"/>
          </reference>
          <reference field="13" count="1" selected="0">
            <x v="29"/>
          </reference>
        </references>
      </pivotArea>
    </format>
    <format dxfId="1522">
      <pivotArea dataOnly="0" labelOnly="1" outline="0" fieldPosition="0">
        <references count="4">
          <reference field="5" count="1">
            <x v="117"/>
          </reference>
          <reference field="8" count="1" selected="0">
            <x v="484"/>
          </reference>
          <reference field="11" count="1" selected="0">
            <x v="3"/>
          </reference>
          <reference field="13" count="1" selected="0">
            <x v="218"/>
          </reference>
        </references>
      </pivotArea>
    </format>
    <format dxfId="1521">
      <pivotArea dataOnly="0" labelOnly="1" outline="0" fieldPosition="0">
        <references count="4">
          <reference field="5" count="1">
            <x v="111"/>
          </reference>
          <reference field="8" count="1" selected="0">
            <x v="484"/>
          </reference>
          <reference field="11" count="1" selected="0">
            <x v="3"/>
          </reference>
          <reference field="13" count="1" selected="0">
            <x v="240"/>
          </reference>
        </references>
      </pivotArea>
    </format>
    <format dxfId="1520">
      <pivotArea dataOnly="0" labelOnly="1" outline="0" fieldPosition="0">
        <references count="4">
          <reference field="5" count="1">
            <x v="111"/>
          </reference>
          <reference field="8" count="1" selected="0">
            <x v="484"/>
          </reference>
          <reference field="11" count="1" selected="0">
            <x v="3"/>
          </reference>
          <reference field="13" count="1" selected="0">
            <x v="242"/>
          </reference>
        </references>
      </pivotArea>
    </format>
    <format dxfId="1519">
      <pivotArea dataOnly="0" labelOnly="1" outline="0" fieldPosition="0">
        <references count="4">
          <reference field="5" count="1">
            <x v="111"/>
          </reference>
          <reference field="8" count="1" selected="0">
            <x v="484"/>
          </reference>
          <reference field="11" count="1" selected="0">
            <x v="3"/>
          </reference>
          <reference field="13" count="1" selected="0">
            <x v="243"/>
          </reference>
        </references>
      </pivotArea>
    </format>
    <format dxfId="1518">
      <pivotArea dataOnly="0" labelOnly="1" outline="0" fieldPosition="0">
        <references count="4">
          <reference field="5" count="1">
            <x v="111"/>
          </reference>
          <reference field="8" count="1" selected="0">
            <x v="484"/>
          </reference>
          <reference field="11" count="1" selected="0">
            <x v="3"/>
          </reference>
          <reference field="13" count="1" selected="0">
            <x v="287"/>
          </reference>
        </references>
      </pivotArea>
    </format>
    <format dxfId="1517">
      <pivotArea dataOnly="0" labelOnly="1" outline="0" fieldPosition="0">
        <references count="4">
          <reference field="5" count="1">
            <x v="111"/>
          </reference>
          <reference field="8" count="1" selected="0">
            <x v="484"/>
          </reference>
          <reference field="11" count="1" selected="0">
            <x v="3"/>
          </reference>
          <reference field="13" count="1" selected="0">
            <x v="305"/>
          </reference>
        </references>
      </pivotArea>
    </format>
    <format dxfId="1516">
      <pivotArea dataOnly="0" labelOnly="1" outline="0" fieldPosition="0">
        <references count="4">
          <reference field="5" count="1">
            <x v="117"/>
          </reference>
          <reference field="8" count="1" selected="0">
            <x v="484"/>
          </reference>
          <reference field="11" count="1" selected="0">
            <x v="3"/>
          </reference>
          <reference field="13" count="1" selected="0">
            <x v="314"/>
          </reference>
        </references>
      </pivotArea>
    </format>
    <format dxfId="1515">
      <pivotArea dataOnly="0" labelOnly="1" outline="0" fieldPosition="0">
        <references count="4">
          <reference field="5" count="1">
            <x v="111"/>
          </reference>
          <reference field="8" count="1" selected="0">
            <x v="484"/>
          </reference>
          <reference field="11" count="1" selected="0">
            <x v="5"/>
          </reference>
          <reference field="13" count="1" selected="0">
            <x v="77"/>
          </reference>
        </references>
      </pivotArea>
    </format>
    <format dxfId="1514">
      <pivotArea dataOnly="0" labelOnly="1" outline="0" fieldPosition="0">
        <references count="4">
          <reference field="5" count="2">
            <x v="20"/>
            <x v="111"/>
          </reference>
          <reference field="8" count="1" selected="0">
            <x v="484"/>
          </reference>
          <reference field="11" count="1" selected="0">
            <x v="5"/>
          </reference>
          <reference field="13" count="1" selected="0">
            <x v="81"/>
          </reference>
        </references>
      </pivotArea>
    </format>
    <format dxfId="1513">
      <pivotArea dataOnly="0" labelOnly="1" outline="0" fieldPosition="0">
        <references count="4">
          <reference field="5" count="1">
            <x v="89"/>
          </reference>
          <reference field="8" count="1" selected="0">
            <x v="485"/>
          </reference>
          <reference field="11" count="1" selected="0">
            <x v="2"/>
          </reference>
          <reference field="13" count="1" selected="0">
            <x v="153"/>
          </reference>
        </references>
      </pivotArea>
    </format>
    <format dxfId="1512">
      <pivotArea dataOnly="0" labelOnly="1" outline="0" fieldPosition="0">
        <references count="4">
          <reference field="5" count="1">
            <x v="114"/>
          </reference>
          <reference field="8" count="1" selected="0">
            <x v="485"/>
          </reference>
          <reference field="11" count="1" selected="0">
            <x v="2"/>
          </reference>
          <reference field="13" count="1" selected="0">
            <x v="238"/>
          </reference>
        </references>
      </pivotArea>
    </format>
    <format dxfId="1511">
      <pivotArea dataOnly="0" labelOnly="1" outline="0" fieldPosition="0">
        <references count="4">
          <reference field="5" count="1">
            <x v="91"/>
          </reference>
          <reference field="8" count="1" selected="0">
            <x v="485"/>
          </reference>
          <reference field="11" count="1" selected="0">
            <x v="2"/>
          </reference>
          <reference field="13" count="1" selected="0">
            <x v="285"/>
          </reference>
        </references>
      </pivotArea>
    </format>
    <format dxfId="1510">
      <pivotArea dataOnly="0" labelOnly="1" outline="0" fieldPosition="0">
        <references count="4">
          <reference field="5" count="3">
            <x v="88"/>
            <x v="89"/>
            <x v="114"/>
          </reference>
          <reference field="8" count="1" selected="0">
            <x v="485"/>
          </reference>
          <reference field="11" count="1" selected="0">
            <x v="3"/>
          </reference>
          <reference field="13" count="1" selected="0">
            <x v="4"/>
          </reference>
        </references>
      </pivotArea>
    </format>
    <format dxfId="1509">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7"/>
          </reference>
        </references>
      </pivotArea>
    </format>
    <format dxfId="1508">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17"/>
          </reference>
        </references>
      </pivotArea>
    </format>
    <format dxfId="1507">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32"/>
          </reference>
        </references>
      </pivotArea>
    </format>
    <format dxfId="1506">
      <pivotArea dataOnly="0" labelOnly="1" outline="0" fieldPosition="0">
        <references count="4">
          <reference field="5" count="1">
            <x v="114"/>
          </reference>
          <reference field="8" count="1" selected="0">
            <x v="485"/>
          </reference>
          <reference field="11" count="1" selected="0">
            <x v="3"/>
          </reference>
          <reference field="13" count="1" selected="0">
            <x v="36"/>
          </reference>
        </references>
      </pivotArea>
    </format>
    <format dxfId="1505">
      <pivotArea dataOnly="0" labelOnly="1" outline="0" fieldPosition="0">
        <references count="4">
          <reference field="5" count="2">
            <x v="86"/>
            <x v="87"/>
          </reference>
          <reference field="8" count="1" selected="0">
            <x v="485"/>
          </reference>
          <reference field="11" count="1" selected="0">
            <x v="3"/>
          </reference>
          <reference field="13" count="1" selected="0">
            <x v="47"/>
          </reference>
        </references>
      </pivotArea>
    </format>
    <format dxfId="1504">
      <pivotArea dataOnly="0" labelOnly="1" outline="0" fieldPosition="0">
        <references count="4">
          <reference field="5" count="1">
            <x v="86"/>
          </reference>
          <reference field="8" count="1" selected="0">
            <x v="485"/>
          </reference>
          <reference field="11" count="1" selected="0">
            <x v="3"/>
          </reference>
          <reference field="13" count="1" selected="0">
            <x v="49"/>
          </reference>
        </references>
      </pivotArea>
    </format>
    <format dxfId="1503">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57"/>
          </reference>
        </references>
      </pivotArea>
    </format>
    <format dxfId="1502">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69"/>
          </reference>
        </references>
      </pivotArea>
    </format>
    <format dxfId="1501">
      <pivotArea dataOnly="0" labelOnly="1" outline="0" fieldPosition="0">
        <references count="4">
          <reference field="5" count="1">
            <x v="114"/>
          </reference>
          <reference field="8" count="1" selected="0">
            <x v="485"/>
          </reference>
          <reference field="11" count="1" selected="0">
            <x v="3"/>
          </reference>
          <reference field="13" count="1" selected="0">
            <x v="78"/>
          </reference>
        </references>
      </pivotArea>
    </format>
    <format dxfId="1500">
      <pivotArea dataOnly="0" labelOnly="1" outline="0" fieldPosition="0">
        <references count="4">
          <reference field="5" count="1">
            <x v="85"/>
          </reference>
          <reference field="8" count="1" selected="0">
            <x v="485"/>
          </reference>
          <reference field="11" count="1" selected="0">
            <x v="3"/>
          </reference>
          <reference field="13" count="1" selected="0">
            <x v="83"/>
          </reference>
        </references>
      </pivotArea>
    </format>
    <format dxfId="1499">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89"/>
          </reference>
        </references>
      </pivotArea>
    </format>
    <format dxfId="1498">
      <pivotArea dataOnly="0" labelOnly="1" outline="0" fieldPosition="0">
        <references count="4">
          <reference field="5" count="2">
            <x v="86"/>
            <x v="88"/>
          </reference>
          <reference field="8" count="1" selected="0">
            <x v="485"/>
          </reference>
          <reference field="11" count="1" selected="0">
            <x v="3"/>
          </reference>
          <reference field="13" count="1" selected="0">
            <x v="101"/>
          </reference>
        </references>
      </pivotArea>
    </format>
    <format dxfId="1497">
      <pivotArea dataOnly="0" labelOnly="1" outline="0" fieldPosition="0">
        <references count="4">
          <reference field="5" count="6">
            <x v="85"/>
            <x v="86"/>
            <x v="87"/>
            <x v="88"/>
            <x v="89"/>
            <x v="114"/>
          </reference>
          <reference field="8" count="1" selected="0">
            <x v="485"/>
          </reference>
          <reference field="11" count="1" selected="0">
            <x v="3"/>
          </reference>
          <reference field="13" count="1" selected="0">
            <x v="105"/>
          </reference>
        </references>
      </pivotArea>
    </format>
    <format dxfId="1496">
      <pivotArea dataOnly="0" labelOnly="1" outline="0" fieldPosition="0">
        <references count="4">
          <reference field="5" count="5">
            <x v="85"/>
            <x v="88"/>
            <x v="89"/>
            <x v="91"/>
            <x v="114"/>
          </reference>
          <reference field="8" count="1" selected="0">
            <x v="485"/>
          </reference>
          <reference field="11" count="1" selected="0">
            <x v="3"/>
          </reference>
          <reference field="13" count="1" selected="0">
            <x v="110"/>
          </reference>
        </references>
      </pivotArea>
    </format>
    <format dxfId="1495">
      <pivotArea dataOnly="0" labelOnly="1" outline="0" fieldPosition="0">
        <references count="4">
          <reference field="5" count="2">
            <x v="87"/>
            <x v="88"/>
          </reference>
          <reference field="8" count="1" selected="0">
            <x v="485"/>
          </reference>
          <reference field="11" count="1" selected="0">
            <x v="3"/>
          </reference>
          <reference field="13" count="1" selected="0">
            <x v="131"/>
          </reference>
        </references>
      </pivotArea>
    </format>
    <format dxfId="1494">
      <pivotArea dataOnly="0" labelOnly="1" outline="0" fieldPosition="0">
        <references count="4">
          <reference field="5" count="6">
            <x v="85"/>
            <x v="86"/>
            <x v="88"/>
            <x v="89"/>
            <x v="91"/>
            <x v="114"/>
          </reference>
          <reference field="8" count="1" selected="0">
            <x v="485"/>
          </reference>
          <reference field="11" count="1" selected="0">
            <x v="3"/>
          </reference>
          <reference field="13" count="1" selected="0">
            <x v="163"/>
          </reference>
        </references>
      </pivotArea>
    </format>
    <format dxfId="1493">
      <pivotArea dataOnly="0" labelOnly="1" outline="0" fieldPosition="0">
        <references count="4">
          <reference field="5" count="1">
            <x v="86"/>
          </reference>
          <reference field="8" count="1" selected="0">
            <x v="485"/>
          </reference>
          <reference field="11" count="1" selected="0">
            <x v="3"/>
          </reference>
          <reference field="13" count="1" selected="0">
            <x v="218"/>
          </reference>
        </references>
      </pivotArea>
    </format>
    <format dxfId="1492">
      <pivotArea dataOnly="0" labelOnly="1" outline="0" fieldPosition="0">
        <references count="4">
          <reference field="5" count="2">
            <x v="88"/>
            <x v="114"/>
          </reference>
          <reference field="8" count="1" selected="0">
            <x v="485"/>
          </reference>
          <reference field="11" count="1" selected="0">
            <x v="3"/>
          </reference>
          <reference field="13" count="1" selected="0">
            <x v="240"/>
          </reference>
        </references>
      </pivotArea>
    </format>
    <format dxfId="1491">
      <pivotArea dataOnly="0" labelOnly="1" outline="0" fieldPosition="0">
        <references count="4">
          <reference field="5" count="1">
            <x v="114"/>
          </reference>
          <reference field="8" count="1" selected="0">
            <x v="485"/>
          </reference>
          <reference field="11" count="1" selected="0">
            <x v="3"/>
          </reference>
          <reference field="13" count="1" selected="0">
            <x v="242"/>
          </reference>
        </references>
      </pivotArea>
    </format>
    <format dxfId="1490">
      <pivotArea dataOnly="0" labelOnly="1" outline="0" fieldPosition="0">
        <references count="4">
          <reference field="5" count="1">
            <x v="114"/>
          </reference>
          <reference field="8" count="1" selected="0">
            <x v="485"/>
          </reference>
          <reference field="11" count="1" selected="0">
            <x v="3"/>
          </reference>
          <reference field="13" count="1" selected="0">
            <x v="243"/>
          </reference>
        </references>
      </pivotArea>
    </format>
    <format dxfId="1489">
      <pivotArea dataOnly="0" labelOnly="1" outline="0" fieldPosition="0">
        <references count="4">
          <reference field="5" count="1">
            <x v="88"/>
          </reference>
          <reference field="8" count="1" selected="0">
            <x v="485"/>
          </reference>
          <reference field="11" count="1" selected="0">
            <x v="3"/>
          </reference>
          <reference field="13" count="1" selected="0">
            <x v="248"/>
          </reference>
        </references>
      </pivotArea>
    </format>
    <format dxfId="1488">
      <pivotArea dataOnly="0" labelOnly="1" outline="0" fieldPosition="0">
        <references count="4">
          <reference field="5" count="6">
            <x v="86"/>
            <x v="87"/>
            <x v="88"/>
            <x v="89"/>
            <x v="91"/>
            <x v="114"/>
          </reference>
          <reference field="8" count="1" selected="0">
            <x v="485"/>
          </reference>
          <reference field="11" count="1" selected="0">
            <x v="3"/>
          </reference>
          <reference field="13" count="1" selected="0">
            <x v="251"/>
          </reference>
        </references>
      </pivotArea>
    </format>
    <format dxfId="1487">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287"/>
          </reference>
        </references>
      </pivotArea>
    </format>
    <format dxfId="1486">
      <pivotArea dataOnly="0" labelOnly="1" outline="0" fieldPosition="0">
        <references count="4">
          <reference field="5" count="7">
            <x v="85"/>
            <x v="86"/>
            <x v="87"/>
            <x v="88"/>
            <x v="89"/>
            <x v="91"/>
            <x v="114"/>
          </reference>
          <reference field="8" count="1" selected="0">
            <x v="485"/>
          </reference>
          <reference field="11" count="1" selected="0">
            <x v="3"/>
          </reference>
          <reference field="13" count="1" selected="0">
            <x v="305"/>
          </reference>
        </references>
      </pivotArea>
    </format>
    <format dxfId="1485">
      <pivotArea dataOnly="0" labelOnly="1" outline="0" fieldPosition="0">
        <references count="4">
          <reference field="5" count="2">
            <x v="89"/>
            <x v="114"/>
          </reference>
          <reference field="8" count="1" selected="0">
            <x v="485"/>
          </reference>
          <reference field="11" count="1" selected="0">
            <x v="3"/>
          </reference>
          <reference field="13" count="1" selected="0">
            <x v="314"/>
          </reference>
        </references>
      </pivotArea>
    </format>
    <format dxfId="1484">
      <pivotArea dataOnly="0" labelOnly="1" outline="0" fieldPosition="0">
        <references count="4">
          <reference field="5" count="2">
            <x v="85"/>
            <x v="86"/>
          </reference>
          <reference field="8" count="1" selected="0">
            <x v="485"/>
          </reference>
          <reference field="11" count="1" selected="0">
            <x v="3"/>
          </reference>
          <reference field="13" count="1" selected="0">
            <x v="316"/>
          </reference>
        </references>
      </pivotArea>
    </format>
    <format dxfId="1483">
      <pivotArea dataOnly="0" labelOnly="1" outline="0" fieldPosition="0">
        <references count="4">
          <reference field="5" count="7">
            <x v="85"/>
            <x v="86"/>
            <x v="87"/>
            <x v="88"/>
            <x v="89"/>
            <x v="91"/>
            <x v="114"/>
          </reference>
          <reference field="8" count="1" selected="0">
            <x v="485"/>
          </reference>
          <reference field="11" count="1" selected="0">
            <x v="4"/>
          </reference>
          <reference field="13" count="1" selected="0">
            <x v="133"/>
          </reference>
        </references>
      </pivotArea>
    </format>
    <format dxfId="1482">
      <pivotArea dataOnly="0" labelOnly="1" outline="0" fieldPosition="0">
        <references count="4">
          <reference field="5" count="1">
            <x v="88"/>
          </reference>
          <reference field="8" count="1" selected="0">
            <x v="485"/>
          </reference>
          <reference field="11" count="1" selected="0">
            <x v="4"/>
          </reference>
          <reference field="13" count="1" selected="0">
            <x v="150"/>
          </reference>
        </references>
      </pivotArea>
    </format>
    <format dxfId="1481">
      <pivotArea dataOnly="0" labelOnly="1" outline="0" fieldPosition="0">
        <references count="4">
          <reference field="5" count="7">
            <x v="85"/>
            <x v="86"/>
            <x v="87"/>
            <x v="88"/>
            <x v="89"/>
            <x v="91"/>
            <x v="114"/>
          </reference>
          <reference field="8" count="1" selected="0">
            <x v="485"/>
          </reference>
          <reference field="11" count="1" selected="0">
            <x v="5"/>
          </reference>
          <reference field="13" count="1" selected="0">
            <x v="77"/>
          </reference>
        </references>
      </pivotArea>
    </format>
    <format dxfId="1480">
      <pivotArea dataOnly="0" labelOnly="1" outline="0" fieldPosition="0">
        <references count="4">
          <reference field="5" count="7">
            <x v="85"/>
            <x v="86"/>
            <x v="87"/>
            <x v="88"/>
            <x v="89"/>
            <x v="91"/>
            <x v="114"/>
          </reference>
          <reference field="8" count="1" selected="0">
            <x v="485"/>
          </reference>
          <reference field="11" count="1" selected="0">
            <x v="5"/>
          </reference>
          <reference field="13" count="1" selected="0">
            <x v="81"/>
          </reference>
        </references>
      </pivotArea>
    </format>
    <format dxfId="1479">
      <pivotArea dataOnly="0" labelOnly="1" outline="0" fieldPosition="0">
        <references count="4">
          <reference field="5" count="4">
            <x v="87"/>
            <x v="88"/>
            <x v="89"/>
            <x v="91"/>
          </reference>
          <reference field="8" count="1" selected="0">
            <x v="485"/>
          </reference>
          <reference field="11" count="1" selected="0">
            <x v="5"/>
          </reference>
          <reference field="13" count="1" selected="0">
            <x v="255"/>
          </reference>
        </references>
      </pivotArea>
    </format>
    <format dxfId="1478">
      <pivotArea dataOnly="0" labelOnly="1" outline="0" fieldPosition="0">
        <references count="4">
          <reference field="5" count="1">
            <x v="86"/>
          </reference>
          <reference field="8" count="1" selected="0">
            <x v="485"/>
          </reference>
          <reference field="11" count="1" selected="0">
            <x v="6"/>
          </reference>
          <reference field="13" count="1" selected="0">
            <x v="191"/>
          </reference>
        </references>
      </pivotArea>
    </format>
    <format dxfId="1477">
      <pivotArea dataOnly="0" labelOnly="1" outline="0" fieldPosition="0">
        <references count="4">
          <reference field="5" count="1">
            <x v="114"/>
          </reference>
          <reference field="8" count="1" selected="0">
            <x v="485"/>
          </reference>
          <reference field="11" count="1" selected="0">
            <x v="7"/>
          </reference>
          <reference field="13" count="1" selected="0">
            <x v="8"/>
          </reference>
        </references>
      </pivotArea>
    </format>
    <format dxfId="1476">
      <pivotArea dataOnly="0" labelOnly="1" outline="0" fieldPosition="0">
        <references count="4">
          <reference field="5" count="3">
            <x v="86"/>
            <x v="89"/>
            <x v="114"/>
          </reference>
          <reference field="8" count="1" selected="0">
            <x v="485"/>
          </reference>
          <reference field="11" count="1" selected="0">
            <x v="7"/>
          </reference>
          <reference field="13" count="1" selected="0">
            <x v="72"/>
          </reference>
        </references>
      </pivotArea>
    </format>
    <format dxfId="1475">
      <pivotArea dataOnly="0" labelOnly="1" outline="0" fieldPosition="0">
        <references count="4">
          <reference field="5" count="1">
            <x v="114"/>
          </reference>
          <reference field="8" count="1" selected="0">
            <x v="485"/>
          </reference>
          <reference field="11" count="1" selected="0">
            <x v="7"/>
          </reference>
          <reference field="13" count="1" selected="0">
            <x v="93"/>
          </reference>
        </references>
      </pivotArea>
    </format>
    <format dxfId="1474">
      <pivotArea dataOnly="0" labelOnly="1" outline="0" fieldPosition="0">
        <references count="4">
          <reference field="5" count="1">
            <x v="114"/>
          </reference>
          <reference field="8" count="1" selected="0">
            <x v="485"/>
          </reference>
          <reference field="11" count="1" selected="0">
            <x v="7"/>
          </reference>
          <reference field="13" count="1" selected="0">
            <x v="129"/>
          </reference>
        </references>
      </pivotArea>
    </format>
    <format dxfId="1473">
      <pivotArea dataOnly="0" labelOnly="1" outline="0" fieldPosition="0">
        <references count="4">
          <reference field="5" count="1">
            <x v="26"/>
          </reference>
          <reference field="8" count="1" selected="0">
            <x v="486"/>
          </reference>
          <reference field="11" count="1" selected="0">
            <x v="3"/>
          </reference>
          <reference field="13" count="1" selected="0">
            <x v="4"/>
          </reference>
        </references>
      </pivotArea>
    </format>
    <format dxfId="1472">
      <pivotArea dataOnly="0" labelOnly="1" outline="0" fieldPosition="0">
        <references count="4">
          <reference field="5" count="1">
            <x v="26"/>
          </reference>
          <reference field="8" count="1" selected="0">
            <x v="486"/>
          </reference>
          <reference field="11" count="1" selected="0">
            <x v="3"/>
          </reference>
          <reference field="13" count="1" selected="0">
            <x v="218"/>
          </reference>
        </references>
      </pivotArea>
    </format>
    <format dxfId="1471">
      <pivotArea dataOnly="0" labelOnly="1" outline="0" fieldPosition="0">
        <references count="4">
          <reference field="5" count="1">
            <x v="26"/>
          </reference>
          <reference field="8" count="1" selected="0">
            <x v="486"/>
          </reference>
          <reference field="11" count="1" selected="0">
            <x v="3"/>
          </reference>
          <reference field="13" count="1" selected="0">
            <x v="287"/>
          </reference>
        </references>
      </pivotArea>
    </format>
    <format dxfId="1470">
      <pivotArea dataOnly="0" labelOnly="1" outline="0" fieldPosition="0">
        <references count="4">
          <reference field="5" count="1">
            <x v="26"/>
          </reference>
          <reference field="8" count="1" selected="0">
            <x v="486"/>
          </reference>
          <reference field="11" count="1" selected="0">
            <x v="3"/>
          </reference>
          <reference field="13" count="1" selected="0">
            <x v="314"/>
          </reference>
        </references>
      </pivotArea>
    </format>
    <format dxfId="1469">
      <pivotArea dataOnly="0" labelOnly="1" outline="0" fieldPosition="0">
        <references count="4">
          <reference field="5" count="1">
            <x v="26"/>
          </reference>
          <reference field="8" count="1" selected="0">
            <x v="486"/>
          </reference>
          <reference field="11" count="1" selected="0">
            <x v="6"/>
          </reference>
          <reference field="13" count="1" selected="0">
            <x v="295"/>
          </reference>
        </references>
      </pivotArea>
    </format>
    <format dxfId="1468">
      <pivotArea dataOnly="0" labelOnly="1" outline="0" fieldPosition="0">
        <references count="4">
          <reference field="5" count="3">
            <x v="88"/>
            <x v="91"/>
            <x v="114"/>
          </reference>
          <reference field="8" count="1" selected="0">
            <x v="487"/>
          </reference>
          <reference field="11" count="1" selected="0">
            <x v="3"/>
          </reference>
          <reference field="13" count="1" selected="0">
            <x v="7"/>
          </reference>
        </references>
      </pivotArea>
    </format>
    <format dxfId="1467">
      <pivotArea dataOnly="0" labelOnly="1" outline="0" fieldPosition="0">
        <references count="4">
          <reference field="5" count="3">
            <x v="89"/>
            <x v="91"/>
            <x v="114"/>
          </reference>
          <reference field="8" count="1" selected="0">
            <x v="487"/>
          </reference>
          <reference field="11" count="1" selected="0">
            <x v="3"/>
          </reference>
          <reference field="13" count="1" selected="0">
            <x v="17"/>
          </reference>
        </references>
      </pivotArea>
    </format>
    <format dxfId="1466">
      <pivotArea dataOnly="0" labelOnly="1" outline="0" fieldPosition="0">
        <references count="4">
          <reference field="5" count="5">
            <x v="87"/>
            <x v="88"/>
            <x v="89"/>
            <x v="91"/>
            <x v="114"/>
          </reference>
          <reference field="8" count="1" selected="0">
            <x v="487"/>
          </reference>
          <reference field="11" count="1" selected="0">
            <x v="3"/>
          </reference>
          <reference field="13" count="1" selected="0">
            <x v="32"/>
          </reference>
        </references>
      </pivotArea>
    </format>
    <format dxfId="1465">
      <pivotArea dataOnly="0" labelOnly="1" outline="0" fieldPosition="0">
        <references count="4">
          <reference field="5" count="1">
            <x v="87"/>
          </reference>
          <reference field="8" count="1" selected="0">
            <x v="487"/>
          </reference>
          <reference field="11" count="1" selected="0">
            <x v="3"/>
          </reference>
          <reference field="13" count="1" selected="0">
            <x v="47"/>
          </reference>
        </references>
      </pivotArea>
    </format>
    <format dxfId="1464">
      <pivotArea dataOnly="0" labelOnly="1" outline="0" fieldPosition="0">
        <references count="4">
          <reference field="5" count="2">
            <x v="88"/>
            <x v="114"/>
          </reference>
          <reference field="8" count="1" selected="0">
            <x v="487"/>
          </reference>
          <reference field="11" count="1" selected="0">
            <x v="3"/>
          </reference>
          <reference field="13" count="1" selected="0">
            <x v="57"/>
          </reference>
        </references>
      </pivotArea>
    </format>
    <format dxfId="1463">
      <pivotArea dataOnly="0" labelOnly="1" outline="0" fieldPosition="0">
        <references count="4">
          <reference field="5" count="5">
            <x v="87"/>
            <x v="88"/>
            <x v="89"/>
            <x v="91"/>
            <x v="114"/>
          </reference>
          <reference field="8" count="1" selected="0">
            <x v="487"/>
          </reference>
          <reference field="11" count="1" selected="0">
            <x v="3"/>
          </reference>
          <reference field="13" count="1" selected="0">
            <x v="69"/>
          </reference>
        </references>
      </pivotArea>
    </format>
    <format dxfId="1462">
      <pivotArea dataOnly="0" labelOnly="1" outline="0" fieldPosition="0">
        <references count="4">
          <reference field="5" count="1">
            <x v="114"/>
          </reference>
          <reference field="8" count="1" selected="0">
            <x v="487"/>
          </reference>
          <reference field="11" count="1" selected="0">
            <x v="3"/>
          </reference>
          <reference field="13" count="1" selected="0">
            <x v="78"/>
          </reference>
        </references>
      </pivotArea>
    </format>
    <format dxfId="1461">
      <pivotArea dataOnly="0" labelOnly="1" outline="0" fieldPosition="0">
        <references count="4">
          <reference field="5" count="1">
            <x v="114"/>
          </reference>
          <reference field="8" count="1" selected="0">
            <x v="487"/>
          </reference>
          <reference field="11" count="1" selected="0">
            <x v="3"/>
          </reference>
          <reference field="13" count="1" selected="0">
            <x v="89"/>
          </reference>
        </references>
      </pivotArea>
    </format>
    <format dxfId="1460">
      <pivotArea dataOnly="0" labelOnly="1" outline="0" fieldPosition="0">
        <references count="4">
          <reference field="5" count="1">
            <x v="88"/>
          </reference>
          <reference field="8" count="1" selected="0">
            <x v="487"/>
          </reference>
          <reference field="11" count="1" selected="0">
            <x v="3"/>
          </reference>
          <reference field="13" count="1" selected="0">
            <x v="101"/>
          </reference>
        </references>
      </pivotArea>
    </format>
    <format dxfId="1459">
      <pivotArea dataOnly="0" labelOnly="1" outline="0" fieldPosition="0">
        <references count="4">
          <reference field="5" count="2">
            <x v="88"/>
            <x v="114"/>
          </reference>
          <reference field="8" count="1" selected="0">
            <x v="487"/>
          </reference>
          <reference field="11" count="1" selected="0">
            <x v="3"/>
          </reference>
          <reference field="13" count="1" selected="0">
            <x v="105"/>
          </reference>
        </references>
      </pivotArea>
    </format>
    <format dxfId="1458">
      <pivotArea dataOnly="0" labelOnly="1" outline="0" fieldPosition="0">
        <references count="4">
          <reference field="5" count="2">
            <x v="88"/>
            <x v="114"/>
          </reference>
          <reference field="8" count="1" selected="0">
            <x v="487"/>
          </reference>
          <reference field="11" count="1" selected="0">
            <x v="3"/>
          </reference>
          <reference field="13" count="1" selected="0">
            <x v="131"/>
          </reference>
        </references>
      </pivotArea>
    </format>
    <format dxfId="1457">
      <pivotArea dataOnly="0" labelOnly="1" outline="0" fieldPosition="0">
        <references count="4">
          <reference field="5" count="5">
            <x v="87"/>
            <x v="88"/>
            <x v="89"/>
            <x v="91"/>
            <x v="114"/>
          </reference>
          <reference field="8" count="1" selected="0">
            <x v="487"/>
          </reference>
          <reference field="11" count="1" selected="0">
            <x v="3"/>
          </reference>
          <reference field="13" count="1" selected="0">
            <x v="163"/>
          </reference>
        </references>
      </pivotArea>
    </format>
    <format dxfId="1456">
      <pivotArea dataOnly="0" labelOnly="1" outline="0" fieldPosition="0">
        <references count="4">
          <reference field="5" count="3">
            <x v="88"/>
            <x v="91"/>
            <x v="114"/>
          </reference>
          <reference field="8" count="1" selected="0">
            <x v="487"/>
          </reference>
          <reference field="11" count="1" selected="0">
            <x v="3"/>
          </reference>
          <reference field="13" count="1" selected="0">
            <x v="240"/>
          </reference>
        </references>
      </pivotArea>
    </format>
    <format dxfId="1455">
      <pivotArea dataOnly="0" labelOnly="1" outline="0" fieldPosition="0">
        <references count="4">
          <reference field="5" count="2">
            <x v="91"/>
            <x v="114"/>
          </reference>
          <reference field="8" count="1" selected="0">
            <x v="487"/>
          </reference>
          <reference field="11" count="1" selected="0">
            <x v="3"/>
          </reference>
          <reference field="13" count="1" selected="0">
            <x v="242"/>
          </reference>
        </references>
      </pivotArea>
    </format>
    <format dxfId="1454">
      <pivotArea dataOnly="0" labelOnly="1" outline="0" fieldPosition="0">
        <references count="4">
          <reference field="5" count="1">
            <x v="114"/>
          </reference>
          <reference field="8" count="1" selected="0">
            <x v="487"/>
          </reference>
          <reference field="11" count="1" selected="0">
            <x v="3"/>
          </reference>
          <reference field="13" count="1" selected="0">
            <x v="243"/>
          </reference>
        </references>
      </pivotArea>
    </format>
    <format dxfId="1453">
      <pivotArea dataOnly="0" labelOnly="1" outline="0" fieldPosition="0">
        <references count="4">
          <reference field="5" count="1">
            <x v="88"/>
          </reference>
          <reference field="8" count="1" selected="0">
            <x v="487"/>
          </reference>
          <reference field="11" count="1" selected="0">
            <x v="3"/>
          </reference>
          <reference field="13" count="1" selected="0">
            <x v="248"/>
          </reference>
        </references>
      </pivotArea>
    </format>
    <format dxfId="1452">
      <pivotArea dataOnly="0" labelOnly="1" outline="0" fieldPosition="0">
        <references count="4">
          <reference field="5" count="5">
            <x v="87"/>
            <x v="88"/>
            <x v="89"/>
            <x v="91"/>
            <x v="114"/>
          </reference>
          <reference field="8" count="1" selected="0">
            <x v="487"/>
          </reference>
          <reference field="11" count="1" selected="0">
            <x v="3"/>
          </reference>
          <reference field="13" count="1" selected="0">
            <x v="251"/>
          </reference>
        </references>
      </pivotArea>
    </format>
    <format dxfId="1451">
      <pivotArea dataOnly="0" labelOnly="1" outline="0" fieldPosition="0">
        <references count="4">
          <reference field="5" count="5">
            <x v="87"/>
            <x v="88"/>
            <x v="89"/>
            <x v="91"/>
            <x v="114"/>
          </reference>
          <reference field="8" count="1" selected="0">
            <x v="487"/>
          </reference>
          <reference field="11" count="1" selected="0">
            <x v="3"/>
          </reference>
          <reference field="13" count="1" selected="0">
            <x v="287"/>
          </reference>
        </references>
      </pivotArea>
    </format>
    <format dxfId="1450">
      <pivotArea dataOnly="0" labelOnly="1" outline="0" fieldPosition="0">
        <references count="4">
          <reference field="5" count="2">
            <x v="91"/>
            <x v="114"/>
          </reference>
          <reference field="8" count="1" selected="0">
            <x v="487"/>
          </reference>
          <reference field="11" count="1" selected="0">
            <x v="3"/>
          </reference>
          <reference field="13" count="1" selected="0">
            <x v="305"/>
          </reference>
        </references>
      </pivotArea>
    </format>
    <format dxfId="1449">
      <pivotArea dataOnly="0" labelOnly="1" outline="0" fieldPosition="0">
        <references count="4">
          <reference field="5" count="1">
            <x v="114"/>
          </reference>
          <reference field="8" count="1" selected="0">
            <x v="487"/>
          </reference>
          <reference field="11" count="1" selected="0">
            <x v="3"/>
          </reference>
          <reference field="13" count="1" selected="0">
            <x v="314"/>
          </reference>
        </references>
      </pivotArea>
    </format>
    <format dxfId="1448">
      <pivotArea dataOnly="0" labelOnly="1" outline="0" fieldPosition="0">
        <references count="4">
          <reference field="5" count="1">
            <x v="114"/>
          </reference>
          <reference field="8" count="1" selected="0">
            <x v="487"/>
          </reference>
          <reference field="11" count="1" selected="0">
            <x v="4"/>
          </reference>
          <reference field="13" count="1" selected="0">
            <x v="133"/>
          </reference>
        </references>
      </pivotArea>
    </format>
    <format dxfId="1447">
      <pivotArea dataOnly="0" labelOnly="1" outline="0" fieldPosition="0">
        <references count="4">
          <reference field="5" count="5">
            <x v="87"/>
            <x v="88"/>
            <x v="89"/>
            <x v="91"/>
            <x v="114"/>
          </reference>
          <reference field="8" count="1" selected="0">
            <x v="487"/>
          </reference>
          <reference field="11" count="1" selected="0">
            <x v="5"/>
          </reference>
          <reference field="13" count="1" selected="0">
            <x v="77"/>
          </reference>
        </references>
      </pivotArea>
    </format>
    <format dxfId="1446">
      <pivotArea dataOnly="0" labelOnly="1" outline="0" fieldPosition="0">
        <references count="4">
          <reference field="5" count="5">
            <x v="87"/>
            <x v="88"/>
            <x v="89"/>
            <x v="91"/>
            <x v="114"/>
          </reference>
          <reference field="8" count="1" selected="0">
            <x v="487"/>
          </reference>
          <reference field="11" count="1" selected="0">
            <x v="5"/>
          </reference>
          <reference field="13" count="1" selected="0">
            <x v="81"/>
          </reference>
        </references>
      </pivotArea>
    </format>
    <format dxfId="1445">
      <pivotArea dataOnly="0" labelOnly="1" outline="0" fieldPosition="0">
        <references count="4">
          <reference field="5" count="5">
            <x v="87"/>
            <x v="88"/>
            <x v="89"/>
            <x v="91"/>
            <x v="114"/>
          </reference>
          <reference field="8" count="1" selected="0">
            <x v="487"/>
          </reference>
          <reference field="11" count="1" selected="0">
            <x v="5"/>
          </reference>
          <reference field="13" count="1" selected="0">
            <x v="255"/>
          </reference>
        </references>
      </pivotArea>
    </format>
    <format dxfId="1444">
      <pivotArea dataOnly="0" labelOnly="1" outline="0" fieldPosition="0">
        <references count="4">
          <reference field="5" count="1">
            <x v="114"/>
          </reference>
          <reference field="8" count="1" selected="0">
            <x v="487"/>
          </reference>
          <reference field="11" count="1" selected="0">
            <x v="7"/>
          </reference>
          <reference field="13" count="1" selected="0">
            <x v="8"/>
          </reference>
        </references>
      </pivotArea>
    </format>
    <format dxfId="1443">
      <pivotArea dataOnly="0" labelOnly="1" outline="0" fieldPosition="0">
        <references count="4">
          <reference field="5" count="1">
            <x v="114"/>
          </reference>
          <reference field="8" count="1" selected="0">
            <x v="487"/>
          </reference>
          <reference field="11" count="1" selected="0">
            <x v="7"/>
          </reference>
          <reference field="13" count="1" selected="0">
            <x v="72"/>
          </reference>
        </references>
      </pivotArea>
    </format>
    <format dxfId="1442">
      <pivotArea dataOnly="0" labelOnly="1" outline="0" fieldPosition="0">
        <references count="4">
          <reference field="5" count="1">
            <x v="114"/>
          </reference>
          <reference field="8" count="1" selected="0">
            <x v="487"/>
          </reference>
          <reference field="11" count="1" selected="0">
            <x v="7"/>
          </reference>
          <reference field="13" count="1" selected="0">
            <x v="93"/>
          </reference>
        </references>
      </pivotArea>
    </format>
    <format dxfId="1441">
      <pivotArea dataOnly="0" labelOnly="1" outline="0" fieldPosition="0">
        <references count="4">
          <reference field="5" count="2">
            <x v="89"/>
            <x v="114"/>
          </reference>
          <reference field="8" count="1" selected="0">
            <x v="487"/>
          </reference>
          <reference field="11" count="1" selected="0">
            <x v="7"/>
          </reference>
          <reference field="13" count="1" selected="0">
            <x v="129"/>
          </reference>
        </references>
      </pivotArea>
    </format>
    <format dxfId="1440">
      <pivotArea dataOnly="0" labelOnly="1" outline="0" fieldPosition="0">
        <references count="4">
          <reference field="5" count="1">
            <x v="71"/>
          </reference>
          <reference field="8" count="1" selected="0">
            <x v="488"/>
          </reference>
          <reference field="11" count="1" selected="0">
            <x v="3"/>
          </reference>
          <reference field="13" count="1" selected="0">
            <x v="134"/>
          </reference>
        </references>
      </pivotArea>
    </format>
    <format dxfId="1439">
      <pivotArea dataOnly="0" labelOnly="1" outline="0" fieldPosition="0">
        <references count="4">
          <reference field="5" count="1">
            <x v="71"/>
          </reference>
          <reference field="8" count="1" selected="0">
            <x v="488"/>
          </reference>
          <reference field="11" count="1" selected="0">
            <x v="3"/>
          </reference>
          <reference field="13" count="1" selected="0">
            <x v="287"/>
          </reference>
        </references>
      </pivotArea>
    </format>
    <format dxfId="1438">
      <pivotArea dataOnly="0" labelOnly="1" outline="0" fieldPosition="0">
        <references count="4">
          <reference field="5" count="1">
            <x v="91"/>
          </reference>
          <reference field="8" count="1" selected="0">
            <x v="489"/>
          </reference>
          <reference field="11" count="1" selected="0">
            <x v="2"/>
          </reference>
          <reference field="13" count="1" selected="0">
            <x v="71"/>
          </reference>
        </references>
      </pivotArea>
    </format>
    <format dxfId="1437">
      <pivotArea dataOnly="0" labelOnly="1" outline="0" fieldPosition="0">
        <references count="4">
          <reference field="5" count="2">
            <x v="89"/>
            <x v="114"/>
          </reference>
          <reference field="8" count="1" selected="0">
            <x v="489"/>
          </reference>
          <reference field="11" count="1" selected="0">
            <x v="3"/>
          </reference>
          <reference field="13" count="1" selected="0">
            <x v="4"/>
          </reference>
        </references>
      </pivotArea>
    </format>
    <format dxfId="1436">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7"/>
          </reference>
        </references>
      </pivotArea>
    </format>
    <format dxfId="1435">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17"/>
          </reference>
        </references>
      </pivotArea>
    </format>
    <format dxfId="1434">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32"/>
          </reference>
        </references>
      </pivotArea>
    </format>
    <format dxfId="1433">
      <pivotArea dataOnly="0" labelOnly="1" outline="0" fieldPosition="0">
        <references count="4">
          <reference field="5" count="1">
            <x v="87"/>
          </reference>
          <reference field="8" count="1" selected="0">
            <x v="489"/>
          </reference>
          <reference field="11" count="1" selected="0">
            <x v="3"/>
          </reference>
          <reference field="13" count="1" selected="0">
            <x v="47"/>
          </reference>
        </references>
      </pivotArea>
    </format>
    <format dxfId="1432">
      <pivotArea dataOnly="0" labelOnly="1" outline="0" fieldPosition="0">
        <references count="4">
          <reference field="5" count="3">
            <x v="87"/>
            <x v="88"/>
            <x v="91"/>
          </reference>
          <reference field="8" count="1" selected="0">
            <x v="489"/>
          </reference>
          <reference field="11" count="1" selected="0">
            <x v="3"/>
          </reference>
          <reference field="13" count="1" selected="0">
            <x v="57"/>
          </reference>
        </references>
      </pivotArea>
    </format>
    <format dxfId="1431">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69"/>
          </reference>
        </references>
      </pivotArea>
    </format>
    <format dxfId="1430">
      <pivotArea dataOnly="0" labelOnly="1" outline="0" fieldPosition="0">
        <references count="4">
          <reference field="5" count="2">
            <x v="91"/>
            <x v="114"/>
          </reference>
          <reference field="8" count="1" selected="0">
            <x v="489"/>
          </reference>
          <reference field="11" count="1" selected="0">
            <x v="3"/>
          </reference>
          <reference field="13" count="1" selected="0">
            <x v="89"/>
          </reference>
        </references>
      </pivotArea>
    </format>
    <format dxfId="1429">
      <pivotArea dataOnly="0" labelOnly="1" outline="0" fieldPosition="0">
        <references count="4">
          <reference field="5" count="2">
            <x v="86"/>
            <x v="88"/>
          </reference>
          <reference field="8" count="1" selected="0">
            <x v="489"/>
          </reference>
          <reference field="11" count="1" selected="0">
            <x v="3"/>
          </reference>
          <reference field="13" count="1" selected="0">
            <x v="101"/>
          </reference>
        </references>
      </pivotArea>
    </format>
    <format dxfId="1428">
      <pivotArea dataOnly="0" labelOnly="1" outline="0" fieldPosition="0">
        <references count="4">
          <reference field="5" count="5">
            <x v="85"/>
            <x v="86"/>
            <x v="88"/>
            <x v="91"/>
            <x v="114"/>
          </reference>
          <reference field="8" count="1" selected="0">
            <x v="489"/>
          </reference>
          <reference field="11" count="1" selected="0">
            <x v="3"/>
          </reference>
          <reference field="13" count="1" selected="0">
            <x v="105"/>
          </reference>
        </references>
      </pivotArea>
    </format>
    <format dxfId="1427">
      <pivotArea dataOnly="0" labelOnly="1" outline="0" fieldPosition="0">
        <references count="4">
          <reference field="5" count="3">
            <x v="88"/>
            <x v="91"/>
            <x v="114"/>
          </reference>
          <reference field="8" count="1" selected="0">
            <x v="489"/>
          </reference>
          <reference field="11" count="1" selected="0">
            <x v="3"/>
          </reference>
          <reference field="13" count="1" selected="0">
            <x v="110"/>
          </reference>
        </references>
      </pivotArea>
    </format>
    <format dxfId="1426">
      <pivotArea dataOnly="0" labelOnly="1" outline="0" fieldPosition="0">
        <references count="4">
          <reference field="5" count="1">
            <x v="91"/>
          </reference>
          <reference field="8" count="1" selected="0">
            <x v="489"/>
          </reference>
          <reference field="11" count="1" selected="0">
            <x v="3"/>
          </reference>
          <reference field="13" count="1" selected="0">
            <x v="131"/>
          </reference>
        </references>
      </pivotArea>
    </format>
    <format dxfId="1425">
      <pivotArea dataOnly="0" labelOnly="1" outline="0" fieldPosition="0">
        <references count="4">
          <reference field="5" count="5">
            <x v="85"/>
            <x v="88"/>
            <x v="89"/>
            <x v="91"/>
            <x v="114"/>
          </reference>
          <reference field="8" count="1" selected="0">
            <x v="489"/>
          </reference>
          <reference field="11" count="1" selected="0">
            <x v="3"/>
          </reference>
          <reference field="13" count="1" selected="0">
            <x v="163"/>
          </reference>
        </references>
      </pivotArea>
    </format>
    <format dxfId="1424">
      <pivotArea dataOnly="0" labelOnly="1" outline="0" fieldPosition="0">
        <references count="4">
          <reference field="5" count="4">
            <x v="88"/>
            <x v="89"/>
            <x v="91"/>
            <x v="114"/>
          </reference>
          <reference field="8" count="1" selected="0">
            <x v="489"/>
          </reference>
          <reference field="11" count="1" selected="0">
            <x v="3"/>
          </reference>
          <reference field="13" count="1" selected="0">
            <x v="240"/>
          </reference>
        </references>
      </pivotArea>
    </format>
    <format dxfId="1423">
      <pivotArea dataOnly="0" labelOnly="1" outline="0" fieldPosition="0">
        <references count="4">
          <reference field="5" count="1">
            <x v="114"/>
          </reference>
          <reference field="8" count="1" selected="0">
            <x v="489"/>
          </reference>
          <reference field="11" count="1" selected="0">
            <x v="3"/>
          </reference>
          <reference field="13" count="1" selected="0">
            <x v="243"/>
          </reference>
        </references>
      </pivotArea>
    </format>
    <format dxfId="1422">
      <pivotArea dataOnly="0" labelOnly="1" outline="0" fieldPosition="0">
        <references count="4">
          <reference field="5" count="6">
            <x v="86"/>
            <x v="87"/>
            <x v="88"/>
            <x v="89"/>
            <x v="91"/>
            <x v="114"/>
          </reference>
          <reference field="8" count="1" selected="0">
            <x v="489"/>
          </reference>
          <reference field="11" count="1" selected="0">
            <x v="3"/>
          </reference>
          <reference field="13" count="1" selected="0">
            <x v="251"/>
          </reference>
        </references>
      </pivotArea>
    </format>
    <format dxfId="1421">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287"/>
          </reference>
        </references>
      </pivotArea>
    </format>
    <format dxfId="1420">
      <pivotArea dataOnly="0" labelOnly="1" outline="0" fieldPosition="0">
        <references count="4">
          <reference field="5" count="7">
            <x v="85"/>
            <x v="86"/>
            <x v="87"/>
            <x v="88"/>
            <x v="89"/>
            <x v="91"/>
            <x v="114"/>
          </reference>
          <reference field="8" count="1" selected="0">
            <x v="489"/>
          </reference>
          <reference field="11" count="1" selected="0">
            <x v="3"/>
          </reference>
          <reference field="13" count="1" selected="0">
            <x v="305"/>
          </reference>
        </references>
      </pivotArea>
    </format>
    <format dxfId="1419">
      <pivotArea dataOnly="0" labelOnly="1" outline="0" fieldPosition="0">
        <references count="4">
          <reference field="5" count="1">
            <x v="114"/>
          </reference>
          <reference field="8" count="1" selected="0">
            <x v="489"/>
          </reference>
          <reference field="11" count="1" selected="0">
            <x v="3"/>
          </reference>
          <reference field="13" count="1" selected="0">
            <x v="314"/>
          </reference>
        </references>
      </pivotArea>
    </format>
    <format dxfId="1418">
      <pivotArea dataOnly="0" labelOnly="1" outline="0" fieldPosition="0">
        <references count="4">
          <reference field="5" count="4">
            <x v="88"/>
            <x v="89"/>
            <x v="91"/>
            <x v="114"/>
          </reference>
          <reference field="8" count="1" selected="0">
            <x v="489"/>
          </reference>
          <reference field="11" count="1" selected="0">
            <x v="4"/>
          </reference>
          <reference field="13" count="1" selected="0">
            <x v="133"/>
          </reference>
        </references>
      </pivotArea>
    </format>
    <format dxfId="1417">
      <pivotArea dataOnly="0" labelOnly="1" outline="0" fieldPosition="0">
        <references count="4">
          <reference field="5" count="7">
            <x v="85"/>
            <x v="86"/>
            <x v="87"/>
            <x v="88"/>
            <x v="89"/>
            <x v="91"/>
            <x v="114"/>
          </reference>
          <reference field="8" count="1" selected="0">
            <x v="489"/>
          </reference>
          <reference field="11" count="1" selected="0">
            <x v="5"/>
          </reference>
          <reference field="13" count="1" selected="0">
            <x v="77"/>
          </reference>
        </references>
      </pivotArea>
    </format>
    <format dxfId="1416">
      <pivotArea dataOnly="0" labelOnly="1" outline="0" fieldPosition="0">
        <references count="4">
          <reference field="5" count="7">
            <x v="85"/>
            <x v="86"/>
            <x v="87"/>
            <x v="88"/>
            <x v="89"/>
            <x v="91"/>
            <x v="114"/>
          </reference>
          <reference field="8" count="1" selected="0">
            <x v="489"/>
          </reference>
          <reference field="11" count="1" selected="0">
            <x v="5"/>
          </reference>
          <reference field="13" count="1" selected="0">
            <x v="81"/>
          </reference>
        </references>
      </pivotArea>
    </format>
    <format dxfId="1415">
      <pivotArea dataOnly="0" labelOnly="1" outline="0" fieldPosition="0">
        <references count="4">
          <reference field="5" count="3">
            <x v="85"/>
            <x v="86"/>
            <x v="91"/>
          </reference>
          <reference field="8" count="1" selected="0">
            <x v="489"/>
          </reference>
          <reference field="11" count="1" selected="0">
            <x v="5"/>
          </reference>
          <reference field="13" count="1" selected="0">
            <x v="255"/>
          </reference>
        </references>
      </pivotArea>
    </format>
    <format dxfId="1414">
      <pivotArea dataOnly="0" labelOnly="1" outline="0" fieldPosition="0">
        <references count="4">
          <reference field="5" count="2">
            <x v="86"/>
            <x v="114"/>
          </reference>
          <reference field="8" count="1" selected="0">
            <x v="489"/>
          </reference>
          <reference field="11" count="1" selected="0">
            <x v="7"/>
          </reference>
          <reference field="13" count="1" selected="0">
            <x v="72"/>
          </reference>
        </references>
      </pivotArea>
    </format>
    <format dxfId="1413">
      <pivotArea dataOnly="0" labelOnly="1" outline="0" fieldPosition="0">
        <references count="4">
          <reference field="5" count="1">
            <x v="32"/>
          </reference>
          <reference field="8" count="1" selected="0">
            <x v="490"/>
          </reference>
          <reference field="11" count="1" selected="0">
            <x v="0"/>
          </reference>
          <reference field="13" count="1" selected="0">
            <x v="3"/>
          </reference>
        </references>
      </pivotArea>
    </format>
    <format dxfId="1412">
      <pivotArea dataOnly="0" labelOnly="1" outline="0" fieldPosition="0">
        <references count="4">
          <reference field="5" count="2">
            <x v="47"/>
            <x v="119"/>
          </reference>
          <reference field="8" count="1" selected="0">
            <x v="490"/>
          </reference>
          <reference field="11" count="1" selected="0">
            <x v="0"/>
          </reference>
          <reference field="13" count="1" selected="0">
            <x v="221"/>
          </reference>
        </references>
      </pivotArea>
    </format>
    <format dxfId="1411">
      <pivotArea dataOnly="0" labelOnly="1" outline="0" fieldPosition="0">
        <references count="4">
          <reference field="5" count="1">
            <x v="32"/>
          </reference>
          <reference field="8" count="1" selected="0">
            <x v="490"/>
          </reference>
          <reference field="11" count="1" selected="0">
            <x v="1"/>
          </reference>
          <reference field="13" count="1" selected="0">
            <x v="90"/>
          </reference>
        </references>
      </pivotArea>
    </format>
    <format dxfId="1410">
      <pivotArea dataOnly="0" labelOnly="1" outline="0" fieldPosition="0">
        <references count="4">
          <reference field="5" count="1">
            <x v="32"/>
          </reference>
          <reference field="8" count="1" selected="0">
            <x v="490"/>
          </reference>
          <reference field="11" count="1" selected="0">
            <x v="1"/>
          </reference>
          <reference field="13" count="1" selected="0">
            <x v="286"/>
          </reference>
        </references>
      </pivotArea>
    </format>
    <format dxfId="1409">
      <pivotArea dataOnly="0" labelOnly="1" outline="0" fieldPosition="0">
        <references count="4">
          <reference field="5" count="1">
            <x v="32"/>
          </reference>
          <reference field="8" count="1" selected="0">
            <x v="490"/>
          </reference>
          <reference field="11" count="1" selected="0">
            <x v="3"/>
          </reference>
          <reference field="13" count="1" selected="0">
            <x v="14"/>
          </reference>
        </references>
      </pivotArea>
    </format>
    <format dxfId="1408">
      <pivotArea dataOnly="0" labelOnly="1" outline="0" fieldPosition="0">
        <references count="4">
          <reference field="5" count="1">
            <x v="32"/>
          </reference>
          <reference field="8" count="1" selected="0">
            <x v="490"/>
          </reference>
          <reference field="11" count="1" selected="0">
            <x v="3"/>
          </reference>
          <reference field="13" count="1" selected="0">
            <x v="32"/>
          </reference>
        </references>
      </pivotArea>
    </format>
    <format dxfId="1407">
      <pivotArea dataOnly="0" labelOnly="1" outline="0" fieldPosition="0">
        <references count="4">
          <reference field="5" count="1">
            <x v="64"/>
          </reference>
          <reference field="8" count="1" selected="0">
            <x v="490"/>
          </reference>
          <reference field="11" count="1" selected="0">
            <x v="3"/>
          </reference>
          <reference field="13" count="1" selected="0">
            <x v="36"/>
          </reference>
        </references>
      </pivotArea>
    </format>
    <format dxfId="1406">
      <pivotArea dataOnly="0" labelOnly="1" outline="0" fieldPosition="0">
        <references count="4">
          <reference field="5" count="1">
            <x v="32"/>
          </reference>
          <reference field="8" count="1" selected="0">
            <x v="490"/>
          </reference>
          <reference field="11" count="1" selected="0">
            <x v="3"/>
          </reference>
          <reference field="13" count="1" selected="0">
            <x v="39"/>
          </reference>
        </references>
      </pivotArea>
    </format>
    <format dxfId="1405">
      <pivotArea dataOnly="0" labelOnly="1" outline="0" fieldPosition="0">
        <references count="4">
          <reference field="5" count="1">
            <x v="32"/>
          </reference>
          <reference field="8" count="1" selected="0">
            <x v="490"/>
          </reference>
          <reference field="11" count="1" selected="0">
            <x v="3"/>
          </reference>
          <reference field="13" count="1" selected="0">
            <x v="47"/>
          </reference>
        </references>
      </pivotArea>
    </format>
    <format dxfId="1404">
      <pivotArea dataOnly="0" labelOnly="1" outline="0" fieldPosition="0">
        <references count="4">
          <reference field="5" count="1">
            <x v="32"/>
          </reference>
          <reference field="8" count="1" selected="0">
            <x v="490"/>
          </reference>
          <reference field="11" count="1" selected="0">
            <x v="3"/>
          </reference>
          <reference field="13" count="1" selected="0">
            <x v="92"/>
          </reference>
        </references>
      </pivotArea>
    </format>
    <format dxfId="1403">
      <pivotArea dataOnly="0" labelOnly="1" outline="0" fieldPosition="0">
        <references count="4">
          <reference field="5" count="1">
            <x v="32"/>
          </reference>
          <reference field="8" count="1" selected="0">
            <x v="490"/>
          </reference>
          <reference field="11" count="1" selected="0">
            <x v="3"/>
          </reference>
          <reference field="13" count="1" selected="0">
            <x v="146"/>
          </reference>
        </references>
      </pivotArea>
    </format>
    <format dxfId="1402">
      <pivotArea dataOnly="0" labelOnly="1" outline="0" fieldPosition="0">
        <references count="4">
          <reference field="5" count="1">
            <x v="32"/>
          </reference>
          <reference field="8" count="1" selected="0">
            <x v="490"/>
          </reference>
          <reference field="11" count="1" selected="0">
            <x v="3"/>
          </reference>
          <reference field="13" count="1" selected="0">
            <x v="242"/>
          </reference>
        </references>
      </pivotArea>
    </format>
    <format dxfId="1401">
      <pivotArea dataOnly="0" labelOnly="1" outline="0" fieldPosition="0">
        <references count="4">
          <reference field="5" count="1">
            <x v="32"/>
          </reference>
          <reference field="8" count="1" selected="0">
            <x v="490"/>
          </reference>
          <reference field="11" count="1" selected="0">
            <x v="3"/>
          </reference>
          <reference field="13" count="1" selected="0">
            <x v="243"/>
          </reference>
        </references>
      </pivotArea>
    </format>
    <format dxfId="1400">
      <pivotArea dataOnly="0" labelOnly="1" outline="0" fieldPosition="0">
        <references count="4">
          <reference field="5" count="1">
            <x v="32"/>
          </reference>
          <reference field="8" count="1" selected="0">
            <x v="490"/>
          </reference>
          <reference field="11" count="1" selected="0">
            <x v="3"/>
          </reference>
          <reference field="13" count="1" selected="0">
            <x v="287"/>
          </reference>
        </references>
      </pivotArea>
    </format>
    <format dxfId="1399">
      <pivotArea dataOnly="0" labelOnly="1" outline="0" fieldPosition="0">
        <references count="4">
          <reference field="5" count="3">
            <x v="20"/>
            <x v="32"/>
            <x v="116"/>
          </reference>
          <reference field="8" count="1" selected="0">
            <x v="490"/>
          </reference>
          <reference field="11" count="1" selected="0">
            <x v="5"/>
          </reference>
          <reference field="13" count="1" selected="0">
            <x v="77"/>
          </reference>
        </references>
      </pivotArea>
    </format>
    <format dxfId="1398">
      <pivotArea dataOnly="0" labelOnly="1" outline="0" fieldPosition="0">
        <references count="4">
          <reference field="5" count="2">
            <x v="20"/>
            <x v="116"/>
          </reference>
          <reference field="8" count="1" selected="0">
            <x v="490"/>
          </reference>
          <reference field="11" count="1" selected="0">
            <x v="5"/>
          </reference>
          <reference field="13" count="1" selected="0">
            <x v="81"/>
          </reference>
        </references>
      </pivotArea>
    </format>
    <format dxfId="1397">
      <pivotArea dataOnly="0" labelOnly="1" outline="0" fieldPosition="0">
        <references count="4">
          <reference field="5" count="1">
            <x v="32"/>
          </reference>
          <reference field="8" count="1" selected="0">
            <x v="490"/>
          </reference>
          <reference field="11" count="1" selected="0">
            <x v="6"/>
          </reference>
          <reference field="13" count="1" selected="0">
            <x v="207"/>
          </reference>
        </references>
      </pivotArea>
    </format>
    <format dxfId="1396">
      <pivotArea dataOnly="0" labelOnly="1" outline="0" fieldPosition="0">
        <references count="4">
          <reference field="5" count="1">
            <x v="116"/>
          </reference>
          <reference field="8" count="1" selected="0">
            <x v="491"/>
          </reference>
          <reference field="11" count="1" selected="0">
            <x v="5"/>
          </reference>
          <reference field="13" count="1" selected="0">
            <x v="81"/>
          </reference>
        </references>
      </pivotArea>
    </format>
    <format dxfId="1395">
      <pivotArea dataOnly="0" labelOnly="1" outline="0" fieldPosition="0">
        <references count="4">
          <reference field="5" count="1">
            <x v="116"/>
          </reference>
          <reference field="8" count="1" selected="0">
            <x v="491"/>
          </reference>
          <reference field="11" count="1" selected="0">
            <x v="5"/>
          </reference>
          <reference field="13" count="1" selected="0">
            <x v="210"/>
          </reference>
        </references>
      </pivotArea>
    </format>
    <format dxfId="1394">
      <pivotArea dataOnly="0" labelOnly="1" outline="0" fieldPosition="0">
        <references count="4">
          <reference field="5" count="1">
            <x v="78"/>
          </reference>
          <reference field="8" count="1" selected="0">
            <x v="492"/>
          </reference>
          <reference field="11" count="1" selected="0">
            <x v="2"/>
          </reference>
          <reference field="13" count="1" selected="0">
            <x v="35"/>
          </reference>
        </references>
      </pivotArea>
    </format>
    <format dxfId="1393">
      <pivotArea dataOnly="0" labelOnly="1" outline="0" fieldPosition="0">
        <references count="4">
          <reference field="5" count="1">
            <x v="78"/>
          </reference>
          <reference field="8" count="1" selected="0">
            <x v="492"/>
          </reference>
          <reference field="11" count="1" selected="0">
            <x v="3"/>
          </reference>
          <reference field="13" count="1" selected="0">
            <x v="240"/>
          </reference>
        </references>
      </pivotArea>
    </format>
    <format dxfId="1392">
      <pivotArea dataOnly="0" labelOnly="1" outline="0" fieldPosition="0">
        <references count="4">
          <reference field="5" count="1">
            <x v="34"/>
          </reference>
          <reference field="8" count="1" selected="0">
            <x v="492"/>
          </reference>
          <reference field="11" count="1" selected="0">
            <x v="3"/>
          </reference>
          <reference field="13" count="1" selected="0">
            <x v="272"/>
          </reference>
        </references>
      </pivotArea>
    </format>
    <format dxfId="1391">
      <pivotArea dataOnly="0" labelOnly="1" outline="0" fieldPosition="0">
        <references count="4">
          <reference field="5" count="1">
            <x v="20"/>
          </reference>
          <reference field="8" count="1" selected="0">
            <x v="492"/>
          </reference>
          <reference field="11" count="1" selected="0">
            <x v="5"/>
          </reference>
          <reference field="13" count="1" selected="0">
            <x v="81"/>
          </reference>
        </references>
      </pivotArea>
    </format>
    <format dxfId="1390">
      <pivotArea dataOnly="0" labelOnly="1" outline="0" fieldPosition="0">
        <references count="4">
          <reference field="5" count="1">
            <x v="78"/>
          </reference>
          <reference field="8" count="1" selected="0">
            <x v="492"/>
          </reference>
          <reference field="11" count="1" selected="0">
            <x v="7"/>
          </reference>
          <reference field="13" count="1" selected="0">
            <x v="72"/>
          </reference>
        </references>
      </pivotArea>
    </format>
    <format dxfId="1389">
      <pivotArea dataOnly="0" labelOnly="1" outline="0" fieldPosition="0">
        <references count="4">
          <reference field="5" count="2">
            <x v="47"/>
            <x v="113"/>
          </reference>
          <reference field="8" count="1" selected="0">
            <x v="493"/>
          </reference>
          <reference field="11" count="1" selected="0">
            <x v="0"/>
          </reference>
          <reference field="13" count="1" selected="0">
            <x v="165"/>
          </reference>
        </references>
      </pivotArea>
    </format>
    <format dxfId="1388">
      <pivotArea dataOnly="0" labelOnly="1" outline="0" fieldPosition="0">
        <references count="4">
          <reference field="5" count="1">
            <x v="113"/>
          </reference>
          <reference field="8" count="1" selected="0">
            <x v="493"/>
          </reference>
          <reference field="11" count="1" selected="0">
            <x v="3"/>
          </reference>
          <reference field="13" count="1" selected="0">
            <x v="7"/>
          </reference>
        </references>
      </pivotArea>
    </format>
    <format dxfId="1387">
      <pivotArea dataOnly="0" labelOnly="1" outline="0" fieldPosition="0">
        <references count="4">
          <reference field="5" count="1">
            <x v="113"/>
          </reference>
          <reference field="8" count="1" selected="0">
            <x v="493"/>
          </reference>
          <reference field="11" count="1" selected="0">
            <x v="3"/>
          </reference>
          <reference field="13" count="1" selected="0">
            <x v="69"/>
          </reference>
        </references>
      </pivotArea>
    </format>
    <format dxfId="1386">
      <pivotArea dataOnly="0" labelOnly="1" outline="0" fieldPosition="0">
        <references count="4">
          <reference field="5" count="1">
            <x v="113"/>
          </reference>
          <reference field="8" count="1" selected="0">
            <x v="493"/>
          </reference>
          <reference field="11" count="1" selected="0">
            <x v="3"/>
          </reference>
          <reference field="13" count="1" selected="0">
            <x v="287"/>
          </reference>
        </references>
      </pivotArea>
    </format>
    <format dxfId="1385">
      <pivotArea dataOnly="0" labelOnly="1" outline="0" fieldPosition="0">
        <references count="4">
          <reference field="5" count="1">
            <x v="116"/>
          </reference>
          <reference field="8" count="1" selected="0">
            <x v="493"/>
          </reference>
          <reference field="11" count="1" selected="0">
            <x v="5"/>
          </reference>
          <reference field="13" count="1" selected="0">
            <x v="77"/>
          </reference>
        </references>
      </pivotArea>
    </format>
    <format dxfId="1384">
      <pivotArea dataOnly="0" labelOnly="1" outline="0" fieldPosition="0">
        <references count="4">
          <reference field="5" count="1">
            <x v="116"/>
          </reference>
          <reference field="8" count="1" selected="0">
            <x v="493"/>
          </reference>
          <reference field="11" count="1" selected="0">
            <x v="5"/>
          </reference>
          <reference field="13" count="1" selected="0">
            <x v="81"/>
          </reference>
        </references>
      </pivotArea>
    </format>
    <format dxfId="1383">
      <pivotArea dataOnly="0" labelOnly="1" outline="0" fieldPosition="0">
        <references count="4">
          <reference field="5" count="1">
            <x v="47"/>
          </reference>
          <reference field="8" count="1" selected="0">
            <x v="494"/>
          </reference>
          <reference field="11" count="1" selected="0">
            <x v="0"/>
          </reference>
          <reference field="13" count="1" selected="0">
            <x v="61"/>
          </reference>
        </references>
      </pivotArea>
    </format>
    <format dxfId="1382">
      <pivotArea dataOnly="0" labelOnly="1" outline="0" fieldPosition="0">
        <references count="4">
          <reference field="5" count="1">
            <x v="68"/>
          </reference>
          <reference field="8" count="1" selected="0">
            <x v="494"/>
          </reference>
          <reference field="11" count="1" selected="0">
            <x v="3"/>
          </reference>
          <reference field="13" count="1" selected="0">
            <x v="240"/>
          </reference>
        </references>
      </pivotArea>
    </format>
    <format dxfId="1381">
      <pivotArea dataOnly="0" labelOnly="1" outline="0" fieldPosition="0">
        <references count="4">
          <reference field="5" count="1">
            <x v="68"/>
          </reference>
          <reference field="8" count="1" selected="0">
            <x v="494"/>
          </reference>
          <reference field="11" count="1" selected="0">
            <x v="3"/>
          </reference>
          <reference field="13" count="1" selected="0">
            <x v="287"/>
          </reference>
        </references>
      </pivotArea>
    </format>
    <format dxfId="1380">
      <pivotArea dataOnly="0" labelOnly="1" outline="0" fieldPosition="0">
        <references count="4">
          <reference field="5" count="1">
            <x v="47"/>
          </reference>
          <reference field="8" count="1" selected="0">
            <x v="495"/>
          </reference>
          <reference field="11" count="1" selected="0">
            <x v="0"/>
          </reference>
          <reference field="13" count="1" selected="0">
            <x v="61"/>
          </reference>
        </references>
      </pivotArea>
    </format>
    <format dxfId="1379">
      <pivotArea dataOnly="0" labelOnly="1" outline="0" fieldPosition="0">
        <references count="4">
          <reference field="5" count="1">
            <x v="68"/>
          </reference>
          <reference field="8" count="1" selected="0">
            <x v="495"/>
          </reference>
          <reference field="11" count="1" selected="0">
            <x v="2"/>
          </reference>
          <reference field="13" count="1" selected="0">
            <x v="35"/>
          </reference>
        </references>
      </pivotArea>
    </format>
    <format dxfId="1378">
      <pivotArea dataOnly="0" labelOnly="1" outline="0" fieldPosition="0">
        <references count="4">
          <reference field="5" count="1">
            <x v="68"/>
          </reference>
          <reference field="8" count="1" selected="0">
            <x v="495"/>
          </reference>
          <reference field="11" count="1" selected="0">
            <x v="2"/>
          </reference>
          <reference field="13" count="1" selected="0">
            <x v="55"/>
          </reference>
        </references>
      </pivotArea>
    </format>
    <format dxfId="1377">
      <pivotArea dataOnly="0" labelOnly="1" outline="0" fieldPosition="0">
        <references count="4">
          <reference field="5" count="1">
            <x v="68"/>
          </reference>
          <reference field="8" count="1" selected="0">
            <x v="495"/>
          </reference>
          <reference field="11" count="1" selected="0">
            <x v="2"/>
          </reference>
          <reference field="13" count="1" selected="0">
            <x v="60"/>
          </reference>
        </references>
      </pivotArea>
    </format>
    <format dxfId="1376">
      <pivotArea dataOnly="0" labelOnly="1" outline="0" fieldPosition="0">
        <references count="4">
          <reference field="5" count="1">
            <x v="68"/>
          </reference>
          <reference field="8" count="1" selected="0">
            <x v="495"/>
          </reference>
          <reference field="11" count="1" selected="0">
            <x v="2"/>
          </reference>
          <reference field="13" count="1" selected="0">
            <x v="238"/>
          </reference>
        </references>
      </pivotArea>
    </format>
    <format dxfId="1375">
      <pivotArea dataOnly="0" labelOnly="1" outline="0" fieldPosition="0">
        <references count="4">
          <reference field="5" count="1">
            <x v="68"/>
          </reference>
          <reference field="8" count="1" selected="0">
            <x v="495"/>
          </reference>
          <reference field="11" count="1" selected="0">
            <x v="2"/>
          </reference>
          <reference field="13" count="1" selected="0">
            <x v="263"/>
          </reference>
        </references>
      </pivotArea>
    </format>
    <format dxfId="1374">
      <pivotArea dataOnly="0" labelOnly="1" outline="0" fieldPosition="0">
        <references count="4">
          <reference field="5" count="1">
            <x v="68"/>
          </reference>
          <reference field="8" count="1" selected="0">
            <x v="495"/>
          </reference>
          <reference field="11" count="1" selected="0">
            <x v="2"/>
          </reference>
          <reference field="13" count="1" selected="0">
            <x v="276"/>
          </reference>
        </references>
      </pivotArea>
    </format>
    <format dxfId="1373">
      <pivotArea dataOnly="0" labelOnly="1" outline="0" fieldPosition="0">
        <references count="4">
          <reference field="5" count="1">
            <x v="68"/>
          </reference>
          <reference field="8" count="1" selected="0">
            <x v="495"/>
          </reference>
          <reference field="11" count="1" selected="0">
            <x v="3"/>
          </reference>
          <reference field="13" count="1" selected="0">
            <x v="32"/>
          </reference>
        </references>
      </pivotArea>
    </format>
    <format dxfId="1372">
      <pivotArea dataOnly="0" labelOnly="1" outline="0" fieldPosition="0">
        <references count="4">
          <reference field="5" count="1">
            <x v="68"/>
          </reference>
          <reference field="8" count="1" selected="0">
            <x v="495"/>
          </reference>
          <reference field="11" count="1" selected="0">
            <x v="3"/>
          </reference>
          <reference field="13" count="1" selected="0">
            <x v="240"/>
          </reference>
        </references>
      </pivotArea>
    </format>
    <format dxfId="1371">
      <pivotArea dataOnly="0" labelOnly="1" outline="0" fieldPosition="0">
        <references count="4">
          <reference field="5" count="1">
            <x v="68"/>
          </reference>
          <reference field="8" count="1" selected="0">
            <x v="495"/>
          </reference>
          <reference field="11" count="1" selected="0">
            <x v="3"/>
          </reference>
          <reference field="13" count="1" selected="0">
            <x v="287"/>
          </reference>
        </references>
      </pivotArea>
    </format>
    <format dxfId="1370">
      <pivotArea dataOnly="0" labelOnly="1" outline="0" fieldPosition="0">
        <references count="4">
          <reference field="5" count="1">
            <x v="20"/>
          </reference>
          <reference field="8" count="1" selected="0">
            <x v="495"/>
          </reference>
          <reference field="11" count="1" selected="0">
            <x v="5"/>
          </reference>
          <reference field="13" count="1" selected="0">
            <x v="255"/>
          </reference>
        </references>
      </pivotArea>
    </format>
    <format dxfId="1369">
      <pivotArea dataOnly="0" labelOnly="1" outline="0" fieldPosition="0">
        <references count="4">
          <reference field="5" count="1">
            <x v="68"/>
          </reference>
          <reference field="8" count="1" selected="0">
            <x v="495"/>
          </reference>
          <reference field="11" count="1" selected="0">
            <x v="7"/>
          </reference>
          <reference field="13" count="1" selected="0">
            <x v="8"/>
          </reference>
        </references>
      </pivotArea>
    </format>
    <format dxfId="1368">
      <pivotArea dataOnly="0" labelOnly="1" outline="0" fieldPosition="0">
        <references count="4">
          <reference field="5" count="1">
            <x v="68"/>
          </reference>
          <reference field="8" count="1" selected="0">
            <x v="495"/>
          </reference>
          <reference field="11" count="1" selected="0">
            <x v="7"/>
          </reference>
          <reference field="13" count="1" selected="0">
            <x v="72"/>
          </reference>
        </references>
      </pivotArea>
    </format>
    <format dxfId="1367">
      <pivotArea dataOnly="0" labelOnly="1" outline="0" fieldPosition="0">
        <references count="4">
          <reference field="5" count="2">
            <x v="16"/>
            <x v="120"/>
          </reference>
          <reference field="8" count="1" selected="0">
            <x v="496"/>
          </reference>
          <reference field="11" count="1" selected="0">
            <x v="1"/>
          </reference>
          <reference field="13" count="1" selected="0">
            <x v="286"/>
          </reference>
        </references>
      </pivotArea>
    </format>
    <format dxfId="1366">
      <pivotArea dataOnly="0" labelOnly="1" outline="0" fieldPosition="0">
        <references count="4">
          <reference field="5" count="1">
            <x v="16"/>
          </reference>
          <reference field="8" count="1" selected="0">
            <x v="496"/>
          </reference>
          <reference field="11" count="1" selected="0">
            <x v="3"/>
          </reference>
          <reference field="13" count="1" selected="0">
            <x v="32"/>
          </reference>
        </references>
      </pivotArea>
    </format>
    <format dxfId="1365">
      <pivotArea dataOnly="0" labelOnly="1" outline="0" fieldPosition="0">
        <references count="4">
          <reference field="5" count="1">
            <x v="16"/>
          </reference>
          <reference field="8" count="1" selected="0">
            <x v="496"/>
          </reference>
          <reference field="11" count="1" selected="0">
            <x v="3"/>
          </reference>
          <reference field="13" count="1" selected="0">
            <x v="57"/>
          </reference>
        </references>
      </pivotArea>
    </format>
    <format dxfId="1364">
      <pivotArea dataOnly="0" labelOnly="1" outline="0" fieldPosition="0">
        <references count="4">
          <reference field="5" count="1">
            <x v="16"/>
          </reference>
          <reference field="8" count="1" selected="0">
            <x v="496"/>
          </reference>
          <reference field="11" count="1" selected="0">
            <x v="3"/>
          </reference>
          <reference field="13" count="1" selected="0">
            <x v="212"/>
          </reference>
        </references>
      </pivotArea>
    </format>
    <format dxfId="1363">
      <pivotArea dataOnly="0" labelOnly="1" outline="0" fieldPosition="0">
        <references count="4">
          <reference field="5" count="1">
            <x v="16"/>
          </reference>
          <reference field="8" count="1" selected="0">
            <x v="496"/>
          </reference>
          <reference field="11" count="1" selected="0">
            <x v="3"/>
          </reference>
          <reference field="13" count="1" selected="0">
            <x v="242"/>
          </reference>
        </references>
      </pivotArea>
    </format>
    <format dxfId="1362">
      <pivotArea dataOnly="0" labelOnly="1" outline="0" fieldPosition="0">
        <references count="4">
          <reference field="5" count="1">
            <x v="16"/>
          </reference>
          <reference field="8" count="1" selected="0">
            <x v="496"/>
          </reference>
          <reference field="11" count="1" selected="0">
            <x v="3"/>
          </reference>
          <reference field="13" count="1" selected="0">
            <x v="243"/>
          </reference>
        </references>
      </pivotArea>
    </format>
    <format dxfId="1361">
      <pivotArea dataOnly="0" labelOnly="1" outline="0" fieldPosition="0">
        <references count="4">
          <reference field="5" count="1">
            <x v="16"/>
          </reference>
          <reference field="8" count="1" selected="0">
            <x v="496"/>
          </reference>
          <reference field="11" count="1" selected="0">
            <x v="3"/>
          </reference>
          <reference field="13" count="1" selected="0">
            <x v="287"/>
          </reference>
        </references>
      </pivotArea>
    </format>
    <format dxfId="1360">
      <pivotArea dataOnly="0" labelOnly="1" outline="0" fieldPosition="0">
        <references count="4">
          <reference field="5" count="2">
            <x v="20"/>
            <x v="116"/>
          </reference>
          <reference field="8" count="1" selected="0">
            <x v="496"/>
          </reference>
          <reference field="11" count="1" selected="0">
            <x v="5"/>
          </reference>
          <reference field="13" count="1" selected="0">
            <x v="81"/>
          </reference>
        </references>
      </pivotArea>
    </format>
    <format dxfId="1359">
      <pivotArea dataOnly="0" labelOnly="1" outline="0" fieldPosition="0">
        <references count="4">
          <reference field="5" count="1">
            <x v="47"/>
          </reference>
          <reference field="8" count="1" selected="0">
            <x v="497"/>
          </reference>
          <reference field="11" count="1" selected="0">
            <x v="0"/>
          </reference>
          <reference field="13" count="1" selected="0">
            <x v="136"/>
          </reference>
        </references>
      </pivotArea>
    </format>
    <format dxfId="1358">
      <pivotArea dataOnly="0" labelOnly="1" outline="0" fieldPosition="0">
        <references count="4">
          <reference field="5" count="1">
            <x v="102"/>
          </reference>
          <reference field="8" count="1" selected="0">
            <x v="497"/>
          </reference>
          <reference field="11" count="1" selected="0">
            <x v="3"/>
          </reference>
          <reference field="13" count="1" selected="0">
            <x v="32"/>
          </reference>
        </references>
      </pivotArea>
    </format>
    <format dxfId="1357">
      <pivotArea dataOnly="0" labelOnly="1" outline="0" fieldPosition="0">
        <references count="4">
          <reference field="5" count="1">
            <x v="102"/>
          </reference>
          <reference field="8" count="1" selected="0">
            <x v="497"/>
          </reference>
          <reference field="11" count="1" selected="0">
            <x v="3"/>
          </reference>
          <reference field="13" count="1" selected="0">
            <x v="287"/>
          </reference>
        </references>
      </pivotArea>
    </format>
    <format dxfId="1356">
      <pivotArea dataOnly="0" labelOnly="1" outline="0" fieldPosition="0">
        <references count="4">
          <reference field="5" count="1">
            <x v="102"/>
          </reference>
          <reference field="8" count="1" selected="0">
            <x v="497"/>
          </reference>
          <reference field="11" count="1" selected="0">
            <x v="5"/>
          </reference>
          <reference field="13" count="1" selected="0">
            <x v="77"/>
          </reference>
        </references>
      </pivotArea>
    </format>
    <format dxfId="1355">
      <pivotArea dataOnly="0" labelOnly="1" outline="0" fieldPosition="0">
        <references count="4">
          <reference field="5" count="1">
            <x v="116"/>
          </reference>
          <reference field="8" count="1" selected="0">
            <x v="497"/>
          </reference>
          <reference field="11" count="1" selected="0">
            <x v="5"/>
          </reference>
          <reference field="13" count="1" selected="0">
            <x v="81"/>
          </reference>
        </references>
      </pivotArea>
    </format>
    <format dxfId="1354">
      <pivotArea dataOnly="0" labelOnly="1" outline="0" fieldPosition="0">
        <references count="4">
          <reference field="5" count="1">
            <x v="64"/>
          </reference>
          <reference field="8" count="1" selected="0">
            <x v="498"/>
          </reference>
          <reference field="11" count="1" selected="0">
            <x v="0"/>
          </reference>
          <reference field="13" count="1" selected="0">
            <x v="136"/>
          </reference>
        </references>
      </pivotArea>
    </format>
    <format dxfId="1353">
      <pivotArea dataOnly="0" labelOnly="1" outline="0" fieldPosition="0">
        <references count="4">
          <reference field="5" count="1">
            <x v="102"/>
          </reference>
          <reference field="8" count="1" selected="0">
            <x v="498"/>
          </reference>
          <reference field="11" count="1" selected="0">
            <x v="3"/>
          </reference>
          <reference field="13" count="1" selected="0">
            <x v="287"/>
          </reference>
        </references>
      </pivotArea>
    </format>
    <format dxfId="1352">
      <pivotArea dataOnly="0" labelOnly="1" outline="0" fieldPosition="0">
        <references count="4">
          <reference field="5" count="1">
            <x v="102"/>
          </reference>
          <reference field="8" count="1" selected="0">
            <x v="498"/>
          </reference>
          <reference field="11" count="1" selected="0">
            <x v="5"/>
          </reference>
          <reference field="13" count="1" selected="0">
            <x v="81"/>
          </reference>
        </references>
      </pivotArea>
    </format>
    <format dxfId="1351">
      <pivotArea dataOnly="0" labelOnly="1" outline="0" fieldPosition="0">
        <references count="4">
          <reference field="5" count="1">
            <x v="34"/>
          </reference>
          <reference field="8" count="1" selected="0">
            <x v="499"/>
          </reference>
          <reference field="11" count="1" selected="0">
            <x v="3"/>
          </reference>
          <reference field="13" count="1" selected="0">
            <x v="69"/>
          </reference>
        </references>
      </pivotArea>
    </format>
    <format dxfId="1350">
      <pivotArea dataOnly="0" labelOnly="1" outline="0" fieldPosition="0">
        <references count="4">
          <reference field="5" count="1">
            <x v="34"/>
          </reference>
          <reference field="8" count="1" selected="0">
            <x v="499"/>
          </reference>
          <reference field="11" count="1" selected="0">
            <x v="3"/>
          </reference>
          <reference field="13" count="1" selected="0">
            <x v="240"/>
          </reference>
        </references>
      </pivotArea>
    </format>
    <format dxfId="1349">
      <pivotArea dataOnly="0" labelOnly="1" outline="0" fieldPosition="0">
        <references count="4">
          <reference field="5" count="1">
            <x v="34"/>
          </reference>
          <reference field="8" count="1" selected="0">
            <x v="499"/>
          </reference>
          <reference field="11" count="1" selected="0">
            <x v="3"/>
          </reference>
          <reference field="13" count="1" selected="0">
            <x v="251"/>
          </reference>
        </references>
      </pivotArea>
    </format>
    <format dxfId="1348">
      <pivotArea dataOnly="0" labelOnly="1" outline="0" fieldPosition="0">
        <references count="4">
          <reference field="5" count="1">
            <x v="34"/>
          </reference>
          <reference field="8" count="1" selected="0">
            <x v="499"/>
          </reference>
          <reference field="11" count="1" selected="0">
            <x v="3"/>
          </reference>
          <reference field="13" count="1" selected="0">
            <x v="272"/>
          </reference>
        </references>
      </pivotArea>
    </format>
    <format dxfId="1347">
      <pivotArea dataOnly="0" labelOnly="1" outline="0" fieldPosition="0">
        <references count="4">
          <reference field="5" count="1">
            <x v="34"/>
          </reference>
          <reference field="8" count="1" selected="0">
            <x v="499"/>
          </reference>
          <reference field="11" count="1" selected="0">
            <x v="3"/>
          </reference>
          <reference field="13" count="1" selected="0">
            <x v="287"/>
          </reference>
        </references>
      </pivotArea>
    </format>
    <format dxfId="1346">
      <pivotArea dataOnly="0" labelOnly="1" outline="0" fieldPosition="0">
        <references count="4">
          <reference field="5" count="1">
            <x v="20"/>
          </reference>
          <reference field="8" count="1" selected="0">
            <x v="499"/>
          </reference>
          <reference field="11" count="1" selected="0">
            <x v="5"/>
          </reference>
          <reference field="13" count="1" selected="0">
            <x v="81"/>
          </reference>
        </references>
      </pivotArea>
    </format>
    <format dxfId="1345">
      <pivotArea dataOnly="0" labelOnly="1" outline="0" fieldPosition="0">
        <references count="4">
          <reference field="5" count="1">
            <x v="34"/>
          </reference>
          <reference field="8" count="1" selected="0">
            <x v="500"/>
          </reference>
          <reference field="11" count="1" selected="0">
            <x v="3"/>
          </reference>
          <reference field="13" count="1" selected="0">
            <x v="240"/>
          </reference>
        </references>
      </pivotArea>
    </format>
    <format dxfId="1344">
      <pivotArea dataOnly="0" labelOnly="1" outline="0" fieldPosition="0">
        <references count="4">
          <reference field="5" count="1">
            <x v="34"/>
          </reference>
          <reference field="8" count="1" selected="0">
            <x v="500"/>
          </reference>
          <reference field="11" count="1" selected="0">
            <x v="3"/>
          </reference>
          <reference field="13" count="1" selected="0">
            <x v="242"/>
          </reference>
        </references>
      </pivotArea>
    </format>
    <format dxfId="1343">
      <pivotArea dataOnly="0" labelOnly="1" outline="0" fieldPosition="0">
        <references count="4">
          <reference field="5" count="1">
            <x v="34"/>
          </reference>
          <reference field="8" count="1" selected="0">
            <x v="500"/>
          </reference>
          <reference field="11" count="1" selected="0">
            <x v="3"/>
          </reference>
          <reference field="13" count="1" selected="0">
            <x v="272"/>
          </reference>
        </references>
      </pivotArea>
    </format>
    <format dxfId="1342">
      <pivotArea dataOnly="0" labelOnly="1" outline="0" fieldPosition="0">
        <references count="4">
          <reference field="5" count="1">
            <x v="117"/>
          </reference>
          <reference field="8" count="1" selected="0">
            <x v="501"/>
          </reference>
          <reference field="11" count="1" selected="0">
            <x v="3"/>
          </reference>
          <reference field="13" count="1" selected="0">
            <x v="29"/>
          </reference>
        </references>
      </pivotArea>
    </format>
    <format dxfId="1341">
      <pivotArea dataOnly="0" labelOnly="1" outline="0" fieldPosition="0">
        <references count="4">
          <reference field="5" count="1">
            <x v="117"/>
          </reference>
          <reference field="8" count="1" selected="0">
            <x v="501"/>
          </reference>
          <reference field="11" count="1" selected="0">
            <x v="3"/>
          </reference>
          <reference field="13" count="1" selected="0">
            <x v="218"/>
          </reference>
        </references>
      </pivotArea>
    </format>
    <format dxfId="1340">
      <pivotArea dataOnly="0" labelOnly="1" outline="0" fieldPosition="0">
        <references count="4">
          <reference field="5" count="1">
            <x v="75"/>
          </reference>
          <reference field="8" count="1" selected="0">
            <x v="501"/>
          </reference>
          <reference field="11" count="1" selected="0">
            <x v="3"/>
          </reference>
          <reference field="13" count="1" selected="0">
            <x v="287"/>
          </reference>
        </references>
      </pivotArea>
    </format>
    <format dxfId="1339">
      <pivotArea dataOnly="0" labelOnly="1" outline="0" fieldPosition="0">
        <references count="4">
          <reference field="5" count="1">
            <x v="117"/>
          </reference>
          <reference field="8" count="1" selected="0">
            <x v="501"/>
          </reference>
          <reference field="11" count="1" selected="0">
            <x v="3"/>
          </reference>
          <reference field="13" count="1" selected="0">
            <x v="314"/>
          </reference>
        </references>
      </pivotArea>
    </format>
    <format dxfId="1338">
      <pivotArea dataOnly="0" labelOnly="1" outline="0" fieldPosition="0">
        <references count="4">
          <reference field="5" count="1">
            <x v="20"/>
          </reference>
          <reference field="8" count="1" selected="0">
            <x v="501"/>
          </reference>
          <reference field="11" count="1" selected="0">
            <x v="5"/>
          </reference>
          <reference field="13" count="1" selected="0">
            <x v="81"/>
          </reference>
        </references>
      </pivotArea>
    </format>
    <format dxfId="1337">
      <pivotArea dataOnly="0" labelOnly="1" outline="0" fieldPosition="0">
        <references count="4">
          <reference field="5" count="2">
            <x v="45"/>
            <x v="75"/>
          </reference>
          <reference field="8" count="1" selected="0">
            <x v="501"/>
          </reference>
          <reference field="11" count="1" selected="0">
            <x v="5"/>
          </reference>
          <reference field="13" count="1" selected="0">
            <x v="86"/>
          </reference>
        </references>
      </pivotArea>
    </format>
    <format dxfId="1336">
      <pivotArea dataOnly="0" labelOnly="1" outline="0" fieldPosition="0">
        <references count="4">
          <reference field="5" count="1">
            <x v="23"/>
          </reference>
          <reference field="8" count="1" selected="0">
            <x v="503"/>
          </reference>
          <reference field="11" count="1" selected="0">
            <x v="2"/>
          </reference>
          <reference field="13" count="1" selected="0">
            <x v="128"/>
          </reference>
        </references>
      </pivotArea>
    </format>
    <format dxfId="1335">
      <pivotArea dataOnly="0" labelOnly="1" outline="0" fieldPosition="0">
        <references count="4">
          <reference field="5" count="1">
            <x v="23"/>
          </reference>
          <reference field="8" count="1" selected="0">
            <x v="503"/>
          </reference>
          <reference field="11" count="1" selected="0">
            <x v="2"/>
          </reference>
          <reference field="13" count="1" selected="0">
            <x v="254"/>
          </reference>
        </references>
      </pivotArea>
    </format>
    <format dxfId="1334">
      <pivotArea dataOnly="0" labelOnly="1" outline="0" fieldPosition="0">
        <references count="4">
          <reference field="5" count="1">
            <x v="23"/>
          </reference>
          <reference field="8" count="1" selected="0">
            <x v="503"/>
          </reference>
          <reference field="11" count="1" selected="0">
            <x v="2"/>
          </reference>
          <reference field="13" count="1" selected="0">
            <x v="263"/>
          </reference>
        </references>
      </pivotArea>
    </format>
    <format dxfId="1333">
      <pivotArea dataOnly="0" labelOnly="1" outline="0" fieldPosition="0">
        <references count="4">
          <reference field="5" count="2">
            <x v="116"/>
            <x v="117"/>
          </reference>
          <reference field="8" count="1" selected="0">
            <x v="503"/>
          </reference>
          <reference field="11" count="1" selected="0">
            <x v="3"/>
          </reference>
          <reference field="13" count="1" selected="0">
            <x v="29"/>
          </reference>
        </references>
      </pivotArea>
    </format>
    <format dxfId="1332">
      <pivotArea dataOnly="0" labelOnly="1" outline="0" fieldPosition="0">
        <references count="4">
          <reference field="5" count="1">
            <x v="23"/>
          </reference>
          <reference field="8" count="1" selected="0">
            <x v="503"/>
          </reference>
          <reference field="11" count="1" selected="0">
            <x v="3"/>
          </reference>
          <reference field="13" count="1" selected="0">
            <x v="32"/>
          </reference>
        </references>
      </pivotArea>
    </format>
    <format dxfId="1331">
      <pivotArea dataOnly="0" labelOnly="1" outline="0" fieldPosition="0">
        <references count="4">
          <reference field="5" count="1">
            <x v="117"/>
          </reference>
          <reference field="8" count="1" selected="0">
            <x v="503"/>
          </reference>
          <reference field="11" count="1" selected="0">
            <x v="3"/>
          </reference>
          <reference field="13" count="1" selected="0">
            <x v="218"/>
          </reference>
        </references>
      </pivotArea>
    </format>
    <format dxfId="1330">
      <pivotArea dataOnly="0" labelOnly="1" outline="0" fieldPosition="0">
        <references count="4">
          <reference field="5" count="1">
            <x v="23"/>
          </reference>
          <reference field="8" count="1" selected="0">
            <x v="503"/>
          </reference>
          <reference field="11" count="1" selected="0">
            <x v="3"/>
          </reference>
          <reference field="13" count="1" selected="0">
            <x v="242"/>
          </reference>
        </references>
      </pivotArea>
    </format>
    <format dxfId="1329">
      <pivotArea dataOnly="0" labelOnly="1" outline="0" fieldPosition="0">
        <references count="4">
          <reference field="5" count="1">
            <x v="23"/>
          </reference>
          <reference field="8" count="1" selected="0">
            <x v="503"/>
          </reference>
          <reference field="11" count="1" selected="0">
            <x v="3"/>
          </reference>
          <reference field="13" count="1" selected="0">
            <x v="243"/>
          </reference>
        </references>
      </pivotArea>
    </format>
    <format dxfId="1328">
      <pivotArea dataOnly="0" labelOnly="1" outline="0" fieldPosition="0">
        <references count="4">
          <reference field="5" count="1">
            <x v="23"/>
          </reference>
          <reference field="8" count="1" selected="0">
            <x v="503"/>
          </reference>
          <reference field="11" count="1" selected="0">
            <x v="3"/>
          </reference>
          <reference field="13" count="1" selected="0">
            <x v="262"/>
          </reference>
        </references>
      </pivotArea>
    </format>
    <format dxfId="1327">
      <pivotArea dataOnly="0" labelOnly="1" outline="0" fieldPosition="0">
        <references count="4">
          <reference field="5" count="1">
            <x v="117"/>
          </reference>
          <reference field="8" count="1" selected="0">
            <x v="503"/>
          </reference>
          <reference field="11" count="1" selected="0">
            <x v="3"/>
          </reference>
          <reference field="13" count="1" selected="0">
            <x v="314"/>
          </reference>
        </references>
      </pivotArea>
    </format>
    <format dxfId="1326">
      <pivotArea dataOnly="0" labelOnly="1" outline="0" fieldPosition="0">
        <references count="4">
          <reference field="5" count="1">
            <x v="20"/>
          </reference>
          <reference field="8" count="1" selected="0">
            <x v="503"/>
          </reference>
          <reference field="11" count="1" selected="0">
            <x v="5"/>
          </reference>
          <reference field="13" count="1" selected="0">
            <x v="77"/>
          </reference>
        </references>
      </pivotArea>
    </format>
    <format dxfId="1325">
      <pivotArea dataOnly="0" labelOnly="1" outline="0" fieldPosition="0">
        <references count="4">
          <reference field="5" count="1">
            <x v="116"/>
          </reference>
          <reference field="8" count="1" selected="0">
            <x v="503"/>
          </reference>
          <reference field="11" count="1" selected="0">
            <x v="5"/>
          </reference>
          <reference field="13" count="1" selected="0">
            <x v="81"/>
          </reference>
        </references>
      </pivotArea>
    </format>
    <format dxfId="1324">
      <pivotArea dataOnly="0" labelOnly="1" outline="0" fieldPosition="0">
        <references count="4">
          <reference field="5" count="2">
            <x v="64"/>
            <x v="115"/>
          </reference>
          <reference field="8" count="1" selected="0">
            <x v="504"/>
          </reference>
          <reference field="11" count="1" selected="0">
            <x v="0"/>
          </reference>
          <reference field="13" count="1" selected="0">
            <x v="53"/>
          </reference>
        </references>
      </pivotArea>
    </format>
    <format dxfId="1323">
      <pivotArea dataOnly="0" labelOnly="1" outline="0" fieldPosition="0">
        <references count="4">
          <reference field="5" count="1">
            <x v="64"/>
          </reference>
          <reference field="8" count="1" selected="0">
            <x v="504"/>
          </reference>
          <reference field="11" count="1" selected="0">
            <x v="0"/>
          </reference>
          <reference field="13" count="1" selected="0">
            <x v="58"/>
          </reference>
        </references>
      </pivotArea>
    </format>
    <format dxfId="1322">
      <pivotArea dataOnly="0" labelOnly="1" outline="0" fieldPosition="0">
        <references count="4">
          <reference field="5" count="1">
            <x v="64"/>
          </reference>
          <reference field="8" count="1" selected="0">
            <x v="504"/>
          </reference>
          <reference field="11" count="1" selected="0">
            <x v="1"/>
          </reference>
          <reference field="13" count="1" selected="0">
            <x v="169"/>
          </reference>
        </references>
      </pivotArea>
    </format>
    <format dxfId="1321">
      <pivotArea dataOnly="0" labelOnly="1" outline="0" fieldPosition="0">
        <references count="4">
          <reference field="5" count="1">
            <x v="95"/>
          </reference>
          <reference field="8" count="1" selected="0">
            <x v="504"/>
          </reference>
          <reference field="11" count="1" selected="0">
            <x v="2"/>
          </reference>
          <reference field="13" count="1" selected="0">
            <x v="71"/>
          </reference>
        </references>
      </pivotArea>
    </format>
    <format dxfId="1320">
      <pivotArea dataOnly="0" labelOnly="1" outline="0" fieldPosition="0">
        <references count="4">
          <reference field="5" count="1">
            <x v="117"/>
          </reference>
          <reference field="8" count="1" selected="0">
            <x v="504"/>
          </reference>
          <reference field="11" count="1" selected="0">
            <x v="3"/>
          </reference>
          <reference field="13" count="1" selected="0">
            <x v="29"/>
          </reference>
        </references>
      </pivotArea>
    </format>
    <format dxfId="1319">
      <pivotArea dataOnly="0" labelOnly="1" outline="0" fieldPosition="0">
        <references count="4">
          <reference field="5" count="1">
            <x v="95"/>
          </reference>
          <reference field="8" count="1" selected="0">
            <x v="504"/>
          </reference>
          <reference field="11" count="1" selected="0">
            <x v="3"/>
          </reference>
          <reference field="13" count="1" selected="0">
            <x v="78"/>
          </reference>
        </references>
      </pivotArea>
    </format>
    <format dxfId="1318">
      <pivotArea dataOnly="0" labelOnly="1" outline="0" fieldPosition="0">
        <references count="4">
          <reference field="5" count="1">
            <x v="95"/>
          </reference>
          <reference field="8" count="1" selected="0">
            <x v="504"/>
          </reference>
          <reference field="11" count="1" selected="0">
            <x v="3"/>
          </reference>
          <reference field="13" count="1" selected="0">
            <x v="100"/>
          </reference>
        </references>
      </pivotArea>
    </format>
    <format dxfId="1317">
      <pivotArea dataOnly="0" labelOnly="1" outline="0" fieldPosition="0">
        <references count="4">
          <reference field="5" count="1">
            <x v="117"/>
          </reference>
          <reference field="8" count="1" selected="0">
            <x v="504"/>
          </reference>
          <reference field="11" count="1" selected="0">
            <x v="3"/>
          </reference>
          <reference field="13" count="1" selected="0">
            <x v="218"/>
          </reference>
        </references>
      </pivotArea>
    </format>
    <format dxfId="1316">
      <pivotArea dataOnly="0" labelOnly="1" outline="0" fieldPosition="0">
        <references count="4">
          <reference field="5" count="1">
            <x v="95"/>
          </reference>
          <reference field="8" count="1" selected="0">
            <x v="504"/>
          </reference>
          <reference field="11" count="1" selected="0">
            <x v="3"/>
          </reference>
          <reference field="13" count="1" selected="0">
            <x v="242"/>
          </reference>
        </references>
      </pivotArea>
    </format>
    <format dxfId="1315">
      <pivotArea dataOnly="0" labelOnly="1" outline="0" fieldPosition="0">
        <references count="4">
          <reference field="5" count="1">
            <x v="95"/>
          </reference>
          <reference field="8" count="1" selected="0">
            <x v="504"/>
          </reference>
          <reference field="11" count="1" selected="0">
            <x v="3"/>
          </reference>
          <reference field="13" count="1" selected="0">
            <x v="243"/>
          </reference>
        </references>
      </pivotArea>
    </format>
    <format dxfId="1314">
      <pivotArea dataOnly="0" labelOnly="1" outline="0" fieldPosition="0">
        <references count="4">
          <reference field="5" count="1">
            <x v="95"/>
          </reference>
          <reference field="8" count="1" selected="0">
            <x v="504"/>
          </reference>
          <reference field="11" count="1" selected="0">
            <x v="3"/>
          </reference>
          <reference field="13" count="1" selected="0">
            <x v="287"/>
          </reference>
        </references>
      </pivotArea>
    </format>
    <format dxfId="1313">
      <pivotArea dataOnly="0" labelOnly="1" outline="0" fieldPosition="0">
        <references count="4">
          <reference field="5" count="1">
            <x v="95"/>
          </reference>
          <reference field="8" count="1" selected="0">
            <x v="504"/>
          </reference>
          <reference field="11" count="1" selected="0">
            <x v="3"/>
          </reference>
          <reference field="13" count="1" selected="0">
            <x v="313"/>
          </reference>
        </references>
      </pivotArea>
    </format>
    <format dxfId="1312">
      <pivotArea dataOnly="0" labelOnly="1" outline="0" fieldPosition="0">
        <references count="4">
          <reference field="5" count="1">
            <x v="117"/>
          </reference>
          <reference field="8" count="1" selected="0">
            <x v="504"/>
          </reference>
          <reference field="11" count="1" selected="0">
            <x v="3"/>
          </reference>
          <reference field="13" count="1" selected="0">
            <x v="314"/>
          </reference>
        </references>
      </pivotArea>
    </format>
    <format dxfId="1311">
      <pivotArea dataOnly="0" labelOnly="1" outline="0" fieldPosition="0">
        <references count="4">
          <reference field="5" count="1">
            <x v="95"/>
          </reference>
          <reference field="8" count="1" selected="0">
            <x v="504"/>
          </reference>
          <reference field="11" count="1" selected="0">
            <x v="4"/>
          </reference>
          <reference field="13" count="1" selected="0">
            <x v="133"/>
          </reference>
        </references>
      </pivotArea>
    </format>
    <format dxfId="1310">
      <pivotArea dataOnly="0" labelOnly="1" outline="0" fieldPosition="0">
        <references count="4">
          <reference field="5" count="1">
            <x v="95"/>
          </reference>
          <reference field="8" count="1" selected="0">
            <x v="504"/>
          </reference>
          <reference field="11" count="1" selected="0">
            <x v="4"/>
          </reference>
          <reference field="13" count="1" selected="0">
            <x v="280"/>
          </reference>
        </references>
      </pivotArea>
    </format>
    <format dxfId="1309">
      <pivotArea dataOnly="0" labelOnly="1" outline="0" fieldPosition="0">
        <references count="4">
          <reference field="5" count="1">
            <x v="116"/>
          </reference>
          <reference field="8" count="1" selected="0">
            <x v="504"/>
          </reference>
          <reference field="11" count="1" selected="0">
            <x v="5"/>
          </reference>
          <reference field="13" count="1" selected="0">
            <x v="77"/>
          </reference>
        </references>
      </pivotArea>
    </format>
    <format dxfId="1308">
      <pivotArea dataOnly="0" labelOnly="1" outline="0" fieldPosition="0">
        <references count="4">
          <reference field="5" count="1">
            <x v="20"/>
          </reference>
          <reference field="8" count="1" selected="0">
            <x v="504"/>
          </reference>
          <reference field="11" count="1" selected="0">
            <x v="5"/>
          </reference>
          <reference field="13" count="1" selected="0">
            <x v="255"/>
          </reference>
        </references>
      </pivotArea>
    </format>
    <format dxfId="1307">
      <pivotArea dataOnly="0" labelOnly="1" outline="0" fieldPosition="0">
        <references count="4">
          <reference field="5" count="1">
            <x v="2"/>
          </reference>
          <reference field="8" count="1" selected="0">
            <x v="504"/>
          </reference>
          <reference field="11" count="1" selected="0">
            <x v="5"/>
          </reference>
          <reference field="13" count="1" selected="0">
            <x v="274"/>
          </reference>
        </references>
      </pivotArea>
    </format>
    <format dxfId="1306">
      <pivotArea dataOnly="0" labelOnly="1" outline="0" fieldPosition="0">
        <references count="4">
          <reference field="5" count="1">
            <x v="2"/>
          </reference>
          <reference field="8" count="1" selected="0">
            <x v="504"/>
          </reference>
          <reference field="11" count="1" selected="0">
            <x v="6"/>
          </reference>
          <reference field="13" count="1" selected="0">
            <x v="191"/>
          </reference>
        </references>
      </pivotArea>
    </format>
    <format dxfId="1305">
      <pivotArea dataOnly="0" labelOnly="1" outline="0" fieldPosition="0">
        <references count="4">
          <reference field="5" count="1">
            <x v="2"/>
          </reference>
          <reference field="8" count="1" selected="0">
            <x v="504"/>
          </reference>
          <reference field="11" count="1" selected="0">
            <x v="6"/>
          </reference>
          <reference field="13" count="1" selected="0">
            <x v="198"/>
          </reference>
        </references>
      </pivotArea>
    </format>
    <format dxfId="1304">
      <pivotArea dataOnly="0" labelOnly="1" outline="0" fieldPosition="0">
        <references count="4">
          <reference field="5" count="1">
            <x v="2"/>
          </reference>
          <reference field="8" count="1" selected="0">
            <x v="504"/>
          </reference>
          <reference field="11" count="1" selected="0">
            <x v="6"/>
          </reference>
          <reference field="13" count="1" selected="0">
            <x v="199"/>
          </reference>
        </references>
      </pivotArea>
    </format>
    <format dxfId="1303">
      <pivotArea dataOnly="0" labelOnly="1" outline="0" fieldPosition="0">
        <references count="4">
          <reference field="5" count="1">
            <x v="95"/>
          </reference>
          <reference field="8" count="1" selected="0">
            <x v="504"/>
          </reference>
          <reference field="11" count="1" selected="0">
            <x v="7"/>
          </reference>
          <reference field="13" count="1" selected="0">
            <x v="8"/>
          </reference>
        </references>
      </pivotArea>
    </format>
    <format dxfId="1302">
      <pivotArea dataOnly="0" labelOnly="1" outline="0" fieldPosition="0">
        <references count="4">
          <reference field="5" count="1">
            <x v="95"/>
          </reference>
          <reference field="8" count="1" selected="0">
            <x v="504"/>
          </reference>
          <reference field="11" count="1" selected="0">
            <x v="7"/>
          </reference>
          <reference field="13" count="1" selected="0">
            <x v="72"/>
          </reference>
        </references>
      </pivotArea>
    </format>
    <format dxfId="1301">
      <pivotArea dataOnly="0" labelOnly="1" outline="0" fieldPosition="0">
        <references count="4">
          <reference field="5" count="1">
            <x v="64"/>
          </reference>
          <reference field="8" count="1" selected="0">
            <x v="504"/>
          </reference>
          <reference field="11" count="1" selected="0">
            <x v="7"/>
          </reference>
          <reference field="13" count="1" selected="0">
            <x v="129"/>
          </reference>
        </references>
      </pivotArea>
    </format>
    <format dxfId="1300">
      <pivotArea dataOnly="0" labelOnly="1" outline="0" fieldPosition="0">
        <references count="4">
          <reference field="5" count="1">
            <x v="95"/>
          </reference>
          <reference field="8" count="1" selected="0">
            <x v="504"/>
          </reference>
          <reference field="11" count="1" selected="0">
            <x v="7"/>
          </reference>
          <reference field="13" count="1" selected="0">
            <x v="308"/>
          </reference>
        </references>
      </pivotArea>
    </format>
    <format dxfId="1299">
      <pivotArea dataOnly="0" labelOnly="1" outline="0" fieldPosition="0">
        <references count="4">
          <reference field="5" count="2">
            <x v="32"/>
            <x v="116"/>
          </reference>
          <reference field="8" count="1" selected="0">
            <x v="505"/>
          </reference>
          <reference field="11" count="1" selected="0">
            <x v="5"/>
          </reference>
          <reference field="13" count="1" selected="0">
            <x v="77"/>
          </reference>
        </references>
      </pivotArea>
    </format>
    <format dxfId="1298">
      <pivotArea dataOnly="0" labelOnly="1" outline="0" fieldPosition="0">
        <references count="4">
          <reference field="5" count="1">
            <x v="32"/>
          </reference>
          <reference field="8" count="1" selected="0">
            <x v="505"/>
          </reference>
          <reference field="11" count="1" selected="0">
            <x v="5"/>
          </reference>
          <reference field="13" count="1" selected="0">
            <x v="81"/>
          </reference>
        </references>
      </pivotArea>
    </format>
    <format dxfId="1297">
      <pivotArea dataOnly="0" labelOnly="1" outline="0" fieldPosition="0">
        <references count="4">
          <reference field="5" count="1">
            <x v="20"/>
          </reference>
          <reference field="8" count="1" selected="0">
            <x v="506"/>
          </reference>
          <reference field="11" count="1" selected="0">
            <x v="5"/>
          </reference>
          <reference field="13" count="1" selected="0">
            <x v="77"/>
          </reference>
        </references>
      </pivotArea>
    </format>
    <format dxfId="1296">
      <pivotArea dataOnly="0" labelOnly="1" outline="0" fieldPosition="0">
        <references count="4">
          <reference field="5" count="1">
            <x v="32"/>
          </reference>
          <reference field="8" count="1" selected="0">
            <x v="506"/>
          </reference>
          <reference field="11" count="1" selected="0">
            <x v="5"/>
          </reference>
          <reference field="13" count="1" selected="0">
            <x v="81"/>
          </reference>
        </references>
      </pivotArea>
    </format>
    <format dxfId="1295">
      <pivotArea dataOnly="0" labelOnly="1" outline="0" fieldPosition="0">
        <references count="4">
          <reference field="5" count="1">
            <x v="106"/>
          </reference>
          <reference field="8" count="1" selected="0">
            <x v="507"/>
          </reference>
          <reference field="11" count="1" selected="0">
            <x v="3"/>
          </reference>
          <reference field="13" count="1" selected="0">
            <x v="287"/>
          </reference>
        </references>
      </pivotArea>
    </format>
    <format dxfId="1294">
      <pivotArea dataOnly="0" labelOnly="1" outline="0" fieldPosition="0">
        <references count="4">
          <reference field="5" count="1">
            <x v="116"/>
          </reference>
          <reference field="8" count="1" selected="0">
            <x v="507"/>
          </reference>
          <reference field="11" count="1" selected="0">
            <x v="5"/>
          </reference>
          <reference field="13" count="1" selected="0">
            <x v="77"/>
          </reference>
        </references>
      </pivotArea>
    </format>
    <format dxfId="1293">
      <pivotArea dataOnly="0" labelOnly="1" outline="0" fieldPosition="0">
        <references count="4">
          <reference field="5" count="1">
            <x v="106"/>
          </reference>
          <reference field="8" count="1" selected="0">
            <x v="507"/>
          </reference>
          <reference field="11" count="1" selected="0">
            <x v="6"/>
          </reference>
          <reference field="13" count="1" selected="0">
            <x v="207"/>
          </reference>
        </references>
      </pivotArea>
    </format>
    <format dxfId="1292">
      <pivotArea dataOnly="0" labelOnly="1" outline="0" fieldPosition="0">
        <references count="4">
          <reference field="5" count="1">
            <x v="47"/>
          </reference>
          <reference field="8" count="1" selected="0">
            <x v="508"/>
          </reference>
          <reference field="11" count="1" selected="0">
            <x v="0"/>
          </reference>
          <reference field="13" count="1" selected="0">
            <x v="3"/>
          </reference>
        </references>
      </pivotArea>
    </format>
    <format dxfId="1291">
      <pivotArea dataOnly="0" labelOnly="1" outline="0" fieldPosition="0">
        <references count="4">
          <reference field="5" count="1">
            <x v="47"/>
          </reference>
          <reference field="8" count="1" selected="0">
            <x v="508"/>
          </reference>
          <reference field="11" count="1" selected="0">
            <x v="0"/>
          </reference>
          <reference field="13" count="1" selected="0">
            <x v="34"/>
          </reference>
        </references>
      </pivotArea>
    </format>
    <format dxfId="1290">
      <pivotArea dataOnly="0" labelOnly="1" outline="0" fieldPosition="0">
        <references count="4">
          <reference field="5" count="1">
            <x v="27"/>
          </reference>
          <reference field="8" count="1" selected="0">
            <x v="508"/>
          </reference>
          <reference field="11" count="1" selected="0">
            <x v="3"/>
          </reference>
          <reference field="13" count="1" selected="0">
            <x v="242"/>
          </reference>
        </references>
      </pivotArea>
    </format>
    <format dxfId="1289">
      <pivotArea dataOnly="0" labelOnly="1" outline="0" fieldPosition="0">
        <references count="4">
          <reference field="5" count="1">
            <x v="20"/>
          </reference>
          <reference field="8" count="1" selected="0">
            <x v="508"/>
          </reference>
          <reference field="11" count="1" selected="0">
            <x v="5"/>
          </reference>
          <reference field="13" count="1" selected="0">
            <x v="81"/>
          </reference>
        </references>
      </pivotArea>
    </format>
    <format dxfId="1288">
      <pivotArea dataOnly="0" labelOnly="1" outline="0" fieldPosition="0">
        <references count="4">
          <reference field="5" count="1">
            <x v="10"/>
          </reference>
          <reference field="8" count="1" selected="0">
            <x v="509"/>
          </reference>
          <reference field="11" count="1" selected="0">
            <x v="3"/>
          </reference>
          <reference field="13" count="1" selected="0">
            <x v="69"/>
          </reference>
        </references>
      </pivotArea>
    </format>
    <format dxfId="1287">
      <pivotArea dataOnly="0" labelOnly="1" outline="0" fieldPosition="0">
        <references count="4">
          <reference field="5" count="1">
            <x v="10"/>
          </reference>
          <reference field="8" count="1" selected="0">
            <x v="509"/>
          </reference>
          <reference field="11" count="1" selected="0">
            <x v="3"/>
          </reference>
          <reference field="13" count="1" selected="0">
            <x v="240"/>
          </reference>
        </references>
      </pivotArea>
    </format>
    <format dxfId="1286">
      <pivotArea dataOnly="0" labelOnly="1" outline="0" fieldPosition="0">
        <references count="4">
          <reference field="5" count="1">
            <x v="10"/>
          </reference>
          <reference field="8" count="1" selected="0">
            <x v="509"/>
          </reference>
          <reference field="11" count="1" selected="0">
            <x v="3"/>
          </reference>
          <reference field="13" count="1" selected="0">
            <x v="242"/>
          </reference>
        </references>
      </pivotArea>
    </format>
    <format dxfId="1285">
      <pivotArea dataOnly="0" labelOnly="1" outline="0" fieldPosition="0">
        <references count="4">
          <reference field="5" count="1">
            <x v="10"/>
          </reference>
          <reference field="8" count="1" selected="0">
            <x v="509"/>
          </reference>
          <reference field="11" count="1" selected="0">
            <x v="5"/>
          </reference>
          <reference field="13" count="1" selected="0">
            <x v="229"/>
          </reference>
        </references>
      </pivotArea>
    </format>
    <format dxfId="1284">
      <pivotArea dataOnly="0" labelOnly="1" outline="0" fieldPosition="0">
        <references count="4">
          <reference field="5" count="1">
            <x v="114"/>
          </reference>
          <reference field="8" count="1" selected="0">
            <x v="510"/>
          </reference>
          <reference field="11" count="1" selected="0">
            <x v="3"/>
          </reference>
          <reference field="13" count="1" selected="0">
            <x v="7"/>
          </reference>
        </references>
      </pivotArea>
    </format>
    <format dxfId="1283">
      <pivotArea dataOnly="0" labelOnly="1" outline="0" fieldPosition="0">
        <references count="4">
          <reference field="5" count="1">
            <x v="114"/>
          </reference>
          <reference field="8" count="1" selected="0">
            <x v="510"/>
          </reference>
          <reference field="11" count="1" selected="0">
            <x v="3"/>
          </reference>
          <reference field="13" count="1" selected="0">
            <x v="32"/>
          </reference>
        </references>
      </pivotArea>
    </format>
    <format dxfId="1282">
      <pivotArea dataOnly="0" labelOnly="1" outline="0" fieldPosition="0">
        <references count="4">
          <reference field="5" count="1">
            <x v="114"/>
          </reference>
          <reference field="8" count="1" selected="0">
            <x v="510"/>
          </reference>
          <reference field="11" count="1" selected="0">
            <x v="3"/>
          </reference>
          <reference field="13" count="1" selected="0">
            <x v="69"/>
          </reference>
        </references>
      </pivotArea>
    </format>
    <format dxfId="1281">
      <pivotArea dataOnly="0" labelOnly="1" outline="0" fieldPosition="0">
        <references count="4">
          <reference field="5" count="1">
            <x v="114"/>
          </reference>
          <reference field="8" count="1" selected="0">
            <x v="510"/>
          </reference>
          <reference field="11" count="1" selected="0">
            <x v="3"/>
          </reference>
          <reference field="13" count="1" selected="0">
            <x v="105"/>
          </reference>
        </references>
      </pivotArea>
    </format>
    <format dxfId="1280">
      <pivotArea dataOnly="0" labelOnly="1" outline="0" fieldPosition="0">
        <references count="4">
          <reference field="5" count="1">
            <x v="114"/>
          </reference>
          <reference field="8" count="1" selected="0">
            <x v="510"/>
          </reference>
          <reference field="11" count="1" selected="0">
            <x v="3"/>
          </reference>
          <reference field="13" count="1" selected="0">
            <x v="163"/>
          </reference>
        </references>
      </pivotArea>
    </format>
    <format dxfId="1279">
      <pivotArea dataOnly="0" labelOnly="1" outline="0" fieldPosition="0">
        <references count="4">
          <reference field="5" count="1">
            <x v="114"/>
          </reference>
          <reference field="8" count="1" selected="0">
            <x v="510"/>
          </reference>
          <reference field="11" count="1" selected="0">
            <x v="3"/>
          </reference>
          <reference field="13" count="1" selected="0">
            <x v="240"/>
          </reference>
        </references>
      </pivotArea>
    </format>
    <format dxfId="1278">
      <pivotArea dataOnly="0" labelOnly="1" outline="0" fieldPosition="0">
        <references count="4">
          <reference field="5" count="1">
            <x v="114"/>
          </reference>
          <reference field="8" count="1" selected="0">
            <x v="510"/>
          </reference>
          <reference field="11" count="1" selected="0">
            <x v="3"/>
          </reference>
          <reference field="13" count="1" selected="0">
            <x v="251"/>
          </reference>
        </references>
      </pivotArea>
    </format>
    <format dxfId="1277">
      <pivotArea dataOnly="0" labelOnly="1" outline="0" fieldPosition="0">
        <references count="4">
          <reference field="5" count="1">
            <x v="114"/>
          </reference>
          <reference field="8" count="1" selected="0">
            <x v="510"/>
          </reference>
          <reference field="11" count="1" selected="0">
            <x v="3"/>
          </reference>
          <reference field="13" count="1" selected="0">
            <x v="287"/>
          </reference>
        </references>
      </pivotArea>
    </format>
    <format dxfId="1276">
      <pivotArea dataOnly="0" labelOnly="1" outline="0" fieldPosition="0">
        <references count="4">
          <reference field="5" count="1">
            <x v="114"/>
          </reference>
          <reference field="8" count="1" selected="0">
            <x v="510"/>
          </reference>
          <reference field="11" count="1" selected="0">
            <x v="3"/>
          </reference>
          <reference field="13" count="1" selected="0">
            <x v="314"/>
          </reference>
        </references>
      </pivotArea>
    </format>
    <format dxfId="1275">
      <pivotArea dataOnly="0" labelOnly="1" outline="0" fieldPosition="0">
        <references count="4">
          <reference field="5" count="1">
            <x v="114"/>
          </reference>
          <reference field="8" count="1" selected="0">
            <x v="510"/>
          </reference>
          <reference field="11" count="1" selected="0">
            <x v="4"/>
          </reference>
          <reference field="13" count="1" selected="0">
            <x v="133"/>
          </reference>
        </references>
      </pivotArea>
    </format>
    <format dxfId="1274">
      <pivotArea dataOnly="0" labelOnly="1" outline="0" fieldPosition="0">
        <references count="4">
          <reference field="5" count="1">
            <x v="114"/>
          </reference>
          <reference field="8" count="1" selected="0">
            <x v="510"/>
          </reference>
          <reference field="11" count="1" selected="0">
            <x v="5"/>
          </reference>
          <reference field="13" count="1" selected="0">
            <x v="77"/>
          </reference>
        </references>
      </pivotArea>
    </format>
    <format dxfId="1273">
      <pivotArea dataOnly="0" labelOnly="1" outline="0" fieldPosition="0">
        <references count="4">
          <reference field="5" count="1">
            <x v="114"/>
          </reference>
          <reference field="8" count="1" selected="0">
            <x v="510"/>
          </reference>
          <reference field="11" count="1" selected="0">
            <x v="5"/>
          </reference>
          <reference field="13" count="1" selected="0">
            <x v="81"/>
          </reference>
        </references>
      </pivotArea>
    </format>
    <format dxfId="1272">
      <pivotArea dataOnly="0" labelOnly="1" outline="0" fieldPosition="0">
        <references count="4">
          <reference field="5" count="1">
            <x v="114"/>
          </reference>
          <reference field="8" count="1" selected="0">
            <x v="510"/>
          </reference>
          <reference field="11" count="1" selected="0">
            <x v="5"/>
          </reference>
          <reference field="13" count="1" selected="0">
            <x v="99"/>
          </reference>
        </references>
      </pivotArea>
    </format>
    <format dxfId="1271">
      <pivotArea dataOnly="0" labelOnly="1" outline="0" fieldPosition="0">
        <references count="4">
          <reference field="5" count="1">
            <x v="114"/>
          </reference>
          <reference field="8" count="1" selected="0">
            <x v="510"/>
          </reference>
          <reference field="11" count="1" selected="0">
            <x v="5"/>
          </reference>
          <reference field="13" count="1" selected="0">
            <x v="255"/>
          </reference>
        </references>
      </pivotArea>
    </format>
    <format dxfId="1270">
      <pivotArea dataOnly="0" labelOnly="1" outline="0" fieldPosition="0">
        <references count="4">
          <reference field="5" count="1">
            <x v="114"/>
          </reference>
          <reference field="8" count="1" selected="0">
            <x v="510"/>
          </reference>
          <reference field="11" count="1" selected="0">
            <x v="7"/>
          </reference>
          <reference field="13" count="1" selected="0">
            <x v="72"/>
          </reference>
        </references>
      </pivotArea>
    </format>
    <format dxfId="1269">
      <pivotArea dataOnly="0" labelOnly="1" outline="0" fieldPosition="0">
        <references count="4">
          <reference field="5" count="1">
            <x v="114"/>
          </reference>
          <reference field="8" count="1" selected="0">
            <x v="510"/>
          </reference>
          <reference field="11" count="1" selected="0">
            <x v="7"/>
          </reference>
          <reference field="13" count="1" selected="0">
            <x v="93"/>
          </reference>
        </references>
      </pivotArea>
    </format>
    <format dxfId="1268">
      <pivotArea dataOnly="0" labelOnly="1" outline="0" fieldPosition="0">
        <references count="4">
          <reference field="5" count="1">
            <x v="86"/>
          </reference>
          <reference field="8" count="1" selected="0">
            <x v="511"/>
          </reference>
          <reference field="11" count="1" selected="0">
            <x v="2"/>
          </reference>
          <reference field="13" count="1" selected="0">
            <x v="23"/>
          </reference>
        </references>
      </pivotArea>
    </format>
    <format dxfId="1267">
      <pivotArea dataOnly="0" labelOnly="1" outline="0" fieldPosition="0">
        <references count="4">
          <reference field="5" count="1">
            <x v="91"/>
          </reference>
          <reference field="8" count="1" selected="0">
            <x v="511"/>
          </reference>
          <reference field="11" count="1" selected="0">
            <x v="2"/>
          </reference>
          <reference field="13" count="1" selected="0">
            <x v="35"/>
          </reference>
        </references>
      </pivotArea>
    </format>
    <format dxfId="1266">
      <pivotArea dataOnly="0" labelOnly="1" outline="0" fieldPosition="0">
        <references count="4">
          <reference field="5" count="1">
            <x v="86"/>
          </reference>
          <reference field="8" count="1" selected="0">
            <x v="511"/>
          </reference>
          <reference field="11" count="1" selected="0">
            <x v="2"/>
          </reference>
          <reference field="13" count="1" selected="0">
            <x v="52"/>
          </reference>
        </references>
      </pivotArea>
    </format>
    <format dxfId="1265">
      <pivotArea dataOnly="0" labelOnly="1" outline="0" fieldPosition="0">
        <references count="4">
          <reference field="5" count="1">
            <x v="85"/>
          </reference>
          <reference field="8" count="1" selected="0">
            <x v="511"/>
          </reference>
          <reference field="11" count="1" selected="0">
            <x v="2"/>
          </reference>
          <reference field="13" count="1" selected="0">
            <x v="153"/>
          </reference>
        </references>
      </pivotArea>
    </format>
    <format dxfId="1264">
      <pivotArea dataOnly="0" labelOnly="1" outline="0" fieldPosition="0">
        <references count="4">
          <reference field="5" count="1">
            <x v="86"/>
          </reference>
          <reference field="8" count="1" selected="0">
            <x v="511"/>
          </reference>
          <reference field="11" count="1" selected="0">
            <x v="2"/>
          </reference>
          <reference field="13" count="1" selected="0">
            <x v="173"/>
          </reference>
        </references>
      </pivotArea>
    </format>
    <format dxfId="1263">
      <pivotArea dataOnly="0" labelOnly="1" outline="0" fieldPosition="0">
        <references count="4">
          <reference field="5" count="2">
            <x v="85"/>
            <x v="114"/>
          </reference>
          <reference field="8" count="1" selected="0">
            <x v="511"/>
          </reference>
          <reference field="11" count="1" selected="0">
            <x v="2"/>
          </reference>
          <reference field="13" count="1" selected="0">
            <x v="238"/>
          </reference>
        </references>
      </pivotArea>
    </format>
    <format dxfId="1262">
      <pivotArea dataOnly="0" labelOnly="1" outline="0" fieldPosition="0">
        <references count="4">
          <reference field="5" count="1">
            <x v="114"/>
          </reference>
          <reference field="8" count="1" selected="0">
            <x v="511"/>
          </reference>
          <reference field="11" count="1" selected="0">
            <x v="2"/>
          </reference>
          <reference field="13" count="1" selected="0">
            <x v="263"/>
          </reference>
        </references>
      </pivotArea>
    </format>
    <format dxfId="1261">
      <pivotArea dataOnly="0" labelOnly="1" outline="0" fieldPosition="0">
        <references count="4">
          <reference field="5" count="1">
            <x v="86"/>
          </reference>
          <reference field="8" count="1" selected="0">
            <x v="511"/>
          </reference>
          <reference field="11" count="1" selected="0">
            <x v="2"/>
          </reference>
          <reference field="13" count="1" selected="0">
            <x v="279"/>
          </reference>
        </references>
      </pivotArea>
    </format>
    <format dxfId="1260">
      <pivotArea dataOnly="0" labelOnly="1" outline="0" fieldPosition="0">
        <references count="4">
          <reference field="5" count="1">
            <x v="91"/>
          </reference>
          <reference field="8" count="1" selected="0">
            <x v="511"/>
          </reference>
          <reference field="11" count="1" selected="0">
            <x v="2"/>
          </reference>
          <reference field="13" count="1" selected="0">
            <x v="285"/>
          </reference>
        </references>
      </pivotArea>
    </format>
    <format dxfId="1259">
      <pivotArea dataOnly="0" labelOnly="1" outline="0" fieldPosition="0">
        <references count="4">
          <reference field="5" count="1">
            <x v="114"/>
          </reference>
          <reference field="8" count="1" selected="0">
            <x v="511"/>
          </reference>
          <reference field="11" count="1" selected="0">
            <x v="3"/>
          </reference>
          <reference field="13" count="1" selected="0">
            <x v="4"/>
          </reference>
        </references>
      </pivotArea>
    </format>
    <format dxfId="1258">
      <pivotArea dataOnly="0" labelOnly="1" outline="0" fieldPosition="0">
        <references count="4">
          <reference field="5" count="5">
            <x v="85"/>
            <x v="86"/>
            <x v="90"/>
            <x v="91"/>
            <x v="114"/>
          </reference>
          <reference field="8" count="1" selected="0">
            <x v="511"/>
          </reference>
          <reference field="11" count="1" selected="0">
            <x v="3"/>
          </reference>
          <reference field="13" count="1" selected="0">
            <x v="7"/>
          </reference>
        </references>
      </pivotArea>
    </format>
    <format dxfId="1257">
      <pivotArea dataOnly="0" labelOnly="1" outline="0" fieldPosition="0">
        <references count="4">
          <reference field="5" count="4">
            <x v="85"/>
            <x v="86"/>
            <x v="91"/>
            <x v="114"/>
          </reference>
          <reference field="8" count="1" selected="0">
            <x v="511"/>
          </reference>
          <reference field="11" count="1" selected="0">
            <x v="3"/>
          </reference>
          <reference field="13" count="1" selected="0">
            <x v="17"/>
          </reference>
        </references>
      </pivotArea>
    </format>
    <format dxfId="1256">
      <pivotArea dataOnly="0" labelOnly="1" outline="0" fieldPosition="0">
        <references count="4">
          <reference field="5" count="5">
            <x v="85"/>
            <x v="86"/>
            <x v="87"/>
            <x v="91"/>
            <x v="114"/>
          </reference>
          <reference field="8" count="1" selected="0">
            <x v="511"/>
          </reference>
          <reference field="11" count="1" selected="0">
            <x v="3"/>
          </reference>
          <reference field="13" count="1" selected="0">
            <x v="32"/>
          </reference>
        </references>
      </pivotArea>
    </format>
    <format dxfId="1255">
      <pivotArea dataOnly="0" labelOnly="1" outline="0" fieldPosition="0">
        <references count="4">
          <reference field="5" count="1">
            <x v="114"/>
          </reference>
          <reference field="8" count="1" selected="0">
            <x v="511"/>
          </reference>
          <reference field="11" count="1" selected="0">
            <x v="3"/>
          </reference>
          <reference field="13" count="1" selected="0">
            <x v="36"/>
          </reference>
        </references>
      </pivotArea>
    </format>
    <format dxfId="1254">
      <pivotArea dataOnly="0" labelOnly="1" outline="0" fieldPosition="0">
        <references count="4">
          <reference field="5" count="1">
            <x v="91"/>
          </reference>
          <reference field="8" count="1" selected="0">
            <x v="511"/>
          </reference>
          <reference field="11" count="1" selected="0">
            <x v="3"/>
          </reference>
          <reference field="13" count="1" selected="0">
            <x v="47"/>
          </reference>
        </references>
      </pivotArea>
    </format>
    <format dxfId="1253">
      <pivotArea dataOnly="0" labelOnly="1" outline="0" fieldPosition="0">
        <references count="4">
          <reference field="5" count="3">
            <x v="86"/>
            <x v="91"/>
            <x v="114"/>
          </reference>
          <reference field="8" count="1" selected="0">
            <x v="511"/>
          </reference>
          <reference field="11" count="1" selected="0">
            <x v="3"/>
          </reference>
          <reference field="13" count="1" selected="0">
            <x v="57"/>
          </reference>
        </references>
      </pivotArea>
    </format>
    <format dxfId="1252">
      <pivotArea dataOnly="0" labelOnly="1" outline="0" fieldPosition="0">
        <references count="4">
          <reference field="5" count="5">
            <x v="85"/>
            <x v="86"/>
            <x v="90"/>
            <x v="91"/>
            <x v="114"/>
          </reference>
          <reference field="8" count="1" selected="0">
            <x v="511"/>
          </reference>
          <reference field="11" count="1" selected="0">
            <x v="3"/>
          </reference>
          <reference field="13" count="1" selected="0">
            <x v="69"/>
          </reference>
        </references>
      </pivotArea>
    </format>
    <format dxfId="1251">
      <pivotArea dataOnly="0" labelOnly="1" outline="0" fieldPosition="0">
        <references count="4">
          <reference field="5" count="2">
            <x v="91"/>
            <x v="114"/>
          </reference>
          <reference field="8" count="1" selected="0">
            <x v="511"/>
          </reference>
          <reference field="11" count="1" selected="0">
            <x v="3"/>
          </reference>
          <reference field="13" count="1" selected="0">
            <x v="78"/>
          </reference>
        </references>
      </pivotArea>
    </format>
    <format dxfId="1250">
      <pivotArea dataOnly="0" labelOnly="1" outline="0" fieldPosition="0">
        <references count="4">
          <reference field="5" count="2">
            <x v="85"/>
            <x v="91"/>
          </reference>
          <reference field="8" count="1" selected="0">
            <x v="511"/>
          </reference>
          <reference field="11" count="1" selected="0">
            <x v="3"/>
          </reference>
          <reference field="13" count="1" selected="0">
            <x v="83"/>
          </reference>
        </references>
      </pivotArea>
    </format>
    <format dxfId="1249">
      <pivotArea dataOnly="0" labelOnly="1" outline="0" fieldPosition="0">
        <references count="4">
          <reference field="5" count="4">
            <x v="85"/>
            <x v="86"/>
            <x v="91"/>
            <x v="114"/>
          </reference>
          <reference field="8" count="1" selected="0">
            <x v="511"/>
          </reference>
          <reference field="11" count="1" selected="0">
            <x v="3"/>
          </reference>
          <reference field="13" count="1" selected="0">
            <x v="89"/>
          </reference>
        </references>
      </pivotArea>
    </format>
    <format dxfId="1248">
      <pivotArea dataOnly="0" labelOnly="1" outline="0" fieldPosition="0">
        <references count="4">
          <reference field="5" count="1">
            <x v="86"/>
          </reference>
          <reference field="8" count="1" selected="0">
            <x v="511"/>
          </reference>
          <reference field="11" count="1" selected="0">
            <x v="3"/>
          </reference>
          <reference field="13" count="1" selected="0">
            <x v="101"/>
          </reference>
        </references>
      </pivotArea>
    </format>
    <format dxfId="1247">
      <pivotArea dataOnly="0" labelOnly="1" outline="0" fieldPosition="0">
        <references count="4">
          <reference field="5" count="4">
            <x v="85"/>
            <x v="86"/>
            <x v="91"/>
            <x v="114"/>
          </reference>
          <reference field="8" count="1" selected="0">
            <x v="511"/>
          </reference>
          <reference field="11" count="1" selected="0">
            <x v="3"/>
          </reference>
          <reference field="13" count="1" selected="0">
            <x v="105"/>
          </reference>
        </references>
      </pivotArea>
    </format>
    <format dxfId="1246">
      <pivotArea dataOnly="0" labelOnly="1" outline="0" fieldPosition="0">
        <references count="4">
          <reference field="5" count="4">
            <x v="85"/>
            <x v="86"/>
            <x v="91"/>
            <x v="114"/>
          </reference>
          <reference field="8" count="1" selected="0">
            <x v="511"/>
          </reference>
          <reference field="11" count="1" selected="0">
            <x v="3"/>
          </reference>
          <reference field="13" count="1" selected="0">
            <x v="110"/>
          </reference>
        </references>
      </pivotArea>
    </format>
    <format dxfId="1245">
      <pivotArea dataOnly="0" labelOnly="1" outline="0" fieldPosition="0">
        <references count="4">
          <reference field="5" count="1">
            <x v="114"/>
          </reference>
          <reference field="8" count="1" selected="0">
            <x v="511"/>
          </reference>
          <reference field="11" count="1" selected="0">
            <x v="3"/>
          </reference>
          <reference field="13" count="1" selected="0">
            <x v="131"/>
          </reference>
        </references>
      </pivotArea>
    </format>
    <format dxfId="1244">
      <pivotArea dataOnly="0" labelOnly="1" outline="0" fieldPosition="0">
        <references count="4">
          <reference field="5" count="1">
            <x v="114"/>
          </reference>
          <reference field="8" count="1" selected="0">
            <x v="511"/>
          </reference>
          <reference field="11" count="1" selected="0">
            <x v="3"/>
          </reference>
          <reference field="13" count="1" selected="0">
            <x v="134"/>
          </reference>
        </references>
      </pivotArea>
    </format>
    <format dxfId="1243">
      <pivotArea dataOnly="0" labelOnly="1" outline="0" fieldPosition="0">
        <references count="4">
          <reference field="5" count="4">
            <x v="85"/>
            <x v="86"/>
            <x v="91"/>
            <x v="114"/>
          </reference>
          <reference field="8" count="1" selected="0">
            <x v="511"/>
          </reference>
          <reference field="11" count="1" selected="0">
            <x v="3"/>
          </reference>
          <reference field="13" count="1" selected="0">
            <x v="163"/>
          </reference>
        </references>
      </pivotArea>
    </format>
    <format dxfId="1242">
      <pivotArea dataOnly="0" labelOnly="1" outline="0" fieldPosition="0">
        <references count="4">
          <reference field="5" count="3">
            <x v="85"/>
            <x v="91"/>
            <x v="114"/>
          </reference>
          <reference field="8" count="1" selected="0">
            <x v="511"/>
          </reference>
          <reference field="11" count="1" selected="0">
            <x v="3"/>
          </reference>
          <reference field="13" count="1" selected="0">
            <x v="240"/>
          </reference>
        </references>
      </pivotArea>
    </format>
    <format dxfId="1241">
      <pivotArea dataOnly="0" labelOnly="1" outline="0" fieldPosition="0">
        <references count="4">
          <reference field="5" count="3">
            <x v="86"/>
            <x v="91"/>
            <x v="114"/>
          </reference>
          <reference field="8" count="1" selected="0">
            <x v="511"/>
          </reference>
          <reference field="11" count="1" selected="0">
            <x v="3"/>
          </reference>
          <reference field="13" count="1" selected="0">
            <x v="251"/>
          </reference>
        </references>
      </pivotArea>
    </format>
    <format dxfId="1240">
      <pivotArea dataOnly="0" labelOnly="1" outline="0" fieldPosition="0">
        <references count="4">
          <reference field="5" count="4">
            <x v="85"/>
            <x v="86"/>
            <x v="91"/>
            <x v="114"/>
          </reference>
          <reference field="8" count="1" selected="0">
            <x v="511"/>
          </reference>
          <reference field="11" count="1" selected="0">
            <x v="3"/>
          </reference>
          <reference field="13" count="1" selected="0">
            <x v="287"/>
          </reference>
        </references>
      </pivotArea>
    </format>
    <format dxfId="1239">
      <pivotArea dataOnly="0" labelOnly="1" outline="0" fieldPosition="0">
        <references count="4">
          <reference field="5" count="5">
            <x v="85"/>
            <x v="86"/>
            <x v="90"/>
            <x v="91"/>
            <x v="114"/>
          </reference>
          <reference field="8" count="1" selected="0">
            <x v="511"/>
          </reference>
          <reference field="11" count="1" selected="0">
            <x v="3"/>
          </reference>
          <reference field="13" count="1" selected="0">
            <x v="305"/>
          </reference>
        </references>
      </pivotArea>
    </format>
    <format dxfId="1238">
      <pivotArea dataOnly="0" labelOnly="1" outline="0" fieldPosition="0">
        <references count="4">
          <reference field="5" count="1">
            <x v="114"/>
          </reference>
          <reference field="8" count="1" selected="0">
            <x v="511"/>
          </reference>
          <reference field="11" count="1" selected="0">
            <x v="3"/>
          </reference>
          <reference field="13" count="1" selected="0">
            <x v="314"/>
          </reference>
        </references>
      </pivotArea>
    </format>
    <format dxfId="1237">
      <pivotArea dataOnly="0" labelOnly="1" outline="0" fieldPosition="0">
        <references count="4">
          <reference field="5" count="2">
            <x v="85"/>
            <x v="86"/>
          </reference>
          <reference field="8" count="1" selected="0">
            <x v="511"/>
          </reference>
          <reference field="11" count="1" selected="0">
            <x v="3"/>
          </reference>
          <reference field="13" count="1" selected="0">
            <x v="316"/>
          </reference>
        </references>
      </pivotArea>
    </format>
    <format dxfId="1236">
      <pivotArea dataOnly="0" labelOnly="1" outline="0" fieldPosition="0">
        <references count="4">
          <reference field="5" count="4">
            <x v="85"/>
            <x v="86"/>
            <x v="91"/>
            <x v="114"/>
          </reference>
          <reference field="8" count="1" selected="0">
            <x v="511"/>
          </reference>
          <reference field="11" count="1" selected="0">
            <x v="4"/>
          </reference>
          <reference field="13" count="1" selected="0">
            <x v="133"/>
          </reference>
        </references>
      </pivotArea>
    </format>
    <format dxfId="1235">
      <pivotArea dataOnly="0" labelOnly="1" outline="0" fieldPosition="0">
        <references count="4">
          <reference field="5" count="1">
            <x v="114"/>
          </reference>
          <reference field="8" count="1" selected="0">
            <x v="511"/>
          </reference>
          <reference field="11" count="1" selected="0">
            <x v="4"/>
          </reference>
          <reference field="13" count="1" selected="0">
            <x v="150"/>
          </reference>
        </references>
      </pivotArea>
    </format>
    <format dxfId="1234">
      <pivotArea dataOnly="0" labelOnly="1" outline="0" fieldPosition="0">
        <references count="4">
          <reference field="5" count="5">
            <x v="85"/>
            <x v="86"/>
            <x v="87"/>
            <x v="91"/>
            <x v="114"/>
          </reference>
          <reference field="8" count="1" selected="0">
            <x v="511"/>
          </reference>
          <reference field="11" count="1" selected="0">
            <x v="5"/>
          </reference>
          <reference field="13" count="1" selected="0">
            <x v="77"/>
          </reference>
        </references>
      </pivotArea>
    </format>
    <format dxfId="1233">
      <pivotArea dataOnly="0" labelOnly="1" outline="0" fieldPosition="0">
        <references count="4">
          <reference field="5" count="4">
            <x v="85"/>
            <x v="86"/>
            <x v="91"/>
            <x v="114"/>
          </reference>
          <reference field="8" count="1" selected="0">
            <x v="511"/>
          </reference>
          <reference field="11" count="1" selected="0">
            <x v="5"/>
          </reference>
          <reference field="13" count="1" selected="0">
            <x v="81"/>
          </reference>
        </references>
      </pivotArea>
    </format>
    <format dxfId="1232">
      <pivotArea dataOnly="0" labelOnly="1" outline="0" fieldPosition="0">
        <references count="4">
          <reference field="5" count="3">
            <x v="86"/>
            <x v="91"/>
            <x v="114"/>
          </reference>
          <reference field="8" count="1" selected="0">
            <x v="511"/>
          </reference>
          <reference field="11" count="1" selected="0">
            <x v="5"/>
          </reference>
          <reference field="13" count="1" selected="0">
            <x v="255"/>
          </reference>
        </references>
      </pivotArea>
    </format>
    <format dxfId="1231">
      <pivotArea dataOnly="0" labelOnly="1" outline="0" fieldPosition="0">
        <references count="4">
          <reference field="5" count="1">
            <x v="114"/>
          </reference>
          <reference field="8" count="1" selected="0">
            <x v="511"/>
          </reference>
          <reference field="11" count="1" selected="0">
            <x v="6"/>
          </reference>
          <reference field="13" count="1" selected="0">
            <x v="68"/>
          </reference>
        </references>
      </pivotArea>
    </format>
    <format dxfId="1230">
      <pivotArea dataOnly="0" labelOnly="1" outline="0" fieldPosition="0">
        <references count="4">
          <reference field="5" count="1">
            <x v="85"/>
          </reference>
          <reference field="8" count="1" selected="0">
            <x v="511"/>
          </reference>
          <reference field="11" count="1" selected="0">
            <x v="6"/>
          </reference>
          <reference field="13" count="1" selected="0">
            <x v="191"/>
          </reference>
        </references>
      </pivotArea>
    </format>
    <format dxfId="1229">
      <pivotArea dataOnly="0" labelOnly="1" outline="0" fieldPosition="0">
        <references count="4">
          <reference field="5" count="2">
            <x v="85"/>
            <x v="114"/>
          </reference>
          <reference field="8" count="1" selected="0">
            <x v="511"/>
          </reference>
          <reference field="11" count="1" selected="0">
            <x v="7"/>
          </reference>
          <reference field="13" count="1" selected="0">
            <x v="8"/>
          </reference>
        </references>
      </pivotArea>
    </format>
    <format dxfId="1228">
      <pivotArea dataOnly="0" labelOnly="1" outline="0" fieldPosition="0">
        <references count="4">
          <reference field="5" count="3">
            <x v="85"/>
            <x v="86"/>
            <x v="114"/>
          </reference>
          <reference field="8" count="1" selected="0">
            <x v="511"/>
          </reference>
          <reference field="11" count="1" selected="0">
            <x v="7"/>
          </reference>
          <reference field="13" count="1" selected="0">
            <x v="72"/>
          </reference>
        </references>
      </pivotArea>
    </format>
    <format dxfId="1227">
      <pivotArea dataOnly="0" labelOnly="1" outline="0" fieldPosition="0">
        <references count="4">
          <reference field="5" count="1">
            <x v="114"/>
          </reference>
          <reference field="8" count="1" selected="0">
            <x v="511"/>
          </reference>
          <reference field="11" count="1" selected="0">
            <x v="7"/>
          </reference>
          <reference field="13" count="1" selected="0">
            <x v="93"/>
          </reference>
        </references>
      </pivotArea>
    </format>
    <format dxfId="1226">
      <pivotArea dataOnly="0" labelOnly="1" outline="0" fieldPosition="0">
        <references count="4">
          <reference field="5" count="1">
            <x v="114"/>
          </reference>
          <reference field="8" count="1" selected="0">
            <x v="511"/>
          </reference>
          <reference field="11" count="1" selected="0">
            <x v="7"/>
          </reference>
          <reference field="13" count="1" selected="0">
            <x v="129"/>
          </reference>
        </references>
      </pivotArea>
    </format>
    <format dxfId="1225">
      <pivotArea dataOnly="0" labelOnly="1" outline="0" fieldPosition="0">
        <references count="4">
          <reference field="5" count="1">
            <x v="114"/>
          </reference>
          <reference field="8" count="1" selected="0">
            <x v="511"/>
          </reference>
          <reference field="11" count="1" selected="0">
            <x v="7"/>
          </reference>
          <reference field="13" count="1" selected="0">
            <x v="308"/>
          </reference>
        </references>
      </pivotArea>
    </format>
    <format dxfId="1224">
      <pivotArea dataOnly="0" labelOnly="1" outline="0" fieldPosition="0">
        <references count="4">
          <reference field="5" count="1">
            <x v="86"/>
          </reference>
          <reference field="8" count="1" selected="0">
            <x v="512"/>
          </reference>
          <reference field="11" count="1" selected="0">
            <x v="2"/>
          </reference>
          <reference field="13" count="1" selected="0">
            <x v="50"/>
          </reference>
        </references>
      </pivotArea>
    </format>
    <format dxfId="1223">
      <pivotArea dataOnly="0" labelOnly="1" outline="0" fieldPosition="0">
        <references count="4">
          <reference field="5" count="1">
            <x v="88"/>
          </reference>
          <reference field="8" count="1" selected="0">
            <x v="512"/>
          </reference>
          <reference field="11" count="1" selected="0">
            <x v="2"/>
          </reference>
          <reference field="13" count="1" selected="0">
            <x v="238"/>
          </reference>
        </references>
      </pivotArea>
    </format>
    <format dxfId="1222">
      <pivotArea dataOnly="0" labelOnly="1" outline="0" fieldPosition="0">
        <references count="4">
          <reference field="5" count="1">
            <x v="88"/>
          </reference>
          <reference field="8" count="1" selected="0">
            <x v="512"/>
          </reference>
          <reference field="11" count="1" selected="0">
            <x v="3"/>
          </reference>
          <reference field="13" count="1" selected="0">
            <x v="4"/>
          </reference>
        </references>
      </pivotArea>
    </format>
    <format dxfId="1221">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7"/>
          </reference>
        </references>
      </pivotArea>
    </format>
    <format dxfId="1220">
      <pivotArea dataOnly="0" labelOnly="1" outline="0" fieldPosition="0">
        <references count="4">
          <reference field="5" count="6">
            <x v="86"/>
            <x v="87"/>
            <x v="88"/>
            <x v="89"/>
            <x v="91"/>
            <x v="114"/>
          </reference>
          <reference field="8" count="1" selected="0">
            <x v="512"/>
          </reference>
          <reference field="11" count="1" selected="0">
            <x v="3"/>
          </reference>
          <reference field="13" count="1" selected="0">
            <x v="17"/>
          </reference>
        </references>
      </pivotArea>
    </format>
    <format dxfId="1219">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32"/>
          </reference>
        </references>
      </pivotArea>
    </format>
    <format dxfId="1218">
      <pivotArea dataOnly="0" labelOnly="1" outline="0" fieldPosition="0">
        <references count="4">
          <reference field="5" count="1">
            <x v="86"/>
          </reference>
          <reference field="8" count="1" selected="0">
            <x v="512"/>
          </reference>
          <reference field="11" count="1" selected="0">
            <x v="3"/>
          </reference>
          <reference field="13" count="1" selected="0">
            <x v="36"/>
          </reference>
        </references>
      </pivotArea>
    </format>
    <format dxfId="1217">
      <pivotArea dataOnly="0" labelOnly="1" outline="0" fieldPosition="0">
        <references count="4">
          <reference field="5" count="2">
            <x v="86"/>
            <x v="87"/>
          </reference>
          <reference field="8" count="1" selected="0">
            <x v="512"/>
          </reference>
          <reference field="11" count="1" selected="0">
            <x v="3"/>
          </reference>
          <reference field="13" count="1" selected="0">
            <x v="47"/>
          </reference>
        </references>
      </pivotArea>
    </format>
    <format dxfId="1216">
      <pivotArea dataOnly="0" labelOnly="1" outline="0" fieldPosition="0">
        <references count="4">
          <reference field="5" count="1">
            <x v="86"/>
          </reference>
          <reference field="8" count="1" selected="0">
            <x v="512"/>
          </reference>
          <reference field="11" count="1" selected="0">
            <x v="3"/>
          </reference>
          <reference field="13" count="1" selected="0">
            <x v="49"/>
          </reference>
        </references>
      </pivotArea>
    </format>
    <format dxfId="1215">
      <pivotArea dataOnly="0" labelOnly="1" outline="0" fieldPosition="0">
        <references count="4">
          <reference field="5" count="3">
            <x v="88"/>
            <x v="89"/>
            <x v="91"/>
          </reference>
          <reference field="8" count="1" selected="0">
            <x v="512"/>
          </reference>
          <reference field="11" count="1" selected="0">
            <x v="3"/>
          </reference>
          <reference field="13" count="1" selected="0">
            <x v="57"/>
          </reference>
        </references>
      </pivotArea>
    </format>
    <format dxfId="1214">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69"/>
          </reference>
        </references>
      </pivotArea>
    </format>
    <format dxfId="1213">
      <pivotArea dataOnly="0" labelOnly="1" outline="0" fieldPosition="0">
        <references count="4">
          <reference field="5" count="2">
            <x v="85"/>
            <x v="91"/>
          </reference>
          <reference field="8" count="1" selected="0">
            <x v="512"/>
          </reference>
          <reference field="11" count="1" selected="0">
            <x v="3"/>
          </reference>
          <reference field="13" count="1" selected="0">
            <x v="83"/>
          </reference>
        </references>
      </pivotArea>
    </format>
    <format dxfId="1212">
      <pivotArea dataOnly="0" labelOnly="1" outline="0" fieldPosition="0">
        <references count="4">
          <reference field="5" count="3">
            <x v="87"/>
            <x v="88"/>
            <x v="91"/>
          </reference>
          <reference field="8" count="1" selected="0">
            <x v="512"/>
          </reference>
          <reference field="11" count="1" selected="0">
            <x v="3"/>
          </reference>
          <reference field="13" count="1" selected="0">
            <x v="89"/>
          </reference>
        </references>
      </pivotArea>
    </format>
    <format dxfId="1211">
      <pivotArea dataOnly="0" labelOnly="1" outline="0" fieldPosition="0">
        <references count="4">
          <reference field="5" count="2">
            <x v="86"/>
            <x v="88"/>
          </reference>
          <reference field="8" count="1" selected="0">
            <x v="512"/>
          </reference>
          <reference field="11" count="1" selected="0">
            <x v="3"/>
          </reference>
          <reference field="13" count="1" selected="0">
            <x v="101"/>
          </reference>
        </references>
      </pivotArea>
    </format>
    <format dxfId="1210">
      <pivotArea dataOnly="0" labelOnly="1" outline="0" fieldPosition="0">
        <references count="4">
          <reference field="5" count="5">
            <x v="85"/>
            <x v="88"/>
            <x v="89"/>
            <x v="91"/>
            <x v="114"/>
          </reference>
          <reference field="8" count="1" selected="0">
            <x v="512"/>
          </reference>
          <reference field="11" count="1" selected="0">
            <x v="3"/>
          </reference>
          <reference field="13" count="1" selected="0">
            <x v="105"/>
          </reference>
        </references>
      </pivotArea>
    </format>
    <format dxfId="1209">
      <pivotArea dataOnly="0" labelOnly="1" outline="0" fieldPosition="0">
        <references count="4">
          <reference field="5" count="3">
            <x v="89"/>
            <x v="91"/>
            <x v="114"/>
          </reference>
          <reference field="8" count="1" selected="0">
            <x v="512"/>
          </reference>
          <reference field="11" count="1" selected="0">
            <x v="3"/>
          </reference>
          <reference field="13" count="1" selected="0">
            <x v="110"/>
          </reference>
        </references>
      </pivotArea>
    </format>
    <format dxfId="1208">
      <pivotArea dataOnly="0" labelOnly="1" outline="0" fieldPosition="0">
        <references count="4">
          <reference field="5" count="1">
            <x v="91"/>
          </reference>
          <reference field="8" count="1" selected="0">
            <x v="512"/>
          </reference>
          <reference field="11" count="1" selected="0">
            <x v="3"/>
          </reference>
          <reference field="13" count="1" selected="0">
            <x v="131"/>
          </reference>
        </references>
      </pivotArea>
    </format>
    <format dxfId="1207">
      <pivotArea dataOnly="0" labelOnly="1" outline="0" fieldPosition="0">
        <references count="4">
          <reference field="5" count="6">
            <x v="85"/>
            <x v="86"/>
            <x v="87"/>
            <x v="88"/>
            <x v="89"/>
            <x v="91"/>
          </reference>
          <reference field="8" count="1" selected="0">
            <x v="512"/>
          </reference>
          <reference field="11" count="1" selected="0">
            <x v="3"/>
          </reference>
          <reference field="13" count="1" selected="0">
            <x v="163"/>
          </reference>
        </references>
      </pivotArea>
    </format>
    <format dxfId="1206">
      <pivotArea dataOnly="0" labelOnly="1" outline="0" fieldPosition="0">
        <references count="4">
          <reference field="5" count="2">
            <x v="86"/>
            <x v="91"/>
          </reference>
          <reference field="8" count="1" selected="0">
            <x v="512"/>
          </reference>
          <reference field="11" count="1" selected="0">
            <x v="3"/>
          </reference>
          <reference field="13" count="1" selected="0">
            <x v="218"/>
          </reference>
        </references>
      </pivotArea>
    </format>
    <format dxfId="1205">
      <pivotArea dataOnly="0" labelOnly="1" outline="0" fieldPosition="0">
        <references count="4">
          <reference field="5" count="4">
            <x v="88"/>
            <x v="89"/>
            <x v="91"/>
            <x v="114"/>
          </reference>
          <reference field="8" count="1" selected="0">
            <x v="512"/>
          </reference>
          <reference field="11" count="1" selected="0">
            <x v="3"/>
          </reference>
          <reference field="13" count="1" selected="0">
            <x v="240"/>
          </reference>
        </references>
      </pivotArea>
    </format>
    <format dxfId="1204">
      <pivotArea dataOnly="0" labelOnly="1" outline="0" fieldPosition="0">
        <references count="4">
          <reference field="5" count="2">
            <x v="91"/>
            <x v="114"/>
          </reference>
          <reference field="8" count="1" selected="0">
            <x v="512"/>
          </reference>
          <reference field="11" count="1" selected="0">
            <x v="3"/>
          </reference>
          <reference field="13" count="1" selected="0">
            <x v="242"/>
          </reference>
        </references>
      </pivotArea>
    </format>
    <format dxfId="1203">
      <pivotArea dataOnly="0" labelOnly="1" outline="0" fieldPosition="0">
        <references count="4">
          <reference field="5" count="1">
            <x v="114"/>
          </reference>
          <reference field="8" count="1" selected="0">
            <x v="512"/>
          </reference>
          <reference field="11" count="1" selected="0">
            <x v="3"/>
          </reference>
          <reference field="13" count="1" selected="0">
            <x v="243"/>
          </reference>
        </references>
      </pivotArea>
    </format>
    <format dxfId="1202">
      <pivotArea dataOnly="0" labelOnly="1" outline="0" fieldPosition="0">
        <references count="4">
          <reference field="5" count="1">
            <x v="88"/>
          </reference>
          <reference field="8" count="1" selected="0">
            <x v="512"/>
          </reference>
          <reference field="11" count="1" selected="0">
            <x v="3"/>
          </reference>
          <reference field="13" count="1" selected="0">
            <x v="248"/>
          </reference>
        </references>
      </pivotArea>
    </format>
    <format dxfId="1201">
      <pivotArea dataOnly="0" labelOnly="1" outline="0" fieldPosition="0">
        <references count="4">
          <reference field="5" count="5">
            <x v="86"/>
            <x v="87"/>
            <x v="88"/>
            <x v="89"/>
            <x v="91"/>
          </reference>
          <reference field="8" count="1" selected="0">
            <x v="512"/>
          </reference>
          <reference field="11" count="1" selected="0">
            <x v="3"/>
          </reference>
          <reference field="13" count="1" selected="0">
            <x v="251"/>
          </reference>
        </references>
      </pivotArea>
    </format>
    <format dxfId="1200">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287"/>
          </reference>
        </references>
      </pivotArea>
    </format>
    <format dxfId="1199">
      <pivotArea dataOnly="0" labelOnly="1" outline="0" fieldPosition="0">
        <references count="4">
          <reference field="5" count="7">
            <x v="85"/>
            <x v="86"/>
            <x v="87"/>
            <x v="88"/>
            <x v="89"/>
            <x v="91"/>
            <x v="114"/>
          </reference>
          <reference field="8" count="1" selected="0">
            <x v="512"/>
          </reference>
          <reference field="11" count="1" selected="0">
            <x v="3"/>
          </reference>
          <reference field="13" count="1" selected="0">
            <x v="305"/>
          </reference>
        </references>
      </pivotArea>
    </format>
    <format dxfId="1198">
      <pivotArea dataOnly="0" labelOnly="1" outline="0" fieldPosition="0">
        <references count="4">
          <reference field="5" count="2">
            <x v="89"/>
            <x v="114"/>
          </reference>
          <reference field="8" count="1" selected="0">
            <x v="512"/>
          </reference>
          <reference field="11" count="1" selected="0">
            <x v="3"/>
          </reference>
          <reference field="13" count="1" selected="0">
            <x v="314"/>
          </reference>
        </references>
      </pivotArea>
    </format>
    <format dxfId="1197">
      <pivotArea dataOnly="0" labelOnly="1" outline="0" fieldPosition="0">
        <references count="4">
          <reference field="5" count="3">
            <x v="85"/>
            <x v="86"/>
            <x v="91"/>
          </reference>
          <reference field="8" count="1" selected="0">
            <x v="512"/>
          </reference>
          <reference field="11" count="1" selected="0">
            <x v="3"/>
          </reference>
          <reference field="13" count="1" selected="0">
            <x v="316"/>
          </reference>
        </references>
      </pivotArea>
    </format>
    <format dxfId="1196">
      <pivotArea dataOnly="0" labelOnly="1" outline="0" fieldPosition="0">
        <references count="4">
          <reference field="5" count="4">
            <x v="87"/>
            <x v="88"/>
            <x v="91"/>
            <x v="114"/>
          </reference>
          <reference field="8" count="1" selected="0">
            <x v="512"/>
          </reference>
          <reference field="11" count="1" selected="0">
            <x v="4"/>
          </reference>
          <reference field="13" count="1" selected="0">
            <x v="133"/>
          </reference>
        </references>
      </pivotArea>
    </format>
    <format dxfId="1195">
      <pivotArea dataOnly="0" labelOnly="1" outline="0" fieldPosition="0">
        <references count="4">
          <reference field="5" count="7">
            <x v="85"/>
            <x v="86"/>
            <x v="87"/>
            <x v="88"/>
            <x v="89"/>
            <x v="91"/>
            <x v="114"/>
          </reference>
          <reference field="8" count="1" selected="0">
            <x v="512"/>
          </reference>
          <reference field="11" count="1" selected="0">
            <x v="5"/>
          </reference>
          <reference field="13" count="1" selected="0">
            <x v="77"/>
          </reference>
        </references>
      </pivotArea>
    </format>
    <format dxfId="1194">
      <pivotArea dataOnly="0" labelOnly="1" outline="0" fieldPosition="0">
        <references count="4">
          <reference field="5" count="7">
            <x v="85"/>
            <x v="86"/>
            <x v="87"/>
            <x v="88"/>
            <x v="89"/>
            <x v="91"/>
            <x v="114"/>
          </reference>
          <reference field="8" count="1" selected="0">
            <x v="512"/>
          </reference>
          <reference field="11" count="1" selected="0">
            <x v="5"/>
          </reference>
          <reference field="13" count="1" selected="0">
            <x v="81"/>
          </reference>
        </references>
      </pivotArea>
    </format>
    <format dxfId="1193">
      <pivotArea dataOnly="0" labelOnly="1" outline="0" fieldPosition="0">
        <references count="4">
          <reference field="5" count="6">
            <x v="85"/>
            <x v="86"/>
            <x v="87"/>
            <x v="88"/>
            <x v="89"/>
            <x v="91"/>
          </reference>
          <reference field="8" count="1" selected="0">
            <x v="512"/>
          </reference>
          <reference field="11" count="1" selected="0">
            <x v="5"/>
          </reference>
          <reference field="13" count="1" selected="0">
            <x v="255"/>
          </reference>
        </references>
      </pivotArea>
    </format>
    <format dxfId="1192">
      <pivotArea dataOnly="0" labelOnly="1" outline="0" fieldPosition="0">
        <references count="4">
          <reference field="5" count="1">
            <x v="86"/>
          </reference>
          <reference field="8" count="1" selected="0">
            <x v="512"/>
          </reference>
          <reference field="11" count="1" selected="0">
            <x v="6"/>
          </reference>
          <reference field="13" count="1" selected="0">
            <x v="191"/>
          </reference>
        </references>
      </pivotArea>
    </format>
    <format dxfId="1191">
      <pivotArea dataOnly="0" labelOnly="1" outline="0" fieldPosition="0">
        <references count="4">
          <reference field="5" count="2">
            <x v="86"/>
            <x v="114"/>
          </reference>
          <reference field="8" count="1" selected="0">
            <x v="512"/>
          </reference>
          <reference field="11" count="1" selected="0">
            <x v="7"/>
          </reference>
          <reference field="13" count="1" selected="0">
            <x v="72"/>
          </reference>
        </references>
      </pivotArea>
    </format>
    <format dxfId="1190">
      <pivotArea dataOnly="0" labelOnly="1" outline="0" fieldPosition="0">
        <references count="4">
          <reference field="5" count="1">
            <x v="114"/>
          </reference>
          <reference field="8" count="1" selected="0">
            <x v="512"/>
          </reference>
          <reference field="11" count="1" selected="0">
            <x v="7"/>
          </reference>
          <reference field="13" count="1" selected="0">
            <x v="129"/>
          </reference>
        </references>
      </pivotArea>
    </format>
    <format dxfId="1189">
      <pivotArea dataOnly="0" labelOnly="1" outline="0" fieldPosition="0">
        <references count="4">
          <reference field="5" count="1">
            <x v="72"/>
          </reference>
          <reference field="8" count="1" selected="0">
            <x v="513"/>
          </reference>
          <reference field="11" count="1" selected="0">
            <x v="3"/>
          </reference>
          <reference field="13" count="1" selected="0">
            <x v="17"/>
          </reference>
        </references>
      </pivotArea>
    </format>
    <format dxfId="1188">
      <pivotArea dataOnly="0" labelOnly="1" outline="0" fieldPosition="0">
        <references count="4">
          <reference field="5" count="1">
            <x v="72"/>
          </reference>
          <reference field="8" count="1" selected="0">
            <x v="513"/>
          </reference>
          <reference field="11" count="1" selected="0">
            <x v="3"/>
          </reference>
          <reference field="13" count="1" selected="0">
            <x v="32"/>
          </reference>
        </references>
      </pivotArea>
    </format>
    <format dxfId="1187">
      <pivotArea dataOnly="0" labelOnly="1" outline="0" fieldPosition="0">
        <references count="4">
          <reference field="5" count="1">
            <x v="72"/>
          </reference>
          <reference field="8" count="1" selected="0">
            <x v="513"/>
          </reference>
          <reference field="11" count="1" selected="0">
            <x v="3"/>
          </reference>
          <reference field="13" count="1" selected="0">
            <x v="163"/>
          </reference>
        </references>
      </pivotArea>
    </format>
    <format dxfId="1186">
      <pivotArea dataOnly="0" labelOnly="1" outline="0" fieldPosition="0">
        <references count="4">
          <reference field="5" count="1">
            <x v="72"/>
          </reference>
          <reference field="8" count="1" selected="0">
            <x v="513"/>
          </reference>
          <reference field="11" count="1" selected="0">
            <x v="3"/>
          </reference>
          <reference field="13" count="1" selected="0">
            <x v="287"/>
          </reference>
        </references>
      </pivotArea>
    </format>
    <format dxfId="1185">
      <pivotArea dataOnly="0" labelOnly="1" outline="0" fieldPosition="0">
        <references count="4">
          <reference field="5" count="1">
            <x v="72"/>
          </reference>
          <reference field="8" count="1" selected="0">
            <x v="513"/>
          </reference>
          <reference field="11" count="1" selected="0">
            <x v="3"/>
          </reference>
          <reference field="13" count="1" selected="0">
            <x v="305"/>
          </reference>
        </references>
      </pivotArea>
    </format>
    <format dxfId="1184">
      <pivotArea dataOnly="0" labelOnly="1" outline="0" fieldPosition="0">
        <references count="4">
          <reference field="5" count="1">
            <x v="72"/>
          </reference>
          <reference field="8" count="1" selected="0">
            <x v="513"/>
          </reference>
          <reference field="11" count="1" selected="0">
            <x v="4"/>
          </reference>
          <reference field="13" count="1" selected="0">
            <x v="133"/>
          </reference>
        </references>
      </pivotArea>
    </format>
    <format dxfId="1183">
      <pivotArea dataOnly="0" labelOnly="1" outline="0" fieldPosition="0">
        <references count="4">
          <reference field="5" count="1">
            <x v="72"/>
          </reference>
          <reference field="8" count="1" selected="0">
            <x v="513"/>
          </reference>
          <reference field="11" count="1" selected="0">
            <x v="5"/>
          </reference>
          <reference field="13" count="1" selected="0">
            <x v="77"/>
          </reference>
        </references>
      </pivotArea>
    </format>
    <format dxfId="1182">
      <pivotArea dataOnly="0" labelOnly="1" outline="0" fieldPosition="0">
        <references count="4">
          <reference field="5" count="1">
            <x v="38"/>
          </reference>
          <reference field="8" count="1" selected="0">
            <x v="514"/>
          </reference>
          <reference field="11" count="1" selected="0">
            <x v="1"/>
          </reference>
          <reference field="13" count="1" selected="0">
            <x v="40"/>
          </reference>
        </references>
      </pivotArea>
    </format>
    <format dxfId="1181">
      <pivotArea dataOnly="0" labelOnly="1" outline="0" fieldPosition="0">
        <references count="4">
          <reference field="5" count="1">
            <x v="38"/>
          </reference>
          <reference field="8" count="1" selected="0">
            <x v="514"/>
          </reference>
          <reference field="11" count="1" selected="0">
            <x v="3"/>
          </reference>
          <reference field="13" count="1" selected="0">
            <x v="32"/>
          </reference>
        </references>
      </pivotArea>
    </format>
    <format dxfId="1180">
      <pivotArea dataOnly="0" labelOnly="1" outline="0" fieldPosition="0">
        <references count="4">
          <reference field="5" count="1">
            <x v="38"/>
          </reference>
          <reference field="8" count="1" selected="0">
            <x v="514"/>
          </reference>
          <reference field="11" count="1" selected="0">
            <x v="3"/>
          </reference>
          <reference field="13" count="1" selected="0">
            <x v="224"/>
          </reference>
        </references>
      </pivotArea>
    </format>
    <format dxfId="1179">
      <pivotArea dataOnly="0" labelOnly="1" outline="0" fieldPosition="0">
        <references count="4">
          <reference field="5" count="1">
            <x v="38"/>
          </reference>
          <reference field="8" count="1" selected="0">
            <x v="514"/>
          </reference>
          <reference field="11" count="1" selected="0">
            <x v="3"/>
          </reference>
          <reference field="13" count="1" selected="0">
            <x v="227"/>
          </reference>
        </references>
      </pivotArea>
    </format>
    <format dxfId="1178">
      <pivotArea dataOnly="0" labelOnly="1" outline="0" fieldPosition="0">
        <references count="4">
          <reference field="5" count="1">
            <x v="38"/>
          </reference>
          <reference field="8" count="1" selected="0">
            <x v="514"/>
          </reference>
          <reference field="11" count="1" selected="0">
            <x v="3"/>
          </reference>
          <reference field="13" count="1" selected="0">
            <x v="240"/>
          </reference>
        </references>
      </pivotArea>
    </format>
    <format dxfId="1177">
      <pivotArea dataOnly="0" labelOnly="1" outline="0" fieldPosition="0">
        <references count="4">
          <reference field="5" count="1">
            <x v="38"/>
          </reference>
          <reference field="8" count="1" selected="0">
            <x v="514"/>
          </reference>
          <reference field="11" count="1" selected="0">
            <x v="3"/>
          </reference>
          <reference field="13" count="1" selected="0">
            <x v="251"/>
          </reference>
        </references>
      </pivotArea>
    </format>
    <format dxfId="1176">
      <pivotArea dataOnly="0" labelOnly="1" outline="0" fieldPosition="0">
        <references count="4">
          <reference field="5" count="1">
            <x v="38"/>
          </reference>
          <reference field="8" count="1" selected="0">
            <x v="514"/>
          </reference>
          <reference field="11" count="1" selected="0">
            <x v="3"/>
          </reference>
          <reference field="13" count="1" selected="0">
            <x v="287"/>
          </reference>
        </references>
      </pivotArea>
    </format>
    <format dxfId="1175">
      <pivotArea dataOnly="0" labelOnly="1" outline="0" fieldPosition="0">
        <references count="4">
          <reference field="5" count="1">
            <x v="38"/>
          </reference>
          <reference field="8" count="1" selected="0">
            <x v="514"/>
          </reference>
          <reference field="11" count="1" selected="0">
            <x v="5"/>
          </reference>
          <reference field="13" count="1" selected="0">
            <x v="77"/>
          </reference>
        </references>
      </pivotArea>
    </format>
    <format dxfId="1174">
      <pivotArea dataOnly="0" labelOnly="1" outline="0" fieldPosition="0">
        <references count="4">
          <reference field="5" count="1">
            <x v="38"/>
          </reference>
          <reference field="8" count="1" selected="0">
            <x v="514"/>
          </reference>
          <reference field="11" count="1" selected="0">
            <x v="5"/>
          </reference>
          <reference field="13" count="1" selected="0">
            <x v="81"/>
          </reference>
        </references>
      </pivotArea>
    </format>
    <format dxfId="1173">
      <pivotArea dataOnly="0" labelOnly="1" outline="0" fieldPosition="0">
        <references count="4">
          <reference field="5" count="1">
            <x v="38"/>
          </reference>
          <reference field="8" count="1" selected="0">
            <x v="514"/>
          </reference>
          <reference field="11" count="1" selected="0">
            <x v="5"/>
          </reference>
          <reference field="13" count="1" selected="0">
            <x v="137"/>
          </reference>
        </references>
      </pivotArea>
    </format>
    <format dxfId="1172">
      <pivotArea dataOnly="0" labelOnly="1" outline="0" fieldPosition="0">
        <references count="4">
          <reference field="5" count="1">
            <x v="38"/>
          </reference>
          <reference field="8" count="1" selected="0">
            <x v="514"/>
          </reference>
          <reference field="11" count="1" selected="0">
            <x v="5"/>
          </reference>
          <reference field="13" count="1" selected="0">
            <x v="140"/>
          </reference>
        </references>
      </pivotArea>
    </format>
    <format dxfId="1171">
      <pivotArea dataOnly="0" labelOnly="1" outline="0" fieldPosition="0">
        <references count="4">
          <reference field="5" count="1">
            <x v="38"/>
          </reference>
          <reference field="8" count="1" selected="0">
            <x v="514"/>
          </reference>
          <reference field="11" count="1" selected="0">
            <x v="5"/>
          </reference>
          <reference field="13" count="1" selected="0">
            <x v="141"/>
          </reference>
        </references>
      </pivotArea>
    </format>
    <format dxfId="1170">
      <pivotArea dataOnly="0" labelOnly="1" outline="0" fieldPosition="0">
        <references count="4">
          <reference field="5" count="1">
            <x v="38"/>
          </reference>
          <reference field="8" count="1" selected="0">
            <x v="514"/>
          </reference>
          <reference field="11" count="1" selected="0">
            <x v="5"/>
          </reference>
          <reference field="13" count="1" selected="0">
            <x v="145"/>
          </reference>
        </references>
      </pivotArea>
    </format>
    <format dxfId="1169">
      <pivotArea dataOnly="0" labelOnly="1" outline="0" fieldPosition="0">
        <references count="4">
          <reference field="5" count="1">
            <x v="38"/>
          </reference>
          <reference field="8" count="1" selected="0">
            <x v="515"/>
          </reference>
          <reference field="11" count="1" selected="0">
            <x v="3"/>
          </reference>
          <reference field="13" count="1" selected="0">
            <x v="240"/>
          </reference>
        </references>
      </pivotArea>
    </format>
    <format dxfId="1168">
      <pivotArea dataOnly="0" labelOnly="1" outline="0" fieldPosition="0">
        <references count="4">
          <reference field="5" count="1">
            <x v="38"/>
          </reference>
          <reference field="8" count="1" selected="0">
            <x v="515"/>
          </reference>
          <reference field="11" count="1" selected="0">
            <x v="3"/>
          </reference>
          <reference field="13" count="1" selected="0">
            <x v="242"/>
          </reference>
        </references>
      </pivotArea>
    </format>
    <format dxfId="1167">
      <pivotArea dataOnly="0" labelOnly="1" outline="0" fieldPosition="0">
        <references count="4">
          <reference field="5" count="1">
            <x v="38"/>
          </reference>
          <reference field="8" count="1" selected="0">
            <x v="515"/>
          </reference>
          <reference field="11" count="1" selected="0">
            <x v="3"/>
          </reference>
          <reference field="13" count="1" selected="0">
            <x v="243"/>
          </reference>
        </references>
      </pivotArea>
    </format>
    <format dxfId="1166">
      <pivotArea dataOnly="0" labelOnly="1" outline="0" fieldPosition="0">
        <references count="4">
          <reference field="5" count="1">
            <x v="38"/>
          </reference>
          <reference field="8" count="1" selected="0">
            <x v="515"/>
          </reference>
          <reference field="11" count="1" selected="0">
            <x v="3"/>
          </reference>
          <reference field="13" count="1" selected="0">
            <x v="287"/>
          </reference>
        </references>
      </pivotArea>
    </format>
    <format dxfId="1165">
      <pivotArea dataOnly="0" labelOnly="1" outline="0" fieldPosition="0">
        <references count="4">
          <reference field="5" count="1">
            <x v="38"/>
          </reference>
          <reference field="8" count="1" selected="0">
            <x v="515"/>
          </reference>
          <reference field="11" count="1" selected="0">
            <x v="5"/>
          </reference>
          <reference field="13" count="1" selected="0">
            <x v="77"/>
          </reference>
        </references>
      </pivotArea>
    </format>
    <format dxfId="1164">
      <pivotArea dataOnly="0" labelOnly="1" outline="0" fieldPosition="0">
        <references count="4">
          <reference field="5" count="3">
            <x v="20"/>
            <x v="38"/>
            <x v="116"/>
          </reference>
          <reference field="8" count="1" selected="0">
            <x v="515"/>
          </reference>
          <reference field="11" count="1" selected="0">
            <x v="5"/>
          </reference>
          <reference field="13" count="1" selected="0">
            <x v="81"/>
          </reference>
        </references>
      </pivotArea>
    </format>
    <format dxfId="1163">
      <pivotArea dataOnly="0" labelOnly="1" outline="0" fieldPosition="0">
        <references count="4">
          <reference field="5" count="1">
            <x v="20"/>
          </reference>
          <reference field="8" count="1" selected="0">
            <x v="515"/>
          </reference>
          <reference field="11" count="1" selected="0">
            <x v="5"/>
          </reference>
          <reference field="13" count="1" selected="0">
            <x v="255"/>
          </reference>
        </references>
      </pivotArea>
    </format>
    <format dxfId="1162">
      <pivotArea dataOnly="0" labelOnly="1" outline="0" fieldPosition="0">
        <references count="4">
          <reference field="5" count="2">
            <x v="116"/>
            <x v="117"/>
          </reference>
          <reference field="8" count="1" selected="0">
            <x v="516"/>
          </reference>
          <reference field="11" count="1" selected="0">
            <x v="3"/>
          </reference>
          <reference field="13" count="1" selected="0">
            <x v="29"/>
          </reference>
        </references>
      </pivotArea>
    </format>
    <format dxfId="1161">
      <pivotArea dataOnly="0" labelOnly="1" outline="0" fieldPosition="0">
        <references count="4">
          <reference field="5" count="1">
            <x v="44"/>
          </reference>
          <reference field="8" count="1" selected="0">
            <x v="516"/>
          </reference>
          <reference field="11" count="1" selected="0">
            <x v="3"/>
          </reference>
          <reference field="13" count="1" selected="0">
            <x v="32"/>
          </reference>
        </references>
      </pivotArea>
    </format>
    <format dxfId="1160">
      <pivotArea dataOnly="0" labelOnly="1" outline="0" fieldPosition="0">
        <references count="4">
          <reference field="5" count="1">
            <x v="44"/>
          </reference>
          <reference field="8" count="1" selected="0">
            <x v="516"/>
          </reference>
          <reference field="11" count="1" selected="0">
            <x v="3"/>
          </reference>
          <reference field="13" count="1" selected="0">
            <x v="57"/>
          </reference>
        </references>
      </pivotArea>
    </format>
    <format dxfId="1159">
      <pivotArea dataOnly="0" labelOnly="1" outline="0" fieldPosition="0">
        <references count="4">
          <reference field="5" count="1">
            <x v="44"/>
          </reference>
          <reference field="8" count="1" selected="0">
            <x v="516"/>
          </reference>
          <reference field="11" count="1" selected="0">
            <x v="3"/>
          </reference>
          <reference field="13" count="1" selected="0">
            <x v="69"/>
          </reference>
        </references>
      </pivotArea>
    </format>
    <format dxfId="1158">
      <pivotArea dataOnly="0" labelOnly="1" outline="0" fieldPosition="0">
        <references count="4">
          <reference field="5" count="1">
            <x v="44"/>
          </reference>
          <reference field="8" count="1" selected="0">
            <x v="516"/>
          </reference>
          <reference field="11" count="1" selected="0">
            <x v="3"/>
          </reference>
          <reference field="13" count="1" selected="0">
            <x v="92"/>
          </reference>
        </references>
      </pivotArea>
    </format>
    <format dxfId="1157">
      <pivotArea dataOnly="0" labelOnly="1" outline="0" fieldPosition="0">
        <references count="4">
          <reference field="5" count="1">
            <x v="117"/>
          </reference>
          <reference field="8" count="1" selected="0">
            <x v="516"/>
          </reference>
          <reference field="11" count="1" selected="0">
            <x v="3"/>
          </reference>
          <reference field="13" count="1" selected="0">
            <x v="218"/>
          </reference>
        </references>
      </pivotArea>
    </format>
    <format dxfId="1156">
      <pivotArea dataOnly="0" labelOnly="1" outline="0" fieldPosition="0">
        <references count="4">
          <reference field="5" count="1">
            <x v="44"/>
          </reference>
          <reference field="8" count="1" selected="0">
            <x v="516"/>
          </reference>
          <reference field="11" count="1" selected="0">
            <x v="3"/>
          </reference>
          <reference field="13" count="1" selected="0">
            <x v="242"/>
          </reference>
        </references>
      </pivotArea>
    </format>
    <format dxfId="1155">
      <pivotArea dataOnly="0" labelOnly="1" outline="0" fieldPosition="0">
        <references count="4">
          <reference field="5" count="2">
            <x v="9"/>
            <x v="44"/>
          </reference>
          <reference field="8" count="1" selected="0">
            <x v="516"/>
          </reference>
          <reference field="11" count="1" selected="0">
            <x v="3"/>
          </reference>
          <reference field="13" count="1" selected="0">
            <x v="243"/>
          </reference>
        </references>
      </pivotArea>
    </format>
    <format dxfId="1154">
      <pivotArea dataOnly="0" labelOnly="1" outline="0" fieldPosition="0">
        <references count="4">
          <reference field="5" count="1">
            <x v="44"/>
          </reference>
          <reference field="8" count="1" selected="0">
            <x v="516"/>
          </reference>
          <reference field="11" count="1" selected="0">
            <x v="3"/>
          </reference>
          <reference field="13" count="1" selected="0">
            <x v="287"/>
          </reference>
        </references>
      </pivotArea>
    </format>
    <format dxfId="1153">
      <pivotArea dataOnly="0" labelOnly="1" outline="0" fieldPosition="0">
        <references count="4">
          <reference field="5" count="1">
            <x v="117"/>
          </reference>
          <reference field="8" count="1" selected="0">
            <x v="516"/>
          </reference>
          <reference field="11" count="1" selected="0">
            <x v="3"/>
          </reference>
          <reference field="13" count="1" selected="0">
            <x v="314"/>
          </reference>
        </references>
      </pivotArea>
    </format>
    <format dxfId="1152">
      <pivotArea dataOnly="0" labelOnly="1" outline="0" fieldPosition="0">
        <references count="4">
          <reference field="5" count="1">
            <x v="44"/>
          </reference>
          <reference field="8" count="1" selected="0">
            <x v="516"/>
          </reference>
          <reference field="11" count="1" selected="0">
            <x v="5"/>
          </reference>
          <reference field="13" count="1" selected="0">
            <x v="77"/>
          </reference>
        </references>
      </pivotArea>
    </format>
    <format dxfId="1151">
      <pivotArea dataOnly="0" labelOnly="1" outline="0" fieldPosition="0">
        <references count="4">
          <reference field="5" count="2">
            <x v="20"/>
            <x v="116"/>
          </reference>
          <reference field="8" count="1" selected="0">
            <x v="516"/>
          </reference>
          <reference field="11" count="1" selected="0">
            <x v="5"/>
          </reference>
          <reference field="13" count="1" selected="0">
            <x v="81"/>
          </reference>
        </references>
      </pivotArea>
    </format>
    <format dxfId="1150">
      <pivotArea dataOnly="0" labelOnly="1" outline="0" fieldPosition="0">
        <references count="4">
          <reference field="5" count="2">
            <x v="9"/>
            <x v="44"/>
          </reference>
          <reference field="8" count="1" selected="0">
            <x v="516"/>
          </reference>
          <reference field="11" count="1" selected="0">
            <x v="5"/>
          </reference>
          <reference field="13" count="1" selected="0">
            <x v="96"/>
          </reference>
        </references>
      </pivotArea>
    </format>
    <format dxfId="1149">
      <pivotArea dataOnly="0" labelOnly="1" outline="0" fieldPosition="0">
        <references count="4">
          <reference field="5" count="1">
            <x v="20"/>
          </reference>
          <reference field="8" count="1" selected="0">
            <x v="516"/>
          </reference>
          <reference field="11" count="1" selected="0">
            <x v="5"/>
          </reference>
          <reference field="13" count="1" selected="0">
            <x v="255"/>
          </reference>
        </references>
      </pivotArea>
    </format>
    <format dxfId="1148">
      <pivotArea dataOnly="0" labelOnly="1" outline="0" fieldPosition="0">
        <references count="4">
          <reference field="5" count="1">
            <x v="110"/>
          </reference>
          <reference field="8" count="1" selected="0">
            <x v="517"/>
          </reference>
          <reference field="11" count="1" selected="0">
            <x v="2"/>
          </reference>
          <reference field="13" count="1" selected="0">
            <x v="190"/>
          </reference>
        </references>
      </pivotArea>
    </format>
    <format dxfId="1147">
      <pivotArea dataOnly="0" labelOnly="1" outline="0" fieldPosition="0">
        <references count="4">
          <reference field="5" count="1">
            <x v="45"/>
          </reference>
          <reference field="8" count="1" selected="0">
            <x v="517"/>
          </reference>
          <reference field="11" count="1" selected="0">
            <x v="3"/>
          </reference>
          <reference field="13" count="1" selected="0">
            <x v="4"/>
          </reference>
        </references>
      </pivotArea>
    </format>
    <format dxfId="1146">
      <pivotArea dataOnly="0" labelOnly="1" outline="0" fieldPosition="0">
        <references count="4">
          <reference field="5" count="1">
            <x v="110"/>
          </reference>
          <reference field="8" count="1" selected="0">
            <x v="517"/>
          </reference>
          <reference field="11" count="1" selected="0">
            <x v="3"/>
          </reference>
          <reference field="13" count="1" selected="0">
            <x v="7"/>
          </reference>
        </references>
      </pivotArea>
    </format>
    <format dxfId="1145">
      <pivotArea dataOnly="0" labelOnly="1" outline="0" fieldPosition="0">
        <references count="4">
          <reference field="5" count="1">
            <x v="110"/>
          </reference>
          <reference field="8" count="1" selected="0">
            <x v="517"/>
          </reference>
          <reference field="11" count="1" selected="0">
            <x v="3"/>
          </reference>
          <reference field="13" count="1" selected="0">
            <x v="17"/>
          </reference>
        </references>
      </pivotArea>
    </format>
    <format dxfId="1144">
      <pivotArea dataOnly="0" labelOnly="1" outline="0" fieldPosition="0">
        <references count="4">
          <reference field="5" count="1">
            <x v="110"/>
          </reference>
          <reference field="8" count="1" selected="0">
            <x v="517"/>
          </reference>
          <reference field="11" count="1" selected="0">
            <x v="3"/>
          </reference>
          <reference field="13" count="1" selected="0">
            <x v="29"/>
          </reference>
        </references>
      </pivotArea>
    </format>
    <format dxfId="1143">
      <pivotArea dataOnly="0" labelOnly="1" outline="0" fieldPosition="0">
        <references count="4">
          <reference field="5" count="1">
            <x v="110"/>
          </reference>
          <reference field="8" count="1" selected="0">
            <x v="517"/>
          </reference>
          <reference field="11" count="1" selected="0">
            <x v="3"/>
          </reference>
          <reference field="13" count="1" selected="0">
            <x v="32"/>
          </reference>
        </references>
      </pivotArea>
    </format>
    <format dxfId="1142">
      <pivotArea dataOnly="0" labelOnly="1" outline="0" fieldPosition="0">
        <references count="4">
          <reference field="5" count="1">
            <x v="45"/>
          </reference>
          <reference field="8" count="1" selected="0">
            <x v="517"/>
          </reference>
          <reference field="11" count="1" selected="0">
            <x v="3"/>
          </reference>
          <reference field="13" count="1" selected="0">
            <x v="39"/>
          </reference>
        </references>
      </pivotArea>
    </format>
    <format dxfId="1141">
      <pivotArea dataOnly="0" labelOnly="1" outline="0" fieldPosition="0">
        <references count="4">
          <reference field="5" count="1">
            <x v="45"/>
          </reference>
          <reference field="8" count="1" selected="0">
            <x v="517"/>
          </reference>
          <reference field="11" count="1" selected="0">
            <x v="3"/>
          </reference>
          <reference field="13" count="1" selected="0">
            <x v="47"/>
          </reference>
        </references>
      </pivotArea>
    </format>
    <format dxfId="1140">
      <pivotArea dataOnly="0" labelOnly="1" outline="0" fieldPosition="0">
        <references count="4">
          <reference field="5" count="1">
            <x v="45"/>
          </reference>
          <reference field="8" count="1" selected="0">
            <x v="517"/>
          </reference>
          <reference field="11" count="1" selected="0">
            <x v="3"/>
          </reference>
          <reference field="13" count="1" selected="0">
            <x v="49"/>
          </reference>
        </references>
      </pivotArea>
    </format>
    <format dxfId="1139">
      <pivotArea dataOnly="0" labelOnly="1" outline="0" fieldPosition="0">
        <references count="4">
          <reference field="5" count="1">
            <x v="110"/>
          </reference>
          <reference field="8" count="1" selected="0">
            <x v="517"/>
          </reference>
          <reference field="11" count="1" selected="0">
            <x v="3"/>
          </reference>
          <reference field="13" count="1" selected="0">
            <x v="54"/>
          </reference>
        </references>
      </pivotArea>
    </format>
    <format dxfId="1138">
      <pivotArea dataOnly="0" labelOnly="1" outline="0" fieldPosition="0">
        <references count="4">
          <reference field="5" count="1">
            <x v="110"/>
          </reference>
          <reference field="8" count="1" selected="0">
            <x v="517"/>
          </reference>
          <reference field="11" count="1" selected="0">
            <x v="3"/>
          </reference>
          <reference field="13" count="1" selected="0">
            <x v="57"/>
          </reference>
        </references>
      </pivotArea>
    </format>
    <format dxfId="1137">
      <pivotArea dataOnly="0" labelOnly="1" outline="0" fieldPosition="0">
        <references count="4">
          <reference field="5" count="1">
            <x v="110"/>
          </reference>
          <reference field="8" count="1" selected="0">
            <x v="517"/>
          </reference>
          <reference field="11" count="1" selected="0">
            <x v="3"/>
          </reference>
          <reference field="13" count="1" selected="0">
            <x v="69"/>
          </reference>
        </references>
      </pivotArea>
    </format>
    <format dxfId="1136">
      <pivotArea dataOnly="0" labelOnly="1" outline="0" fieldPosition="0">
        <references count="4">
          <reference field="5" count="1">
            <x v="45"/>
          </reference>
          <reference field="8" count="1" selected="0">
            <x v="517"/>
          </reference>
          <reference field="11" count="1" selected="0">
            <x v="3"/>
          </reference>
          <reference field="13" count="1" selected="0">
            <x v="218"/>
          </reference>
        </references>
      </pivotArea>
    </format>
    <format dxfId="1135">
      <pivotArea dataOnly="0" labelOnly="1" outline="0" fieldPosition="0">
        <references count="4">
          <reference field="5" count="1">
            <x v="110"/>
          </reference>
          <reference field="8" count="1" selected="0">
            <x v="517"/>
          </reference>
          <reference field="11" count="1" selected="0">
            <x v="3"/>
          </reference>
          <reference field="13" count="1" selected="0">
            <x v="305"/>
          </reference>
        </references>
      </pivotArea>
    </format>
    <format dxfId="1134">
      <pivotArea dataOnly="0" labelOnly="1" outline="0" fieldPosition="0">
        <references count="4">
          <reference field="5" count="1">
            <x v="45"/>
          </reference>
          <reference field="8" count="1" selected="0">
            <x v="517"/>
          </reference>
          <reference field="11" count="1" selected="0">
            <x v="3"/>
          </reference>
          <reference field="13" count="1" selected="0">
            <x v="314"/>
          </reference>
        </references>
      </pivotArea>
    </format>
    <format dxfId="1133">
      <pivotArea dataOnly="0" labelOnly="1" outline="0" fieldPosition="0">
        <references count="4">
          <reference field="5" count="2">
            <x v="45"/>
            <x v="110"/>
          </reference>
          <reference field="8" count="1" selected="0">
            <x v="517"/>
          </reference>
          <reference field="11" count="1" selected="0">
            <x v="5"/>
          </reference>
          <reference field="13" count="1" selected="0">
            <x v="81"/>
          </reference>
        </references>
      </pivotArea>
    </format>
    <format dxfId="1132">
      <pivotArea dataOnly="0" labelOnly="1" outline="0" fieldPosition="0">
        <references count="4">
          <reference field="5" count="1">
            <x v="45"/>
          </reference>
          <reference field="8" count="1" selected="0">
            <x v="517"/>
          </reference>
          <reference field="11" count="1" selected="0">
            <x v="5"/>
          </reference>
          <reference field="13" count="1" selected="0">
            <x v="86"/>
          </reference>
        </references>
      </pivotArea>
    </format>
    <format dxfId="1131">
      <pivotArea dataOnly="0" labelOnly="1" outline="0" fieldPosition="0">
        <references count="4">
          <reference field="5" count="1">
            <x v="45"/>
          </reference>
          <reference field="8" count="1" selected="0">
            <x v="518"/>
          </reference>
          <reference field="11" count="1" selected="0">
            <x v="3"/>
          </reference>
          <reference field="13" count="1" selected="0">
            <x v="4"/>
          </reference>
        </references>
      </pivotArea>
    </format>
    <format dxfId="1130">
      <pivotArea dataOnly="0" labelOnly="1" outline="0" fieldPosition="0">
        <references count="4">
          <reference field="5" count="1">
            <x v="45"/>
          </reference>
          <reference field="8" count="1" selected="0">
            <x v="518"/>
          </reference>
          <reference field="11" count="1" selected="0">
            <x v="3"/>
          </reference>
          <reference field="13" count="1" selected="0">
            <x v="218"/>
          </reference>
        </references>
      </pivotArea>
    </format>
    <format dxfId="1129">
      <pivotArea dataOnly="0" labelOnly="1" outline="0" fieldPosition="0">
        <references count="4">
          <reference field="5" count="1">
            <x v="45"/>
          </reference>
          <reference field="8" count="1" selected="0">
            <x v="518"/>
          </reference>
          <reference field="11" count="1" selected="0">
            <x v="3"/>
          </reference>
          <reference field="13" count="1" selected="0">
            <x v="314"/>
          </reference>
        </references>
      </pivotArea>
    </format>
    <format dxfId="1128">
      <pivotArea dataOnly="0" labelOnly="1" outline="0" fieldPosition="0">
        <references count="4">
          <reference field="5" count="1">
            <x v="45"/>
          </reference>
          <reference field="8" count="1" selected="0">
            <x v="518"/>
          </reference>
          <reference field="11" count="1" selected="0">
            <x v="5"/>
          </reference>
          <reference field="13" count="1" selected="0">
            <x v="81"/>
          </reference>
        </references>
      </pivotArea>
    </format>
    <format dxfId="1127">
      <pivotArea dataOnly="0" labelOnly="1" outline="0" fieldPosition="0">
        <references count="4">
          <reference field="5" count="1">
            <x v="45"/>
          </reference>
          <reference field="8" count="1" selected="0">
            <x v="519"/>
          </reference>
          <reference field="11" count="1" selected="0">
            <x v="3"/>
          </reference>
          <reference field="13" count="1" selected="0">
            <x v="4"/>
          </reference>
        </references>
      </pivotArea>
    </format>
    <format dxfId="1126">
      <pivotArea dataOnly="0" labelOnly="1" outline="0" fieldPosition="0">
        <references count="4">
          <reference field="5" count="1">
            <x v="110"/>
          </reference>
          <reference field="8" count="1" selected="0">
            <x v="519"/>
          </reference>
          <reference field="11" count="1" selected="0">
            <x v="3"/>
          </reference>
          <reference field="13" count="1" selected="0">
            <x v="7"/>
          </reference>
        </references>
      </pivotArea>
    </format>
    <format dxfId="1125">
      <pivotArea dataOnly="0" labelOnly="1" outline="0" fieldPosition="0">
        <references count="4">
          <reference field="5" count="1">
            <x v="110"/>
          </reference>
          <reference field="8" count="1" selected="0">
            <x v="519"/>
          </reference>
          <reference field="11" count="1" selected="0">
            <x v="3"/>
          </reference>
          <reference field="13" count="1" selected="0">
            <x v="32"/>
          </reference>
        </references>
      </pivotArea>
    </format>
    <format dxfId="1124">
      <pivotArea dataOnly="0" labelOnly="1" outline="0" fieldPosition="0">
        <references count="4">
          <reference field="5" count="1">
            <x v="45"/>
          </reference>
          <reference field="8" count="1" selected="0">
            <x v="519"/>
          </reference>
          <reference field="11" count="1" selected="0">
            <x v="3"/>
          </reference>
          <reference field="13" count="1" selected="0">
            <x v="39"/>
          </reference>
        </references>
      </pivotArea>
    </format>
    <format dxfId="1123">
      <pivotArea dataOnly="0" labelOnly="1" outline="0" fieldPosition="0">
        <references count="4">
          <reference field="5" count="1">
            <x v="45"/>
          </reference>
          <reference field="8" count="1" selected="0">
            <x v="519"/>
          </reference>
          <reference field="11" count="1" selected="0">
            <x v="3"/>
          </reference>
          <reference field="13" count="1" selected="0">
            <x v="47"/>
          </reference>
        </references>
      </pivotArea>
    </format>
    <format dxfId="1122">
      <pivotArea dataOnly="0" labelOnly="1" outline="0" fieldPosition="0">
        <references count="4">
          <reference field="5" count="1">
            <x v="45"/>
          </reference>
          <reference field="8" count="1" selected="0">
            <x v="519"/>
          </reference>
          <reference field="11" count="1" selected="0">
            <x v="3"/>
          </reference>
          <reference field="13" count="1" selected="0">
            <x v="49"/>
          </reference>
        </references>
      </pivotArea>
    </format>
    <format dxfId="1121">
      <pivotArea dataOnly="0" labelOnly="1" outline="0" fieldPosition="0">
        <references count="4">
          <reference field="5" count="1">
            <x v="110"/>
          </reference>
          <reference field="8" count="1" selected="0">
            <x v="519"/>
          </reference>
          <reference field="11" count="1" selected="0">
            <x v="3"/>
          </reference>
          <reference field="13" count="1" selected="0">
            <x v="54"/>
          </reference>
        </references>
      </pivotArea>
    </format>
    <format dxfId="1120">
      <pivotArea dataOnly="0" labelOnly="1" outline="0" fieldPosition="0">
        <references count="4">
          <reference field="5" count="1">
            <x v="110"/>
          </reference>
          <reference field="8" count="1" selected="0">
            <x v="519"/>
          </reference>
          <reference field="11" count="1" selected="0">
            <x v="3"/>
          </reference>
          <reference field="13" count="1" selected="0">
            <x v="57"/>
          </reference>
        </references>
      </pivotArea>
    </format>
    <format dxfId="1119">
      <pivotArea dataOnly="0" labelOnly="1" outline="0" fieldPosition="0">
        <references count="4">
          <reference field="5" count="1">
            <x v="45"/>
          </reference>
          <reference field="8" count="1" selected="0">
            <x v="519"/>
          </reference>
          <reference field="11" count="1" selected="0">
            <x v="3"/>
          </reference>
          <reference field="13" count="1" selected="0">
            <x v="218"/>
          </reference>
        </references>
      </pivotArea>
    </format>
    <format dxfId="1118">
      <pivotArea dataOnly="0" labelOnly="1" outline="0" fieldPosition="0">
        <references count="4">
          <reference field="5" count="1">
            <x v="110"/>
          </reference>
          <reference field="8" count="1" selected="0">
            <x v="519"/>
          </reference>
          <reference field="11" count="1" selected="0">
            <x v="3"/>
          </reference>
          <reference field="13" count="1" selected="0">
            <x v="305"/>
          </reference>
        </references>
      </pivotArea>
    </format>
    <format dxfId="1117">
      <pivotArea dataOnly="0" labelOnly="1" outline="0" fieldPosition="0">
        <references count="4">
          <reference field="5" count="1">
            <x v="45"/>
          </reference>
          <reference field="8" count="1" selected="0">
            <x v="519"/>
          </reference>
          <reference field="11" count="1" selected="0">
            <x v="3"/>
          </reference>
          <reference field="13" count="1" selected="0">
            <x v="314"/>
          </reference>
        </references>
      </pivotArea>
    </format>
    <format dxfId="1116">
      <pivotArea dataOnly="0" labelOnly="1" outline="0" fieldPosition="0">
        <references count="4">
          <reference field="5" count="1">
            <x v="110"/>
          </reference>
          <reference field="8" count="1" selected="0">
            <x v="519"/>
          </reference>
          <reference field="11" count="1" selected="0">
            <x v="5"/>
          </reference>
          <reference field="13" count="1" selected="0">
            <x v="77"/>
          </reference>
        </references>
      </pivotArea>
    </format>
    <format dxfId="1115">
      <pivotArea dataOnly="0" labelOnly="1" outline="0" fieldPosition="0">
        <references count="4">
          <reference field="5" count="1">
            <x v="45"/>
          </reference>
          <reference field="8" count="1" selected="0">
            <x v="519"/>
          </reference>
          <reference field="11" count="1" selected="0">
            <x v="5"/>
          </reference>
          <reference field="13" count="1" selected="0">
            <x v="81"/>
          </reference>
        </references>
      </pivotArea>
    </format>
    <format dxfId="1114">
      <pivotArea dataOnly="0" labelOnly="1" outline="0" fieldPosition="0">
        <references count="4">
          <reference field="5" count="1">
            <x v="45"/>
          </reference>
          <reference field="8" count="1" selected="0">
            <x v="519"/>
          </reference>
          <reference field="11" count="1" selected="0">
            <x v="5"/>
          </reference>
          <reference field="13" count="1" selected="0">
            <x v="86"/>
          </reference>
        </references>
      </pivotArea>
    </format>
    <format dxfId="1113">
      <pivotArea dataOnly="0" labelOnly="1" outline="0" fieldPosition="0">
        <references count="4">
          <reference field="5" count="1">
            <x v="1"/>
          </reference>
          <reference field="8" count="1" selected="0">
            <x v="520"/>
          </reference>
          <reference field="11" count="1" selected="0">
            <x v="2"/>
          </reference>
          <reference field="13" count="1" selected="0">
            <x v="18"/>
          </reference>
        </references>
      </pivotArea>
    </format>
    <format dxfId="1112">
      <pivotArea dataOnly="0" labelOnly="1" outline="0" fieldPosition="0">
        <references count="4">
          <reference field="5" count="2">
            <x v="1"/>
            <x v="26"/>
          </reference>
          <reference field="8" count="1" selected="0">
            <x v="520"/>
          </reference>
          <reference field="11" count="1" selected="0">
            <x v="2"/>
          </reference>
          <reference field="13" count="1" selected="0">
            <x v="52"/>
          </reference>
        </references>
      </pivotArea>
    </format>
    <format dxfId="1111">
      <pivotArea dataOnly="0" labelOnly="1" outline="0" fieldPosition="0">
        <references count="4">
          <reference field="5" count="1">
            <x v="45"/>
          </reference>
          <reference field="8" count="1" selected="0">
            <x v="520"/>
          </reference>
          <reference field="11" count="1" selected="0">
            <x v="3"/>
          </reference>
          <reference field="13" count="1" selected="0">
            <x v="4"/>
          </reference>
        </references>
      </pivotArea>
    </format>
    <format dxfId="1110">
      <pivotArea dataOnly="0" labelOnly="1" outline="0" fieldPosition="0">
        <references count="4">
          <reference field="5" count="1">
            <x v="110"/>
          </reference>
          <reference field="8" count="1" selected="0">
            <x v="520"/>
          </reference>
          <reference field="11" count="1" selected="0">
            <x v="3"/>
          </reference>
          <reference field="13" count="1" selected="0">
            <x v="7"/>
          </reference>
        </references>
      </pivotArea>
    </format>
    <format dxfId="1109">
      <pivotArea dataOnly="0" labelOnly="1" outline="0" fieldPosition="0">
        <references count="4">
          <reference field="5" count="1">
            <x v="110"/>
          </reference>
          <reference field="8" count="1" selected="0">
            <x v="520"/>
          </reference>
          <reference field="11" count="1" selected="0">
            <x v="3"/>
          </reference>
          <reference field="13" count="1" selected="0">
            <x v="32"/>
          </reference>
        </references>
      </pivotArea>
    </format>
    <format dxfId="1108">
      <pivotArea dataOnly="0" labelOnly="1" outline="0" fieldPosition="0">
        <references count="4">
          <reference field="5" count="1">
            <x v="47"/>
          </reference>
          <reference field="8" count="1" selected="0">
            <x v="520"/>
          </reference>
          <reference field="11" count="1" selected="0">
            <x v="3"/>
          </reference>
          <reference field="13" count="1" selected="0">
            <x v="36"/>
          </reference>
        </references>
      </pivotArea>
    </format>
    <format dxfId="1107">
      <pivotArea dataOnly="0" labelOnly="1" outline="0" fieldPosition="0">
        <references count="4">
          <reference field="5" count="1">
            <x v="45"/>
          </reference>
          <reference field="8" count="1" selected="0">
            <x v="520"/>
          </reference>
          <reference field="11" count="1" selected="0">
            <x v="3"/>
          </reference>
          <reference field="13" count="1" selected="0">
            <x v="39"/>
          </reference>
        </references>
      </pivotArea>
    </format>
    <format dxfId="1106">
      <pivotArea dataOnly="0" labelOnly="1" outline="0" fieldPosition="0">
        <references count="4">
          <reference field="5" count="1">
            <x v="45"/>
          </reference>
          <reference field="8" count="1" selected="0">
            <x v="520"/>
          </reference>
          <reference field="11" count="1" selected="0">
            <x v="3"/>
          </reference>
          <reference field="13" count="1" selected="0">
            <x v="47"/>
          </reference>
        </references>
      </pivotArea>
    </format>
    <format dxfId="1105">
      <pivotArea dataOnly="0" labelOnly="1" outline="0" fieldPosition="0">
        <references count="4">
          <reference field="5" count="1">
            <x v="45"/>
          </reference>
          <reference field="8" count="1" selected="0">
            <x v="520"/>
          </reference>
          <reference field="11" count="1" selected="0">
            <x v="3"/>
          </reference>
          <reference field="13" count="1" selected="0">
            <x v="49"/>
          </reference>
        </references>
      </pivotArea>
    </format>
    <format dxfId="1104">
      <pivotArea dataOnly="0" labelOnly="1" outline="0" fieldPosition="0">
        <references count="4">
          <reference field="5" count="1">
            <x v="110"/>
          </reference>
          <reference field="8" count="1" selected="0">
            <x v="520"/>
          </reference>
          <reference field="11" count="1" selected="0">
            <x v="3"/>
          </reference>
          <reference field="13" count="1" selected="0">
            <x v="57"/>
          </reference>
        </references>
      </pivotArea>
    </format>
    <format dxfId="1103">
      <pivotArea dataOnly="0" labelOnly="1" outline="0" fieldPosition="0">
        <references count="4">
          <reference field="5" count="1">
            <x v="45"/>
          </reference>
          <reference field="8" count="1" selected="0">
            <x v="520"/>
          </reference>
          <reference field="11" count="1" selected="0">
            <x v="3"/>
          </reference>
          <reference field="13" count="1" selected="0">
            <x v="218"/>
          </reference>
        </references>
      </pivotArea>
    </format>
    <format dxfId="1102">
      <pivotArea dataOnly="0" labelOnly="1" outline="0" fieldPosition="0">
        <references count="4">
          <reference field="5" count="1">
            <x v="110"/>
          </reference>
          <reference field="8" count="1" selected="0">
            <x v="520"/>
          </reference>
          <reference field="11" count="1" selected="0">
            <x v="3"/>
          </reference>
          <reference field="13" count="1" selected="0">
            <x v="287"/>
          </reference>
        </references>
      </pivotArea>
    </format>
    <format dxfId="1101">
      <pivotArea dataOnly="0" labelOnly="1" outline="0" fieldPosition="0">
        <references count="4">
          <reference field="5" count="1">
            <x v="110"/>
          </reference>
          <reference field="8" count="1" selected="0">
            <x v="520"/>
          </reference>
          <reference field="11" count="1" selected="0">
            <x v="3"/>
          </reference>
          <reference field="13" count="1" selected="0">
            <x v="305"/>
          </reference>
        </references>
      </pivotArea>
    </format>
    <format dxfId="1100">
      <pivotArea dataOnly="0" labelOnly="1" outline="0" fieldPosition="0">
        <references count="4">
          <reference field="5" count="1">
            <x v="45"/>
          </reference>
          <reference field="8" count="1" selected="0">
            <x v="520"/>
          </reference>
          <reference field="11" count="1" selected="0">
            <x v="3"/>
          </reference>
          <reference field="13" count="1" selected="0">
            <x v="314"/>
          </reference>
        </references>
      </pivotArea>
    </format>
    <format dxfId="1099">
      <pivotArea dataOnly="0" labelOnly="1" outline="0" fieldPosition="0">
        <references count="4">
          <reference field="5" count="1">
            <x v="110"/>
          </reference>
          <reference field="8" count="1" selected="0">
            <x v="520"/>
          </reference>
          <reference field="11" count="1" selected="0">
            <x v="4"/>
          </reference>
          <reference field="13" count="1" selected="0">
            <x v="158"/>
          </reference>
        </references>
      </pivotArea>
    </format>
    <format dxfId="1098">
      <pivotArea dataOnly="0" labelOnly="1" outline="0" fieldPosition="0">
        <references count="4">
          <reference field="5" count="1">
            <x v="45"/>
          </reference>
          <reference field="8" count="1" selected="0">
            <x v="520"/>
          </reference>
          <reference field="11" count="1" selected="0">
            <x v="5"/>
          </reference>
          <reference field="13" count="1" selected="0">
            <x v="81"/>
          </reference>
        </references>
      </pivotArea>
    </format>
    <format dxfId="1097">
      <pivotArea dataOnly="0" labelOnly="1" outline="0" fieldPosition="0">
        <references count="4">
          <reference field="5" count="1">
            <x v="45"/>
          </reference>
          <reference field="8" count="1" selected="0">
            <x v="520"/>
          </reference>
          <reference field="11" count="1" selected="0">
            <x v="5"/>
          </reference>
          <reference field="13" count="1" selected="0">
            <x v="86"/>
          </reference>
        </references>
      </pivotArea>
    </format>
    <format dxfId="1096">
      <pivotArea dataOnly="0" labelOnly="1" outline="0" fieldPosition="0">
        <references count="4">
          <reference field="5" count="1">
            <x v="110"/>
          </reference>
          <reference field="8" count="1" selected="0">
            <x v="521"/>
          </reference>
          <reference field="11" count="1" selected="0">
            <x v="2"/>
          </reference>
          <reference field="13" count="1" selected="0">
            <x v="190"/>
          </reference>
        </references>
      </pivotArea>
    </format>
    <format dxfId="1095">
      <pivotArea dataOnly="0" labelOnly="1" outline="0" fieldPosition="0">
        <references count="4">
          <reference field="5" count="1">
            <x v="45"/>
          </reference>
          <reference field="8" count="1" selected="0">
            <x v="521"/>
          </reference>
          <reference field="11" count="1" selected="0">
            <x v="3"/>
          </reference>
          <reference field="13" count="1" selected="0">
            <x v="4"/>
          </reference>
        </references>
      </pivotArea>
    </format>
    <format dxfId="1094">
      <pivotArea dataOnly="0" labelOnly="1" outline="0" fieldPosition="0">
        <references count="4">
          <reference field="5" count="1">
            <x v="110"/>
          </reference>
          <reference field="8" count="1" selected="0">
            <x v="521"/>
          </reference>
          <reference field="11" count="1" selected="0">
            <x v="3"/>
          </reference>
          <reference field="13" count="1" selected="0">
            <x v="7"/>
          </reference>
        </references>
      </pivotArea>
    </format>
    <format dxfId="1093">
      <pivotArea dataOnly="0" labelOnly="1" outline="0" fieldPosition="0">
        <references count="4">
          <reference field="5" count="1">
            <x v="110"/>
          </reference>
          <reference field="8" count="1" selected="0">
            <x v="521"/>
          </reference>
          <reference field="11" count="1" selected="0">
            <x v="3"/>
          </reference>
          <reference field="13" count="1" selected="0">
            <x v="17"/>
          </reference>
        </references>
      </pivotArea>
    </format>
    <format dxfId="1092">
      <pivotArea dataOnly="0" labelOnly="1" outline="0" fieldPosition="0">
        <references count="4">
          <reference field="5" count="1">
            <x v="110"/>
          </reference>
          <reference field="8" count="1" selected="0">
            <x v="521"/>
          </reference>
          <reference field="11" count="1" selected="0">
            <x v="3"/>
          </reference>
          <reference field="13" count="1" selected="0">
            <x v="29"/>
          </reference>
        </references>
      </pivotArea>
    </format>
    <format dxfId="1091">
      <pivotArea dataOnly="0" labelOnly="1" outline="0" fieldPosition="0">
        <references count="4">
          <reference field="5" count="1">
            <x v="110"/>
          </reference>
          <reference field="8" count="1" selected="0">
            <x v="521"/>
          </reference>
          <reference field="11" count="1" selected="0">
            <x v="3"/>
          </reference>
          <reference field="13" count="1" selected="0">
            <x v="32"/>
          </reference>
        </references>
      </pivotArea>
    </format>
    <format dxfId="1090">
      <pivotArea dataOnly="0" labelOnly="1" outline="0" fieldPosition="0">
        <references count="4">
          <reference field="5" count="1">
            <x v="45"/>
          </reference>
          <reference field="8" count="1" selected="0">
            <x v="521"/>
          </reference>
          <reference field="11" count="1" selected="0">
            <x v="3"/>
          </reference>
          <reference field="13" count="1" selected="0">
            <x v="39"/>
          </reference>
        </references>
      </pivotArea>
    </format>
    <format dxfId="1089">
      <pivotArea dataOnly="0" labelOnly="1" outline="0" fieldPosition="0">
        <references count="4">
          <reference field="5" count="1">
            <x v="45"/>
          </reference>
          <reference field="8" count="1" selected="0">
            <x v="521"/>
          </reference>
          <reference field="11" count="1" selected="0">
            <x v="3"/>
          </reference>
          <reference field="13" count="1" selected="0">
            <x v="47"/>
          </reference>
        </references>
      </pivotArea>
    </format>
    <format dxfId="1088">
      <pivotArea dataOnly="0" labelOnly="1" outline="0" fieldPosition="0">
        <references count="4">
          <reference field="5" count="1">
            <x v="45"/>
          </reference>
          <reference field="8" count="1" selected="0">
            <x v="521"/>
          </reference>
          <reference field="11" count="1" selected="0">
            <x v="3"/>
          </reference>
          <reference field="13" count="1" selected="0">
            <x v="49"/>
          </reference>
        </references>
      </pivotArea>
    </format>
    <format dxfId="1087">
      <pivotArea dataOnly="0" labelOnly="1" outline="0" fieldPosition="0">
        <references count="4">
          <reference field="5" count="1">
            <x v="110"/>
          </reference>
          <reference field="8" count="1" selected="0">
            <x v="521"/>
          </reference>
          <reference field="11" count="1" selected="0">
            <x v="3"/>
          </reference>
          <reference field="13" count="1" selected="0">
            <x v="54"/>
          </reference>
        </references>
      </pivotArea>
    </format>
    <format dxfId="1086">
      <pivotArea dataOnly="0" labelOnly="1" outline="0" fieldPosition="0">
        <references count="4">
          <reference field="5" count="1">
            <x v="45"/>
          </reference>
          <reference field="8" count="1" selected="0">
            <x v="521"/>
          </reference>
          <reference field="11" count="1" selected="0">
            <x v="3"/>
          </reference>
          <reference field="13" count="1" selected="0">
            <x v="218"/>
          </reference>
        </references>
      </pivotArea>
    </format>
    <format dxfId="1085">
      <pivotArea dataOnly="0" labelOnly="1" outline="0" fieldPosition="0">
        <references count="4">
          <reference field="5" count="1">
            <x v="110"/>
          </reference>
          <reference field="8" count="1" selected="0">
            <x v="521"/>
          </reference>
          <reference field="11" count="1" selected="0">
            <x v="3"/>
          </reference>
          <reference field="13" count="1" selected="0">
            <x v="240"/>
          </reference>
        </references>
      </pivotArea>
    </format>
    <format dxfId="1084">
      <pivotArea dataOnly="0" labelOnly="1" outline="0" fieldPosition="0">
        <references count="4">
          <reference field="5" count="1">
            <x v="110"/>
          </reference>
          <reference field="8" count="1" selected="0">
            <x v="521"/>
          </reference>
          <reference field="11" count="1" selected="0">
            <x v="3"/>
          </reference>
          <reference field="13" count="1" selected="0">
            <x v="305"/>
          </reference>
        </references>
      </pivotArea>
    </format>
    <format dxfId="1083">
      <pivotArea dataOnly="0" labelOnly="1" outline="0" fieldPosition="0">
        <references count="4">
          <reference field="5" count="1">
            <x v="45"/>
          </reference>
          <reference field="8" count="1" selected="0">
            <x v="521"/>
          </reference>
          <reference field="11" count="1" selected="0">
            <x v="3"/>
          </reference>
          <reference field="13" count="1" selected="0">
            <x v="314"/>
          </reference>
        </references>
      </pivotArea>
    </format>
    <format dxfId="1082">
      <pivotArea dataOnly="0" labelOnly="1" outline="0" fieldPosition="0">
        <references count="4">
          <reference field="5" count="2">
            <x v="45"/>
            <x v="110"/>
          </reference>
          <reference field="8" count="1" selected="0">
            <x v="521"/>
          </reference>
          <reference field="11" count="1" selected="0">
            <x v="5"/>
          </reference>
          <reference field="13" count="1" selected="0">
            <x v="81"/>
          </reference>
        </references>
      </pivotArea>
    </format>
    <format dxfId="1081">
      <pivotArea dataOnly="0" labelOnly="1" outline="0" fieldPosition="0">
        <references count="4">
          <reference field="5" count="1">
            <x v="45"/>
          </reference>
          <reference field="8" count="1" selected="0">
            <x v="521"/>
          </reference>
          <reference field="11" count="1" selected="0">
            <x v="5"/>
          </reference>
          <reference field="13" count="1" selected="0">
            <x v="86"/>
          </reference>
        </references>
      </pivotArea>
    </format>
    <format dxfId="1080">
      <pivotArea dataOnly="0" labelOnly="1" outline="0" fieldPosition="0">
        <references count="4">
          <reference field="5" count="1">
            <x v="45"/>
          </reference>
          <reference field="8" count="1" selected="0">
            <x v="522"/>
          </reference>
          <reference field="11" count="1" selected="0">
            <x v="3"/>
          </reference>
          <reference field="13" count="1" selected="0">
            <x v="4"/>
          </reference>
        </references>
      </pivotArea>
    </format>
    <format dxfId="1079">
      <pivotArea dataOnly="0" labelOnly="1" outline="0" fieldPosition="0">
        <references count="4">
          <reference field="5" count="1">
            <x v="110"/>
          </reference>
          <reference field="8" count="1" selected="0">
            <x v="522"/>
          </reference>
          <reference field="11" count="1" selected="0">
            <x v="3"/>
          </reference>
          <reference field="13" count="1" selected="0">
            <x v="7"/>
          </reference>
        </references>
      </pivotArea>
    </format>
    <format dxfId="1078">
      <pivotArea dataOnly="0" labelOnly="1" outline="0" fieldPosition="0">
        <references count="4">
          <reference field="5" count="1">
            <x v="110"/>
          </reference>
          <reference field="8" count="1" selected="0">
            <x v="522"/>
          </reference>
          <reference field="11" count="1" selected="0">
            <x v="3"/>
          </reference>
          <reference field="13" count="1" selected="0">
            <x v="17"/>
          </reference>
        </references>
      </pivotArea>
    </format>
    <format dxfId="1077">
      <pivotArea dataOnly="0" labelOnly="1" outline="0" fieldPosition="0">
        <references count="4">
          <reference field="5" count="1">
            <x v="110"/>
          </reference>
          <reference field="8" count="1" selected="0">
            <x v="522"/>
          </reference>
          <reference field="11" count="1" selected="0">
            <x v="3"/>
          </reference>
          <reference field="13" count="1" selected="0">
            <x v="32"/>
          </reference>
        </references>
      </pivotArea>
    </format>
    <format dxfId="1076">
      <pivotArea dataOnly="0" labelOnly="1" outline="0" fieldPosition="0">
        <references count="4">
          <reference field="5" count="1">
            <x v="45"/>
          </reference>
          <reference field="8" count="1" selected="0">
            <x v="522"/>
          </reference>
          <reference field="11" count="1" selected="0">
            <x v="3"/>
          </reference>
          <reference field="13" count="1" selected="0">
            <x v="39"/>
          </reference>
        </references>
      </pivotArea>
    </format>
    <format dxfId="1075">
      <pivotArea dataOnly="0" labelOnly="1" outline="0" fieldPosition="0">
        <references count="4">
          <reference field="5" count="1">
            <x v="45"/>
          </reference>
          <reference field="8" count="1" selected="0">
            <x v="522"/>
          </reference>
          <reference field="11" count="1" selected="0">
            <x v="3"/>
          </reference>
          <reference field="13" count="1" selected="0">
            <x v="47"/>
          </reference>
        </references>
      </pivotArea>
    </format>
    <format dxfId="1074">
      <pivotArea dataOnly="0" labelOnly="1" outline="0" fieldPosition="0">
        <references count="4">
          <reference field="5" count="1">
            <x v="45"/>
          </reference>
          <reference field="8" count="1" selected="0">
            <x v="522"/>
          </reference>
          <reference field="11" count="1" selected="0">
            <x v="3"/>
          </reference>
          <reference field="13" count="1" selected="0">
            <x v="49"/>
          </reference>
        </references>
      </pivotArea>
    </format>
    <format dxfId="1073">
      <pivotArea dataOnly="0" labelOnly="1" outline="0" fieldPosition="0">
        <references count="4">
          <reference field="5" count="1">
            <x v="110"/>
          </reference>
          <reference field="8" count="1" selected="0">
            <x v="522"/>
          </reference>
          <reference field="11" count="1" selected="0">
            <x v="3"/>
          </reference>
          <reference field="13" count="1" selected="0">
            <x v="54"/>
          </reference>
        </references>
      </pivotArea>
    </format>
    <format dxfId="1072">
      <pivotArea dataOnly="0" labelOnly="1" outline="0" fieldPosition="0">
        <references count="4">
          <reference field="5" count="1">
            <x v="110"/>
          </reference>
          <reference field="8" count="1" selected="0">
            <x v="522"/>
          </reference>
          <reference field="11" count="1" selected="0">
            <x v="3"/>
          </reference>
          <reference field="13" count="1" selected="0">
            <x v="57"/>
          </reference>
        </references>
      </pivotArea>
    </format>
    <format dxfId="1071">
      <pivotArea dataOnly="0" labelOnly="1" outline="0" fieldPosition="0">
        <references count="4">
          <reference field="5" count="1">
            <x v="45"/>
          </reference>
          <reference field="8" count="1" selected="0">
            <x v="522"/>
          </reference>
          <reference field="11" count="1" selected="0">
            <x v="3"/>
          </reference>
          <reference field="13" count="1" selected="0">
            <x v="218"/>
          </reference>
        </references>
      </pivotArea>
    </format>
    <format dxfId="1070">
      <pivotArea dataOnly="0" labelOnly="1" outline="0" fieldPosition="0">
        <references count="4">
          <reference field="5" count="1">
            <x v="110"/>
          </reference>
          <reference field="8" count="1" selected="0">
            <x v="522"/>
          </reference>
          <reference field="11" count="1" selected="0">
            <x v="3"/>
          </reference>
          <reference field="13" count="1" selected="0">
            <x v="305"/>
          </reference>
        </references>
      </pivotArea>
    </format>
    <format dxfId="1069">
      <pivotArea dataOnly="0" labelOnly="1" outline="0" fieldPosition="0">
        <references count="4">
          <reference field="5" count="1">
            <x v="45"/>
          </reference>
          <reference field="8" count="1" selected="0">
            <x v="522"/>
          </reference>
          <reference field="11" count="1" selected="0">
            <x v="3"/>
          </reference>
          <reference field="13" count="1" selected="0">
            <x v="314"/>
          </reference>
        </references>
      </pivotArea>
    </format>
    <format dxfId="1068">
      <pivotArea dataOnly="0" labelOnly="1" outline="0" fieldPosition="0">
        <references count="4">
          <reference field="5" count="1">
            <x v="110"/>
          </reference>
          <reference field="8" count="1" selected="0">
            <x v="522"/>
          </reference>
          <reference field="11" count="1" selected="0">
            <x v="5"/>
          </reference>
          <reference field="13" count="1" selected="0">
            <x v="77"/>
          </reference>
        </references>
      </pivotArea>
    </format>
    <format dxfId="1067">
      <pivotArea dataOnly="0" labelOnly="1" outline="0" fieldPosition="0">
        <references count="4">
          <reference field="5" count="2">
            <x v="45"/>
            <x v="110"/>
          </reference>
          <reference field="8" count="1" selected="0">
            <x v="522"/>
          </reference>
          <reference field="11" count="1" selected="0">
            <x v="5"/>
          </reference>
          <reference field="13" count="1" selected="0">
            <x v="81"/>
          </reference>
        </references>
      </pivotArea>
    </format>
    <format dxfId="1066">
      <pivotArea dataOnly="0" labelOnly="1" outline="0" fieldPosition="0">
        <references count="4">
          <reference field="5" count="1">
            <x v="45"/>
          </reference>
          <reference field="8" count="1" selected="0">
            <x v="522"/>
          </reference>
          <reference field="11" count="1" selected="0">
            <x v="5"/>
          </reference>
          <reference field="13" count="1" selected="0">
            <x v="86"/>
          </reference>
        </references>
      </pivotArea>
    </format>
    <format dxfId="1065">
      <pivotArea dataOnly="0" labelOnly="1" outline="0" fieldPosition="0">
        <references count="4">
          <reference field="5" count="1">
            <x v="63"/>
          </reference>
          <reference field="8" count="1" selected="0">
            <x v="523"/>
          </reference>
          <reference field="11" count="1" selected="0">
            <x v="1"/>
          </reference>
          <reference field="13" count="1" selected="0">
            <x v="216"/>
          </reference>
        </references>
      </pivotArea>
    </format>
    <format dxfId="1064">
      <pivotArea dataOnly="0" labelOnly="1" outline="0" fieldPosition="0">
        <references count="4">
          <reference field="5" count="1">
            <x v="63"/>
          </reference>
          <reference field="8" count="1" selected="0">
            <x v="523"/>
          </reference>
          <reference field="11" count="1" selected="0">
            <x v="2"/>
          </reference>
          <reference field="13" count="1" selected="0">
            <x v="60"/>
          </reference>
        </references>
      </pivotArea>
    </format>
    <format dxfId="1063">
      <pivotArea dataOnly="0" labelOnly="1" outline="0" fieldPosition="0">
        <references count="4">
          <reference field="5" count="1">
            <x v="63"/>
          </reference>
          <reference field="8" count="1" selected="0">
            <x v="523"/>
          </reference>
          <reference field="11" count="1" selected="0">
            <x v="2"/>
          </reference>
          <reference field="13" count="1" selected="0">
            <x v="232"/>
          </reference>
        </references>
      </pivotArea>
    </format>
    <format dxfId="1062">
      <pivotArea dataOnly="0" labelOnly="1" outline="0" fieldPosition="0">
        <references count="4">
          <reference field="5" count="1">
            <x v="63"/>
          </reference>
          <reference field="8" count="1" selected="0">
            <x v="523"/>
          </reference>
          <reference field="11" count="1" selected="0">
            <x v="2"/>
          </reference>
          <reference field="13" count="1" selected="0">
            <x v="263"/>
          </reference>
        </references>
      </pivotArea>
    </format>
    <format dxfId="1061">
      <pivotArea dataOnly="0" labelOnly="1" outline="0" fieldPosition="0">
        <references count="4">
          <reference field="5" count="2">
            <x v="45"/>
            <x v="63"/>
          </reference>
          <reference field="8" count="1" selected="0">
            <x v="523"/>
          </reference>
          <reference field="11" count="1" selected="0">
            <x v="3"/>
          </reference>
          <reference field="13" count="1" selected="0">
            <x v="4"/>
          </reference>
        </references>
      </pivotArea>
    </format>
    <format dxfId="1060">
      <pivotArea dataOnly="0" labelOnly="1" outline="0" fieldPosition="0">
        <references count="4">
          <reference field="5" count="1">
            <x v="63"/>
          </reference>
          <reference field="8" count="1" selected="0">
            <x v="523"/>
          </reference>
          <reference field="11" count="1" selected="0">
            <x v="3"/>
          </reference>
          <reference field="13" count="1" selected="0">
            <x v="17"/>
          </reference>
        </references>
      </pivotArea>
    </format>
    <format dxfId="1059">
      <pivotArea dataOnly="0" labelOnly="1" outline="0" fieldPosition="0">
        <references count="4">
          <reference field="5" count="1">
            <x v="63"/>
          </reference>
          <reference field="8" count="1" selected="0">
            <x v="523"/>
          </reference>
          <reference field="11" count="1" selected="0">
            <x v="3"/>
          </reference>
          <reference field="13" count="1" selected="0">
            <x v="32"/>
          </reference>
        </references>
      </pivotArea>
    </format>
    <format dxfId="1058">
      <pivotArea dataOnly="0" labelOnly="1" outline="0" fieldPosition="0">
        <references count="4">
          <reference field="5" count="2">
            <x v="45"/>
            <x v="63"/>
          </reference>
          <reference field="8" count="1" selected="0">
            <x v="523"/>
          </reference>
          <reference field="11" count="1" selected="0">
            <x v="3"/>
          </reference>
          <reference field="13" count="1" selected="0">
            <x v="39"/>
          </reference>
        </references>
      </pivotArea>
    </format>
    <format dxfId="1057">
      <pivotArea dataOnly="0" labelOnly="1" outline="0" fieldPosition="0">
        <references count="4">
          <reference field="5" count="2">
            <x v="45"/>
            <x v="63"/>
          </reference>
          <reference field="8" count="1" selected="0">
            <x v="523"/>
          </reference>
          <reference field="11" count="1" selected="0">
            <x v="3"/>
          </reference>
          <reference field="13" count="1" selected="0">
            <x v="47"/>
          </reference>
        </references>
      </pivotArea>
    </format>
    <format dxfId="1056">
      <pivotArea dataOnly="0" labelOnly="1" outline="0" fieldPosition="0">
        <references count="4">
          <reference field="5" count="2">
            <x v="45"/>
            <x v="63"/>
          </reference>
          <reference field="8" count="1" selected="0">
            <x v="523"/>
          </reference>
          <reference field="11" count="1" selected="0">
            <x v="3"/>
          </reference>
          <reference field="13" count="1" selected="0">
            <x v="49"/>
          </reference>
        </references>
      </pivotArea>
    </format>
    <format dxfId="1055">
      <pivotArea dataOnly="0" labelOnly="1" outline="0" fieldPosition="0">
        <references count="4">
          <reference field="5" count="2">
            <x v="55"/>
            <x v="63"/>
          </reference>
          <reference field="8" count="1" selected="0">
            <x v="523"/>
          </reference>
          <reference field="11" count="1" selected="0">
            <x v="3"/>
          </reference>
          <reference field="13" count="1" selected="0">
            <x v="78"/>
          </reference>
        </references>
      </pivotArea>
    </format>
    <format dxfId="1054">
      <pivotArea dataOnly="0" labelOnly="1" outline="0" fieldPosition="0">
        <references count="4">
          <reference field="5" count="1">
            <x v="63"/>
          </reference>
          <reference field="8" count="1" selected="0">
            <x v="523"/>
          </reference>
          <reference field="11" count="1" selected="0">
            <x v="3"/>
          </reference>
          <reference field="13" count="1" selected="0">
            <x v="217"/>
          </reference>
        </references>
      </pivotArea>
    </format>
    <format dxfId="1053">
      <pivotArea dataOnly="0" labelOnly="1" outline="0" fieldPosition="0">
        <references count="4">
          <reference field="5" count="2">
            <x v="45"/>
            <x v="63"/>
          </reference>
          <reference field="8" count="1" selected="0">
            <x v="523"/>
          </reference>
          <reference field="11" count="1" selected="0">
            <x v="3"/>
          </reference>
          <reference field="13" count="1" selected="0">
            <x v="218"/>
          </reference>
        </references>
      </pivotArea>
    </format>
    <format dxfId="1052">
      <pivotArea dataOnly="0" labelOnly="1" outline="0" fieldPosition="0">
        <references count="4">
          <reference field="5" count="2">
            <x v="63"/>
            <x v="70"/>
          </reference>
          <reference field="8" count="1" selected="0">
            <x v="523"/>
          </reference>
          <reference field="11" count="1" selected="0">
            <x v="3"/>
          </reference>
          <reference field="13" count="1" selected="0">
            <x v="240"/>
          </reference>
        </references>
      </pivotArea>
    </format>
    <format dxfId="1051">
      <pivotArea dataOnly="0" labelOnly="1" outline="0" fieldPosition="0">
        <references count="4">
          <reference field="5" count="2">
            <x v="55"/>
            <x v="63"/>
          </reference>
          <reference field="8" count="1" selected="0">
            <x v="523"/>
          </reference>
          <reference field="11" count="1" selected="0">
            <x v="3"/>
          </reference>
          <reference field="13" count="1" selected="0">
            <x v="242"/>
          </reference>
        </references>
      </pivotArea>
    </format>
    <format dxfId="1050">
      <pivotArea dataOnly="0" labelOnly="1" outline="0" fieldPosition="0">
        <references count="4">
          <reference field="5" count="2">
            <x v="55"/>
            <x v="63"/>
          </reference>
          <reference field="8" count="1" selected="0">
            <x v="523"/>
          </reference>
          <reference field="11" count="1" selected="0">
            <x v="3"/>
          </reference>
          <reference field="13" count="1" selected="0">
            <x v="243"/>
          </reference>
        </references>
      </pivotArea>
    </format>
    <format dxfId="1049">
      <pivotArea dataOnly="0" labelOnly="1" outline="0" fieldPosition="0">
        <references count="4">
          <reference field="5" count="2">
            <x v="63"/>
            <x v="85"/>
          </reference>
          <reference field="8" count="1" selected="0">
            <x v="523"/>
          </reference>
          <reference field="11" count="1" selected="0">
            <x v="3"/>
          </reference>
          <reference field="13" count="1" selected="0">
            <x v="287"/>
          </reference>
        </references>
      </pivotArea>
    </format>
    <format dxfId="1048">
      <pivotArea dataOnly="0" labelOnly="1" outline="0" fieldPosition="0">
        <references count="4">
          <reference field="5" count="2">
            <x v="55"/>
            <x v="63"/>
          </reference>
          <reference field="8" count="1" selected="0">
            <x v="523"/>
          </reference>
          <reference field="11" count="1" selected="0">
            <x v="3"/>
          </reference>
          <reference field="13" count="1" selected="0">
            <x v="305"/>
          </reference>
        </references>
      </pivotArea>
    </format>
    <format dxfId="1047">
      <pivotArea dataOnly="0" labelOnly="1" outline="0" fieldPosition="0">
        <references count="4">
          <reference field="5" count="2">
            <x v="45"/>
            <x v="63"/>
          </reference>
          <reference field="8" count="1" selected="0">
            <x v="523"/>
          </reference>
          <reference field="11" count="1" selected="0">
            <x v="3"/>
          </reference>
          <reference field="13" count="1" selected="0">
            <x v="314"/>
          </reference>
        </references>
      </pivotArea>
    </format>
    <format dxfId="1046">
      <pivotArea dataOnly="0" labelOnly="1" outline="0" fieldPosition="0">
        <references count="4">
          <reference field="5" count="3">
            <x v="45"/>
            <x v="63"/>
            <x v="116"/>
          </reference>
          <reference field="8" count="1" selected="0">
            <x v="523"/>
          </reference>
          <reference field="11" count="1" selected="0">
            <x v="5"/>
          </reference>
          <reference field="13" count="1" selected="0">
            <x v="77"/>
          </reference>
        </references>
      </pivotArea>
    </format>
    <format dxfId="1045">
      <pivotArea dataOnly="0" labelOnly="1" outline="0" fieldPosition="0">
        <references count="4">
          <reference field="5" count="4">
            <x v="20"/>
            <x v="45"/>
            <x v="63"/>
            <x v="116"/>
          </reference>
          <reference field="8" count="1" selected="0">
            <x v="523"/>
          </reference>
          <reference field="11" count="1" selected="0">
            <x v="5"/>
          </reference>
          <reference field="13" count="1" selected="0">
            <x v="81"/>
          </reference>
        </references>
      </pivotArea>
    </format>
    <format dxfId="1044">
      <pivotArea dataOnly="0" labelOnly="1" outline="0" fieldPosition="0">
        <references count="4">
          <reference field="5" count="1">
            <x v="45"/>
          </reference>
          <reference field="8" count="1" selected="0">
            <x v="523"/>
          </reference>
          <reference field="11" count="1" selected="0">
            <x v="5"/>
          </reference>
          <reference field="13" count="1" selected="0">
            <x v="86"/>
          </reference>
        </references>
      </pivotArea>
    </format>
    <format dxfId="1043">
      <pivotArea dataOnly="0" labelOnly="1" outline="0" fieldPosition="0">
        <references count="4">
          <reference field="5" count="3">
            <x v="55"/>
            <x v="63"/>
            <x v="70"/>
          </reference>
          <reference field="8" count="1" selected="0">
            <x v="523"/>
          </reference>
          <reference field="11" count="1" selected="0">
            <x v="5"/>
          </reference>
          <reference field="13" count="1" selected="0">
            <x v="96"/>
          </reference>
        </references>
      </pivotArea>
    </format>
    <format dxfId="1042">
      <pivotArea dataOnly="0" labelOnly="1" outline="0" fieldPosition="0">
        <references count="4">
          <reference field="5" count="2">
            <x v="45"/>
            <x v="63"/>
          </reference>
          <reference field="8" count="1" selected="0">
            <x v="523"/>
          </reference>
          <reference field="11" count="1" selected="0">
            <x v="5"/>
          </reference>
          <reference field="13" count="1" selected="0">
            <x v="226"/>
          </reference>
        </references>
      </pivotArea>
    </format>
    <format dxfId="1041">
      <pivotArea dataOnly="0" labelOnly="1" outline="0" fieldPosition="0">
        <references count="4">
          <reference field="5" count="1">
            <x v="45"/>
          </reference>
          <reference field="8" count="1" selected="0">
            <x v="523"/>
          </reference>
          <reference field="11" count="1" selected="0">
            <x v="5"/>
          </reference>
          <reference field="13" count="1" selected="0">
            <x v="229"/>
          </reference>
        </references>
      </pivotArea>
    </format>
    <format dxfId="1040">
      <pivotArea dataOnly="0" labelOnly="1" outline="0" fieldPosition="0">
        <references count="4">
          <reference field="5" count="1">
            <x v="20"/>
          </reference>
          <reference field="8" count="1" selected="0">
            <x v="523"/>
          </reference>
          <reference field="11" count="1" selected="0">
            <x v="5"/>
          </reference>
          <reference field="13" count="1" selected="0">
            <x v="255"/>
          </reference>
        </references>
      </pivotArea>
    </format>
    <format dxfId="1039">
      <pivotArea dataOnly="0" labelOnly="1" outline="0" fieldPosition="0">
        <references count="4">
          <reference field="5" count="1">
            <x v="63"/>
          </reference>
          <reference field="8" count="1" selected="0">
            <x v="524"/>
          </reference>
          <reference field="11" count="1" selected="0">
            <x v="1"/>
          </reference>
          <reference field="13" count="1" selected="0">
            <x v="216"/>
          </reference>
        </references>
      </pivotArea>
    </format>
    <format dxfId="1038">
      <pivotArea dataOnly="0" labelOnly="1" outline="0" fieldPosition="0">
        <references count="4">
          <reference field="5" count="1">
            <x v="63"/>
          </reference>
          <reference field="8" count="1" selected="0">
            <x v="524"/>
          </reference>
          <reference field="11" count="1" selected="0">
            <x v="1"/>
          </reference>
          <reference field="13" count="1" selected="0">
            <x v="286"/>
          </reference>
        </references>
      </pivotArea>
    </format>
    <format dxfId="1037">
      <pivotArea dataOnly="0" labelOnly="1" outline="0" fieldPosition="0">
        <references count="4">
          <reference field="5" count="1">
            <x v="63"/>
          </reference>
          <reference field="8" count="1" selected="0">
            <x v="524"/>
          </reference>
          <reference field="11" count="1" selected="0">
            <x v="2"/>
          </reference>
          <reference field="13" count="1" selected="0">
            <x v="60"/>
          </reference>
        </references>
      </pivotArea>
    </format>
    <format dxfId="1036">
      <pivotArea dataOnly="0" labelOnly="1" outline="0" fieldPosition="0">
        <references count="4">
          <reference field="5" count="1">
            <x v="63"/>
          </reference>
          <reference field="8" count="1" selected="0">
            <x v="524"/>
          </reference>
          <reference field="11" count="1" selected="0">
            <x v="2"/>
          </reference>
          <reference field="13" count="1" selected="0">
            <x v="232"/>
          </reference>
        </references>
      </pivotArea>
    </format>
    <format dxfId="1035">
      <pivotArea dataOnly="0" labelOnly="1" outline="0" fieldPosition="0">
        <references count="4">
          <reference field="5" count="1">
            <x v="63"/>
          </reference>
          <reference field="8" count="1" selected="0">
            <x v="524"/>
          </reference>
          <reference field="11" count="1" selected="0">
            <x v="2"/>
          </reference>
          <reference field="13" count="1" selected="0">
            <x v="263"/>
          </reference>
        </references>
      </pivotArea>
    </format>
    <format dxfId="1034">
      <pivotArea dataOnly="0" labelOnly="1" outline="0" fieldPosition="0">
        <references count="4">
          <reference field="5" count="2">
            <x v="45"/>
            <x v="63"/>
          </reference>
          <reference field="8" count="1" selected="0">
            <x v="524"/>
          </reference>
          <reference field="11" count="1" selected="0">
            <x v="3"/>
          </reference>
          <reference field="13" count="1" selected="0">
            <x v="4"/>
          </reference>
        </references>
      </pivotArea>
    </format>
    <format dxfId="1033">
      <pivotArea dataOnly="0" labelOnly="1" outline="0" fieldPosition="0">
        <references count="4">
          <reference field="5" count="1">
            <x v="63"/>
          </reference>
          <reference field="8" count="1" selected="0">
            <x v="524"/>
          </reference>
          <reference field="11" count="1" selected="0">
            <x v="3"/>
          </reference>
          <reference field="13" count="1" selected="0">
            <x v="17"/>
          </reference>
        </references>
      </pivotArea>
    </format>
    <format dxfId="1032">
      <pivotArea dataOnly="0" labelOnly="1" outline="0" fieldPosition="0">
        <references count="4">
          <reference field="5" count="2">
            <x v="116"/>
            <x v="117"/>
          </reference>
          <reference field="8" count="1" selected="0">
            <x v="524"/>
          </reference>
          <reference field="11" count="1" selected="0">
            <x v="3"/>
          </reference>
          <reference field="13" count="1" selected="0">
            <x v="29"/>
          </reference>
        </references>
      </pivotArea>
    </format>
    <format dxfId="1031">
      <pivotArea dataOnly="0" labelOnly="1" outline="0" fieldPosition="0">
        <references count="4">
          <reference field="5" count="1">
            <x v="63"/>
          </reference>
          <reference field="8" count="1" selected="0">
            <x v="524"/>
          </reference>
          <reference field="11" count="1" selected="0">
            <x v="3"/>
          </reference>
          <reference field="13" count="1" selected="0">
            <x v="32"/>
          </reference>
        </references>
      </pivotArea>
    </format>
    <format dxfId="1030">
      <pivotArea dataOnly="0" labelOnly="1" outline="0" fieldPosition="0">
        <references count="4">
          <reference field="5" count="2">
            <x v="45"/>
            <x v="63"/>
          </reference>
          <reference field="8" count="1" selected="0">
            <x v="524"/>
          </reference>
          <reference field="11" count="1" selected="0">
            <x v="3"/>
          </reference>
          <reference field="13" count="1" selected="0">
            <x v="39"/>
          </reference>
        </references>
      </pivotArea>
    </format>
    <format dxfId="1029">
      <pivotArea dataOnly="0" labelOnly="1" outline="0" fieldPosition="0">
        <references count="4">
          <reference field="5" count="2">
            <x v="45"/>
            <x v="63"/>
          </reference>
          <reference field="8" count="1" selected="0">
            <x v="524"/>
          </reference>
          <reference field="11" count="1" selected="0">
            <x v="3"/>
          </reference>
          <reference field="13" count="1" selected="0">
            <x v="47"/>
          </reference>
        </references>
      </pivotArea>
    </format>
    <format dxfId="1028">
      <pivotArea dataOnly="0" labelOnly="1" outline="0" fieldPosition="0">
        <references count="4">
          <reference field="5" count="2">
            <x v="45"/>
            <x v="63"/>
          </reference>
          <reference field="8" count="1" selected="0">
            <x v="524"/>
          </reference>
          <reference field="11" count="1" selected="0">
            <x v="3"/>
          </reference>
          <reference field="13" count="1" selected="0">
            <x v="49"/>
          </reference>
        </references>
      </pivotArea>
    </format>
    <format dxfId="1027">
      <pivotArea dataOnly="0" labelOnly="1" outline="0" fieldPosition="0">
        <references count="4">
          <reference field="5" count="2">
            <x v="55"/>
            <x v="63"/>
          </reference>
          <reference field="8" count="1" selected="0">
            <x v="524"/>
          </reference>
          <reference field="11" count="1" selected="0">
            <x v="3"/>
          </reference>
          <reference field="13" count="1" selected="0">
            <x v="78"/>
          </reference>
        </references>
      </pivotArea>
    </format>
    <format dxfId="1026">
      <pivotArea dataOnly="0" labelOnly="1" outline="0" fieldPosition="0">
        <references count="4">
          <reference field="5" count="1">
            <x v="63"/>
          </reference>
          <reference field="8" count="1" selected="0">
            <x v="524"/>
          </reference>
          <reference field="11" count="1" selected="0">
            <x v="3"/>
          </reference>
          <reference field="13" count="1" selected="0">
            <x v="217"/>
          </reference>
        </references>
      </pivotArea>
    </format>
    <format dxfId="1025">
      <pivotArea dataOnly="0" labelOnly="1" outline="0" fieldPosition="0">
        <references count="4">
          <reference field="5" count="3">
            <x v="45"/>
            <x v="63"/>
            <x v="117"/>
          </reference>
          <reference field="8" count="1" selected="0">
            <x v="524"/>
          </reference>
          <reference field="11" count="1" selected="0">
            <x v="3"/>
          </reference>
          <reference field="13" count="1" selected="0">
            <x v="218"/>
          </reference>
        </references>
      </pivotArea>
    </format>
    <format dxfId="1024">
      <pivotArea dataOnly="0" labelOnly="1" outline="0" fieldPosition="0">
        <references count="4">
          <reference field="5" count="1">
            <x v="63"/>
          </reference>
          <reference field="8" count="1" selected="0">
            <x v="524"/>
          </reference>
          <reference field="11" count="1" selected="0">
            <x v="3"/>
          </reference>
          <reference field="13" count="1" selected="0">
            <x v="240"/>
          </reference>
        </references>
      </pivotArea>
    </format>
    <format dxfId="1023">
      <pivotArea dataOnly="0" labelOnly="1" outline="0" fieldPosition="0">
        <references count="4">
          <reference field="5" count="2">
            <x v="55"/>
            <x v="63"/>
          </reference>
          <reference field="8" count="1" selected="0">
            <x v="524"/>
          </reference>
          <reference field="11" count="1" selected="0">
            <x v="3"/>
          </reference>
          <reference field="13" count="1" selected="0">
            <x v="242"/>
          </reference>
        </references>
      </pivotArea>
    </format>
    <format dxfId="1022">
      <pivotArea dataOnly="0" labelOnly="1" outline="0" fieldPosition="0">
        <references count="4">
          <reference field="5" count="2">
            <x v="55"/>
            <x v="63"/>
          </reference>
          <reference field="8" count="1" selected="0">
            <x v="524"/>
          </reference>
          <reference field="11" count="1" selected="0">
            <x v="3"/>
          </reference>
          <reference field="13" count="1" selected="0">
            <x v="243"/>
          </reference>
        </references>
      </pivotArea>
    </format>
    <format dxfId="1021">
      <pivotArea dataOnly="0" labelOnly="1" outline="0" fieldPosition="0">
        <references count="4">
          <reference field="5" count="1">
            <x v="63"/>
          </reference>
          <reference field="8" count="1" selected="0">
            <x v="524"/>
          </reference>
          <reference field="11" count="1" selected="0">
            <x v="3"/>
          </reference>
          <reference field="13" count="1" selected="0">
            <x v="251"/>
          </reference>
        </references>
      </pivotArea>
    </format>
    <format dxfId="1020">
      <pivotArea dataOnly="0" labelOnly="1" outline="0" fieldPosition="0">
        <references count="4">
          <reference field="5" count="2">
            <x v="63"/>
            <x v="85"/>
          </reference>
          <reference field="8" count="1" selected="0">
            <x v="524"/>
          </reference>
          <reference field="11" count="1" selected="0">
            <x v="3"/>
          </reference>
          <reference field="13" count="1" selected="0">
            <x v="287"/>
          </reference>
        </references>
      </pivotArea>
    </format>
    <format dxfId="1019">
      <pivotArea dataOnly="0" labelOnly="1" outline="0" fieldPosition="0">
        <references count="4">
          <reference field="5" count="2">
            <x v="55"/>
            <x v="63"/>
          </reference>
          <reference field="8" count="1" selected="0">
            <x v="524"/>
          </reference>
          <reference field="11" count="1" selected="0">
            <x v="3"/>
          </reference>
          <reference field="13" count="1" selected="0">
            <x v="305"/>
          </reference>
        </references>
      </pivotArea>
    </format>
    <format dxfId="1018">
      <pivotArea dataOnly="0" labelOnly="1" outline="0" fieldPosition="0">
        <references count="4">
          <reference field="5" count="3">
            <x v="45"/>
            <x v="63"/>
            <x v="117"/>
          </reference>
          <reference field="8" count="1" selected="0">
            <x v="524"/>
          </reference>
          <reference field="11" count="1" selected="0">
            <x v="3"/>
          </reference>
          <reference field="13" count="1" selected="0">
            <x v="314"/>
          </reference>
        </references>
      </pivotArea>
    </format>
    <format dxfId="1017">
      <pivotArea dataOnly="0" labelOnly="1" outline="0" fieldPosition="0">
        <references count="4">
          <reference field="5" count="1">
            <x v="63"/>
          </reference>
          <reference field="8" count="1" selected="0">
            <x v="524"/>
          </reference>
          <reference field="11" count="1" selected="0">
            <x v="4"/>
          </reference>
          <reference field="13" count="1" selected="0">
            <x v="133"/>
          </reference>
        </references>
      </pivotArea>
    </format>
    <format dxfId="1016">
      <pivotArea dataOnly="0" labelOnly="1" outline="0" fieldPosition="0">
        <references count="4">
          <reference field="5" count="2">
            <x v="63"/>
            <x v="116"/>
          </reference>
          <reference field="8" count="1" selected="0">
            <x v="524"/>
          </reference>
          <reference field="11" count="1" selected="0">
            <x v="5"/>
          </reference>
          <reference field="13" count="1" selected="0">
            <x v="77"/>
          </reference>
        </references>
      </pivotArea>
    </format>
    <format dxfId="1015">
      <pivotArea dataOnly="0" labelOnly="1" outline="0" fieldPosition="0">
        <references count="4">
          <reference field="5" count="4">
            <x v="20"/>
            <x v="45"/>
            <x v="63"/>
            <x v="116"/>
          </reference>
          <reference field="8" count="1" selected="0">
            <x v="524"/>
          </reference>
          <reference field="11" count="1" selected="0">
            <x v="5"/>
          </reference>
          <reference field="13" count="1" selected="0">
            <x v="81"/>
          </reference>
        </references>
      </pivotArea>
    </format>
    <format dxfId="1014">
      <pivotArea dataOnly="0" labelOnly="1" outline="0" fieldPosition="0">
        <references count="4">
          <reference field="5" count="1">
            <x v="45"/>
          </reference>
          <reference field="8" count="1" selected="0">
            <x v="524"/>
          </reference>
          <reference field="11" count="1" selected="0">
            <x v="5"/>
          </reference>
          <reference field="13" count="1" selected="0">
            <x v="86"/>
          </reference>
        </references>
      </pivotArea>
    </format>
    <format dxfId="1013">
      <pivotArea dataOnly="0" labelOnly="1" outline="0" fieldPosition="0">
        <references count="4">
          <reference field="5" count="3">
            <x v="55"/>
            <x v="63"/>
            <x v="70"/>
          </reference>
          <reference field="8" count="1" selected="0">
            <x v="524"/>
          </reference>
          <reference field="11" count="1" selected="0">
            <x v="5"/>
          </reference>
          <reference field="13" count="1" selected="0">
            <x v="96"/>
          </reference>
        </references>
      </pivotArea>
    </format>
    <format dxfId="1012">
      <pivotArea dataOnly="0" labelOnly="1" outline="0" fieldPosition="0">
        <references count="4">
          <reference field="5" count="1">
            <x v="35"/>
          </reference>
          <reference field="8" count="1" selected="0">
            <x v="524"/>
          </reference>
          <reference field="11" count="1" selected="0">
            <x v="5"/>
          </reference>
          <reference field="13" count="1" selected="0">
            <x v="99"/>
          </reference>
        </references>
      </pivotArea>
    </format>
    <format dxfId="1011">
      <pivotArea dataOnly="0" labelOnly="1" outline="0" fieldPosition="0">
        <references count="4">
          <reference field="5" count="1">
            <x v="20"/>
          </reference>
          <reference field="8" count="1" selected="0">
            <x v="524"/>
          </reference>
          <reference field="11" count="1" selected="0">
            <x v="5"/>
          </reference>
          <reference field="13" count="1" selected="0">
            <x v="255"/>
          </reference>
        </references>
      </pivotArea>
    </format>
    <format dxfId="1010">
      <pivotArea dataOnly="0" labelOnly="1" outline="0" fieldPosition="0">
        <references count="4">
          <reference field="5" count="1">
            <x v="63"/>
          </reference>
          <reference field="8" count="1" selected="0">
            <x v="524"/>
          </reference>
          <reference field="11" count="1" selected="0">
            <x v="7"/>
          </reference>
          <reference field="13" count="1" selected="0">
            <x v="93"/>
          </reference>
        </references>
      </pivotArea>
    </format>
    <format dxfId="1009">
      <pivotArea dataOnly="0" labelOnly="1" outline="0" fieldPosition="0">
        <references count="4">
          <reference field="5" count="2">
            <x v="45"/>
            <x v="63"/>
          </reference>
          <reference field="8" count="1" selected="0">
            <x v="525"/>
          </reference>
          <reference field="11" count="1" selected="0">
            <x v="3"/>
          </reference>
          <reference field="13" count="1" selected="0">
            <x v="4"/>
          </reference>
        </references>
      </pivotArea>
    </format>
    <format dxfId="1008">
      <pivotArea dataOnly="0" labelOnly="1" outline="0" fieldPosition="0">
        <references count="4">
          <reference field="5" count="1">
            <x v="63"/>
          </reference>
          <reference field="8" count="1" selected="0">
            <x v="525"/>
          </reference>
          <reference field="11" count="1" selected="0">
            <x v="3"/>
          </reference>
          <reference field="13" count="1" selected="0">
            <x v="32"/>
          </reference>
        </references>
      </pivotArea>
    </format>
    <format dxfId="1007">
      <pivotArea dataOnly="0" labelOnly="1" outline="0" fieldPosition="0">
        <references count="4">
          <reference field="5" count="2">
            <x v="45"/>
            <x v="63"/>
          </reference>
          <reference field="8" count="1" selected="0">
            <x v="525"/>
          </reference>
          <reference field="11" count="1" selected="0">
            <x v="3"/>
          </reference>
          <reference field="13" count="1" selected="0">
            <x v="39"/>
          </reference>
        </references>
      </pivotArea>
    </format>
    <format dxfId="1006">
      <pivotArea dataOnly="0" labelOnly="1" outline="0" fieldPosition="0">
        <references count="4">
          <reference field="5" count="2">
            <x v="45"/>
            <x v="63"/>
          </reference>
          <reference field="8" count="1" selected="0">
            <x v="525"/>
          </reference>
          <reference field="11" count="1" selected="0">
            <x v="3"/>
          </reference>
          <reference field="13" count="1" selected="0">
            <x v="47"/>
          </reference>
        </references>
      </pivotArea>
    </format>
    <format dxfId="1005">
      <pivotArea dataOnly="0" labelOnly="1" outline="0" fieldPosition="0">
        <references count="4">
          <reference field="5" count="2">
            <x v="45"/>
            <x v="63"/>
          </reference>
          <reference field="8" count="1" selected="0">
            <x v="525"/>
          </reference>
          <reference field="11" count="1" selected="0">
            <x v="3"/>
          </reference>
          <reference field="13" count="1" selected="0">
            <x v="49"/>
          </reference>
        </references>
      </pivotArea>
    </format>
    <format dxfId="1004">
      <pivotArea dataOnly="0" labelOnly="1" outline="0" fieldPosition="0">
        <references count="4">
          <reference field="5" count="1">
            <x v="63"/>
          </reference>
          <reference field="8" count="1" selected="0">
            <x v="525"/>
          </reference>
          <reference field="11" count="1" selected="0">
            <x v="3"/>
          </reference>
          <reference field="13" count="1" selected="0">
            <x v="217"/>
          </reference>
        </references>
      </pivotArea>
    </format>
    <format dxfId="1003">
      <pivotArea dataOnly="0" labelOnly="1" outline="0" fieldPosition="0">
        <references count="4">
          <reference field="5" count="2">
            <x v="45"/>
            <x v="63"/>
          </reference>
          <reference field="8" count="1" selected="0">
            <x v="525"/>
          </reference>
          <reference field="11" count="1" selected="0">
            <x v="3"/>
          </reference>
          <reference field="13" count="1" selected="0">
            <x v="218"/>
          </reference>
        </references>
      </pivotArea>
    </format>
    <format dxfId="1002">
      <pivotArea dataOnly="0" labelOnly="1" outline="0" fieldPosition="0">
        <references count="4">
          <reference field="5" count="1">
            <x v="63"/>
          </reference>
          <reference field="8" count="1" selected="0">
            <x v="525"/>
          </reference>
          <reference field="11" count="1" selected="0">
            <x v="3"/>
          </reference>
          <reference field="13" count="1" selected="0">
            <x v="240"/>
          </reference>
        </references>
      </pivotArea>
    </format>
    <format dxfId="1001">
      <pivotArea dataOnly="0" labelOnly="1" outline="0" fieldPosition="0">
        <references count="4">
          <reference field="5" count="1">
            <x v="63"/>
          </reference>
          <reference field="8" count="1" selected="0">
            <x v="525"/>
          </reference>
          <reference field="11" count="1" selected="0">
            <x v="3"/>
          </reference>
          <reference field="13" count="1" selected="0">
            <x v="243"/>
          </reference>
        </references>
      </pivotArea>
    </format>
    <format dxfId="1000">
      <pivotArea dataOnly="0" labelOnly="1" outline="0" fieldPosition="0">
        <references count="4">
          <reference field="5" count="1">
            <x v="63"/>
          </reference>
          <reference field="8" count="1" selected="0">
            <x v="525"/>
          </reference>
          <reference field="11" count="1" selected="0">
            <x v="3"/>
          </reference>
          <reference field="13" count="1" selected="0">
            <x v="287"/>
          </reference>
        </references>
      </pivotArea>
    </format>
    <format dxfId="999">
      <pivotArea dataOnly="0" labelOnly="1" outline="0" fieldPosition="0">
        <references count="4">
          <reference field="5" count="1">
            <x v="63"/>
          </reference>
          <reference field="8" count="1" selected="0">
            <x v="525"/>
          </reference>
          <reference field="11" count="1" selected="0">
            <x v="3"/>
          </reference>
          <reference field="13" count="1" selected="0">
            <x v="305"/>
          </reference>
        </references>
      </pivotArea>
    </format>
    <format dxfId="998">
      <pivotArea dataOnly="0" labelOnly="1" outline="0" fieldPosition="0">
        <references count="4">
          <reference field="5" count="2">
            <x v="45"/>
            <x v="63"/>
          </reference>
          <reference field="8" count="1" selected="0">
            <x v="525"/>
          </reference>
          <reference field="11" count="1" selected="0">
            <x v="3"/>
          </reference>
          <reference field="13" count="1" selected="0">
            <x v="314"/>
          </reference>
        </references>
      </pivotArea>
    </format>
    <format dxfId="997">
      <pivotArea dataOnly="0" labelOnly="1" outline="0" fieldPosition="0">
        <references count="4">
          <reference field="5" count="1">
            <x v="63"/>
          </reference>
          <reference field="8" count="1" selected="0">
            <x v="525"/>
          </reference>
          <reference field="11" count="1" selected="0">
            <x v="5"/>
          </reference>
          <reference field="13" count="1" selected="0">
            <x v="77"/>
          </reference>
        </references>
      </pivotArea>
    </format>
    <format dxfId="996">
      <pivotArea dataOnly="0" labelOnly="1" outline="0" fieldPosition="0">
        <references count="4">
          <reference field="5" count="2">
            <x v="45"/>
            <x v="63"/>
          </reference>
          <reference field="8" count="1" selected="0">
            <x v="525"/>
          </reference>
          <reference field="11" count="1" selected="0">
            <x v="5"/>
          </reference>
          <reference field="13" count="1" selected="0">
            <x v="81"/>
          </reference>
        </references>
      </pivotArea>
    </format>
    <format dxfId="995">
      <pivotArea dataOnly="0" labelOnly="1" outline="0" fieldPosition="0">
        <references count="4">
          <reference field="5" count="1">
            <x v="45"/>
          </reference>
          <reference field="8" count="1" selected="0">
            <x v="525"/>
          </reference>
          <reference field="11" count="1" selected="0">
            <x v="5"/>
          </reference>
          <reference field="13" count="1" selected="0">
            <x v="86"/>
          </reference>
        </references>
      </pivotArea>
    </format>
    <format dxfId="994">
      <pivotArea dataOnly="0" labelOnly="1" outline="0" fieldPosition="0">
        <references count="4">
          <reference field="5" count="1">
            <x v="45"/>
          </reference>
          <reference field="8" count="1" selected="0">
            <x v="525"/>
          </reference>
          <reference field="11" count="1" selected="0">
            <x v="5"/>
          </reference>
          <reference field="13" count="1" selected="0">
            <x v="226"/>
          </reference>
        </references>
      </pivotArea>
    </format>
    <format dxfId="993">
      <pivotArea dataOnly="0" labelOnly="1" outline="0" fieldPosition="0">
        <references count="4">
          <reference field="5" count="2">
            <x v="45"/>
            <x v="63"/>
          </reference>
          <reference field="8" count="1" selected="0">
            <x v="525"/>
          </reference>
          <reference field="11" count="1" selected="0">
            <x v="5"/>
          </reference>
          <reference field="13" count="1" selected="0">
            <x v="229"/>
          </reference>
        </references>
      </pivotArea>
    </format>
    <format dxfId="992">
      <pivotArea dataOnly="0" labelOnly="1" outline="0" fieldPosition="0">
        <references count="4">
          <reference field="5" count="1">
            <x v="45"/>
          </reference>
          <reference field="8" count="1" selected="0">
            <x v="526"/>
          </reference>
          <reference field="11" count="1" selected="0">
            <x v="3"/>
          </reference>
          <reference field="13" count="1" selected="0">
            <x v="4"/>
          </reference>
        </references>
      </pivotArea>
    </format>
    <format dxfId="991">
      <pivotArea dataOnly="0" labelOnly="1" outline="0" fieldPosition="0">
        <references count="4">
          <reference field="5" count="2">
            <x v="116"/>
            <x v="117"/>
          </reference>
          <reference field="8" count="1" selected="0">
            <x v="526"/>
          </reference>
          <reference field="11" count="1" selected="0">
            <x v="3"/>
          </reference>
          <reference field="13" count="1" selected="0">
            <x v="29"/>
          </reference>
        </references>
      </pivotArea>
    </format>
    <format dxfId="990">
      <pivotArea dataOnly="0" labelOnly="1" outline="0" fieldPosition="0">
        <references count="4">
          <reference field="5" count="1">
            <x v="45"/>
          </reference>
          <reference field="8" count="1" selected="0">
            <x v="526"/>
          </reference>
          <reference field="11" count="1" selected="0">
            <x v="3"/>
          </reference>
          <reference field="13" count="1" selected="0">
            <x v="39"/>
          </reference>
        </references>
      </pivotArea>
    </format>
    <format dxfId="989">
      <pivotArea dataOnly="0" labelOnly="1" outline="0" fieldPosition="0">
        <references count="4">
          <reference field="5" count="1">
            <x v="45"/>
          </reference>
          <reference field="8" count="1" selected="0">
            <x v="526"/>
          </reference>
          <reference field="11" count="1" selected="0">
            <x v="3"/>
          </reference>
          <reference field="13" count="1" selected="0">
            <x v="47"/>
          </reference>
        </references>
      </pivotArea>
    </format>
    <format dxfId="988">
      <pivotArea dataOnly="0" labelOnly="1" outline="0" fieldPosition="0">
        <references count="4">
          <reference field="5" count="1">
            <x v="45"/>
          </reference>
          <reference field="8" count="1" selected="0">
            <x v="526"/>
          </reference>
          <reference field="11" count="1" selected="0">
            <x v="3"/>
          </reference>
          <reference field="13" count="1" selected="0">
            <x v="49"/>
          </reference>
        </references>
      </pivotArea>
    </format>
    <format dxfId="987">
      <pivotArea dataOnly="0" labelOnly="1" outline="0" fieldPosition="0">
        <references count="4">
          <reference field="5" count="2">
            <x v="45"/>
            <x v="117"/>
          </reference>
          <reference field="8" count="1" selected="0">
            <x v="526"/>
          </reference>
          <reference field="11" count="1" selected="0">
            <x v="3"/>
          </reference>
          <reference field="13" count="1" selected="0">
            <x v="218"/>
          </reference>
        </references>
      </pivotArea>
    </format>
    <format dxfId="986">
      <pivotArea dataOnly="0" labelOnly="1" outline="0" fieldPosition="0">
        <references count="4">
          <reference field="5" count="1">
            <x v="59"/>
          </reference>
          <reference field="8" count="1" selected="0">
            <x v="526"/>
          </reference>
          <reference field="11" count="1" selected="0">
            <x v="3"/>
          </reference>
          <reference field="13" count="1" selected="0">
            <x v="242"/>
          </reference>
        </references>
      </pivotArea>
    </format>
    <format dxfId="985">
      <pivotArea dataOnly="0" labelOnly="1" outline="0" fieldPosition="0">
        <references count="4">
          <reference field="5" count="1">
            <x v="59"/>
          </reference>
          <reference field="8" count="1" selected="0">
            <x v="526"/>
          </reference>
          <reference field="11" count="1" selected="0">
            <x v="3"/>
          </reference>
          <reference field="13" count="1" selected="0">
            <x v="243"/>
          </reference>
        </references>
      </pivotArea>
    </format>
    <format dxfId="984">
      <pivotArea dataOnly="0" labelOnly="1" outline="0" fieldPosition="0">
        <references count="4">
          <reference field="5" count="2">
            <x v="45"/>
            <x v="117"/>
          </reference>
          <reference field="8" count="1" selected="0">
            <x v="526"/>
          </reference>
          <reference field="11" count="1" selected="0">
            <x v="3"/>
          </reference>
          <reference field="13" count="1" selected="0">
            <x v="314"/>
          </reference>
        </references>
      </pivotArea>
    </format>
    <format dxfId="983">
      <pivotArea dataOnly="0" labelOnly="1" outline="0" fieldPosition="0">
        <references count="4">
          <reference field="5" count="1">
            <x v="45"/>
          </reference>
          <reference field="8" count="1" selected="0">
            <x v="526"/>
          </reference>
          <reference field="11" count="1" selected="0">
            <x v="5"/>
          </reference>
          <reference field="13" count="1" selected="0">
            <x v="86"/>
          </reference>
        </references>
      </pivotArea>
    </format>
    <format dxfId="982">
      <pivotArea dataOnly="0" labelOnly="1" outline="0" fieldPosition="0">
        <references count="4">
          <reference field="5" count="1">
            <x v="59"/>
          </reference>
          <reference field="8" count="1" selected="0">
            <x v="526"/>
          </reference>
          <reference field="11" count="1" selected="0">
            <x v="5"/>
          </reference>
          <reference field="13" count="1" selected="0">
            <x v="236"/>
          </reference>
        </references>
      </pivotArea>
    </format>
    <format dxfId="981">
      <pivotArea dataOnly="0" labelOnly="1" outline="0" fieldPosition="0">
        <references count="4">
          <reference field="5" count="1">
            <x v="59"/>
          </reference>
          <reference field="8" count="1" selected="0">
            <x v="526"/>
          </reference>
          <reference field="11" count="1" selected="0">
            <x v="6"/>
          </reference>
          <reference field="13" count="1" selected="0">
            <x v="291"/>
          </reference>
        </references>
      </pivotArea>
    </format>
    <format dxfId="980">
      <pivotArea dataOnly="0" labelOnly="1" outline="0" fieldPosition="0">
        <references count="4">
          <reference field="5" count="1">
            <x v="59"/>
          </reference>
          <reference field="8" count="1" selected="0">
            <x v="526"/>
          </reference>
          <reference field="11" count="1" selected="0">
            <x v="6"/>
          </reference>
          <reference field="13" count="1" selected="0">
            <x v="292"/>
          </reference>
        </references>
      </pivotArea>
    </format>
    <format dxfId="979">
      <pivotArea dataOnly="0" labelOnly="1" outline="0" fieldPosition="0">
        <references count="4">
          <reference field="5" count="1">
            <x v="45"/>
          </reference>
          <reference field="8" count="1" selected="0">
            <x v="527"/>
          </reference>
          <reference field="11" count="1" selected="0">
            <x v="3"/>
          </reference>
          <reference field="13" count="1" selected="0">
            <x v="4"/>
          </reference>
        </references>
      </pivotArea>
    </format>
    <format dxfId="978">
      <pivotArea dataOnly="0" labelOnly="1" outline="0" fieldPosition="0">
        <references count="4">
          <reference field="5" count="1">
            <x v="117"/>
          </reference>
          <reference field="8" count="1" selected="0">
            <x v="527"/>
          </reference>
          <reference field="11" count="1" selected="0">
            <x v="3"/>
          </reference>
          <reference field="13" count="1" selected="0">
            <x v="29"/>
          </reference>
        </references>
      </pivotArea>
    </format>
    <format dxfId="977">
      <pivotArea dataOnly="0" labelOnly="1" outline="0" fieldPosition="0">
        <references count="4">
          <reference field="5" count="1">
            <x v="45"/>
          </reference>
          <reference field="8" count="1" selected="0">
            <x v="527"/>
          </reference>
          <reference field="11" count="1" selected="0">
            <x v="3"/>
          </reference>
          <reference field="13" count="1" selected="0">
            <x v="39"/>
          </reference>
        </references>
      </pivotArea>
    </format>
    <format dxfId="976">
      <pivotArea dataOnly="0" labelOnly="1" outline="0" fieldPosition="0">
        <references count="4">
          <reference field="5" count="1">
            <x v="45"/>
          </reference>
          <reference field="8" count="1" selected="0">
            <x v="527"/>
          </reference>
          <reference field="11" count="1" selected="0">
            <x v="3"/>
          </reference>
          <reference field="13" count="1" selected="0">
            <x v="47"/>
          </reference>
        </references>
      </pivotArea>
    </format>
    <format dxfId="975">
      <pivotArea dataOnly="0" labelOnly="1" outline="0" fieldPosition="0">
        <references count="4">
          <reference field="5" count="1">
            <x v="45"/>
          </reference>
          <reference field="8" count="1" selected="0">
            <x v="527"/>
          </reference>
          <reference field="11" count="1" selected="0">
            <x v="3"/>
          </reference>
          <reference field="13" count="1" selected="0">
            <x v="49"/>
          </reference>
        </references>
      </pivotArea>
    </format>
    <format dxfId="974">
      <pivotArea dataOnly="0" labelOnly="1" outline="0" fieldPosition="0">
        <references count="4">
          <reference field="5" count="2">
            <x v="45"/>
            <x v="117"/>
          </reference>
          <reference field="8" count="1" selected="0">
            <x v="527"/>
          </reference>
          <reference field="11" count="1" selected="0">
            <x v="3"/>
          </reference>
          <reference field="13" count="1" selected="0">
            <x v="218"/>
          </reference>
        </references>
      </pivotArea>
    </format>
    <format dxfId="973">
      <pivotArea dataOnly="0" labelOnly="1" outline="0" fieldPosition="0">
        <references count="4">
          <reference field="5" count="2">
            <x v="45"/>
            <x v="117"/>
          </reference>
          <reference field="8" count="1" selected="0">
            <x v="527"/>
          </reference>
          <reference field="11" count="1" selected="0">
            <x v="3"/>
          </reference>
          <reference field="13" count="1" selected="0">
            <x v="314"/>
          </reference>
        </references>
      </pivotArea>
    </format>
    <format dxfId="972">
      <pivotArea dataOnly="0" labelOnly="1" outline="0" fieldPosition="0">
        <references count="4">
          <reference field="5" count="1">
            <x v="44"/>
          </reference>
          <reference field="8" count="1" selected="0">
            <x v="527"/>
          </reference>
          <reference field="11" count="1" selected="0">
            <x v="5"/>
          </reference>
          <reference field="13" count="1" selected="0">
            <x v="77"/>
          </reference>
        </references>
      </pivotArea>
    </format>
    <format dxfId="971">
      <pivotArea dataOnly="0" labelOnly="1" outline="0" fieldPosition="0">
        <references count="4">
          <reference field="5" count="1">
            <x v="44"/>
          </reference>
          <reference field="8" count="1" selected="0">
            <x v="527"/>
          </reference>
          <reference field="11" count="1" selected="0">
            <x v="5"/>
          </reference>
          <reference field="13" count="1" selected="0">
            <x v="81"/>
          </reference>
        </references>
      </pivotArea>
    </format>
    <format dxfId="970">
      <pivotArea dataOnly="0" labelOnly="1" outline="0" fieldPosition="0">
        <references count="4">
          <reference field="5" count="1">
            <x v="45"/>
          </reference>
          <reference field="8" count="1" selected="0">
            <x v="527"/>
          </reference>
          <reference field="11" count="1" selected="0">
            <x v="5"/>
          </reference>
          <reference field="13" count="1" selected="0">
            <x v="86"/>
          </reference>
        </references>
      </pivotArea>
    </format>
    <format dxfId="969">
      <pivotArea dataOnly="0" labelOnly="1" outline="0" fieldPosition="0">
        <references count="4">
          <reference field="5" count="1">
            <x v="44"/>
          </reference>
          <reference field="8" count="1" selected="0">
            <x v="527"/>
          </reference>
          <reference field="11" count="1" selected="0">
            <x v="5"/>
          </reference>
          <reference field="13" count="1" selected="0">
            <x v="300"/>
          </reference>
        </references>
      </pivotArea>
    </format>
    <format dxfId="968">
      <pivotArea dataOnly="0" labelOnly="1" outline="0" fieldPosition="0">
        <references count="4">
          <reference field="5" count="1">
            <x v="44"/>
          </reference>
          <reference field="8" count="1" selected="0">
            <x v="527"/>
          </reference>
          <reference field="11" count="1" selected="0">
            <x v="5"/>
          </reference>
          <reference field="13" count="1" selected="0">
            <x v="301"/>
          </reference>
        </references>
      </pivotArea>
    </format>
    <format dxfId="967">
      <pivotArea dataOnly="0" labelOnly="1" outline="0" fieldPosition="0">
        <references count="4">
          <reference field="5" count="1">
            <x v="44"/>
          </reference>
          <reference field="8" count="1" selected="0">
            <x v="527"/>
          </reference>
          <reference field="11" count="1" selected="0">
            <x v="6"/>
          </reference>
          <reference field="13" count="1" selected="0">
            <x v="291"/>
          </reference>
        </references>
      </pivotArea>
    </format>
    <format dxfId="966">
      <pivotArea dataOnly="0" labelOnly="1" outline="0" fieldPosition="0">
        <references count="4">
          <reference field="5" count="1">
            <x v="44"/>
          </reference>
          <reference field="8" count="1" selected="0">
            <x v="527"/>
          </reference>
          <reference field="11" count="1" selected="0">
            <x v="6"/>
          </reference>
          <reference field="13" count="1" selected="0">
            <x v="292"/>
          </reference>
        </references>
      </pivotArea>
    </format>
    <format dxfId="965">
      <pivotArea dataOnly="0" labelOnly="1" outline="0" fieldPosition="0">
        <references count="4">
          <reference field="5" count="1">
            <x v="45"/>
          </reference>
          <reference field="8" count="1" selected="0">
            <x v="528"/>
          </reference>
          <reference field="11" count="1" selected="0">
            <x v="3"/>
          </reference>
          <reference field="13" count="1" selected="0">
            <x v="4"/>
          </reference>
        </references>
      </pivotArea>
    </format>
    <format dxfId="964">
      <pivotArea dataOnly="0" labelOnly="1" outline="0" fieldPosition="0">
        <references count="4">
          <reference field="5" count="2">
            <x v="116"/>
            <x v="117"/>
          </reference>
          <reference field="8" count="1" selected="0">
            <x v="528"/>
          </reference>
          <reference field="11" count="1" selected="0">
            <x v="3"/>
          </reference>
          <reference field="13" count="1" selected="0">
            <x v="29"/>
          </reference>
        </references>
      </pivotArea>
    </format>
    <format dxfId="963">
      <pivotArea dataOnly="0" labelOnly="1" outline="0" fieldPosition="0">
        <references count="4">
          <reference field="5" count="1">
            <x v="45"/>
          </reference>
          <reference field="8" count="1" selected="0">
            <x v="528"/>
          </reference>
          <reference field="11" count="1" selected="0">
            <x v="3"/>
          </reference>
          <reference field="13" count="1" selected="0">
            <x v="39"/>
          </reference>
        </references>
      </pivotArea>
    </format>
    <format dxfId="962">
      <pivotArea dataOnly="0" labelOnly="1" outline="0" fieldPosition="0">
        <references count="4">
          <reference field="5" count="1">
            <x v="45"/>
          </reference>
          <reference field="8" count="1" selected="0">
            <x v="528"/>
          </reference>
          <reference field="11" count="1" selected="0">
            <x v="3"/>
          </reference>
          <reference field="13" count="1" selected="0">
            <x v="47"/>
          </reference>
        </references>
      </pivotArea>
    </format>
    <format dxfId="961">
      <pivotArea dataOnly="0" labelOnly="1" outline="0" fieldPosition="0">
        <references count="4">
          <reference field="5" count="1">
            <x v="45"/>
          </reference>
          <reference field="8" count="1" selected="0">
            <x v="528"/>
          </reference>
          <reference field="11" count="1" selected="0">
            <x v="3"/>
          </reference>
          <reference field="13" count="1" selected="0">
            <x v="49"/>
          </reference>
        </references>
      </pivotArea>
    </format>
    <format dxfId="960">
      <pivotArea dataOnly="0" labelOnly="1" outline="0" fieldPosition="0">
        <references count="4">
          <reference field="5" count="2">
            <x v="45"/>
            <x v="117"/>
          </reference>
          <reference field="8" count="1" selected="0">
            <x v="528"/>
          </reference>
          <reference field="11" count="1" selected="0">
            <x v="3"/>
          </reference>
          <reference field="13" count="1" selected="0">
            <x v="218"/>
          </reference>
        </references>
      </pivotArea>
    </format>
    <format dxfId="959">
      <pivotArea dataOnly="0" labelOnly="1" outline="0" fieldPosition="0">
        <references count="4">
          <reference field="5" count="1">
            <x v="44"/>
          </reference>
          <reference field="8" count="1" selected="0">
            <x v="528"/>
          </reference>
          <reference field="11" count="1" selected="0">
            <x v="5"/>
          </reference>
          <reference field="13" count="1" selected="0">
            <x v="77"/>
          </reference>
        </references>
      </pivotArea>
    </format>
    <format dxfId="958">
      <pivotArea dataOnly="0" labelOnly="1" outline="0" fieldPosition="0">
        <references count="4">
          <reference field="5" count="1">
            <x v="45"/>
          </reference>
          <reference field="8" count="1" selected="0">
            <x v="528"/>
          </reference>
          <reference field="11" count="1" selected="0">
            <x v="5"/>
          </reference>
          <reference field="13" count="1" selected="0">
            <x v="86"/>
          </reference>
        </references>
      </pivotArea>
    </format>
    <format dxfId="957">
      <pivotArea dataOnly="0" labelOnly="1" outline="0" fieldPosition="0">
        <references count="4">
          <reference field="5" count="1">
            <x v="44"/>
          </reference>
          <reference field="8" count="1" selected="0">
            <x v="528"/>
          </reference>
          <reference field="11" count="1" selected="0">
            <x v="5"/>
          </reference>
          <reference field="13" count="1" selected="0">
            <x v="300"/>
          </reference>
        </references>
      </pivotArea>
    </format>
    <format dxfId="956">
      <pivotArea dataOnly="0" labelOnly="1" outline="0" fieldPosition="0">
        <references count="4">
          <reference field="5" count="1">
            <x v="44"/>
          </reference>
          <reference field="8" count="1" selected="0">
            <x v="528"/>
          </reference>
          <reference field="11" count="1" selected="0">
            <x v="5"/>
          </reference>
          <reference field="13" count="1" selected="0">
            <x v="301"/>
          </reference>
        </references>
      </pivotArea>
    </format>
    <format dxfId="955">
      <pivotArea dataOnly="0" labelOnly="1" outline="0" fieldPosition="0">
        <references count="4">
          <reference field="5" count="1">
            <x v="44"/>
          </reference>
          <reference field="8" count="1" selected="0">
            <x v="528"/>
          </reference>
          <reference field="11" count="1" selected="0">
            <x v="6"/>
          </reference>
          <reference field="13" count="1" selected="0">
            <x v="291"/>
          </reference>
        </references>
      </pivotArea>
    </format>
    <format dxfId="954">
      <pivotArea dataOnly="0" labelOnly="1" outline="0" fieldPosition="0">
        <references count="4">
          <reference field="5" count="1">
            <x v="44"/>
          </reference>
          <reference field="8" count="1" selected="0">
            <x v="528"/>
          </reference>
          <reference field="11" count="1" selected="0">
            <x v="6"/>
          </reference>
          <reference field="13" count="1" selected="0">
            <x v="292"/>
          </reference>
        </references>
      </pivotArea>
    </format>
    <format dxfId="953">
      <pivotArea dataOnly="0" labelOnly="1" outline="0" fieldPosition="0">
        <references count="4">
          <reference field="5" count="2">
            <x v="116"/>
            <x v="117"/>
          </reference>
          <reference field="8" count="1" selected="0">
            <x v="529"/>
          </reference>
          <reference field="11" count="1" selected="0">
            <x v="3"/>
          </reference>
          <reference field="13" count="1" selected="0">
            <x v="29"/>
          </reference>
        </references>
      </pivotArea>
    </format>
    <format dxfId="952">
      <pivotArea dataOnly="0" labelOnly="1" outline="0" fieldPosition="0">
        <references count="4">
          <reference field="5" count="1">
            <x v="117"/>
          </reference>
          <reference field="8" count="1" selected="0">
            <x v="529"/>
          </reference>
          <reference field="11" count="1" selected="0">
            <x v="3"/>
          </reference>
          <reference field="13" count="1" selected="0">
            <x v="218"/>
          </reference>
        </references>
      </pivotArea>
    </format>
    <format dxfId="951">
      <pivotArea dataOnly="0" labelOnly="1" outline="0" fieldPosition="0">
        <references count="4">
          <reference field="5" count="1">
            <x v="117"/>
          </reference>
          <reference field="8" count="1" selected="0">
            <x v="529"/>
          </reference>
          <reference field="11" count="1" selected="0">
            <x v="3"/>
          </reference>
          <reference field="13" count="1" selected="0">
            <x v="314"/>
          </reference>
        </references>
      </pivotArea>
    </format>
    <format dxfId="950">
      <pivotArea dataOnly="0" labelOnly="1" outline="0" fieldPosition="0">
        <references count="4">
          <reference field="5" count="1">
            <x v="44"/>
          </reference>
          <reference field="8" count="1" selected="0">
            <x v="529"/>
          </reference>
          <reference field="11" count="1" selected="0">
            <x v="5"/>
          </reference>
          <reference field="13" count="1" selected="0">
            <x v="300"/>
          </reference>
        </references>
      </pivotArea>
    </format>
    <format dxfId="949">
      <pivotArea dataOnly="0" labelOnly="1" outline="0" fieldPosition="0">
        <references count="4">
          <reference field="5" count="1">
            <x v="44"/>
          </reference>
          <reference field="8" count="1" selected="0">
            <x v="529"/>
          </reference>
          <reference field="11" count="1" selected="0">
            <x v="5"/>
          </reference>
          <reference field="13" count="1" selected="0">
            <x v="301"/>
          </reference>
        </references>
      </pivotArea>
    </format>
    <format dxfId="948">
      <pivotArea dataOnly="0" labelOnly="1" outline="0" fieldPosition="0">
        <references count="4">
          <reference field="5" count="1">
            <x v="44"/>
          </reference>
          <reference field="8" count="1" selected="0">
            <x v="529"/>
          </reference>
          <reference field="11" count="1" selected="0">
            <x v="6"/>
          </reference>
          <reference field="13" count="1" selected="0">
            <x v="291"/>
          </reference>
        </references>
      </pivotArea>
    </format>
    <format dxfId="947">
      <pivotArea dataOnly="0" labelOnly="1" outline="0" fieldPosition="0">
        <references count="4">
          <reference field="5" count="1">
            <x v="44"/>
          </reference>
          <reference field="8" count="1" selected="0">
            <x v="529"/>
          </reference>
          <reference field="11" count="1" selected="0">
            <x v="6"/>
          </reference>
          <reference field="13" count="1" selected="0">
            <x v="292"/>
          </reference>
        </references>
      </pivotArea>
    </format>
    <format dxfId="946">
      <pivotArea dataOnly="0" labelOnly="1" outline="0" fieldPosition="0">
        <references count="4">
          <reference field="5" count="1">
            <x v="44"/>
          </reference>
          <reference field="8" count="1" selected="0">
            <x v="529"/>
          </reference>
          <reference field="11" count="1" selected="0">
            <x v="6"/>
          </reference>
          <reference field="13" count="1" selected="0">
            <x v="293"/>
          </reference>
        </references>
      </pivotArea>
    </format>
    <format dxfId="945">
      <pivotArea dataOnly="0" labelOnly="1" outline="0" fieldPosition="0">
        <references count="4">
          <reference field="5" count="1">
            <x v="73"/>
          </reference>
          <reference field="8" count="1" selected="0">
            <x v="530"/>
          </reference>
          <reference field="11" count="1" selected="0">
            <x v="4"/>
          </reference>
          <reference field="13" count="1" selected="0">
            <x v="133"/>
          </reference>
        </references>
      </pivotArea>
    </format>
    <format dxfId="944">
      <pivotArea dataOnly="0" labelOnly="1" outline="0" fieldPosition="0">
        <references count="4">
          <reference field="5" count="1">
            <x v="112"/>
          </reference>
          <reference field="8" count="1" selected="0">
            <x v="531"/>
          </reference>
          <reference field="11" count="1" selected="0">
            <x v="3"/>
          </reference>
          <reference field="13" count="1" selected="0">
            <x v="17"/>
          </reference>
        </references>
      </pivotArea>
    </format>
    <format dxfId="943">
      <pivotArea dataOnly="0" labelOnly="1" outline="0" fieldPosition="0">
        <references count="4">
          <reference field="5" count="1">
            <x v="112"/>
          </reference>
          <reference field="8" count="1" selected="0">
            <x v="531"/>
          </reference>
          <reference field="11" count="1" selected="0">
            <x v="3"/>
          </reference>
          <reference field="13" count="1" selected="0">
            <x v="32"/>
          </reference>
        </references>
      </pivotArea>
    </format>
    <format dxfId="942">
      <pivotArea dataOnly="0" labelOnly="1" outline="0" fieldPosition="0">
        <references count="4">
          <reference field="5" count="1">
            <x v="112"/>
          </reference>
          <reference field="8" count="1" selected="0">
            <x v="531"/>
          </reference>
          <reference field="11" count="1" selected="0">
            <x v="3"/>
          </reference>
          <reference field="13" count="1" selected="0">
            <x v="287"/>
          </reference>
        </references>
      </pivotArea>
    </format>
    <format dxfId="941">
      <pivotArea dataOnly="0" labelOnly="1" outline="0" fieldPosition="0">
        <references count="4">
          <reference field="5" count="1">
            <x v="112"/>
          </reference>
          <reference field="8" count="1" selected="0">
            <x v="531"/>
          </reference>
          <reference field="11" count="1" selected="0">
            <x v="3"/>
          </reference>
          <reference field="13" count="1" selected="0">
            <x v="297"/>
          </reference>
        </references>
      </pivotArea>
    </format>
    <format dxfId="940">
      <pivotArea dataOnly="0" labelOnly="1" outline="0" fieldPosition="0">
        <references count="4">
          <reference field="5" count="1">
            <x v="112"/>
          </reference>
          <reference field="8" count="1" selected="0">
            <x v="531"/>
          </reference>
          <reference field="11" count="1" selected="0">
            <x v="3"/>
          </reference>
          <reference field="13" count="1" selected="0">
            <x v="299"/>
          </reference>
        </references>
      </pivotArea>
    </format>
    <format dxfId="939">
      <pivotArea dataOnly="0" labelOnly="1" outline="0" fieldPosition="0">
        <references count="4">
          <reference field="5" count="1">
            <x v="112"/>
          </reference>
          <reference field="8" count="1" selected="0">
            <x v="532"/>
          </reference>
          <reference field="11" count="1" selected="0">
            <x v="2"/>
          </reference>
          <reference field="13" count="1" selected="0">
            <x v="60"/>
          </reference>
        </references>
      </pivotArea>
    </format>
    <format dxfId="938">
      <pivotArea dataOnly="0" labelOnly="1" outline="0" fieldPosition="0">
        <references count="4">
          <reference field="5" count="1">
            <x v="112"/>
          </reference>
          <reference field="8" count="1" selected="0">
            <x v="532"/>
          </reference>
          <reference field="11" count="1" selected="0">
            <x v="2"/>
          </reference>
          <reference field="13" count="1" selected="0">
            <x v="279"/>
          </reference>
        </references>
      </pivotArea>
    </format>
    <format dxfId="937">
      <pivotArea dataOnly="0" labelOnly="1" outline="0" fieldPosition="0">
        <references count="4">
          <reference field="5" count="1">
            <x v="112"/>
          </reference>
          <reference field="8" count="1" selected="0">
            <x v="532"/>
          </reference>
          <reference field="11" count="1" selected="0">
            <x v="3"/>
          </reference>
          <reference field="13" count="1" selected="0">
            <x v="287"/>
          </reference>
        </references>
      </pivotArea>
    </format>
    <format dxfId="936">
      <pivotArea dataOnly="0" labelOnly="1" outline="0" fieldPosition="0">
        <references count="4">
          <reference field="5" count="1">
            <x v="112"/>
          </reference>
          <reference field="8" count="1" selected="0">
            <x v="532"/>
          </reference>
          <reference field="11" count="1" selected="0">
            <x v="3"/>
          </reference>
          <reference field="13" count="1" selected="0">
            <x v="299"/>
          </reference>
        </references>
      </pivotArea>
    </format>
    <format dxfId="935">
      <pivotArea dataOnly="0" labelOnly="1" outline="0" fieldPosition="0">
        <references count="4">
          <reference field="5" count="1">
            <x v="45"/>
          </reference>
          <reference field="8" count="1" selected="0">
            <x v="533"/>
          </reference>
          <reference field="11" count="1" selected="0">
            <x v="3"/>
          </reference>
          <reference field="13" count="1" selected="0">
            <x v="4"/>
          </reference>
        </references>
      </pivotArea>
    </format>
    <format dxfId="934">
      <pivotArea dataOnly="0" labelOnly="1" outline="0" fieldPosition="0">
        <references count="4">
          <reference field="5" count="1">
            <x v="117"/>
          </reference>
          <reference field="8" count="1" selected="0">
            <x v="533"/>
          </reference>
          <reference field="11" count="1" selected="0">
            <x v="3"/>
          </reference>
          <reference field="13" count="1" selected="0">
            <x v="29"/>
          </reference>
        </references>
      </pivotArea>
    </format>
    <format dxfId="933">
      <pivotArea dataOnly="0" labelOnly="1" outline="0" fieldPosition="0">
        <references count="4">
          <reference field="5" count="1">
            <x v="45"/>
          </reference>
          <reference field="8" count="1" selected="0">
            <x v="533"/>
          </reference>
          <reference field="11" count="1" selected="0">
            <x v="3"/>
          </reference>
          <reference field="13" count="1" selected="0">
            <x v="39"/>
          </reference>
        </references>
      </pivotArea>
    </format>
    <format dxfId="932">
      <pivotArea dataOnly="0" labelOnly="1" outline="0" fieldPosition="0">
        <references count="4">
          <reference field="5" count="1">
            <x v="45"/>
          </reference>
          <reference field="8" count="1" selected="0">
            <x v="533"/>
          </reference>
          <reference field="11" count="1" selected="0">
            <x v="3"/>
          </reference>
          <reference field="13" count="1" selected="0">
            <x v="47"/>
          </reference>
        </references>
      </pivotArea>
    </format>
    <format dxfId="931">
      <pivotArea dataOnly="0" labelOnly="1" outline="0" fieldPosition="0">
        <references count="4">
          <reference field="5" count="1">
            <x v="45"/>
          </reference>
          <reference field="8" count="1" selected="0">
            <x v="533"/>
          </reference>
          <reference field="11" count="1" selected="0">
            <x v="3"/>
          </reference>
          <reference field="13" count="1" selected="0">
            <x v="49"/>
          </reference>
        </references>
      </pivotArea>
    </format>
    <format dxfId="930">
      <pivotArea dataOnly="0" labelOnly="1" outline="0" fieldPosition="0">
        <references count="4">
          <reference field="5" count="2">
            <x v="45"/>
            <x v="117"/>
          </reference>
          <reference field="8" count="1" selected="0">
            <x v="533"/>
          </reference>
          <reference field="11" count="1" selected="0">
            <x v="3"/>
          </reference>
          <reference field="13" count="1" selected="0">
            <x v="218"/>
          </reference>
        </references>
      </pivotArea>
    </format>
    <format dxfId="929">
      <pivotArea dataOnly="0" labelOnly="1" outline="0" fieldPosition="0">
        <references count="4">
          <reference field="5" count="2">
            <x v="45"/>
            <x v="117"/>
          </reference>
          <reference field="8" count="1" selected="0">
            <x v="533"/>
          </reference>
          <reference field="11" count="1" selected="0">
            <x v="3"/>
          </reference>
          <reference field="13" count="1" selected="0">
            <x v="314"/>
          </reference>
        </references>
      </pivotArea>
    </format>
    <format dxfId="928">
      <pivotArea dataOnly="0" labelOnly="1" outline="0" fieldPosition="0">
        <references count="4">
          <reference field="5" count="1">
            <x v="44"/>
          </reference>
          <reference field="8" count="1" selected="0">
            <x v="533"/>
          </reference>
          <reference field="11" count="1" selected="0">
            <x v="5"/>
          </reference>
          <reference field="13" count="1" selected="0">
            <x v="77"/>
          </reference>
        </references>
      </pivotArea>
    </format>
    <format dxfId="927">
      <pivotArea dataOnly="0" labelOnly="1" outline="0" fieldPosition="0">
        <references count="4">
          <reference field="5" count="1">
            <x v="45"/>
          </reference>
          <reference field="8" count="1" selected="0">
            <x v="533"/>
          </reference>
          <reference field="11" count="1" selected="0">
            <x v="5"/>
          </reference>
          <reference field="13" count="1" selected="0">
            <x v="86"/>
          </reference>
        </references>
      </pivotArea>
    </format>
    <format dxfId="926">
      <pivotArea dataOnly="0" labelOnly="1" outline="0" fieldPosition="0">
        <references count="4">
          <reference field="5" count="1">
            <x v="44"/>
          </reference>
          <reference field="8" count="1" selected="0">
            <x v="533"/>
          </reference>
          <reference field="11" count="1" selected="0">
            <x v="5"/>
          </reference>
          <reference field="13" count="1" selected="0">
            <x v="300"/>
          </reference>
        </references>
      </pivotArea>
    </format>
    <format dxfId="925">
      <pivotArea dataOnly="0" labelOnly="1" outline="0" fieldPosition="0">
        <references count="4">
          <reference field="5" count="1">
            <x v="44"/>
          </reference>
          <reference field="8" count="1" selected="0">
            <x v="533"/>
          </reference>
          <reference field="11" count="1" selected="0">
            <x v="5"/>
          </reference>
          <reference field="13" count="1" selected="0">
            <x v="301"/>
          </reference>
        </references>
      </pivotArea>
    </format>
    <format dxfId="924">
      <pivotArea dataOnly="0" labelOnly="1" outline="0" fieldPosition="0">
        <references count="4">
          <reference field="5" count="1">
            <x v="44"/>
          </reference>
          <reference field="8" count="1" selected="0">
            <x v="533"/>
          </reference>
          <reference field="11" count="1" selected="0">
            <x v="6"/>
          </reference>
          <reference field="13" count="1" selected="0">
            <x v="291"/>
          </reference>
        </references>
      </pivotArea>
    </format>
    <format dxfId="923">
      <pivotArea dataOnly="0" labelOnly="1" outline="0" fieldPosition="0">
        <references count="4">
          <reference field="5" count="1">
            <x v="44"/>
          </reference>
          <reference field="8" count="1" selected="0">
            <x v="533"/>
          </reference>
          <reference field="11" count="1" selected="0">
            <x v="6"/>
          </reference>
          <reference field="13" count="1" selected="0">
            <x v="292"/>
          </reference>
        </references>
      </pivotArea>
    </format>
    <format dxfId="922">
      <pivotArea dataOnly="0" labelOnly="1" outline="0" fieldPosition="0">
        <references count="4">
          <reference field="5" count="1">
            <x v="45"/>
          </reference>
          <reference field="8" count="1" selected="0">
            <x v="534"/>
          </reference>
          <reference field="11" count="1" selected="0">
            <x v="3"/>
          </reference>
          <reference field="13" count="1" selected="0">
            <x v="4"/>
          </reference>
        </references>
      </pivotArea>
    </format>
    <format dxfId="921">
      <pivotArea dataOnly="0" labelOnly="1" outline="0" fieldPosition="0">
        <references count="4">
          <reference field="5" count="2">
            <x v="116"/>
            <x v="117"/>
          </reference>
          <reference field="8" count="1" selected="0">
            <x v="534"/>
          </reference>
          <reference field="11" count="1" selected="0">
            <x v="3"/>
          </reference>
          <reference field="13" count="1" selected="0">
            <x v="29"/>
          </reference>
        </references>
      </pivotArea>
    </format>
    <format dxfId="920">
      <pivotArea dataOnly="0" labelOnly="1" outline="0" fieldPosition="0">
        <references count="4">
          <reference field="5" count="1">
            <x v="45"/>
          </reference>
          <reference field="8" count="1" selected="0">
            <x v="534"/>
          </reference>
          <reference field="11" count="1" selected="0">
            <x v="3"/>
          </reference>
          <reference field="13" count="1" selected="0">
            <x v="39"/>
          </reference>
        </references>
      </pivotArea>
    </format>
    <format dxfId="919">
      <pivotArea dataOnly="0" labelOnly="1" outline="0" fieldPosition="0">
        <references count="4">
          <reference field="5" count="1">
            <x v="45"/>
          </reference>
          <reference field="8" count="1" selected="0">
            <x v="534"/>
          </reference>
          <reference field="11" count="1" selected="0">
            <x v="3"/>
          </reference>
          <reference field="13" count="1" selected="0">
            <x v="47"/>
          </reference>
        </references>
      </pivotArea>
    </format>
    <format dxfId="918">
      <pivotArea dataOnly="0" labelOnly="1" outline="0" fieldPosition="0">
        <references count="4">
          <reference field="5" count="1">
            <x v="45"/>
          </reference>
          <reference field="8" count="1" selected="0">
            <x v="534"/>
          </reference>
          <reference field="11" count="1" selected="0">
            <x v="3"/>
          </reference>
          <reference field="13" count="1" selected="0">
            <x v="49"/>
          </reference>
        </references>
      </pivotArea>
    </format>
    <format dxfId="917">
      <pivotArea dataOnly="0" labelOnly="1" outline="0" fieldPosition="0">
        <references count="4">
          <reference field="5" count="2">
            <x v="45"/>
            <x v="117"/>
          </reference>
          <reference field="8" count="1" selected="0">
            <x v="534"/>
          </reference>
          <reference field="11" count="1" selected="0">
            <x v="3"/>
          </reference>
          <reference field="13" count="1" selected="0">
            <x v="218"/>
          </reference>
        </references>
      </pivotArea>
    </format>
    <format dxfId="916">
      <pivotArea dataOnly="0" labelOnly="1" outline="0" fieldPosition="0">
        <references count="4">
          <reference field="5" count="1">
            <x v="44"/>
          </reference>
          <reference field="8" count="1" selected="0">
            <x v="534"/>
          </reference>
          <reference field="11" count="1" selected="0">
            <x v="3"/>
          </reference>
          <reference field="13" count="1" selected="0">
            <x v="242"/>
          </reference>
        </references>
      </pivotArea>
    </format>
    <format dxfId="915">
      <pivotArea dataOnly="0" labelOnly="1" outline="0" fieldPosition="0">
        <references count="4">
          <reference field="5" count="1">
            <x v="44"/>
          </reference>
          <reference field="8" count="1" selected="0">
            <x v="534"/>
          </reference>
          <reference field="11" count="1" selected="0">
            <x v="3"/>
          </reference>
          <reference field="13" count="1" selected="0">
            <x v="287"/>
          </reference>
        </references>
      </pivotArea>
    </format>
    <format dxfId="914">
      <pivotArea dataOnly="0" labelOnly="1" outline="0" fieldPosition="0">
        <references count="4">
          <reference field="5" count="2">
            <x v="45"/>
            <x v="117"/>
          </reference>
          <reference field="8" count="1" selected="0">
            <x v="534"/>
          </reference>
          <reference field="11" count="1" selected="0">
            <x v="3"/>
          </reference>
          <reference field="13" count="1" selected="0">
            <x v="314"/>
          </reference>
        </references>
      </pivotArea>
    </format>
    <format dxfId="913">
      <pivotArea dataOnly="0" labelOnly="1" outline="0" fieldPosition="0">
        <references count="4">
          <reference field="5" count="2">
            <x v="44"/>
            <x v="45"/>
          </reference>
          <reference field="8" count="1" selected="0">
            <x v="534"/>
          </reference>
          <reference field="11" count="1" selected="0">
            <x v="5"/>
          </reference>
          <reference field="13" count="1" selected="0">
            <x v="77"/>
          </reference>
        </references>
      </pivotArea>
    </format>
    <format dxfId="912">
      <pivotArea dataOnly="0" labelOnly="1" outline="0" fieldPosition="0">
        <references count="4">
          <reference field="5" count="2">
            <x v="44"/>
            <x v="45"/>
          </reference>
          <reference field="8" count="1" selected="0">
            <x v="534"/>
          </reference>
          <reference field="11" count="1" selected="0">
            <x v="5"/>
          </reference>
          <reference field="13" count="1" selected="0">
            <x v="81"/>
          </reference>
        </references>
      </pivotArea>
    </format>
    <format dxfId="911">
      <pivotArea dataOnly="0" labelOnly="1" outline="0" fieldPosition="0">
        <references count="4">
          <reference field="5" count="1">
            <x v="45"/>
          </reference>
          <reference field="8" count="1" selected="0">
            <x v="534"/>
          </reference>
          <reference field="11" count="1" selected="0">
            <x v="5"/>
          </reference>
          <reference field="13" count="1" selected="0">
            <x v="86"/>
          </reference>
        </references>
      </pivotArea>
    </format>
    <format dxfId="910">
      <pivotArea dataOnly="0" labelOnly="1" outline="0" fieldPosition="0">
        <references count="4">
          <reference field="5" count="1">
            <x v="44"/>
          </reference>
          <reference field="8" count="1" selected="0">
            <x v="534"/>
          </reference>
          <reference field="11" count="1" selected="0">
            <x v="5"/>
          </reference>
          <reference field="13" count="1" selected="0">
            <x v="300"/>
          </reference>
        </references>
      </pivotArea>
    </format>
    <format dxfId="909">
      <pivotArea dataOnly="0" labelOnly="1" outline="0" fieldPosition="0">
        <references count="4">
          <reference field="5" count="1">
            <x v="44"/>
          </reference>
          <reference field="8" count="1" selected="0">
            <x v="534"/>
          </reference>
          <reference field="11" count="1" selected="0">
            <x v="5"/>
          </reference>
          <reference field="13" count="1" selected="0">
            <x v="301"/>
          </reference>
        </references>
      </pivotArea>
    </format>
    <format dxfId="908">
      <pivotArea dataOnly="0" labelOnly="1" outline="0" fieldPosition="0">
        <references count="4">
          <reference field="5" count="1">
            <x v="44"/>
          </reference>
          <reference field="8" count="1" selected="0">
            <x v="534"/>
          </reference>
          <reference field="11" count="1" selected="0">
            <x v="6"/>
          </reference>
          <reference field="13" count="1" selected="0">
            <x v="291"/>
          </reference>
        </references>
      </pivotArea>
    </format>
    <format dxfId="907">
      <pivotArea dataOnly="0" labelOnly="1" outline="0" fieldPosition="0">
        <references count="4">
          <reference field="5" count="1">
            <x v="44"/>
          </reference>
          <reference field="8" count="1" selected="0">
            <x v="534"/>
          </reference>
          <reference field="11" count="1" selected="0">
            <x v="6"/>
          </reference>
          <reference field="13" count="1" selected="0">
            <x v="292"/>
          </reference>
        </references>
      </pivotArea>
    </format>
    <format dxfId="906">
      <pivotArea dataOnly="0" labelOnly="1" outline="0" fieldPosition="0">
        <references count="4">
          <reference field="5" count="2">
            <x v="44"/>
            <x v="45"/>
          </reference>
          <reference field="8" count="1" selected="0">
            <x v="535"/>
          </reference>
          <reference field="11" count="1" selected="0">
            <x v="3"/>
          </reference>
          <reference field="13" count="1" selected="0">
            <x v="4"/>
          </reference>
        </references>
      </pivotArea>
    </format>
    <format dxfId="905">
      <pivotArea dataOnly="0" labelOnly="1" outline="0" fieldPosition="0">
        <references count="4">
          <reference field="5" count="2">
            <x v="116"/>
            <x v="117"/>
          </reference>
          <reference field="8" count="1" selected="0">
            <x v="535"/>
          </reference>
          <reference field="11" count="1" selected="0">
            <x v="3"/>
          </reference>
          <reference field="13" count="1" selected="0">
            <x v="29"/>
          </reference>
        </references>
      </pivotArea>
    </format>
    <format dxfId="904">
      <pivotArea dataOnly="0" labelOnly="1" outline="0" fieldPosition="0">
        <references count="4">
          <reference field="5" count="1">
            <x v="45"/>
          </reference>
          <reference field="8" count="1" selected="0">
            <x v="535"/>
          </reference>
          <reference field="11" count="1" selected="0">
            <x v="3"/>
          </reference>
          <reference field="13" count="1" selected="0">
            <x v="39"/>
          </reference>
        </references>
      </pivotArea>
    </format>
    <format dxfId="903">
      <pivotArea dataOnly="0" labelOnly="1" outline="0" fieldPosition="0">
        <references count="4">
          <reference field="5" count="1">
            <x v="45"/>
          </reference>
          <reference field="8" count="1" selected="0">
            <x v="535"/>
          </reference>
          <reference field="11" count="1" selected="0">
            <x v="3"/>
          </reference>
          <reference field="13" count="1" selected="0">
            <x v="47"/>
          </reference>
        </references>
      </pivotArea>
    </format>
    <format dxfId="902">
      <pivotArea dataOnly="0" labelOnly="1" outline="0" fieldPosition="0">
        <references count="4">
          <reference field="5" count="1">
            <x v="45"/>
          </reference>
          <reference field="8" count="1" selected="0">
            <x v="535"/>
          </reference>
          <reference field="11" count="1" selected="0">
            <x v="3"/>
          </reference>
          <reference field="13" count="1" selected="0">
            <x v="49"/>
          </reference>
        </references>
      </pivotArea>
    </format>
    <format dxfId="901">
      <pivotArea dataOnly="0" labelOnly="1" outline="0" fieldPosition="0">
        <references count="4">
          <reference field="5" count="2">
            <x v="45"/>
            <x v="117"/>
          </reference>
          <reference field="8" count="1" selected="0">
            <x v="535"/>
          </reference>
          <reference field="11" count="1" selected="0">
            <x v="3"/>
          </reference>
          <reference field="13" count="1" selected="0">
            <x v="218"/>
          </reference>
        </references>
      </pivotArea>
    </format>
    <format dxfId="900">
      <pivotArea dataOnly="0" labelOnly="1" outline="0" fieldPosition="0">
        <references count="4">
          <reference field="5" count="1">
            <x v="44"/>
          </reference>
          <reference field="8" count="1" selected="0">
            <x v="535"/>
          </reference>
          <reference field="11" count="1" selected="0">
            <x v="3"/>
          </reference>
          <reference field="13" count="1" selected="0">
            <x v="287"/>
          </reference>
        </references>
      </pivotArea>
    </format>
    <format dxfId="899">
      <pivotArea dataOnly="0" labelOnly="1" outline="0" fieldPosition="0">
        <references count="4">
          <reference field="5" count="2">
            <x v="45"/>
            <x v="117"/>
          </reference>
          <reference field="8" count="1" selected="0">
            <x v="535"/>
          </reference>
          <reference field="11" count="1" selected="0">
            <x v="3"/>
          </reference>
          <reference field="13" count="1" selected="0">
            <x v="314"/>
          </reference>
        </references>
      </pivotArea>
    </format>
    <format dxfId="898">
      <pivotArea dataOnly="0" labelOnly="1" outline="0" fieldPosition="0">
        <references count="4">
          <reference field="5" count="2">
            <x v="44"/>
            <x v="45"/>
          </reference>
          <reference field="8" count="1" selected="0">
            <x v="535"/>
          </reference>
          <reference field="11" count="1" selected="0">
            <x v="5"/>
          </reference>
          <reference field="13" count="1" selected="0">
            <x v="77"/>
          </reference>
        </references>
      </pivotArea>
    </format>
    <format dxfId="897">
      <pivotArea dataOnly="0" labelOnly="1" outline="0" fieldPosition="0">
        <references count="4">
          <reference field="5" count="2">
            <x v="44"/>
            <x v="45"/>
          </reference>
          <reference field="8" count="1" selected="0">
            <x v="535"/>
          </reference>
          <reference field="11" count="1" selected="0">
            <x v="5"/>
          </reference>
          <reference field="13" count="1" selected="0">
            <x v="81"/>
          </reference>
        </references>
      </pivotArea>
    </format>
    <format dxfId="896">
      <pivotArea dataOnly="0" labelOnly="1" outline="0" fieldPosition="0">
        <references count="4">
          <reference field="5" count="1">
            <x v="45"/>
          </reference>
          <reference field="8" count="1" selected="0">
            <x v="535"/>
          </reference>
          <reference field="11" count="1" selected="0">
            <x v="5"/>
          </reference>
          <reference field="13" count="1" selected="0">
            <x v="86"/>
          </reference>
        </references>
      </pivotArea>
    </format>
    <format dxfId="895">
      <pivotArea dataOnly="0" labelOnly="1" outline="0" fieldPosition="0">
        <references count="4">
          <reference field="5" count="1">
            <x v="44"/>
          </reference>
          <reference field="8" count="1" selected="0">
            <x v="535"/>
          </reference>
          <reference field="11" count="1" selected="0">
            <x v="5"/>
          </reference>
          <reference field="13" count="1" selected="0">
            <x v="300"/>
          </reference>
        </references>
      </pivotArea>
    </format>
    <format dxfId="894">
      <pivotArea dataOnly="0" labelOnly="1" outline="0" fieldPosition="0">
        <references count="4">
          <reference field="5" count="1">
            <x v="44"/>
          </reference>
          <reference field="8" count="1" selected="0">
            <x v="535"/>
          </reference>
          <reference field="11" count="1" selected="0">
            <x v="5"/>
          </reference>
          <reference field="13" count="1" selected="0">
            <x v="301"/>
          </reference>
        </references>
      </pivotArea>
    </format>
    <format dxfId="893">
      <pivotArea dataOnly="0" labelOnly="1" outline="0" fieldPosition="0">
        <references count="4">
          <reference field="5" count="1">
            <x v="44"/>
          </reference>
          <reference field="8" count="1" selected="0">
            <x v="535"/>
          </reference>
          <reference field="11" count="1" selected="0">
            <x v="6"/>
          </reference>
          <reference field="13" count="1" selected="0">
            <x v="291"/>
          </reference>
        </references>
      </pivotArea>
    </format>
    <format dxfId="892">
      <pivotArea dataOnly="0" labelOnly="1" outline="0" fieldPosition="0">
        <references count="4">
          <reference field="5" count="1">
            <x v="44"/>
          </reference>
          <reference field="8" count="1" selected="0">
            <x v="535"/>
          </reference>
          <reference field="11" count="1" selected="0">
            <x v="6"/>
          </reference>
          <reference field="13" count="1" selected="0">
            <x v="292"/>
          </reference>
        </references>
      </pivotArea>
    </format>
    <format dxfId="891">
      <pivotArea dataOnly="0" labelOnly="1" outline="0" fieldPosition="0">
        <references count="4">
          <reference field="5" count="2">
            <x v="44"/>
            <x v="45"/>
          </reference>
          <reference field="8" count="1" selected="0">
            <x v="536"/>
          </reference>
          <reference field="11" count="1" selected="0">
            <x v="3"/>
          </reference>
          <reference field="13" count="1" selected="0">
            <x v="4"/>
          </reference>
        </references>
      </pivotArea>
    </format>
    <format dxfId="890">
      <pivotArea dataOnly="0" labelOnly="1" outline="0" fieldPosition="0">
        <references count="4">
          <reference field="5" count="2">
            <x v="116"/>
            <x v="117"/>
          </reference>
          <reference field="8" count="1" selected="0">
            <x v="536"/>
          </reference>
          <reference field="11" count="1" selected="0">
            <x v="3"/>
          </reference>
          <reference field="13" count="1" selected="0">
            <x v="29"/>
          </reference>
        </references>
      </pivotArea>
    </format>
    <format dxfId="889">
      <pivotArea dataOnly="0" labelOnly="1" outline="0" fieldPosition="0">
        <references count="4">
          <reference field="5" count="1">
            <x v="45"/>
          </reference>
          <reference field="8" count="1" selected="0">
            <x v="536"/>
          </reference>
          <reference field="11" count="1" selected="0">
            <x v="3"/>
          </reference>
          <reference field="13" count="1" selected="0">
            <x v="39"/>
          </reference>
        </references>
      </pivotArea>
    </format>
    <format dxfId="888">
      <pivotArea dataOnly="0" labelOnly="1" outline="0" fieldPosition="0">
        <references count="4">
          <reference field="5" count="2">
            <x v="44"/>
            <x v="45"/>
          </reference>
          <reference field="8" count="1" selected="0">
            <x v="536"/>
          </reference>
          <reference field="11" count="1" selected="0">
            <x v="3"/>
          </reference>
          <reference field="13" count="1" selected="0">
            <x v="47"/>
          </reference>
        </references>
      </pivotArea>
    </format>
    <format dxfId="887">
      <pivotArea dataOnly="0" labelOnly="1" outline="0" fieldPosition="0">
        <references count="4">
          <reference field="5" count="2">
            <x v="44"/>
            <x v="45"/>
          </reference>
          <reference field="8" count="1" selected="0">
            <x v="536"/>
          </reference>
          <reference field="11" count="1" selected="0">
            <x v="3"/>
          </reference>
          <reference field="13" count="1" selected="0">
            <x v="49"/>
          </reference>
        </references>
      </pivotArea>
    </format>
    <format dxfId="886">
      <pivotArea dataOnly="0" labelOnly="1" outline="0" fieldPosition="0">
        <references count="4">
          <reference field="5" count="2">
            <x v="45"/>
            <x v="117"/>
          </reference>
          <reference field="8" count="1" selected="0">
            <x v="536"/>
          </reference>
          <reference field="11" count="1" selected="0">
            <x v="3"/>
          </reference>
          <reference field="13" count="1" selected="0">
            <x v="218"/>
          </reference>
        </references>
      </pivotArea>
    </format>
    <format dxfId="885">
      <pivotArea dataOnly="0" labelOnly="1" outline="0" fieldPosition="0">
        <references count="4">
          <reference field="5" count="1">
            <x v="44"/>
          </reference>
          <reference field="8" count="1" selected="0">
            <x v="536"/>
          </reference>
          <reference field="11" count="1" selected="0">
            <x v="3"/>
          </reference>
          <reference field="13" count="1" selected="0">
            <x v="240"/>
          </reference>
        </references>
      </pivotArea>
    </format>
    <format dxfId="884">
      <pivotArea dataOnly="0" labelOnly="1" outline="0" fieldPosition="0">
        <references count="4">
          <reference field="5" count="3">
            <x v="44"/>
            <x v="45"/>
            <x v="117"/>
          </reference>
          <reference field="8" count="1" selected="0">
            <x v="536"/>
          </reference>
          <reference field="11" count="1" selected="0">
            <x v="3"/>
          </reference>
          <reference field="13" count="1" selected="0">
            <x v="314"/>
          </reference>
        </references>
      </pivotArea>
    </format>
    <format dxfId="883">
      <pivotArea dataOnly="0" labelOnly="1" outline="0" fieldPosition="0">
        <references count="4">
          <reference field="5" count="2">
            <x v="44"/>
            <x v="45"/>
          </reference>
          <reference field="8" count="1" selected="0">
            <x v="536"/>
          </reference>
          <reference field="11" count="1" selected="0">
            <x v="5"/>
          </reference>
          <reference field="13" count="1" selected="0">
            <x v="77"/>
          </reference>
        </references>
      </pivotArea>
    </format>
    <format dxfId="882">
      <pivotArea dataOnly="0" labelOnly="1" outline="0" fieldPosition="0">
        <references count="4">
          <reference field="5" count="2">
            <x v="44"/>
            <x v="45"/>
          </reference>
          <reference field="8" count="1" selected="0">
            <x v="536"/>
          </reference>
          <reference field="11" count="1" selected="0">
            <x v="5"/>
          </reference>
          <reference field="13" count="1" selected="0">
            <x v="81"/>
          </reference>
        </references>
      </pivotArea>
    </format>
    <format dxfId="881">
      <pivotArea dataOnly="0" labelOnly="1" outline="0" fieldPosition="0">
        <references count="4">
          <reference field="5" count="1">
            <x v="45"/>
          </reference>
          <reference field="8" count="1" selected="0">
            <x v="536"/>
          </reference>
          <reference field="11" count="1" selected="0">
            <x v="5"/>
          </reference>
          <reference field="13" count="1" selected="0">
            <x v="86"/>
          </reference>
        </references>
      </pivotArea>
    </format>
    <format dxfId="880">
      <pivotArea dataOnly="0" labelOnly="1" outline="0" fieldPosition="0">
        <references count="4">
          <reference field="5" count="1">
            <x v="44"/>
          </reference>
          <reference field="8" count="1" selected="0">
            <x v="536"/>
          </reference>
          <reference field="11" count="1" selected="0">
            <x v="5"/>
          </reference>
          <reference field="13" count="1" selected="0">
            <x v="300"/>
          </reference>
        </references>
      </pivotArea>
    </format>
    <format dxfId="879">
      <pivotArea dataOnly="0" labelOnly="1" outline="0" fieldPosition="0">
        <references count="4">
          <reference field="5" count="1">
            <x v="44"/>
          </reference>
          <reference field="8" count="1" selected="0">
            <x v="536"/>
          </reference>
          <reference field="11" count="1" selected="0">
            <x v="5"/>
          </reference>
          <reference field="13" count="1" selected="0">
            <x v="301"/>
          </reference>
        </references>
      </pivotArea>
    </format>
    <format dxfId="878">
      <pivotArea dataOnly="0" labelOnly="1" outline="0" fieldPosition="0">
        <references count="4">
          <reference field="5" count="1">
            <x v="44"/>
          </reference>
          <reference field="8" count="1" selected="0">
            <x v="536"/>
          </reference>
          <reference field="11" count="1" selected="0">
            <x v="6"/>
          </reference>
          <reference field="13" count="1" selected="0">
            <x v="291"/>
          </reference>
        </references>
      </pivotArea>
    </format>
    <format dxfId="877">
      <pivotArea dataOnly="0" labelOnly="1" outline="0" fieldPosition="0">
        <references count="4">
          <reference field="5" count="1">
            <x v="44"/>
          </reference>
          <reference field="8" count="1" selected="0">
            <x v="536"/>
          </reference>
          <reference field="11" count="1" selected="0">
            <x v="6"/>
          </reference>
          <reference field="13" count="1" selected="0">
            <x v="292"/>
          </reference>
        </references>
      </pivotArea>
    </format>
    <format dxfId="876">
      <pivotArea dataOnly="0" labelOnly="1" outline="0" fieldPosition="0">
        <references count="4">
          <reference field="5" count="1">
            <x v="45"/>
          </reference>
          <reference field="8" count="1" selected="0">
            <x v="537"/>
          </reference>
          <reference field="11" count="1" selected="0">
            <x v="3"/>
          </reference>
          <reference field="13" count="1" selected="0">
            <x v="4"/>
          </reference>
        </references>
      </pivotArea>
    </format>
    <format dxfId="875">
      <pivotArea dataOnly="0" labelOnly="1" outline="0" fieldPosition="0">
        <references count="4">
          <reference field="5" count="1">
            <x v="117"/>
          </reference>
          <reference field="8" count="1" selected="0">
            <x v="537"/>
          </reference>
          <reference field="11" count="1" selected="0">
            <x v="3"/>
          </reference>
          <reference field="13" count="1" selected="0">
            <x v="29"/>
          </reference>
        </references>
      </pivotArea>
    </format>
    <format dxfId="874">
      <pivotArea dataOnly="0" labelOnly="1" outline="0" fieldPosition="0">
        <references count="4">
          <reference field="5" count="1">
            <x v="45"/>
          </reference>
          <reference field="8" count="1" selected="0">
            <x v="537"/>
          </reference>
          <reference field="11" count="1" selected="0">
            <x v="3"/>
          </reference>
          <reference field="13" count="1" selected="0">
            <x v="39"/>
          </reference>
        </references>
      </pivotArea>
    </format>
    <format dxfId="873">
      <pivotArea dataOnly="0" labelOnly="1" outline="0" fieldPosition="0">
        <references count="4">
          <reference field="5" count="1">
            <x v="45"/>
          </reference>
          <reference field="8" count="1" selected="0">
            <x v="537"/>
          </reference>
          <reference field="11" count="1" selected="0">
            <x v="3"/>
          </reference>
          <reference field="13" count="1" selected="0">
            <x v="47"/>
          </reference>
        </references>
      </pivotArea>
    </format>
    <format dxfId="872">
      <pivotArea dataOnly="0" labelOnly="1" outline="0" fieldPosition="0">
        <references count="4">
          <reference field="5" count="1">
            <x v="45"/>
          </reference>
          <reference field="8" count="1" selected="0">
            <x v="537"/>
          </reference>
          <reference field="11" count="1" selected="0">
            <x v="3"/>
          </reference>
          <reference field="13" count="1" selected="0">
            <x v="49"/>
          </reference>
        </references>
      </pivotArea>
    </format>
    <format dxfId="871">
      <pivotArea dataOnly="0" labelOnly="1" outline="0" fieldPosition="0">
        <references count="4">
          <reference field="5" count="2">
            <x v="45"/>
            <x v="117"/>
          </reference>
          <reference field="8" count="1" selected="0">
            <x v="537"/>
          </reference>
          <reference field="11" count="1" selected="0">
            <x v="3"/>
          </reference>
          <reference field="13" count="1" selected="0">
            <x v="218"/>
          </reference>
        </references>
      </pivotArea>
    </format>
    <format dxfId="870">
      <pivotArea dataOnly="0" labelOnly="1" outline="0" fieldPosition="0">
        <references count="4">
          <reference field="5" count="1">
            <x v="44"/>
          </reference>
          <reference field="8" count="1" selected="0">
            <x v="537"/>
          </reference>
          <reference field="11" count="1" selected="0">
            <x v="5"/>
          </reference>
          <reference field="13" count="1" selected="0">
            <x v="81"/>
          </reference>
        </references>
      </pivotArea>
    </format>
    <format dxfId="869">
      <pivotArea dataOnly="0" labelOnly="1" outline="0" fieldPosition="0">
        <references count="4">
          <reference field="5" count="1">
            <x v="45"/>
          </reference>
          <reference field="8" count="1" selected="0">
            <x v="537"/>
          </reference>
          <reference field="11" count="1" selected="0">
            <x v="5"/>
          </reference>
          <reference field="13" count="1" selected="0">
            <x v="86"/>
          </reference>
        </references>
      </pivotArea>
    </format>
    <format dxfId="868">
      <pivotArea dataOnly="0" labelOnly="1" outline="0" fieldPosition="0">
        <references count="4">
          <reference field="5" count="1">
            <x v="44"/>
          </reference>
          <reference field="8" count="1" selected="0">
            <x v="537"/>
          </reference>
          <reference field="11" count="1" selected="0">
            <x v="5"/>
          </reference>
          <reference field="13" count="1" selected="0">
            <x v="300"/>
          </reference>
        </references>
      </pivotArea>
    </format>
    <format dxfId="867">
      <pivotArea dataOnly="0" labelOnly="1" outline="0" fieldPosition="0">
        <references count="4">
          <reference field="5" count="1">
            <x v="44"/>
          </reference>
          <reference field="8" count="1" selected="0">
            <x v="537"/>
          </reference>
          <reference field="11" count="1" selected="0">
            <x v="5"/>
          </reference>
          <reference field="13" count="1" selected="0">
            <x v="301"/>
          </reference>
        </references>
      </pivotArea>
    </format>
    <format dxfId="866">
      <pivotArea dataOnly="0" labelOnly="1" outline="0" fieldPosition="0">
        <references count="4">
          <reference field="5" count="1">
            <x v="44"/>
          </reference>
          <reference field="8" count="1" selected="0">
            <x v="537"/>
          </reference>
          <reference field="11" count="1" selected="0">
            <x v="6"/>
          </reference>
          <reference field="13" count="1" selected="0">
            <x v="291"/>
          </reference>
        </references>
      </pivotArea>
    </format>
    <format dxfId="865">
      <pivotArea dataOnly="0" labelOnly="1" outline="0" fieldPosition="0">
        <references count="4">
          <reference field="5" count="1">
            <x v="44"/>
          </reference>
          <reference field="8" count="1" selected="0">
            <x v="537"/>
          </reference>
          <reference field="11" count="1" selected="0">
            <x v="6"/>
          </reference>
          <reference field="13" count="1" selected="0">
            <x v="292"/>
          </reference>
        </references>
      </pivotArea>
    </format>
    <format dxfId="864">
      <pivotArea dataOnly="0" labelOnly="1" outline="0" fieldPosition="0">
        <references count="4">
          <reference field="5" count="1">
            <x v="45"/>
          </reference>
          <reference field="8" count="1" selected="0">
            <x v="538"/>
          </reference>
          <reference field="11" count="1" selected="0">
            <x v="3"/>
          </reference>
          <reference field="13" count="1" selected="0">
            <x v="4"/>
          </reference>
        </references>
      </pivotArea>
    </format>
    <format dxfId="863">
      <pivotArea dataOnly="0" labelOnly="1" outline="0" fieldPosition="0">
        <references count="4">
          <reference field="5" count="1">
            <x v="117"/>
          </reference>
          <reference field="8" count="1" selected="0">
            <x v="538"/>
          </reference>
          <reference field="11" count="1" selected="0">
            <x v="3"/>
          </reference>
          <reference field="13" count="1" selected="0">
            <x v="29"/>
          </reference>
        </references>
      </pivotArea>
    </format>
    <format dxfId="862">
      <pivotArea dataOnly="0" labelOnly="1" outline="0" fieldPosition="0">
        <references count="4">
          <reference field="5" count="1">
            <x v="45"/>
          </reference>
          <reference field="8" count="1" selected="0">
            <x v="538"/>
          </reference>
          <reference field="11" count="1" selected="0">
            <x v="3"/>
          </reference>
          <reference field="13" count="1" selected="0">
            <x v="39"/>
          </reference>
        </references>
      </pivotArea>
    </format>
    <format dxfId="861">
      <pivotArea dataOnly="0" labelOnly="1" outline="0" fieldPosition="0">
        <references count="4">
          <reference field="5" count="1">
            <x v="45"/>
          </reference>
          <reference field="8" count="1" selected="0">
            <x v="538"/>
          </reference>
          <reference field="11" count="1" selected="0">
            <x v="3"/>
          </reference>
          <reference field="13" count="1" selected="0">
            <x v="47"/>
          </reference>
        </references>
      </pivotArea>
    </format>
    <format dxfId="860">
      <pivotArea dataOnly="0" labelOnly="1" outline="0" fieldPosition="0">
        <references count="4">
          <reference field="5" count="1">
            <x v="45"/>
          </reference>
          <reference field="8" count="1" selected="0">
            <x v="538"/>
          </reference>
          <reference field="11" count="1" selected="0">
            <x v="3"/>
          </reference>
          <reference field="13" count="1" selected="0">
            <x v="49"/>
          </reference>
        </references>
      </pivotArea>
    </format>
    <format dxfId="859">
      <pivotArea dataOnly="0" labelOnly="1" outline="0" fieldPosition="0">
        <references count="4">
          <reference field="5" count="2">
            <x v="45"/>
            <x v="117"/>
          </reference>
          <reference field="8" count="1" selected="0">
            <x v="538"/>
          </reference>
          <reference field="11" count="1" selected="0">
            <x v="3"/>
          </reference>
          <reference field="13" count="1" selected="0">
            <x v="218"/>
          </reference>
        </references>
      </pivotArea>
    </format>
    <format dxfId="858">
      <pivotArea dataOnly="0" labelOnly="1" outline="0" fieldPosition="0">
        <references count="4">
          <reference field="5" count="2">
            <x v="45"/>
            <x v="117"/>
          </reference>
          <reference field="8" count="1" selected="0">
            <x v="538"/>
          </reference>
          <reference field="11" count="1" selected="0">
            <x v="3"/>
          </reference>
          <reference field="13" count="1" selected="0">
            <x v="314"/>
          </reference>
        </references>
      </pivotArea>
    </format>
    <format dxfId="857">
      <pivotArea dataOnly="0" labelOnly="1" outline="0" fieldPosition="0">
        <references count="4">
          <reference field="5" count="1">
            <x v="45"/>
          </reference>
          <reference field="8" count="1" selected="0">
            <x v="538"/>
          </reference>
          <reference field="11" count="1" selected="0">
            <x v="5"/>
          </reference>
          <reference field="13" count="1" selected="0">
            <x v="77"/>
          </reference>
        </references>
      </pivotArea>
    </format>
    <format dxfId="856">
      <pivotArea dataOnly="0" labelOnly="1" outline="0" fieldPosition="0">
        <references count="4">
          <reference field="5" count="2">
            <x v="44"/>
            <x v="45"/>
          </reference>
          <reference field="8" count="1" selected="0">
            <x v="538"/>
          </reference>
          <reference field="11" count="1" selected="0">
            <x v="5"/>
          </reference>
          <reference field="13" count="1" selected="0">
            <x v="81"/>
          </reference>
        </references>
      </pivotArea>
    </format>
    <format dxfId="855">
      <pivotArea dataOnly="0" labelOnly="1" outline="0" fieldPosition="0">
        <references count="4">
          <reference field="5" count="1">
            <x v="45"/>
          </reference>
          <reference field="8" count="1" selected="0">
            <x v="538"/>
          </reference>
          <reference field="11" count="1" selected="0">
            <x v="5"/>
          </reference>
          <reference field="13" count="1" selected="0">
            <x v="86"/>
          </reference>
        </references>
      </pivotArea>
    </format>
    <format dxfId="854">
      <pivotArea dataOnly="0" labelOnly="1" outline="0" fieldPosition="0">
        <references count="4">
          <reference field="5" count="1">
            <x v="44"/>
          </reference>
          <reference field="8" count="1" selected="0">
            <x v="538"/>
          </reference>
          <reference field="11" count="1" selected="0">
            <x v="5"/>
          </reference>
          <reference field="13" count="1" selected="0">
            <x v="300"/>
          </reference>
        </references>
      </pivotArea>
    </format>
    <format dxfId="853">
      <pivotArea dataOnly="0" labelOnly="1" outline="0" fieldPosition="0">
        <references count="4">
          <reference field="5" count="1">
            <x v="44"/>
          </reference>
          <reference field="8" count="1" selected="0">
            <x v="538"/>
          </reference>
          <reference field="11" count="1" selected="0">
            <x v="5"/>
          </reference>
          <reference field="13" count="1" selected="0">
            <x v="301"/>
          </reference>
        </references>
      </pivotArea>
    </format>
    <format dxfId="852">
      <pivotArea dataOnly="0" labelOnly="1" outline="0" fieldPosition="0">
        <references count="4">
          <reference field="5" count="1">
            <x v="44"/>
          </reference>
          <reference field="8" count="1" selected="0">
            <x v="538"/>
          </reference>
          <reference field="11" count="1" selected="0">
            <x v="6"/>
          </reference>
          <reference field="13" count="1" selected="0">
            <x v="291"/>
          </reference>
        </references>
      </pivotArea>
    </format>
    <format dxfId="851">
      <pivotArea dataOnly="0" labelOnly="1" outline="0" fieldPosition="0">
        <references count="4">
          <reference field="5" count="1">
            <x v="44"/>
          </reference>
          <reference field="8" count="1" selected="0">
            <x v="538"/>
          </reference>
          <reference field="11" count="1" selected="0">
            <x v="6"/>
          </reference>
          <reference field="13" count="1" selected="0">
            <x v="292"/>
          </reference>
        </references>
      </pivotArea>
    </format>
    <format dxfId="850">
      <pivotArea dataOnly="0" labelOnly="1" outline="0" fieldPosition="0">
        <references count="4">
          <reference field="5" count="2">
            <x v="44"/>
            <x v="45"/>
          </reference>
          <reference field="8" count="1" selected="0">
            <x v="539"/>
          </reference>
          <reference field="11" count="1" selected="0">
            <x v="3"/>
          </reference>
          <reference field="13" count="1" selected="0">
            <x v="4"/>
          </reference>
        </references>
      </pivotArea>
    </format>
    <format dxfId="849">
      <pivotArea dataOnly="0" labelOnly="1" outline="0" fieldPosition="0">
        <references count="4">
          <reference field="5" count="1">
            <x v="117"/>
          </reference>
          <reference field="8" count="1" selected="0">
            <x v="539"/>
          </reference>
          <reference field="11" count="1" selected="0">
            <x v="3"/>
          </reference>
          <reference field="13" count="1" selected="0">
            <x v="29"/>
          </reference>
        </references>
      </pivotArea>
    </format>
    <format dxfId="848">
      <pivotArea dataOnly="0" labelOnly="1" outline="0" fieldPosition="0">
        <references count="4">
          <reference field="5" count="1">
            <x v="45"/>
          </reference>
          <reference field="8" count="1" selected="0">
            <x v="539"/>
          </reference>
          <reference field="11" count="1" selected="0">
            <x v="3"/>
          </reference>
          <reference field="13" count="1" selected="0">
            <x v="39"/>
          </reference>
        </references>
      </pivotArea>
    </format>
    <format dxfId="847">
      <pivotArea dataOnly="0" labelOnly="1" outline="0" fieldPosition="0">
        <references count="4">
          <reference field="5" count="2">
            <x v="44"/>
            <x v="45"/>
          </reference>
          <reference field="8" count="1" selected="0">
            <x v="539"/>
          </reference>
          <reference field="11" count="1" selected="0">
            <x v="3"/>
          </reference>
          <reference field="13" count="1" selected="0">
            <x v="47"/>
          </reference>
        </references>
      </pivotArea>
    </format>
    <format dxfId="846">
      <pivotArea dataOnly="0" labelOnly="1" outline="0" fieldPosition="0">
        <references count="4">
          <reference field="5" count="2">
            <x v="44"/>
            <x v="45"/>
          </reference>
          <reference field="8" count="1" selected="0">
            <x v="539"/>
          </reference>
          <reference field="11" count="1" selected="0">
            <x v="3"/>
          </reference>
          <reference field="13" count="1" selected="0">
            <x v="49"/>
          </reference>
        </references>
      </pivotArea>
    </format>
    <format dxfId="845">
      <pivotArea dataOnly="0" labelOnly="1" outline="0" fieldPosition="0">
        <references count="4">
          <reference field="5" count="2">
            <x v="45"/>
            <x v="117"/>
          </reference>
          <reference field="8" count="1" selected="0">
            <x v="539"/>
          </reference>
          <reference field="11" count="1" selected="0">
            <x v="3"/>
          </reference>
          <reference field="13" count="1" selected="0">
            <x v="218"/>
          </reference>
        </references>
      </pivotArea>
    </format>
    <format dxfId="844">
      <pivotArea dataOnly="0" labelOnly="1" outline="0" fieldPosition="0">
        <references count="4">
          <reference field="5" count="1">
            <x v="44"/>
          </reference>
          <reference field="8" count="1" selected="0">
            <x v="539"/>
          </reference>
          <reference field="11" count="1" selected="0">
            <x v="3"/>
          </reference>
          <reference field="13" count="1" selected="0">
            <x v="240"/>
          </reference>
        </references>
      </pivotArea>
    </format>
    <format dxfId="843">
      <pivotArea dataOnly="0" labelOnly="1" outline="0" fieldPosition="0">
        <references count="4">
          <reference field="5" count="3">
            <x v="44"/>
            <x v="45"/>
            <x v="117"/>
          </reference>
          <reference field="8" count="1" selected="0">
            <x v="539"/>
          </reference>
          <reference field="11" count="1" selected="0">
            <x v="3"/>
          </reference>
          <reference field="13" count="1" selected="0">
            <x v="314"/>
          </reference>
        </references>
      </pivotArea>
    </format>
    <format dxfId="842">
      <pivotArea dataOnly="0" labelOnly="1" outline="0" fieldPosition="0">
        <references count="4">
          <reference field="5" count="2">
            <x v="44"/>
            <x v="45"/>
          </reference>
          <reference field="8" count="1" selected="0">
            <x v="539"/>
          </reference>
          <reference field="11" count="1" selected="0">
            <x v="5"/>
          </reference>
          <reference field="13" count="1" selected="0">
            <x v="77"/>
          </reference>
        </references>
      </pivotArea>
    </format>
    <format dxfId="841">
      <pivotArea dataOnly="0" labelOnly="1" outline="0" fieldPosition="0">
        <references count="4">
          <reference field="5" count="2">
            <x v="44"/>
            <x v="45"/>
          </reference>
          <reference field="8" count="1" selected="0">
            <x v="539"/>
          </reference>
          <reference field="11" count="1" selected="0">
            <x v="5"/>
          </reference>
          <reference field="13" count="1" selected="0">
            <x v="81"/>
          </reference>
        </references>
      </pivotArea>
    </format>
    <format dxfId="840">
      <pivotArea dataOnly="0" labelOnly="1" outline="0" fieldPosition="0">
        <references count="4">
          <reference field="5" count="1">
            <x v="45"/>
          </reference>
          <reference field="8" count="1" selected="0">
            <x v="539"/>
          </reference>
          <reference field="11" count="1" selected="0">
            <x v="5"/>
          </reference>
          <reference field="13" count="1" selected="0">
            <x v="86"/>
          </reference>
        </references>
      </pivotArea>
    </format>
    <format dxfId="839">
      <pivotArea dataOnly="0" labelOnly="1" outline="0" fieldPosition="0">
        <references count="4">
          <reference field="5" count="1">
            <x v="44"/>
          </reference>
          <reference field="8" count="1" selected="0">
            <x v="539"/>
          </reference>
          <reference field="11" count="1" selected="0">
            <x v="5"/>
          </reference>
          <reference field="13" count="1" selected="0">
            <x v="300"/>
          </reference>
        </references>
      </pivotArea>
    </format>
    <format dxfId="838">
      <pivotArea dataOnly="0" labelOnly="1" outline="0" fieldPosition="0">
        <references count="4">
          <reference field="5" count="1">
            <x v="44"/>
          </reference>
          <reference field="8" count="1" selected="0">
            <x v="539"/>
          </reference>
          <reference field="11" count="1" selected="0">
            <x v="5"/>
          </reference>
          <reference field="13" count="1" selected="0">
            <x v="301"/>
          </reference>
        </references>
      </pivotArea>
    </format>
    <format dxfId="837">
      <pivotArea dataOnly="0" labelOnly="1" outline="0" fieldPosition="0">
        <references count="4">
          <reference field="5" count="1">
            <x v="44"/>
          </reference>
          <reference field="8" count="1" selected="0">
            <x v="539"/>
          </reference>
          <reference field="11" count="1" selected="0">
            <x v="6"/>
          </reference>
          <reference field="13" count="1" selected="0">
            <x v="291"/>
          </reference>
        </references>
      </pivotArea>
    </format>
    <format dxfId="836">
      <pivotArea dataOnly="0" labelOnly="1" outline="0" fieldPosition="0">
        <references count="4">
          <reference field="5" count="1">
            <x v="44"/>
          </reference>
          <reference field="8" count="1" selected="0">
            <x v="539"/>
          </reference>
          <reference field="11" count="1" selected="0">
            <x v="6"/>
          </reference>
          <reference field="13" count="1" selected="0">
            <x v="292"/>
          </reference>
        </references>
      </pivotArea>
    </format>
    <format dxfId="835">
      <pivotArea dataOnly="0" labelOnly="1" outline="0" fieldPosition="0">
        <references count="4">
          <reference field="5" count="2">
            <x v="44"/>
            <x v="45"/>
          </reference>
          <reference field="8" count="1" selected="0">
            <x v="540"/>
          </reference>
          <reference field="11" count="1" selected="0">
            <x v="3"/>
          </reference>
          <reference field="13" count="1" selected="0">
            <x v="4"/>
          </reference>
        </references>
      </pivotArea>
    </format>
    <format dxfId="834">
      <pivotArea dataOnly="0" labelOnly="1" outline="0" fieldPosition="0">
        <references count="4">
          <reference field="5" count="2">
            <x v="116"/>
            <x v="117"/>
          </reference>
          <reference field="8" count="1" selected="0">
            <x v="540"/>
          </reference>
          <reference field="11" count="1" selected="0">
            <x v="3"/>
          </reference>
          <reference field="13" count="1" selected="0">
            <x v="29"/>
          </reference>
        </references>
      </pivotArea>
    </format>
    <format dxfId="833">
      <pivotArea dataOnly="0" labelOnly="1" outline="0" fieldPosition="0">
        <references count="4">
          <reference field="5" count="1">
            <x v="44"/>
          </reference>
          <reference field="8" count="1" selected="0">
            <x v="540"/>
          </reference>
          <reference field="11" count="1" selected="0">
            <x v="3"/>
          </reference>
          <reference field="13" count="1" selected="0">
            <x v="32"/>
          </reference>
        </references>
      </pivotArea>
    </format>
    <format dxfId="832">
      <pivotArea dataOnly="0" labelOnly="1" outline="0" fieldPosition="0">
        <references count="4">
          <reference field="5" count="1">
            <x v="45"/>
          </reference>
          <reference field="8" count="1" selected="0">
            <x v="540"/>
          </reference>
          <reference field="11" count="1" selected="0">
            <x v="3"/>
          </reference>
          <reference field="13" count="1" selected="0">
            <x v="39"/>
          </reference>
        </references>
      </pivotArea>
    </format>
    <format dxfId="831">
      <pivotArea dataOnly="0" labelOnly="1" outline="0" fieldPosition="0">
        <references count="4">
          <reference field="5" count="2">
            <x v="44"/>
            <x v="45"/>
          </reference>
          <reference field="8" count="1" selected="0">
            <x v="540"/>
          </reference>
          <reference field="11" count="1" selected="0">
            <x v="3"/>
          </reference>
          <reference field="13" count="1" selected="0">
            <x v="47"/>
          </reference>
        </references>
      </pivotArea>
    </format>
    <format dxfId="830">
      <pivotArea dataOnly="0" labelOnly="1" outline="0" fieldPosition="0">
        <references count="4">
          <reference field="5" count="2">
            <x v="44"/>
            <x v="45"/>
          </reference>
          <reference field="8" count="1" selected="0">
            <x v="540"/>
          </reference>
          <reference field="11" count="1" selected="0">
            <x v="3"/>
          </reference>
          <reference field="13" count="1" selected="0">
            <x v="49"/>
          </reference>
        </references>
      </pivotArea>
    </format>
    <format dxfId="829">
      <pivotArea dataOnly="0" labelOnly="1" outline="0" fieldPosition="0">
        <references count="4">
          <reference field="5" count="2">
            <x v="45"/>
            <x v="117"/>
          </reference>
          <reference field="8" count="1" selected="0">
            <x v="540"/>
          </reference>
          <reference field="11" count="1" selected="0">
            <x v="3"/>
          </reference>
          <reference field="13" count="1" selected="0">
            <x v="218"/>
          </reference>
        </references>
      </pivotArea>
    </format>
    <format dxfId="828">
      <pivotArea dataOnly="0" labelOnly="1" outline="0" fieldPosition="0">
        <references count="4">
          <reference field="5" count="1">
            <x v="44"/>
          </reference>
          <reference field="8" count="1" selected="0">
            <x v="540"/>
          </reference>
          <reference field="11" count="1" selected="0">
            <x v="3"/>
          </reference>
          <reference field="13" count="1" selected="0">
            <x v="287"/>
          </reference>
        </references>
      </pivotArea>
    </format>
    <format dxfId="827">
      <pivotArea dataOnly="0" labelOnly="1" outline="0" fieldPosition="0">
        <references count="4">
          <reference field="5" count="1">
            <x v="44"/>
          </reference>
          <reference field="8" count="1" selected="0">
            <x v="540"/>
          </reference>
          <reference field="11" count="1" selected="0">
            <x v="5"/>
          </reference>
          <reference field="13" count="1" selected="0">
            <x v="77"/>
          </reference>
        </references>
      </pivotArea>
    </format>
    <format dxfId="826">
      <pivotArea dataOnly="0" labelOnly="1" outline="0" fieldPosition="0">
        <references count="4">
          <reference field="5" count="2">
            <x v="44"/>
            <x v="45"/>
          </reference>
          <reference field="8" count="1" selected="0">
            <x v="540"/>
          </reference>
          <reference field="11" count="1" selected="0">
            <x v="5"/>
          </reference>
          <reference field="13" count="1" selected="0">
            <x v="81"/>
          </reference>
        </references>
      </pivotArea>
    </format>
    <format dxfId="825">
      <pivotArea dataOnly="0" labelOnly="1" outline="0" fieldPosition="0">
        <references count="4">
          <reference field="5" count="1">
            <x v="45"/>
          </reference>
          <reference field="8" count="1" selected="0">
            <x v="540"/>
          </reference>
          <reference field="11" count="1" selected="0">
            <x v="5"/>
          </reference>
          <reference field="13" count="1" selected="0">
            <x v="86"/>
          </reference>
        </references>
      </pivotArea>
    </format>
    <format dxfId="824">
      <pivotArea dataOnly="0" labelOnly="1" outline="0" fieldPosition="0">
        <references count="4">
          <reference field="5" count="1">
            <x v="44"/>
          </reference>
          <reference field="8" count="1" selected="0">
            <x v="540"/>
          </reference>
          <reference field="11" count="1" selected="0">
            <x v="5"/>
          </reference>
          <reference field="13" count="1" selected="0">
            <x v="300"/>
          </reference>
        </references>
      </pivotArea>
    </format>
    <format dxfId="823">
      <pivotArea dataOnly="0" labelOnly="1" outline="0" fieldPosition="0">
        <references count="4">
          <reference field="5" count="1">
            <x v="44"/>
          </reference>
          <reference field="8" count="1" selected="0">
            <x v="540"/>
          </reference>
          <reference field="11" count="1" selected="0">
            <x v="5"/>
          </reference>
          <reference field="13" count="1" selected="0">
            <x v="301"/>
          </reference>
        </references>
      </pivotArea>
    </format>
    <format dxfId="822">
      <pivotArea dataOnly="0" labelOnly="1" outline="0" fieldPosition="0">
        <references count="4">
          <reference field="5" count="1">
            <x v="44"/>
          </reference>
          <reference field="8" count="1" selected="0">
            <x v="540"/>
          </reference>
          <reference field="11" count="1" selected="0">
            <x v="6"/>
          </reference>
          <reference field="13" count="1" selected="0">
            <x v="291"/>
          </reference>
        </references>
      </pivotArea>
    </format>
    <format dxfId="821">
      <pivotArea dataOnly="0" labelOnly="1" outline="0" fieldPosition="0">
        <references count="4">
          <reference field="5" count="1">
            <x v="44"/>
          </reference>
          <reference field="8" count="1" selected="0">
            <x v="540"/>
          </reference>
          <reference field="11" count="1" selected="0">
            <x v="6"/>
          </reference>
          <reference field="13" count="1" selected="0">
            <x v="292"/>
          </reference>
        </references>
      </pivotArea>
    </format>
    <format dxfId="820">
      <pivotArea dataOnly="0" labelOnly="1" outline="0" fieldPosition="0">
        <references count="4">
          <reference field="5" count="2">
            <x v="44"/>
            <x v="45"/>
          </reference>
          <reference field="8" count="1" selected="0">
            <x v="541"/>
          </reference>
          <reference field="11" count="1" selected="0">
            <x v="3"/>
          </reference>
          <reference field="13" count="1" selected="0">
            <x v="4"/>
          </reference>
        </references>
      </pivotArea>
    </format>
    <format dxfId="819">
      <pivotArea dataOnly="0" labelOnly="1" outline="0" fieldPosition="0">
        <references count="4">
          <reference field="5" count="2">
            <x v="116"/>
            <x v="117"/>
          </reference>
          <reference field="8" count="1" selected="0">
            <x v="541"/>
          </reference>
          <reference field="11" count="1" selected="0">
            <x v="3"/>
          </reference>
          <reference field="13" count="1" selected="0">
            <x v="29"/>
          </reference>
        </references>
      </pivotArea>
    </format>
    <format dxfId="818">
      <pivotArea dataOnly="0" labelOnly="1" outline="0" fieldPosition="0">
        <references count="4">
          <reference field="5" count="1">
            <x v="45"/>
          </reference>
          <reference field="8" count="1" selected="0">
            <x v="541"/>
          </reference>
          <reference field="11" count="1" selected="0">
            <x v="3"/>
          </reference>
          <reference field="13" count="1" selected="0">
            <x v="39"/>
          </reference>
        </references>
      </pivotArea>
    </format>
    <format dxfId="817">
      <pivotArea dataOnly="0" labelOnly="1" outline="0" fieldPosition="0">
        <references count="4">
          <reference field="5" count="2">
            <x v="44"/>
            <x v="45"/>
          </reference>
          <reference field="8" count="1" selected="0">
            <x v="541"/>
          </reference>
          <reference field="11" count="1" selected="0">
            <x v="3"/>
          </reference>
          <reference field="13" count="1" selected="0">
            <x v="47"/>
          </reference>
        </references>
      </pivotArea>
    </format>
    <format dxfId="816">
      <pivotArea dataOnly="0" labelOnly="1" outline="0" fieldPosition="0">
        <references count="4">
          <reference field="5" count="2">
            <x v="44"/>
            <x v="45"/>
          </reference>
          <reference field="8" count="1" selected="0">
            <x v="541"/>
          </reference>
          <reference field="11" count="1" selected="0">
            <x v="3"/>
          </reference>
          <reference field="13" count="1" selected="0">
            <x v="49"/>
          </reference>
        </references>
      </pivotArea>
    </format>
    <format dxfId="815">
      <pivotArea dataOnly="0" labelOnly="1" outline="0" fieldPosition="0">
        <references count="4">
          <reference field="5" count="2">
            <x v="45"/>
            <x v="117"/>
          </reference>
          <reference field="8" count="1" selected="0">
            <x v="541"/>
          </reference>
          <reference field="11" count="1" selected="0">
            <x v="3"/>
          </reference>
          <reference field="13" count="1" selected="0">
            <x v="218"/>
          </reference>
        </references>
      </pivotArea>
    </format>
    <format dxfId="814">
      <pivotArea dataOnly="0" labelOnly="1" outline="0" fieldPosition="0">
        <references count="4">
          <reference field="5" count="1">
            <x v="44"/>
          </reference>
          <reference field="8" count="1" selected="0">
            <x v="541"/>
          </reference>
          <reference field="11" count="1" selected="0">
            <x v="3"/>
          </reference>
          <reference field="13" count="1" selected="0">
            <x v="240"/>
          </reference>
        </references>
      </pivotArea>
    </format>
    <format dxfId="813">
      <pivotArea dataOnly="0" labelOnly="1" outline="0" fieldPosition="0">
        <references count="4">
          <reference field="5" count="1">
            <x v="44"/>
          </reference>
          <reference field="8" count="1" selected="0">
            <x v="541"/>
          </reference>
          <reference field="11" count="1" selected="0">
            <x v="3"/>
          </reference>
          <reference field="13" count="1" selected="0">
            <x v="243"/>
          </reference>
        </references>
      </pivotArea>
    </format>
    <format dxfId="812">
      <pivotArea dataOnly="0" labelOnly="1" outline="0" fieldPosition="0">
        <references count="4">
          <reference field="5" count="3">
            <x v="44"/>
            <x v="45"/>
            <x v="117"/>
          </reference>
          <reference field="8" count="1" selected="0">
            <x v="541"/>
          </reference>
          <reference field="11" count="1" selected="0">
            <x v="3"/>
          </reference>
          <reference field="13" count="1" selected="0">
            <x v="314"/>
          </reference>
        </references>
      </pivotArea>
    </format>
    <format dxfId="811">
      <pivotArea dataOnly="0" labelOnly="1" outline="0" fieldPosition="0">
        <references count="4">
          <reference field="5" count="2">
            <x v="44"/>
            <x v="45"/>
          </reference>
          <reference field="8" count="1" selected="0">
            <x v="541"/>
          </reference>
          <reference field="11" count="1" selected="0">
            <x v="5"/>
          </reference>
          <reference field="13" count="1" selected="0">
            <x v="77"/>
          </reference>
        </references>
      </pivotArea>
    </format>
    <format dxfId="810">
      <pivotArea dataOnly="0" labelOnly="1" outline="0" fieldPosition="0">
        <references count="4">
          <reference field="5" count="2">
            <x v="44"/>
            <x v="45"/>
          </reference>
          <reference field="8" count="1" selected="0">
            <x v="541"/>
          </reference>
          <reference field="11" count="1" selected="0">
            <x v="5"/>
          </reference>
          <reference field="13" count="1" selected="0">
            <x v="81"/>
          </reference>
        </references>
      </pivotArea>
    </format>
    <format dxfId="809">
      <pivotArea dataOnly="0" labelOnly="1" outline="0" fieldPosition="0">
        <references count="4">
          <reference field="5" count="1">
            <x v="45"/>
          </reference>
          <reference field="8" count="1" selected="0">
            <x v="541"/>
          </reference>
          <reference field="11" count="1" selected="0">
            <x v="5"/>
          </reference>
          <reference field="13" count="1" selected="0">
            <x v="86"/>
          </reference>
        </references>
      </pivotArea>
    </format>
    <format dxfId="808">
      <pivotArea dataOnly="0" labelOnly="1" outline="0" fieldPosition="0">
        <references count="4">
          <reference field="5" count="1">
            <x v="44"/>
          </reference>
          <reference field="8" count="1" selected="0">
            <x v="541"/>
          </reference>
          <reference field="11" count="1" selected="0">
            <x v="5"/>
          </reference>
          <reference field="13" count="1" selected="0">
            <x v="300"/>
          </reference>
        </references>
      </pivotArea>
    </format>
    <format dxfId="807">
      <pivotArea dataOnly="0" labelOnly="1" outline="0" fieldPosition="0">
        <references count="4">
          <reference field="5" count="1">
            <x v="44"/>
          </reference>
          <reference field="8" count="1" selected="0">
            <x v="541"/>
          </reference>
          <reference field="11" count="1" selected="0">
            <x v="5"/>
          </reference>
          <reference field="13" count="1" selected="0">
            <x v="301"/>
          </reference>
        </references>
      </pivotArea>
    </format>
    <format dxfId="806">
      <pivotArea dataOnly="0" labelOnly="1" outline="0" fieldPosition="0">
        <references count="4">
          <reference field="5" count="1">
            <x v="44"/>
          </reference>
          <reference field="8" count="1" selected="0">
            <x v="541"/>
          </reference>
          <reference field="11" count="1" selected="0">
            <x v="6"/>
          </reference>
          <reference field="13" count="1" selected="0">
            <x v="291"/>
          </reference>
        </references>
      </pivotArea>
    </format>
    <format dxfId="805">
      <pivotArea dataOnly="0" labelOnly="1" outline="0" fieldPosition="0">
        <references count="4">
          <reference field="5" count="1">
            <x v="44"/>
          </reference>
          <reference field="8" count="1" selected="0">
            <x v="541"/>
          </reference>
          <reference field="11" count="1" selected="0">
            <x v="6"/>
          </reference>
          <reference field="13" count="1" selected="0">
            <x v="292"/>
          </reference>
        </references>
      </pivotArea>
    </format>
    <format dxfId="804">
      <pivotArea dataOnly="0" labelOnly="1" outline="0" fieldPosition="0">
        <references count="4">
          <reference field="5" count="1">
            <x v="72"/>
          </reference>
          <reference field="8" count="1" selected="0">
            <x v="542"/>
          </reference>
          <reference field="11" count="1" selected="0">
            <x v="3"/>
          </reference>
          <reference field="13" count="1" selected="0">
            <x v="32"/>
          </reference>
        </references>
      </pivotArea>
    </format>
    <format dxfId="803">
      <pivotArea dataOnly="0" labelOnly="1" outline="0" fieldPosition="0">
        <references count="4">
          <reference field="5" count="1">
            <x v="72"/>
          </reference>
          <reference field="8" count="1" selected="0">
            <x v="542"/>
          </reference>
          <reference field="11" count="1" selected="0">
            <x v="3"/>
          </reference>
          <reference field="13" count="1" selected="0">
            <x v="36"/>
          </reference>
        </references>
      </pivotArea>
    </format>
    <format dxfId="802">
      <pivotArea dataOnly="0" labelOnly="1" outline="0" fieldPosition="0">
        <references count="4">
          <reference field="5" count="1">
            <x v="93"/>
          </reference>
          <reference field="8" count="1" selected="0">
            <x v="543"/>
          </reference>
          <reference field="11" count="1" selected="0">
            <x v="3"/>
          </reference>
          <reference field="13" count="1" selected="0">
            <x v="32"/>
          </reference>
        </references>
      </pivotArea>
    </format>
    <format dxfId="801">
      <pivotArea dataOnly="0" labelOnly="1" outline="0" fieldPosition="0">
        <references count="4">
          <reference field="5" count="1">
            <x v="93"/>
          </reference>
          <reference field="8" count="1" selected="0">
            <x v="543"/>
          </reference>
          <reference field="11" count="1" selected="0">
            <x v="3"/>
          </reference>
          <reference field="13" count="1" selected="0">
            <x v="39"/>
          </reference>
        </references>
      </pivotArea>
    </format>
    <format dxfId="800">
      <pivotArea dataOnly="0" labelOnly="1" outline="0" fieldPosition="0">
        <references count="4">
          <reference field="5" count="1">
            <x v="93"/>
          </reference>
          <reference field="8" count="1" selected="0">
            <x v="543"/>
          </reference>
          <reference field="11" count="1" selected="0">
            <x v="3"/>
          </reference>
          <reference field="13" count="1" selected="0">
            <x v="78"/>
          </reference>
        </references>
      </pivotArea>
    </format>
    <format dxfId="799">
      <pivotArea dataOnly="0" labelOnly="1" outline="0" fieldPosition="0">
        <references count="4">
          <reference field="5" count="1">
            <x v="94"/>
          </reference>
          <reference field="8" count="1" selected="0">
            <x v="543"/>
          </reference>
          <reference field="11" count="1" selected="0">
            <x v="3"/>
          </reference>
          <reference field="13" count="1" selected="0">
            <x v="240"/>
          </reference>
        </references>
      </pivotArea>
    </format>
    <format dxfId="798">
      <pivotArea dataOnly="0" labelOnly="1" outline="0" fieldPosition="0">
        <references count="4">
          <reference field="5" count="1">
            <x v="93"/>
          </reference>
          <reference field="8" count="1" selected="0">
            <x v="543"/>
          </reference>
          <reference field="11" count="1" selected="0">
            <x v="4"/>
          </reference>
          <reference field="13" count="1" selected="0">
            <x v="133"/>
          </reference>
        </references>
      </pivotArea>
    </format>
    <format dxfId="797">
      <pivotArea dataOnly="0" labelOnly="1" outline="0" fieldPosition="0">
        <references count="4">
          <reference field="5" count="1">
            <x v="93"/>
          </reference>
          <reference field="8" count="1" selected="0">
            <x v="543"/>
          </reference>
          <reference field="11" count="1" selected="0">
            <x v="5"/>
          </reference>
          <reference field="13" count="1" selected="0">
            <x v="81"/>
          </reference>
        </references>
      </pivotArea>
    </format>
    <format dxfId="796">
      <pivotArea dataOnly="0" labelOnly="1" outline="0" fieldPosition="0">
        <references count="4">
          <reference field="5" count="1">
            <x v="94"/>
          </reference>
          <reference field="8" count="1" selected="0">
            <x v="543"/>
          </reference>
          <reference field="11" count="1" selected="0">
            <x v="5"/>
          </reference>
          <reference field="13" count="1" selected="0">
            <x v="226"/>
          </reference>
        </references>
      </pivotArea>
    </format>
    <format dxfId="795">
      <pivotArea dataOnly="0" labelOnly="1" outline="0" fieldPosition="0">
        <references count="4">
          <reference field="5" count="1">
            <x v="116"/>
          </reference>
          <reference field="8" count="1" selected="0">
            <x v="544"/>
          </reference>
          <reference field="11" count="1" selected="0">
            <x v="5"/>
          </reference>
          <reference field="13" count="1" selected="0">
            <x v="81"/>
          </reference>
        </references>
      </pivotArea>
    </format>
    <format dxfId="794">
      <pivotArea dataOnly="0" labelOnly="1" outline="0" fieldPosition="0">
        <references count="4">
          <reference field="5" count="1">
            <x v="116"/>
          </reference>
          <reference field="8" count="1" selected="0">
            <x v="544"/>
          </reference>
          <reference field="11" count="1" selected="0">
            <x v="5"/>
          </reference>
          <reference field="13" count="1" selected="0">
            <x v="210"/>
          </reference>
        </references>
      </pivotArea>
    </format>
    <format dxfId="793">
      <pivotArea dataOnly="0" labelOnly="1" outline="0" fieldPosition="0">
        <references count="4">
          <reference field="5" count="2">
            <x v="116"/>
            <x v="117"/>
          </reference>
          <reference field="8" count="1" selected="0">
            <x v="545"/>
          </reference>
          <reference field="11" count="1" selected="0">
            <x v="3"/>
          </reference>
          <reference field="13" count="1" selected="0">
            <x v="29"/>
          </reference>
        </references>
      </pivotArea>
    </format>
    <format dxfId="792">
      <pivotArea dataOnly="0" labelOnly="1" outline="0" fieldPosition="0">
        <references count="4">
          <reference field="5" count="1">
            <x v="111"/>
          </reference>
          <reference field="8" count="1" selected="0">
            <x v="545"/>
          </reference>
          <reference field="11" count="1" selected="0">
            <x v="3"/>
          </reference>
          <reference field="13" count="1" selected="0">
            <x v="32"/>
          </reference>
        </references>
      </pivotArea>
    </format>
    <format dxfId="791">
      <pivotArea dataOnly="0" labelOnly="1" outline="0" fieldPosition="0">
        <references count="4">
          <reference field="5" count="1">
            <x v="117"/>
          </reference>
          <reference field="8" count="1" selected="0">
            <x v="545"/>
          </reference>
          <reference field="11" count="1" selected="0">
            <x v="3"/>
          </reference>
          <reference field="13" count="1" selected="0">
            <x v="218"/>
          </reference>
        </references>
      </pivotArea>
    </format>
    <format dxfId="790">
      <pivotArea dataOnly="0" labelOnly="1" outline="0" fieldPosition="0">
        <references count="4">
          <reference field="5" count="1">
            <x v="117"/>
          </reference>
          <reference field="8" count="1" selected="0">
            <x v="545"/>
          </reference>
          <reference field="11" count="1" selected="0">
            <x v="3"/>
          </reference>
          <reference field="13" count="1" selected="0">
            <x v="314"/>
          </reference>
        </references>
      </pivotArea>
    </format>
    <format dxfId="789">
      <pivotArea dataOnly="0" labelOnly="1" outline="0" fieldPosition="0">
        <references count="4">
          <reference field="5" count="1">
            <x v="111"/>
          </reference>
          <reference field="8" count="1" selected="0">
            <x v="545"/>
          </reference>
          <reference field="11" count="1" selected="0">
            <x v="5"/>
          </reference>
          <reference field="13" count="1" selected="0">
            <x v="81"/>
          </reference>
        </references>
      </pivotArea>
    </format>
    <format dxfId="788">
      <pivotArea dataOnly="0" labelOnly="1" outline="0" fieldPosition="0">
        <references count="4">
          <reference field="5" count="1">
            <x v="111"/>
          </reference>
          <reference field="8" count="1" selected="0">
            <x v="545"/>
          </reference>
          <reference field="11" count="1" selected="0">
            <x v="6"/>
          </reference>
          <reference field="13" count="1" selected="0">
            <x v="207"/>
          </reference>
        </references>
      </pivotArea>
    </format>
    <format dxfId="787">
      <pivotArea dataOnly="0" labelOnly="1" outline="0" fieldPosition="0">
        <references count="4">
          <reference field="5" count="2">
            <x v="116"/>
            <x v="117"/>
          </reference>
          <reference field="8" count="1" selected="0">
            <x v="546"/>
          </reference>
          <reference field="11" count="1" selected="0">
            <x v="3"/>
          </reference>
          <reference field="13" count="1" selected="0">
            <x v="29"/>
          </reference>
        </references>
      </pivotArea>
    </format>
    <format dxfId="786">
      <pivotArea dataOnly="0" labelOnly="1" outline="0" fieldPosition="0">
        <references count="4">
          <reference field="5" count="1">
            <x v="117"/>
          </reference>
          <reference field="8" count="1" selected="0">
            <x v="546"/>
          </reference>
          <reference field="11" count="1" selected="0">
            <x v="3"/>
          </reference>
          <reference field="13" count="1" selected="0">
            <x v="218"/>
          </reference>
        </references>
      </pivotArea>
    </format>
    <format dxfId="785">
      <pivotArea dataOnly="0" labelOnly="1" outline="0" fieldPosition="0">
        <references count="4">
          <reference field="5" count="1">
            <x v="95"/>
          </reference>
          <reference field="8" count="1" selected="0">
            <x v="546"/>
          </reference>
          <reference field="11" count="1" selected="0">
            <x v="3"/>
          </reference>
          <reference field="13" count="1" selected="0">
            <x v="287"/>
          </reference>
        </references>
      </pivotArea>
    </format>
    <format dxfId="784">
      <pivotArea dataOnly="0" labelOnly="1" outline="0" fieldPosition="0">
        <references count="4">
          <reference field="5" count="1">
            <x v="117"/>
          </reference>
          <reference field="8" count="1" selected="0">
            <x v="546"/>
          </reference>
          <reference field="11" count="1" selected="0">
            <x v="3"/>
          </reference>
          <reference field="13" count="1" selected="0">
            <x v="314"/>
          </reference>
        </references>
      </pivotArea>
    </format>
    <format dxfId="783">
      <pivotArea dataOnly="0" labelOnly="1" outline="0" fieldPosition="0">
        <references count="4">
          <reference field="5" count="1">
            <x v="32"/>
          </reference>
          <reference field="8" count="1" selected="0">
            <x v="547"/>
          </reference>
          <reference field="11" count="1" selected="0">
            <x v="2"/>
          </reference>
          <reference field="13" count="1" selected="0">
            <x v="50"/>
          </reference>
        </references>
      </pivotArea>
    </format>
    <format dxfId="782">
      <pivotArea dataOnly="0" labelOnly="1" outline="0" fieldPosition="0">
        <references count="4">
          <reference field="5" count="1">
            <x v="32"/>
          </reference>
          <reference field="8" count="1" selected="0">
            <x v="547"/>
          </reference>
          <reference field="11" count="1" selected="0">
            <x v="3"/>
          </reference>
          <reference field="13" count="1" selected="0">
            <x v="14"/>
          </reference>
        </references>
      </pivotArea>
    </format>
    <format dxfId="781">
      <pivotArea dataOnly="0" labelOnly="1" outline="0" fieldPosition="0">
        <references count="4">
          <reference field="5" count="2">
            <x v="116"/>
            <x v="117"/>
          </reference>
          <reference field="8" count="1" selected="0">
            <x v="547"/>
          </reference>
          <reference field="11" count="1" selected="0">
            <x v="3"/>
          </reference>
          <reference field="13" count="1" selected="0">
            <x v="29"/>
          </reference>
        </references>
      </pivotArea>
    </format>
    <format dxfId="780">
      <pivotArea dataOnly="0" labelOnly="1" outline="0" fieldPosition="0">
        <references count="4">
          <reference field="5" count="1">
            <x v="32"/>
          </reference>
          <reference field="8" count="1" selected="0">
            <x v="547"/>
          </reference>
          <reference field="11" count="1" selected="0">
            <x v="3"/>
          </reference>
          <reference field="13" count="1" selected="0">
            <x v="32"/>
          </reference>
        </references>
      </pivotArea>
    </format>
    <format dxfId="779">
      <pivotArea dataOnly="0" labelOnly="1" outline="0" fieldPosition="0">
        <references count="4">
          <reference field="5" count="1">
            <x v="32"/>
          </reference>
          <reference field="8" count="1" selected="0">
            <x v="547"/>
          </reference>
          <reference field="11" count="1" selected="0">
            <x v="3"/>
          </reference>
          <reference field="13" count="1" selected="0">
            <x v="69"/>
          </reference>
        </references>
      </pivotArea>
    </format>
    <format dxfId="778">
      <pivotArea dataOnly="0" labelOnly="1" outline="0" fieldPosition="0">
        <references count="4">
          <reference field="5" count="1">
            <x v="32"/>
          </reference>
          <reference field="8" count="1" selected="0">
            <x v="547"/>
          </reference>
          <reference field="11" count="1" selected="0">
            <x v="3"/>
          </reference>
          <reference field="13" count="1" selected="0">
            <x v="146"/>
          </reference>
        </references>
      </pivotArea>
    </format>
    <format dxfId="777">
      <pivotArea dataOnly="0" labelOnly="1" outline="0" fieldPosition="0">
        <references count="4">
          <reference field="5" count="1">
            <x v="117"/>
          </reference>
          <reference field="8" count="1" selected="0">
            <x v="547"/>
          </reference>
          <reference field="11" count="1" selected="0">
            <x v="3"/>
          </reference>
          <reference field="13" count="1" selected="0">
            <x v="218"/>
          </reference>
        </references>
      </pivotArea>
    </format>
    <format dxfId="776">
      <pivotArea dataOnly="0" labelOnly="1" outline="0" fieldPosition="0">
        <references count="4">
          <reference field="5" count="1">
            <x v="32"/>
          </reference>
          <reference field="8" count="1" selected="0">
            <x v="547"/>
          </reference>
          <reference field="11" count="1" selected="0">
            <x v="3"/>
          </reference>
          <reference field="13" count="1" selected="0">
            <x v="240"/>
          </reference>
        </references>
      </pivotArea>
    </format>
    <format dxfId="775">
      <pivotArea dataOnly="0" labelOnly="1" outline="0" fieldPosition="0">
        <references count="4">
          <reference field="5" count="1">
            <x v="32"/>
          </reference>
          <reference field="8" count="1" selected="0">
            <x v="547"/>
          </reference>
          <reference field="11" count="1" selected="0">
            <x v="3"/>
          </reference>
          <reference field="13" count="1" selected="0">
            <x v="287"/>
          </reference>
        </references>
      </pivotArea>
    </format>
    <format dxfId="774">
      <pivotArea dataOnly="0" labelOnly="1" outline="0" fieldPosition="0">
        <references count="4">
          <reference field="5" count="1">
            <x v="117"/>
          </reference>
          <reference field="8" count="1" selected="0">
            <x v="547"/>
          </reference>
          <reference field="11" count="1" selected="0">
            <x v="3"/>
          </reference>
          <reference field="13" count="1" selected="0">
            <x v="314"/>
          </reference>
        </references>
      </pivotArea>
    </format>
    <format dxfId="773">
      <pivotArea dataOnly="0" labelOnly="1" outline="0" fieldPosition="0">
        <references count="4">
          <reference field="5" count="1">
            <x v="32"/>
          </reference>
          <reference field="8" count="1" selected="0">
            <x v="547"/>
          </reference>
          <reference field="11" count="1" selected="0">
            <x v="6"/>
          </reference>
          <reference field="13" count="1" selected="0">
            <x v="207"/>
          </reference>
        </references>
      </pivotArea>
    </format>
    <format dxfId="772">
      <pivotArea dataOnly="0" labelOnly="1" outline="0" fieldPosition="0">
        <references count="4">
          <reference field="5" count="2">
            <x v="116"/>
            <x v="117"/>
          </reference>
          <reference field="8" count="1" selected="0">
            <x v="548"/>
          </reference>
          <reference field="11" count="1" selected="0">
            <x v="3"/>
          </reference>
          <reference field="13" count="1" selected="0">
            <x v="29"/>
          </reference>
        </references>
      </pivotArea>
    </format>
    <format dxfId="771">
      <pivotArea dataOnly="0" labelOnly="1" outline="0" fieldPosition="0">
        <references count="4">
          <reference field="5" count="1">
            <x v="117"/>
          </reference>
          <reference field="8" count="1" selected="0">
            <x v="548"/>
          </reference>
          <reference field="11" count="1" selected="0">
            <x v="3"/>
          </reference>
          <reference field="13" count="1" selected="0">
            <x v="218"/>
          </reference>
        </references>
      </pivotArea>
    </format>
    <format dxfId="770">
      <pivotArea dataOnly="0" labelOnly="1" outline="0" fieldPosition="0">
        <references count="4">
          <reference field="5" count="1">
            <x v="35"/>
          </reference>
          <reference field="8" count="1" selected="0">
            <x v="548"/>
          </reference>
          <reference field="11" count="1" selected="0">
            <x v="3"/>
          </reference>
          <reference field="13" count="1" selected="0">
            <x v="240"/>
          </reference>
        </references>
      </pivotArea>
    </format>
    <format dxfId="769">
      <pivotArea dataOnly="0" labelOnly="1" outline="0" fieldPosition="0">
        <references count="4">
          <reference field="5" count="1">
            <x v="35"/>
          </reference>
          <reference field="8" count="1" selected="0">
            <x v="548"/>
          </reference>
          <reference field="11" count="1" selected="0">
            <x v="3"/>
          </reference>
          <reference field="13" count="1" selected="0">
            <x v="243"/>
          </reference>
        </references>
      </pivotArea>
    </format>
    <format dxfId="768">
      <pivotArea dataOnly="0" labelOnly="1" outline="0" fieldPosition="0">
        <references count="4">
          <reference field="5" count="1">
            <x v="35"/>
          </reference>
          <reference field="8" count="1" selected="0">
            <x v="548"/>
          </reference>
          <reference field="11" count="1" selected="0">
            <x v="3"/>
          </reference>
          <reference field="13" count="1" selected="0">
            <x v="251"/>
          </reference>
        </references>
      </pivotArea>
    </format>
    <format dxfId="767">
      <pivotArea dataOnly="0" labelOnly="1" outline="0" fieldPosition="0">
        <references count="4">
          <reference field="5" count="1">
            <x v="35"/>
          </reference>
          <reference field="8" count="1" selected="0">
            <x v="548"/>
          </reference>
          <reference field="11" count="1" selected="0">
            <x v="3"/>
          </reference>
          <reference field="13" count="1" selected="0">
            <x v="272"/>
          </reference>
        </references>
      </pivotArea>
    </format>
    <format dxfId="766">
      <pivotArea dataOnly="0" labelOnly="1" outline="0" fieldPosition="0">
        <references count="4">
          <reference field="5" count="1">
            <x v="35"/>
          </reference>
          <reference field="8" count="1" selected="0">
            <x v="548"/>
          </reference>
          <reference field="11" count="1" selected="0">
            <x v="3"/>
          </reference>
          <reference field="13" count="1" selected="0">
            <x v="287"/>
          </reference>
        </references>
      </pivotArea>
    </format>
    <format dxfId="765">
      <pivotArea dataOnly="0" labelOnly="1" outline="0" fieldPosition="0">
        <references count="4">
          <reference field="5" count="1">
            <x v="117"/>
          </reference>
          <reference field="8" count="1" selected="0">
            <x v="548"/>
          </reference>
          <reference field="11" count="1" selected="0">
            <x v="3"/>
          </reference>
          <reference field="13" count="1" selected="0">
            <x v="314"/>
          </reference>
        </references>
      </pivotArea>
    </format>
    <format dxfId="764">
      <pivotArea dataOnly="0" labelOnly="1" outline="0" fieldPosition="0">
        <references count="4">
          <reference field="5" count="1">
            <x v="35"/>
          </reference>
          <reference field="8" count="1" selected="0">
            <x v="548"/>
          </reference>
          <reference field="11" count="1" selected="0">
            <x v="5"/>
          </reference>
          <reference field="13" count="1" selected="0">
            <x v="77"/>
          </reference>
        </references>
      </pivotArea>
    </format>
    <format dxfId="763">
      <pivotArea dataOnly="0" labelOnly="1" outline="0" fieldPosition="0">
        <references count="4">
          <reference field="5" count="2">
            <x v="35"/>
            <x v="116"/>
          </reference>
          <reference field="8" count="1" selected="0">
            <x v="548"/>
          </reference>
          <reference field="11" count="1" selected="0">
            <x v="5"/>
          </reference>
          <reference field="13" count="1" selected="0">
            <x v="81"/>
          </reference>
        </references>
      </pivotArea>
    </format>
    <format dxfId="762">
      <pivotArea dataOnly="0" labelOnly="1" outline="0" fieldPosition="0">
        <references count="4">
          <reference field="5" count="1">
            <x v="35"/>
          </reference>
          <reference field="8" count="1" selected="0">
            <x v="548"/>
          </reference>
          <reference field="11" count="1" selected="0">
            <x v="7"/>
          </reference>
          <reference field="13" count="1" selected="0">
            <x v="72"/>
          </reference>
        </references>
      </pivotArea>
    </format>
    <format dxfId="761">
      <pivotArea dataOnly="0" labelOnly="1" outline="0" fieldPosition="0">
        <references count="4">
          <reference field="5" count="2">
            <x v="44"/>
            <x v="117"/>
          </reference>
          <reference field="8" count="1" selected="0">
            <x v="549"/>
          </reference>
          <reference field="11" count="1" selected="0">
            <x v="3"/>
          </reference>
          <reference field="13" count="1" selected="0">
            <x v="29"/>
          </reference>
        </references>
      </pivotArea>
    </format>
    <format dxfId="760">
      <pivotArea dataOnly="0" labelOnly="1" outline="0" fieldPosition="0">
        <references count="4">
          <reference field="5" count="1">
            <x v="44"/>
          </reference>
          <reference field="8" count="1" selected="0">
            <x v="549"/>
          </reference>
          <reference field="11" count="1" selected="0">
            <x v="3"/>
          </reference>
          <reference field="13" count="1" selected="0">
            <x v="32"/>
          </reference>
        </references>
      </pivotArea>
    </format>
    <format dxfId="759">
      <pivotArea dataOnly="0" labelOnly="1" outline="0" fieldPosition="0">
        <references count="4">
          <reference field="5" count="1">
            <x v="44"/>
          </reference>
          <reference field="8" count="1" selected="0">
            <x v="549"/>
          </reference>
          <reference field="11" count="1" selected="0">
            <x v="3"/>
          </reference>
          <reference field="13" count="1" selected="0">
            <x v="39"/>
          </reference>
        </references>
      </pivotArea>
    </format>
    <format dxfId="758">
      <pivotArea dataOnly="0" labelOnly="1" outline="0" fieldPosition="0">
        <references count="4">
          <reference field="5" count="1">
            <x v="44"/>
          </reference>
          <reference field="8" count="1" selected="0">
            <x v="549"/>
          </reference>
          <reference field="11" count="1" selected="0">
            <x v="3"/>
          </reference>
          <reference field="13" count="1" selected="0">
            <x v="47"/>
          </reference>
        </references>
      </pivotArea>
    </format>
    <format dxfId="757">
      <pivotArea dataOnly="0" labelOnly="1" outline="0" fieldPosition="0">
        <references count="4">
          <reference field="5" count="1">
            <x v="44"/>
          </reference>
          <reference field="8" count="1" selected="0">
            <x v="549"/>
          </reference>
          <reference field="11" count="1" selected="0">
            <x v="3"/>
          </reference>
          <reference field="13" count="1" selected="0">
            <x v="69"/>
          </reference>
        </references>
      </pivotArea>
    </format>
    <format dxfId="756">
      <pivotArea dataOnly="0" labelOnly="1" outline="0" fieldPosition="0">
        <references count="4">
          <reference field="5" count="1">
            <x v="117"/>
          </reference>
          <reference field="8" count="1" selected="0">
            <x v="549"/>
          </reference>
          <reference field="11" count="1" selected="0">
            <x v="3"/>
          </reference>
          <reference field="13" count="1" selected="0">
            <x v="218"/>
          </reference>
        </references>
      </pivotArea>
    </format>
    <format dxfId="755">
      <pivotArea dataOnly="0" labelOnly="1" outline="0" fieldPosition="0">
        <references count="4">
          <reference field="5" count="2">
            <x v="44"/>
            <x v="45"/>
          </reference>
          <reference field="8" count="1" selected="0">
            <x v="549"/>
          </reference>
          <reference field="11" count="1" selected="0">
            <x v="3"/>
          </reference>
          <reference field="13" count="1" selected="0">
            <x v="287"/>
          </reference>
        </references>
      </pivotArea>
    </format>
    <format dxfId="754">
      <pivotArea dataOnly="0" labelOnly="1" outline="0" fieldPosition="0">
        <references count="4">
          <reference field="5" count="1">
            <x v="44"/>
          </reference>
          <reference field="8" count="1" selected="0">
            <x v="549"/>
          </reference>
          <reference field="11" count="1" selected="0">
            <x v="3"/>
          </reference>
          <reference field="13" count="1" selected="0">
            <x v="314"/>
          </reference>
        </references>
      </pivotArea>
    </format>
    <format dxfId="753">
      <pivotArea dataOnly="0" labelOnly="1" outline="0" fieldPosition="0">
        <references count="4">
          <reference field="5" count="1">
            <x v="45"/>
          </reference>
          <reference field="8" count="1" selected="0">
            <x v="549"/>
          </reference>
          <reference field="11" count="1" selected="0">
            <x v="5"/>
          </reference>
          <reference field="13" count="1" selected="0">
            <x v="86"/>
          </reference>
        </references>
      </pivotArea>
    </format>
    <format dxfId="752">
      <pivotArea dataOnly="0" labelOnly="1" outline="0" fieldPosition="0">
        <references count="4">
          <reference field="5" count="1">
            <x v="44"/>
          </reference>
          <reference field="8" count="1" selected="0">
            <x v="549"/>
          </reference>
          <reference field="11" count="1" selected="0">
            <x v="6"/>
          </reference>
          <reference field="13" count="1" selected="0">
            <x v="291"/>
          </reference>
        </references>
      </pivotArea>
    </format>
    <format dxfId="751">
      <pivotArea dataOnly="0" labelOnly="1" outline="0" fieldPosition="0">
        <references count="4">
          <reference field="5" count="1">
            <x v="44"/>
          </reference>
          <reference field="8" count="1" selected="0">
            <x v="549"/>
          </reference>
          <reference field="11" count="1" selected="0">
            <x v="6"/>
          </reference>
          <reference field="13" count="1" selected="0">
            <x v="295"/>
          </reference>
        </references>
      </pivotArea>
    </format>
    <format dxfId="750">
      <pivotArea dataOnly="0" labelOnly="1" outline="0" fieldPosition="0">
        <references count="4">
          <reference field="5" count="1">
            <x v="101"/>
          </reference>
          <reference field="8" count="1" selected="0">
            <x v="550"/>
          </reference>
          <reference field="11" count="1" selected="0">
            <x v="2"/>
          </reference>
          <reference field="13" count="1" selected="0">
            <x v="205"/>
          </reference>
        </references>
      </pivotArea>
    </format>
    <format dxfId="749">
      <pivotArea dataOnly="0" labelOnly="1" outline="0" fieldPosition="0">
        <references count="4">
          <reference field="5" count="1">
            <x v="116"/>
          </reference>
          <reference field="8" count="1" selected="0">
            <x v="550"/>
          </reference>
          <reference field="11" count="1" selected="0">
            <x v="3"/>
          </reference>
          <reference field="13" count="1" selected="0">
            <x v="17"/>
          </reference>
        </references>
      </pivotArea>
    </format>
    <format dxfId="748">
      <pivotArea dataOnly="0" labelOnly="1" outline="0" fieldPosition="0">
        <references count="4">
          <reference field="5" count="2">
            <x v="116"/>
            <x v="117"/>
          </reference>
          <reference field="8" count="1" selected="0">
            <x v="550"/>
          </reference>
          <reference field="11" count="1" selected="0">
            <x v="3"/>
          </reference>
          <reference field="13" count="1" selected="0">
            <x v="29"/>
          </reference>
        </references>
      </pivotArea>
    </format>
    <format dxfId="747">
      <pivotArea dataOnly="0" labelOnly="1" outline="0" fieldPosition="0">
        <references count="4">
          <reference field="5" count="1">
            <x v="101"/>
          </reference>
          <reference field="8" count="1" selected="0">
            <x v="550"/>
          </reference>
          <reference field="11" count="1" selected="0">
            <x v="3"/>
          </reference>
          <reference field="13" count="1" selected="0">
            <x v="32"/>
          </reference>
        </references>
      </pivotArea>
    </format>
    <format dxfId="746">
      <pivotArea dataOnly="0" labelOnly="1" outline="0" fieldPosition="0">
        <references count="4">
          <reference field="5" count="1">
            <x v="117"/>
          </reference>
          <reference field="8" count="1" selected="0">
            <x v="550"/>
          </reference>
          <reference field="11" count="1" selected="0">
            <x v="3"/>
          </reference>
          <reference field="13" count="1" selected="0">
            <x v="218"/>
          </reference>
        </references>
      </pivotArea>
    </format>
    <format dxfId="745">
      <pivotArea dataOnly="0" labelOnly="1" outline="0" fieldPosition="0">
        <references count="4">
          <reference field="5" count="1">
            <x v="101"/>
          </reference>
          <reference field="8" count="1" selected="0">
            <x v="550"/>
          </reference>
          <reference field="11" count="1" selected="0">
            <x v="3"/>
          </reference>
          <reference field="13" count="1" selected="0">
            <x v="240"/>
          </reference>
        </references>
      </pivotArea>
    </format>
    <format dxfId="744">
      <pivotArea dataOnly="0" labelOnly="1" outline="0" fieldPosition="0">
        <references count="4">
          <reference field="5" count="1">
            <x v="101"/>
          </reference>
          <reference field="8" count="1" selected="0">
            <x v="550"/>
          </reference>
          <reference field="11" count="1" selected="0">
            <x v="3"/>
          </reference>
          <reference field="13" count="1" selected="0">
            <x v="242"/>
          </reference>
        </references>
      </pivotArea>
    </format>
    <format dxfId="743">
      <pivotArea dataOnly="0" labelOnly="1" outline="0" fieldPosition="0">
        <references count="4">
          <reference field="5" count="1">
            <x v="101"/>
          </reference>
          <reference field="8" count="1" selected="0">
            <x v="550"/>
          </reference>
          <reference field="11" count="1" selected="0">
            <x v="3"/>
          </reference>
          <reference field="13" count="1" selected="0">
            <x v="287"/>
          </reference>
        </references>
      </pivotArea>
    </format>
    <format dxfId="742">
      <pivotArea dataOnly="0" labelOnly="1" outline="0" fieldPosition="0">
        <references count="4">
          <reference field="5" count="1">
            <x v="117"/>
          </reference>
          <reference field="8" count="1" selected="0">
            <x v="550"/>
          </reference>
          <reference field="11" count="1" selected="0">
            <x v="3"/>
          </reference>
          <reference field="13" count="1" selected="0">
            <x v="314"/>
          </reference>
        </references>
      </pivotArea>
    </format>
    <format dxfId="741">
      <pivotArea dataOnly="0" labelOnly="1" outline="0" fieldPosition="0">
        <references count="4">
          <reference field="5" count="2">
            <x v="20"/>
            <x v="116"/>
          </reference>
          <reference field="8" count="1" selected="0">
            <x v="550"/>
          </reference>
          <reference field="11" count="1" selected="0">
            <x v="5"/>
          </reference>
          <reference field="13" count="1" selected="0">
            <x v="77"/>
          </reference>
        </references>
      </pivotArea>
    </format>
    <format dxfId="740">
      <pivotArea dataOnly="0" labelOnly="1" outline="0" fieldPosition="0">
        <references count="4">
          <reference field="5" count="1">
            <x v="116"/>
          </reference>
          <reference field="8" count="1" selected="0">
            <x v="550"/>
          </reference>
          <reference field="11" count="1" selected="0">
            <x v="5"/>
          </reference>
          <reference field="13" count="1" selected="0">
            <x v="81"/>
          </reference>
        </references>
      </pivotArea>
    </format>
    <format dxfId="739">
      <pivotArea dataOnly="0" labelOnly="1" outline="0" fieldPosition="0">
        <references count="4">
          <reference field="5" count="1">
            <x v="101"/>
          </reference>
          <reference field="8" count="1" selected="0">
            <x v="550"/>
          </reference>
          <reference field="11" count="1" selected="0">
            <x v="6"/>
          </reference>
          <reference field="13" count="1" selected="0">
            <x v="207"/>
          </reference>
        </references>
      </pivotArea>
    </format>
    <format dxfId="738">
      <pivotArea dataOnly="0" labelOnly="1" outline="0" fieldPosition="0">
        <references count="4">
          <reference field="5" count="1">
            <x v="101"/>
          </reference>
          <reference field="8" count="1" selected="0">
            <x v="550"/>
          </reference>
          <reference field="11" count="1" selected="0">
            <x v="7"/>
          </reference>
          <reference field="13" count="1" selected="0">
            <x v="93"/>
          </reference>
        </references>
      </pivotArea>
    </format>
    <format dxfId="737">
      <pivotArea dataOnly="0" labelOnly="1" outline="0" fieldPosition="0">
        <references count="4">
          <reference field="5" count="1">
            <x v="64"/>
          </reference>
          <reference field="8" count="1" selected="0">
            <x v="551"/>
          </reference>
          <reference field="11" count="1" selected="0">
            <x v="1"/>
          </reference>
          <reference field="13" count="1" selected="0">
            <x v="286"/>
          </reference>
        </references>
      </pivotArea>
    </format>
    <format dxfId="736">
      <pivotArea dataOnly="0" labelOnly="1" outline="0" fieldPosition="0">
        <references count="4">
          <reference field="5" count="1">
            <x v="32"/>
          </reference>
          <reference field="8" count="1" selected="0">
            <x v="551"/>
          </reference>
          <reference field="11" count="1" selected="0">
            <x v="3"/>
          </reference>
          <reference field="13" count="1" selected="0">
            <x v="242"/>
          </reference>
        </references>
      </pivotArea>
    </format>
    <format dxfId="735">
      <pivotArea dataOnly="0" labelOnly="1" outline="0" fieldPosition="0">
        <references count="4">
          <reference field="5" count="1">
            <x v="32"/>
          </reference>
          <reference field="8" count="1" selected="0">
            <x v="551"/>
          </reference>
          <reference field="11" count="1" selected="0">
            <x v="4"/>
          </reference>
          <reference field="13" count="1" selected="0">
            <x v="133"/>
          </reference>
        </references>
      </pivotArea>
    </format>
    <format dxfId="734">
      <pivotArea dataOnly="0" labelOnly="1" outline="0" fieldPosition="0">
        <references count="4">
          <reference field="5" count="2">
            <x v="32"/>
            <x v="64"/>
          </reference>
          <reference field="8" count="1" selected="0">
            <x v="552"/>
          </reference>
          <reference field="11" count="1" selected="0">
            <x v="1"/>
          </reference>
          <reference field="13" count="1" selected="0">
            <x v="286"/>
          </reference>
        </references>
      </pivotArea>
    </format>
    <format dxfId="733">
      <pivotArea dataOnly="0" labelOnly="1" outline="0" fieldPosition="0">
        <references count="4">
          <reference field="5" count="1">
            <x v="32"/>
          </reference>
          <reference field="8" count="1" selected="0">
            <x v="552"/>
          </reference>
          <reference field="11" count="1" selected="0">
            <x v="3"/>
          </reference>
          <reference field="13" count="1" selected="0">
            <x v="287"/>
          </reference>
        </references>
      </pivotArea>
    </format>
    <format dxfId="732">
      <pivotArea dataOnly="0" labelOnly="1" outline="0" fieldPosition="0">
        <references count="4">
          <reference field="5" count="1">
            <x v="116"/>
          </reference>
          <reference field="8" count="1" selected="0">
            <x v="552"/>
          </reference>
          <reference field="11" count="1" selected="0">
            <x v="5"/>
          </reference>
          <reference field="13" count="1" selected="0">
            <x v="77"/>
          </reference>
        </references>
      </pivotArea>
    </format>
    <format dxfId="731">
      <pivotArea dataOnly="0" labelOnly="1" outline="0" fieldPosition="0">
        <references count="4">
          <reference field="5" count="2">
            <x v="116"/>
            <x v="117"/>
          </reference>
          <reference field="8" count="1" selected="0">
            <x v="553"/>
          </reference>
          <reference field="11" count="1" selected="0">
            <x v="3"/>
          </reference>
          <reference field="13" count="1" selected="0">
            <x v="29"/>
          </reference>
        </references>
      </pivotArea>
    </format>
    <format dxfId="730">
      <pivotArea dataOnly="0" labelOnly="1" outline="0" fieldPosition="0">
        <references count="4">
          <reference field="5" count="1">
            <x v="44"/>
          </reference>
          <reference field="8" count="1" selected="0">
            <x v="553"/>
          </reference>
          <reference field="11" count="1" selected="0">
            <x v="3"/>
          </reference>
          <reference field="13" count="1" selected="0">
            <x v="32"/>
          </reference>
        </references>
      </pivotArea>
    </format>
    <format dxfId="729">
      <pivotArea dataOnly="0" labelOnly="1" outline="0" fieldPosition="0">
        <references count="4">
          <reference field="5" count="1">
            <x v="44"/>
          </reference>
          <reference field="8" count="1" selected="0">
            <x v="553"/>
          </reference>
          <reference field="11" count="1" selected="0">
            <x v="3"/>
          </reference>
          <reference field="13" count="1" selected="0">
            <x v="39"/>
          </reference>
        </references>
      </pivotArea>
    </format>
    <format dxfId="728">
      <pivotArea dataOnly="0" labelOnly="1" outline="0" fieldPosition="0">
        <references count="4">
          <reference field="5" count="1">
            <x v="44"/>
          </reference>
          <reference field="8" count="1" selected="0">
            <x v="553"/>
          </reference>
          <reference field="11" count="1" selected="0">
            <x v="3"/>
          </reference>
          <reference field="13" count="1" selected="0">
            <x v="69"/>
          </reference>
        </references>
      </pivotArea>
    </format>
    <format dxfId="727">
      <pivotArea dataOnly="0" labelOnly="1" outline="0" fieldPosition="0">
        <references count="4">
          <reference field="5" count="1">
            <x v="117"/>
          </reference>
          <reference field="8" count="1" selected="0">
            <x v="553"/>
          </reference>
          <reference field="11" count="1" selected="0">
            <x v="3"/>
          </reference>
          <reference field="13" count="1" selected="0">
            <x v="218"/>
          </reference>
        </references>
      </pivotArea>
    </format>
    <format dxfId="726">
      <pivotArea dataOnly="0" labelOnly="1" outline="0" fieldPosition="0">
        <references count="4">
          <reference field="5" count="2">
            <x v="44"/>
            <x v="45"/>
          </reference>
          <reference field="8" count="1" selected="0">
            <x v="553"/>
          </reference>
          <reference field="11" count="1" selected="0">
            <x v="3"/>
          </reference>
          <reference field="13" count="1" selected="0">
            <x v="287"/>
          </reference>
        </references>
      </pivotArea>
    </format>
    <format dxfId="725">
      <pivotArea dataOnly="0" labelOnly="1" outline="0" fieldPosition="0">
        <references count="4">
          <reference field="5" count="1">
            <x v="117"/>
          </reference>
          <reference field="8" count="1" selected="0">
            <x v="553"/>
          </reference>
          <reference field="11" count="1" selected="0">
            <x v="3"/>
          </reference>
          <reference field="13" count="1" selected="0">
            <x v="314"/>
          </reference>
        </references>
      </pivotArea>
    </format>
    <format dxfId="724">
      <pivotArea dataOnly="0" labelOnly="1" outline="0" fieldPosition="0">
        <references count="4">
          <reference field="5" count="1">
            <x v="45"/>
          </reference>
          <reference field="8" count="1" selected="0">
            <x v="553"/>
          </reference>
          <reference field="11" count="1" selected="0">
            <x v="5"/>
          </reference>
          <reference field="13" count="1" selected="0">
            <x v="86"/>
          </reference>
        </references>
      </pivotArea>
    </format>
    <format dxfId="723">
      <pivotArea dataOnly="0" labelOnly="1" outline="0" fieldPosition="0">
        <references count="4">
          <reference field="5" count="2">
            <x v="16"/>
            <x v="44"/>
          </reference>
          <reference field="8" count="1" selected="0">
            <x v="553"/>
          </reference>
          <reference field="11" count="1" selected="0">
            <x v="6"/>
          </reference>
          <reference field="13" count="1" selected="0">
            <x v="291"/>
          </reference>
        </references>
      </pivotArea>
    </format>
    <format dxfId="722">
      <pivotArea dataOnly="0" labelOnly="1" outline="0" fieldPosition="0">
        <references count="4">
          <reference field="5" count="2">
            <x v="16"/>
            <x v="44"/>
          </reference>
          <reference field="8" count="1" selected="0">
            <x v="553"/>
          </reference>
          <reference field="11" count="1" selected="0">
            <x v="6"/>
          </reference>
          <reference field="13" count="1" selected="0">
            <x v="292"/>
          </reference>
        </references>
      </pivotArea>
    </format>
    <format dxfId="721">
      <pivotArea dataOnly="0" labelOnly="1" outline="0" fieldPosition="0">
        <references count="4">
          <reference field="5" count="1">
            <x v="45"/>
          </reference>
          <reference field="8" count="1" selected="0">
            <x v="554"/>
          </reference>
          <reference field="11" count="1" selected="0">
            <x v="3"/>
          </reference>
          <reference field="13" count="1" selected="0">
            <x v="4"/>
          </reference>
        </references>
      </pivotArea>
    </format>
    <format dxfId="720">
      <pivotArea dataOnly="0" labelOnly="1" outline="0" fieldPosition="0">
        <references count="4">
          <reference field="5" count="2">
            <x v="116"/>
            <x v="117"/>
          </reference>
          <reference field="8" count="1" selected="0">
            <x v="554"/>
          </reference>
          <reference field="11" count="1" selected="0">
            <x v="3"/>
          </reference>
          <reference field="13" count="1" selected="0">
            <x v="29"/>
          </reference>
        </references>
      </pivotArea>
    </format>
    <format dxfId="719">
      <pivotArea dataOnly="0" labelOnly="1" outline="0" fieldPosition="0">
        <references count="4">
          <reference field="5" count="2">
            <x v="45"/>
            <x v="117"/>
          </reference>
          <reference field="8" count="1" selected="0">
            <x v="554"/>
          </reference>
          <reference field="11" count="1" selected="0">
            <x v="3"/>
          </reference>
          <reference field="13" count="1" selected="0">
            <x v="218"/>
          </reference>
        </references>
      </pivotArea>
    </format>
    <format dxfId="718">
      <pivotArea dataOnly="0" labelOnly="1" outline="0" fieldPosition="0">
        <references count="4">
          <reference field="5" count="2">
            <x v="45"/>
            <x v="117"/>
          </reference>
          <reference field="8" count="1" selected="0">
            <x v="554"/>
          </reference>
          <reference field="11" count="1" selected="0">
            <x v="3"/>
          </reference>
          <reference field="13" count="1" selected="0">
            <x v="314"/>
          </reference>
        </references>
      </pivotArea>
    </format>
    <format dxfId="717">
      <pivotArea dataOnly="0" labelOnly="1" outline="0" fieldPosition="0">
        <references count="4">
          <reference field="5" count="1">
            <x v="45"/>
          </reference>
          <reference field="8" count="1" selected="0">
            <x v="554"/>
          </reference>
          <reference field="11" count="1" selected="0">
            <x v="5"/>
          </reference>
          <reference field="13" count="1" selected="0">
            <x v="81"/>
          </reference>
        </references>
      </pivotArea>
    </format>
    <format dxfId="716">
      <pivotArea dataOnly="0" labelOnly="1" outline="0" fieldPosition="0">
        <references count="4">
          <reference field="5" count="1">
            <x v="45"/>
          </reference>
          <reference field="8" count="1" selected="0">
            <x v="554"/>
          </reference>
          <reference field="11" count="1" selected="0">
            <x v="5"/>
          </reference>
          <reference field="13" count="1" selected="0">
            <x v="86"/>
          </reference>
        </references>
      </pivotArea>
    </format>
    <format dxfId="715">
      <pivotArea dataOnly="0" labelOnly="1" outline="0" fieldPosition="0">
        <references count="4">
          <reference field="5" count="2">
            <x v="116"/>
            <x v="117"/>
          </reference>
          <reference field="8" count="1" selected="0">
            <x v="555"/>
          </reference>
          <reference field="11" count="1" selected="0">
            <x v="3"/>
          </reference>
          <reference field="13" count="1" selected="0">
            <x v="29"/>
          </reference>
        </references>
      </pivotArea>
    </format>
    <format dxfId="714">
      <pivotArea dataOnly="0" labelOnly="1" outline="0" fieldPosition="0">
        <references count="4">
          <reference field="5" count="1">
            <x v="32"/>
          </reference>
          <reference field="8" count="1" selected="0">
            <x v="555"/>
          </reference>
          <reference field="11" count="1" selected="0">
            <x v="3"/>
          </reference>
          <reference field="13" count="1" selected="0">
            <x v="32"/>
          </reference>
        </references>
      </pivotArea>
    </format>
    <format dxfId="713">
      <pivotArea dataOnly="0" labelOnly="1" outline="0" fieldPosition="0">
        <references count="4">
          <reference field="5" count="1">
            <x v="32"/>
          </reference>
          <reference field="8" count="1" selected="0">
            <x v="555"/>
          </reference>
          <reference field="11" count="1" selected="0">
            <x v="3"/>
          </reference>
          <reference field="13" count="1" selected="0">
            <x v="69"/>
          </reference>
        </references>
      </pivotArea>
    </format>
    <format dxfId="712">
      <pivotArea dataOnly="0" labelOnly="1" outline="0" fieldPosition="0">
        <references count="4">
          <reference field="5" count="1">
            <x v="32"/>
          </reference>
          <reference field="8" count="1" selected="0">
            <x v="555"/>
          </reference>
          <reference field="11" count="1" selected="0">
            <x v="3"/>
          </reference>
          <reference field="13" count="1" selected="0">
            <x v="146"/>
          </reference>
        </references>
      </pivotArea>
    </format>
    <format dxfId="711">
      <pivotArea dataOnly="0" labelOnly="1" outline="0" fieldPosition="0">
        <references count="4">
          <reference field="5" count="1">
            <x v="117"/>
          </reference>
          <reference field="8" count="1" selected="0">
            <x v="555"/>
          </reference>
          <reference field="11" count="1" selected="0">
            <x v="3"/>
          </reference>
          <reference field="13" count="1" selected="0">
            <x v="218"/>
          </reference>
        </references>
      </pivotArea>
    </format>
    <format dxfId="710">
      <pivotArea dataOnly="0" labelOnly="1" outline="0" fieldPosition="0">
        <references count="4">
          <reference field="5" count="1">
            <x v="32"/>
          </reference>
          <reference field="8" count="1" selected="0">
            <x v="555"/>
          </reference>
          <reference field="11" count="1" selected="0">
            <x v="3"/>
          </reference>
          <reference field="13" count="1" selected="0">
            <x v="242"/>
          </reference>
        </references>
      </pivotArea>
    </format>
    <format dxfId="709">
      <pivotArea dataOnly="0" labelOnly="1" outline="0" fieldPosition="0">
        <references count="4">
          <reference field="5" count="1">
            <x v="32"/>
          </reference>
          <reference field="8" count="1" selected="0">
            <x v="555"/>
          </reference>
          <reference field="11" count="1" selected="0">
            <x v="3"/>
          </reference>
          <reference field="13" count="1" selected="0">
            <x v="243"/>
          </reference>
        </references>
      </pivotArea>
    </format>
    <format dxfId="708">
      <pivotArea dataOnly="0" labelOnly="1" outline="0" fieldPosition="0">
        <references count="4">
          <reference field="5" count="1">
            <x v="32"/>
          </reference>
          <reference field="8" count="1" selected="0">
            <x v="555"/>
          </reference>
          <reference field="11" count="1" selected="0">
            <x v="3"/>
          </reference>
          <reference field="13" count="1" selected="0">
            <x v="287"/>
          </reference>
        </references>
      </pivotArea>
    </format>
    <format dxfId="707">
      <pivotArea dataOnly="0" labelOnly="1" outline="0" fieldPosition="0">
        <references count="4">
          <reference field="5" count="1">
            <x v="117"/>
          </reference>
          <reference field="8" count="1" selected="0">
            <x v="555"/>
          </reference>
          <reference field="11" count="1" selected="0">
            <x v="3"/>
          </reference>
          <reference field="13" count="1" selected="0">
            <x v="314"/>
          </reference>
        </references>
      </pivotArea>
    </format>
    <format dxfId="706">
      <pivotArea dataOnly="0" labelOnly="1" outline="0" fieldPosition="0">
        <references count="4">
          <reference field="5" count="1">
            <x v="32"/>
          </reference>
          <reference field="8" count="1" selected="0">
            <x v="555"/>
          </reference>
          <reference field="11" count="1" selected="0">
            <x v="6"/>
          </reference>
          <reference field="13" count="1" selected="0">
            <x v="176"/>
          </reference>
        </references>
      </pivotArea>
    </format>
    <format dxfId="705">
      <pivotArea dataOnly="0" labelOnly="1" outline="0" fieldPosition="0">
        <references count="4">
          <reference field="5" count="1">
            <x v="32"/>
          </reference>
          <reference field="8" count="1" selected="0">
            <x v="555"/>
          </reference>
          <reference field="11" count="1" selected="0">
            <x v="6"/>
          </reference>
          <reference field="13" count="1" selected="0">
            <x v="207"/>
          </reference>
        </references>
      </pivotArea>
    </format>
    <format dxfId="704">
      <pivotArea dataOnly="0" labelOnly="1" outline="0" fieldPosition="0">
        <references count="4">
          <reference field="5" count="1">
            <x v="68"/>
          </reference>
          <reference field="8" count="1" selected="0">
            <x v="556"/>
          </reference>
          <reference field="11" count="1" selected="0">
            <x v="3"/>
          </reference>
          <reference field="13" count="1" selected="0">
            <x v="17"/>
          </reference>
        </references>
      </pivotArea>
    </format>
    <format dxfId="703">
      <pivotArea dataOnly="0" labelOnly="1" outline="0" fieldPosition="0">
        <references count="4">
          <reference field="5" count="1">
            <x v="68"/>
          </reference>
          <reference field="8" count="1" selected="0">
            <x v="556"/>
          </reference>
          <reference field="11" count="1" selected="0">
            <x v="3"/>
          </reference>
          <reference field="13" count="1" selected="0">
            <x v="32"/>
          </reference>
        </references>
      </pivotArea>
    </format>
    <format dxfId="702">
      <pivotArea dataOnly="0" labelOnly="1" outline="0" fieldPosition="0">
        <references count="4">
          <reference field="5" count="1">
            <x v="68"/>
          </reference>
          <reference field="8" count="1" selected="0">
            <x v="556"/>
          </reference>
          <reference field="11" count="1" selected="0">
            <x v="3"/>
          </reference>
          <reference field="13" count="1" selected="0">
            <x v="305"/>
          </reference>
        </references>
      </pivotArea>
    </format>
    <format dxfId="701">
      <pivotArea dataOnly="0" labelOnly="1" outline="0" fieldPosition="0">
        <references count="4">
          <reference field="5" count="1">
            <x v="50"/>
          </reference>
          <reference field="8" count="1" selected="0">
            <x v="557"/>
          </reference>
          <reference field="11" count="1" selected="0">
            <x v="3"/>
          </reference>
          <reference field="13" count="1" selected="0">
            <x v="7"/>
          </reference>
        </references>
      </pivotArea>
    </format>
    <format dxfId="700">
      <pivotArea dataOnly="0" labelOnly="1" outline="0" fieldPosition="0">
        <references count="4">
          <reference field="5" count="1">
            <x v="50"/>
          </reference>
          <reference field="8" count="1" selected="0">
            <x v="557"/>
          </reference>
          <reference field="11" count="1" selected="0">
            <x v="5"/>
          </reference>
          <reference field="13" count="1" selected="0">
            <x v="77"/>
          </reference>
        </references>
      </pivotArea>
    </format>
    <format dxfId="699">
      <pivotArea dataOnly="0" labelOnly="1" outline="0" fieldPosition="0">
        <references count="4">
          <reference field="5" count="1">
            <x v="50"/>
          </reference>
          <reference field="8" count="1" selected="0">
            <x v="557"/>
          </reference>
          <reference field="11" count="1" selected="0">
            <x v="5"/>
          </reference>
          <reference field="13" count="1" selected="0">
            <x v="81"/>
          </reference>
        </references>
      </pivotArea>
    </format>
    <format dxfId="698">
      <pivotArea dataOnly="0" labelOnly="1" outline="0" fieldPosition="0">
        <references count="4">
          <reference field="5" count="1">
            <x v="2"/>
          </reference>
          <reference field="8" count="1" selected="0">
            <x v="557"/>
          </reference>
          <reference field="11" count="1" selected="0">
            <x v="5"/>
          </reference>
          <reference field="13" count="1" selected="0">
            <x v="268"/>
          </reference>
        </references>
      </pivotArea>
    </format>
    <format dxfId="697">
      <pivotArea dataOnly="0" labelOnly="1" outline="0" fieldPosition="0">
        <references count="4">
          <reference field="5" count="2">
            <x v="116"/>
            <x v="117"/>
          </reference>
          <reference field="8" count="1" selected="0">
            <x v="558"/>
          </reference>
          <reference field="11" count="1" selected="0">
            <x v="3"/>
          </reference>
          <reference field="13" count="1" selected="0">
            <x v="29"/>
          </reference>
        </references>
      </pivotArea>
    </format>
    <format dxfId="696">
      <pivotArea dataOnly="0" labelOnly="1" outline="0" fieldPosition="0">
        <references count="4">
          <reference field="5" count="1">
            <x v="117"/>
          </reference>
          <reference field="8" count="1" selected="0">
            <x v="558"/>
          </reference>
          <reference field="11" count="1" selected="0">
            <x v="3"/>
          </reference>
          <reference field="13" count="1" selected="0">
            <x v="218"/>
          </reference>
        </references>
      </pivotArea>
    </format>
    <format dxfId="695">
      <pivotArea dataOnly="0" labelOnly="1" outline="0" fieldPosition="0">
        <references count="4">
          <reference field="5" count="1">
            <x v="117"/>
          </reference>
          <reference field="8" count="1" selected="0">
            <x v="558"/>
          </reference>
          <reference field="11" count="1" selected="0">
            <x v="3"/>
          </reference>
          <reference field="13" count="1" selected="0">
            <x v="314"/>
          </reference>
        </references>
      </pivotArea>
    </format>
    <format dxfId="694">
      <pivotArea dataOnly="0" labelOnly="1" outline="0" fieldPosition="0">
        <references count="4">
          <reference field="5" count="1">
            <x v="68"/>
          </reference>
          <reference field="8" count="1" selected="0">
            <x v="559"/>
          </reference>
          <reference field="11" count="1" selected="0">
            <x v="2"/>
          </reference>
          <reference field="13" count="1" selected="0">
            <x v="263"/>
          </reference>
        </references>
      </pivotArea>
    </format>
    <format dxfId="693">
      <pivotArea dataOnly="0" labelOnly="1" outline="0" fieldPosition="0">
        <references count="4">
          <reference field="5" count="1">
            <x v="2"/>
          </reference>
          <reference field="8" count="1" selected="0">
            <x v="560"/>
          </reference>
          <reference field="11" count="1" selected="0">
            <x v="3"/>
          </reference>
          <reference field="13" count="1" selected="0">
            <x v="4"/>
          </reference>
        </references>
      </pivotArea>
    </format>
    <format dxfId="692">
      <pivotArea dataOnly="0" labelOnly="1" outline="0" fieldPosition="0">
        <references count="4">
          <reference field="5" count="1">
            <x v="2"/>
          </reference>
          <reference field="8" count="1" selected="0">
            <x v="560"/>
          </reference>
          <reference field="11" count="1" selected="0">
            <x v="3"/>
          </reference>
          <reference field="13" count="1" selected="0">
            <x v="32"/>
          </reference>
        </references>
      </pivotArea>
    </format>
    <format dxfId="691">
      <pivotArea dataOnly="0" labelOnly="1" outline="0" fieldPosition="0">
        <references count="4">
          <reference field="5" count="1">
            <x v="2"/>
          </reference>
          <reference field="8" count="1" selected="0">
            <x v="560"/>
          </reference>
          <reference field="11" count="1" selected="0">
            <x v="3"/>
          </reference>
          <reference field="13" count="1" selected="0">
            <x v="240"/>
          </reference>
        </references>
      </pivotArea>
    </format>
    <format dxfId="690">
      <pivotArea dataOnly="0" labelOnly="1" outline="0" fieldPosition="0">
        <references count="4">
          <reference field="5" count="1">
            <x v="2"/>
          </reference>
          <reference field="8" count="1" selected="0">
            <x v="560"/>
          </reference>
          <reference field="11" count="1" selected="0">
            <x v="3"/>
          </reference>
          <reference field="13" count="1" selected="0">
            <x v="287"/>
          </reference>
        </references>
      </pivotArea>
    </format>
    <format dxfId="689">
      <pivotArea dataOnly="0" labelOnly="1" outline="0" fieldPosition="0">
        <references count="4">
          <reference field="5" count="1">
            <x v="2"/>
          </reference>
          <reference field="8" count="1" selected="0">
            <x v="560"/>
          </reference>
          <reference field="11" count="1" selected="0">
            <x v="3"/>
          </reference>
          <reference field="13" count="1" selected="0">
            <x v="314"/>
          </reference>
        </references>
      </pivotArea>
    </format>
    <format dxfId="688">
      <pivotArea dataOnly="0" labelOnly="1" outline="0" fieldPosition="0">
        <references count="4">
          <reference field="5" count="1">
            <x v="2"/>
          </reference>
          <reference field="8" count="1" selected="0">
            <x v="560"/>
          </reference>
          <reference field="11" count="1" selected="0">
            <x v="4"/>
          </reference>
          <reference field="13" count="1" selected="0">
            <x v="158"/>
          </reference>
        </references>
      </pivotArea>
    </format>
    <format dxfId="687">
      <pivotArea dataOnly="0" labelOnly="1" outline="0" fieldPosition="0">
        <references count="4">
          <reference field="5" count="1">
            <x v="76"/>
          </reference>
          <reference field="8" count="1" selected="0">
            <x v="561"/>
          </reference>
          <reference field="11" count="1" selected="0">
            <x v="5"/>
          </reference>
          <reference field="13" count="1" selected="0">
            <x v="81"/>
          </reference>
        </references>
      </pivotArea>
    </format>
    <format dxfId="686">
      <pivotArea dataOnly="0" labelOnly="1" outline="0" fieldPosition="0">
        <references count="4">
          <reference field="5" count="1">
            <x v="116"/>
          </reference>
          <reference field="8" count="1" selected="0">
            <x v="562"/>
          </reference>
          <reference field="11" count="1" selected="0">
            <x v="5"/>
          </reference>
          <reference field="13" count="1" selected="0">
            <x v="81"/>
          </reference>
        </references>
      </pivotArea>
    </format>
    <format dxfId="685">
      <pivotArea dataOnly="0" labelOnly="1" outline="0" fieldPosition="0">
        <references count="4">
          <reference field="5" count="1">
            <x v="116"/>
          </reference>
          <reference field="8" count="1" selected="0">
            <x v="562"/>
          </reference>
          <reference field="11" count="1" selected="0">
            <x v="5"/>
          </reference>
          <reference field="13" count="1" selected="0">
            <x v="210"/>
          </reference>
        </references>
      </pivotArea>
    </format>
    <format dxfId="684">
      <pivotArea dataOnly="0" labelOnly="1" outline="0" fieldPosition="0">
        <references count="4">
          <reference field="5" count="2">
            <x v="116"/>
            <x v="117"/>
          </reference>
          <reference field="8" count="1" selected="0">
            <x v="563"/>
          </reference>
          <reference field="11" count="1" selected="0">
            <x v="3"/>
          </reference>
          <reference field="13" count="1" selected="0">
            <x v="29"/>
          </reference>
        </references>
      </pivotArea>
    </format>
    <format dxfId="683">
      <pivotArea dataOnly="0" labelOnly="1" outline="0" fieldPosition="0">
        <references count="4">
          <reference field="5" count="1">
            <x v="117"/>
          </reference>
          <reference field="8" count="1" selected="0">
            <x v="563"/>
          </reference>
          <reference field="11" count="1" selected="0">
            <x v="3"/>
          </reference>
          <reference field="13" count="1" selected="0">
            <x v="218"/>
          </reference>
        </references>
      </pivotArea>
    </format>
    <format dxfId="682">
      <pivotArea dataOnly="0" labelOnly="1" outline="0" fieldPosition="0">
        <references count="4">
          <reference field="5" count="1">
            <x v="117"/>
          </reference>
          <reference field="8" count="1" selected="0">
            <x v="563"/>
          </reference>
          <reference field="11" count="1" selected="0">
            <x v="3"/>
          </reference>
          <reference field="13" count="1" selected="0">
            <x v="314"/>
          </reference>
        </references>
      </pivotArea>
    </format>
    <format dxfId="681">
      <pivotArea dataOnly="0" labelOnly="1" outline="0" fieldPosition="0">
        <references count="4">
          <reference field="5" count="1">
            <x v="101"/>
          </reference>
          <reference field="8" count="1" selected="0">
            <x v="564"/>
          </reference>
          <reference field="11" count="1" selected="0">
            <x v="1"/>
          </reference>
          <reference field="13" count="1" selected="0">
            <x v="266"/>
          </reference>
        </references>
      </pivotArea>
    </format>
    <format dxfId="680">
      <pivotArea dataOnly="0" labelOnly="1" outline="0" fieldPosition="0">
        <references count="4">
          <reference field="5" count="1">
            <x v="76"/>
          </reference>
          <reference field="8" count="1" selected="0">
            <x v="565"/>
          </reference>
          <reference field="11" count="1" selected="0">
            <x v="2"/>
          </reference>
          <reference field="13" count="1" selected="0">
            <x v="263"/>
          </reference>
        </references>
      </pivotArea>
    </format>
    <format dxfId="679">
      <pivotArea dataOnly="0" labelOnly="1" outline="0" fieldPosition="0">
        <references count="4">
          <reference field="5" count="1">
            <x v="76"/>
          </reference>
          <reference field="8" count="1" selected="0">
            <x v="565"/>
          </reference>
          <reference field="11" count="1" selected="0">
            <x v="3"/>
          </reference>
          <reference field="13" count="1" selected="0">
            <x v="146"/>
          </reference>
        </references>
      </pivotArea>
    </format>
    <format dxfId="678">
      <pivotArea dataOnly="0" labelOnly="1" outline="0" fieldPosition="0">
        <references count="4">
          <reference field="5" count="1">
            <x v="76"/>
          </reference>
          <reference field="8" count="1" selected="0">
            <x v="565"/>
          </reference>
          <reference field="11" count="1" selected="0">
            <x v="3"/>
          </reference>
          <reference field="13" count="1" selected="0">
            <x v="243"/>
          </reference>
        </references>
      </pivotArea>
    </format>
    <format dxfId="677">
      <pivotArea dataOnly="0" labelOnly="1" outline="0" fieldPosition="0">
        <references count="4">
          <reference field="5" count="1">
            <x v="76"/>
          </reference>
          <reference field="8" count="1" selected="0">
            <x v="565"/>
          </reference>
          <reference field="11" count="1" selected="0">
            <x v="4"/>
          </reference>
          <reference field="13" count="1" selected="0">
            <x v="133"/>
          </reference>
        </references>
      </pivotArea>
    </format>
    <format dxfId="676">
      <pivotArea dataOnly="0" labelOnly="1" outline="0" fieldPosition="0">
        <references count="4">
          <reference field="5" count="1">
            <x v="76"/>
          </reference>
          <reference field="8" count="1" selected="0">
            <x v="565"/>
          </reference>
          <reference field="11" count="1" selected="0">
            <x v="5"/>
          </reference>
          <reference field="13" count="1" selected="0">
            <x v="77"/>
          </reference>
        </references>
      </pivotArea>
    </format>
    <format dxfId="675">
      <pivotArea dataOnly="0" labelOnly="1" outline="0" fieldPosition="0">
        <references count="4">
          <reference field="5" count="1">
            <x v="76"/>
          </reference>
          <reference field="8" count="1" selected="0">
            <x v="565"/>
          </reference>
          <reference field="11" count="1" selected="0">
            <x v="7"/>
          </reference>
          <reference field="13" count="1" selected="0">
            <x v="72"/>
          </reference>
        </references>
      </pivotArea>
    </format>
    <format dxfId="674">
      <pivotArea dataOnly="0" labelOnly="1" outline="0" fieldPosition="0">
        <references count="4">
          <reference field="5" count="1">
            <x v="34"/>
          </reference>
          <reference field="8" count="1" selected="0">
            <x v="566"/>
          </reference>
          <reference field="11" count="1" selected="0">
            <x v="3"/>
          </reference>
          <reference field="13" count="1" selected="0">
            <x v="287"/>
          </reference>
        </references>
      </pivotArea>
    </format>
    <format dxfId="673">
      <pivotArea dataOnly="0" labelOnly="1" outline="0" fieldPosition="0">
        <references count="4">
          <reference field="5" count="1">
            <x v="68"/>
          </reference>
          <reference field="8" count="1" selected="0">
            <x v="568"/>
          </reference>
          <reference field="11" count="1" selected="0">
            <x v="3"/>
          </reference>
          <reference field="13" count="1" selected="0">
            <x v="287"/>
          </reference>
        </references>
      </pivotArea>
    </format>
    <format dxfId="672">
      <pivotArea dataOnly="0" labelOnly="1" outline="0" fieldPosition="0">
        <references count="4">
          <reference field="5" count="1">
            <x v="68"/>
          </reference>
          <reference field="8" count="1" selected="0">
            <x v="569"/>
          </reference>
          <reference field="11" count="1" selected="0">
            <x v="3"/>
          </reference>
          <reference field="13" count="1" selected="0">
            <x v="287"/>
          </reference>
        </references>
      </pivotArea>
    </format>
    <format dxfId="671">
      <pivotArea dataOnly="0" labelOnly="1" outline="0" fieldPosition="0">
        <references count="4">
          <reference field="5" count="1">
            <x v="68"/>
          </reference>
          <reference field="8" count="1" selected="0">
            <x v="569"/>
          </reference>
          <reference field="11" count="1" selected="0">
            <x v="4"/>
          </reference>
          <reference field="13" count="1" selected="0">
            <x v="133"/>
          </reference>
        </references>
      </pivotArea>
    </format>
    <format dxfId="670">
      <pivotArea dataOnly="0" labelOnly="1" outline="0" fieldPosition="0">
        <references count="4">
          <reference field="5" count="3">
            <x v="32"/>
            <x v="95"/>
            <x v="101"/>
          </reference>
          <reference field="8" count="1" selected="0">
            <x v="572"/>
          </reference>
          <reference field="11" count="1" selected="0">
            <x v="3"/>
          </reference>
          <reference field="13" count="1" selected="0">
            <x v="32"/>
          </reference>
        </references>
      </pivotArea>
    </format>
    <format dxfId="669">
      <pivotArea dataOnly="0" labelOnly="1" outline="0" fieldPosition="0">
        <references count="4">
          <reference field="5" count="1">
            <x v="32"/>
          </reference>
          <reference field="8" count="1" selected="0">
            <x v="572"/>
          </reference>
          <reference field="11" count="1" selected="0">
            <x v="3"/>
          </reference>
          <reference field="13" count="1" selected="0">
            <x v="39"/>
          </reference>
        </references>
      </pivotArea>
    </format>
    <format dxfId="668">
      <pivotArea dataOnly="0" labelOnly="1" outline="0" fieldPosition="0">
        <references count="4">
          <reference field="5" count="1">
            <x v="32"/>
          </reference>
          <reference field="8" count="1" selected="0">
            <x v="572"/>
          </reference>
          <reference field="11" count="1" selected="0">
            <x v="3"/>
          </reference>
          <reference field="13" count="1" selected="0">
            <x v="47"/>
          </reference>
        </references>
      </pivotArea>
    </format>
    <format dxfId="667">
      <pivotArea dataOnly="0" labelOnly="1" outline="0" fieldPosition="0">
        <references count="4">
          <reference field="5" count="1">
            <x v="32"/>
          </reference>
          <reference field="8" count="1" selected="0">
            <x v="572"/>
          </reference>
          <reference field="11" count="1" selected="0">
            <x v="3"/>
          </reference>
          <reference field="13" count="1" selected="0">
            <x v="49"/>
          </reference>
        </references>
      </pivotArea>
    </format>
    <format dxfId="666">
      <pivotArea dataOnly="0" labelOnly="1" outline="0" fieldPosition="0">
        <references count="4">
          <reference field="5" count="1">
            <x v="32"/>
          </reference>
          <reference field="8" count="1" selected="0">
            <x v="572"/>
          </reference>
          <reference field="11" count="1" selected="0">
            <x v="3"/>
          </reference>
          <reference field="13" count="1" selected="0">
            <x v="69"/>
          </reference>
        </references>
      </pivotArea>
    </format>
    <format dxfId="665">
      <pivotArea dataOnly="0" labelOnly="1" outline="0" fieldPosition="0">
        <references count="4">
          <reference field="5" count="2">
            <x v="32"/>
            <x v="71"/>
          </reference>
          <reference field="8" count="1" selected="0">
            <x v="572"/>
          </reference>
          <reference field="11" count="1" selected="0">
            <x v="3"/>
          </reference>
          <reference field="13" count="1" selected="0">
            <x v="134"/>
          </reference>
        </references>
      </pivotArea>
    </format>
    <format dxfId="664">
      <pivotArea dataOnly="0" labelOnly="1" outline="0" fieldPosition="0">
        <references count="4">
          <reference field="5" count="1">
            <x v="32"/>
          </reference>
          <reference field="8" count="1" selected="0">
            <x v="572"/>
          </reference>
          <reference field="11" count="1" selected="0">
            <x v="3"/>
          </reference>
          <reference field="13" count="1" selected="0">
            <x v="146"/>
          </reference>
        </references>
      </pivotArea>
    </format>
    <format dxfId="663">
      <pivotArea dataOnly="0" labelOnly="1" outline="0" fieldPosition="0">
        <references count="4">
          <reference field="5" count="1">
            <x v="95"/>
          </reference>
          <reference field="8" count="1" selected="0">
            <x v="572"/>
          </reference>
          <reference field="11" count="1" selected="0">
            <x v="3"/>
          </reference>
          <reference field="13" count="1" selected="0">
            <x v="278"/>
          </reference>
        </references>
      </pivotArea>
    </format>
    <format dxfId="662">
      <pivotArea dataOnly="0" labelOnly="1" outline="0" fieldPosition="0">
        <references count="4">
          <reference field="5" count="3">
            <x v="16"/>
            <x v="32"/>
            <x v="72"/>
          </reference>
          <reference field="8" count="1" selected="0">
            <x v="572"/>
          </reference>
          <reference field="11" count="1" selected="0">
            <x v="3"/>
          </reference>
          <reference field="13" count="1" selected="0">
            <x v="287"/>
          </reference>
        </references>
      </pivotArea>
    </format>
    <format dxfId="661">
      <pivotArea dataOnly="0" labelOnly="1" outline="0" fieldPosition="0">
        <references count="4">
          <reference field="5" count="3">
            <x v="72"/>
            <x v="78"/>
            <x v="84"/>
          </reference>
          <reference field="8" count="1" selected="0">
            <x v="572"/>
          </reference>
          <reference field="11" count="1" selected="0">
            <x v="4"/>
          </reference>
          <reference field="13" count="1" selected="0">
            <x v="133"/>
          </reference>
        </references>
      </pivotArea>
    </format>
    <format dxfId="660">
      <pivotArea dataOnly="0" labelOnly="1" outline="0" fieldPosition="0">
        <references count="4">
          <reference field="5" count="1">
            <x v="32"/>
          </reference>
          <reference field="8" count="1" selected="0">
            <x v="572"/>
          </reference>
          <reference field="11" count="1" selected="0">
            <x v="5"/>
          </reference>
          <reference field="13" count="1" selected="0">
            <x v="77"/>
          </reference>
        </references>
      </pivotArea>
    </format>
    <format dxfId="659">
      <pivotArea dataOnly="0" labelOnly="1" outline="0" fieldPosition="0">
        <references count="4">
          <reference field="5" count="1">
            <x v="32"/>
          </reference>
          <reference field="8" count="1" selected="0">
            <x v="572"/>
          </reference>
          <reference field="11" count="1" selected="0">
            <x v="5"/>
          </reference>
          <reference field="13" count="1" selected="0">
            <x v="81"/>
          </reference>
        </references>
      </pivotArea>
    </format>
    <format dxfId="658">
      <pivotArea dataOnly="0" labelOnly="1" outline="0" fieldPosition="0">
        <references count="4">
          <reference field="5" count="1">
            <x v="32"/>
          </reference>
          <reference field="8" count="1" selected="0">
            <x v="572"/>
          </reference>
          <reference field="11" count="1" selected="0">
            <x v="6"/>
          </reference>
          <reference field="13" count="1" selected="0">
            <x v="207"/>
          </reference>
        </references>
      </pivotArea>
    </format>
    <format dxfId="657">
      <pivotArea dataOnly="0" labelOnly="1" outline="0" fieldPosition="0">
        <references count="4">
          <reference field="5" count="1">
            <x v="47"/>
          </reference>
          <reference field="8" count="1" selected="0">
            <x v="573"/>
          </reference>
          <reference field="11" count="1" selected="0">
            <x v="0"/>
          </reference>
          <reference field="13" count="1" selected="0">
            <x v="16"/>
          </reference>
        </references>
      </pivotArea>
    </format>
    <format dxfId="656">
      <pivotArea dataOnly="0" labelOnly="1" outline="0" fieldPosition="0">
        <references count="4">
          <reference field="5" count="1">
            <x v="47"/>
          </reference>
          <reference field="8" count="1" selected="0">
            <x v="573"/>
          </reference>
          <reference field="11" count="1" selected="0">
            <x v="0"/>
          </reference>
          <reference field="13" count="1" selected="0">
            <x v="22"/>
          </reference>
        </references>
      </pivotArea>
    </format>
    <format dxfId="655">
      <pivotArea dataOnly="0" labelOnly="1" outline="0" fieldPosition="0">
        <references count="4">
          <reference field="5" count="1">
            <x v="47"/>
          </reference>
          <reference field="8" count="1" selected="0">
            <x v="573"/>
          </reference>
          <reference field="11" count="1" selected="0">
            <x v="0"/>
          </reference>
          <reference field="13" count="1" selected="0">
            <x v="64"/>
          </reference>
        </references>
      </pivotArea>
    </format>
    <format dxfId="654">
      <pivotArea dataOnly="0" labelOnly="1" outline="0" fieldPosition="0">
        <references count="4">
          <reference field="5" count="1">
            <x v="47"/>
          </reference>
          <reference field="8" count="1" selected="0">
            <x v="573"/>
          </reference>
          <reference field="11" count="1" selected="0">
            <x v="0"/>
          </reference>
          <reference field="13" count="1" selected="0">
            <x v="73"/>
          </reference>
        </references>
      </pivotArea>
    </format>
    <format dxfId="653">
      <pivotArea dataOnly="0" labelOnly="1" outline="0" fieldPosition="0">
        <references count="4">
          <reference field="5" count="1">
            <x v="47"/>
          </reference>
          <reference field="8" count="1" selected="0">
            <x v="573"/>
          </reference>
          <reference field="11" count="1" selected="0">
            <x v="0"/>
          </reference>
          <reference field="13" count="1" selected="0">
            <x v="91"/>
          </reference>
        </references>
      </pivotArea>
    </format>
    <format dxfId="652">
      <pivotArea dataOnly="0" labelOnly="1" outline="0" fieldPosition="0">
        <references count="4">
          <reference field="5" count="1">
            <x v="47"/>
          </reference>
          <reference field="8" count="1" selected="0">
            <x v="573"/>
          </reference>
          <reference field="11" count="1" selected="0">
            <x v="0"/>
          </reference>
          <reference field="13" count="1" selected="0">
            <x v="97"/>
          </reference>
        </references>
      </pivotArea>
    </format>
    <format dxfId="651">
      <pivotArea dataOnly="0" labelOnly="1" outline="0" fieldPosition="0">
        <references count="4">
          <reference field="5" count="1">
            <x v="47"/>
          </reference>
          <reference field="8" count="1" selected="0">
            <x v="573"/>
          </reference>
          <reference field="11" count="1" selected="0">
            <x v="0"/>
          </reference>
          <reference field="13" count="1" selected="0">
            <x v="98"/>
          </reference>
        </references>
      </pivotArea>
    </format>
    <format dxfId="650">
      <pivotArea dataOnly="0" labelOnly="1" outline="0" fieldPosition="0">
        <references count="4">
          <reference field="5" count="1">
            <x v="47"/>
          </reference>
          <reference field="8" count="1" selected="0">
            <x v="573"/>
          </reference>
          <reference field="11" count="1" selected="0">
            <x v="0"/>
          </reference>
          <reference field="13" count="1" selected="0">
            <x v="104"/>
          </reference>
        </references>
      </pivotArea>
    </format>
    <format dxfId="649">
      <pivotArea dataOnly="0" labelOnly="1" outline="0" fieldPosition="0">
        <references count="4">
          <reference field="5" count="1">
            <x v="52"/>
          </reference>
          <reference field="8" count="1" selected="0">
            <x v="573"/>
          </reference>
          <reference field="11" count="1" selected="0">
            <x v="0"/>
          </reference>
          <reference field="13" count="1" selected="0">
            <x v="107"/>
          </reference>
        </references>
      </pivotArea>
    </format>
    <format dxfId="648">
      <pivotArea dataOnly="0" labelOnly="1" outline="0" fieldPosition="0">
        <references count="4">
          <reference field="5" count="1">
            <x v="52"/>
          </reference>
          <reference field="8" count="1" selected="0">
            <x v="573"/>
          </reference>
          <reference field="11" count="1" selected="0">
            <x v="0"/>
          </reference>
          <reference field="13" count="1" selected="0">
            <x v="221"/>
          </reference>
        </references>
      </pivotArea>
    </format>
    <format dxfId="647">
      <pivotArea dataOnly="0" labelOnly="1" outline="0" fieldPosition="0">
        <references count="4">
          <reference field="5" count="2">
            <x v="116"/>
            <x v="117"/>
          </reference>
          <reference field="8" count="1" selected="0">
            <x v="573"/>
          </reference>
          <reference field="11" count="1" selected="0">
            <x v="3"/>
          </reference>
          <reference field="13" count="1" selected="0">
            <x v="29"/>
          </reference>
        </references>
      </pivotArea>
    </format>
    <format dxfId="646">
      <pivotArea dataOnly="0" labelOnly="1" outline="0" fieldPosition="0">
        <references count="4">
          <reference field="5" count="2">
            <x v="35"/>
            <x v="68"/>
          </reference>
          <reference field="8" count="1" selected="0">
            <x v="573"/>
          </reference>
          <reference field="11" count="1" selected="0">
            <x v="3"/>
          </reference>
          <reference field="13" count="1" selected="0">
            <x v="32"/>
          </reference>
        </references>
      </pivotArea>
    </format>
    <format dxfId="645">
      <pivotArea dataOnly="0" labelOnly="1" outline="0" fieldPosition="0">
        <references count="4">
          <reference field="5" count="1">
            <x v="35"/>
          </reference>
          <reference field="8" count="1" selected="0">
            <x v="573"/>
          </reference>
          <reference field="11" count="1" selected="0">
            <x v="3"/>
          </reference>
          <reference field="13" count="1" selected="0">
            <x v="57"/>
          </reference>
        </references>
      </pivotArea>
    </format>
    <format dxfId="644">
      <pivotArea dataOnly="0" labelOnly="1" outline="0" fieldPosition="0">
        <references count="4">
          <reference field="5" count="1">
            <x v="117"/>
          </reference>
          <reference field="8" count="1" selected="0">
            <x v="573"/>
          </reference>
          <reference field="11" count="1" selected="0">
            <x v="3"/>
          </reference>
          <reference field="13" count="1" selected="0">
            <x v="218"/>
          </reference>
        </references>
      </pivotArea>
    </format>
    <format dxfId="643">
      <pivotArea dataOnly="0" labelOnly="1" outline="0" fieldPosition="0">
        <references count="4">
          <reference field="5" count="1">
            <x v="56"/>
          </reference>
          <reference field="8" count="1" selected="0">
            <x v="573"/>
          </reference>
          <reference field="11" count="1" selected="0">
            <x v="3"/>
          </reference>
          <reference field="13" count="1" selected="0">
            <x v="239"/>
          </reference>
        </references>
      </pivotArea>
    </format>
    <format dxfId="642">
      <pivotArea dataOnly="0" labelOnly="1" outline="0" fieldPosition="0">
        <references count="4">
          <reference field="5" count="5">
            <x v="35"/>
            <x v="68"/>
            <x v="70"/>
            <x v="78"/>
            <x v="116"/>
          </reference>
          <reference field="8" count="1" selected="0">
            <x v="573"/>
          </reference>
          <reference field="11" count="1" selected="0">
            <x v="3"/>
          </reference>
          <reference field="13" count="1" selected="0">
            <x v="240"/>
          </reference>
        </references>
      </pivotArea>
    </format>
    <format dxfId="641">
      <pivotArea dataOnly="0" labelOnly="1" outline="0" fieldPosition="0">
        <references count="4">
          <reference field="5" count="3">
            <x v="35"/>
            <x v="68"/>
            <x v="70"/>
          </reference>
          <reference field="8" count="1" selected="0">
            <x v="573"/>
          </reference>
          <reference field="11" count="1" selected="0">
            <x v="3"/>
          </reference>
          <reference field="13" count="1" selected="0">
            <x v="242"/>
          </reference>
        </references>
      </pivotArea>
    </format>
    <format dxfId="640">
      <pivotArea dataOnly="0" labelOnly="1" outline="0" fieldPosition="0">
        <references count="4">
          <reference field="5" count="3">
            <x v="35"/>
            <x v="68"/>
            <x v="70"/>
          </reference>
          <reference field="8" count="1" selected="0">
            <x v="573"/>
          </reference>
          <reference field="11" count="1" selected="0">
            <x v="3"/>
          </reference>
          <reference field="13" count="1" selected="0">
            <x v="243"/>
          </reference>
        </references>
      </pivotArea>
    </format>
    <format dxfId="639">
      <pivotArea dataOnly="0" labelOnly="1" outline="0" fieldPosition="0">
        <references count="4">
          <reference field="5" count="1">
            <x v="35"/>
          </reference>
          <reference field="8" count="1" selected="0">
            <x v="573"/>
          </reference>
          <reference field="11" count="1" selected="0">
            <x v="3"/>
          </reference>
          <reference field="13" count="1" selected="0">
            <x v="272"/>
          </reference>
        </references>
      </pivotArea>
    </format>
    <format dxfId="638">
      <pivotArea dataOnly="0" labelOnly="1" outline="0" fieldPosition="0">
        <references count="4">
          <reference field="5" count="3">
            <x v="35"/>
            <x v="68"/>
            <x v="70"/>
          </reference>
          <reference field="8" count="1" selected="0">
            <x v="573"/>
          </reference>
          <reference field="11" count="1" selected="0">
            <x v="3"/>
          </reference>
          <reference field="13" count="1" selected="0">
            <x v="287"/>
          </reference>
        </references>
      </pivotArea>
    </format>
    <format dxfId="637">
      <pivotArea dataOnly="0" labelOnly="1" outline="0" fieldPosition="0">
        <references count="4">
          <reference field="5" count="1">
            <x v="117"/>
          </reference>
          <reference field="8" count="1" selected="0">
            <x v="573"/>
          </reference>
          <reference field="11" count="1" selected="0">
            <x v="3"/>
          </reference>
          <reference field="13" count="1" selected="0">
            <x v="314"/>
          </reference>
        </references>
      </pivotArea>
    </format>
    <format dxfId="636">
      <pivotArea dataOnly="0" labelOnly="1" outline="0" fieldPosition="0">
        <references count="4">
          <reference field="5" count="1">
            <x v="52"/>
          </reference>
          <reference field="8" count="1" selected="0">
            <x v="573"/>
          </reference>
          <reference field="11" count="1" selected="0">
            <x v="4"/>
          </reference>
          <reference field="13" count="1" selected="0">
            <x v="133"/>
          </reference>
        </references>
      </pivotArea>
    </format>
    <format dxfId="635">
      <pivotArea dataOnly="0" labelOnly="1" outline="0" fieldPosition="0">
        <references count="4">
          <reference field="5" count="2">
            <x v="20"/>
            <x v="116"/>
          </reference>
          <reference field="8" count="1" selected="0">
            <x v="573"/>
          </reference>
          <reference field="11" count="1" selected="0">
            <x v="5"/>
          </reference>
          <reference field="13" count="1" selected="0">
            <x v="77"/>
          </reference>
        </references>
      </pivotArea>
    </format>
    <format dxfId="634">
      <pivotArea dataOnly="0" labelOnly="1" outline="0" fieldPosition="0">
        <references count="4">
          <reference field="5" count="1">
            <x v="116"/>
          </reference>
          <reference field="8" count="1" selected="0">
            <x v="573"/>
          </reference>
          <reference field="11" count="1" selected="0">
            <x v="5"/>
          </reference>
          <reference field="13" count="1" selected="0">
            <x v="81"/>
          </reference>
        </references>
      </pivotArea>
    </format>
    <format dxfId="633">
      <pivotArea dataOnly="0" labelOnly="1" outline="0" fieldPosition="0">
        <references count="4">
          <reference field="5" count="1">
            <x v="70"/>
          </reference>
          <reference field="8" count="1" selected="0">
            <x v="573"/>
          </reference>
          <reference field="11" count="1" selected="0">
            <x v="5"/>
          </reference>
          <reference field="13" count="1" selected="0">
            <x v="96"/>
          </reference>
        </references>
      </pivotArea>
    </format>
    <format dxfId="632">
      <pivotArea dataOnly="0" labelOnly="1" outline="0" fieldPosition="0">
        <references count="4">
          <reference field="5" count="1">
            <x v="35"/>
          </reference>
          <reference field="8" count="1" selected="0">
            <x v="573"/>
          </reference>
          <reference field="11" count="1" selected="0">
            <x v="5"/>
          </reference>
          <reference field="13" count="1" selected="0">
            <x v="99"/>
          </reference>
        </references>
      </pivotArea>
    </format>
    <format dxfId="631">
      <pivotArea dataOnly="0" labelOnly="1" outline="0" fieldPosition="0">
        <references count="4">
          <reference field="5" count="1">
            <x v="116"/>
          </reference>
          <reference field="8" count="1" selected="0">
            <x v="573"/>
          </reference>
          <reference field="11" count="1" selected="0">
            <x v="5"/>
          </reference>
          <reference field="13" count="1" selected="0">
            <x v="209"/>
          </reference>
        </references>
      </pivotArea>
    </format>
    <format dxfId="630">
      <pivotArea dataOnly="0" labelOnly="1" outline="0" fieldPosition="0">
        <references count="4">
          <reference field="5" count="4">
            <x v="35"/>
            <x v="47"/>
            <x v="68"/>
            <x v="70"/>
          </reference>
          <reference field="8" count="1" selected="0">
            <x v="573"/>
          </reference>
          <reference field="11" count="1" selected="0">
            <x v="5"/>
          </reference>
          <reference field="13" count="1" selected="0">
            <x v="229"/>
          </reference>
        </references>
      </pivotArea>
    </format>
    <format dxfId="629">
      <pivotArea dataOnly="0" labelOnly="1" outline="0" fieldPosition="0">
        <references count="4">
          <reference field="5" count="1">
            <x v="20"/>
          </reference>
          <reference field="8" count="1" selected="0">
            <x v="573"/>
          </reference>
          <reference field="11" count="1" selected="0">
            <x v="5"/>
          </reference>
          <reference field="13" count="1" selected="0">
            <x v="255"/>
          </reference>
        </references>
      </pivotArea>
    </format>
    <format dxfId="628">
      <pivotArea dataOnly="0" labelOnly="1" outline="0" fieldPosition="0">
        <references count="4">
          <reference field="5" count="1">
            <x v="68"/>
          </reference>
          <reference field="8" count="1" selected="0">
            <x v="573"/>
          </reference>
          <reference field="11" count="1" selected="0">
            <x v="7"/>
          </reference>
          <reference field="13" count="1" selected="0">
            <x v="8"/>
          </reference>
        </references>
      </pivotArea>
    </format>
    <format dxfId="627">
      <pivotArea dataOnly="0" labelOnly="1" outline="0" fieldPosition="0">
        <references count="4">
          <reference field="5" count="1">
            <x v="68"/>
          </reference>
          <reference field="8" count="1" selected="0">
            <x v="573"/>
          </reference>
          <reference field="11" count="1" selected="0">
            <x v="7"/>
          </reference>
          <reference field="13" count="1" selected="0">
            <x v="72"/>
          </reference>
        </references>
      </pivotArea>
    </format>
    <format dxfId="626">
      <pivotArea dataOnly="0" labelOnly="1" outline="0" fieldPosition="0">
        <references count="4">
          <reference field="5" count="1">
            <x v="68"/>
          </reference>
          <reference field="8" count="1" selected="0">
            <x v="573"/>
          </reference>
          <reference field="11" count="1" selected="0">
            <x v="7"/>
          </reference>
          <reference field="13" count="1" selected="0">
            <x v="308"/>
          </reference>
        </references>
      </pivotArea>
    </format>
    <format dxfId="625">
      <pivotArea dataOnly="0" labelOnly="1" outline="0" fieldPosition="0">
        <references count="4">
          <reference field="5" count="1">
            <x v="35"/>
          </reference>
          <reference field="8" count="1" selected="0">
            <x v="574"/>
          </reference>
          <reference field="11" count="1" selected="0">
            <x v="3"/>
          </reference>
          <reference field="13" count="1" selected="0">
            <x v="272"/>
          </reference>
        </references>
      </pivotArea>
    </format>
    <format dxfId="624">
      <pivotArea dataOnly="0" labelOnly="1" outline="0" fieldPosition="0">
        <references count="4">
          <reference field="5" count="1">
            <x v="78"/>
          </reference>
          <reference field="8" count="1" selected="0">
            <x v="575"/>
          </reference>
          <reference field="11" count="1" selected="0">
            <x v="2"/>
          </reference>
          <reference field="13" count="1" selected="0">
            <x v="35"/>
          </reference>
        </references>
      </pivotArea>
    </format>
    <format dxfId="623">
      <pivotArea dataOnly="0" labelOnly="1" outline="0" fieldPosition="0">
        <references count="4">
          <reference field="5" count="1">
            <x v="78"/>
          </reference>
          <reference field="8" count="1" selected="0">
            <x v="575"/>
          </reference>
          <reference field="11" count="1" selected="0">
            <x v="3"/>
          </reference>
          <reference field="13" count="1" selected="0">
            <x v="36"/>
          </reference>
        </references>
      </pivotArea>
    </format>
    <format dxfId="622">
      <pivotArea dataOnly="0" labelOnly="1" outline="0" fieldPosition="0">
        <references count="4">
          <reference field="5" count="1">
            <x v="78"/>
          </reference>
          <reference field="8" count="1" selected="0">
            <x v="575"/>
          </reference>
          <reference field="11" count="1" selected="0">
            <x v="3"/>
          </reference>
          <reference field="13" count="1" selected="0">
            <x v="57"/>
          </reference>
        </references>
      </pivotArea>
    </format>
    <format dxfId="621">
      <pivotArea dataOnly="0" labelOnly="1" outline="0" fieldPosition="0">
        <references count="4">
          <reference field="5" count="1">
            <x v="78"/>
          </reference>
          <reference field="8" count="1" selected="0">
            <x v="575"/>
          </reference>
          <reference field="11" count="1" selected="0">
            <x v="3"/>
          </reference>
          <reference field="13" count="1" selected="0">
            <x v="69"/>
          </reference>
        </references>
      </pivotArea>
    </format>
    <format dxfId="620">
      <pivotArea dataOnly="0" labelOnly="1" outline="0" fieldPosition="0">
        <references count="4">
          <reference field="5" count="1">
            <x v="78"/>
          </reference>
          <reference field="8" count="1" selected="0">
            <x v="575"/>
          </reference>
          <reference field="11" count="1" selected="0">
            <x v="3"/>
          </reference>
          <reference field="13" count="1" selected="0">
            <x v="134"/>
          </reference>
        </references>
      </pivotArea>
    </format>
    <format dxfId="619">
      <pivotArea dataOnly="0" labelOnly="1" outline="0" fieldPosition="0">
        <references count="4">
          <reference field="5" count="1">
            <x v="78"/>
          </reference>
          <reference field="8" count="1" selected="0">
            <x v="575"/>
          </reference>
          <reference field="11" count="1" selected="0">
            <x v="3"/>
          </reference>
          <reference field="13" count="1" selected="0">
            <x v="240"/>
          </reference>
        </references>
      </pivotArea>
    </format>
    <format dxfId="618">
      <pivotArea dataOnly="0" labelOnly="1" outline="0" fieldPosition="0">
        <references count="4">
          <reference field="5" count="1">
            <x v="78"/>
          </reference>
          <reference field="8" count="1" selected="0">
            <x v="575"/>
          </reference>
          <reference field="11" count="1" selected="0">
            <x v="3"/>
          </reference>
          <reference field="13" count="1" selected="0">
            <x v="287"/>
          </reference>
        </references>
      </pivotArea>
    </format>
    <format dxfId="617">
      <pivotArea dataOnly="0" labelOnly="1" outline="0" fieldPosition="0">
        <references count="4">
          <reference field="5" count="1">
            <x v="78"/>
          </reference>
          <reference field="8" count="1" selected="0">
            <x v="575"/>
          </reference>
          <reference field="11" count="1" selected="0">
            <x v="4"/>
          </reference>
          <reference field="13" count="1" selected="0">
            <x v="133"/>
          </reference>
        </references>
      </pivotArea>
    </format>
    <format dxfId="616">
      <pivotArea dataOnly="0" labelOnly="1" outline="0" fieldPosition="0">
        <references count="4">
          <reference field="5" count="1">
            <x v="116"/>
          </reference>
          <reference field="8" count="1" selected="0">
            <x v="577"/>
          </reference>
          <reference field="11" count="1" selected="0">
            <x v="3"/>
          </reference>
          <reference field="13" count="1" selected="0">
            <x v="29"/>
          </reference>
        </references>
      </pivotArea>
    </format>
    <format dxfId="615">
      <pivotArea dataOnly="0" labelOnly="1" outline="0" fieldPosition="0">
        <references count="4">
          <reference field="5" count="1">
            <x v="101"/>
          </reference>
          <reference field="8" count="1" selected="0">
            <x v="578"/>
          </reference>
          <reference field="11" count="1" selected="0">
            <x v="5"/>
          </reference>
          <reference field="13" count="1" selected="0">
            <x v="81"/>
          </reference>
        </references>
      </pivotArea>
    </format>
    <format dxfId="614">
      <pivotArea dataOnly="0" labelOnly="1" outline="0" fieldPosition="0">
        <references count="4">
          <reference field="5" count="1">
            <x v="76"/>
          </reference>
          <reference field="8" count="1" selected="0">
            <x v="580"/>
          </reference>
          <reference field="11" count="1" selected="0">
            <x v="3"/>
          </reference>
          <reference field="13" count="1" selected="0">
            <x v="146"/>
          </reference>
        </references>
      </pivotArea>
    </format>
    <format dxfId="613">
      <pivotArea dataOnly="0" labelOnly="1" outline="0" fieldPosition="0">
        <references count="4">
          <reference field="5" count="1">
            <x v="64"/>
          </reference>
          <reference field="8" count="1" selected="0">
            <x v="581"/>
          </reference>
          <reference field="11" count="1" selected="0">
            <x v="1"/>
          </reference>
          <reference field="13" count="1" selected="0">
            <x v="169"/>
          </reference>
        </references>
      </pivotArea>
    </format>
    <format dxfId="612">
      <pivotArea dataOnly="0" labelOnly="1" outline="0" fieldPosition="0">
        <references count="4">
          <reference field="5" count="1">
            <x v="85"/>
          </reference>
          <reference field="8" count="1" selected="0">
            <x v="581"/>
          </reference>
          <reference field="11" count="1" selected="0">
            <x v="5"/>
          </reference>
          <reference field="13" count="1" selected="0">
            <x v="81"/>
          </reference>
        </references>
      </pivotArea>
    </format>
    <format dxfId="611">
      <pivotArea dataOnly="0" labelOnly="1" outline="0" fieldPosition="0">
        <references count="4">
          <reference field="5" count="1">
            <x v="64"/>
          </reference>
          <reference field="8" count="1" selected="0">
            <x v="582"/>
          </reference>
          <reference field="11" count="1" selected="0">
            <x v="1"/>
          </reference>
          <reference field="13" count="1" selected="0">
            <x v="169"/>
          </reference>
        </references>
      </pivotArea>
    </format>
    <format dxfId="610">
      <pivotArea dataOnly="0" labelOnly="1" outline="0" fieldPosition="0">
        <references count="4">
          <reference field="5" count="1">
            <x v="86"/>
          </reference>
          <reference field="8" count="1" selected="0">
            <x v="582"/>
          </reference>
          <reference field="11" count="1" selected="0">
            <x v="3"/>
          </reference>
          <reference field="13" count="1" selected="0">
            <x v="287"/>
          </reference>
        </references>
      </pivotArea>
    </format>
    <format dxfId="609">
      <pivotArea dataOnly="0" labelOnly="1" outline="0" fieldPosition="0">
        <references count="4">
          <reference field="5" count="1">
            <x v="86"/>
          </reference>
          <reference field="8" count="1" selected="0">
            <x v="582"/>
          </reference>
          <reference field="11" count="1" selected="0">
            <x v="5"/>
          </reference>
          <reference field="13" count="1" selected="0">
            <x v="77"/>
          </reference>
        </references>
      </pivotArea>
    </format>
    <format dxfId="608">
      <pivotArea dataOnly="0" labelOnly="1" outline="0" fieldPosition="0">
        <references count="4">
          <reference field="5" count="1">
            <x v="32"/>
          </reference>
          <reference field="8" count="1" selected="0">
            <x v="583"/>
          </reference>
          <reference field="11" count="1" selected="0">
            <x v="1"/>
          </reference>
          <reference field="13" count="1" selected="0">
            <x v="286"/>
          </reference>
        </references>
      </pivotArea>
    </format>
    <format dxfId="607">
      <pivotArea dataOnly="0" labelOnly="1" outline="0" fieldPosition="0">
        <references count="4">
          <reference field="5" count="1">
            <x v="64"/>
          </reference>
          <reference field="8" count="1" selected="0">
            <x v="584"/>
          </reference>
          <reference field="11" count="1" selected="0">
            <x v="1"/>
          </reference>
          <reference field="13" count="1" selected="0">
            <x v="169"/>
          </reference>
        </references>
      </pivotArea>
    </format>
    <format dxfId="606">
      <pivotArea dataOnly="0" labelOnly="1" outline="0" fieldPosition="0">
        <references count="4">
          <reference field="5" count="1">
            <x v="91"/>
          </reference>
          <reference field="8" count="1" selected="0">
            <x v="584"/>
          </reference>
          <reference field="11" count="1" selected="0">
            <x v="5"/>
          </reference>
          <reference field="13" count="1" selected="0">
            <x v="81"/>
          </reference>
        </references>
      </pivotArea>
    </format>
    <format dxfId="605">
      <pivotArea dataOnly="0" labelOnly="1" outline="0" fieldPosition="0">
        <references count="4">
          <reference field="5" count="1">
            <x v="64"/>
          </reference>
          <reference field="8" count="1" selected="0">
            <x v="585"/>
          </reference>
          <reference field="11" count="1" selected="0">
            <x v="1"/>
          </reference>
          <reference field="13" count="1" selected="0">
            <x v="169"/>
          </reference>
        </references>
      </pivotArea>
    </format>
    <format dxfId="604">
      <pivotArea dataOnly="0" labelOnly="1" outline="0" fieldPosition="0">
        <references count="4">
          <reference field="5" count="3">
            <x v="62"/>
            <x v="119"/>
            <x v="120"/>
          </reference>
          <reference field="8" count="1" selected="0">
            <x v="586"/>
          </reference>
          <reference field="11" count="1" selected="0">
            <x v="3"/>
          </reference>
          <reference field="13" count="1" selected="0">
            <x v="17"/>
          </reference>
        </references>
      </pivotArea>
    </format>
    <format dxfId="603">
      <pivotArea dataOnly="0" labelOnly="1" outline="0" fieldPosition="0">
        <references count="4">
          <reference field="5" count="1">
            <x v="119"/>
          </reference>
          <reference field="8" count="1" selected="0">
            <x v="586"/>
          </reference>
          <reference field="11" count="1" selected="0">
            <x v="3"/>
          </reference>
          <reference field="13" count="1" selected="0">
            <x v="92"/>
          </reference>
        </references>
      </pivotArea>
    </format>
    <format dxfId="602">
      <pivotArea dataOnly="0" labelOnly="1" outline="0" fieldPosition="0">
        <references count="4">
          <reference field="5" count="1">
            <x v="62"/>
          </reference>
          <reference field="8" count="1" selected="0">
            <x v="586"/>
          </reference>
          <reference field="11" count="1" selected="0">
            <x v="3"/>
          </reference>
          <reference field="13" count="1" selected="0">
            <x v="243"/>
          </reference>
        </references>
      </pivotArea>
    </format>
    <format dxfId="601">
      <pivotArea dataOnly="0" labelOnly="1" outline="0" fieldPosition="0">
        <references count="4">
          <reference field="5" count="1">
            <x v="62"/>
          </reference>
          <reference field="8" count="1" selected="0">
            <x v="586"/>
          </reference>
          <reference field="11" count="1" selected="0">
            <x v="3"/>
          </reference>
          <reference field="13" count="1" selected="0">
            <x v="305"/>
          </reference>
        </references>
      </pivotArea>
    </format>
    <format dxfId="600">
      <pivotArea dataOnly="0" labelOnly="1" outline="0" fieldPosition="0">
        <references count="4">
          <reference field="5" count="1">
            <x v="64"/>
          </reference>
          <reference field="8" count="1" selected="0">
            <x v="587"/>
          </reference>
          <reference field="11" count="1" selected="0">
            <x v="1"/>
          </reference>
          <reference field="13" count="1" selected="0">
            <x v="169"/>
          </reference>
        </references>
      </pivotArea>
    </format>
    <format dxfId="599">
      <pivotArea dataOnly="0" labelOnly="1" outline="0" fieldPosition="0">
        <references count="4">
          <reference field="5" count="1">
            <x v="88"/>
          </reference>
          <reference field="8" count="1" selected="0">
            <x v="587"/>
          </reference>
          <reference field="11" count="1" selected="0">
            <x v="3"/>
          </reference>
          <reference field="13" count="1" selected="0">
            <x v="287"/>
          </reference>
        </references>
      </pivotArea>
    </format>
    <format dxfId="598">
      <pivotArea dataOnly="0" labelOnly="1" outline="0" fieldPosition="0">
        <references count="4">
          <reference field="5" count="1">
            <x v="88"/>
          </reference>
          <reference field="8" count="1" selected="0">
            <x v="587"/>
          </reference>
          <reference field="11" count="1" selected="0">
            <x v="5"/>
          </reference>
          <reference field="13" count="1" selected="0">
            <x v="81"/>
          </reference>
        </references>
      </pivotArea>
    </format>
    <format dxfId="597">
      <pivotArea dataOnly="0" labelOnly="1" outline="0" fieldPosition="0">
        <references count="4">
          <reference field="5" count="1">
            <x v="95"/>
          </reference>
          <reference field="8" count="1" selected="0">
            <x v="588"/>
          </reference>
          <reference field="11" count="1" selected="0">
            <x v="1"/>
          </reference>
          <reference field="13" count="1" selected="0">
            <x v="286"/>
          </reference>
        </references>
      </pivotArea>
    </format>
    <format dxfId="596">
      <pivotArea dataOnly="0" labelOnly="1" outline="0" fieldPosition="0">
        <references count="4">
          <reference field="5" count="1">
            <x v="95"/>
          </reference>
          <reference field="8" count="1" selected="0">
            <x v="588"/>
          </reference>
          <reference field="11" count="1" selected="0">
            <x v="2"/>
          </reference>
          <reference field="13" count="1" selected="0">
            <x v="23"/>
          </reference>
        </references>
      </pivotArea>
    </format>
    <format dxfId="595">
      <pivotArea dataOnly="0" labelOnly="1" outline="0" fieldPosition="0">
        <references count="4">
          <reference field="5" count="1">
            <x v="95"/>
          </reference>
          <reference field="8" count="1" selected="0">
            <x v="588"/>
          </reference>
          <reference field="11" count="1" selected="0">
            <x v="2"/>
          </reference>
          <reference field="13" count="1" selected="0">
            <x v="52"/>
          </reference>
        </references>
      </pivotArea>
    </format>
    <format dxfId="594">
      <pivotArea dataOnly="0" labelOnly="1" outline="0" fieldPosition="0">
        <references count="4">
          <reference field="5" count="1">
            <x v="95"/>
          </reference>
          <reference field="8" count="1" selected="0">
            <x v="588"/>
          </reference>
          <reference field="11" count="1" selected="0">
            <x v="2"/>
          </reference>
          <reference field="13" count="1" selected="0">
            <x v="71"/>
          </reference>
        </references>
      </pivotArea>
    </format>
    <format dxfId="593">
      <pivotArea dataOnly="0" labelOnly="1" outline="0" fieldPosition="0">
        <references count="4">
          <reference field="5" count="1">
            <x v="95"/>
          </reference>
          <reference field="8" count="1" selected="0">
            <x v="588"/>
          </reference>
          <reference field="11" count="1" selected="0">
            <x v="2"/>
          </reference>
          <reference field="13" count="1" selected="0">
            <x v="128"/>
          </reference>
        </references>
      </pivotArea>
    </format>
    <format dxfId="592">
      <pivotArea dataOnly="0" labelOnly="1" outline="0" fieldPosition="0">
        <references count="4">
          <reference field="5" count="1">
            <x v="95"/>
          </reference>
          <reference field="8" count="1" selected="0">
            <x v="588"/>
          </reference>
          <reference field="11" count="1" selected="0">
            <x v="2"/>
          </reference>
          <reference field="13" count="1" selected="0">
            <x v="173"/>
          </reference>
        </references>
      </pivotArea>
    </format>
    <format dxfId="591">
      <pivotArea dataOnly="0" labelOnly="1" outline="0" fieldPosition="0">
        <references count="4">
          <reference field="5" count="1">
            <x v="95"/>
          </reference>
          <reference field="8" count="1" selected="0">
            <x v="588"/>
          </reference>
          <reference field="11" count="1" selected="0">
            <x v="2"/>
          </reference>
          <reference field="13" count="1" selected="0">
            <x v="279"/>
          </reference>
        </references>
      </pivotArea>
    </format>
    <format dxfId="590">
      <pivotArea dataOnly="0" labelOnly="1" outline="0" fieldPosition="0">
        <references count="4">
          <reference field="5" count="1">
            <x v="95"/>
          </reference>
          <reference field="8" count="1" selected="0">
            <x v="588"/>
          </reference>
          <reference field="11" count="1" selected="0">
            <x v="3"/>
          </reference>
          <reference field="13" count="1" selected="0">
            <x v="17"/>
          </reference>
        </references>
      </pivotArea>
    </format>
    <format dxfId="589">
      <pivotArea dataOnly="0" labelOnly="1" outline="0" fieldPosition="0">
        <references count="4">
          <reference field="5" count="3">
            <x v="95"/>
            <x v="116"/>
            <x v="117"/>
          </reference>
          <reference field="8" count="1" selected="0">
            <x v="588"/>
          </reference>
          <reference field="11" count="1" selected="0">
            <x v="3"/>
          </reference>
          <reference field="13" count="1" selected="0">
            <x v="29"/>
          </reference>
        </references>
      </pivotArea>
    </format>
    <format dxfId="588">
      <pivotArea dataOnly="0" labelOnly="1" outline="0" fieldPosition="0">
        <references count="4">
          <reference field="5" count="1">
            <x v="95"/>
          </reference>
          <reference field="8" count="1" selected="0">
            <x v="588"/>
          </reference>
          <reference field="11" count="1" selected="0">
            <x v="3"/>
          </reference>
          <reference field="13" count="1" selected="0">
            <x v="57"/>
          </reference>
        </references>
      </pivotArea>
    </format>
    <format dxfId="587">
      <pivotArea dataOnly="0" labelOnly="1" outline="0" fieldPosition="0">
        <references count="4">
          <reference field="5" count="1">
            <x v="95"/>
          </reference>
          <reference field="8" count="1" selected="0">
            <x v="588"/>
          </reference>
          <reference field="11" count="1" selected="0">
            <x v="3"/>
          </reference>
          <reference field="13" count="1" selected="0">
            <x v="69"/>
          </reference>
        </references>
      </pivotArea>
    </format>
    <format dxfId="586">
      <pivotArea dataOnly="0" labelOnly="1" outline="0" fieldPosition="0">
        <references count="4">
          <reference field="5" count="1">
            <x v="95"/>
          </reference>
          <reference field="8" count="1" selected="0">
            <x v="588"/>
          </reference>
          <reference field="11" count="1" selected="0">
            <x v="3"/>
          </reference>
          <reference field="13" count="1" selected="0">
            <x v="100"/>
          </reference>
        </references>
      </pivotArea>
    </format>
    <format dxfId="585">
      <pivotArea dataOnly="0" labelOnly="1" outline="0" fieldPosition="0">
        <references count="4">
          <reference field="5" count="1">
            <x v="95"/>
          </reference>
          <reference field="8" count="1" selected="0">
            <x v="588"/>
          </reference>
          <reference field="11" count="1" selected="0">
            <x v="3"/>
          </reference>
          <reference field="13" count="1" selected="0">
            <x v="131"/>
          </reference>
        </references>
      </pivotArea>
    </format>
    <format dxfId="584">
      <pivotArea dataOnly="0" labelOnly="1" outline="0" fieldPosition="0">
        <references count="4">
          <reference field="5" count="1">
            <x v="117"/>
          </reference>
          <reference field="8" count="1" selected="0">
            <x v="588"/>
          </reference>
          <reference field="11" count="1" selected="0">
            <x v="3"/>
          </reference>
          <reference field="13" count="1" selected="0">
            <x v="218"/>
          </reference>
        </references>
      </pivotArea>
    </format>
    <format dxfId="583">
      <pivotArea dataOnly="0" labelOnly="1" outline="0" fieldPosition="0">
        <references count="4">
          <reference field="5" count="1">
            <x v="95"/>
          </reference>
          <reference field="8" count="1" selected="0">
            <x v="588"/>
          </reference>
          <reference field="11" count="1" selected="0">
            <x v="3"/>
          </reference>
          <reference field="13" count="1" selected="0">
            <x v="240"/>
          </reference>
        </references>
      </pivotArea>
    </format>
    <format dxfId="582">
      <pivotArea dataOnly="0" labelOnly="1" outline="0" fieldPosition="0">
        <references count="4">
          <reference field="5" count="1">
            <x v="95"/>
          </reference>
          <reference field="8" count="1" selected="0">
            <x v="588"/>
          </reference>
          <reference field="11" count="1" selected="0">
            <x v="3"/>
          </reference>
          <reference field="13" count="1" selected="0">
            <x v="242"/>
          </reference>
        </references>
      </pivotArea>
    </format>
    <format dxfId="581">
      <pivotArea dataOnly="0" labelOnly="1" outline="0" fieldPosition="0">
        <references count="4">
          <reference field="5" count="1">
            <x v="95"/>
          </reference>
          <reference field="8" count="1" selected="0">
            <x v="588"/>
          </reference>
          <reference field="11" count="1" selected="0">
            <x v="3"/>
          </reference>
          <reference field="13" count="1" selected="0">
            <x v="251"/>
          </reference>
        </references>
      </pivotArea>
    </format>
    <format dxfId="580">
      <pivotArea dataOnly="0" labelOnly="1" outline="0" fieldPosition="0">
        <references count="4">
          <reference field="5" count="1">
            <x v="95"/>
          </reference>
          <reference field="8" count="1" selected="0">
            <x v="588"/>
          </reference>
          <reference field="11" count="1" selected="0">
            <x v="3"/>
          </reference>
          <reference field="13" count="1" selected="0">
            <x v="278"/>
          </reference>
        </references>
      </pivotArea>
    </format>
    <format dxfId="579">
      <pivotArea dataOnly="0" labelOnly="1" outline="0" fieldPosition="0">
        <references count="4">
          <reference field="5" count="1">
            <x v="95"/>
          </reference>
          <reference field="8" count="1" selected="0">
            <x v="588"/>
          </reference>
          <reference field="11" count="1" selected="0">
            <x v="3"/>
          </reference>
          <reference field="13" count="1" selected="0">
            <x v="287"/>
          </reference>
        </references>
      </pivotArea>
    </format>
    <format dxfId="578">
      <pivotArea dataOnly="0" labelOnly="1" outline="0" fieldPosition="0">
        <references count="4">
          <reference field="5" count="1">
            <x v="117"/>
          </reference>
          <reference field="8" count="1" selected="0">
            <x v="588"/>
          </reference>
          <reference field="11" count="1" selected="0">
            <x v="3"/>
          </reference>
          <reference field="13" count="1" selected="0">
            <x v="314"/>
          </reference>
        </references>
      </pivotArea>
    </format>
    <format dxfId="577">
      <pivotArea dataOnly="0" labelOnly="1" outline="0" fieldPosition="0">
        <references count="4">
          <reference field="5" count="1">
            <x v="95"/>
          </reference>
          <reference field="8" count="1" selected="0">
            <x v="588"/>
          </reference>
          <reference field="11" count="1" selected="0">
            <x v="4"/>
          </reference>
          <reference field="13" count="1" selected="0">
            <x v="95"/>
          </reference>
        </references>
      </pivotArea>
    </format>
    <format dxfId="576">
      <pivotArea dataOnly="0" labelOnly="1" outline="0" fieldPosition="0">
        <references count="4">
          <reference field="5" count="1">
            <x v="95"/>
          </reference>
          <reference field="8" count="1" selected="0">
            <x v="588"/>
          </reference>
          <reference field="11" count="1" selected="0">
            <x v="4"/>
          </reference>
          <reference field="13" count="1" selected="0">
            <x v="133"/>
          </reference>
        </references>
      </pivotArea>
    </format>
    <format dxfId="575">
      <pivotArea dataOnly="0" labelOnly="1" outline="0" fieldPosition="0">
        <references count="4">
          <reference field="5" count="1">
            <x v="95"/>
          </reference>
          <reference field="8" count="1" selected="0">
            <x v="588"/>
          </reference>
          <reference field="11" count="1" selected="0">
            <x v="4"/>
          </reference>
          <reference field="13" count="1" selected="0">
            <x v="150"/>
          </reference>
        </references>
      </pivotArea>
    </format>
    <format dxfId="574">
      <pivotArea dataOnly="0" labelOnly="1" outline="0" fieldPosition="0">
        <references count="4">
          <reference field="5" count="1">
            <x v="95"/>
          </reference>
          <reference field="8" count="1" selected="0">
            <x v="588"/>
          </reference>
          <reference field="11" count="1" selected="0">
            <x v="4"/>
          </reference>
          <reference field="13" count="1" selected="0">
            <x v="158"/>
          </reference>
        </references>
      </pivotArea>
    </format>
    <format dxfId="573">
      <pivotArea dataOnly="0" labelOnly="1" outline="0" fieldPosition="0">
        <references count="4">
          <reference field="5" count="1">
            <x v="95"/>
          </reference>
          <reference field="8" count="1" selected="0">
            <x v="588"/>
          </reference>
          <reference field="11" count="1" selected="0">
            <x v="4"/>
          </reference>
          <reference field="13" count="1" selected="0">
            <x v="280"/>
          </reference>
        </references>
      </pivotArea>
    </format>
    <format dxfId="572">
      <pivotArea dataOnly="0" labelOnly="1" outline="0" fieldPosition="0">
        <references count="4">
          <reference field="5" count="1">
            <x v="95"/>
          </reference>
          <reference field="8" count="1" selected="0">
            <x v="588"/>
          </reference>
          <reference field="11" count="1" selected="0">
            <x v="5"/>
          </reference>
          <reference field="13" count="1" selected="0">
            <x v="77"/>
          </reference>
        </references>
      </pivotArea>
    </format>
    <format dxfId="571">
      <pivotArea dataOnly="0" labelOnly="1" outline="0" fieldPosition="0">
        <references count="4">
          <reference field="5" count="2">
            <x v="20"/>
            <x v="95"/>
          </reference>
          <reference field="8" count="1" selected="0">
            <x v="588"/>
          </reference>
          <reference field="11" count="1" selected="0">
            <x v="5"/>
          </reference>
          <reference field="13" count="1" selected="0">
            <x v="81"/>
          </reference>
        </references>
      </pivotArea>
    </format>
    <format dxfId="570">
      <pivotArea dataOnly="0" labelOnly="1" outline="0" fieldPosition="0">
        <references count="4">
          <reference field="5" count="1">
            <x v="20"/>
          </reference>
          <reference field="8" count="1" selected="0">
            <x v="588"/>
          </reference>
          <reference field="11" count="1" selected="0">
            <x v="5"/>
          </reference>
          <reference field="13" count="1" selected="0">
            <x v="255"/>
          </reference>
        </references>
      </pivotArea>
    </format>
    <format dxfId="569">
      <pivotArea dataOnly="0" labelOnly="1" outline="0" fieldPosition="0">
        <references count="4">
          <reference field="5" count="1">
            <x v="95"/>
          </reference>
          <reference field="8" count="1" selected="0">
            <x v="588"/>
          </reference>
          <reference field="11" count="1" selected="0">
            <x v="7"/>
          </reference>
          <reference field="13" count="1" selected="0">
            <x v="8"/>
          </reference>
        </references>
      </pivotArea>
    </format>
    <format dxfId="568">
      <pivotArea dataOnly="0" labelOnly="1" outline="0" fieldPosition="0">
        <references count="4">
          <reference field="5" count="1">
            <x v="95"/>
          </reference>
          <reference field="8" count="1" selected="0">
            <x v="588"/>
          </reference>
          <reference field="11" count="1" selected="0">
            <x v="7"/>
          </reference>
          <reference field="13" count="1" selected="0">
            <x v="72"/>
          </reference>
        </references>
      </pivotArea>
    </format>
    <format dxfId="567">
      <pivotArea dataOnly="0" labelOnly="1" outline="0" fieldPosition="0">
        <references count="4">
          <reference field="5" count="1">
            <x v="95"/>
          </reference>
          <reference field="8" count="1" selected="0">
            <x v="588"/>
          </reference>
          <reference field="11" count="1" selected="0">
            <x v="7"/>
          </reference>
          <reference field="13" count="1" selected="0">
            <x v="93"/>
          </reference>
        </references>
      </pivotArea>
    </format>
    <format dxfId="566">
      <pivotArea dataOnly="0" labelOnly="1" outline="0" fieldPosition="0">
        <references count="4">
          <reference field="5" count="1">
            <x v="95"/>
          </reference>
          <reference field="8" count="1" selected="0">
            <x v="588"/>
          </reference>
          <reference field="11" count="1" selected="0">
            <x v="7"/>
          </reference>
          <reference field="13" count="1" selected="0">
            <x v="308"/>
          </reference>
        </references>
      </pivotArea>
    </format>
    <format dxfId="565">
      <pivotArea dataOnly="0" labelOnly="1" outline="0" fieldPosition="0">
        <references count="4">
          <reference field="5" count="2">
            <x v="116"/>
            <x v="117"/>
          </reference>
          <reference field="8" count="1" selected="0">
            <x v="589"/>
          </reference>
          <reference field="11" count="1" selected="0">
            <x v="3"/>
          </reference>
          <reference field="13" count="1" selected="0">
            <x v="29"/>
          </reference>
        </references>
      </pivotArea>
    </format>
    <format dxfId="564">
      <pivotArea dataOnly="0" labelOnly="1" outline="0" fieldPosition="0">
        <references count="4">
          <reference field="5" count="1">
            <x v="76"/>
          </reference>
          <reference field="8" count="1" selected="0">
            <x v="589"/>
          </reference>
          <reference field="11" count="1" selected="0">
            <x v="3"/>
          </reference>
          <reference field="13" count="1" selected="0">
            <x v="146"/>
          </reference>
        </references>
      </pivotArea>
    </format>
    <format dxfId="563">
      <pivotArea dataOnly="0" labelOnly="1" outline="0" fieldPosition="0">
        <references count="4">
          <reference field="5" count="1">
            <x v="117"/>
          </reference>
          <reference field="8" count="1" selected="0">
            <x v="589"/>
          </reference>
          <reference field="11" count="1" selected="0">
            <x v="3"/>
          </reference>
          <reference field="13" count="1" selected="0">
            <x v="218"/>
          </reference>
        </references>
      </pivotArea>
    </format>
    <format dxfId="562">
      <pivotArea dataOnly="0" labelOnly="1" outline="0" fieldPosition="0">
        <references count="4">
          <reference field="5" count="1">
            <x v="76"/>
          </reference>
          <reference field="8" count="1" selected="0">
            <x v="589"/>
          </reference>
          <reference field="11" count="1" selected="0">
            <x v="3"/>
          </reference>
          <reference field="13" count="1" selected="0">
            <x v="245"/>
          </reference>
        </references>
      </pivotArea>
    </format>
    <format dxfId="561">
      <pivotArea dataOnly="0" labelOnly="1" outline="0" fieldPosition="0">
        <references count="4">
          <reference field="5" count="1">
            <x v="117"/>
          </reference>
          <reference field="8" count="1" selected="0">
            <x v="589"/>
          </reference>
          <reference field="11" count="1" selected="0">
            <x v="3"/>
          </reference>
          <reference field="13" count="1" selected="0">
            <x v="314"/>
          </reference>
        </references>
      </pivotArea>
    </format>
    <format dxfId="560">
      <pivotArea dataOnly="0" labelOnly="1" outline="0" fieldPosition="0">
        <references count="4">
          <reference field="5" count="1">
            <x v="76"/>
          </reference>
          <reference field="8" count="1" selected="0">
            <x v="589"/>
          </reference>
          <reference field="11" count="1" selected="0">
            <x v="4"/>
          </reference>
          <reference field="13" count="1" selected="0">
            <x v="133"/>
          </reference>
        </references>
      </pivotArea>
    </format>
    <format dxfId="559">
      <pivotArea dataOnly="0" labelOnly="1" outline="0" fieldPosition="0">
        <references count="4">
          <reference field="5" count="1">
            <x v="76"/>
          </reference>
          <reference field="8" count="1" selected="0">
            <x v="589"/>
          </reference>
          <reference field="11" count="1" selected="0">
            <x v="5"/>
          </reference>
          <reference field="13" count="1" selected="0">
            <x v="77"/>
          </reference>
        </references>
      </pivotArea>
    </format>
    <format dxfId="558">
      <pivotArea dataOnly="0" labelOnly="1" outline="0" fieldPosition="0">
        <references count="4">
          <reference field="5" count="1">
            <x v="76"/>
          </reference>
          <reference field="8" count="1" selected="0">
            <x v="589"/>
          </reference>
          <reference field="11" count="1" selected="0">
            <x v="5"/>
          </reference>
          <reference field="13" count="1" selected="0">
            <x v="226"/>
          </reference>
        </references>
      </pivotArea>
    </format>
    <format dxfId="557">
      <pivotArea dataOnly="0" labelOnly="1" outline="0" fieldPosition="0">
        <references count="4">
          <reference field="5" count="2">
            <x v="64"/>
            <x v="89"/>
          </reference>
          <reference field="8" count="1" selected="0">
            <x v="590"/>
          </reference>
          <reference field="11" count="1" selected="0">
            <x v="1"/>
          </reference>
          <reference field="13" count="1" selected="0">
            <x v="169"/>
          </reference>
        </references>
      </pivotArea>
    </format>
    <format dxfId="556">
      <pivotArea dataOnly="0" labelOnly="1" outline="0" fieldPosition="0">
        <references count="4">
          <reference field="5" count="1">
            <x v="89"/>
          </reference>
          <reference field="8" count="1" selected="0">
            <x v="590"/>
          </reference>
          <reference field="11" count="1" selected="0">
            <x v="3"/>
          </reference>
          <reference field="13" count="1" selected="0">
            <x v="4"/>
          </reference>
        </references>
      </pivotArea>
    </format>
    <format dxfId="555">
      <pivotArea dataOnly="0" labelOnly="1" outline="0" fieldPosition="0">
        <references count="4">
          <reference field="5" count="1">
            <x v="89"/>
          </reference>
          <reference field="8" count="1" selected="0">
            <x v="590"/>
          </reference>
          <reference field="11" count="1" selected="0">
            <x v="3"/>
          </reference>
          <reference field="13" count="1" selected="0">
            <x v="287"/>
          </reference>
        </references>
      </pivotArea>
    </format>
    <format dxfId="554">
      <pivotArea dataOnly="0" labelOnly="1" outline="0" fieldPosition="0">
        <references count="4">
          <reference field="5" count="1">
            <x v="89"/>
          </reference>
          <reference field="8" count="1" selected="0">
            <x v="590"/>
          </reference>
          <reference field="11" count="1" selected="0">
            <x v="5"/>
          </reference>
          <reference field="13" count="1" selected="0">
            <x v="81"/>
          </reference>
        </references>
      </pivotArea>
    </format>
    <format dxfId="553">
      <pivotArea dataOnly="0" labelOnly="1" outline="0" fieldPosition="0">
        <references count="4">
          <reference field="5" count="1">
            <x v="45"/>
          </reference>
          <reference field="8" count="1" selected="0">
            <x v="592"/>
          </reference>
          <reference field="11" count="1" selected="0">
            <x v="3"/>
          </reference>
          <reference field="13" count="1" selected="0">
            <x v="4"/>
          </reference>
        </references>
      </pivotArea>
    </format>
    <format dxfId="552">
      <pivotArea dataOnly="0" labelOnly="1" outline="0" fieldPosition="0">
        <references count="4">
          <reference field="5" count="2">
            <x v="116"/>
            <x v="117"/>
          </reference>
          <reference field="8" count="1" selected="0">
            <x v="592"/>
          </reference>
          <reference field="11" count="1" selected="0">
            <x v="3"/>
          </reference>
          <reference field="13" count="1" selected="0">
            <x v="29"/>
          </reference>
        </references>
      </pivotArea>
    </format>
    <format dxfId="551">
      <pivotArea dataOnly="0" labelOnly="1" outline="0" fieldPosition="0">
        <references count="4">
          <reference field="5" count="1">
            <x v="45"/>
          </reference>
          <reference field="8" count="1" selected="0">
            <x v="592"/>
          </reference>
          <reference field="11" count="1" selected="0">
            <x v="3"/>
          </reference>
          <reference field="13" count="1" selected="0">
            <x v="39"/>
          </reference>
        </references>
      </pivotArea>
    </format>
    <format dxfId="550">
      <pivotArea dataOnly="0" labelOnly="1" outline="0" fieldPosition="0">
        <references count="4">
          <reference field="5" count="1">
            <x v="45"/>
          </reference>
          <reference field="8" count="1" selected="0">
            <x v="592"/>
          </reference>
          <reference field="11" count="1" selected="0">
            <x v="3"/>
          </reference>
          <reference field="13" count="1" selected="0">
            <x v="47"/>
          </reference>
        </references>
      </pivotArea>
    </format>
    <format dxfId="549">
      <pivotArea dataOnly="0" labelOnly="1" outline="0" fieldPosition="0">
        <references count="4">
          <reference field="5" count="1">
            <x v="45"/>
          </reference>
          <reference field="8" count="1" selected="0">
            <x v="592"/>
          </reference>
          <reference field="11" count="1" selected="0">
            <x v="3"/>
          </reference>
          <reference field="13" count="1" selected="0">
            <x v="49"/>
          </reference>
        </references>
      </pivotArea>
    </format>
    <format dxfId="548">
      <pivotArea dataOnly="0" labelOnly="1" outline="0" fieldPosition="0">
        <references count="4">
          <reference field="5" count="1">
            <x v="76"/>
          </reference>
          <reference field="8" count="1" selected="0">
            <x v="592"/>
          </reference>
          <reference field="11" count="1" selected="0">
            <x v="3"/>
          </reference>
          <reference field="13" count="1" selected="0">
            <x v="69"/>
          </reference>
        </references>
      </pivotArea>
    </format>
    <format dxfId="547">
      <pivotArea dataOnly="0" labelOnly="1" outline="0" fieldPosition="0">
        <references count="4">
          <reference field="5" count="2">
            <x v="45"/>
            <x v="117"/>
          </reference>
          <reference field="8" count="1" selected="0">
            <x v="592"/>
          </reference>
          <reference field="11" count="1" selected="0">
            <x v="3"/>
          </reference>
          <reference field="13" count="1" selected="0">
            <x v="218"/>
          </reference>
        </references>
      </pivotArea>
    </format>
    <format dxfId="546">
      <pivotArea dataOnly="0" labelOnly="1" outline="0" fieldPosition="0">
        <references count="4">
          <reference field="5" count="1">
            <x v="76"/>
          </reference>
          <reference field="8" count="1" selected="0">
            <x v="592"/>
          </reference>
          <reference field="11" count="1" selected="0">
            <x v="3"/>
          </reference>
          <reference field="13" count="1" selected="0">
            <x v="240"/>
          </reference>
        </references>
      </pivotArea>
    </format>
    <format dxfId="545">
      <pivotArea dataOnly="0" labelOnly="1" outline="0" fieldPosition="0">
        <references count="4">
          <reference field="5" count="1">
            <x v="76"/>
          </reference>
          <reference field="8" count="1" selected="0">
            <x v="592"/>
          </reference>
          <reference field="11" count="1" selected="0">
            <x v="3"/>
          </reference>
          <reference field="13" count="1" selected="0">
            <x v="243"/>
          </reference>
        </references>
      </pivotArea>
    </format>
    <format dxfId="544">
      <pivotArea dataOnly="0" labelOnly="1" outline="0" fieldPosition="0">
        <references count="4">
          <reference field="5" count="2">
            <x v="45"/>
            <x v="117"/>
          </reference>
          <reference field="8" count="1" selected="0">
            <x v="592"/>
          </reference>
          <reference field="11" count="1" selected="0">
            <x v="3"/>
          </reference>
          <reference field="13" count="1" selected="0">
            <x v="314"/>
          </reference>
        </references>
      </pivotArea>
    </format>
    <format dxfId="543">
      <pivotArea dataOnly="0" labelOnly="1" outline="0" fieldPosition="0">
        <references count="4">
          <reference field="5" count="2">
            <x v="20"/>
            <x v="45"/>
          </reference>
          <reference field="8" count="1" selected="0">
            <x v="592"/>
          </reference>
          <reference field="11" count="1" selected="0">
            <x v="5"/>
          </reference>
          <reference field="13" count="1" selected="0">
            <x v="81"/>
          </reference>
        </references>
      </pivotArea>
    </format>
    <format dxfId="542">
      <pivotArea dataOnly="0" labelOnly="1" outline="0" fieldPosition="0">
        <references count="4">
          <reference field="5" count="1">
            <x v="45"/>
          </reference>
          <reference field="8" count="1" selected="0">
            <x v="592"/>
          </reference>
          <reference field="11" count="1" selected="0">
            <x v="5"/>
          </reference>
          <reference field="13" count="1" selected="0">
            <x v="86"/>
          </reference>
        </references>
      </pivotArea>
    </format>
    <format dxfId="541">
      <pivotArea dataOnly="0" labelOnly="1" outline="0" fieldPosition="0">
        <references count="4">
          <reference field="5" count="1">
            <x v="76"/>
          </reference>
          <reference field="8" count="1" selected="0">
            <x v="592"/>
          </reference>
          <reference field="11" count="1" selected="0">
            <x v="7"/>
          </reference>
          <reference field="13" count="1" selected="0">
            <x v="72"/>
          </reference>
        </references>
      </pivotArea>
    </format>
    <format dxfId="540">
      <pivotArea dataOnly="0" labelOnly="1" outline="0" fieldPosition="0">
        <references count="4">
          <reference field="5" count="1">
            <x v="47"/>
          </reference>
          <reference field="8" count="1" selected="0">
            <x v="593"/>
          </reference>
          <reference field="11" count="1" selected="0">
            <x v="0"/>
          </reference>
          <reference field="13" count="1" selected="0">
            <x v="3"/>
          </reference>
        </references>
      </pivotArea>
    </format>
    <format dxfId="539">
      <pivotArea dataOnly="0" labelOnly="1" outline="0" fieldPosition="0">
        <references count="4">
          <reference field="5" count="1">
            <x v="47"/>
          </reference>
          <reference field="8" count="1" selected="0">
            <x v="593"/>
          </reference>
          <reference field="11" count="1" selected="0">
            <x v="0"/>
          </reference>
          <reference field="13" count="1" selected="0">
            <x v="34"/>
          </reference>
        </references>
      </pivotArea>
    </format>
    <format dxfId="538">
      <pivotArea dataOnly="0" labelOnly="1" outline="0" fieldPosition="0">
        <references count="4">
          <reference field="5" count="1">
            <x v="95"/>
          </reference>
          <reference field="8" count="1" selected="0">
            <x v="593"/>
          </reference>
          <reference field="11" count="1" selected="0">
            <x v="3"/>
          </reference>
          <reference field="13" count="1" selected="0">
            <x v="4"/>
          </reference>
        </references>
      </pivotArea>
    </format>
    <format dxfId="537">
      <pivotArea dataOnly="0" labelOnly="1" outline="0" fieldPosition="0">
        <references count="4">
          <reference field="5" count="2">
            <x v="116"/>
            <x v="117"/>
          </reference>
          <reference field="8" count="1" selected="0">
            <x v="593"/>
          </reference>
          <reference field="11" count="1" selected="0">
            <x v="3"/>
          </reference>
          <reference field="13" count="1" selected="0">
            <x v="29"/>
          </reference>
        </references>
      </pivotArea>
    </format>
    <format dxfId="536">
      <pivotArea dataOnly="0" labelOnly="1" outline="0" fieldPosition="0">
        <references count="4">
          <reference field="5" count="1">
            <x v="95"/>
          </reference>
          <reference field="8" count="1" selected="0">
            <x v="593"/>
          </reference>
          <reference field="11" count="1" selected="0">
            <x v="3"/>
          </reference>
          <reference field="13" count="1" selected="0">
            <x v="57"/>
          </reference>
        </references>
      </pivotArea>
    </format>
    <format dxfId="535">
      <pivotArea dataOnly="0" labelOnly="1" outline="0" fieldPosition="0">
        <references count="4">
          <reference field="5" count="1">
            <x v="117"/>
          </reference>
          <reference field="8" count="1" selected="0">
            <x v="593"/>
          </reference>
          <reference field="11" count="1" selected="0">
            <x v="3"/>
          </reference>
          <reference field="13" count="1" selected="0">
            <x v="218"/>
          </reference>
        </references>
      </pivotArea>
    </format>
    <format dxfId="534">
      <pivotArea dataOnly="0" labelOnly="1" outline="0" fieldPosition="0">
        <references count="4">
          <reference field="5" count="1">
            <x v="95"/>
          </reference>
          <reference field="8" count="1" selected="0">
            <x v="593"/>
          </reference>
          <reference field="11" count="1" selected="0">
            <x v="3"/>
          </reference>
          <reference field="13" count="1" selected="0">
            <x v="287"/>
          </reference>
        </references>
      </pivotArea>
    </format>
    <format dxfId="533">
      <pivotArea dataOnly="0" labelOnly="1" outline="0" fieldPosition="0">
        <references count="4">
          <reference field="5" count="1">
            <x v="95"/>
          </reference>
          <reference field="8" count="1" selected="0">
            <x v="593"/>
          </reference>
          <reference field="11" count="1" selected="0">
            <x v="3"/>
          </reference>
          <reference field="13" count="1" selected="0">
            <x v="313"/>
          </reference>
        </references>
      </pivotArea>
    </format>
    <format dxfId="532">
      <pivotArea dataOnly="0" labelOnly="1" outline="0" fieldPosition="0">
        <references count="4">
          <reference field="5" count="1">
            <x v="117"/>
          </reference>
          <reference field="8" count="1" selected="0">
            <x v="593"/>
          </reference>
          <reference field="11" count="1" selected="0">
            <x v="3"/>
          </reference>
          <reference field="13" count="1" selected="0">
            <x v="314"/>
          </reference>
        </references>
      </pivotArea>
    </format>
    <format dxfId="531">
      <pivotArea dataOnly="0" labelOnly="1" outline="0" fieldPosition="0">
        <references count="4">
          <reference field="5" count="1">
            <x v="95"/>
          </reference>
          <reference field="8" count="1" selected="0">
            <x v="593"/>
          </reference>
          <reference field="11" count="1" selected="0">
            <x v="4"/>
          </reference>
          <reference field="13" count="1" selected="0">
            <x v="280"/>
          </reference>
        </references>
      </pivotArea>
    </format>
    <format dxfId="530">
      <pivotArea dataOnly="0" labelOnly="1" outline="0" fieldPosition="0">
        <references count="4">
          <reference field="5" count="1">
            <x v="95"/>
          </reference>
          <reference field="8" count="1" selected="0">
            <x v="593"/>
          </reference>
          <reference field="11" count="1" selected="0">
            <x v="7"/>
          </reference>
          <reference field="13" count="1" selected="0">
            <x v="72"/>
          </reference>
        </references>
      </pivotArea>
    </format>
    <format dxfId="529">
      <pivotArea dataOnly="0" labelOnly="1" outline="0" fieldPosition="0">
        <references count="4">
          <reference field="5" count="1">
            <x v="72"/>
          </reference>
          <reference field="8" count="1" selected="0">
            <x v="594"/>
          </reference>
          <reference field="11" count="1" selected="0">
            <x v="0"/>
          </reference>
          <reference field="13" count="1" selected="0">
            <x v="3"/>
          </reference>
        </references>
      </pivotArea>
    </format>
    <format dxfId="528">
      <pivotArea dataOnly="0" labelOnly="1" outline="0" fieldPosition="0">
        <references count="4">
          <reference field="5" count="1">
            <x v="72"/>
          </reference>
          <reference field="8" count="1" selected="0">
            <x v="594"/>
          </reference>
          <reference field="11" count="1" selected="0">
            <x v="3"/>
          </reference>
          <reference field="13" count="1" selected="0">
            <x v="17"/>
          </reference>
        </references>
      </pivotArea>
    </format>
    <format dxfId="527">
      <pivotArea dataOnly="0" labelOnly="1" outline="0" fieldPosition="0">
        <references count="4">
          <reference field="5" count="1">
            <x v="72"/>
          </reference>
          <reference field="8" count="1" selected="0">
            <x v="594"/>
          </reference>
          <reference field="11" count="1" selected="0">
            <x v="3"/>
          </reference>
          <reference field="13" count="1" selected="0">
            <x v="20"/>
          </reference>
        </references>
      </pivotArea>
    </format>
    <format dxfId="526">
      <pivotArea dataOnly="0" labelOnly="1" outline="0" fieldPosition="0">
        <references count="4">
          <reference field="5" count="1">
            <x v="68"/>
          </reference>
          <reference field="8" count="1" selected="0">
            <x v="594"/>
          </reference>
          <reference field="11" count="1" selected="0">
            <x v="3"/>
          </reference>
          <reference field="13" count="1" selected="0">
            <x v="25"/>
          </reference>
        </references>
      </pivotArea>
    </format>
    <format dxfId="525">
      <pivotArea dataOnly="0" labelOnly="1" outline="0" fieldPosition="0">
        <references count="4">
          <reference field="5" count="2">
            <x v="68"/>
            <x v="72"/>
          </reference>
          <reference field="8" count="1" selected="0">
            <x v="594"/>
          </reference>
          <reference field="11" count="1" selected="0">
            <x v="3"/>
          </reference>
          <reference field="13" count="1" selected="0">
            <x v="32"/>
          </reference>
        </references>
      </pivotArea>
    </format>
    <format dxfId="524">
      <pivotArea dataOnly="0" labelOnly="1" outline="0" fieldPosition="0">
        <references count="4">
          <reference field="5" count="1">
            <x v="72"/>
          </reference>
          <reference field="8" count="1" selected="0">
            <x v="594"/>
          </reference>
          <reference field="11" count="1" selected="0">
            <x v="3"/>
          </reference>
          <reference field="13" count="1" selected="0">
            <x v="57"/>
          </reference>
        </references>
      </pivotArea>
    </format>
    <format dxfId="523">
      <pivotArea dataOnly="0" labelOnly="1" outline="0" fieldPosition="0">
        <references count="4">
          <reference field="5" count="1">
            <x v="72"/>
          </reference>
          <reference field="8" count="1" selected="0">
            <x v="594"/>
          </reference>
          <reference field="11" count="1" selected="0">
            <x v="3"/>
          </reference>
          <reference field="13" count="1" selected="0">
            <x v="62"/>
          </reference>
        </references>
      </pivotArea>
    </format>
    <format dxfId="522">
      <pivotArea dataOnly="0" labelOnly="1" outline="0" fieldPosition="0">
        <references count="4">
          <reference field="5" count="1">
            <x v="79"/>
          </reference>
          <reference field="8" count="1" selected="0">
            <x v="594"/>
          </reference>
          <reference field="11" count="1" selected="0">
            <x v="3"/>
          </reference>
          <reference field="13" count="1" selected="0">
            <x v="78"/>
          </reference>
        </references>
      </pivotArea>
    </format>
    <format dxfId="521">
      <pivotArea dataOnly="0" labelOnly="1" outline="0" fieldPosition="0">
        <references count="4">
          <reference field="5" count="2">
            <x v="68"/>
            <x v="71"/>
          </reference>
          <reference field="8" count="1" selected="0">
            <x v="594"/>
          </reference>
          <reference field="11" count="1" selected="0">
            <x v="3"/>
          </reference>
          <reference field="13" count="1" selected="0">
            <x v="134"/>
          </reference>
        </references>
      </pivotArea>
    </format>
    <format dxfId="520">
      <pivotArea dataOnly="0" labelOnly="1" outline="0" fieldPosition="0">
        <references count="4">
          <reference field="5" count="1">
            <x v="68"/>
          </reference>
          <reference field="8" count="1" selected="0">
            <x v="594"/>
          </reference>
          <reference field="11" count="1" selected="0">
            <x v="3"/>
          </reference>
          <reference field="13" count="1" selected="0">
            <x v="240"/>
          </reference>
        </references>
      </pivotArea>
    </format>
    <format dxfId="519">
      <pivotArea dataOnly="0" labelOnly="1" outline="0" fieldPosition="0">
        <references count="4">
          <reference field="5" count="1">
            <x v="72"/>
          </reference>
          <reference field="8" count="1" selected="0">
            <x v="594"/>
          </reference>
          <reference field="11" count="1" selected="0">
            <x v="3"/>
          </reference>
          <reference field="13" count="1" selected="0">
            <x v="242"/>
          </reference>
        </references>
      </pivotArea>
    </format>
    <format dxfId="518">
      <pivotArea dataOnly="0" labelOnly="1" outline="0" fieldPosition="0">
        <references count="4">
          <reference field="5" count="1">
            <x v="71"/>
          </reference>
          <reference field="8" count="1" selected="0">
            <x v="594"/>
          </reference>
          <reference field="11" count="1" selected="0">
            <x v="3"/>
          </reference>
          <reference field="13" count="1" selected="0">
            <x v="243"/>
          </reference>
        </references>
      </pivotArea>
    </format>
    <format dxfId="517">
      <pivotArea dataOnly="0" labelOnly="1" outline="0" fieldPosition="0">
        <references count="4">
          <reference field="5" count="1">
            <x v="72"/>
          </reference>
          <reference field="8" count="1" selected="0">
            <x v="594"/>
          </reference>
          <reference field="11" count="1" selected="0">
            <x v="3"/>
          </reference>
          <reference field="13" count="1" selected="0">
            <x v="251"/>
          </reference>
        </references>
      </pivotArea>
    </format>
    <format dxfId="516">
      <pivotArea dataOnly="0" labelOnly="1" outline="0" fieldPosition="0">
        <references count="4">
          <reference field="5" count="3">
            <x v="68"/>
            <x v="72"/>
            <x v="80"/>
          </reference>
          <reference field="8" count="1" selected="0">
            <x v="594"/>
          </reference>
          <reference field="11" count="1" selected="0">
            <x v="3"/>
          </reference>
          <reference field="13" count="1" selected="0">
            <x v="287"/>
          </reference>
        </references>
      </pivotArea>
    </format>
    <format dxfId="515">
      <pivotArea dataOnly="0" labelOnly="1" outline="0" fieldPosition="0">
        <references count="4">
          <reference field="5" count="1">
            <x v="72"/>
          </reference>
          <reference field="8" count="1" selected="0">
            <x v="594"/>
          </reference>
          <reference field="11" count="1" selected="0">
            <x v="3"/>
          </reference>
          <reference field="13" count="1" selected="0">
            <x v="305"/>
          </reference>
        </references>
      </pivotArea>
    </format>
    <format dxfId="514">
      <pivotArea dataOnly="0" labelOnly="1" outline="0" fieldPosition="0">
        <references count="4">
          <reference field="5" count="2">
            <x v="68"/>
            <x v="72"/>
          </reference>
          <reference field="8" count="1" selected="0">
            <x v="594"/>
          </reference>
          <reference field="11" count="1" selected="0">
            <x v="4"/>
          </reference>
          <reference field="13" count="1" selected="0">
            <x v="133"/>
          </reference>
        </references>
      </pivotArea>
    </format>
    <format dxfId="513">
      <pivotArea dataOnly="0" labelOnly="1" outline="0" fieldPosition="0">
        <references count="4">
          <reference field="5" count="1">
            <x v="79"/>
          </reference>
          <reference field="8" count="1" selected="0">
            <x v="594"/>
          </reference>
          <reference field="11" count="1" selected="0">
            <x v="4"/>
          </reference>
          <reference field="13" count="1" selected="0">
            <x v="158"/>
          </reference>
        </references>
      </pivotArea>
    </format>
    <format dxfId="512">
      <pivotArea dataOnly="0" labelOnly="1" outline="0" fieldPosition="0">
        <references count="4">
          <reference field="5" count="1">
            <x v="79"/>
          </reference>
          <reference field="8" count="1" selected="0">
            <x v="594"/>
          </reference>
          <reference field="11" count="1" selected="0">
            <x v="4"/>
          </reference>
          <reference field="13" count="1" selected="0">
            <x v="280"/>
          </reference>
        </references>
      </pivotArea>
    </format>
    <format dxfId="511">
      <pivotArea dataOnly="0" labelOnly="1" outline="0" fieldPosition="0">
        <references count="4">
          <reference field="5" count="1">
            <x v="72"/>
          </reference>
          <reference field="8" count="1" selected="0">
            <x v="594"/>
          </reference>
          <reference field="11" count="1" selected="0">
            <x v="5"/>
          </reference>
          <reference field="13" count="1" selected="0">
            <x v="77"/>
          </reference>
        </references>
      </pivotArea>
    </format>
    <format dxfId="510">
      <pivotArea dataOnly="0" labelOnly="1" outline="0" fieldPosition="0">
        <references count="4">
          <reference field="5" count="1">
            <x v="72"/>
          </reference>
          <reference field="8" count="1" selected="0">
            <x v="594"/>
          </reference>
          <reference field="11" count="1" selected="0">
            <x v="5"/>
          </reference>
          <reference field="13" count="1" selected="0">
            <x v="81"/>
          </reference>
        </references>
      </pivotArea>
    </format>
    <format dxfId="509">
      <pivotArea dataOnly="0" labelOnly="1" outline="0" fieldPosition="0">
        <references count="4">
          <reference field="5" count="1">
            <x v="68"/>
          </reference>
          <reference field="8" count="1" selected="0">
            <x v="594"/>
          </reference>
          <reference field="11" count="1" selected="0">
            <x v="5"/>
          </reference>
          <reference field="13" count="1" selected="0">
            <x v="226"/>
          </reference>
        </references>
      </pivotArea>
    </format>
    <format dxfId="508">
      <pivotArea dataOnly="0" labelOnly="1" outline="0" fieldPosition="0">
        <references count="4">
          <reference field="5" count="1">
            <x v="68"/>
          </reference>
          <reference field="8" count="1" selected="0">
            <x v="594"/>
          </reference>
          <reference field="11" count="1" selected="0">
            <x v="5"/>
          </reference>
          <reference field="13" count="1" selected="0">
            <x v="229"/>
          </reference>
        </references>
      </pivotArea>
    </format>
    <format dxfId="507">
      <pivotArea dataOnly="0" labelOnly="1" outline="0" fieldPosition="0">
        <references count="4">
          <reference field="5" count="1">
            <x v="47"/>
          </reference>
          <reference field="8" count="1" selected="0">
            <x v="595"/>
          </reference>
          <reference field="11" count="1" selected="0">
            <x v="0"/>
          </reference>
          <reference field="13" count="1" selected="0">
            <x v="3"/>
          </reference>
        </references>
      </pivotArea>
    </format>
    <format dxfId="506">
      <pivotArea dataOnly="0" labelOnly="1" outline="0" fieldPosition="0">
        <references count="4">
          <reference field="5" count="1">
            <x v="118"/>
          </reference>
          <reference field="8" count="1" selected="0">
            <x v="595"/>
          </reference>
          <reference field="11" count="1" selected="0">
            <x v="0"/>
          </reference>
          <reference field="13" count="1" selected="0">
            <x v="194"/>
          </reference>
        </references>
      </pivotArea>
    </format>
    <format dxfId="505">
      <pivotArea dataOnly="0" labelOnly="1" outline="0" fieldPosition="0">
        <references count="4">
          <reference field="5" count="1">
            <x v="118"/>
          </reference>
          <reference field="8" count="1" selected="0">
            <x v="595"/>
          </reference>
          <reference field="11" count="1" selected="0">
            <x v="0"/>
          </reference>
          <reference field="13" count="1" selected="0">
            <x v="197"/>
          </reference>
        </references>
      </pivotArea>
    </format>
    <format dxfId="504">
      <pivotArea dataOnly="0" labelOnly="1" outline="0" fieldPosition="0">
        <references count="4">
          <reference field="5" count="1">
            <x v="118"/>
          </reference>
          <reference field="8" count="1" selected="0">
            <x v="595"/>
          </reference>
          <reference field="11" count="1" selected="0">
            <x v="0"/>
          </reference>
          <reference field="13" count="1" selected="0">
            <x v="201"/>
          </reference>
        </references>
      </pivotArea>
    </format>
    <format dxfId="503">
      <pivotArea dataOnly="0" labelOnly="1" outline="0" fieldPosition="0">
        <references count="4">
          <reference field="5" count="2">
            <x v="116"/>
            <x v="117"/>
          </reference>
          <reference field="8" count="1" selected="0">
            <x v="595"/>
          </reference>
          <reference field="11" count="1" selected="0">
            <x v="3"/>
          </reference>
          <reference field="13" count="1" selected="0">
            <x v="29"/>
          </reference>
        </references>
      </pivotArea>
    </format>
    <format dxfId="502">
      <pivotArea dataOnly="0" labelOnly="1" outline="0" fieldPosition="0">
        <references count="4">
          <reference field="5" count="1">
            <x v="117"/>
          </reference>
          <reference field="8" count="1" selected="0">
            <x v="595"/>
          </reference>
          <reference field="11" count="1" selected="0">
            <x v="3"/>
          </reference>
          <reference field="13" count="1" selected="0">
            <x v="218"/>
          </reference>
        </references>
      </pivotArea>
    </format>
    <format dxfId="501">
      <pivotArea dataOnly="0" labelOnly="1" outline="0" fieldPosition="0">
        <references count="4">
          <reference field="5" count="1">
            <x v="117"/>
          </reference>
          <reference field="8" count="1" selected="0">
            <x v="595"/>
          </reference>
          <reference field="11" count="1" selected="0">
            <x v="3"/>
          </reference>
          <reference field="13" count="1" selected="0">
            <x v="314"/>
          </reference>
        </references>
      </pivotArea>
    </format>
    <format dxfId="500">
      <pivotArea dataOnly="0" labelOnly="1" outline="0" fieldPosition="0">
        <references count="4">
          <reference field="5" count="1">
            <x v="116"/>
          </reference>
          <reference field="8" count="1" selected="0">
            <x v="595"/>
          </reference>
          <reference field="11" count="1" selected="0">
            <x v="5"/>
          </reference>
          <reference field="13" count="1" selected="0">
            <x v="77"/>
          </reference>
        </references>
      </pivotArea>
    </format>
    <format dxfId="499">
      <pivotArea dataOnly="0" labelOnly="1" outline="0" fieldPosition="0">
        <references count="4">
          <reference field="5" count="1">
            <x v="38"/>
          </reference>
          <reference field="8" count="1" selected="0">
            <x v="595"/>
          </reference>
          <reference field="11" count="1" selected="0">
            <x v="5"/>
          </reference>
          <reference field="13" count="1" selected="0">
            <x v="137"/>
          </reference>
        </references>
      </pivotArea>
    </format>
    <format dxfId="498">
      <pivotArea dataOnly="0" labelOnly="1" outline="0" fieldPosition="0">
        <references count="4">
          <reference field="5" count="1">
            <x v="2"/>
          </reference>
          <reference field="8" count="1" selected="0">
            <x v="595"/>
          </reference>
          <reference field="11" count="1" selected="0">
            <x v="5"/>
          </reference>
          <reference field="13" count="1" selected="0">
            <x v="268"/>
          </reference>
        </references>
      </pivotArea>
    </format>
    <format dxfId="497">
      <pivotArea dataOnly="0" labelOnly="1" outline="0" fieldPosition="0">
        <references count="4">
          <reference field="5" count="2">
            <x v="116"/>
            <x v="117"/>
          </reference>
          <reference field="8" count="1" selected="0">
            <x v="596"/>
          </reference>
          <reference field="11" count="1" selected="0">
            <x v="3"/>
          </reference>
          <reference field="13" count="1" selected="0">
            <x v="29"/>
          </reference>
        </references>
      </pivotArea>
    </format>
    <format dxfId="496">
      <pivotArea dataOnly="0" labelOnly="1" outline="0" fieldPosition="0">
        <references count="4">
          <reference field="5" count="1">
            <x v="117"/>
          </reference>
          <reference field="8" count="1" selected="0">
            <x v="596"/>
          </reference>
          <reference field="11" count="1" selected="0">
            <x v="3"/>
          </reference>
          <reference field="13" count="1" selected="0">
            <x v="218"/>
          </reference>
        </references>
      </pivotArea>
    </format>
    <format dxfId="495">
      <pivotArea dataOnly="0" labelOnly="1" outline="0" fieldPosition="0">
        <references count="4">
          <reference field="5" count="1">
            <x v="117"/>
          </reference>
          <reference field="8" count="1" selected="0">
            <x v="596"/>
          </reference>
          <reference field="11" count="1" selected="0">
            <x v="3"/>
          </reference>
          <reference field="13" count="1" selected="0">
            <x v="314"/>
          </reference>
        </references>
      </pivotArea>
    </format>
    <format dxfId="494">
      <pivotArea dataOnly="0" labelOnly="1" outline="0" fieldPosition="0">
        <references count="4">
          <reference field="5" count="1">
            <x v="45"/>
          </reference>
          <reference field="8" count="1" selected="0">
            <x v="597"/>
          </reference>
          <reference field="11" count="1" selected="0">
            <x v="3"/>
          </reference>
          <reference field="13" count="1" selected="0">
            <x v="4"/>
          </reference>
        </references>
      </pivotArea>
    </format>
    <format dxfId="493">
      <pivotArea dataOnly="0" labelOnly="1" outline="0" fieldPosition="0">
        <references count="4">
          <reference field="5" count="2">
            <x v="116"/>
            <x v="117"/>
          </reference>
          <reference field="8" count="1" selected="0">
            <x v="597"/>
          </reference>
          <reference field="11" count="1" selected="0">
            <x v="3"/>
          </reference>
          <reference field="13" count="1" selected="0">
            <x v="29"/>
          </reference>
        </references>
      </pivotArea>
    </format>
    <format dxfId="492">
      <pivotArea dataOnly="0" labelOnly="1" outline="0" fieldPosition="0">
        <references count="4">
          <reference field="5" count="1">
            <x v="45"/>
          </reference>
          <reference field="8" count="1" selected="0">
            <x v="597"/>
          </reference>
          <reference field="11" count="1" selected="0">
            <x v="3"/>
          </reference>
          <reference field="13" count="1" selected="0">
            <x v="39"/>
          </reference>
        </references>
      </pivotArea>
    </format>
    <format dxfId="491">
      <pivotArea dataOnly="0" labelOnly="1" outline="0" fieldPosition="0">
        <references count="4">
          <reference field="5" count="1">
            <x v="45"/>
          </reference>
          <reference field="8" count="1" selected="0">
            <x v="597"/>
          </reference>
          <reference field="11" count="1" selected="0">
            <x v="3"/>
          </reference>
          <reference field="13" count="1" selected="0">
            <x v="47"/>
          </reference>
        </references>
      </pivotArea>
    </format>
    <format dxfId="490">
      <pivotArea dataOnly="0" labelOnly="1" outline="0" fieldPosition="0">
        <references count="4">
          <reference field="5" count="1">
            <x v="45"/>
          </reference>
          <reference field="8" count="1" selected="0">
            <x v="597"/>
          </reference>
          <reference field="11" count="1" selected="0">
            <x v="3"/>
          </reference>
          <reference field="13" count="1" selected="0">
            <x v="49"/>
          </reference>
        </references>
      </pivotArea>
    </format>
    <format dxfId="489">
      <pivotArea dataOnly="0" labelOnly="1" outline="0" fieldPosition="0">
        <references count="4">
          <reference field="5" count="2">
            <x v="45"/>
            <x v="117"/>
          </reference>
          <reference field="8" count="1" selected="0">
            <x v="597"/>
          </reference>
          <reference field="11" count="1" selected="0">
            <x v="3"/>
          </reference>
          <reference field="13" count="1" selected="0">
            <x v="218"/>
          </reference>
        </references>
      </pivotArea>
    </format>
    <format dxfId="488">
      <pivotArea dataOnly="0" labelOnly="1" outline="0" fieldPosition="0">
        <references count="4">
          <reference field="5" count="1">
            <x v="44"/>
          </reference>
          <reference field="8" count="1" selected="0">
            <x v="597"/>
          </reference>
          <reference field="11" count="1" selected="0">
            <x v="3"/>
          </reference>
          <reference field="13" count="1" selected="0">
            <x v="287"/>
          </reference>
        </references>
      </pivotArea>
    </format>
    <format dxfId="487">
      <pivotArea dataOnly="0" labelOnly="1" outline="0" fieldPosition="0">
        <references count="4">
          <reference field="5" count="2">
            <x v="45"/>
            <x v="117"/>
          </reference>
          <reference field="8" count="1" selected="0">
            <x v="597"/>
          </reference>
          <reference field="11" count="1" selected="0">
            <x v="3"/>
          </reference>
          <reference field="13" count="1" selected="0">
            <x v="314"/>
          </reference>
        </references>
      </pivotArea>
    </format>
    <format dxfId="486">
      <pivotArea dataOnly="0" labelOnly="1" outline="0" fieldPosition="0">
        <references count="4">
          <reference field="5" count="1">
            <x v="44"/>
          </reference>
          <reference field="8" count="1" selected="0">
            <x v="597"/>
          </reference>
          <reference field="11" count="1" selected="0">
            <x v="5"/>
          </reference>
          <reference field="13" count="1" selected="0">
            <x v="77"/>
          </reference>
        </references>
      </pivotArea>
    </format>
    <format dxfId="485">
      <pivotArea dataOnly="0" labelOnly="1" outline="0" fieldPosition="0">
        <references count="4">
          <reference field="5" count="1">
            <x v="44"/>
          </reference>
          <reference field="8" count="1" selected="0">
            <x v="597"/>
          </reference>
          <reference field="11" count="1" selected="0">
            <x v="5"/>
          </reference>
          <reference field="13" count="1" selected="0">
            <x v="81"/>
          </reference>
        </references>
      </pivotArea>
    </format>
    <format dxfId="484">
      <pivotArea dataOnly="0" labelOnly="1" outline="0" fieldPosition="0">
        <references count="4">
          <reference field="5" count="1">
            <x v="45"/>
          </reference>
          <reference field="8" count="1" selected="0">
            <x v="597"/>
          </reference>
          <reference field="11" count="1" selected="0">
            <x v="5"/>
          </reference>
          <reference field="13" count="1" selected="0">
            <x v="86"/>
          </reference>
        </references>
      </pivotArea>
    </format>
    <format dxfId="483">
      <pivotArea dataOnly="0" labelOnly="1" outline="0" fieldPosition="0">
        <references count="4">
          <reference field="5" count="1">
            <x v="44"/>
          </reference>
          <reference field="8" count="1" selected="0">
            <x v="597"/>
          </reference>
          <reference field="11" count="1" selected="0">
            <x v="5"/>
          </reference>
          <reference field="13" count="1" selected="0">
            <x v="300"/>
          </reference>
        </references>
      </pivotArea>
    </format>
    <format dxfId="482">
      <pivotArea dataOnly="0" labelOnly="1" outline="0" fieldPosition="0">
        <references count="4">
          <reference field="5" count="1">
            <x v="44"/>
          </reference>
          <reference field="8" count="1" selected="0">
            <x v="597"/>
          </reference>
          <reference field="11" count="1" selected="0">
            <x v="5"/>
          </reference>
          <reference field="13" count="1" selected="0">
            <x v="301"/>
          </reference>
        </references>
      </pivotArea>
    </format>
    <format dxfId="481">
      <pivotArea dataOnly="0" labelOnly="1" outline="0" fieldPosition="0">
        <references count="4">
          <reference field="5" count="1">
            <x v="44"/>
          </reference>
          <reference field="8" count="1" selected="0">
            <x v="597"/>
          </reference>
          <reference field="11" count="1" selected="0">
            <x v="6"/>
          </reference>
          <reference field="13" count="1" selected="0">
            <x v="291"/>
          </reference>
        </references>
      </pivotArea>
    </format>
    <format dxfId="480">
      <pivotArea dataOnly="0" labelOnly="1" outline="0" fieldPosition="0">
        <references count="4">
          <reference field="5" count="1">
            <x v="44"/>
          </reference>
          <reference field="8" count="1" selected="0">
            <x v="597"/>
          </reference>
          <reference field="11" count="1" selected="0">
            <x v="6"/>
          </reference>
          <reference field="13" count="1" selected="0">
            <x v="292"/>
          </reference>
        </references>
      </pivotArea>
    </format>
    <format dxfId="479">
      <pivotArea dataOnly="0" labelOnly="1" outline="0" fieldPosition="0">
        <references count="4">
          <reference field="5" count="1">
            <x v="70"/>
          </reference>
          <reference field="8" count="1" selected="0">
            <x v="598"/>
          </reference>
          <reference field="11" count="1" selected="0">
            <x v="1"/>
          </reference>
          <reference field="13" count="1" selected="0">
            <x v="167"/>
          </reference>
        </references>
      </pivotArea>
    </format>
    <format dxfId="478">
      <pivotArea dataOnly="0" labelOnly="1" outline="0" fieldPosition="0">
        <references count="4">
          <reference field="5" count="1">
            <x v="70"/>
          </reference>
          <reference field="8" count="1" selected="0">
            <x v="598"/>
          </reference>
          <reference field="11" count="1" selected="0">
            <x v="1"/>
          </reference>
          <reference field="13" count="1" selected="0">
            <x v="187"/>
          </reference>
        </references>
      </pivotArea>
    </format>
    <format dxfId="477">
      <pivotArea dataOnly="0" labelOnly="1" outline="0" fieldPosition="0">
        <references count="4">
          <reference field="5" count="1">
            <x v="70"/>
          </reference>
          <reference field="8" count="1" selected="0">
            <x v="598"/>
          </reference>
          <reference field="11" count="1" selected="0">
            <x v="1"/>
          </reference>
          <reference field="13" count="1" selected="0">
            <x v="286"/>
          </reference>
        </references>
      </pivotArea>
    </format>
    <format dxfId="476">
      <pivotArea dataOnly="0" labelOnly="1" outline="0" fieldPosition="0">
        <references count="4">
          <reference field="5" count="1">
            <x v="111"/>
          </reference>
          <reference field="8" count="1" selected="0">
            <x v="599"/>
          </reference>
          <reference field="11" count="1" selected="0">
            <x v="1"/>
          </reference>
          <reference field="13" count="1" selected="0">
            <x v="9"/>
          </reference>
        </references>
      </pivotArea>
    </format>
    <format dxfId="475">
      <pivotArea dataOnly="0" labelOnly="1" outline="0" fieldPosition="0">
        <references count="4">
          <reference field="5" count="2">
            <x v="101"/>
            <x v="111"/>
          </reference>
          <reference field="8" count="1" selected="0">
            <x v="599"/>
          </reference>
          <reference field="11" count="1" selected="0">
            <x v="3"/>
          </reference>
          <reference field="13" count="1" selected="0">
            <x v="17"/>
          </reference>
        </references>
      </pivotArea>
    </format>
    <format dxfId="474">
      <pivotArea dataOnly="0" labelOnly="1" outline="0" fieldPosition="0">
        <references count="4">
          <reference field="5" count="1">
            <x v="111"/>
          </reference>
          <reference field="8" count="1" selected="0">
            <x v="599"/>
          </reference>
          <reference field="11" count="1" selected="0">
            <x v="3"/>
          </reference>
          <reference field="13" count="1" selected="0">
            <x v="305"/>
          </reference>
        </references>
      </pivotArea>
    </format>
    <format dxfId="473">
      <pivotArea dataOnly="0" labelOnly="1" outline="0" fieldPosition="0">
        <references count="4">
          <reference field="5" count="1">
            <x v="111"/>
          </reference>
          <reference field="8" count="1" selected="0">
            <x v="599"/>
          </reference>
          <reference field="11" count="1" selected="0">
            <x v="7"/>
          </reference>
          <reference field="13" count="1" selected="0">
            <x v="72"/>
          </reference>
        </references>
      </pivotArea>
    </format>
    <format dxfId="472">
      <pivotArea dataOnly="0" labelOnly="1" outline="0" fieldPosition="0">
        <references count="4">
          <reference field="5" count="1">
            <x v="101"/>
          </reference>
          <reference field="8" count="1" selected="0">
            <x v="599"/>
          </reference>
          <reference field="11" count="1" selected="0">
            <x v="7"/>
          </reference>
          <reference field="13" count="1" selected="0">
            <x v="93"/>
          </reference>
        </references>
      </pivotArea>
    </format>
    <format dxfId="471">
      <pivotArea dataOnly="0" labelOnly="1" outline="0" fieldPosition="0">
        <references count="4">
          <reference field="5" count="2">
            <x v="116"/>
            <x v="117"/>
          </reference>
          <reference field="8" count="1" selected="0">
            <x v="600"/>
          </reference>
          <reference field="11" count="1" selected="0">
            <x v="3"/>
          </reference>
          <reference field="13" count="1" selected="0">
            <x v="29"/>
          </reference>
        </references>
      </pivotArea>
    </format>
    <format dxfId="470">
      <pivotArea dataOnly="0" labelOnly="1" outline="0" fieldPosition="0">
        <references count="4">
          <reference field="5" count="2">
            <x v="29"/>
            <x v="115"/>
          </reference>
          <reference field="8" count="1" selected="0">
            <x v="600"/>
          </reference>
          <reference field="11" count="1" selected="0">
            <x v="3"/>
          </reference>
          <reference field="13" count="1" selected="0">
            <x v="69"/>
          </reference>
        </references>
      </pivotArea>
    </format>
    <format dxfId="469">
      <pivotArea dataOnly="0" labelOnly="1" outline="0" fieldPosition="0">
        <references count="4">
          <reference field="5" count="1">
            <x v="117"/>
          </reference>
          <reference field="8" count="1" selected="0">
            <x v="600"/>
          </reference>
          <reference field="11" count="1" selected="0">
            <x v="3"/>
          </reference>
          <reference field="13" count="1" selected="0">
            <x v="218"/>
          </reference>
        </references>
      </pivotArea>
    </format>
    <format dxfId="468">
      <pivotArea dataOnly="0" labelOnly="1" outline="0" fieldPosition="0">
        <references count="4">
          <reference field="5" count="1">
            <x v="117"/>
          </reference>
          <reference field="8" count="1" selected="0">
            <x v="600"/>
          </reference>
          <reference field="11" count="1" selected="0">
            <x v="3"/>
          </reference>
          <reference field="13" count="1" selected="0">
            <x v="314"/>
          </reference>
        </references>
      </pivotArea>
    </format>
    <format dxfId="467">
      <pivotArea dataOnly="0" labelOnly="1" outline="0" fieldPosition="0">
        <references count="4">
          <reference field="5" count="1">
            <x v="116"/>
          </reference>
          <reference field="8" count="1" selected="0">
            <x v="600"/>
          </reference>
          <reference field="11" count="1" selected="0">
            <x v="5"/>
          </reference>
          <reference field="13" count="1" selected="0">
            <x v="81"/>
          </reference>
        </references>
      </pivotArea>
    </format>
    <format dxfId="466">
      <pivotArea dataOnly="0" labelOnly="1" outline="0" fieldPosition="0">
        <references count="4">
          <reference field="5" count="2">
            <x v="116"/>
            <x v="117"/>
          </reference>
          <reference field="8" count="1" selected="0">
            <x v="601"/>
          </reference>
          <reference field="11" count="1" selected="0">
            <x v="3"/>
          </reference>
          <reference field="13" count="1" selected="0">
            <x v="29"/>
          </reference>
        </references>
      </pivotArea>
    </format>
    <format dxfId="465">
      <pivotArea dataOnly="0" labelOnly="1" outline="0" fieldPosition="0">
        <references count="4">
          <reference field="5" count="1">
            <x v="117"/>
          </reference>
          <reference field="8" count="1" selected="0">
            <x v="601"/>
          </reference>
          <reference field="11" count="1" selected="0">
            <x v="3"/>
          </reference>
          <reference field="13" count="1" selected="0">
            <x v="218"/>
          </reference>
        </references>
      </pivotArea>
    </format>
    <format dxfId="464">
      <pivotArea dataOnly="0" labelOnly="1" outline="0" fieldPosition="0">
        <references count="4">
          <reference field="5" count="2">
            <x v="70"/>
            <x v="116"/>
          </reference>
          <reference field="8" count="1" selected="0">
            <x v="601"/>
          </reference>
          <reference field="11" count="1" selected="0">
            <x v="3"/>
          </reference>
          <reference field="13" count="1" selected="0">
            <x v="240"/>
          </reference>
        </references>
      </pivotArea>
    </format>
    <format dxfId="463">
      <pivotArea dataOnly="0" labelOnly="1" outline="0" fieldPosition="0">
        <references count="4">
          <reference field="5" count="1">
            <x v="70"/>
          </reference>
          <reference field="8" count="1" selected="0">
            <x v="601"/>
          </reference>
          <reference field="11" count="1" selected="0">
            <x v="3"/>
          </reference>
          <reference field="13" count="1" selected="0">
            <x v="242"/>
          </reference>
        </references>
      </pivotArea>
    </format>
    <format dxfId="462">
      <pivotArea dataOnly="0" labelOnly="1" outline="0" fieldPosition="0">
        <references count="4">
          <reference field="5" count="1">
            <x v="70"/>
          </reference>
          <reference field="8" count="1" selected="0">
            <x v="601"/>
          </reference>
          <reference field="11" count="1" selected="0">
            <x v="3"/>
          </reference>
          <reference field="13" count="1" selected="0">
            <x v="243"/>
          </reference>
        </references>
      </pivotArea>
    </format>
    <format dxfId="461">
      <pivotArea dataOnly="0" labelOnly="1" outline="0" fieldPosition="0">
        <references count="4">
          <reference field="5" count="1">
            <x v="117"/>
          </reference>
          <reference field="8" count="1" selected="0">
            <x v="601"/>
          </reference>
          <reference field="11" count="1" selected="0">
            <x v="3"/>
          </reference>
          <reference field="13" count="1" selected="0">
            <x v="314"/>
          </reference>
        </references>
      </pivotArea>
    </format>
    <format dxfId="460">
      <pivotArea dataOnly="0" labelOnly="1" outline="0" fieldPosition="0">
        <references count="4">
          <reference field="5" count="1">
            <x v="20"/>
          </reference>
          <reference field="8" count="1" selected="0">
            <x v="601"/>
          </reference>
          <reference field="11" count="1" selected="0">
            <x v="5"/>
          </reference>
          <reference field="13" count="1" selected="0">
            <x v="77"/>
          </reference>
        </references>
      </pivotArea>
    </format>
    <format dxfId="459">
      <pivotArea dataOnly="0" labelOnly="1" outline="0" fieldPosition="0">
        <references count="4">
          <reference field="5" count="2">
            <x v="20"/>
            <x v="116"/>
          </reference>
          <reference field="8" count="1" selected="0">
            <x v="601"/>
          </reference>
          <reference field="11" count="1" selected="0">
            <x v="5"/>
          </reference>
          <reference field="13" count="1" selected="0">
            <x v="81"/>
          </reference>
        </references>
      </pivotArea>
    </format>
    <format dxfId="458">
      <pivotArea dataOnly="0" labelOnly="1" outline="0" fieldPosition="0">
        <references count="4">
          <reference field="5" count="1">
            <x v="70"/>
          </reference>
          <reference field="8" count="1" selected="0">
            <x v="601"/>
          </reference>
          <reference field="11" count="1" selected="0">
            <x v="5"/>
          </reference>
          <reference field="13" count="1" selected="0">
            <x v="96"/>
          </reference>
        </references>
      </pivotArea>
    </format>
    <format dxfId="457">
      <pivotArea dataOnly="0" labelOnly="1" outline="0" fieldPosition="0">
        <references count="4">
          <reference field="5" count="1">
            <x v="116"/>
          </reference>
          <reference field="8" count="1" selected="0">
            <x v="601"/>
          </reference>
          <reference field="11" count="1" selected="0">
            <x v="5"/>
          </reference>
          <reference field="13" count="1" selected="0">
            <x v="209"/>
          </reference>
        </references>
      </pivotArea>
    </format>
    <format dxfId="456">
      <pivotArea dataOnly="0" labelOnly="1" outline="0" fieldPosition="0">
        <references count="4">
          <reference field="5" count="1">
            <x v="45"/>
          </reference>
          <reference field="8" count="1" selected="0">
            <x v="602"/>
          </reference>
          <reference field="11" count="1" selected="0">
            <x v="3"/>
          </reference>
          <reference field="13" count="1" selected="0">
            <x v="4"/>
          </reference>
        </references>
      </pivotArea>
    </format>
    <format dxfId="455">
      <pivotArea dataOnly="0" labelOnly="1" outline="0" fieldPosition="0">
        <references count="4">
          <reference field="5" count="2">
            <x v="116"/>
            <x v="117"/>
          </reference>
          <reference field="8" count="1" selected="0">
            <x v="602"/>
          </reference>
          <reference field="11" count="1" selected="0">
            <x v="3"/>
          </reference>
          <reference field="13" count="1" selected="0">
            <x v="29"/>
          </reference>
        </references>
      </pivotArea>
    </format>
    <format dxfId="454">
      <pivotArea dataOnly="0" labelOnly="1" outline="0" fieldPosition="0">
        <references count="4">
          <reference field="5" count="1">
            <x v="45"/>
          </reference>
          <reference field="8" count="1" selected="0">
            <x v="602"/>
          </reference>
          <reference field="11" count="1" selected="0">
            <x v="3"/>
          </reference>
          <reference field="13" count="1" selected="0">
            <x v="39"/>
          </reference>
        </references>
      </pivotArea>
    </format>
    <format dxfId="453">
      <pivotArea dataOnly="0" labelOnly="1" outline="0" fieldPosition="0">
        <references count="4">
          <reference field="5" count="1">
            <x v="45"/>
          </reference>
          <reference field="8" count="1" selected="0">
            <x v="602"/>
          </reference>
          <reference field="11" count="1" selected="0">
            <x v="3"/>
          </reference>
          <reference field="13" count="1" selected="0">
            <x v="47"/>
          </reference>
        </references>
      </pivotArea>
    </format>
    <format dxfId="452">
      <pivotArea dataOnly="0" labelOnly="1" outline="0" fieldPosition="0">
        <references count="4">
          <reference field="5" count="1">
            <x v="45"/>
          </reference>
          <reference field="8" count="1" selected="0">
            <x v="602"/>
          </reference>
          <reference field="11" count="1" selected="0">
            <x v="3"/>
          </reference>
          <reference field="13" count="1" selected="0">
            <x v="49"/>
          </reference>
        </references>
      </pivotArea>
    </format>
    <format dxfId="451">
      <pivotArea dataOnly="0" labelOnly="1" outline="0" fieldPosition="0">
        <references count="4">
          <reference field="5" count="2">
            <x v="45"/>
            <x v="117"/>
          </reference>
          <reference field="8" count="1" selected="0">
            <x v="602"/>
          </reference>
          <reference field="11" count="1" selected="0">
            <x v="3"/>
          </reference>
          <reference field="13" count="1" selected="0">
            <x v="218"/>
          </reference>
        </references>
      </pivotArea>
    </format>
    <format dxfId="450">
      <pivotArea dataOnly="0" labelOnly="1" outline="0" fieldPosition="0">
        <references count="4">
          <reference field="5" count="2">
            <x v="45"/>
            <x v="117"/>
          </reference>
          <reference field="8" count="1" selected="0">
            <x v="602"/>
          </reference>
          <reference field="11" count="1" selected="0">
            <x v="3"/>
          </reference>
          <reference field="13" count="1" selected="0">
            <x v="314"/>
          </reference>
        </references>
      </pivotArea>
    </format>
    <format dxfId="449">
      <pivotArea dataOnly="0" labelOnly="1" outline="0" fieldPosition="0">
        <references count="4">
          <reference field="5" count="2">
            <x v="44"/>
            <x v="45"/>
          </reference>
          <reference field="8" count="1" selected="0">
            <x v="602"/>
          </reference>
          <reference field="11" count="1" selected="0">
            <x v="5"/>
          </reference>
          <reference field="13" count="1" selected="0">
            <x v="77"/>
          </reference>
        </references>
      </pivotArea>
    </format>
    <format dxfId="448">
      <pivotArea dataOnly="0" labelOnly="1" outline="0" fieldPosition="0">
        <references count="4">
          <reference field="5" count="1">
            <x v="44"/>
          </reference>
          <reference field="8" count="1" selected="0">
            <x v="602"/>
          </reference>
          <reference field="11" count="1" selected="0">
            <x v="5"/>
          </reference>
          <reference field="13" count="1" selected="0">
            <x v="81"/>
          </reference>
        </references>
      </pivotArea>
    </format>
    <format dxfId="447">
      <pivotArea dataOnly="0" labelOnly="1" outline="0" fieldPosition="0">
        <references count="4">
          <reference field="5" count="1">
            <x v="45"/>
          </reference>
          <reference field="8" count="1" selected="0">
            <x v="602"/>
          </reference>
          <reference field="11" count="1" selected="0">
            <x v="5"/>
          </reference>
          <reference field="13" count="1" selected="0">
            <x v="86"/>
          </reference>
        </references>
      </pivotArea>
    </format>
    <format dxfId="446">
      <pivotArea dataOnly="0" labelOnly="1" outline="0" fieldPosition="0">
        <references count="4">
          <reference field="5" count="1">
            <x v="44"/>
          </reference>
          <reference field="8" count="1" selected="0">
            <x v="602"/>
          </reference>
          <reference field="11" count="1" selected="0">
            <x v="5"/>
          </reference>
          <reference field="13" count="1" selected="0">
            <x v="300"/>
          </reference>
        </references>
      </pivotArea>
    </format>
    <format dxfId="445">
      <pivotArea dataOnly="0" labelOnly="1" outline="0" fieldPosition="0">
        <references count="4">
          <reference field="5" count="1">
            <x v="44"/>
          </reference>
          <reference field="8" count="1" selected="0">
            <x v="602"/>
          </reference>
          <reference field="11" count="1" selected="0">
            <x v="5"/>
          </reference>
          <reference field="13" count="1" selected="0">
            <x v="301"/>
          </reference>
        </references>
      </pivotArea>
    </format>
    <format dxfId="444">
      <pivotArea dataOnly="0" labelOnly="1" outline="0" fieldPosition="0">
        <references count="4">
          <reference field="5" count="1">
            <x v="44"/>
          </reference>
          <reference field="8" count="1" selected="0">
            <x v="602"/>
          </reference>
          <reference field="11" count="1" selected="0">
            <x v="6"/>
          </reference>
          <reference field="13" count="1" selected="0">
            <x v="291"/>
          </reference>
        </references>
      </pivotArea>
    </format>
    <format dxfId="443">
      <pivotArea dataOnly="0" labelOnly="1" outline="0" fieldPosition="0">
        <references count="4">
          <reference field="5" count="1">
            <x v="44"/>
          </reference>
          <reference field="8" count="1" selected="0">
            <x v="602"/>
          </reference>
          <reference field="11" count="1" selected="0">
            <x v="6"/>
          </reference>
          <reference field="13" count="1" selected="0">
            <x v="292"/>
          </reference>
        </references>
      </pivotArea>
    </format>
    <format dxfId="442">
      <pivotArea dataOnly="0" labelOnly="1" outline="0" fieldPosition="0">
        <references count="4">
          <reference field="5" count="1">
            <x v="44"/>
          </reference>
          <reference field="8" count="1" selected="0">
            <x v="602"/>
          </reference>
          <reference field="11" count="1" selected="0">
            <x v="6"/>
          </reference>
          <reference field="13" count="1" selected="0">
            <x v="293"/>
          </reference>
        </references>
      </pivotArea>
    </format>
    <format dxfId="441">
      <pivotArea dataOnly="0" labelOnly="1" outline="0" fieldPosition="0">
        <references count="4">
          <reference field="5" count="1">
            <x v="110"/>
          </reference>
          <reference field="8" count="1" selected="0">
            <x v="603"/>
          </reference>
          <reference field="11" count="1" selected="0">
            <x v="3"/>
          </reference>
          <reference field="13" count="1" selected="0">
            <x v="7"/>
          </reference>
        </references>
      </pivotArea>
    </format>
    <format dxfId="440">
      <pivotArea dataOnly="0" labelOnly="1" outline="0" fieldPosition="0">
        <references count="4">
          <reference field="5" count="1">
            <x v="110"/>
          </reference>
          <reference field="8" count="1" selected="0">
            <x v="603"/>
          </reference>
          <reference field="11" count="1" selected="0">
            <x v="3"/>
          </reference>
          <reference field="13" count="1" selected="0">
            <x v="17"/>
          </reference>
        </references>
      </pivotArea>
    </format>
    <format dxfId="439">
      <pivotArea dataOnly="0" labelOnly="1" outline="0" fieldPosition="0">
        <references count="4">
          <reference field="5" count="1">
            <x v="110"/>
          </reference>
          <reference field="8" count="1" selected="0">
            <x v="603"/>
          </reference>
          <reference field="11" count="1" selected="0">
            <x v="3"/>
          </reference>
          <reference field="13" count="1" selected="0">
            <x v="32"/>
          </reference>
        </references>
      </pivotArea>
    </format>
    <format dxfId="438">
      <pivotArea dataOnly="0" labelOnly="1" outline="0" fieldPosition="0">
        <references count="4">
          <reference field="5" count="1">
            <x v="110"/>
          </reference>
          <reference field="8" count="1" selected="0">
            <x v="603"/>
          </reference>
          <reference field="11" count="1" selected="0">
            <x v="3"/>
          </reference>
          <reference field="13" count="1" selected="0">
            <x v="100"/>
          </reference>
        </references>
      </pivotArea>
    </format>
    <format dxfId="437">
      <pivotArea dataOnly="0" labelOnly="1" outline="0" fieldPosition="0">
        <references count="4">
          <reference field="5" count="1">
            <x v="110"/>
          </reference>
          <reference field="8" count="1" selected="0">
            <x v="603"/>
          </reference>
          <reference field="11" count="1" selected="0">
            <x v="3"/>
          </reference>
          <reference field="13" count="1" selected="0">
            <x v="242"/>
          </reference>
        </references>
      </pivotArea>
    </format>
    <format dxfId="436">
      <pivotArea dataOnly="0" labelOnly="1" outline="0" fieldPosition="0">
        <references count="4">
          <reference field="5" count="1">
            <x v="117"/>
          </reference>
          <reference field="8" count="1" selected="0">
            <x v="603"/>
          </reference>
          <reference field="11" count="1" selected="0">
            <x v="3"/>
          </reference>
          <reference field="13" count="1" selected="0">
            <x v="287"/>
          </reference>
        </references>
      </pivotArea>
    </format>
    <format dxfId="435">
      <pivotArea dataOnly="0" labelOnly="1" outline="0" fieldPosition="0">
        <references count="4">
          <reference field="5" count="1">
            <x v="110"/>
          </reference>
          <reference field="8" count="1" selected="0">
            <x v="603"/>
          </reference>
          <reference field="11" count="1" selected="0">
            <x v="3"/>
          </reference>
          <reference field="13" count="1" selected="0">
            <x v="305"/>
          </reference>
        </references>
      </pivotArea>
    </format>
    <format dxfId="434">
      <pivotArea dataOnly="0" labelOnly="1" outline="0" fieldPosition="0">
        <references count="4">
          <reference field="5" count="1">
            <x v="117"/>
          </reference>
          <reference field="8" count="1" selected="0">
            <x v="603"/>
          </reference>
          <reference field="11" count="1" selected="0">
            <x v="3"/>
          </reference>
          <reference field="13" count="1" selected="0">
            <x v="314"/>
          </reference>
        </references>
      </pivotArea>
    </format>
    <format dxfId="433">
      <pivotArea dataOnly="0" labelOnly="1" outline="0" fieldPosition="0">
        <references count="4">
          <reference field="5" count="1">
            <x v="110"/>
          </reference>
          <reference field="8" count="1" selected="0">
            <x v="603"/>
          </reference>
          <reference field="11" count="1" selected="0">
            <x v="5"/>
          </reference>
          <reference field="13" count="1" selected="0">
            <x v="77"/>
          </reference>
        </references>
      </pivotArea>
    </format>
    <format dxfId="432">
      <pivotArea dataOnly="0" labelOnly="1" outline="0" fieldPosition="0">
        <references count="4">
          <reference field="5" count="1">
            <x v="20"/>
          </reference>
          <reference field="8" count="1" selected="0">
            <x v="603"/>
          </reference>
          <reference field="11" count="1" selected="0">
            <x v="5"/>
          </reference>
          <reference field="13" count="1" selected="0">
            <x v="81"/>
          </reference>
        </references>
      </pivotArea>
    </format>
    <format dxfId="431">
      <pivotArea dataOnly="0" labelOnly="1" outline="0" fieldPosition="0">
        <references count="4">
          <reference field="5" count="1">
            <x v="20"/>
          </reference>
          <reference field="8" count="1" selected="0">
            <x v="603"/>
          </reference>
          <reference field="11" count="1" selected="0">
            <x v="5"/>
          </reference>
          <reference field="13" count="1" selected="0">
            <x v="255"/>
          </reference>
        </references>
      </pivotArea>
    </format>
    <format dxfId="430">
      <pivotArea dataOnly="0" labelOnly="1" outline="0" fieldPosition="0">
        <references count="4">
          <reference field="5" count="1">
            <x v="45"/>
          </reference>
          <reference field="8" count="1" selected="0">
            <x v="604"/>
          </reference>
          <reference field="11" count="1" selected="0">
            <x v="3"/>
          </reference>
          <reference field="13" count="1" selected="0">
            <x v="4"/>
          </reference>
        </references>
      </pivotArea>
    </format>
    <format dxfId="429">
      <pivotArea dataOnly="0" labelOnly="1" outline="0" fieldPosition="0">
        <references count="4">
          <reference field="5" count="2">
            <x v="116"/>
            <x v="117"/>
          </reference>
          <reference field="8" count="1" selected="0">
            <x v="604"/>
          </reference>
          <reference field="11" count="1" selected="0">
            <x v="3"/>
          </reference>
          <reference field="13" count="1" selected="0">
            <x v="29"/>
          </reference>
        </references>
      </pivotArea>
    </format>
    <format dxfId="428">
      <pivotArea dataOnly="0" labelOnly="1" outline="0" fieldPosition="0">
        <references count="4">
          <reference field="5" count="1">
            <x v="32"/>
          </reference>
          <reference field="8" count="1" selected="0">
            <x v="604"/>
          </reference>
          <reference field="11" count="1" selected="0">
            <x v="3"/>
          </reference>
          <reference field="13" count="1" selected="0">
            <x v="32"/>
          </reference>
        </references>
      </pivotArea>
    </format>
    <format dxfId="427">
      <pivotArea dataOnly="0" labelOnly="1" outline="0" fieldPosition="0">
        <references count="4">
          <reference field="5" count="1">
            <x v="45"/>
          </reference>
          <reference field="8" count="1" selected="0">
            <x v="604"/>
          </reference>
          <reference field="11" count="1" selected="0">
            <x v="3"/>
          </reference>
          <reference field="13" count="1" selected="0">
            <x v="39"/>
          </reference>
        </references>
      </pivotArea>
    </format>
    <format dxfId="426">
      <pivotArea dataOnly="0" labelOnly="1" outline="0" fieldPosition="0">
        <references count="4">
          <reference field="5" count="1">
            <x v="45"/>
          </reference>
          <reference field="8" count="1" selected="0">
            <x v="604"/>
          </reference>
          <reference field="11" count="1" selected="0">
            <x v="3"/>
          </reference>
          <reference field="13" count="1" selected="0">
            <x v="47"/>
          </reference>
        </references>
      </pivotArea>
    </format>
    <format dxfId="425">
      <pivotArea dataOnly="0" labelOnly="1" outline="0" fieldPosition="0">
        <references count="4">
          <reference field="5" count="1">
            <x v="45"/>
          </reference>
          <reference field="8" count="1" selected="0">
            <x v="604"/>
          </reference>
          <reference field="11" count="1" selected="0">
            <x v="3"/>
          </reference>
          <reference field="13" count="1" selected="0">
            <x v="49"/>
          </reference>
        </references>
      </pivotArea>
    </format>
    <format dxfId="424">
      <pivotArea dataOnly="0" labelOnly="1" outline="0" fieldPosition="0">
        <references count="4">
          <reference field="5" count="2">
            <x v="45"/>
            <x v="117"/>
          </reference>
          <reference field="8" count="1" selected="0">
            <x v="604"/>
          </reference>
          <reference field="11" count="1" selected="0">
            <x v="3"/>
          </reference>
          <reference field="13" count="1" selected="0">
            <x v="218"/>
          </reference>
        </references>
      </pivotArea>
    </format>
    <format dxfId="423">
      <pivotArea dataOnly="0" labelOnly="1" outline="0" fieldPosition="0">
        <references count="4">
          <reference field="5" count="1">
            <x v="32"/>
          </reference>
          <reference field="8" count="1" selected="0">
            <x v="604"/>
          </reference>
          <reference field="11" count="1" selected="0">
            <x v="3"/>
          </reference>
          <reference field="13" count="1" selected="0">
            <x v="287"/>
          </reference>
        </references>
      </pivotArea>
    </format>
    <format dxfId="422">
      <pivotArea dataOnly="0" labelOnly="1" outline="0" fieldPosition="0">
        <references count="4">
          <reference field="5" count="2">
            <x v="45"/>
            <x v="117"/>
          </reference>
          <reference field="8" count="1" selected="0">
            <x v="604"/>
          </reference>
          <reference field="11" count="1" selected="0">
            <x v="3"/>
          </reference>
          <reference field="13" count="1" selected="0">
            <x v="314"/>
          </reference>
        </references>
      </pivotArea>
    </format>
    <format dxfId="421">
      <pivotArea dataOnly="0" labelOnly="1" outline="0" fieldPosition="0">
        <references count="4">
          <reference field="5" count="1">
            <x v="20"/>
          </reference>
          <reference field="8" count="1" selected="0">
            <x v="604"/>
          </reference>
          <reference field="11" count="1" selected="0">
            <x v="5"/>
          </reference>
          <reference field="13" count="1" selected="0">
            <x v="77"/>
          </reference>
        </references>
      </pivotArea>
    </format>
    <format dxfId="420">
      <pivotArea dataOnly="0" labelOnly="1" outline="0" fieldPosition="0">
        <references count="4">
          <reference field="5" count="1">
            <x v="45"/>
          </reference>
          <reference field="8" count="1" selected="0">
            <x v="604"/>
          </reference>
          <reference field="11" count="1" selected="0">
            <x v="5"/>
          </reference>
          <reference field="13" count="1" selected="0">
            <x v="81"/>
          </reference>
        </references>
      </pivotArea>
    </format>
    <format dxfId="419">
      <pivotArea dataOnly="0" labelOnly="1" outline="0" fieldPosition="0">
        <references count="4">
          <reference field="5" count="1">
            <x v="45"/>
          </reference>
          <reference field="8" count="1" selected="0">
            <x v="604"/>
          </reference>
          <reference field="11" count="1" selected="0">
            <x v="5"/>
          </reference>
          <reference field="13" count="1" selected="0">
            <x v="86"/>
          </reference>
        </references>
      </pivotArea>
    </format>
    <format dxfId="418">
      <pivotArea dataOnly="0" labelOnly="1" outline="0" fieldPosition="0">
        <references count="4">
          <reference field="5" count="1">
            <x v="23"/>
          </reference>
          <reference field="8" count="1" selected="0">
            <x v="606"/>
          </reference>
          <reference field="11" count="1" selected="0">
            <x v="3"/>
          </reference>
          <reference field="13" count="1" selected="0">
            <x v="287"/>
          </reference>
        </references>
      </pivotArea>
    </format>
    <format dxfId="417">
      <pivotArea dataOnly="0" labelOnly="1" outline="0" fieldPosition="0">
        <references count="4">
          <reference field="5" count="1">
            <x v="93"/>
          </reference>
          <reference field="8" count="1" selected="0">
            <x v="606"/>
          </reference>
          <reference field="11" count="1" selected="0">
            <x v="4"/>
          </reference>
          <reference field="13" count="1" selected="0">
            <x v="133"/>
          </reference>
        </references>
      </pivotArea>
    </format>
    <format dxfId="416">
      <pivotArea dataOnly="0" labelOnly="1" outline="0" fieldPosition="0">
        <references count="4">
          <reference field="5" count="1">
            <x v="76"/>
          </reference>
          <reference field="8" count="1" selected="0">
            <x v="607"/>
          </reference>
          <reference field="11" count="1" selected="0">
            <x v="5"/>
          </reference>
          <reference field="13" count="1" selected="0">
            <x v="77"/>
          </reference>
        </references>
      </pivotArea>
    </format>
    <format dxfId="415">
      <pivotArea dataOnly="0" labelOnly="1" outline="0" fieldPosition="0">
        <references count="4">
          <reference field="5" count="2">
            <x v="116"/>
            <x v="117"/>
          </reference>
          <reference field="8" count="1" selected="0">
            <x v="608"/>
          </reference>
          <reference field="11" count="1" selected="0">
            <x v="3"/>
          </reference>
          <reference field="13" count="1" selected="0">
            <x v="29"/>
          </reference>
        </references>
      </pivotArea>
    </format>
    <format dxfId="414">
      <pivotArea dataOnly="0" labelOnly="1" outline="0" fieldPosition="0">
        <references count="4">
          <reference field="5" count="1">
            <x v="76"/>
          </reference>
          <reference field="8" count="1" selected="0">
            <x v="608"/>
          </reference>
          <reference field="11" count="1" selected="0">
            <x v="3"/>
          </reference>
          <reference field="13" count="1" selected="0">
            <x v="32"/>
          </reference>
        </references>
      </pivotArea>
    </format>
    <format dxfId="413">
      <pivotArea dataOnly="0" labelOnly="1" outline="0" fieldPosition="0">
        <references count="4">
          <reference field="5" count="1">
            <x v="117"/>
          </reference>
          <reference field="8" count="1" selected="0">
            <x v="608"/>
          </reference>
          <reference field="11" count="1" selected="0">
            <x v="3"/>
          </reference>
          <reference field="13" count="1" selected="0">
            <x v="218"/>
          </reference>
        </references>
      </pivotArea>
    </format>
    <format dxfId="412">
      <pivotArea dataOnly="0" labelOnly="1" outline="0" fieldPosition="0">
        <references count="4">
          <reference field="5" count="1">
            <x v="76"/>
          </reference>
          <reference field="8" count="1" selected="0">
            <x v="608"/>
          </reference>
          <reference field="11" count="1" selected="0">
            <x v="3"/>
          </reference>
          <reference field="13" count="1" selected="0">
            <x v="243"/>
          </reference>
        </references>
      </pivotArea>
    </format>
    <format dxfId="411">
      <pivotArea dataOnly="0" labelOnly="1" outline="0" fieldPosition="0">
        <references count="4">
          <reference field="5" count="1">
            <x v="117"/>
          </reference>
          <reference field="8" count="1" selected="0">
            <x v="608"/>
          </reference>
          <reference field="11" count="1" selected="0">
            <x v="3"/>
          </reference>
          <reference field="13" count="1" selected="0">
            <x v="314"/>
          </reference>
        </references>
      </pivotArea>
    </format>
    <format dxfId="410">
      <pivotArea dataOnly="0" labelOnly="1" outline="0" fieldPosition="0">
        <references count="4">
          <reference field="5" count="1">
            <x v="76"/>
          </reference>
          <reference field="8" count="1" selected="0">
            <x v="608"/>
          </reference>
          <reference field="11" count="1" selected="0">
            <x v="5"/>
          </reference>
          <reference field="13" count="1" selected="0">
            <x v="77"/>
          </reference>
        </references>
      </pivotArea>
    </format>
    <format dxfId="409">
      <pivotArea dataOnly="0" labelOnly="1" outline="0" fieldPosition="0">
        <references count="4">
          <reference field="5" count="1">
            <x v="76"/>
          </reference>
          <reference field="8" count="1" selected="0">
            <x v="608"/>
          </reference>
          <reference field="11" count="1" selected="0">
            <x v="5"/>
          </reference>
          <reference field="13" count="1" selected="0">
            <x v="81"/>
          </reference>
        </references>
      </pivotArea>
    </format>
    <format dxfId="408">
      <pivotArea dataOnly="0" labelOnly="1" outline="0" fieldPosition="0">
        <references count="4">
          <reference field="5" count="1">
            <x v="91"/>
          </reference>
          <reference field="8" count="1" selected="0">
            <x v="609"/>
          </reference>
          <reference field="11" count="1" selected="0">
            <x v="3"/>
          </reference>
          <reference field="13" count="1" selected="0">
            <x v="49"/>
          </reference>
        </references>
      </pivotArea>
    </format>
    <format dxfId="407">
      <pivotArea dataOnly="0" labelOnly="1" outline="0" fieldPosition="0">
        <references count="4">
          <reference field="5" count="1">
            <x v="91"/>
          </reference>
          <reference field="8" count="1" selected="0">
            <x v="609"/>
          </reference>
          <reference field="11" count="1" selected="0">
            <x v="5"/>
          </reference>
          <reference field="13" count="1" selected="0">
            <x v="77"/>
          </reference>
        </references>
      </pivotArea>
    </format>
    <format dxfId="406">
      <pivotArea dataOnly="0" labelOnly="1" outline="0" fieldPosition="0">
        <references count="4">
          <reference field="5" count="1">
            <x v="91"/>
          </reference>
          <reference field="8" count="1" selected="0">
            <x v="609"/>
          </reference>
          <reference field="11" count="1" selected="0">
            <x v="5"/>
          </reference>
          <reference field="13" count="1" selected="0">
            <x v="81"/>
          </reference>
        </references>
      </pivotArea>
    </format>
    <format dxfId="405">
      <pivotArea dataOnly="0" labelOnly="1" outline="0" fieldPosition="0">
        <references count="4">
          <reference field="5" count="1">
            <x v="45"/>
          </reference>
          <reference field="8" count="1" selected="0">
            <x v="610"/>
          </reference>
          <reference field="11" count="1" selected="0">
            <x v="3"/>
          </reference>
          <reference field="13" count="1" selected="0">
            <x v="4"/>
          </reference>
        </references>
      </pivotArea>
    </format>
    <format dxfId="404">
      <pivotArea dataOnly="0" labelOnly="1" outline="0" fieldPosition="0">
        <references count="4">
          <reference field="5" count="2">
            <x v="116"/>
            <x v="117"/>
          </reference>
          <reference field="8" count="1" selected="0">
            <x v="610"/>
          </reference>
          <reference field="11" count="1" selected="0">
            <x v="3"/>
          </reference>
          <reference field="13" count="1" selected="0">
            <x v="29"/>
          </reference>
        </references>
      </pivotArea>
    </format>
    <format dxfId="403">
      <pivotArea dataOnly="0" labelOnly="1" outline="0" fieldPosition="0">
        <references count="4">
          <reference field="5" count="1">
            <x v="76"/>
          </reference>
          <reference field="8" count="1" selected="0">
            <x v="610"/>
          </reference>
          <reference field="11" count="1" selected="0">
            <x v="3"/>
          </reference>
          <reference field="13" count="1" selected="0">
            <x v="32"/>
          </reference>
        </references>
      </pivotArea>
    </format>
    <format dxfId="402">
      <pivotArea dataOnly="0" labelOnly="1" outline="0" fieldPosition="0">
        <references count="4">
          <reference field="5" count="1">
            <x v="45"/>
          </reference>
          <reference field="8" count="1" selected="0">
            <x v="610"/>
          </reference>
          <reference field="11" count="1" selected="0">
            <x v="3"/>
          </reference>
          <reference field="13" count="1" selected="0">
            <x v="39"/>
          </reference>
        </references>
      </pivotArea>
    </format>
    <format dxfId="401">
      <pivotArea dataOnly="0" labelOnly="1" outline="0" fieldPosition="0">
        <references count="4">
          <reference field="5" count="1">
            <x v="45"/>
          </reference>
          <reference field="8" count="1" selected="0">
            <x v="610"/>
          </reference>
          <reference field="11" count="1" selected="0">
            <x v="3"/>
          </reference>
          <reference field="13" count="1" selected="0">
            <x v="47"/>
          </reference>
        </references>
      </pivotArea>
    </format>
    <format dxfId="400">
      <pivotArea dataOnly="0" labelOnly="1" outline="0" fieldPosition="0">
        <references count="4">
          <reference field="5" count="1">
            <x v="45"/>
          </reference>
          <reference field="8" count="1" selected="0">
            <x v="610"/>
          </reference>
          <reference field="11" count="1" selected="0">
            <x v="3"/>
          </reference>
          <reference field="13" count="1" selected="0">
            <x v="49"/>
          </reference>
        </references>
      </pivotArea>
    </format>
    <format dxfId="399">
      <pivotArea dataOnly="0" labelOnly="1" outline="0" fieldPosition="0">
        <references count="4">
          <reference field="5" count="2">
            <x v="45"/>
            <x v="117"/>
          </reference>
          <reference field="8" count="1" selected="0">
            <x v="610"/>
          </reference>
          <reference field="11" count="1" selected="0">
            <x v="3"/>
          </reference>
          <reference field="13" count="1" selected="0">
            <x v="218"/>
          </reference>
        </references>
      </pivotArea>
    </format>
    <format dxfId="398">
      <pivotArea dataOnly="0" labelOnly="1" outline="0" fieldPosition="0">
        <references count="4">
          <reference field="5" count="2">
            <x v="45"/>
            <x v="117"/>
          </reference>
          <reference field="8" count="1" selected="0">
            <x v="610"/>
          </reference>
          <reference field="11" count="1" selected="0">
            <x v="3"/>
          </reference>
          <reference field="13" count="1" selected="0">
            <x v="314"/>
          </reference>
        </references>
      </pivotArea>
    </format>
    <format dxfId="397">
      <pivotArea dataOnly="0" labelOnly="1" outline="0" fieldPosition="0">
        <references count="4">
          <reference field="5" count="1">
            <x v="76"/>
          </reference>
          <reference field="8" count="1" selected="0">
            <x v="610"/>
          </reference>
          <reference field="11" count="1" selected="0">
            <x v="4"/>
          </reference>
          <reference field="13" count="1" selected="0">
            <x v="133"/>
          </reference>
        </references>
      </pivotArea>
    </format>
    <format dxfId="396">
      <pivotArea dataOnly="0" labelOnly="1" outline="0" fieldPosition="0">
        <references count="4">
          <reference field="5" count="1">
            <x v="76"/>
          </reference>
          <reference field="8" count="1" selected="0">
            <x v="610"/>
          </reference>
          <reference field="11" count="1" selected="0">
            <x v="5"/>
          </reference>
          <reference field="13" count="1" selected="0">
            <x v="77"/>
          </reference>
        </references>
      </pivotArea>
    </format>
    <format dxfId="395">
      <pivotArea dataOnly="0" labelOnly="1" outline="0" fieldPosition="0">
        <references count="4">
          <reference field="5" count="1">
            <x v="45"/>
          </reference>
          <reference field="8" count="1" selected="0">
            <x v="610"/>
          </reference>
          <reference field="11" count="1" selected="0">
            <x v="5"/>
          </reference>
          <reference field="13" count="1" selected="0">
            <x v="81"/>
          </reference>
        </references>
      </pivotArea>
    </format>
    <format dxfId="394">
      <pivotArea dataOnly="0" labelOnly="1" outline="0" fieldPosition="0">
        <references count="4">
          <reference field="5" count="1">
            <x v="45"/>
          </reference>
          <reference field="8" count="1" selected="0">
            <x v="610"/>
          </reference>
          <reference field="11" count="1" selected="0">
            <x v="5"/>
          </reference>
          <reference field="13" count="1" selected="0">
            <x v="86"/>
          </reference>
        </references>
      </pivotArea>
    </format>
    <format dxfId="393">
      <pivotArea dataOnly="0" labelOnly="1" outline="0" fieldPosition="0">
        <references count="4">
          <reference field="5" count="1">
            <x v="114"/>
          </reference>
          <reference field="8" count="1" selected="0">
            <x v="611"/>
          </reference>
          <reference field="11" count="1" selected="0">
            <x v="3"/>
          </reference>
          <reference field="13" count="1" selected="0">
            <x v="32"/>
          </reference>
        </references>
      </pivotArea>
    </format>
    <format dxfId="392">
      <pivotArea dataOnly="0" labelOnly="1" outline="0" fieldPosition="0">
        <references count="4">
          <reference field="5" count="1">
            <x v="114"/>
          </reference>
          <reference field="8" count="1" selected="0">
            <x v="611"/>
          </reference>
          <reference field="11" count="1" selected="0">
            <x v="3"/>
          </reference>
          <reference field="13" count="1" selected="0">
            <x v="240"/>
          </reference>
        </references>
      </pivotArea>
    </format>
    <format dxfId="391">
      <pivotArea dataOnly="0" labelOnly="1" outline="0" fieldPosition="0">
        <references count="4">
          <reference field="5" count="1">
            <x v="114"/>
          </reference>
          <reference field="8" count="1" selected="0">
            <x v="611"/>
          </reference>
          <reference field="11" count="1" selected="0">
            <x v="3"/>
          </reference>
          <reference field="13" count="1" selected="0">
            <x v="243"/>
          </reference>
        </references>
      </pivotArea>
    </format>
    <format dxfId="390">
      <pivotArea dataOnly="0" labelOnly="1" outline="0" fieldPosition="0">
        <references count="4">
          <reference field="5" count="1">
            <x v="114"/>
          </reference>
          <reference field="8" count="1" selected="0">
            <x v="611"/>
          </reference>
          <reference field="11" count="1" selected="0">
            <x v="3"/>
          </reference>
          <reference field="13" count="1" selected="0">
            <x v="314"/>
          </reference>
        </references>
      </pivotArea>
    </format>
    <format dxfId="389">
      <pivotArea dataOnly="0" labelOnly="1" outline="0" fieldPosition="0">
        <references count="4">
          <reference field="5" count="1">
            <x v="114"/>
          </reference>
          <reference field="8" count="1" selected="0">
            <x v="611"/>
          </reference>
          <reference field="11" count="1" selected="0">
            <x v="4"/>
          </reference>
          <reference field="13" count="1" selected="0">
            <x v="133"/>
          </reference>
        </references>
      </pivotArea>
    </format>
    <format dxfId="388">
      <pivotArea dataOnly="0" labelOnly="1" outline="0" fieldPosition="0">
        <references count="4">
          <reference field="5" count="1">
            <x v="114"/>
          </reference>
          <reference field="8" count="1" selected="0">
            <x v="611"/>
          </reference>
          <reference field="11" count="1" selected="0">
            <x v="5"/>
          </reference>
          <reference field="13" count="1" selected="0">
            <x v="77"/>
          </reference>
        </references>
      </pivotArea>
    </format>
    <format dxfId="387">
      <pivotArea dataOnly="0" labelOnly="1" outline="0" fieldPosition="0">
        <references count="4">
          <reference field="5" count="1">
            <x v="114"/>
          </reference>
          <reference field="8" count="1" selected="0">
            <x v="611"/>
          </reference>
          <reference field="11" count="1" selected="0">
            <x v="5"/>
          </reference>
          <reference field="13" count="1" selected="0">
            <x v="81"/>
          </reference>
        </references>
      </pivotArea>
    </format>
    <format dxfId="386">
      <pivotArea dataOnly="0" labelOnly="1" outline="0" fieldPosition="0">
        <references count="4">
          <reference field="5" count="1">
            <x v="85"/>
          </reference>
          <reference field="8" count="1" selected="0">
            <x v="612"/>
          </reference>
          <reference field="11" count="1" selected="0">
            <x v="2"/>
          </reference>
          <reference field="13" count="1" selected="0">
            <x v="18"/>
          </reference>
        </references>
      </pivotArea>
    </format>
    <format dxfId="385">
      <pivotArea dataOnly="0" labelOnly="1" outline="0" fieldPosition="0">
        <references count="4">
          <reference field="5" count="1">
            <x v="85"/>
          </reference>
          <reference field="8" count="1" selected="0">
            <x v="612"/>
          </reference>
          <reference field="11" count="1" selected="0">
            <x v="2"/>
          </reference>
          <reference field="13" count="1" selected="0">
            <x v="21"/>
          </reference>
        </references>
      </pivotArea>
    </format>
    <format dxfId="384">
      <pivotArea dataOnly="0" labelOnly="1" outline="0" fieldPosition="0">
        <references count="4">
          <reference field="5" count="1">
            <x v="114"/>
          </reference>
          <reference field="8" count="1" selected="0">
            <x v="612"/>
          </reference>
          <reference field="11" count="1" selected="0">
            <x v="2"/>
          </reference>
          <reference field="13" count="1" selected="0">
            <x v="23"/>
          </reference>
        </references>
      </pivotArea>
    </format>
    <format dxfId="383">
      <pivotArea dataOnly="0" labelOnly="1" outline="0" fieldPosition="0">
        <references count="4">
          <reference field="5" count="1">
            <x v="85"/>
          </reference>
          <reference field="8" count="1" selected="0">
            <x v="612"/>
          </reference>
          <reference field="11" count="1" selected="0">
            <x v="2"/>
          </reference>
          <reference field="13" count="1" selected="0">
            <x v="35"/>
          </reference>
        </references>
      </pivotArea>
    </format>
    <format dxfId="382">
      <pivotArea dataOnly="0" labelOnly="1" outline="0" fieldPosition="0">
        <references count="4">
          <reference field="5" count="1">
            <x v="85"/>
          </reference>
          <reference field="8" count="1" selected="0">
            <x v="612"/>
          </reference>
          <reference field="11" count="1" selected="0">
            <x v="2"/>
          </reference>
          <reference field="13" count="1" selected="0">
            <x v="38"/>
          </reference>
        </references>
      </pivotArea>
    </format>
    <format dxfId="381">
      <pivotArea dataOnly="0" labelOnly="1" outline="0" fieldPosition="0">
        <references count="4">
          <reference field="5" count="1">
            <x v="85"/>
          </reference>
          <reference field="8" count="1" selected="0">
            <x v="612"/>
          </reference>
          <reference field="11" count="1" selected="0">
            <x v="2"/>
          </reference>
          <reference field="13" count="1" selected="0">
            <x v="44"/>
          </reference>
        </references>
      </pivotArea>
    </format>
    <format dxfId="380">
      <pivotArea dataOnly="0" labelOnly="1" outline="0" fieldPosition="0">
        <references count="4">
          <reference field="5" count="1">
            <x v="85"/>
          </reference>
          <reference field="8" count="1" selected="0">
            <x v="612"/>
          </reference>
          <reference field="11" count="1" selected="0">
            <x v="2"/>
          </reference>
          <reference field="13" count="1" selected="0">
            <x v="50"/>
          </reference>
        </references>
      </pivotArea>
    </format>
    <format dxfId="379">
      <pivotArea dataOnly="0" labelOnly="1" outline="0" fieldPosition="0">
        <references count="4">
          <reference field="5" count="2">
            <x v="86"/>
            <x v="89"/>
          </reference>
          <reference field="8" count="1" selected="0">
            <x v="612"/>
          </reference>
          <reference field="11" count="1" selected="0">
            <x v="2"/>
          </reference>
          <reference field="13" count="1" selected="0">
            <x v="52"/>
          </reference>
        </references>
      </pivotArea>
    </format>
    <format dxfId="378">
      <pivotArea dataOnly="0" labelOnly="1" outline="0" fieldPosition="0">
        <references count="4">
          <reference field="5" count="1">
            <x v="85"/>
          </reference>
          <reference field="8" count="1" selected="0">
            <x v="612"/>
          </reference>
          <reference field="11" count="1" selected="0">
            <x v="2"/>
          </reference>
          <reference field="13" count="1" selected="0">
            <x v="60"/>
          </reference>
        </references>
      </pivotArea>
    </format>
    <format dxfId="377">
      <pivotArea dataOnly="0" labelOnly="1" outline="0" fieldPosition="0">
        <references count="4">
          <reference field="5" count="1">
            <x v="85"/>
          </reference>
          <reference field="8" count="1" selected="0">
            <x v="612"/>
          </reference>
          <reference field="11" count="1" selected="0">
            <x v="2"/>
          </reference>
          <reference field="13" count="1" selected="0">
            <x v="66"/>
          </reference>
        </references>
      </pivotArea>
    </format>
    <format dxfId="376">
      <pivotArea dataOnly="0" labelOnly="1" outline="0" fieldPosition="0">
        <references count="4">
          <reference field="5" count="1">
            <x v="85"/>
          </reference>
          <reference field="8" count="1" selected="0">
            <x v="612"/>
          </reference>
          <reference field="11" count="1" selected="0">
            <x v="2"/>
          </reference>
          <reference field="13" count="1" selected="0">
            <x v="71"/>
          </reference>
        </references>
      </pivotArea>
    </format>
    <format dxfId="375">
      <pivotArea dataOnly="0" labelOnly="1" outline="0" fieldPosition="0">
        <references count="4">
          <reference field="5" count="1">
            <x v="85"/>
          </reference>
          <reference field="8" count="1" selected="0">
            <x v="612"/>
          </reference>
          <reference field="11" count="1" selected="0">
            <x v="2"/>
          </reference>
          <reference field="13" count="1" selected="0">
            <x v="144"/>
          </reference>
        </references>
      </pivotArea>
    </format>
    <format dxfId="374">
      <pivotArea dataOnly="0" labelOnly="1" outline="0" fieldPosition="0">
        <references count="4">
          <reference field="5" count="2">
            <x v="85"/>
            <x v="114"/>
          </reference>
          <reference field="8" count="1" selected="0">
            <x v="612"/>
          </reference>
          <reference field="11" count="1" selected="0">
            <x v="2"/>
          </reference>
          <reference field="13" count="1" selected="0">
            <x v="153"/>
          </reference>
        </references>
      </pivotArea>
    </format>
    <format dxfId="373">
      <pivotArea dataOnly="0" labelOnly="1" outline="0" fieldPosition="0">
        <references count="4">
          <reference field="5" count="1">
            <x v="114"/>
          </reference>
          <reference field="8" count="1" selected="0">
            <x v="612"/>
          </reference>
          <reference field="11" count="1" selected="0">
            <x v="2"/>
          </reference>
          <reference field="13" count="1" selected="0">
            <x v="173"/>
          </reference>
        </references>
      </pivotArea>
    </format>
    <format dxfId="372">
      <pivotArea dataOnly="0" labelOnly="1" outline="0" fieldPosition="0">
        <references count="4">
          <reference field="5" count="3">
            <x v="85"/>
            <x v="89"/>
            <x v="114"/>
          </reference>
          <reference field="8" count="1" selected="0">
            <x v="612"/>
          </reference>
          <reference field="11" count="1" selected="0">
            <x v="2"/>
          </reference>
          <reference field="13" count="1" selected="0">
            <x v="204"/>
          </reference>
        </references>
      </pivotArea>
    </format>
    <format dxfId="371">
      <pivotArea dataOnly="0" labelOnly="1" outline="0" fieldPosition="0">
        <references count="4">
          <reference field="5" count="1">
            <x v="85"/>
          </reference>
          <reference field="8" count="1" selected="0">
            <x v="612"/>
          </reference>
          <reference field="11" count="1" selected="0">
            <x v="2"/>
          </reference>
          <reference field="13" count="1" selected="0">
            <x v="205"/>
          </reference>
        </references>
      </pivotArea>
    </format>
    <format dxfId="370">
      <pivotArea dataOnly="0" labelOnly="1" outline="0" fieldPosition="0">
        <references count="4">
          <reference field="5" count="6">
            <x v="85"/>
            <x v="86"/>
            <x v="87"/>
            <x v="89"/>
            <x v="91"/>
            <x v="114"/>
          </reference>
          <reference field="8" count="1" selected="0">
            <x v="612"/>
          </reference>
          <reference field="11" count="1" selected="0">
            <x v="2"/>
          </reference>
          <reference field="13" count="1" selected="0">
            <x v="238"/>
          </reference>
        </references>
      </pivotArea>
    </format>
    <format dxfId="369">
      <pivotArea dataOnly="0" labelOnly="1" outline="0" fieldPosition="0">
        <references count="4">
          <reference field="5" count="1">
            <x v="85"/>
          </reference>
          <reference field="8" count="1" selected="0">
            <x v="612"/>
          </reference>
          <reference field="11" count="1" selected="0">
            <x v="2"/>
          </reference>
          <reference field="13" count="1" selected="0">
            <x v="263"/>
          </reference>
        </references>
      </pivotArea>
    </format>
    <format dxfId="368">
      <pivotArea dataOnly="0" labelOnly="1" outline="0" fieldPosition="0">
        <references count="4">
          <reference field="5" count="4">
            <x v="86"/>
            <x v="89"/>
            <x v="91"/>
            <x v="114"/>
          </reference>
          <reference field="8" count="1" selected="0">
            <x v="612"/>
          </reference>
          <reference field="11" count="1" selected="0">
            <x v="2"/>
          </reference>
          <reference field="13" count="1" selected="0">
            <x v="265"/>
          </reference>
        </references>
      </pivotArea>
    </format>
    <format dxfId="367">
      <pivotArea dataOnly="0" labelOnly="1" outline="0" fieldPosition="0">
        <references count="4">
          <reference field="5" count="4">
            <x v="86"/>
            <x v="88"/>
            <x v="91"/>
            <x v="114"/>
          </reference>
          <reference field="8" count="1" selected="0">
            <x v="612"/>
          </reference>
          <reference field="11" count="1" selected="0">
            <x v="3"/>
          </reference>
          <reference field="13" count="1" selected="0">
            <x v="7"/>
          </reference>
        </references>
      </pivotArea>
    </format>
    <format dxfId="366">
      <pivotArea dataOnly="0" labelOnly="1" outline="0" fieldPosition="0">
        <references count="4">
          <reference field="5" count="2">
            <x v="86"/>
            <x v="114"/>
          </reference>
          <reference field="8" count="1" selected="0">
            <x v="612"/>
          </reference>
          <reference field="11" count="1" selected="0">
            <x v="3"/>
          </reference>
          <reference field="13" count="1" selected="0">
            <x v="17"/>
          </reference>
        </references>
      </pivotArea>
    </format>
    <format dxfId="365">
      <pivotArea dataOnly="0" labelOnly="1" outline="0" fieldPosition="0">
        <references count="4">
          <reference field="5" count="7">
            <x v="85"/>
            <x v="86"/>
            <x v="87"/>
            <x v="88"/>
            <x v="89"/>
            <x v="91"/>
            <x v="114"/>
          </reference>
          <reference field="8" count="1" selected="0">
            <x v="612"/>
          </reference>
          <reference field="11" count="1" selected="0">
            <x v="3"/>
          </reference>
          <reference field="13" count="1" selected="0">
            <x v="32"/>
          </reference>
        </references>
      </pivotArea>
    </format>
    <format dxfId="364">
      <pivotArea dataOnly="0" labelOnly="1" outline="0" fieldPosition="0">
        <references count="4">
          <reference field="5" count="1">
            <x v="86"/>
          </reference>
          <reference field="8" count="1" selected="0">
            <x v="612"/>
          </reference>
          <reference field="11" count="1" selected="0">
            <x v="3"/>
          </reference>
          <reference field="13" count="1" selected="0">
            <x v="57"/>
          </reference>
        </references>
      </pivotArea>
    </format>
    <format dxfId="363">
      <pivotArea dataOnly="0" labelOnly="1" outline="0" fieldPosition="0">
        <references count="4">
          <reference field="5" count="6">
            <x v="85"/>
            <x v="86"/>
            <x v="87"/>
            <x v="88"/>
            <x v="91"/>
            <x v="114"/>
          </reference>
          <reference field="8" count="1" selected="0">
            <x v="612"/>
          </reference>
          <reference field="11" count="1" selected="0">
            <x v="3"/>
          </reference>
          <reference field="13" count="1" selected="0">
            <x v="69"/>
          </reference>
        </references>
      </pivotArea>
    </format>
    <format dxfId="362">
      <pivotArea dataOnly="0" labelOnly="1" outline="0" fieldPosition="0">
        <references count="4">
          <reference field="5" count="5">
            <x v="85"/>
            <x v="86"/>
            <x v="89"/>
            <x v="91"/>
            <x v="114"/>
          </reference>
          <reference field="8" count="1" selected="0">
            <x v="612"/>
          </reference>
          <reference field="11" count="1" selected="0">
            <x v="3"/>
          </reference>
          <reference field="13" count="1" selected="0">
            <x v="89"/>
          </reference>
        </references>
      </pivotArea>
    </format>
    <format dxfId="361">
      <pivotArea dataOnly="0" labelOnly="1" outline="0" fieldPosition="0">
        <references count="4">
          <reference field="5" count="1">
            <x v="86"/>
          </reference>
          <reference field="8" count="1" selected="0">
            <x v="612"/>
          </reference>
          <reference field="11" count="1" selected="0">
            <x v="3"/>
          </reference>
          <reference field="13" count="1" selected="0">
            <x v="101"/>
          </reference>
        </references>
      </pivotArea>
    </format>
    <format dxfId="360">
      <pivotArea dataOnly="0" labelOnly="1" outline="0" fieldPosition="0">
        <references count="4">
          <reference field="5" count="3">
            <x v="85"/>
            <x v="86"/>
            <x v="114"/>
          </reference>
          <reference field="8" count="1" selected="0">
            <x v="612"/>
          </reference>
          <reference field="11" count="1" selected="0">
            <x v="3"/>
          </reference>
          <reference field="13" count="1" selected="0">
            <x v="105"/>
          </reference>
        </references>
      </pivotArea>
    </format>
    <format dxfId="359">
      <pivotArea dataOnly="0" labelOnly="1" outline="0" fieldPosition="0">
        <references count="4">
          <reference field="5" count="3">
            <x v="86"/>
            <x v="89"/>
            <x v="114"/>
          </reference>
          <reference field="8" count="1" selected="0">
            <x v="612"/>
          </reference>
          <reference field="11" count="1" selected="0">
            <x v="3"/>
          </reference>
          <reference field="13" count="1" selected="0">
            <x v="110"/>
          </reference>
        </references>
      </pivotArea>
    </format>
    <format dxfId="358">
      <pivotArea dataOnly="0" labelOnly="1" outline="0" fieldPosition="0">
        <references count="4">
          <reference field="5" count="2">
            <x v="91"/>
            <x v="114"/>
          </reference>
          <reference field="8" count="1" selected="0">
            <x v="612"/>
          </reference>
          <reference field="11" count="1" selected="0">
            <x v="3"/>
          </reference>
          <reference field="13" count="1" selected="0">
            <x v="131"/>
          </reference>
        </references>
      </pivotArea>
    </format>
    <format dxfId="357">
      <pivotArea dataOnly="0" labelOnly="1" outline="0" fieldPosition="0">
        <references count="4">
          <reference field="5" count="1">
            <x v="89"/>
          </reference>
          <reference field="8" count="1" selected="0">
            <x v="612"/>
          </reference>
          <reference field="11" count="1" selected="0">
            <x v="3"/>
          </reference>
          <reference field="13" count="1" selected="0">
            <x v="134"/>
          </reference>
        </references>
      </pivotArea>
    </format>
    <format dxfId="356">
      <pivotArea dataOnly="0" labelOnly="1" outline="0" fieldPosition="0">
        <references count="4">
          <reference field="5" count="1">
            <x v="114"/>
          </reference>
          <reference field="8" count="1" selected="0">
            <x v="612"/>
          </reference>
          <reference field="11" count="1" selected="0">
            <x v="3"/>
          </reference>
          <reference field="13" count="1" selected="0">
            <x v="146"/>
          </reference>
        </references>
      </pivotArea>
    </format>
    <format dxfId="355">
      <pivotArea dataOnly="0" labelOnly="1" outline="0" fieldPosition="0">
        <references count="4">
          <reference field="5" count="1">
            <x v="86"/>
          </reference>
          <reference field="8" count="1" selected="0">
            <x v="612"/>
          </reference>
          <reference field="11" count="1" selected="0">
            <x v="3"/>
          </reference>
          <reference field="13" count="1" selected="0">
            <x v="218"/>
          </reference>
        </references>
      </pivotArea>
    </format>
    <format dxfId="354">
      <pivotArea dataOnly="0" labelOnly="1" outline="0" fieldPosition="0">
        <references count="4">
          <reference field="5" count="3">
            <x v="86"/>
            <x v="91"/>
            <x v="114"/>
          </reference>
          <reference field="8" count="1" selected="0">
            <x v="612"/>
          </reference>
          <reference field="11" count="1" selected="0">
            <x v="3"/>
          </reference>
          <reference field="13" count="1" selected="0">
            <x v="240"/>
          </reference>
        </references>
      </pivotArea>
    </format>
    <format dxfId="353">
      <pivotArea dataOnly="0" labelOnly="1" outline="0" fieldPosition="0">
        <references count="4">
          <reference field="5" count="1">
            <x v="114"/>
          </reference>
          <reference field="8" count="1" selected="0">
            <x v="612"/>
          </reference>
          <reference field="11" count="1" selected="0">
            <x v="3"/>
          </reference>
          <reference field="13" count="1" selected="0">
            <x v="242"/>
          </reference>
        </references>
      </pivotArea>
    </format>
    <format dxfId="352">
      <pivotArea dataOnly="0" labelOnly="1" outline="0" fieldPosition="0">
        <references count="4">
          <reference field="5" count="1">
            <x v="114"/>
          </reference>
          <reference field="8" count="1" selected="0">
            <x v="612"/>
          </reference>
          <reference field="11" count="1" selected="0">
            <x v="3"/>
          </reference>
          <reference field="13" count="1" selected="0">
            <x v="243"/>
          </reference>
        </references>
      </pivotArea>
    </format>
    <format dxfId="351">
      <pivotArea dataOnly="0" labelOnly="1" outline="0" fieldPosition="0">
        <references count="4">
          <reference field="5" count="2">
            <x v="86"/>
            <x v="114"/>
          </reference>
          <reference field="8" count="1" selected="0">
            <x v="612"/>
          </reference>
          <reference field="11" count="1" selected="0">
            <x v="3"/>
          </reference>
          <reference field="13" count="1" selected="0">
            <x v="251"/>
          </reference>
        </references>
      </pivotArea>
    </format>
    <format dxfId="350">
      <pivotArea dataOnly="0" labelOnly="1" outline="0" fieldPosition="0">
        <references count="4">
          <reference field="5" count="5">
            <x v="85"/>
            <x v="86"/>
            <x v="88"/>
            <x v="89"/>
            <x v="114"/>
          </reference>
          <reference field="8" count="1" selected="0">
            <x v="612"/>
          </reference>
          <reference field="11" count="1" selected="0">
            <x v="3"/>
          </reference>
          <reference field="13" count="1" selected="0">
            <x v="287"/>
          </reference>
        </references>
      </pivotArea>
    </format>
    <format dxfId="349">
      <pivotArea dataOnly="0" labelOnly="1" outline="0" fieldPosition="0">
        <references count="4">
          <reference field="5" count="3">
            <x v="86"/>
            <x v="88"/>
            <x v="114"/>
          </reference>
          <reference field="8" count="1" selected="0">
            <x v="612"/>
          </reference>
          <reference field="11" count="1" selected="0">
            <x v="3"/>
          </reference>
          <reference field="13" count="1" selected="0">
            <x v="305"/>
          </reference>
        </references>
      </pivotArea>
    </format>
    <format dxfId="348">
      <pivotArea dataOnly="0" labelOnly="1" outline="0" fieldPosition="0">
        <references count="4">
          <reference field="5" count="2">
            <x v="89"/>
            <x v="114"/>
          </reference>
          <reference field="8" count="1" selected="0">
            <x v="612"/>
          </reference>
          <reference field="11" count="1" selected="0">
            <x v="3"/>
          </reference>
          <reference field="13" count="1" selected="0">
            <x v="314"/>
          </reference>
        </references>
      </pivotArea>
    </format>
    <format dxfId="347">
      <pivotArea dataOnly="0" labelOnly="1" outline="0" fieldPosition="0">
        <references count="4">
          <reference field="5" count="1">
            <x v="86"/>
          </reference>
          <reference field="8" count="1" selected="0">
            <x v="612"/>
          </reference>
          <reference field="11" count="1" selected="0">
            <x v="3"/>
          </reference>
          <reference field="13" count="1" selected="0">
            <x v="316"/>
          </reference>
        </references>
      </pivotArea>
    </format>
    <format dxfId="346">
      <pivotArea dataOnly="0" labelOnly="1" outline="0" fieldPosition="0">
        <references count="4">
          <reference field="5" count="7">
            <x v="85"/>
            <x v="86"/>
            <x v="87"/>
            <x v="88"/>
            <x v="89"/>
            <x v="91"/>
            <x v="114"/>
          </reference>
          <reference field="8" count="1" selected="0">
            <x v="612"/>
          </reference>
          <reference field="11" count="1" selected="0">
            <x v="4"/>
          </reference>
          <reference field="13" count="1" selected="0">
            <x v="133"/>
          </reference>
        </references>
      </pivotArea>
    </format>
    <format dxfId="345">
      <pivotArea dataOnly="0" labelOnly="1" outline="0" fieldPosition="0">
        <references count="4">
          <reference field="5" count="3">
            <x v="85"/>
            <x v="86"/>
            <x v="114"/>
          </reference>
          <reference field="8" count="1" selected="0">
            <x v="612"/>
          </reference>
          <reference field="11" count="1" selected="0">
            <x v="4"/>
          </reference>
          <reference field="13" count="1" selected="0">
            <x v="150"/>
          </reference>
        </references>
      </pivotArea>
    </format>
    <format dxfId="344">
      <pivotArea dataOnly="0" labelOnly="1" outline="0" fieldPosition="0">
        <references count="4">
          <reference field="5" count="7">
            <x v="85"/>
            <x v="86"/>
            <x v="87"/>
            <x v="88"/>
            <x v="89"/>
            <x v="91"/>
            <x v="114"/>
          </reference>
          <reference field="8" count="1" selected="0">
            <x v="612"/>
          </reference>
          <reference field="11" count="1" selected="0">
            <x v="5"/>
          </reference>
          <reference field="13" count="1" selected="0">
            <x v="77"/>
          </reference>
        </references>
      </pivotArea>
    </format>
    <format dxfId="343">
      <pivotArea dataOnly="0" labelOnly="1" outline="0" fieldPosition="0">
        <references count="4">
          <reference field="5" count="7">
            <x v="85"/>
            <x v="86"/>
            <x v="87"/>
            <x v="88"/>
            <x v="89"/>
            <x v="91"/>
            <x v="114"/>
          </reference>
          <reference field="8" count="1" selected="0">
            <x v="612"/>
          </reference>
          <reference field="11" count="1" selected="0">
            <x v="5"/>
          </reference>
          <reference field="13" count="1" selected="0">
            <x v="81"/>
          </reference>
        </references>
      </pivotArea>
    </format>
    <format dxfId="342">
      <pivotArea dataOnly="0" labelOnly="1" outline="0" fieldPosition="0">
        <references count="4">
          <reference field="5" count="1">
            <x v="114"/>
          </reference>
          <reference field="8" count="1" selected="0">
            <x v="612"/>
          </reference>
          <reference field="11" count="1" selected="0">
            <x v="7"/>
          </reference>
          <reference field="13" count="1" selected="0">
            <x v="8"/>
          </reference>
        </references>
      </pivotArea>
    </format>
    <format dxfId="341">
      <pivotArea dataOnly="0" labelOnly="1" outline="0" fieldPosition="0">
        <references count="4">
          <reference field="5" count="2">
            <x v="86"/>
            <x v="114"/>
          </reference>
          <reference field="8" count="1" selected="0">
            <x v="612"/>
          </reference>
          <reference field="11" count="1" selected="0">
            <x v="7"/>
          </reference>
          <reference field="13" count="1" selected="0">
            <x v="72"/>
          </reference>
        </references>
      </pivotArea>
    </format>
    <format dxfId="340">
      <pivotArea dataOnly="0" labelOnly="1" outline="0" fieldPosition="0">
        <references count="4">
          <reference field="5" count="1">
            <x v="114"/>
          </reference>
          <reference field="8" count="1" selected="0">
            <x v="612"/>
          </reference>
          <reference field="11" count="1" selected="0">
            <x v="7"/>
          </reference>
          <reference field="13" count="1" selected="0">
            <x v="93"/>
          </reference>
        </references>
      </pivotArea>
    </format>
    <format dxfId="339">
      <pivotArea dataOnly="0" labelOnly="1" outline="0" fieldPosition="0">
        <references count="4">
          <reference field="5" count="1">
            <x v="89"/>
          </reference>
          <reference field="8" count="1" selected="0">
            <x v="612"/>
          </reference>
          <reference field="11" count="1" selected="0">
            <x v="7"/>
          </reference>
          <reference field="13" count="1" selected="0">
            <x v="129"/>
          </reference>
        </references>
      </pivotArea>
    </format>
    <format dxfId="338">
      <pivotArea dataOnly="0" labelOnly="1" outline="0" fieldPosition="0">
        <references count="4">
          <reference field="5" count="1">
            <x v="114"/>
          </reference>
          <reference field="8" count="1" selected="0">
            <x v="612"/>
          </reference>
          <reference field="11" count="1" selected="0">
            <x v="7"/>
          </reference>
          <reference field="13" count="1" selected="0">
            <x v="308"/>
          </reference>
        </references>
      </pivotArea>
    </format>
    <format dxfId="337">
      <pivotArea dataOnly="0" labelOnly="1" outline="0" fieldPosition="0">
        <references count="4">
          <reference field="5" count="4">
            <x v="85"/>
            <x v="87"/>
            <x v="91"/>
            <x v="114"/>
          </reference>
          <reference field="8" count="1" selected="0">
            <x v="613"/>
          </reference>
          <reference field="11" count="1" selected="0">
            <x v="2"/>
          </reference>
          <reference field="13" count="1" selected="0">
            <x v="238"/>
          </reference>
        </references>
      </pivotArea>
    </format>
    <format dxfId="336">
      <pivotArea dataOnly="0" labelOnly="1" outline="0" fieldPosition="0">
        <references count="4">
          <reference field="5" count="1">
            <x v="85"/>
          </reference>
          <reference field="8" count="1" selected="0">
            <x v="613"/>
          </reference>
          <reference field="11" count="1" selected="0">
            <x v="2"/>
          </reference>
          <reference field="13" count="1" selected="0">
            <x v="263"/>
          </reference>
        </references>
      </pivotArea>
    </format>
    <format dxfId="335">
      <pivotArea dataOnly="0" labelOnly="1" outline="0" fieldPosition="0">
        <references count="4">
          <reference field="5" count="1">
            <x v="88"/>
          </reference>
          <reference field="8" count="1" selected="0">
            <x v="613"/>
          </reference>
          <reference field="11" count="1" selected="0">
            <x v="3"/>
          </reference>
          <reference field="13" count="1" selected="0">
            <x v="4"/>
          </reference>
        </references>
      </pivotArea>
    </format>
    <format dxfId="334">
      <pivotArea dataOnly="0" labelOnly="1" outline="0" fieldPosition="0">
        <references count="4">
          <reference field="5" count="6">
            <x v="85"/>
            <x v="86"/>
            <x v="87"/>
            <x v="88"/>
            <x v="91"/>
            <x v="114"/>
          </reference>
          <reference field="8" count="1" selected="0">
            <x v="613"/>
          </reference>
          <reference field="11" count="1" selected="0">
            <x v="3"/>
          </reference>
          <reference field="13" count="1" selected="0">
            <x v="17"/>
          </reference>
        </references>
      </pivotArea>
    </format>
    <format dxfId="333">
      <pivotArea dataOnly="0" labelOnly="1" outline="0" fieldPosition="0">
        <references count="4">
          <reference field="5" count="1">
            <x v="87"/>
          </reference>
          <reference field="8" count="1" selected="0">
            <x v="613"/>
          </reference>
          <reference field="11" count="1" selected="0">
            <x v="3"/>
          </reference>
          <reference field="13" count="1" selected="0">
            <x v="29"/>
          </reference>
        </references>
      </pivotArea>
    </format>
    <format dxfId="332">
      <pivotArea dataOnly="0" labelOnly="1" outline="0" fieldPosition="0">
        <references count="4">
          <reference field="5" count="8">
            <x v="76"/>
            <x v="85"/>
            <x v="86"/>
            <x v="87"/>
            <x v="88"/>
            <x v="89"/>
            <x v="91"/>
            <x v="114"/>
          </reference>
          <reference field="8" count="1" selected="0">
            <x v="613"/>
          </reference>
          <reference field="11" count="1" selected="0">
            <x v="3"/>
          </reference>
          <reference field="13" count="1" selected="0">
            <x v="32"/>
          </reference>
        </references>
      </pivotArea>
    </format>
    <format dxfId="331">
      <pivotArea dataOnly="0" labelOnly="1" outline="0" fieldPosition="0">
        <references count="4">
          <reference field="5" count="1">
            <x v="88"/>
          </reference>
          <reference field="8" count="1" selected="0">
            <x v="613"/>
          </reference>
          <reference field="11" count="1" selected="0">
            <x v="3"/>
          </reference>
          <reference field="13" count="1" selected="0">
            <x v="36"/>
          </reference>
        </references>
      </pivotArea>
    </format>
    <format dxfId="330">
      <pivotArea dataOnly="0" labelOnly="1" outline="0" fieldPosition="0">
        <references count="4">
          <reference field="5" count="4">
            <x v="85"/>
            <x v="88"/>
            <x v="91"/>
            <x v="114"/>
          </reference>
          <reference field="8" count="1" selected="0">
            <x v="613"/>
          </reference>
          <reference field="11" count="1" selected="0">
            <x v="3"/>
          </reference>
          <reference field="13" count="1" selected="0">
            <x v="69"/>
          </reference>
        </references>
      </pivotArea>
    </format>
    <format dxfId="329">
      <pivotArea dataOnly="0" labelOnly="1" outline="0" fieldPosition="0">
        <references count="4">
          <reference field="5" count="2">
            <x v="89"/>
            <x v="114"/>
          </reference>
          <reference field="8" count="1" selected="0">
            <x v="613"/>
          </reference>
          <reference field="11" count="1" selected="0">
            <x v="3"/>
          </reference>
          <reference field="13" count="1" selected="0">
            <x v="89"/>
          </reference>
        </references>
      </pivotArea>
    </format>
    <format dxfId="328">
      <pivotArea dataOnly="0" labelOnly="1" outline="0" fieldPosition="0">
        <references count="4">
          <reference field="5" count="1">
            <x v="88"/>
          </reference>
          <reference field="8" count="1" selected="0">
            <x v="613"/>
          </reference>
          <reference field="11" count="1" selected="0">
            <x v="3"/>
          </reference>
          <reference field="13" count="1" selected="0">
            <x v="101"/>
          </reference>
        </references>
      </pivotArea>
    </format>
    <format dxfId="327">
      <pivotArea dataOnly="0" labelOnly="1" outline="0" fieldPosition="0">
        <references count="4">
          <reference field="5" count="3">
            <x v="85"/>
            <x v="89"/>
            <x v="114"/>
          </reference>
          <reference field="8" count="1" selected="0">
            <x v="613"/>
          </reference>
          <reference field="11" count="1" selected="0">
            <x v="3"/>
          </reference>
          <reference field="13" count="1" selected="0">
            <x v="105"/>
          </reference>
        </references>
      </pivotArea>
    </format>
    <format dxfId="326">
      <pivotArea dataOnly="0" labelOnly="1" outline="0" fieldPosition="0">
        <references count="4">
          <reference field="5" count="3">
            <x v="88"/>
            <x v="89"/>
            <x v="114"/>
          </reference>
          <reference field="8" count="1" selected="0">
            <x v="613"/>
          </reference>
          <reference field="11" count="1" selected="0">
            <x v="3"/>
          </reference>
          <reference field="13" count="1" selected="0">
            <x v="110"/>
          </reference>
        </references>
      </pivotArea>
    </format>
    <format dxfId="325">
      <pivotArea dataOnly="0" labelOnly="1" outline="0" fieldPosition="0">
        <references count="4">
          <reference field="5" count="1">
            <x v="88"/>
          </reference>
          <reference field="8" count="1" selected="0">
            <x v="613"/>
          </reference>
          <reference field="11" count="1" selected="0">
            <x v="3"/>
          </reference>
          <reference field="13" count="1" selected="0">
            <x v="131"/>
          </reference>
        </references>
      </pivotArea>
    </format>
    <format dxfId="324">
      <pivotArea dataOnly="0" labelOnly="1" outline="0" fieldPosition="0">
        <references count="4">
          <reference field="5" count="1">
            <x v="88"/>
          </reference>
          <reference field="8" count="1" selected="0">
            <x v="613"/>
          </reference>
          <reference field="11" count="1" selected="0">
            <x v="3"/>
          </reference>
          <reference field="13" count="1" selected="0">
            <x v="134"/>
          </reference>
        </references>
      </pivotArea>
    </format>
    <format dxfId="323">
      <pivotArea dataOnly="0" labelOnly="1" outline="0" fieldPosition="0">
        <references count="4">
          <reference field="5" count="1">
            <x v="76"/>
          </reference>
          <reference field="8" count="1" selected="0">
            <x v="613"/>
          </reference>
          <reference field="11" count="1" selected="0">
            <x v="3"/>
          </reference>
          <reference field="13" count="1" selected="0">
            <x v="146"/>
          </reference>
        </references>
      </pivotArea>
    </format>
    <format dxfId="322">
      <pivotArea dataOnly="0" labelOnly="1" outline="0" fieldPosition="0">
        <references count="4">
          <reference field="5" count="3">
            <x v="88"/>
            <x v="91"/>
            <x v="114"/>
          </reference>
          <reference field="8" count="1" selected="0">
            <x v="613"/>
          </reference>
          <reference field="11" count="1" selected="0">
            <x v="3"/>
          </reference>
          <reference field="13" count="1" selected="0">
            <x v="240"/>
          </reference>
        </references>
      </pivotArea>
    </format>
    <format dxfId="321">
      <pivotArea dataOnly="0" labelOnly="1" outline="0" fieldPosition="0">
        <references count="4">
          <reference field="5" count="1">
            <x v="114"/>
          </reference>
          <reference field="8" count="1" selected="0">
            <x v="613"/>
          </reference>
          <reference field="11" count="1" selected="0">
            <x v="3"/>
          </reference>
          <reference field="13" count="1" selected="0">
            <x v="251"/>
          </reference>
        </references>
      </pivotArea>
    </format>
    <format dxfId="320">
      <pivotArea dataOnly="0" labelOnly="1" outline="0" fieldPosition="0">
        <references count="4">
          <reference field="5" count="6">
            <x v="85"/>
            <x v="86"/>
            <x v="87"/>
            <x v="88"/>
            <x v="89"/>
            <x v="114"/>
          </reference>
          <reference field="8" count="1" selected="0">
            <x v="613"/>
          </reference>
          <reference field="11" count="1" selected="0">
            <x v="3"/>
          </reference>
          <reference field="13" count="1" selected="0">
            <x v="287"/>
          </reference>
        </references>
      </pivotArea>
    </format>
    <format dxfId="319">
      <pivotArea dataOnly="0" labelOnly="1" outline="0" fieldPosition="0">
        <references count="4">
          <reference field="5" count="6">
            <x v="85"/>
            <x v="86"/>
            <x v="87"/>
            <x v="88"/>
            <x v="91"/>
            <x v="114"/>
          </reference>
          <reference field="8" count="1" selected="0">
            <x v="613"/>
          </reference>
          <reference field="11" count="1" selected="0">
            <x v="3"/>
          </reference>
          <reference field="13" count="1" selected="0">
            <x v="305"/>
          </reference>
        </references>
      </pivotArea>
    </format>
    <format dxfId="318">
      <pivotArea dataOnly="0" labelOnly="1" outline="0" fieldPosition="0">
        <references count="4">
          <reference field="5" count="3">
            <x v="88"/>
            <x v="89"/>
            <x v="114"/>
          </reference>
          <reference field="8" count="1" selected="0">
            <x v="613"/>
          </reference>
          <reference field="11" count="1" selected="0">
            <x v="3"/>
          </reference>
          <reference field="13" count="1" selected="0">
            <x v="314"/>
          </reference>
        </references>
      </pivotArea>
    </format>
    <format dxfId="317">
      <pivotArea dataOnly="0" labelOnly="1" outline="0" fieldPosition="0">
        <references count="4">
          <reference field="5" count="5">
            <x v="85"/>
            <x v="88"/>
            <x v="89"/>
            <x v="91"/>
            <x v="114"/>
          </reference>
          <reference field="8" count="1" selected="0">
            <x v="613"/>
          </reference>
          <reference field="11" count="1" selected="0">
            <x v="4"/>
          </reference>
          <reference field="13" count="1" selected="0">
            <x v="133"/>
          </reference>
        </references>
      </pivotArea>
    </format>
    <format dxfId="316">
      <pivotArea dataOnly="0" labelOnly="1" outline="0" fieldPosition="0">
        <references count="4">
          <reference field="5" count="6">
            <x v="85"/>
            <x v="87"/>
            <x v="88"/>
            <x v="89"/>
            <x v="91"/>
            <x v="114"/>
          </reference>
          <reference field="8" count="1" selected="0">
            <x v="613"/>
          </reference>
          <reference field="11" count="1" selected="0">
            <x v="5"/>
          </reference>
          <reference field="13" count="1" selected="0">
            <x v="77"/>
          </reference>
        </references>
      </pivotArea>
    </format>
    <format dxfId="315">
      <pivotArea dataOnly="0" labelOnly="1" outline="0" fieldPosition="0">
        <references count="4">
          <reference field="5" count="6">
            <x v="85"/>
            <x v="87"/>
            <x v="88"/>
            <x v="89"/>
            <x v="91"/>
            <x v="114"/>
          </reference>
          <reference field="8" count="1" selected="0">
            <x v="613"/>
          </reference>
          <reference field="11" count="1" selected="0">
            <x v="5"/>
          </reference>
          <reference field="13" count="1" selected="0">
            <x v="81"/>
          </reference>
        </references>
      </pivotArea>
    </format>
    <format dxfId="314">
      <pivotArea dataOnly="0" labelOnly="1" outline="0" fieldPosition="0">
        <references count="4">
          <reference field="5" count="1">
            <x v="76"/>
          </reference>
          <reference field="8" count="1" selected="0">
            <x v="613"/>
          </reference>
          <reference field="11" count="1" selected="0">
            <x v="5"/>
          </reference>
          <reference field="13" count="1" selected="0">
            <x v="229"/>
          </reference>
        </references>
      </pivotArea>
    </format>
    <format dxfId="313">
      <pivotArea dataOnly="0" labelOnly="1" outline="0" fieldPosition="0">
        <references count="4">
          <reference field="5" count="3">
            <x v="85"/>
            <x v="89"/>
            <x v="114"/>
          </reference>
          <reference field="8" count="1" selected="0">
            <x v="613"/>
          </reference>
          <reference field="11" count="1" selected="0">
            <x v="7"/>
          </reference>
          <reference field="13" count="1" selected="0">
            <x v="72"/>
          </reference>
        </references>
      </pivotArea>
    </format>
    <format dxfId="312">
      <pivotArea dataOnly="0" labelOnly="1" outline="0" fieldPosition="0">
        <references count="4">
          <reference field="5" count="1">
            <x v="114"/>
          </reference>
          <reference field="8" count="1" selected="0">
            <x v="613"/>
          </reference>
          <reference field="11" count="1" selected="0">
            <x v="7"/>
          </reference>
          <reference field="13" count="1" selected="0">
            <x v="93"/>
          </reference>
        </references>
      </pivotArea>
    </format>
    <format dxfId="311">
      <pivotArea dataOnly="0" labelOnly="1" outline="0" fieldPosition="0">
        <references count="4">
          <reference field="5" count="2">
            <x v="91"/>
            <x v="114"/>
          </reference>
          <reference field="8" count="1" selected="0">
            <x v="614"/>
          </reference>
          <reference field="11" count="1" selected="0">
            <x v="2"/>
          </reference>
          <reference field="13" count="1" selected="0">
            <x v="238"/>
          </reference>
        </references>
      </pivotArea>
    </format>
    <format dxfId="310">
      <pivotArea dataOnly="0" labelOnly="1" outline="0" fieldPosition="0">
        <references count="4">
          <reference field="5" count="1">
            <x v="114"/>
          </reference>
          <reference field="8" count="1" selected="0">
            <x v="614"/>
          </reference>
          <reference field="11" count="1" selected="0">
            <x v="3"/>
          </reference>
          <reference field="13" count="1" selected="0">
            <x v="32"/>
          </reference>
        </references>
      </pivotArea>
    </format>
    <format dxfId="309">
      <pivotArea dataOnly="0" labelOnly="1" outline="0" fieldPosition="0">
        <references count="4">
          <reference field="5" count="2">
            <x v="91"/>
            <x v="114"/>
          </reference>
          <reference field="8" count="1" selected="0">
            <x v="614"/>
          </reference>
          <reference field="11" count="1" selected="0">
            <x v="3"/>
          </reference>
          <reference field="13" count="1" selected="0">
            <x v="69"/>
          </reference>
        </references>
      </pivotArea>
    </format>
    <format dxfId="308">
      <pivotArea dataOnly="0" labelOnly="1" outline="0" fieldPosition="0">
        <references count="4">
          <reference field="5" count="2">
            <x v="91"/>
            <x v="114"/>
          </reference>
          <reference field="8" count="1" selected="0">
            <x v="614"/>
          </reference>
          <reference field="11" count="1" selected="0">
            <x v="3"/>
          </reference>
          <reference field="13" count="1" selected="0">
            <x v="240"/>
          </reference>
        </references>
      </pivotArea>
    </format>
    <format dxfId="307">
      <pivotArea dataOnly="0" labelOnly="1" outline="0" fieldPosition="0">
        <references count="4">
          <reference field="5" count="1">
            <x v="114"/>
          </reference>
          <reference field="8" count="1" selected="0">
            <x v="614"/>
          </reference>
          <reference field="11" count="1" selected="0">
            <x v="3"/>
          </reference>
          <reference field="13" count="1" selected="0">
            <x v="287"/>
          </reference>
        </references>
      </pivotArea>
    </format>
    <format dxfId="306">
      <pivotArea dataOnly="0" labelOnly="1" outline="0" fieldPosition="0">
        <references count="4">
          <reference field="5" count="2">
            <x v="91"/>
            <x v="114"/>
          </reference>
          <reference field="8" count="1" selected="0">
            <x v="614"/>
          </reference>
          <reference field="11" count="1" selected="0">
            <x v="4"/>
          </reference>
          <reference field="13" count="1" selected="0">
            <x v="133"/>
          </reference>
        </references>
      </pivotArea>
    </format>
    <format dxfId="305">
      <pivotArea dataOnly="0" labelOnly="1" outline="0" fieldPosition="0">
        <references count="4">
          <reference field="5" count="2">
            <x v="91"/>
            <x v="114"/>
          </reference>
          <reference field="8" count="1" selected="0">
            <x v="614"/>
          </reference>
          <reference field="11" count="1" selected="0">
            <x v="5"/>
          </reference>
          <reference field="13" count="1" selected="0">
            <x v="77"/>
          </reference>
        </references>
      </pivotArea>
    </format>
    <format dxfId="304">
      <pivotArea dataOnly="0" labelOnly="1" outline="0" fieldPosition="0">
        <references count="4">
          <reference field="5" count="2">
            <x v="91"/>
            <x v="114"/>
          </reference>
          <reference field="8" count="1" selected="0">
            <x v="614"/>
          </reference>
          <reference field="11" count="1" selected="0">
            <x v="5"/>
          </reference>
          <reference field="13" count="1" selected="0">
            <x v="81"/>
          </reference>
        </references>
      </pivotArea>
    </format>
    <format dxfId="303">
      <pivotArea dataOnly="0" labelOnly="1" outline="0" fieldPosition="0">
        <references count="4">
          <reference field="5" count="2">
            <x v="68"/>
            <x v="110"/>
          </reference>
          <reference field="8" count="1" selected="0">
            <x v="615"/>
          </reference>
          <reference field="11" count="1" selected="0">
            <x v="3"/>
          </reference>
          <reference field="13" count="1" selected="0">
            <x v="7"/>
          </reference>
        </references>
      </pivotArea>
    </format>
    <format dxfId="302">
      <pivotArea dataOnly="0" labelOnly="1" outline="0" fieldPosition="0">
        <references count="4">
          <reference field="5" count="1">
            <x v="117"/>
          </reference>
          <reference field="8" count="1" selected="0">
            <x v="615"/>
          </reference>
          <reference field="11" count="1" selected="0">
            <x v="3"/>
          </reference>
          <reference field="13" count="1" selected="0">
            <x v="29"/>
          </reference>
        </references>
      </pivotArea>
    </format>
    <format dxfId="301">
      <pivotArea dataOnly="0" labelOnly="1" outline="0" fieldPosition="0">
        <references count="4">
          <reference field="5" count="1">
            <x v="110"/>
          </reference>
          <reference field="8" count="1" selected="0">
            <x v="615"/>
          </reference>
          <reference field="11" count="1" selected="0">
            <x v="3"/>
          </reference>
          <reference field="13" count="1" selected="0">
            <x v="32"/>
          </reference>
        </references>
      </pivotArea>
    </format>
    <format dxfId="300">
      <pivotArea dataOnly="0" labelOnly="1" outline="0" fieldPosition="0">
        <references count="4">
          <reference field="5" count="1">
            <x v="110"/>
          </reference>
          <reference field="8" count="1" selected="0">
            <x v="615"/>
          </reference>
          <reference field="11" count="1" selected="0">
            <x v="3"/>
          </reference>
          <reference field="13" count="1" selected="0">
            <x v="69"/>
          </reference>
        </references>
      </pivotArea>
    </format>
    <format dxfId="299">
      <pivotArea dataOnly="0" labelOnly="1" outline="0" fieldPosition="0">
        <references count="4">
          <reference field="5" count="1">
            <x v="110"/>
          </reference>
          <reference field="8" count="1" selected="0">
            <x v="615"/>
          </reference>
          <reference field="11" count="1" selected="0">
            <x v="3"/>
          </reference>
          <reference field="13" count="1" selected="0">
            <x v="100"/>
          </reference>
        </references>
      </pivotArea>
    </format>
    <format dxfId="298">
      <pivotArea dataOnly="0" labelOnly="1" outline="0" fieldPosition="0">
        <references count="4">
          <reference field="5" count="1">
            <x v="117"/>
          </reference>
          <reference field="8" count="1" selected="0">
            <x v="615"/>
          </reference>
          <reference field="11" count="1" selected="0">
            <x v="3"/>
          </reference>
          <reference field="13" count="1" selected="0">
            <x v="218"/>
          </reference>
        </references>
      </pivotArea>
    </format>
    <format dxfId="297">
      <pivotArea dataOnly="0" labelOnly="1" outline="0" fieldPosition="0">
        <references count="4">
          <reference field="5" count="1">
            <x v="117"/>
          </reference>
          <reference field="8" count="1" selected="0">
            <x v="615"/>
          </reference>
          <reference field="11" count="1" selected="0">
            <x v="3"/>
          </reference>
          <reference field="13" count="1" selected="0">
            <x v="314"/>
          </reference>
        </references>
      </pivotArea>
    </format>
    <format dxfId="296">
      <pivotArea dataOnly="0" labelOnly="1" outline="0" fieldPosition="0">
        <references count="4">
          <reference field="5" count="1">
            <x v="68"/>
          </reference>
          <reference field="8" count="1" selected="0">
            <x v="615"/>
          </reference>
          <reference field="11" count="1" selected="0">
            <x v="7"/>
          </reference>
          <reference field="13" count="1" selected="0">
            <x v="72"/>
          </reference>
        </references>
      </pivotArea>
    </format>
    <format dxfId="295">
      <pivotArea dataOnly="0" labelOnly="1" outline="0" fieldPosition="0">
        <references count="4">
          <reference field="5" count="2">
            <x v="76"/>
            <x v="117"/>
          </reference>
          <reference field="8" count="1" selected="0">
            <x v="616"/>
          </reference>
          <reference field="11" count="1" selected="0">
            <x v="3"/>
          </reference>
          <reference field="13" count="1" selected="0">
            <x v="29"/>
          </reference>
        </references>
      </pivotArea>
    </format>
    <format dxfId="294">
      <pivotArea dataOnly="0" labelOnly="1" outline="0" fieldPosition="0">
        <references count="4">
          <reference field="5" count="1">
            <x v="117"/>
          </reference>
          <reference field="8" count="1" selected="0">
            <x v="616"/>
          </reference>
          <reference field="11" count="1" selected="0">
            <x v="3"/>
          </reference>
          <reference field="13" count="1" selected="0">
            <x v="218"/>
          </reference>
        </references>
      </pivotArea>
    </format>
    <format dxfId="293">
      <pivotArea dataOnly="0" labelOnly="1" outline="0" fieldPosition="0">
        <references count="4">
          <reference field="5" count="1">
            <x v="117"/>
          </reference>
          <reference field="8" count="1" selected="0">
            <x v="616"/>
          </reference>
          <reference field="11" count="1" selected="0">
            <x v="3"/>
          </reference>
          <reference field="13" count="1" selected="0">
            <x v="314"/>
          </reference>
        </references>
      </pivotArea>
    </format>
    <format dxfId="292">
      <pivotArea dataOnly="0" labelOnly="1" outline="0" fieldPosition="0">
        <references count="4">
          <reference field="5" count="1">
            <x v="76"/>
          </reference>
          <reference field="8" count="1" selected="0">
            <x v="616"/>
          </reference>
          <reference field="11" count="1" selected="0">
            <x v="4"/>
          </reference>
          <reference field="13" count="1" selected="0">
            <x v="133"/>
          </reference>
        </references>
      </pivotArea>
    </format>
    <format dxfId="291">
      <pivotArea dataOnly="0" labelOnly="1" outline="0" fieldPosition="0">
        <references count="4">
          <reference field="5" count="1">
            <x v="76"/>
          </reference>
          <reference field="8" count="1" selected="0">
            <x v="616"/>
          </reference>
          <reference field="11" count="1" selected="0">
            <x v="5"/>
          </reference>
          <reference field="13" count="1" selected="0">
            <x v="77"/>
          </reference>
        </references>
      </pivotArea>
    </format>
    <format dxfId="290">
      <pivotArea dataOnly="0" labelOnly="1" outline="0" fieldPosition="0">
        <references count="4">
          <reference field="5" count="1">
            <x v="85"/>
          </reference>
          <reference field="8" count="1" selected="0">
            <x v="617"/>
          </reference>
          <reference field="11" count="1" selected="0">
            <x v="3"/>
          </reference>
          <reference field="13" count="1" selected="0">
            <x v="32"/>
          </reference>
        </references>
      </pivotArea>
    </format>
    <format dxfId="289">
      <pivotArea dataOnly="0" labelOnly="1" outline="0" fieldPosition="0">
        <references count="4">
          <reference field="5" count="1">
            <x v="85"/>
          </reference>
          <reference field="8" count="1" selected="0">
            <x v="617"/>
          </reference>
          <reference field="11" count="1" selected="0">
            <x v="3"/>
          </reference>
          <reference field="13" count="1" selected="0">
            <x v="47"/>
          </reference>
        </references>
      </pivotArea>
    </format>
    <format dxfId="288">
      <pivotArea dataOnly="0" labelOnly="1" outline="0" fieldPosition="0">
        <references count="4">
          <reference field="5" count="1">
            <x v="85"/>
          </reference>
          <reference field="8" count="1" selected="0">
            <x v="617"/>
          </reference>
          <reference field="11" count="1" selected="0">
            <x v="3"/>
          </reference>
          <reference field="13" count="1" selected="0">
            <x v="49"/>
          </reference>
        </references>
      </pivotArea>
    </format>
    <format dxfId="287">
      <pivotArea dataOnly="0" labelOnly="1" outline="0" fieldPosition="0">
        <references count="4">
          <reference field="5" count="1">
            <x v="85"/>
          </reference>
          <reference field="8" count="1" selected="0">
            <x v="617"/>
          </reference>
          <reference field="11" count="1" selected="0">
            <x v="3"/>
          </reference>
          <reference field="13" count="1" selected="0">
            <x v="287"/>
          </reference>
        </references>
      </pivotArea>
    </format>
    <format dxfId="286">
      <pivotArea dataOnly="0" labelOnly="1" outline="0" fieldPosition="0">
        <references count="4">
          <reference field="5" count="1">
            <x v="85"/>
          </reference>
          <reference field="8" count="1" selected="0">
            <x v="617"/>
          </reference>
          <reference field="11" count="1" selected="0">
            <x v="4"/>
          </reference>
          <reference field="13" count="1" selected="0">
            <x v="133"/>
          </reference>
        </references>
      </pivotArea>
    </format>
    <format dxfId="285">
      <pivotArea dataOnly="0" labelOnly="1" outline="0" fieldPosition="0">
        <references count="4">
          <reference field="5" count="1">
            <x v="86"/>
          </reference>
          <reference field="8" count="1" selected="0">
            <x v="618"/>
          </reference>
          <reference field="11" count="1" selected="0">
            <x v="3"/>
          </reference>
          <reference field="13" count="1" selected="0">
            <x v="4"/>
          </reference>
        </references>
      </pivotArea>
    </format>
    <format dxfId="284">
      <pivotArea dataOnly="0" labelOnly="1" outline="0" fieldPosition="0">
        <references count="4">
          <reference field="5" count="4">
            <x v="85"/>
            <x v="88"/>
            <x v="91"/>
            <x v="114"/>
          </reference>
          <reference field="8" count="1" selected="0">
            <x v="618"/>
          </reference>
          <reference field="11" count="1" selected="0">
            <x v="3"/>
          </reference>
          <reference field="13" count="1" selected="0">
            <x v="7"/>
          </reference>
        </references>
      </pivotArea>
    </format>
    <format dxfId="283">
      <pivotArea dataOnly="0" labelOnly="1" outline="0" fieldPosition="0">
        <references count="4">
          <reference field="5" count="7">
            <x v="85"/>
            <x v="86"/>
            <x v="87"/>
            <x v="88"/>
            <x v="89"/>
            <x v="91"/>
            <x v="114"/>
          </reference>
          <reference field="8" count="1" selected="0">
            <x v="618"/>
          </reference>
          <reference field="11" count="1" selected="0">
            <x v="3"/>
          </reference>
          <reference field="13" count="1" selected="0">
            <x v="32"/>
          </reference>
        </references>
      </pivotArea>
    </format>
    <format dxfId="282">
      <pivotArea dataOnly="0" labelOnly="1" outline="0" fieldPosition="0">
        <references count="4">
          <reference field="5" count="3">
            <x v="85"/>
            <x v="86"/>
            <x v="87"/>
          </reference>
          <reference field="8" count="1" selected="0">
            <x v="618"/>
          </reference>
          <reference field="11" count="1" selected="0">
            <x v="3"/>
          </reference>
          <reference field="13" count="1" selected="0">
            <x v="47"/>
          </reference>
        </references>
      </pivotArea>
    </format>
    <format dxfId="281">
      <pivotArea dataOnly="0" labelOnly="1" outline="0" fieldPosition="0">
        <references count="4">
          <reference field="5" count="3">
            <x v="85"/>
            <x v="86"/>
            <x v="91"/>
          </reference>
          <reference field="8" count="1" selected="0">
            <x v="618"/>
          </reference>
          <reference field="11" count="1" selected="0">
            <x v="3"/>
          </reference>
          <reference field="13" count="1" selected="0">
            <x v="49"/>
          </reference>
        </references>
      </pivotArea>
    </format>
    <format dxfId="280">
      <pivotArea dataOnly="0" labelOnly="1" outline="0" fieldPosition="0">
        <references count="4">
          <reference field="5" count="2">
            <x v="85"/>
            <x v="89"/>
          </reference>
          <reference field="8" count="1" selected="0">
            <x v="618"/>
          </reference>
          <reference field="11" count="1" selected="0">
            <x v="3"/>
          </reference>
          <reference field="13" count="1" selected="0">
            <x v="69"/>
          </reference>
        </references>
      </pivotArea>
    </format>
    <format dxfId="279">
      <pivotArea dataOnly="0" labelOnly="1" outline="0" fieldPosition="0">
        <references count="4">
          <reference field="5" count="1">
            <x v="86"/>
          </reference>
          <reference field="8" count="1" selected="0">
            <x v="618"/>
          </reference>
          <reference field="11" count="1" selected="0">
            <x v="3"/>
          </reference>
          <reference field="13" count="1" selected="0">
            <x v="218"/>
          </reference>
        </references>
      </pivotArea>
    </format>
    <format dxfId="278">
      <pivotArea dataOnly="0" labelOnly="1" outline="0" fieldPosition="0">
        <references count="4">
          <reference field="5" count="2">
            <x v="88"/>
            <x v="114"/>
          </reference>
          <reference field="8" count="1" selected="0">
            <x v="618"/>
          </reference>
          <reference field="11" count="1" selected="0">
            <x v="3"/>
          </reference>
          <reference field="13" count="1" selected="0">
            <x v="240"/>
          </reference>
        </references>
      </pivotArea>
    </format>
    <format dxfId="277">
      <pivotArea dataOnly="0" labelOnly="1" outline="0" fieldPosition="0">
        <references count="4">
          <reference field="5" count="1">
            <x v="114"/>
          </reference>
          <reference field="8" count="1" selected="0">
            <x v="618"/>
          </reference>
          <reference field="11" count="1" selected="0">
            <x v="3"/>
          </reference>
          <reference field="13" count="1" selected="0">
            <x v="243"/>
          </reference>
        </references>
      </pivotArea>
    </format>
    <format dxfId="276">
      <pivotArea dataOnly="0" labelOnly="1" outline="0" fieldPosition="0">
        <references count="4">
          <reference field="5" count="2">
            <x v="88"/>
            <x v="114"/>
          </reference>
          <reference field="8" count="1" selected="0">
            <x v="618"/>
          </reference>
          <reference field="11" count="1" selected="0">
            <x v="3"/>
          </reference>
          <reference field="13" count="1" selected="0">
            <x v="251"/>
          </reference>
        </references>
      </pivotArea>
    </format>
    <format dxfId="275">
      <pivotArea dataOnly="0" labelOnly="1" outline="0" fieldPosition="0">
        <references count="4">
          <reference field="5" count="4">
            <x v="85"/>
            <x v="86"/>
            <x v="89"/>
            <x v="114"/>
          </reference>
          <reference field="8" count="1" selected="0">
            <x v="618"/>
          </reference>
          <reference field="11" count="1" selected="0">
            <x v="3"/>
          </reference>
          <reference field="13" count="1" selected="0">
            <x v="287"/>
          </reference>
        </references>
      </pivotArea>
    </format>
    <format dxfId="274">
      <pivotArea dataOnly="0" labelOnly="1" outline="0" fieldPosition="0">
        <references count="4">
          <reference field="5" count="2">
            <x v="89"/>
            <x v="114"/>
          </reference>
          <reference field="8" count="1" selected="0">
            <x v="618"/>
          </reference>
          <reference field="11" count="1" selected="0">
            <x v="3"/>
          </reference>
          <reference field="13" count="1" selected="0">
            <x v="314"/>
          </reference>
        </references>
      </pivotArea>
    </format>
    <format dxfId="273">
      <pivotArea dataOnly="0" labelOnly="1" outline="0" fieldPosition="0">
        <references count="4">
          <reference field="5" count="6">
            <x v="85"/>
            <x v="87"/>
            <x v="88"/>
            <x v="89"/>
            <x v="91"/>
            <x v="114"/>
          </reference>
          <reference field="8" count="1" selected="0">
            <x v="618"/>
          </reference>
          <reference field="11" count="1" selected="0">
            <x v="4"/>
          </reference>
          <reference field="13" count="1" selected="0">
            <x v="133"/>
          </reference>
        </references>
      </pivotArea>
    </format>
    <format dxfId="272">
      <pivotArea dataOnly="0" labelOnly="1" outline="0" fieldPosition="0">
        <references count="4">
          <reference field="5" count="6">
            <x v="85"/>
            <x v="86"/>
            <x v="88"/>
            <x v="89"/>
            <x v="91"/>
            <x v="114"/>
          </reference>
          <reference field="8" count="1" selected="0">
            <x v="618"/>
          </reference>
          <reference field="11" count="1" selected="0">
            <x v="5"/>
          </reference>
          <reference field="13" count="1" selected="0">
            <x v="77"/>
          </reference>
        </references>
      </pivotArea>
    </format>
    <format dxfId="271">
      <pivotArea dataOnly="0" labelOnly="1" outline="0" fieldPosition="0">
        <references count="4">
          <reference field="5" count="7">
            <x v="85"/>
            <x v="86"/>
            <x v="87"/>
            <x v="88"/>
            <x v="89"/>
            <x v="91"/>
            <x v="114"/>
          </reference>
          <reference field="8" count="1" selected="0">
            <x v="618"/>
          </reference>
          <reference field="11" count="1" selected="0">
            <x v="5"/>
          </reference>
          <reference field="13" count="1" selected="0">
            <x v="81"/>
          </reference>
        </references>
      </pivotArea>
    </format>
    <format dxfId="270">
      <pivotArea dataOnly="0" labelOnly="1" outline="0" fieldPosition="0">
        <references count="4">
          <reference field="5" count="1">
            <x v="85"/>
          </reference>
          <reference field="8" count="1" selected="0">
            <x v="618"/>
          </reference>
          <reference field="11" count="1" selected="0">
            <x v="7"/>
          </reference>
          <reference field="13" count="1" selected="0">
            <x v="8"/>
          </reference>
        </references>
      </pivotArea>
    </format>
    <format dxfId="269">
      <pivotArea dataOnly="0" labelOnly="1" outline="0" fieldPosition="0">
        <references count="4">
          <reference field="5" count="1">
            <x v="85"/>
          </reference>
          <reference field="8" count="1" selected="0">
            <x v="618"/>
          </reference>
          <reference field="11" count="1" selected="0">
            <x v="7"/>
          </reference>
          <reference field="13" count="1" selected="0">
            <x v="72"/>
          </reference>
        </references>
      </pivotArea>
    </format>
    <format dxfId="268">
      <pivotArea dataOnly="0" labelOnly="1" outline="0" fieldPosition="0">
        <references count="4">
          <reference field="5" count="1">
            <x v="85"/>
          </reference>
          <reference field="8" count="1" selected="0">
            <x v="618"/>
          </reference>
          <reference field="11" count="1" selected="0">
            <x v="7"/>
          </reference>
          <reference field="13" count="1" selected="0">
            <x v="308"/>
          </reference>
        </references>
      </pivotArea>
    </format>
    <format dxfId="267">
      <pivotArea dataOnly="0" labelOnly="1" outline="0" fieldPosition="0">
        <references count="4">
          <reference field="5" count="2">
            <x v="89"/>
            <x v="114"/>
          </reference>
          <reference field="8" count="1" selected="0">
            <x v="619"/>
          </reference>
          <reference field="11" count="1" selected="0">
            <x v="2"/>
          </reference>
          <reference field="13" count="1" selected="0">
            <x v="238"/>
          </reference>
        </references>
      </pivotArea>
    </format>
    <format dxfId="266">
      <pivotArea dataOnly="0" labelOnly="1" outline="0" fieldPosition="0">
        <references count="4">
          <reference field="5" count="1">
            <x v="88"/>
          </reference>
          <reference field="8" count="1" selected="0">
            <x v="619"/>
          </reference>
          <reference field="11" count="1" selected="0">
            <x v="3"/>
          </reference>
          <reference field="13" count="1" selected="0">
            <x v="4"/>
          </reference>
        </references>
      </pivotArea>
    </format>
    <format dxfId="265">
      <pivotArea dataOnly="0" labelOnly="1" outline="0" fieldPosition="0">
        <references count="4">
          <reference field="5" count="3">
            <x v="85"/>
            <x v="87"/>
            <x v="88"/>
          </reference>
          <reference field="8" count="1" selected="0">
            <x v="619"/>
          </reference>
          <reference field="11" count="1" selected="0">
            <x v="3"/>
          </reference>
          <reference field="13" count="1" selected="0">
            <x v="17"/>
          </reference>
        </references>
      </pivotArea>
    </format>
    <format dxfId="264">
      <pivotArea dataOnly="0" labelOnly="1" outline="0" fieldPosition="0">
        <references count="4">
          <reference field="5" count="1">
            <x v="86"/>
          </reference>
          <reference field="8" count="1" selected="0">
            <x v="619"/>
          </reference>
          <reference field="11" count="1" selected="0">
            <x v="3"/>
          </reference>
          <reference field="13" count="1" selected="0">
            <x v="20"/>
          </reference>
        </references>
      </pivotArea>
    </format>
    <format dxfId="263">
      <pivotArea dataOnly="0" labelOnly="1" outline="0" fieldPosition="0">
        <references count="4">
          <reference field="5" count="6">
            <x v="86"/>
            <x v="87"/>
            <x v="88"/>
            <x v="89"/>
            <x v="91"/>
            <x v="114"/>
          </reference>
          <reference field="8" count="1" selected="0">
            <x v="619"/>
          </reference>
          <reference field="11" count="1" selected="0">
            <x v="3"/>
          </reference>
          <reference field="13" count="1" selected="0">
            <x v="32"/>
          </reference>
        </references>
      </pivotArea>
    </format>
    <format dxfId="262">
      <pivotArea dataOnly="0" labelOnly="1" outline="0" fieldPosition="0">
        <references count="4">
          <reference field="5" count="1">
            <x v="88"/>
          </reference>
          <reference field="8" count="1" selected="0">
            <x v="619"/>
          </reference>
          <reference field="11" count="1" selected="0">
            <x v="3"/>
          </reference>
          <reference field="13" count="1" selected="0">
            <x v="36"/>
          </reference>
        </references>
      </pivotArea>
    </format>
    <format dxfId="261">
      <pivotArea dataOnly="0" labelOnly="1" outline="0" fieldPosition="0">
        <references count="4">
          <reference field="5" count="4">
            <x v="85"/>
            <x v="86"/>
            <x v="88"/>
            <x v="114"/>
          </reference>
          <reference field="8" count="1" selected="0">
            <x v="619"/>
          </reference>
          <reference field="11" count="1" selected="0">
            <x v="3"/>
          </reference>
          <reference field="13" count="1" selected="0">
            <x v="69"/>
          </reference>
        </references>
      </pivotArea>
    </format>
    <format dxfId="260">
      <pivotArea dataOnly="0" labelOnly="1" outline="0" fieldPosition="0">
        <references count="4">
          <reference field="5" count="7">
            <x v="85"/>
            <x v="86"/>
            <x v="87"/>
            <x v="88"/>
            <x v="89"/>
            <x v="91"/>
            <x v="114"/>
          </reference>
          <reference field="8" count="1" selected="0">
            <x v="619"/>
          </reference>
          <reference field="11" count="1" selected="0">
            <x v="3"/>
          </reference>
          <reference field="13" count="1" selected="0">
            <x v="89"/>
          </reference>
        </references>
      </pivotArea>
    </format>
    <format dxfId="259">
      <pivotArea dataOnly="0" labelOnly="1" outline="0" fieldPosition="0">
        <references count="4">
          <reference field="5" count="4">
            <x v="85"/>
            <x v="89"/>
            <x v="91"/>
            <x v="114"/>
          </reference>
          <reference field="8" count="1" selected="0">
            <x v="619"/>
          </reference>
          <reference field="11" count="1" selected="0">
            <x v="3"/>
          </reference>
          <reference field="13" count="1" selected="0">
            <x v="105"/>
          </reference>
        </references>
      </pivotArea>
    </format>
    <format dxfId="258">
      <pivotArea dataOnly="0" labelOnly="1" outline="0" fieldPosition="0">
        <references count="4">
          <reference field="5" count="2">
            <x v="85"/>
            <x v="89"/>
          </reference>
          <reference field="8" count="1" selected="0">
            <x v="619"/>
          </reference>
          <reference field="11" count="1" selected="0">
            <x v="3"/>
          </reference>
          <reference field="13" count="1" selected="0">
            <x v="110"/>
          </reference>
        </references>
      </pivotArea>
    </format>
    <format dxfId="257">
      <pivotArea dataOnly="0" labelOnly="1" outline="0" fieldPosition="0">
        <references count="4">
          <reference field="5" count="2">
            <x v="88"/>
            <x v="114"/>
          </reference>
          <reference field="8" count="1" selected="0">
            <x v="619"/>
          </reference>
          <reference field="11" count="1" selected="0">
            <x v="3"/>
          </reference>
          <reference field="13" count="1" selected="0">
            <x v="240"/>
          </reference>
        </references>
      </pivotArea>
    </format>
    <format dxfId="256">
      <pivotArea dataOnly="0" labelOnly="1" outline="0" fieldPosition="0">
        <references count="4">
          <reference field="5" count="1">
            <x v="88"/>
          </reference>
          <reference field="8" count="1" selected="0">
            <x v="619"/>
          </reference>
          <reference field="11" count="1" selected="0">
            <x v="3"/>
          </reference>
          <reference field="13" count="1" selected="0">
            <x v="251"/>
          </reference>
        </references>
      </pivotArea>
    </format>
    <format dxfId="255">
      <pivotArea dataOnly="0" labelOnly="1" outline="0" fieldPosition="0">
        <references count="4">
          <reference field="5" count="3">
            <x v="85"/>
            <x v="89"/>
            <x v="114"/>
          </reference>
          <reference field="8" count="1" selected="0">
            <x v="619"/>
          </reference>
          <reference field="11" count="1" selected="0">
            <x v="3"/>
          </reference>
          <reference field="13" count="1" selected="0">
            <x v="287"/>
          </reference>
        </references>
      </pivotArea>
    </format>
    <format dxfId="254">
      <pivotArea dataOnly="0" labelOnly="1" outline="0" fieldPosition="0">
        <references count="4">
          <reference field="5" count="2">
            <x v="85"/>
            <x v="88"/>
          </reference>
          <reference field="8" count="1" selected="0">
            <x v="619"/>
          </reference>
          <reference field="11" count="1" selected="0">
            <x v="3"/>
          </reference>
          <reference field="13" count="1" selected="0">
            <x v="305"/>
          </reference>
        </references>
      </pivotArea>
    </format>
    <format dxfId="253">
      <pivotArea dataOnly="0" labelOnly="1" outline="0" fieldPosition="0">
        <references count="4">
          <reference field="5" count="2">
            <x v="89"/>
            <x v="114"/>
          </reference>
          <reference field="8" count="1" selected="0">
            <x v="619"/>
          </reference>
          <reference field="11" count="1" selected="0">
            <x v="3"/>
          </reference>
          <reference field="13" count="1" selected="0">
            <x v="314"/>
          </reference>
        </references>
      </pivotArea>
    </format>
    <format dxfId="252">
      <pivotArea dataOnly="0" labelOnly="1" outline="0" fieldPosition="0">
        <references count="4">
          <reference field="5" count="2">
            <x v="89"/>
            <x v="114"/>
          </reference>
          <reference field="8" count="1" selected="0">
            <x v="619"/>
          </reference>
          <reference field="11" count="1" selected="0">
            <x v="4"/>
          </reference>
          <reference field="13" count="1" selected="0">
            <x v="133"/>
          </reference>
        </references>
      </pivotArea>
    </format>
    <format dxfId="251">
      <pivotArea dataOnly="0" labelOnly="1" outline="0" fieldPosition="0">
        <references count="4">
          <reference field="5" count="5">
            <x v="86"/>
            <x v="87"/>
            <x v="88"/>
            <x v="89"/>
            <x v="114"/>
          </reference>
          <reference field="8" count="1" selected="0">
            <x v="619"/>
          </reference>
          <reference field="11" count="1" selected="0">
            <x v="5"/>
          </reference>
          <reference field="13" count="1" selected="0">
            <x v="77"/>
          </reference>
        </references>
      </pivotArea>
    </format>
    <format dxfId="250">
      <pivotArea dataOnly="0" labelOnly="1" outline="0" fieldPosition="0">
        <references count="4">
          <reference field="5" count="7">
            <x v="85"/>
            <x v="86"/>
            <x v="87"/>
            <x v="88"/>
            <x v="89"/>
            <x v="91"/>
            <x v="114"/>
          </reference>
          <reference field="8" count="1" selected="0">
            <x v="619"/>
          </reference>
          <reference field="11" count="1" selected="0">
            <x v="5"/>
          </reference>
          <reference field="13" count="1" selected="0">
            <x v="81"/>
          </reference>
        </references>
      </pivotArea>
    </format>
    <format dxfId="249">
      <pivotArea dataOnly="0" labelOnly="1" outline="0" fieldPosition="0">
        <references count="4">
          <reference field="5" count="1">
            <x v="85"/>
          </reference>
          <reference field="8" count="1" selected="0">
            <x v="619"/>
          </reference>
          <reference field="11" count="1" selected="0">
            <x v="7"/>
          </reference>
          <reference field="13" count="1" selected="0">
            <x v="72"/>
          </reference>
        </references>
      </pivotArea>
    </format>
    <format dxfId="248">
      <pivotArea dataOnly="0" labelOnly="1" outline="0" fieldPosition="0">
        <references count="4">
          <reference field="5" count="2">
            <x v="44"/>
            <x v="112"/>
          </reference>
          <reference field="8" count="1" selected="0">
            <x v="620"/>
          </reference>
          <reference field="11" count="1" selected="0">
            <x v="3"/>
          </reference>
          <reference field="13" count="1" selected="0">
            <x v="287"/>
          </reference>
        </references>
      </pivotArea>
    </format>
    <format dxfId="247">
      <pivotArea dataOnly="0" labelOnly="1" outline="0" fieldPosition="0">
        <references count="4">
          <reference field="5" count="1">
            <x v="44"/>
          </reference>
          <reference field="8" count="1" selected="0">
            <x v="620"/>
          </reference>
          <reference field="11" count="1" selected="0">
            <x v="4"/>
          </reference>
          <reference field="13" count="1" selected="0">
            <x v="280"/>
          </reference>
        </references>
      </pivotArea>
    </format>
    <format dxfId="246">
      <pivotArea dataOnly="0" labelOnly="1" outline="0" fieldPosition="0">
        <references count="4">
          <reference field="5" count="1">
            <x v="44"/>
          </reference>
          <reference field="8" count="1" selected="0">
            <x v="620"/>
          </reference>
          <reference field="11" count="1" selected="0">
            <x v="5"/>
          </reference>
          <reference field="13" count="1" selected="0">
            <x v="77"/>
          </reference>
        </references>
      </pivotArea>
    </format>
    <format dxfId="245">
      <pivotArea dataOnly="0" labelOnly="1" outline="0" fieldPosition="0">
        <references count="4">
          <reference field="5" count="1">
            <x v="1"/>
          </reference>
          <reference field="8" count="1" selected="0">
            <x v="621"/>
          </reference>
          <reference field="11" count="1" selected="0">
            <x v="2"/>
          </reference>
          <reference field="13" count="1" selected="0">
            <x v="35"/>
          </reference>
        </references>
      </pivotArea>
    </format>
    <format dxfId="244">
      <pivotArea dataOnly="0" labelOnly="1" outline="0" fieldPosition="0">
        <references count="4">
          <reference field="5" count="1">
            <x v="1"/>
          </reference>
          <reference field="8" count="1" selected="0">
            <x v="621"/>
          </reference>
          <reference field="11" count="1" selected="0">
            <x v="2"/>
          </reference>
          <reference field="13" count="1" selected="0">
            <x v="289"/>
          </reference>
        </references>
      </pivotArea>
    </format>
    <format dxfId="243">
      <pivotArea dataOnly="0" labelOnly="1" outline="0" fieldPosition="0">
        <references count="4">
          <reference field="5" count="1">
            <x v="117"/>
          </reference>
          <reference field="8" count="1" selected="0">
            <x v="621"/>
          </reference>
          <reference field="11" count="1" selected="0">
            <x v="3"/>
          </reference>
          <reference field="13" count="1" selected="0">
            <x v="29"/>
          </reference>
        </references>
      </pivotArea>
    </format>
    <format dxfId="242">
      <pivotArea dataOnly="0" labelOnly="1" outline="0" fieldPosition="0">
        <references count="4">
          <reference field="5" count="1">
            <x v="117"/>
          </reference>
          <reference field="8" count="1" selected="0">
            <x v="621"/>
          </reference>
          <reference field="11" count="1" selected="0">
            <x v="3"/>
          </reference>
          <reference field="13" count="1" selected="0">
            <x v="218"/>
          </reference>
        </references>
      </pivotArea>
    </format>
    <format dxfId="241">
      <pivotArea dataOnly="0" labelOnly="1" outline="0" fieldPosition="0">
        <references count="4">
          <reference field="5" count="1">
            <x v="95"/>
          </reference>
          <reference field="8" count="1" selected="0">
            <x v="622"/>
          </reference>
          <reference field="11" count="1" selected="0">
            <x v="2"/>
          </reference>
          <reference field="13" count="1" selected="0">
            <x v="71"/>
          </reference>
        </references>
      </pivotArea>
    </format>
    <format dxfId="240">
      <pivotArea dataOnly="0" labelOnly="1" outline="0" fieldPosition="0">
        <references count="4">
          <reference field="5" count="1">
            <x v="95"/>
          </reference>
          <reference field="8" count="1" selected="0">
            <x v="622"/>
          </reference>
          <reference field="11" count="1" selected="0">
            <x v="3"/>
          </reference>
          <reference field="13" count="1" selected="0">
            <x v="7"/>
          </reference>
        </references>
      </pivotArea>
    </format>
    <format dxfId="239">
      <pivotArea dataOnly="0" labelOnly="1" outline="0" fieldPosition="0">
        <references count="4">
          <reference field="5" count="1">
            <x v="117"/>
          </reference>
          <reference field="8" count="1" selected="0">
            <x v="622"/>
          </reference>
          <reference field="11" count="1" selected="0">
            <x v="3"/>
          </reference>
          <reference field="13" count="1" selected="0">
            <x v="29"/>
          </reference>
        </references>
      </pivotArea>
    </format>
    <format dxfId="238">
      <pivotArea dataOnly="0" labelOnly="1" outline="0" fieldPosition="0">
        <references count="4">
          <reference field="5" count="1">
            <x v="95"/>
          </reference>
          <reference field="8" count="1" selected="0">
            <x v="622"/>
          </reference>
          <reference field="11" count="1" selected="0">
            <x v="3"/>
          </reference>
          <reference field="13" count="1" selected="0">
            <x v="57"/>
          </reference>
        </references>
      </pivotArea>
    </format>
    <format dxfId="237">
      <pivotArea dataOnly="0" labelOnly="1" outline="0" fieldPosition="0">
        <references count="4">
          <reference field="5" count="1">
            <x v="95"/>
          </reference>
          <reference field="8" count="1" selected="0">
            <x v="622"/>
          </reference>
          <reference field="11" count="1" selected="0">
            <x v="3"/>
          </reference>
          <reference field="13" count="1" selected="0">
            <x v="100"/>
          </reference>
        </references>
      </pivotArea>
    </format>
    <format dxfId="236">
      <pivotArea dataOnly="0" labelOnly="1" outline="0" fieldPosition="0">
        <references count="4">
          <reference field="5" count="1">
            <x v="117"/>
          </reference>
          <reference field="8" count="1" selected="0">
            <x v="622"/>
          </reference>
          <reference field="11" count="1" selected="0">
            <x v="3"/>
          </reference>
          <reference field="13" count="1" selected="0">
            <x v="218"/>
          </reference>
        </references>
      </pivotArea>
    </format>
    <format dxfId="235">
      <pivotArea dataOnly="0" labelOnly="1" outline="0" fieldPosition="0">
        <references count="4">
          <reference field="5" count="1">
            <x v="95"/>
          </reference>
          <reference field="8" count="1" selected="0">
            <x v="622"/>
          </reference>
          <reference field="11" count="1" selected="0">
            <x v="3"/>
          </reference>
          <reference field="13" count="1" selected="0">
            <x v="240"/>
          </reference>
        </references>
      </pivotArea>
    </format>
    <format dxfId="234">
      <pivotArea dataOnly="0" labelOnly="1" outline="0" fieldPosition="0">
        <references count="4">
          <reference field="5" count="1">
            <x v="95"/>
          </reference>
          <reference field="8" count="1" selected="0">
            <x v="622"/>
          </reference>
          <reference field="11" count="1" selected="0">
            <x v="3"/>
          </reference>
          <reference field="13" count="1" selected="0">
            <x v="287"/>
          </reference>
        </references>
      </pivotArea>
    </format>
    <format dxfId="233">
      <pivotArea dataOnly="0" labelOnly="1" outline="0" fieldPosition="0">
        <references count="4">
          <reference field="5" count="1">
            <x v="117"/>
          </reference>
          <reference field="8" count="1" selected="0">
            <x v="622"/>
          </reference>
          <reference field="11" count="1" selected="0">
            <x v="3"/>
          </reference>
          <reference field="13" count="1" selected="0">
            <x v="314"/>
          </reference>
        </references>
      </pivotArea>
    </format>
    <format dxfId="232">
      <pivotArea dataOnly="0" labelOnly="1" outline="0" fieldPosition="0">
        <references count="4">
          <reference field="5" count="1">
            <x v="116"/>
          </reference>
          <reference field="8" count="1" selected="0">
            <x v="622"/>
          </reference>
          <reference field="11" count="1" selected="0">
            <x v="5"/>
          </reference>
          <reference field="13" count="1" selected="0">
            <x v="81"/>
          </reference>
        </references>
      </pivotArea>
    </format>
    <format dxfId="231">
      <pivotArea dataOnly="0" labelOnly="1" outline="0" fieldPosition="0">
        <references count="4">
          <reference field="5" count="1">
            <x v="95"/>
          </reference>
          <reference field="8" count="1" selected="0">
            <x v="623"/>
          </reference>
          <reference field="11" count="1" selected="0">
            <x v="2"/>
          </reference>
          <reference field="13" count="1" selected="0">
            <x v="71"/>
          </reference>
        </references>
      </pivotArea>
    </format>
    <format dxfId="230">
      <pivotArea dataOnly="0" labelOnly="1" outline="0" fieldPosition="0">
        <references count="4">
          <reference field="5" count="2">
            <x v="116"/>
            <x v="117"/>
          </reference>
          <reference field="8" count="1" selected="0">
            <x v="623"/>
          </reference>
          <reference field="11" count="1" selected="0">
            <x v="3"/>
          </reference>
          <reference field="13" count="1" selected="0">
            <x v="29"/>
          </reference>
        </references>
      </pivotArea>
    </format>
    <format dxfId="229">
      <pivotArea dataOnly="0" labelOnly="1" outline="0" fieldPosition="0">
        <references count="4">
          <reference field="5" count="1">
            <x v="95"/>
          </reference>
          <reference field="8" count="1" selected="0">
            <x v="623"/>
          </reference>
          <reference field="11" count="1" selected="0">
            <x v="3"/>
          </reference>
          <reference field="13" count="1" selected="0">
            <x v="57"/>
          </reference>
        </references>
      </pivotArea>
    </format>
    <format dxfId="228">
      <pivotArea dataOnly="0" labelOnly="1" outline="0" fieldPosition="0">
        <references count="4">
          <reference field="5" count="1">
            <x v="95"/>
          </reference>
          <reference field="8" count="1" selected="0">
            <x v="623"/>
          </reference>
          <reference field="11" count="1" selected="0">
            <x v="3"/>
          </reference>
          <reference field="13" count="1" selected="0">
            <x v="100"/>
          </reference>
        </references>
      </pivotArea>
    </format>
    <format dxfId="227">
      <pivotArea dataOnly="0" labelOnly="1" outline="0" fieldPosition="0">
        <references count="4">
          <reference field="5" count="1">
            <x v="117"/>
          </reference>
          <reference field="8" count="1" selected="0">
            <x v="623"/>
          </reference>
          <reference field="11" count="1" selected="0">
            <x v="3"/>
          </reference>
          <reference field="13" count="1" selected="0">
            <x v="218"/>
          </reference>
        </references>
      </pivotArea>
    </format>
    <format dxfId="226">
      <pivotArea dataOnly="0" labelOnly="1" outline="0" fieldPosition="0">
        <references count="4">
          <reference field="5" count="1">
            <x v="95"/>
          </reference>
          <reference field="8" count="1" selected="0">
            <x v="623"/>
          </reference>
          <reference field="11" count="1" selected="0">
            <x v="3"/>
          </reference>
          <reference field="13" count="1" selected="0">
            <x v="287"/>
          </reference>
        </references>
      </pivotArea>
    </format>
    <format dxfId="225">
      <pivotArea dataOnly="0" labelOnly="1" outline="0" fieldPosition="0">
        <references count="4">
          <reference field="5" count="1">
            <x v="95"/>
          </reference>
          <reference field="8" count="1" selected="0">
            <x v="623"/>
          </reference>
          <reference field="11" count="1" selected="0">
            <x v="4"/>
          </reference>
          <reference field="13" count="1" selected="0">
            <x v="133"/>
          </reference>
        </references>
      </pivotArea>
    </format>
    <format dxfId="224">
      <pivotArea dataOnly="0" labelOnly="1" outline="0" fieldPosition="0">
        <references count="4">
          <reference field="5" count="1">
            <x v="95"/>
          </reference>
          <reference field="8" count="1" selected="0">
            <x v="623"/>
          </reference>
          <reference field="11" count="1" selected="0">
            <x v="5"/>
          </reference>
          <reference field="13" count="1" selected="0">
            <x v="81"/>
          </reference>
        </references>
      </pivotArea>
    </format>
    <format dxfId="223">
      <pivotArea dataOnly="0" labelOnly="1" outline="0" fieldPosition="0">
        <references count="4">
          <reference field="5" count="1">
            <x v="63"/>
          </reference>
          <reference field="8" count="1" selected="0">
            <x v="624"/>
          </reference>
          <reference field="11" count="1" selected="0">
            <x v="1"/>
          </reference>
          <reference field="13" count="1" selected="0">
            <x v="216"/>
          </reference>
        </references>
      </pivotArea>
    </format>
    <format dxfId="222">
      <pivotArea dataOnly="0" labelOnly="1" outline="0" fieldPosition="0">
        <references count="4">
          <reference field="5" count="1">
            <x v="63"/>
          </reference>
          <reference field="8" count="1" selected="0">
            <x v="624"/>
          </reference>
          <reference field="11" count="1" selected="0">
            <x v="1"/>
          </reference>
          <reference field="13" count="1" selected="0">
            <x v="286"/>
          </reference>
        </references>
      </pivotArea>
    </format>
    <format dxfId="221">
      <pivotArea dataOnly="0" labelOnly="1" outline="0" fieldPosition="0">
        <references count="4">
          <reference field="5" count="2">
            <x v="45"/>
            <x v="63"/>
          </reference>
          <reference field="8" count="1" selected="0">
            <x v="624"/>
          </reference>
          <reference field="11" count="1" selected="0">
            <x v="3"/>
          </reference>
          <reference field="13" count="1" selected="0">
            <x v="4"/>
          </reference>
        </references>
      </pivotArea>
    </format>
    <format dxfId="220">
      <pivotArea dataOnly="0" labelOnly="1" outline="0" fieldPosition="0">
        <references count="4">
          <reference field="5" count="1">
            <x v="63"/>
          </reference>
          <reference field="8" count="1" selected="0">
            <x v="624"/>
          </reference>
          <reference field="11" count="1" selected="0">
            <x v="3"/>
          </reference>
          <reference field="13" count="1" selected="0">
            <x v="17"/>
          </reference>
        </references>
      </pivotArea>
    </format>
    <format dxfId="219">
      <pivotArea dataOnly="0" labelOnly="1" outline="0" fieldPosition="0">
        <references count="4">
          <reference field="5" count="2">
            <x v="116"/>
            <x v="117"/>
          </reference>
          <reference field="8" count="1" selected="0">
            <x v="624"/>
          </reference>
          <reference field="11" count="1" selected="0">
            <x v="3"/>
          </reference>
          <reference field="13" count="1" selected="0">
            <x v="29"/>
          </reference>
        </references>
      </pivotArea>
    </format>
    <format dxfId="218">
      <pivotArea dataOnly="0" labelOnly="1" outline="0" fieldPosition="0">
        <references count="4">
          <reference field="5" count="1">
            <x v="63"/>
          </reference>
          <reference field="8" count="1" selected="0">
            <x v="624"/>
          </reference>
          <reference field="11" count="1" selected="0">
            <x v="3"/>
          </reference>
          <reference field="13" count="1" selected="0">
            <x v="32"/>
          </reference>
        </references>
      </pivotArea>
    </format>
    <format dxfId="217">
      <pivotArea dataOnly="0" labelOnly="1" outline="0" fieldPosition="0">
        <references count="4">
          <reference field="5" count="2">
            <x v="45"/>
            <x v="63"/>
          </reference>
          <reference field="8" count="1" selected="0">
            <x v="624"/>
          </reference>
          <reference field="11" count="1" selected="0">
            <x v="3"/>
          </reference>
          <reference field="13" count="1" selected="0">
            <x v="47"/>
          </reference>
        </references>
      </pivotArea>
    </format>
    <format dxfId="216">
      <pivotArea dataOnly="0" labelOnly="1" outline="0" fieldPosition="0">
        <references count="4">
          <reference field="5" count="2">
            <x v="45"/>
            <x v="63"/>
          </reference>
          <reference field="8" count="1" selected="0">
            <x v="624"/>
          </reference>
          <reference field="11" count="1" selected="0">
            <x v="3"/>
          </reference>
          <reference field="13" count="1" selected="0">
            <x v="49"/>
          </reference>
        </references>
      </pivotArea>
    </format>
    <format dxfId="215">
      <pivotArea dataOnly="0" labelOnly="1" outline="0" fieldPosition="0">
        <references count="4">
          <reference field="5" count="1">
            <x v="63"/>
          </reference>
          <reference field="8" count="1" selected="0">
            <x v="624"/>
          </reference>
          <reference field="11" count="1" selected="0">
            <x v="3"/>
          </reference>
          <reference field="13" count="1" selected="0">
            <x v="217"/>
          </reference>
        </references>
      </pivotArea>
    </format>
    <format dxfId="214">
      <pivotArea dataOnly="0" labelOnly="1" outline="0" fieldPosition="0">
        <references count="4">
          <reference field="5" count="3">
            <x v="45"/>
            <x v="63"/>
            <x v="117"/>
          </reference>
          <reference field="8" count="1" selected="0">
            <x v="624"/>
          </reference>
          <reference field="11" count="1" selected="0">
            <x v="3"/>
          </reference>
          <reference field="13" count="1" selected="0">
            <x v="218"/>
          </reference>
        </references>
      </pivotArea>
    </format>
    <format dxfId="213">
      <pivotArea dataOnly="0" labelOnly="1" outline="0" fieldPosition="0">
        <references count="4">
          <reference field="5" count="1">
            <x v="63"/>
          </reference>
          <reference field="8" count="1" selected="0">
            <x v="624"/>
          </reference>
          <reference field="11" count="1" selected="0">
            <x v="3"/>
          </reference>
          <reference field="13" count="1" selected="0">
            <x v="240"/>
          </reference>
        </references>
      </pivotArea>
    </format>
    <format dxfId="212">
      <pivotArea dataOnly="0" labelOnly="1" outline="0" fieldPosition="0">
        <references count="4">
          <reference field="5" count="1">
            <x v="63"/>
          </reference>
          <reference field="8" count="1" selected="0">
            <x v="624"/>
          </reference>
          <reference field="11" count="1" selected="0">
            <x v="3"/>
          </reference>
          <reference field="13" count="1" selected="0">
            <x v="243"/>
          </reference>
        </references>
      </pivotArea>
    </format>
    <format dxfId="211">
      <pivotArea dataOnly="0" labelOnly="1" outline="0" fieldPosition="0">
        <references count="4">
          <reference field="5" count="1">
            <x v="63"/>
          </reference>
          <reference field="8" count="1" selected="0">
            <x v="624"/>
          </reference>
          <reference field="11" count="1" selected="0">
            <x v="3"/>
          </reference>
          <reference field="13" count="1" selected="0">
            <x v="287"/>
          </reference>
        </references>
      </pivotArea>
    </format>
    <format dxfId="210">
      <pivotArea dataOnly="0" labelOnly="1" outline="0" fieldPosition="0">
        <references count="4">
          <reference field="5" count="1">
            <x v="63"/>
          </reference>
          <reference field="8" count="1" selected="0">
            <x v="624"/>
          </reference>
          <reference field="11" count="1" selected="0">
            <x v="3"/>
          </reference>
          <reference field="13" count="1" selected="0">
            <x v="305"/>
          </reference>
        </references>
      </pivotArea>
    </format>
    <format dxfId="209">
      <pivotArea dataOnly="0" labelOnly="1" outline="0" fieldPosition="0">
        <references count="4">
          <reference field="5" count="3">
            <x v="45"/>
            <x v="63"/>
            <x v="117"/>
          </reference>
          <reference field="8" count="1" selected="0">
            <x v="624"/>
          </reference>
          <reference field="11" count="1" selected="0">
            <x v="3"/>
          </reference>
          <reference field="13" count="1" selected="0">
            <x v="314"/>
          </reference>
        </references>
      </pivotArea>
    </format>
    <format dxfId="208">
      <pivotArea dataOnly="0" labelOnly="1" outline="0" fieldPosition="0">
        <references count="4">
          <reference field="5" count="1">
            <x v="63"/>
          </reference>
          <reference field="8" count="1" selected="0">
            <x v="624"/>
          </reference>
          <reference field="11" count="1" selected="0">
            <x v="5"/>
          </reference>
          <reference field="13" count="1" selected="0">
            <x v="77"/>
          </reference>
        </references>
      </pivotArea>
    </format>
    <format dxfId="207">
      <pivotArea dataOnly="0" labelOnly="1" outline="0" fieldPosition="0">
        <references count="4">
          <reference field="5" count="2">
            <x v="45"/>
            <x v="63"/>
          </reference>
          <reference field="8" count="1" selected="0">
            <x v="624"/>
          </reference>
          <reference field="11" count="1" selected="0">
            <x v="5"/>
          </reference>
          <reference field="13" count="1" selected="0">
            <x v="81"/>
          </reference>
        </references>
      </pivotArea>
    </format>
    <format dxfId="206">
      <pivotArea dataOnly="0" labelOnly="1" outline="0" fieldPosition="0">
        <references count="4">
          <reference field="5" count="1">
            <x v="45"/>
          </reference>
          <reference field="8" count="1" selected="0">
            <x v="624"/>
          </reference>
          <reference field="11" count="1" selected="0">
            <x v="5"/>
          </reference>
          <reference field="13" count="1" selected="0">
            <x v="86"/>
          </reference>
        </references>
      </pivotArea>
    </format>
    <format dxfId="205">
      <pivotArea dataOnly="0" labelOnly="1" outline="0" fieldPosition="0">
        <references count="4">
          <reference field="5" count="1">
            <x v="45"/>
          </reference>
          <reference field="8" count="1" selected="0">
            <x v="625"/>
          </reference>
          <reference field="11" count="1" selected="0">
            <x v="3"/>
          </reference>
          <reference field="13" count="1" selected="0">
            <x v="4"/>
          </reference>
        </references>
      </pivotArea>
    </format>
    <format dxfId="204">
      <pivotArea dataOnly="0" labelOnly="1" outline="0" fieldPosition="0">
        <references count="4">
          <reference field="5" count="2">
            <x v="116"/>
            <x v="117"/>
          </reference>
          <reference field="8" count="1" selected="0">
            <x v="625"/>
          </reference>
          <reference field="11" count="1" selected="0">
            <x v="3"/>
          </reference>
          <reference field="13" count="1" selected="0">
            <x v="29"/>
          </reference>
        </references>
      </pivotArea>
    </format>
    <format dxfId="203">
      <pivotArea dataOnly="0" labelOnly="1" outline="0" fieldPosition="0">
        <references count="4">
          <reference field="5" count="2">
            <x v="45"/>
            <x v="117"/>
          </reference>
          <reference field="8" count="1" selected="0">
            <x v="625"/>
          </reference>
          <reference field="11" count="1" selected="0">
            <x v="3"/>
          </reference>
          <reference field="13" count="1" selected="0">
            <x v="218"/>
          </reference>
        </references>
      </pivotArea>
    </format>
    <format dxfId="202">
      <pivotArea dataOnly="0" labelOnly="1" outline="0" fieldPosition="0">
        <references count="4">
          <reference field="5" count="2">
            <x v="45"/>
            <x v="117"/>
          </reference>
          <reference field="8" count="1" selected="0">
            <x v="625"/>
          </reference>
          <reference field="11" count="1" selected="0">
            <x v="3"/>
          </reference>
          <reference field="13" count="1" selected="0">
            <x v="314"/>
          </reference>
        </references>
      </pivotArea>
    </format>
    <format dxfId="201">
      <pivotArea dataOnly="0" labelOnly="1" outline="0" fieldPosition="0">
        <references count="4">
          <reference field="5" count="1">
            <x v="45"/>
          </reference>
          <reference field="8" count="1" selected="0">
            <x v="625"/>
          </reference>
          <reference field="11" count="1" selected="0">
            <x v="5"/>
          </reference>
          <reference field="13" count="1" selected="0">
            <x v="86"/>
          </reference>
        </references>
      </pivotArea>
    </format>
    <format dxfId="200">
      <pivotArea dataOnly="0" labelOnly="1" outline="0" fieldPosition="0">
        <references count="4">
          <reference field="5" count="1">
            <x v="44"/>
          </reference>
          <reference field="8" count="1" selected="0">
            <x v="625"/>
          </reference>
          <reference field="11" count="1" selected="0">
            <x v="5"/>
          </reference>
          <reference field="13" count="1" selected="0">
            <x v="300"/>
          </reference>
        </references>
      </pivotArea>
    </format>
    <format dxfId="199">
      <pivotArea dataOnly="0" labelOnly="1" outline="0" fieldPosition="0">
        <references count="4">
          <reference field="5" count="1">
            <x v="44"/>
          </reference>
          <reference field="8" count="1" selected="0">
            <x v="625"/>
          </reference>
          <reference field="11" count="1" selected="0">
            <x v="5"/>
          </reference>
          <reference field="13" count="1" selected="0">
            <x v="301"/>
          </reference>
        </references>
      </pivotArea>
    </format>
    <format dxfId="198">
      <pivotArea dataOnly="0" labelOnly="1" outline="0" fieldPosition="0">
        <references count="4">
          <reference field="5" count="1">
            <x v="44"/>
          </reference>
          <reference field="8" count="1" selected="0">
            <x v="625"/>
          </reference>
          <reference field="11" count="1" selected="0">
            <x v="6"/>
          </reference>
          <reference field="13" count="1" selected="0">
            <x v="291"/>
          </reference>
        </references>
      </pivotArea>
    </format>
    <format dxfId="197">
      <pivotArea dataOnly="0" labelOnly="1" outline="0" fieldPosition="0">
        <references count="4">
          <reference field="5" count="1">
            <x v="44"/>
          </reference>
          <reference field="8" count="1" selected="0">
            <x v="625"/>
          </reference>
          <reference field="11" count="1" selected="0">
            <x v="6"/>
          </reference>
          <reference field="13" count="1" selected="0">
            <x v="292"/>
          </reference>
        </references>
      </pivotArea>
    </format>
    <format dxfId="196">
      <pivotArea dataOnly="0" labelOnly="1" outline="0" fieldPosition="0">
        <references count="4">
          <reference field="5" count="1">
            <x v="44"/>
          </reference>
          <reference field="8" count="1" selected="0">
            <x v="625"/>
          </reference>
          <reference field="11" count="1" selected="0">
            <x v="6"/>
          </reference>
          <reference field="13" count="1" selected="0">
            <x v="293"/>
          </reference>
        </references>
      </pivotArea>
    </format>
    <format dxfId="195">
      <pivotArea dataOnly="0" labelOnly="1" outline="0" fieldPosition="0">
        <references count="4">
          <reference field="5" count="1">
            <x v="63"/>
          </reference>
          <reference field="8" count="1" selected="0">
            <x v="626"/>
          </reference>
          <reference field="11" count="1" selected="0">
            <x v="3"/>
          </reference>
          <reference field="13" count="1" selected="0">
            <x v="32"/>
          </reference>
        </references>
      </pivotArea>
    </format>
    <format dxfId="194">
      <pivotArea dataOnly="0" labelOnly="1" outline="0" fieldPosition="0">
        <references count="4">
          <reference field="5" count="1">
            <x v="63"/>
          </reference>
          <reference field="8" count="1" selected="0">
            <x v="626"/>
          </reference>
          <reference field="11" count="1" selected="0">
            <x v="3"/>
          </reference>
          <reference field="13" count="1" selected="0">
            <x v="217"/>
          </reference>
        </references>
      </pivotArea>
    </format>
    <format dxfId="193">
      <pivotArea dataOnly="0" labelOnly="1" outline="0" fieldPosition="0">
        <references count="4">
          <reference field="5" count="1">
            <x v="63"/>
          </reference>
          <reference field="8" count="1" selected="0">
            <x v="626"/>
          </reference>
          <reference field="11" count="1" selected="0">
            <x v="3"/>
          </reference>
          <reference field="13" count="1" selected="0">
            <x v="240"/>
          </reference>
        </references>
      </pivotArea>
    </format>
    <format dxfId="192">
      <pivotArea dataOnly="0" labelOnly="1" outline="0" fieldPosition="0">
        <references count="4">
          <reference field="5" count="1">
            <x v="63"/>
          </reference>
          <reference field="8" count="1" selected="0">
            <x v="626"/>
          </reference>
          <reference field="11" count="1" selected="0">
            <x v="3"/>
          </reference>
          <reference field="13" count="1" selected="0">
            <x v="243"/>
          </reference>
        </references>
      </pivotArea>
    </format>
    <format dxfId="191">
      <pivotArea dataOnly="0" labelOnly="1" outline="0" fieldPosition="0">
        <references count="4">
          <reference field="5" count="1">
            <x v="63"/>
          </reference>
          <reference field="8" count="1" selected="0">
            <x v="626"/>
          </reference>
          <reference field="11" count="1" selected="0">
            <x v="3"/>
          </reference>
          <reference field="13" count="1" selected="0">
            <x v="287"/>
          </reference>
        </references>
      </pivotArea>
    </format>
    <format dxfId="190">
      <pivotArea dataOnly="0" labelOnly="1" outline="0" fieldPosition="0">
        <references count="4">
          <reference field="5" count="1">
            <x v="63"/>
          </reference>
          <reference field="8" count="1" selected="0">
            <x v="626"/>
          </reference>
          <reference field="11" count="1" selected="0">
            <x v="5"/>
          </reference>
          <reference field="13" count="1" selected="0">
            <x v="77"/>
          </reference>
        </references>
      </pivotArea>
    </format>
    <format dxfId="189">
      <pivotArea dataOnly="0" labelOnly="1" outline="0" fieldPosition="0">
        <references count="4">
          <reference field="5" count="1">
            <x v="63"/>
          </reference>
          <reference field="8" count="1" selected="0">
            <x v="626"/>
          </reference>
          <reference field="11" count="1" selected="0">
            <x v="5"/>
          </reference>
          <reference field="13" count="1" selected="0">
            <x v="81"/>
          </reference>
        </references>
      </pivotArea>
    </format>
    <format dxfId="188">
      <pivotArea dataOnly="0" labelOnly="1" outline="0" fieldPosition="0">
        <references count="4">
          <reference field="5" count="1">
            <x v="39"/>
          </reference>
          <reference field="8" count="1" selected="0">
            <x v="627"/>
          </reference>
          <reference field="11" count="1" selected="0">
            <x v="1"/>
          </reference>
          <reference field="13" count="1" selected="0">
            <x v="40"/>
          </reference>
        </references>
      </pivotArea>
    </format>
    <format dxfId="187">
      <pivotArea dataOnly="0" labelOnly="1" outline="0" fieldPosition="0">
        <references count="4">
          <reference field="5" count="1">
            <x v="39"/>
          </reference>
          <reference field="8" count="1" selected="0">
            <x v="627"/>
          </reference>
          <reference field="11" count="1" selected="0">
            <x v="2"/>
          </reference>
          <reference field="13" count="1" selected="0">
            <x v="55"/>
          </reference>
        </references>
      </pivotArea>
    </format>
    <format dxfId="186">
      <pivotArea dataOnly="0" labelOnly="1" outline="0" fieldPosition="0">
        <references count="4">
          <reference field="5" count="1">
            <x v="39"/>
          </reference>
          <reference field="8" count="1" selected="0">
            <x v="627"/>
          </reference>
          <reference field="11" count="1" selected="0">
            <x v="2"/>
          </reference>
          <reference field="13" count="1" selected="0">
            <x v="173"/>
          </reference>
        </references>
      </pivotArea>
    </format>
    <format dxfId="185">
      <pivotArea dataOnly="0" labelOnly="1" outline="0" fieldPosition="0">
        <references count="4">
          <reference field="5" count="1">
            <x v="39"/>
          </reference>
          <reference field="8" count="1" selected="0">
            <x v="627"/>
          </reference>
          <reference field="11" count="1" selected="0">
            <x v="3"/>
          </reference>
          <reference field="13" count="1" selected="0">
            <x v="17"/>
          </reference>
        </references>
      </pivotArea>
    </format>
    <format dxfId="184">
      <pivotArea dataOnly="0" labelOnly="1" outline="0" fieldPosition="0">
        <references count="4">
          <reference field="5" count="1">
            <x v="39"/>
          </reference>
          <reference field="8" count="1" selected="0">
            <x v="627"/>
          </reference>
          <reference field="11" count="1" selected="0">
            <x v="3"/>
          </reference>
          <reference field="13" count="1" selected="0">
            <x v="57"/>
          </reference>
        </references>
      </pivotArea>
    </format>
    <format dxfId="183">
      <pivotArea dataOnly="0" labelOnly="1" outline="0" fieldPosition="0">
        <references count="4">
          <reference field="5" count="1">
            <x v="39"/>
          </reference>
          <reference field="8" count="1" selected="0">
            <x v="627"/>
          </reference>
          <reference field="11" count="1" selected="0">
            <x v="3"/>
          </reference>
          <reference field="13" count="1" selected="0">
            <x v="69"/>
          </reference>
        </references>
      </pivotArea>
    </format>
    <format dxfId="182">
      <pivotArea dataOnly="0" labelOnly="1" outline="0" fieldPosition="0">
        <references count="4">
          <reference field="5" count="1">
            <x v="39"/>
          </reference>
          <reference field="8" count="1" selected="0">
            <x v="627"/>
          </reference>
          <reference field="11" count="1" selected="0">
            <x v="3"/>
          </reference>
          <reference field="13" count="1" selected="0">
            <x v="242"/>
          </reference>
        </references>
      </pivotArea>
    </format>
    <format dxfId="181">
      <pivotArea dataOnly="0" labelOnly="1" outline="0" fieldPosition="0">
        <references count="4">
          <reference field="5" count="1">
            <x v="39"/>
          </reference>
          <reference field="8" count="1" selected="0">
            <x v="627"/>
          </reference>
          <reference field="11" count="1" selected="0">
            <x v="3"/>
          </reference>
          <reference field="13" count="1" selected="0">
            <x v="287"/>
          </reference>
        </references>
      </pivotArea>
    </format>
    <format dxfId="180">
      <pivotArea dataOnly="0" labelOnly="1" outline="0" fieldPosition="0">
        <references count="4">
          <reference field="5" count="1">
            <x v="39"/>
          </reference>
          <reference field="8" count="1" selected="0">
            <x v="627"/>
          </reference>
          <reference field="11" count="1" selected="0">
            <x v="3"/>
          </reference>
          <reference field="13" count="1" selected="0">
            <x v="305"/>
          </reference>
        </references>
      </pivotArea>
    </format>
    <format dxfId="179">
      <pivotArea dataOnly="0" labelOnly="1" outline="0" fieldPosition="0">
        <references count="4">
          <reference field="5" count="2">
            <x v="20"/>
            <x v="116"/>
          </reference>
          <reference field="8" count="1" selected="0">
            <x v="627"/>
          </reference>
          <reference field="11" count="1" selected="0">
            <x v="5"/>
          </reference>
          <reference field="13" count="1" selected="0">
            <x v="81"/>
          </reference>
        </references>
      </pivotArea>
    </format>
    <format dxfId="178">
      <pivotArea dataOnly="0" labelOnly="1" outline="0" fieldPosition="0">
        <references count="4">
          <reference field="5" count="1">
            <x v="20"/>
          </reference>
          <reference field="8" count="1" selected="0">
            <x v="627"/>
          </reference>
          <reference field="11" count="1" selected="0">
            <x v="5"/>
          </reference>
          <reference field="13" count="1" selected="0">
            <x v="255"/>
          </reference>
        </references>
      </pivotArea>
    </format>
    <format dxfId="177">
      <pivotArea dataOnly="0" labelOnly="1" outline="0" fieldPosition="0">
        <references count="4">
          <reference field="5" count="1">
            <x v="63"/>
          </reference>
          <reference field="8" count="1" selected="0">
            <x v="628"/>
          </reference>
          <reference field="11" count="1" selected="0">
            <x v="1"/>
          </reference>
          <reference field="13" count="1" selected="0">
            <x v="103"/>
          </reference>
        </references>
      </pivotArea>
    </format>
    <format dxfId="176">
      <pivotArea dataOnly="0" labelOnly="1" outline="0" fieldPosition="0">
        <references count="4">
          <reference field="5" count="1">
            <x v="63"/>
          </reference>
          <reference field="8" count="1" selected="0">
            <x v="628"/>
          </reference>
          <reference field="11" count="1" selected="0">
            <x v="1"/>
          </reference>
          <reference field="13" count="1" selected="0">
            <x v="216"/>
          </reference>
        </references>
      </pivotArea>
    </format>
    <format dxfId="175">
      <pivotArea dataOnly="0" labelOnly="1" outline="0" fieldPosition="0">
        <references count="4">
          <reference field="5" count="1">
            <x v="63"/>
          </reference>
          <reference field="8" count="1" selected="0">
            <x v="628"/>
          </reference>
          <reference field="11" count="1" selected="0">
            <x v="3"/>
          </reference>
          <reference field="13" count="1" selected="0">
            <x v="17"/>
          </reference>
        </references>
      </pivotArea>
    </format>
    <format dxfId="174">
      <pivotArea dataOnly="0" labelOnly="1" outline="0" fieldPosition="0">
        <references count="4">
          <reference field="5" count="1">
            <x v="63"/>
          </reference>
          <reference field="8" count="1" selected="0">
            <x v="628"/>
          </reference>
          <reference field="11" count="1" selected="0">
            <x v="3"/>
          </reference>
          <reference field="13" count="1" selected="0">
            <x v="32"/>
          </reference>
        </references>
      </pivotArea>
    </format>
    <format dxfId="173">
      <pivotArea dataOnly="0" labelOnly="1" outline="0" fieldPosition="0">
        <references count="4">
          <reference field="5" count="1">
            <x v="63"/>
          </reference>
          <reference field="8" count="1" selected="0">
            <x v="628"/>
          </reference>
          <reference field="11" count="1" selected="0">
            <x v="3"/>
          </reference>
          <reference field="13" count="1" selected="0">
            <x v="240"/>
          </reference>
        </references>
      </pivotArea>
    </format>
    <format dxfId="172">
      <pivotArea dataOnly="0" labelOnly="1" outline="0" fieldPosition="0">
        <references count="4">
          <reference field="5" count="1">
            <x v="63"/>
          </reference>
          <reference field="8" count="1" selected="0">
            <x v="628"/>
          </reference>
          <reference field="11" count="1" selected="0">
            <x v="3"/>
          </reference>
          <reference field="13" count="1" selected="0">
            <x v="243"/>
          </reference>
        </references>
      </pivotArea>
    </format>
    <format dxfId="171">
      <pivotArea dataOnly="0" labelOnly="1" outline="0" fieldPosition="0">
        <references count="4">
          <reference field="5" count="1">
            <x v="63"/>
          </reference>
          <reference field="8" count="1" selected="0">
            <x v="628"/>
          </reference>
          <reference field="11" count="1" selected="0">
            <x v="3"/>
          </reference>
          <reference field="13" count="1" selected="0">
            <x v="251"/>
          </reference>
        </references>
      </pivotArea>
    </format>
    <format dxfId="170">
      <pivotArea dataOnly="0" labelOnly="1" outline="0" fieldPosition="0">
        <references count="4">
          <reference field="5" count="1">
            <x v="63"/>
          </reference>
          <reference field="8" count="1" selected="0">
            <x v="628"/>
          </reference>
          <reference field="11" count="1" selected="0">
            <x v="3"/>
          </reference>
          <reference field="13" count="1" selected="0">
            <x v="287"/>
          </reference>
        </references>
      </pivotArea>
    </format>
    <format dxfId="169">
      <pivotArea dataOnly="0" labelOnly="1" outline="0" fieldPosition="0">
        <references count="4">
          <reference field="5" count="1">
            <x v="63"/>
          </reference>
          <reference field="8" count="1" selected="0">
            <x v="628"/>
          </reference>
          <reference field="11" count="1" selected="0">
            <x v="3"/>
          </reference>
          <reference field="13" count="1" selected="0">
            <x v="305"/>
          </reference>
        </references>
      </pivotArea>
    </format>
    <format dxfId="168">
      <pivotArea dataOnly="0" labelOnly="1" outline="0" fieldPosition="0">
        <references count="4">
          <reference field="5" count="1">
            <x v="20"/>
          </reference>
          <reference field="8" count="1" selected="0">
            <x v="628"/>
          </reference>
          <reference field="11" count="1" selected="0">
            <x v="5"/>
          </reference>
          <reference field="13" count="1" selected="0">
            <x v="81"/>
          </reference>
        </references>
      </pivotArea>
    </format>
    <format dxfId="167">
      <pivotArea dataOnly="0" labelOnly="1" outline="0" fieldPosition="0">
        <references count="4">
          <reference field="5" count="1">
            <x v="63"/>
          </reference>
          <reference field="8" count="1" selected="0">
            <x v="628"/>
          </reference>
          <reference field="11" count="1" selected="0">
            <x v="5"/>
          </reference>
          <reference field="13" count="1" selected="0">
            <x v="96"/>
          </reference>
        </references>
      </pivotArea>
    </format>
    <format dxfId="166">
      <pivotArea dataOnly="0" labelOnly="1" outline="0" fieldPosition="0">
        <references count="4">
          <reference field="5" count="1">
            <x v="117"/>
          </reference>
          <reference field="8" count="1" selected="0">
            <x v="629"/>
          </reference>
          <reference field="11" count="1" selected="0">
            <x v="3"/>
          </reference>
          <reference field="13" count="1" selected="0">
            <x v="29"/>
          </reference>
        </references>
      </pivotArea>
    </format>
    <format dxfId="165">
      <pivotArea dataOnly="0" labelOnly="1" outline="0" fieldPosition="0">
        <references count="4">
          <reference field="5" count="1">
            <x v="32"/>
          </reference>
          <reference field="8" count="1" selected="0">
            <x v="629"/>
          </reference>
          <reference field="11" count="1" selected="0">
            <x v="3"/>
          </reference>
          <reference field="13" count="1" selected="0">
            <x v="32"/>
          </reference>
        </references>
      </pivotArea>
    </format>
    <format dxfId="164">
      <pivotArea dataOnly="0" labelOnly="1" outline="0" fieldPosition="0">
        <references count="4">
          <reference field="5" count="1">
            <x v="32"/>
          </reference>
          <reference field="8" count="1" selected="0">
            <x v="629"/>
          </reference>
          <reference field="11" count="1" selected="0">
            <x v="3"/>
          </reference>
          <reference field="13" count="1" selected="0">
            <x v="146"/>
          </reference>
        </references>
      </pivotArea>
    </format>
    <format dxfId="163">
      <pivotArea dataOnly="0" labelOnly="1" outline="0" fieldPosition="0">
        <references count="4">
          <reference field="5" count="1">
            <x v="117"/>
          </reference>
          <reference field="8" count="1" selected="0">
            <x v="629"/>
          </reference>
          <reference field="11" count="1" selected="0">
            <x v="3"/>
          </reference>
          <reference field="13" count="1" selected="0">
            <x v="218"/>
          </reference>
        </references>
      </pivotArea>
    </format>
    <format dxfId="162">
      <pivotArea dataOnly="0" labelOnly="1" outline="0" fieldPosition="0">
        <references count="4">
          <reference field="5" count="1">
            <x v="32"/>
          </reference>
          <reference field="8" count="1" selected="0">
            <x v="629"/>
          </reference>
          <reference field="11" count="1" selected="0">
            <x v="3"/>
          </reference>
          <reference field="13" count="1" selected="0">
            <x v="242"/>
          </reference>
        </references>
      </pivotArea>
    </format>
    <format dxfId="161">
      <pivotArea dataOnly="0" labelOnly="1" outline="0" fieldPosition="0">
        <references count="4">
          <reference field="5" count="1">
            <x v="32"/>
          </reference>
          <reference field="8" count="1" selected="0">
            <x v="629"/>
          </reference>
          <reference field="11" count="1" selected="0">
            <x v="3"/>
          </reference>
          <reference field="13" count="1" selected="0">
            <x v="287"/>
          </reference>
        </references>
      </pivotArea>
    </format>
    <format dxfId="160">
      <pivotArea dataOnly="0" labelOnly="1" outline="0" fieldPosition="0">
        <references count="4">
          <reference field="5" count="1">
            <x v="117"/>
          </reference>
          <reference field="8" count="1" selected="0">
            <x v="629"/>
          </reference>
          <reference field="11" count="1" selected="0">
            <x v="3"/>
          </reference>
          <reference field="13" count="1" selected="0">
            <x v="314"/>
          </reference>
        </references>
      </pivotArea>
    </format>
    <format dxfId="159">
      <pivotArea dataOnly="0" labelOnly="1" outline="0" fieldPosition="0">
        <references count="4">
          <reference field="5" count="1">
            <x v="116"/>
          </reference>
          <reference field="8" count="1" selected="0">
            <x v="629"/>
          </reference>
          <reference field="11" count="1" selected="0">
            <x v="5"/>
          </reference>
          <reference field="13" count="1" selected="0">
            <x v="77"/>
          </reference>
        </references>
      </pivotArea>
    </format>
    <format dxfId="158">
      <pivotArea dataOnly="0" labelOnly="1" outline="0" fieldPosition="0">
        <references count="4">
          <reference field="5" count="1">
            <x v="116"/>
          </reference>
          <reference field="8" count="1" selected="0">
            <x v="629"/>
          </reference>
          <reference field="11" count="1" selected="0">
            <x v="5"/>
          </reference>
          <reference field="13" count="1" selected="0">
            <x v="81"/>
          </reference>
        </references>
      </pivotArea>
    </format>
    <format dxfId="157">
      <pivotArea dataOnly="0" labelOnly="1" outline="0" fieldPosition="0">
        <references count="4">
          <reference field="5" count="1">
            <x v="32"/>
          </reference>
          <reference field="8" count="1" selected="0">
            <x v="629"/>
          </reference>
          <reference field="11" count="1" selected="0">
            <x v="6"/>
          </reference>
          <reference field="13" count="1" selected="0">
            <x v="207"/>
          </reference>
        </references>
      </pivotArea>
    </format>
    <format dxfId="156">
      <pivotArea dataOnly="0" labelOnly="1" outline="0" fieldPosition="0">
        <references count="4">
          <reference field="5" count="1">
            <x v="44"/>
          </reference>
          <reference field="8" count="1" selected="0">
            <x v="630"/>
          </reference>
          <reference field="11" count="1" selected="0">
            <x v="3"/>
          </reference>
          <reference field="13" count="1" selected="0">
            <x v="7"/>
          </reference>
        </references>
      </pivotArea>
    </format>
    <format dxfId="155">
      <pivotArea dataOnly="0" labelOnly="1" outline="0" fieldPosition="0">
        <references count="4">
          <reference field="5" count="2">
            <x v="116"/>
            <x v="117"/>
          </reference>
          <reference field="8" count="1" selected="0">
            <x v="630"/>
          </reference>
          <reference field="11" count="1" selected="0">
            <x v="3"/>
          </reference>
          <reference field="13" count="1" selected="0">
            <x v="29"/>
          </reference>
        </references>
      </pivotArea>
    </format>
    <format dxfId="154">
      <pivotArea dataOnly="0" labelOnly="1" outline="0" fieldPosition="0">
        <references count="4">
          <reference field="5" count="1">
            <x v="44"/>
          </reference>
          <reference field="8" count="1" selected="0">
            <x v="630"/>
          </reference>
          <reference field="11" count="1" selected="0">
            <x v="3"/>
          </reference>
          <reference field="13" count="1" selected="0">
            <x v="57"/>
          </reference>
        </references>
      </pivotArea>
    </format>
    <format dxfId="153">
      <pivotArea dataOnly="0" labelOnly="1" outline="0" fieldPosition="0">
        <references count="4">
          <reference field="5" count="1">
            <x v="44"/>
          </reference>
          <reference field="8" count="1" selected="0">
            <x v="630"/>
          </reference>
          <reference field="11" count="1" selected="0">
            <x v="3"/>
          </reference>
          <reference field="13" count="1" selected="0">
            <x v="69"/>
          </reference>
        </references>
      </pivotArea>
    </format>
    <format dxfId="152">
      <pivotArea dataOnly="0" labelOnly="1" outline="0" fieldPosition="0">
        <references count="4">
          <reference field="5" count="1">
            <x v="117"/>
          </reference>
          <reference field="8" count="1" selected="0">
            <x v="630"/>
          </reference>
          <reference field="11" count="1" selected="0">
            <x v="3"/>
          </reference>
          <reference field="13" count="1" selected="0">
            <x v="218"/>
          </reference>
        </references>
      </pivotArea>
    </format>
    <format dxfId="151">
      <pivotArea dataOnly="0" labelOnly="1" outline="0" fieldPosition="0">
        <references count="4">
          <reference field="5" count="1">
            <x v="44"/>
          </reference>
          <reference field="8" count="1" selected="0">
            <x v="630"/>
          </reference>
          <reference field="11" count="1" selected="0">
            <x v="3"/>
          </reference>
          <reference field="13" count="1" selected="0">
            <x v="242"/>
          </reference>
        </references>
      </pivotArea>
    </format>
    <format dxfId="150">
      <pivotArea dataOnly="0" labelOnly="1" outline="0" fieldPosition="0">
        <references count="4">
          <reference field="5" count="1">
            <x v="44"/>
          </reference>
          <reference field="8" count="1" selected="0">
            <x v="630"/>
          </reference>
          <reference field="11" count="1" selected="0">
            <x v="3"/>
          </reference>
          <reference field="13" count="1" selected="0">
            <x v="243"/>
          </reference>
        </references>
      </pivotArea>
    </format>
    <format dxfId="149">
      <pivotArea dataOnly="0" labelOnly="1" outline="0" fieldPosition="0">
        <references count="4">
          <reference field="5" count="1">
            <x v="44"/>
          </reference>
          <reference field="8" count="1" selected="0">
            <x v="630"/>
          </reference>
          <reference field="11" count="1" selected="0">
            <x v="3"/>
          </reference>
          <reference field="13" count="1" selected="0">
            <x v="287"/>
          </reference>
        </references>
      </pivotArea>
    </format>
    <format dxfId="148">
      <pivotArea dataOnly="0" labelOnly="1" outline="0" fieldPosition="0">
        <references count="4">
          <reference field="5" count="1">
            <x v="117"/>
          </reference>
          <reference field="8" count="1" selected="0">
            <x v="630"/>
          </reference>
          <reference field="11" count="1" selected="0">
            <x v="3"/>
          </reference>
          <reference field="13" count="1" selected="0">
            <x v="314"/>
          </reference>
        </references>
      </pivotArea>
    </format>
    <format dxfId="147">
      <pivotArea dataOnly="0" labelOnly="1" outline="0" fieldPosition="0">
        <references count="4">
          <reference field="5" count="1">
            <x v="20"/>
          </reference>
          <reference field="8" count="1" selected="0">
            <x v="630"/>
          </reference>
          <reference field="11" count="1" selected="0">
            <x v="5"/>
          </reference>
          <reference field="13" count="1" selected="0">
            <x v="81"/>
          </reference>
        </references>
      </pivotArea>
    </format>
    <format dxfId="146">
      <pivotArea dataOnly="0" labelOnly="1" outline="0" fieldPosition="0">
        <references count="4">
          <reference field="5" count="1">
            <x v="20"/>
          </reference>
          <reference field="8" count="1" selected="0">
            <x v="630"/>
          </reference>
          <reference field="11" count="1" selected="0">
            <x v="5"/>
          </reference>
          <reference field="13" count="1" selected="0">
            <x v="255"/>
          </reference>
        </references>
      </pivotArea>
    </format>
    <format dxfId="145">
      <pivotArea dataOnly="0" labelOnly="1" outline="0" fieldPosition="0">
        <references count="4">
          <reference field="5" count="1">
            <x v="44"/>
          </reference>
          <reference field="8" count="1" selected="0">
            <x v="630"/>
          </reference>
          <reference field="11" count="1" selected="0">
            <x v="6"/>
          </reference>
          <reference field="13" count="1" selected="0">
            <x v="68"/>
          </reference>
        </references>
      </pivotArea>
    </format>
    <format dxfId="144">
      <pivotArea dataOnly="0" labelOnly="1" outline="0" fieldPosition="0">
        <references count="4">
          <reference field="5" count="1">
            <x v="63"/>
          </reference>
          <reference field="8" count="1" selected="0">
            <x v="631"/>
          </reference>
          <reference field="11" count="1" selected="0">
            <x v="1"/>
          </reference>
          <reference field="13" count="1" selected="0">
            <x v="103"/>
          </reference>
        </references>
      </pivotArea>
    </format>
    <format dxfId="143">
      <pivotArea dataOnly="0" labelOnly="1" outline="0" fieldPosition="0">
        <references count="4">
          <reference field="5" count="1">
            <x v="63"/>
          </reference>
          <reference field="8" count="1" selected="0">
            <x v="631"/>
          </reference>
          <reference field="11" count="1" selected="0">
            <x v="1"/>
          </reference>
          <reference field="13" count="1" selected="0">
            <x v="216"/>
          </reference>
        </references>
      </pivotArea>
    </format>
    <format dxfId="142">
      <pivotArea dataOnly="0" labelOnly="1" outline="0" fieldPosition="0">
        <references count="4">
          <reference field="5" count="1">
            <x v="63"/>
          </reference>
          <reference field="8" count="1" selected="0">
            <x v="631"/>
          </reference>
          <reference field="11" count="1" selected="0">
            <x v="3"/>
          </reference>
          <reference field="13" count="1" selected="0">
            <x v="17"/>
          </reference>
        </references>
      </pivotArea>
    </format>
    <format dxfId="141">
      <pivotArea dataOnly="0" labelOnly="1" outline="0" fieldPosition="0">
        <references count="4">
          <reference field="5" count="1">
            <x v="63"/>
          </reference>
          <reference field="8" count="1" selected="0">
            <x v="631"/>
          </reference>
          <reference field="11" count="1" selected="0">
            <x v="3"/>
          </reference>
          <reference field="13" count="1" selected="0">
            <x v="32"/>
          </reference>
        </references>
      </pivotArea>
    </format>
    <format dxfId="140">
      <pivotArea dataOnly="0" labelOnly="1" outline="0" fieldPosition="0">
        <references count="4">
          <reference field="5" count="1">
            <x v="63"/>
          </reference>
          <reference field="8" count="1" selected="0">
            <x v="631"/>
          </reference>
          <reference field="11" count="1" selected="0">
            <x v="3"/>
          </reference>
          <reference field="13" count="1" selected="0">
            <x v="78"/>
          </reference>
        </references>
      </pivotArea>
    </format>
    <format dxfId="139">
      <pivotArea dataOnly="0" labelOnly="1" outline="0" fieldPosition="0">
        <references count="4">
          <reference field="5" count="1">
            <x v="63"/>
          </reference>
          <reference field="8" count="1" selected="0">
            <x v="631"/>
          </reference>
          <reference field="11" count="1" selected="0">
            <x v="3"/>
          </reference>
          <reference field="13" count="1" selected="0">
            <x v="240"/>
          </reference>
        </references>
      </pivotArea>
    </format>
    <format dxfId="138">
      <pivotArea dataOnly="0" labelOnly="1" outline="0" fieldPosition="0">
        <references count="4">
          <reference field="5" count="1">
            <x v="63"/>
          </reference>
          <reference field="8" count="1" selected="0">
            <x v="631"/>
          </reference>
          <reference field="11" count="1" selected="0">
            <x v="3"/>
          </reference>
          <reference field="13" count="1" selected="0">
            <x v="243"/>
          </reference>
        </references>
      </pivotArea>
    </format>
    <format dxfId="137">
      <pivotArea dataOnly="0" labelOnly="1" outline="0" fieldPosition="0">
        <references count="4">
          <reference field="5" count="1">
            <x v="63"/>
          </reference>
          <reference field="8" count="1" selected="0">
            <x v="631"/>
          </reference>
          <reference field="11" count="1" selected="0">
            <x v="3"/>
          </reference>
          <reference field="13" count="1" selected="0">
            <x v="287"/>
          </reference>
        </references>
      </pivotArea>
    </format>
    <format dxfId="136">
      <pivotArea dataOnly="0" labelOnly="1" outline="0" fieldPosition="0">
        <references count="4">
          <reference field="5" count="1">
            <x v="63"/>
          </reference>
          <reference field="8" count="1" selected="0">
            <x v="631"/>
          </reference>
          <reference field="11" count="1" selected="0">
            <x v="3"/>
          </reference>
          <reference field="13" count="1" selected="0">
            <x v="305"/>
          </reference>
        </references>
      </pivotArea>
    </format>
    <format dxfId="135">
      <pivotArea dataOnly="0" labelOnly="1" outline="0" fieldPosition="0">
        <references count="4">
          <reference field="5" count="2">
            <x v="20"/>
            <x v="116"/>
          </reference>
          <reference field="8" count="1" selected="0">
            <x v="631"/>
          </reference>
          <reference field="11" count="1" selected="0">
            <x v="5"/>
          </reference>
          <reference field="13" count="1" selected="0">
            <x v="81"/>
          </reference>
        </references>
      </pivotArea>
    </format>
    <format dxfId="134">
      <pivotArea dataOnly="0" labelOnly="1" outline="0" fieldPosition="0">
        <references count="4">
          <reference field="5" count="1">
            <x v="45"/>
          </reference>
          <reference field="8" count="1" selected="0">
            <x v="631"/>
          </reference>
          <reference field="11" count="1" selected="0">
            <x v="5"/>
          </reference>
          <reference field="13" count="1" selected="0">
            <x v="86"/>
          </reference>
        </references>
      </pivotArea>
    </format>
    <format dxfId="133">
      <pivotArea dataOnly="0" labelOnly="1" outline="0" fieldPosition="0">
        <references count="4">
          <reference field="5" count="1">
            <x v="63"/>
          </reference>
          <reference field="8" count="1" selected="0">
            <x v="631"/>
          </reference>
          <reference field="11" count="1" selected="0">
            <x v="5"/>
          </reference>
          <reference field="13" count="1" selected="0">
            <x v="96"/>
          </reference>
        </references>
      </pivotArea>
    </format>
    <format dxfId="132">
      <pivotArea dataOnly="0" labelOnly="1" outline="0" fieldPosition="0">
        <references count="4">
          <reference field="5" count="1">
            <x v="45"/>
          </reference>
          <reference field="8" count="1" selected="0">
            <x v="632"/>
          </reference>
          <reference field="11" count="1" selected="0">
            <x v="3"/>
          </reference>
          <reference field="13" count="1" selected="0">
            <x v="4"/>
          </reference>
        </references>
      </pivotArea>
    </format>
    <format dxfId="131">
      <pivotArea dataOnly="0" labelOnly="1" outline="0" fieldPosition="0">
        <references count="4">
          <reference field="5" count="1">
            <x v="45"/>
          </reference>
          <reference field="8" count="1" selected="0">
            <x v="632"/>
          </reference>
          <reference field="11" count="1" selected="0">
            <x v="3"/>
          </reference>
          <reference field="13" count="1" selected="0">
            <x v="218"/>
          </reference>
        </references>
      </pivotArea>
    </format>
    <format dxfId="130">
      <pivotArea dataOnly="0" labelOnly="1" outline="0" fieldPosition="0">
        <references count="4">
          <reference field="5" count="1">
            <x v="45"/>
          </reference>
          <reference field="8" count="1" selected="0">
            <x v="632"/>
          </reference>
          <reference field="11" count="1" selected="0">
            <x v="3"/>
          </reference>
          <reference field="13" count="1" selected="0">
            <x v="314"/>
          </reference>
        </references>
      </pivotArea>
    </format>
    <format dxfId="129">
      <pivotArea dataOnly="0" labelOnly="1" outline="0" fieldPosition="0">
        <references count="4">
          <reference field="5" count="1">
            <x v="45"/>
          </reference>
          <reference field="8" count="1" selected="0">
            <x v="632"/>
          </reference>
          <reference field="11" count="1" selected="0">
            <x v="5"/>
          </reference>
          <reference field="13" count="1" selected="0">
            <x v="81"/>
          </reference>
        </references>
      </pivotArea>
    </format>
    <format dxfId="128">
      <pivotArea dataOnly="0" labelOnly="1" outline="0" fieldPosition="0">
        <references count="4">
          <reference field="5" count="1">
            <x v="45"/>
          </reference>
          <reference field="8" count="1" selected="0">
            <x v="632"/>
          </reference>
          <reference field="11" count="1" selected="0">
            <x v="5"/>
          </reference>
          <reference field="13" count="1" selected="0">
            <x v="86"/>
          </reference>
        </references>
      </pivotArea>
    </format>
    <format dxfId="127">
      <pivotArea dataOnly="0" labelOnly="1" outline="0" fieldPosition="0">
        <references count="4">
          <reference field="5" count="1">
            <x v="85"/>
          </reference>
          <reference field="8" count="1" selected="0">
            <x v="634"/>
          </reference>
          <reference field="11" count="1" selected="0">
            <x v="3"/>
          </reference>
          <reference field="13" count="1" selected="0">
            <x v="32"/>
          </reference>
        </references>
      </pivotArea>
    </format>
    <format dxfId="126">
      <pivotArea dataOnly="0" labelOnly="1" outline="0" fieldPosition="0">
        <references count="4">
          <reference field="5" count="1">
            <x v="85"/>
          </reference>
          <reference field="8" count="1" selected="0">
            <x v="634"/>
          </reference>
          <reference field="11" count="1" selected="0">
            <x v="3"/>
          </reference>
          <reference field="13" count="1" selected="0">
            <x v="69"/>
          </reference>
        </references>
      </pivotArea>
    </format>
    <format dxfId="125">
      <pivotArea dataOnly="0" labelOnly="1" outline="0" fieldPosition="0">
        <references count="4">
          <reference field="5" count="1">
            <x v="85"/>
          </reference>
          <reference field="8" count="1" selected="0">
            <x v="636"/>
          </reference>
          <reference field="11" count="1" selected="0">
            <x v="3"/>
          </reference>
          <reference field="13" count="1" selected="0">
            <x v="32"/>
          </reference>
        </references>
      </pivotArea>
    </format>
    <format dxfId="124">
      <pivotArea dataOnly="0" labelOnly="1" outline="0" fieldPosition="0">
        <references count="4">
          <reference field="5" count="1">
            <x v="85"/>
          </reference>
          <reference field="8" count="1" selected="0">
            <x v="636"/>
          </reference>
          <reference field="11" count="1" selected="0">
            <x v="3"/>
          </reference>
          <reference field="13" count="1" selected="0">
            <x v="287"/>
          </reference>
        </references>
      </pivotArea>
    </format>
    <format dxfId="123">
      <pivotArea dataOnly="0" labelOnly="1" outline="0" fieldPosition="0">
        <references count="4">
          <reference field="5" count="1">
            <x v="85"/>
          </reference>
          <reference field="8" count="1" selected="0">
            <x v="636"/>
          </reference>
          <reference field="11" count="1" selected="0">
            <x v="5"/>
          </reference>
          <reference field="13" count="1" selected="0">
            <x v="77"/>
          </reference>
        </references>
      </pivotArea>
    </format>
    <format dxfId="122">
      <pivotArea dataOnly="0" labelOnly="1" outline="0" fieldPosition="0">
        <references count="4">
          <reference field="5" count="1">
            <x v="85"/>
          </reference>
          <reference field="8" count="1" selected="0">
            <x v="636"/>
          </reference>
          <reference field="11" count="1" selected="0">
            <x v="5"/>
          </reference>
          <reference field="13" count="1" selected="0">
            <x v="81"/>
          </reference>
        </references>
      </pivotArea>
    </format>
    <format dxfId="121">
      <pivotArea dataOnly="0" labelOnly="1" outline="0" fieldPosition="0">
        <references count="4">
          <reference field="5" count="1">
            <x v="85"/>
          </reference>
          <reference field="8" count="1" selected="0">
            <x v="636"/>
          </reference>
          <reference field="11" count="1" selected="0">
            <x v="5"/>
          </reference>
          <reference field="13" count="1" selected="0">
            <x v="268"/>
          </reference>
        </references>
      </pivotArea>
    </format>
    <format dxfId="120">
      <pivotArea dataOnly="0" labelOnly="1" outline="0" fieldPosition="0">
        <references count="4">
          <reference field="5" count="1">
            <x v="85"/>
          </reference>
          <reference field="8" count="1" selected="0">
            <x v="636"/>
          </reference>
          <reference field="11" count="1" selected="0">
            <x v="6"/>
          </reference>
          <reference field="13" count="1" selected="0">
            <x v="191"/>
          </reference>
        </references>
      </pivotArea>
    </format>
    <format dxfId="119">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BF568CD-9765-4345-9706-180CC64ACB82}" name="PivotTable1" cacheId="9" applyNumberFormats="0" applyBorderFormats="0" applyFontFormats="0" applyPatternFormats="0" applyAlignmentFormats="0" applyWidthHeightFormats="1" dataCaption="Values" updatedVersion="8" minRefreshableVersion="3" itemPrintTitles="1" createdVersion="5" indent="0" compact="0" compactData="0" gridDropZones="1" multipleFieldFilters="0" fieldListSortAscending="1">
  <location ref="K58:O76" firstHeaderRow="1" firstDataRow="2" firstDataCol="2" rowPageCount="1" colPageCount="1"/>
  <pivotFields count="7">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8">
        <item sd="0" x="1"/>
        <item sd="0" x="2"/>
        <item sd="0" x="3"/>
        <item sd="0" x="4"/>
        <item sd="0" x="5"/>
        <item sd="0" x="6"/>
        <item sd="0" x="7"/>
        <item sd="0" x="0"/>
      </items>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19">
        <item sd="0" x="3"/>
        <item sd="0" x="15"/>
        <item sd="0" x="11"/>
        <item sd="0" x="12"/>
        <item sd="0" x="4"/>
        <item sd="0" x="14"/>
        <item sd="0" x="13"/>
        <item sd="0" x="5"/>
        <item sd="0" x="6"/>
        <item sd="0" x="7"/>
        <item sd="0" x="1"/>
        <item sd="0" x="0"/>
        <item sd="0" x="8"/>
        <item sd="0" m="1" x="17"/>
        <item sd="0" x="9"/>
        <item sd="0" x="10"/>
        <item sd="0" x="2"/>
        <item sd="0" m="1" x="16"/>
        <item t="default" sd="0"/>
      </items>
      <extLst>
        <ext xmlns:x14="http://schemas.microsoft.com/office/spreadsheetml/2009/9/main" uri="{2946ED86-A175-432a-8AC1-64E0C546D7DE}">
          <x14:pivotField fillDownLabels="1"/>
        </ext>
      </extLst>
    </pivotField>
    <pivotField axis="axisCol" compact="0" outline="0" showAll="0">
      <items count="7">
        <item m="1" x="4"/>
        <item m="1" x="5"/>
        <item m="1" x="2"/>
        <item m="1" x="3"/>
        <item x="0"/>
        <item x="1"/>
        <item t="default"/>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4"/>
    <field x="1"/>
  </rowFields>
  <rowItems count="17">
    <i>
      <x/>
    </i>
    <i>
      <x v="1"/>
    </i>
    <i>
      <x v="2"/>
    </i>
    <i>
      <x v="3"/>
    </i>
    <i>
      <x v="4"/>
    </i>
    <i>
      <x v="5"/>
    </i>
    <i>
      <x v="6"/>
    </i>
    <i>
      <x v="7"/>
    </i>
    <i>
      <x v="8"/>
    </i>
    <i>
      <x v="9"/>
    </i>
    <i>
      <x v="10"/>
    </i>
    <i>
      <x v="11"/>
    </i>
    <i>
      <x v="12"/>
    </i>
    <i>
      <x v="14"/>
    </i>
    <i>
      <x v="15"/>
    </i>
    <i>
      <x v="16"/>
    </i>
    <i t="grand">
      <x/>
    </i>
  </rowItems>
  <colFields count="1">
    <field x="5"/>
  </colFields>
  <colItems count="3">
    <i>
      <x v="4"/>
    </i>
    <i>
      <x v="5"/>
    </i>
    <i t="grand">
      <x/>
    </i>
  </colItems>
  <pageFields count="1">
    <pageField fld="2" hier="-1"/>
  </pageFields>
  <dataFields count="1">
    <dataField name="Sum of Amount"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A90839E-2D8E-4CE6-86F6-3E33861E6A8C}" name="PivotTable3" cacheId="8" applyNumberFormats="0" applyBorderFormats="0" applyFontFormats="0" applyPatternFormats="0" applyAlignmentFormats="0" applyWidthHeightFormats="1" dataCaption="Values" updatedVersion="8" minRefreshableVersion="3" itemPrintTitles="1" createdVersion="5" indent="0" compact="0" compactData="0" gridDropZones="1" multipleFieldFilters="0" fieldListSortAscending="1">
  <location ref="K35:N45" firstHeaderRow="1" firstDataRow="2" firstDataCol="1" rowPageCount="3" colPageCount="1"/>
  <pivotFields count="7">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8">
        <item sd="0" x="1"/>
        <item sd="0" x="2"/>
        <item sd="0" x="3"/>
        <item sd="0" x="4"/>
        <item sd="0" x="5"/>
        <item sd="0" x="6"/>
        <item sd="0" x="7"/>
        <item sd="0" x="0"/>
      </items>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axis="axisPage" compact="0" outline="0" showAll="0">
      <items count="17">
        <item x="3"/>
        <item x="15"/>
        <item x="11"/>
        <item x="12"/>
        <item x="4"/>
        <item x="14"/>
        <item x="13"/>
        <item x="5"/>
        <item x="6"/>
        <item x="7"/>
        <item x="1"/>
        <item x="0"/>
        <item x="8"/>
        <item x="9"/>
        <item x="10"/>
        <item x="2"/>
        <item t="default"/>
      </items>
      <extLst>
        <ext xmlns:x14="http://schemas.microsoft.com/office/spreadsheetml/2009/9/main" uri="{2946ED86-A175-432a-8AC1-64E0C546D7DE}">
          <x14:pivotField fillDownLabels="1"/>
        </ext>
      </extLst>
    </pivotField>
    <pivotField axis="axisCol" compact="0" outline="0" showAll="0">
      <items count="7">
        <item m="1" x="4"/>
        <item m="1" x="5"/>
        <item m="1" x="2"/>
        <item m="1" x="3"/>
        <item x="0"/>
        <item x="1"/>
        <item t="default"/>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1">
    <field x="1"/>
  </rowFields>
  <rowItems count="9">
    <i>
      <x/>
    </i>
    <i>
      <x v="1"/>
    </i>
    <i>
      <x v="2"/>
    </i>
    <i>
      <x v="3"/>
    </i>
    <i>
      <x v="4"/>
    </i>
    <i>
      <x v="5"/>
    </i>
    <i>
      <x v="6"/>
    </i>
    <i>
      <x v="7"/>
    </i>
    <i t="grand">
      <x/>
    </i>
  </rowItems>
  <colFields count="1">
    <field x="5"/>
  </colFields>
  <colItems count="3">
    <i>
      <x v="4"/>
    </i>
    <i>
      <x v="5"/>
    </i>
    <i t="grand">
      <x/>
    </i>
  </colItems>
  <pageFields count="3">
    <pageField fld="4" hier="-1"/>
    <pageField fld="2" hier="-1"/>
    <pageField fld="3" hier="-1"/>
  </pageFields>
  <dataFields count="1">
    <dataField name="Sum of Amount"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E00-000002000000}" name="PivotTable6" cacheId="7" applyNumberFormats="0" applyBorderFormats="0" applyFontFormats="0" applyPatternFormats="0" applyAlignmentFormats="0" applyWidthHeightFormats="1" dataCaption="Values" updatedVersion="8" minRefreshableVersion="3" useAutoFormatting="1" colGrandTotals="0" itemPrintTitles="1" createdVersion="5" indent="0" compact="0" compactData="0" multipleFieldFilters="0" fieldListSortAscending="1">
  <location ref="K14:N23" firstHeaderRow="1" firstDataRow="2" firstDataCol="3"/>
  <pivotFields count="8">
    <pivotField axis="axisCol" compact="0" outline="0" showAll="0" defaultSubtotal="0">
      <items count="5">
        <item m="1" x="3"/>
        <item m="1" x="4"/>
        <item m="1" x="2"/>
        <item m="1" x="1"/>
        <item x="0"/>
      </items>
    </pivotField>
    <pivotField compact="0" outline="0" showAll="0" defaultSubtotal="0"/>
    <pivotField axis="axisRow" compact="0" outline="0" showAll="0" defaultSubtotal="0">
      <items count="7">
        <item x="0"/>
        <item x="1"/>
        <item sd="0" x="2"/>
        <item x="3"/>
        <item x="4"/>
        <item x="5"/>
        <item x="6"/>
      </items>
    </pivotField>
    <pivotField compact="0" outline="0" showAll="0" defaultSubtotal="0"/>
    <pivotField axis="axisRow" compact="0" outline="0" showAll="0" defaultSubtotal="0">
      <items count="11">
        <item x="0"/>
        <item m="1" x="10"/>
        <item m="1" x="7"/>
        <item m="1" x="8"/>
        <item m="1" x="9"/>
        <item m="1" x="5"/>
        <item m="1" x="6"/>
        <item x="3"/>
        <item x="1"/>
        <item x="2"/>
        <item x="4"/>
      </items>
    </pivotField>
    <pivotField compact="0" outline="0" showAll="0" defaultSubtotal="0"/>
    <pivotField axis="axisRow" compact="0" outline="0" showAll="0" defaultSubtotal="0">
      <items count="7">
        <item x="6"/>
        <item x="2"/>
        <item x="1"/>
        <item x="3"/>
        <item x="0"/>
        <item x="5"/>
        <item x="4"/>
      </items>
    </pivotField>
    <pivotField dataField="1" compact="0" outline="0" showAll="0" defaultSubtotal="0"/>
  </pivotFields>
  <rowFields count="3">
    <field x="2"/>
    <field x="6"/>
    <field x="4"/>
  </rowFields>
  <rowItems count="8">
    <i>
      <x/>
      <x v="4"/>
      <x/>
    </i>
    <i>
      <x v="1"/>
      <x v="2"/>
      <x/>
    </i>
    <i>
      <x v="2"/>
    </i>
    <i>
      <x v="3"/>
      <x v="3"/>
      <x/>
    </i>
    <i>
      <x v="4"/>
      <x v="6"/>
      <x v="7"/>
    </i>
    <i>
      <x v="5"/>
      <x v="5"/>
      <x v="7"/>
    </i>
    <i>
      <x v="6"/>
      <x/>
      <x v="10"/>
    </i>
    <i t="grand">
      <x/>
    </i>
  </rowItems>
  <colFields count="1">
    <field x="0"/>
  </colFields>
  <colItems count="1">
    <i>
      <x v="4"/>
    </i>
  </colItems>
  <dataFields count="1">
    <dataField name="Sum of AmountNewAppropFY1" fld="7" baseField="2" baseItem="2" numFmtId="3"/>
  </dataFields>
  <formats count="1">
    <format dxfId="4956">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000-000003000000}" name="PivotTable4" cacheId="19" applyNumberFormats="0" applyBorderFormats="0" applyFontFormats="0" applyPatternFormats="0" applyAlignmentFormats="0" applyWidthHeightFormats="1" dataCaption="Values" updatedVersion="8" minRefreshableVersion="3" colGrandTotals="0" itemPrintTitles="1" createdVersion="5" indent="0" compact="0" compactData="0" multipleFieldFilters="0" fieldListSortAscending="1">
  <location ref="B100:Z109" firstHeaderRow="1" firstDataRow="2" firstDataCol="3" rowPageCount="2" colPageCount="1"/>
  <pivotFields count="8">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113">
        <item sd="0" m="1" x="55"/>
        <item sd="0" x="4"/>
        <item sd="0" x="0"/>
        <item sd="0" x="1"/>
        <item sd="0" x="5"/>
        <item sd="0" x="2"/>
        <item sd="0" x="6"/>
        <item sd="0" x="3"/>
        <item h="1" sd="0" m="1" x="94"/>
        <item h="1" sd="0" m="1" x="98"/>
        <item h="1" sd="0" x="9"/>
        <item h="1" sd="0" m="1" x="93"/>
        <item h="1" sd="0" m="1" x="71"/>
        <item h="1" sd="0" m="1" x="37"/>
        <item h="1" sd="0" m="1" x="29"/>
        <item h="1" sd="0" m="1" x="44"/>
        <item h="1" sd="0" m="1" x="76"/>
        <item h="1" sd="0" m="1" x="17"/>
        <item h="1" sd="0" m="1" x="24"/>
        <item h="1" sd="0" m="1" x="16"/>
        <item h="1" sd="0" m="1" x="67"/>
        <item h="1" sd="0" m="1" x="92"/>
        <item h="1" sd="0" m="1" x="53"/>
        <item h="1" sd="0" m="1" x="81"/>
        <item h="1" sd="0" m="1" x="103"/>
        <item h="1" sd="0" x="8"/>
        <item h="1" sd="0" m="1" x="40"/>
        <item h="1" sd="0" m="1" x="108"/>
        <item h="1" sd="0" m="1" x="21"/>
        <item h="1" sd="0" m="1" x="13"/>
        <item h="1" sd="0" m="1" x="90"/>
        <item h="1" sd="0" m="1" x="101"/>
        <item h="1" sd="0" m="1" x="41"/>
        <item h="1" sd="0" m="1" x="91"/>
        <item h="1" sd="0" m="1" x="60"/>
        <item h="1" sd="0" m="1" x="107"/>
        <item h="1" sd="0" m="1" x="25"/>
        <item h="1" sd="0" m="1" x="65"/>
        <item h="1" sd="0" m="1" x="56"/>
        <item h="1" sd="0" m="1" x="84"/>
        <item h="1" sd="0" m="1" x="73"/>
        <item h="1" sd="0" m="1" x="102"/>
        <item h="1" sd="0" m="1" x="95"/>
        <item h="1" sd="0" m="1" x="66"/>
        <item h="1" sd="0" m="1" x="23"/>
        <item h="1" sd="0" m="1" x="80"/>
        <item h="1" sd="0" m="1" x="105"/>
        <item h="1" sd="0" m="1" x="43"/>
        <item h="1" sd="0" m="1" x="32"/>
        <item h="1" sd="0" m="1" x="20"/>
        <item h="1" sd="0" m="1" x="62"/>
        <item h="1" sd="0" m="1" x="112"/>
        <item h="1" sd="0" m="1" x="111"/>
        <item h="1" sd="0" m="1" x="46"/>
        <item h="1" sd="0" m="1" x="69"/>
        <item h="1" sd="0" m="1" x="34"/>
        <item h="1" sd="0" m="1" x="52"/>
        <item h="1" sd="0" m="1" x="110"/>
        <item h="1" sd="0" m="1" x="104"/>
        <item h="1" sd="0" m="1" x="14"/>
        <item h="1" sd="0" m="1" x="86"/>
        <item h="1" sd="0" m="1" x="27"/>
        <item h="1" sd="0" m="1" x="15"/>
        <item h="1" sd="0" m="1" x="47"/>
        <item h="1" sd="0" x="7"/>
        <item h="1" sd="0" m="1" x="54"/>
        <item h="1" sd="0" m="1" x="68"/>
        <item h="1" sd="0" m="1" x="89"/>
        <item h="1" sd="0" m="1" x="64"/>
        <item h="1" sd="0" m="1" x="96"/>
        <item h="1" sd="0" m="1" x="99"/>
        <item h="1" sd="0" m="1" x="12"/>
        <item h="1" sd="0" m="1" x="35"/>
        <item h="1" sd="0" m="1" x="28"/>
        <item h="1" sd="0" m="1" x="38"/>
        <item h="1" sd="0" m="1" x="106"/>
        <item h="1" sd="0" m="1" x="82"/>
        <item h="1" sd="0" m="1" x="57"/>
        <item h="1" sd="0" m="1" x="50"/>
        <item h="1" sd="0" m="1" x="87"/>
        <item h="1" sd="0" m="1" x="22"/>
        <item h="1" sd="0" m="1" x="77"/>
        <item h="1" sd="0" m="1" x="79"/>
        <item h="1" sd="0" m="1" x="59"/>
        <item h="1" sd="0" m="1" x="78"/>
        <item h="1" sd="0" m="1" x="97"/>
        <item h="1" sd="0" m="1" x="75"/>
        <item h="1" sd="0" m="1" x="100"/>
        <item h="1" sd="0" m="1" x="83"/>
        <item h="1" sd="0" m="1" x="109"/>
        <item h="1" sd="0" m="1" x="33"/>
        <item h="1" sd="0" m="1" x="48"/>
        <item h="1" sd="0" m="1" x="58"/>
        <item h="1" sd="0" m="1" x="45"/>
        <item h="1" sd="0" m="1" x="63"/>
        <item h="1" sd="0" m="1" x="26"/>
        <item h="1" sd="0" m="1" x="72"/>
        <item h="1" sd="0" m="1" x="31"/>
        <item h="1" sd="0" m="1" x="10"/>
        <item h="1" sd="0" m="1" x="74"/>
        <item h="1" sd="0" m="1" x="39"/>
        <item h="1" sd="0" m="1" x="61"/>
        <item h="1" sd="0" m="1" x="30"/>
        <item h="1" sd="0" m="1" x="51"/>
        <item h="1" sd="0" m="1" x="19"/>
        <item h="1" sd="0" m="1" x="42"/>
        <item h="1" sd="0" m="1" x="11"/>
        <item h="1" sd="0" m="1" x="85"/>
        <item h="1" sd="0" m="1" x="18"/>
        <item h="1" sd="0" m="1" x="49"/>
        <item h="1" sd="0" m="1" x="70"/>
        <item h="1" sd="0" m="1" x="36"/>
        <item h="1" sd="0" m="1" x="88"/>
      </items>
      <extLst>
        <ext xmlns:x14="http://schemas.microsoft.com/office/spreadsheetml/2009/9/main" uri="{2946ED86-A175-432a-8AC1-64E0C546D7DE}">
          <x14:pivotField fillDownLabels="1"/>
        </ext>
      </extLst>
    </pivotField>
    <pivotField axis="axisPage" compact="0" outline="0" multipleItemSelectionAllowed="1" showAll="0" defaultSubtotal="0">
      <items count="3">
        <item x="0"/>
        <item m="1" x="1"/>
        <item h="1" m="1" x="2"/>
      </items>
      <extLst>
        <ext xmlns:x14="http://schemas.microsoft.com/office/spreadsheetml/2009/9/main" uri="{2946ED86-A175-432a-8AC1-64E0C546D7DE}">
          <x14:pivotField fillDownLabels="1"/>
        </ext>
      </extLst>
    </pivotField>
    <pivotField axis="axisRow" compact="0" outline="0" showAll="0" sortType="ascending" defaultSubtotal="0">
      <items count="511">
        <item x="9"/>
        <item m="1" x="200"/>
        <item m="1" x="217"/>
        <item m="1" x="225"/>
        <item m="1" x="253"/>
        <item m="1" x="275"/>
        <item m="1" x="295"/>
        <item m="1" x="183"/>
        <item m="1" x="186"/>
        <item m="1" x="192"/>
        <item m="1" x="193"/>
        <item m="1" x="337"/>
        <item m="1" x="345"/>
        <item m="1" x="397"/>
        <item m="1" x="356"/>
        <item m="1" x="434"/>
        <item m="1" x="497"/>
        <item m="1" x="436"/>
        <item m="1" x="439"/>
        <item m="1" x="447"/>
        <item m="1" x="458"/>
        <item m="1" x="509"/>
        <item m="1" x="462"/>
        <item m="1" x="463"/>
        <item m="1" x="465"/>
        <item m="1" x="467"/>
        <item m="1" x="469"/>
        <item m="1" x="472"/>
        <item m="1" x="480"/>
        <item m="1" x="105"/>
        <item m="1" x="51"/>
        <item m="1" x="58"/>
        <item m="1" x="75"/>
        <item m="1" x="144"/>
        <item m="1" x="63"/>
        <item m="1" x="64"/>
        <item m="1" x="70"/>
        <item m="1" x="120"/>
        <item m="1" x="76"/>
        <item m="1" x="78"/>
        <item m="1" x="79"/>
        <item m="1" x="82"/>
        <item m="1" x="85"/>
        <item m="1" x="161"/>
        <item m="1" x="163"/>
        <item m="1" x="166"/>
        <item m="1" x="167"/>
        <item m="1" x="233"/>
        <item m="1" x="170"/>
        <item m="1" x="182"/>
        <item m="1" x="188"/>
        <item m="1" x="191"/>
        <item m="1" x="194"/>
        <item m="1" x="196"/>
        <item m="1" x="202"/>
        <item m="1" x="218"/>
        <item m="1" x="208"/>
        <item m="1" x="210"/>
        <item m="1" x="313"/>
        <item m="1" x="318"/>
        <item m="1" x="322"/>
        <item m="1" x="325"/>
        <item m="1" x="403"/>
        <item m="1" x="328"/>
        <item m="1" x="334"/>
        <item m="1" x="340"/>
        <item m="1" x="353"/>
        <item m="1" x="343"/>
        <item m="1" x="351"/>
        <item x="3"/>
        <item x="5"/>
        <item x="0"/>
        <item x="6"/>
        <item x="4"/>
        <item x="7"/>
        <item x="2"/>
        <item m="1" x="438"/>
        <item m="1" x="500"/>
        <item m="1" x="503"/>
        <item m="1" x="443"/>
        <item m="1" x="445"/>
        <item m="1" x="448"/>
        <item m="1" x="45"/>
        <item m="1" x="46"/>
        <item m="1" x="47"/>
        <item m="1" x="106"/>
        <item m="1" x="53"/>
        <item m="1" x="108"/>
        <item m="1" x="113"/>
        <item m="1" x="62"/>
        <item m="1" x="117"/>
        <item m="1" x="72"/>
        <item m="1" x="151"/>
        <item m="1" x="152"/>
        <item m="1" x="159"/>
        <item m="1" x="175"/>
        <item m="1" x="231"/>
        <item m="1" x="153"/>
        <item m="1" x="155"/>
        <item m="1" x="156"/>
        <item m="1" x="157"/>
        <item m="1" x="227"/>
        <item m="1" x="160"/>
        <item m="1" x="232"/>
        <item m="1" x="234"/>
        <item m="1" x="169"/>
        <item m="1" x="173"/>
        <item m="1" x="291"/>
        <item m="1" x="174"/>
        <item m="1" x="238"/>
        <item m="1" x="240"/>
        <item m="1" x="178"/>
        <item m="1" x="243"/>
        <item m="1" x="308"/>
        <item m="1" x="309"/>
        <item m="1" x="319"/>
        <item m="1" x="311"/>
        <item m="1" x="312"/>
        <item m="1" x="329"/>
        <item m="1" x="371"/>
        <item m="1" x="366"/>
        <item m="1" x="314"/>
        <item m="1" x="317"/>
        <item m="1" x="320"/>
        <item m="1" x="324"/>
        <item m="1" x="327"/>
        <item m="1" x="372"/>
        <item m="1" x="373"/>
        <item m="1" x="374"/>
        <item m="1" x="330"/>
        <item m="1" x="331"/>
        <item m="1" x="332"/>
        <item m="1" x="380"/>
        <item m="1" x="451"/>
        <item m="1" x="454"/>
        <item m="1" x="457"/>
        <item m="1" x="478"/>
        <item m="1" x="22"/>
        <item m="1" x="41"/>
        <item m="1" x="460"/>
        <item m="1" x="481"/>
        <item m="1" x="486"/>
        <item m="1" x="27"/>
        <item m="1" x="36"/>
        <item m="1" x="42"/>
        <item m="1" x="461"/>
        <item m="1" x="28"/>
        <item m="1" x="470"/>
        <item m="1" x="473"/>
        <item m="1" x="482"/>
        <item m="1" x="484"/>
        <item m="1" x="60"/>
        <item m="1" x="81"/>
        <item m="1" x="122"/>
        <item m="1" x="61"/>
        <item m="1" x="65"/>
        <item m="1" x="87"/>
        <item m="1" x="118"/>
        <item m="1" x="93"/>
        <item m="1" x="123"/>
        <item m="1" x="86"/>
        <item m="1" x="89"/>
        <item m="1" x="91"/>
        <item m="1" x="92"/>
        <item m="1" x="131"/>
        <item m="1" x="94"/>
        <item m="1" x="132"/>
        <item m="1" x="149"/>
        <item m="1" x="97"/>
        <item m="1" x="176"/>
        <item m="1" x="189"/>
        <item m="1" x="244"/>
        <item m="1" x="247"/>
        <item m="1" x="205"/>
        <item m="1" x="262"/>
        <item m="1" x="264"/>
        <item m="1" x="267"/>
        <item m="1" x="214"/>
        <item m="1" x="270"/>
        <item m="1" x="216"/>
        <item m="1" x="221"/>
        <item m="1" x="376"/>
        <item m="1" x="335"/>
        <item m="1" x="379"/>
        <item m="1" x="336"/>
        <item x="8"/>
        <item m="1" x="493"/>
        <item m="1" x="494"/>
        <item m="1" x="433"/>
        <item m="1" x="496"/>
        <item m="1" x="150"/>
        <item m="1" x="435"/>
        <item m="1" x="499"/>
        <item m="1" x="501"/>
        <item m="1" x="502"/>
        <item m="1" x="446"/>
        <item m="1" x="449"/>
        <item m="1" x="455"/>
        <item m="1" x="510"/>
        <item m="1" x="464"/>
        <item m="1" x="11"/>
        <item m="1" x="479"/>
        <item m="1" x="25"/>
        <item m="1" x="49"/>
        <item m="1" x="54"/>
        <item m="1" x="55"/>
        <item m="1" x="57"/>
        <item m="1" x="111"/>
        <item m="1" x="116"/>
        <item m="1" x="73"/>
        <item m="1" x="121"/>
        <item m="1" x="77"/>
        <item m="1" x="375"/>
        <item m="1" x="310"/>
        <item m="1" x="90"/>
        <item m="1" x="128"/>
        <item m="1" x="158"/>
        <item m="1" x="162"/>
        <item m="1" x="165"/>
        <item m="1" x="168"/>
        <item m="1" x="172"/>
        <item m="1" x="177"/>
        <item m="1" x="179"/>
        <item m="1" x="241"/>
        <item m="1" x="245"/>
        <item m="1" x="246"/>
        <item m="1" x="195"/>
        <item m="1" x="213"/>
        <item m="1" x="248"/>
        <item m="1" x="249"/>
        <item m="1" x="197"/>
        <item m="1" x="255"/>
        <item m="1" x="258"/>
        <item m="1" x="207"/>
        <item m="1" x="209"/>
        <item m="1" x="367"/>
        <item m="1" x="315"/>
        <item m="1" x="378"/>
        <item m="1" x="316"/>
        <item m="1" x="321"/>
        <item m="1" x="333"/>
        <item m="1" x="342"/>
        <item m="1" x="338"/>
        <item m="1" x="385"/>
        <item m="1" x="386"/>
        <item m="1" x="341"/>
        <item m="1" x="390"/>
        <item m="1" x="346"/>
        <item m="1" x="488"/>
        <item m="1" x="424"/>
        <item m="1" x="489"/>
        <item m="1" x="490"/>
        <item m="1" x="425"/>
        <item m="1" x="492"/>
        <item m="1" x="429"/>
        <item m="1" x="495"/>
        <item m="1" x="498"/>
        <item m="1" x="444"/>
        <item m="1" x="505"/>
        <item m="1" x="453"/>
        <item m="1" x="98"/>
        <item m="1" x="100"/>
        <item m="1" x="101"/>
        <item m="1" x="102"/>
        <item m="1" x="103"/>
        <item m="1" x="104"/>
        <item m="1" x="48"/>
        <item m="1" x="50"/>
        <item m="1" x="107"/>
        <item m="1" x="52"/>
        <item m="1" x="56"/>
        <item m="1" x="110"/>
        <item m="1" x="112"/>
        <item m="1" x="59"/>
        <item m="1" x="119"/>
        <item m="1" x="215"/>
        <item m="1" x="201"/>
        <item m="1" x="203"/>
        <item m="1" x="206"/>
        <item m="1" x="260"/>
        <item m="1" x="263"/>
        <item m="1" x="211"/>
        <item m="1" x="269"/>
        <item m="1" x="226"/>
        <item m="1" x="389"/>
        <item m="1" x="392"/>
        <item m="1" x="394"/>
        <item m="1" x="348"/>
        <item m="1" x="349"/>
        <item m="1" x="352"/>
        <item m="1" x="354"/>
        <item m="1" x="361"/>
        <item m="1" x="364"/>
        <item m="1" x="407"/>
        <item m="1" x="418"/>
        <item m="1" x="421"/>
        <item m="1" x="355"/>
        <item m="1" x="450"/>
        <item m="1" x="452"/>
        <item m="1" x="456"/>
        <item m="1" x="506"/>
        <item m="1" x="67"/>
        <item m="1" x="69"/>
        <item m="1" x="187"/>
        <item m="1" x="190"/>
        <item m="1" x="377"/>
        <item x="1"/>
        <item m="1" x="384"/>
        <item m="1" x="430"/>
        <item m="1" x="432"/>
        <item m="1" x="437"/>
        <item m="1" x="440"/>
        <item m="1" x="442"/>
        <item m="1" x="508"/>
        <item m="1" x="109"/>
        <item m="1" x="180"/>
        <item m="1" x="171"/>
        <item m="1" x="365"/>
        <item m="1" x="368"/>
        <item m="1" x="369"/>
        <item m="1" x="323"/>
        <item m="1" x="339"/>
        <item m="1" x="326"/>
        <item m="1" x="370"/>
        <item m="1" x="12"/>
        <item m="1" x="474"/>
        <item m="1" x="476"/>
        <item m="1" x="477"/>
        <item m="1" x="88"/>
        <item m="1" x="145"/>
        <item m="1" x="251"/>
        <item m="1" x="507"/>
        <item m="1" x="68"/>
        <item m="1" x="71"/>
        <item m="1" x="74"/>
        <item m="1" x="185"/>
        <item m="1" x="426"/>
        <item m="1" x="427"/>
        <item m="1" x="428"/>
        <item m="1" x="431"/>
        <item m="1" x="441"/>
        <item m="1" x="459"/>
        <item m="1" x="276"/>
        <item m="1" x="283"/>
        <item m="1" x="220"/>
        <item m="1" x="222"/>
        <item m="1" x="287"/>
        <item m="1" x="289"/>
        <item m="1" x="398"/>
        <item m="1" x="399"/>
        <item m="1" x="400"/>
        <item m="1" x="359"/>
        <item m="1" x="404"/>
        <item m="1" x="362"/>
        <item m="1" x="363"/>
        <item m="1" x="409"/>
        <item m="1" x="13"/>
        <item m="1" x="14"/>
        <item m="1" x="18"/>
        <item m="1" x="124"/>
        <item m="1" x="126"/>
        <item m="1" x="127"/>
        <item m="1" x="129"/>
        <item m="1" x="130"/>
        <item m="1" x="250"/>
        <item m="1" x="198"/>
        <item m="1" x="254"/>
        <item m="1" x="256"/>
        <item m="1" x="257"/>
        <item m="1" x="259"/>
        <item m="1" x="265"/>
        <item m="1" x="268"/>
        <item m="1" x="388"/>
        <item m="1" x="344"/>
        <item m="1" x="347"/>
        <item m="1" x="396"/>
        <item m="1" x="504"/>
        <item m="1" x="114"/>
        <item m="1" x="115"/>
        <item m="1" x="239"/>
        <item m="1" x="181"/>
        <item m="1" x="184"/>
        <item m="1" x="242"/>
        <item m="1" x="381"/>
        <item m="1" x="382"/>
        <item m="1" x="383"/>
        <item m="1" x="483"/>
        <item m="1" x="44"/>
        <item m="1" x="32"/>
        <item m="1" x="33"/>
        <item m="1" x="485"/>
        <item m="1" x="37"/>
        <item m="1" x="95"/>
        <item m="1" x="136"/>
        <item m="1" x="96"/>
        <item m="1" x="141"/>
        <item m="1" x="142"/>
        <item m="1" x="279"/>
        <item m="1" x="282"/>
        <item m="1" x="284"/>
        <item m="1" x="285"/>
        <item m="1" x="288"/>
        <item m="1" x="358"/>
        <item m="1" x="402"/>
        <item m="1" x="408"/>
        <item m="1" x="468"/>
        <item m="1" x="10"/>
        <item m="1" x="471"/>
        <item m="1" x="475"/>
        <item m="1" x="16"/>
        <item m="1" x="19"/>
        <item m="1" x="21"/>
        <item m="1" x="23"/>
        <item m="1" x="26"/>
        <item m="1" x="487"/>
        <item m="1" x="80"/>
        <item m="1" x="83"/>
        <item m="1" x="84"/>
        <item m="1" x="125"/>
        <item m="1" x="252"/>
        <item m="1" x="199"/>
        <item m="1" x="204"/>
        <item m="1" x="266"/>
        <item m="1" x="387"/>
        <item m="1" x="391"/>
        <item m="1" x="393"/>
        <item m="1" x="395"/>
        <item m="1" x="350"/>
        <item m="1" x="66"/>
        <item m="1" x="224"/>
        <item m="1" x="292"/>
        <item m="1" x="229"/>
        <item m="1" x="236"/>
        <item m="1" x="300"/>
        <item m="1" x="306"/>
        <item m="1" x="230"/>
        <item m="1" x="237"/>
        <item m="1" x="303"/>
        <item m="1" x="307"/>
        <item m="1" x="411"/>
        <item m="1" x="413"/>
        <item m="1" x="414"/>
        <item m="1" x="415"/>
        <item m="1" x="30"/>
        <item m="1" x="31"/>
        <item m="1" x="164"/>
        <item m="1" x="133"/>
        <item m="1" x="134"/>
        <item m="1" x="135"/>
        <item m="1" x="137"/>
        <item m="1" x="140"/>
        <item m="1" x="273"/>
        <item m="1" x="277"/>
        <item m="1" x="290"/>
        <item m="1" x="261"/>
        <item m="1" x="212"/>
        <item m="1" x="294"/>
        <item m="1" x="297"/>
        <item m="1" x="228"/>
        <item m="1" x="235"/>
        <item m="1" x="305"/>
        <item m="1" x="302"/>
        <item m="1" x="412"/>
        <item m="1" x="417"/>
        <item m="1" x="420"/>
        <item m="1" x="34"/>
        <item m="1" x="35"/>
        <item m="1" x="38"/>
        <item m="1" x="139"/>
        <item m="1" x="143"/>
        <item m="1" x="272"/>
        <item m="1" x="280"/>
        <item m="1" x="401"/>
        <item m="1" x="360"/>
        <item m="1" x="405"/>
        <item m="1" x="406"/>
        <item m="1" x="466"/>
        <item m="1" x="15"/>
        <item m="1" x="154"/>
        <item m="1" x="17"/>
        <item m="1" x="20"/>
        <item m="1" x="24"/>
        <item m="1" x="304"/>
        <item m="1" x="422"/>
        <item m="1" x="423"/>
        <item m="1" x="39"/>
        <item m="1" x="40"/>
        <item m="1" x="491"/>
        <item m="1" x="43"/>
        <item m="1" x="99"/>
        <item m="1" x="146"/>
        <item m="1" x="147"/>
        <item m="1" x="148"/>
        <item m="1" x="293"/>
        <item m="1" x="296"/>
        <item m="1" x="298"/>
        <item m="1" x="299"/>
        <item m="1" x="301"/>
        <item m="1" x="410"/>
        <item m="1" x="416"/>
        <item m="1" x="419"/>
        <item m="1" x="29"/>
        <item m="1" x="138"/>
        <item m="1" x="271"/>
        <item m="1" x="274"/>
        <item m="1" x="278"/>
        <item m="1" x="281"/>
        <item m="1" x="219"/>
        <item m="1" x="223"/>
        <item m="1" x="286"/>
        <item m="1" x="357"/>
      </items>
      <extLst>
        <ext xmlns:x14="http://schemas.microsoft.com/office/spreadsheetml/2009/9/main" uri="{2946ED86-A175-432a-8AC1-64E0C546D7DE}">
          <x14:pivotField fillDownLabels="1"/>
        </ext>
      </extLst>
    </pivotField>
    <pivotField axis="axisRow" compact="0" outline="0" showAll="0" defaultSubtotal="0">
      <items count="25">
        <item x="1"/>
        <item x="3"/>
        <item x="0"/>
        <item m="1" x="24"/>
        <item m="1" x="21"/>
        <item m="1" x="22"/>
        <item x="8"/>
        <item m="1" x="23"/>
        <item x="13"/>
        <item m="1" x="20"/>
        <item x="6"/>
        <item x="12"/>
        <item x="15"/>
        <item m="1" x="17"/>
        <item m="1" x="19"/>
        <item m="1" x="18"/>
        <item x="2"/>
        <item x="9"/>
        <item x="4"/>
        <item x="14"/>
        <item x="16"/>
        <item x="5"/>
        <item x="7"/>
        <item x="11"/>
        <item x="10"/>
      </items>
      <extLst>
        <ext xmlns:x14="http://schemas.microsoft.com/office/spreadsheetml/2009/9/main" uri="{2946ED86-A175-432a-8AC1-64E0C546D7DE}">
          <x14:pivotField fillDownLabels="1"/>
        </ext>
      </extLst>
    </pivotField>
    <pivotField axis="axisCol" compact="0" outline="0" showAll="0" sortType="ascending" defaultSubtotal="0">
      <items count="22">
        <item x="20"/>
        <item x="18"/>
        <item x="1"/>
        <item x="8"/>
        <item x="21"/>
        <item x="2"/>
        <item x="9"/>
        <item x="10"/>
        <item x="16"/>
        <item x="11"/>
        <item x="3"/>
        <item x="7"/>
        <item x="14"/>
        <item x="15"/>
        <item x="5"/>
        <item x="6"/>
        <item x="0"/>
        <item x="12"/>
        <item x="4"/>
        <item x="13"/>
        <item x="19"/>
        <item x="17"/>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3">
    <field x="2"/>
    <field x="4"/>
    <field x="5"/>
  </rowFields>
  <rowItems count="8">
    <i>
      <x v="1"/>
    </i>
    <i>
      <x v="2"/>
    </i>
    <i>
      <x v="3"/>
    </i>
    <i>
      <x v="4"/>
    </i>
    <i>
      <x v="5"/>
    </i>
    <i>
      <x v="6"/>
    </i>
    <i>
      <x v="7"/>
    </i>
    <i t="grand">
      <x/>
    </i>
  </rowItems>
  <colFields count="1">
    <field x="6"/>
  </colFields>
  <colItems count="22">
    <i>
      <x/>
    </i>
    <i>
      <x v="1"/>
    </i>
    <i>
      <x v="2"/>
    </i>
    <i>
      <x v="3"/>
    </i>
    <i>
      <x v="4"/>
    </i>
    <i>
      <x v="5"/>
    </i>
    <i>
      <x v="6"/>
    </i>
    <i>
      <x v="7"/>
    </i>
    <i>
      <x v="8"/>
    </i>
    <i>
      <x v="9"/>
    </i>
    <i>
      <x v="10"/>
    </i>
    <i>
      <x v="11"/>
    </i>
    <i>
      <x v="12"/>
    </i>
    <i>
      <x v="13"/>
    </i>
    <i>
      <x v="14"/>
    </i>
    <i>
      <x v="15"/>
    </i>
    <i>
      <x v="16"/>
    </i>
    <i>
      <x v="17"/>
    </i>
    <i>
      <x v="18"/>
    </i>
    <i>
      <x v="19"/>
    </i>
    <i>
      <x v="20"/>
    </i>
    <i>
      <x v="21"/>
    </i>
  </colItems>
  <pageFields count="2">
    <pageField fld="3" hier="-1"/>
    <pageField fld="1" hier="-1"/>
  </pageFields>
  <dataFields count="1">
    <dataField name="Sum of Sum of Amount" fld="7" baseField="1" baseItem="2" numFmtId="3"/>
  </dataFields>
  <formats count="1">
    <format dxfId="4937">
      <pivotArea dataOnly="0" labelOnly="1" outline="0" fieldPosition="0">
        <references count="1">
          <reference field="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2000-000001000000}" name="PivotTable2" cacheId="23" applyNumberFormats="0" applyBorderFormats="0" applyFontFormats="0" applyPatternFormats="0" applyAlignmentFormats="0" applyWidthHeightFormats="1" dataCaption="Values" updatedVersion="8" minRefreshableVersion="3" colGrandTotals="0" itemPrintTitles="1" createdVersion="5" indent="0" compact="0" compactData="0" multipleFieldFilters="0" fieldListSortAscending="1">
  <location ref="C125:AC141" firstHeaderRow="1" firstDataRow="2" firstDataCol="1" rowPageCount="2" colPageCount="1"/>
  <pivotFields count="6">
    <pivotField compact="0" outline="0" subtotalTop="0" showAll="0">
      <extLst>
        <ext xmlns:x14="http://schemas.microsoft.com/office/spreadsheetml/2009/9/main" uri="{2946ED86-A175-432a-8AC1-64E0C546D7DE}">
          <x14:pivotField fillDownLabels="1"/>
        </ext>
      </extLst>
    </pivotField>
    <pivotField axis="axisPage" compact="0" outline="0" subtotalTop="0" showAll="0">
      <items count="113">
        <item x="28"/>
        <item x="6"/>
        <item x="11"/>
        <item x="27"/>
        <item x="50"/>
        <item x="36"/>
        <item x="5"/>
        <item x="9"/>
        <item x="59"/>
        <item x="110"/>
        <item x="47"/>
        <item x="73"/>
        <item x="58"/>
        <item x="4"/>
        <item x="0"/>
        <item x="44"/>
        <item x="54"/>
        <item x="92"/>
        <item x="20"/>
        <item x="19"/>
        <item x="32"/>
        <item x="41"/>
        <item x="30"/>
        <item x="55"/>
        <item x="52"/>
        <item x="67"/>
        <item x="57"/>
        <item x="8"/>
        <item x="76"/>
        <item x="51"/>
        <item x="66"/>
        <item x="86"/>
        <item x="82"/>
        <item x="37"/>
        <item x="43"/>
        <item x="101"/>
        <item x="21"/>
        <item x="75"/>
        <item x="91"/>
        <item x="33"/>
        <item x="70"/>
        <item x="2"/>
        <item x="65"/>
        <item x="15"/>
        <item x="104"/>
        <item x="79"/>
        <item x="93"/>
        <item x="42"/>
        <item x="46"/>
        <item x="25"/>
        <item x="45"/>
        <item x="22"/>
        <item x="95"/>
        <item x="63"/>
        <item x="40"/>
        <item x="23"/>
        <item x="3"/>
        <item x="7"/>
        <item x="106"/>
        <item x="39"/>
        <item x="83"/>
        <item x="99"/>
        <item x="98"/>
        <item x="49"/>
        <item x="29"/>
        <item x="53"/>
        <item x="78"/>
        <item x="89"/>
        <item x="1"/>
        <item x="80"/>
        <item x="107"/>
        <item x="62"/>
        <item x="60"/>
        <item x="64"/>
        <item x="12"/>
        <item x="24"/>
        <item x="74"/>
        <item x="31"/>
        <item x="14"/>
        <item x="85"/>
        <item x="13"/>
        <item x="56"/>
        <item x="96"/>
        <item x="90"/>
        <item x="10"/>
        <item x="97"/>
        <item x="88"/>
        <item x="18"/>
        <item x="16"/>
        <item x="35"/>
        <item x="48"/>
        <item x="17"/>
        <item x="71"/>
        <item x="109"/>
        <item x="105"/>
        <item x="72"/>
        <item x="68"/>
        <item x="102"/>
        <item x="87"/>
        <item x="26"/>
        <item x="108"/>
        <item x="61"/>
        <item x="77"/>
        <item x="81"/>
        <item x="69"/>
        <item x="94"/>
        <item x="84"/>
        <item x="34"/>
        <item x="111"/>
        <item x="103"/>
        <item x="38"/>
        <item x="100"/>
        <item t="default"/>
      </items>
      <extLst>
        <ext xmlns:x14="http://schemas.microsoft.com/office/spreadsheetml/2009/9/main" uri="{2946ED86-A175-432a-8AC1-64E0C546D7DE}">
          <x14:pivotField fillDownLabels="1"/>
        </ext>
      </extLst>
    </pivotField>
    <pivotField axis="axisPage" compact="0" outline="0" subtotalTop="0" multipleItemSelectionAllowed="1" showAll="0">
      <items count="2">
        <item x="0"/>
        <item t="default"/>
      </items>
      <extLst>
        <ext xmlns:x14="http://schemas.microsoft.com/office/spreadsheetml/2009/9/main" uri="{2946ED86-A175-432a-8AC1-64E0C546D7DE}">
          <x14:pivotField fillDownLabels="1"/>
        </ext>
      </extLst>
    </pivotField>
    <pivotField axis="axisRow" compact="0" outline="0" subtotalTop="0" showAll="0" sortType="ascending">
      <items count="15">
        <item x="1"/>
        <item x="7"/>
        <item x="10"/>
        <item x="3"/>
        <item x="4"/>
        <item x="9"/>
        <item x="12"/>
        <item x="0"/>
        <item x="8"/>
        <item x="2"/>
        <item x="11"/>
        <item x="6"/>
        <item x="13"/>
        <item x="5"/>
        <item t="default"/>
      </items>
      <extLst>
        <ext xmlns:x14="http://schemas.microsoft.com/office/spreadsheetml/2009/9/main" uri="{2946ED86-A175-432a-8AC1-64E0C546D7DE}">
          <x14:pivotField fillDownLabels="1"/>
        </ext>
      </extLst>
    </pivotField>
    <pivotField axis="axisCol" compact="0" outline="0" subtotalTop="0" showAll="0" sortType="ascending">
      <items count="27">
        <item x="19"/>
        <item x="24"/>
        <item x="10"/>
        <item x="20"/>
        <item x="6"/>
        <item x="14"/>
        <item x="17"/>
        <item x="13"/>
        <item x="25"/>
        <item x="5"/>
        <item x="21"/>
        <item x="12"/>
        <item x="8"/>
        <item x="18"/>
        <item x="3"/>
        <item x="15"/>
        <item x="16"/>
        <item x="7"/>
        <item x="1"/>
        <item x="0"/>
        <item x="11"/>
        <item x="2"/>
        <item x="9"/>
        <item x="23"/>
        <item x="4"/>
        <item x="22"/>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1">
    <field x="3"/>
  </rowFields>
  <rowItems count="15">
    <i>
      <x/>
    </i>
    <i>
      <x v="1"/>
    </i>
    <i>
      <x v="2"/>
    </i>
    <i>
      <x v="3"/>
    </i>
    <i>
      <x v="4"/>
    </i>
    <i>
      <x v="5"/>
    </i>
    <i>
      <x v="6"/>
    </i>
    <i>
      <x v="7"/>
    </i>
    <i>
      <x v="8"/>
    </i>
    <i>
      <x v="9"/>
    </i>
    <i>
      <x v="10"/>
    </i>
    <i>
      <x v="11"/>
    </i>
    <i>
      <x v="12"/>
    </i>
    <i>
      <x v="13"/>
    </i>
    <i t="grand">
      <x/>
    </i>
  </rowItems>
  <colFields count="1">
    <field x="4"/>
  </colFields>
  <colItems count="26">
    <i>
      <x/>
    </i>
    <i>
      <x v="1"/>
    </i>
    <i>
      <x v="2"/>
    </i>
    <i>
      <x v="3"/>
    </i>
    <i>
      <x v="4"/>
    </i>
    <i>
      <x v="5"/>
    </i>
    <i>
      <x v="6"/>
    </i>
    <i>
      <x v="7"/>
    </i>
    <i>
      <x v="8"/>
    </i>
    <i>
      <x v="9"/>
    </i>
    <i>
      <x v="10"/>
    </i>
    <i>
      <x v="11"/>
    </i>
    <i>
      <x v="12"/>
    </i>
    <i>
      <x v="13"/>
    </i>
    <i>
      <x v="14"/>
    </i>
    <i>
      <x v="15"/>
    </i>
    <i>
      <x v="16"/>
    </i>
    <i>
      <x v="17"/>
    </i>
    <i>
      <x v="18"/>
    </i>
    <i>
      <x v="19"/>
    </i>
    <i>
      <x v="20"/>
    </i>
    <i>
      <x v="21"/>
    </i>
    <i>
      <x v="22"/>
    </i>
    <i>
      <x v="23"/>
    </i>
    <i>
      <x v="24"/>
    </i>
    <i>
      <x v="25"/>
    </i>
  </colItems>
  <pageFields count="2">
    <pageField fld="2" hier="-1"/>
    <pageField fld="1" hier="-1"/>
  </pageFields>
  <dataFields count="1">
    <dataField name="Sum of Sum of Amount" fld="5" baseField="1" baseItem="2" numFmtId="3"/>
  </dataFields>
  <formats count="10">
    <format dxfId="4947">
      <pivotArea dataOnly="0" labelOnly="1" outline="0" fieldPosition="0">
        <references count="1">
          <reference field="4" count="0"/>
        </references>
      </pivotArea>
    </format>
    <format dxfId="4946">
      <pivotArea type="all" dataOnly="0" outline="0" fieldPosition="0"/>
    </format>
    <format dxfId="4945">
      <pivotArea outline="0" collapsedLevelsAreSubtotals="1" fieldPosition="0"/>
    </format>
    <format dxfId="4944">
      <pivotArea type="origin" dataOnly="0" labelOnly="1" outline="0" fieldPosition="0"/>
    </format>
    <format dxfId="4943">
      <pivotArea field="4" type="button" dataOnly="0" labelOnly="1" outline="0" axis="axisCol" fieldPosition="0"/>
    </format>
    <format dxfId="4942">
      <pivotArea type="topRight" dataOnly="0" labelOnly="1" outline="0" fieldPosition="0"/>
    </format>
    <format dxfId="4941">
      <pivotArea field="3" type="button" dataOnly="0" labelOnly="1" outline="0" axis="axisRow" fieldPosition="0"/>
    </format>
    <format dxfId="4940">
      <pivotArea dataOnly="0" labelOnly="1" outline="0" fieldPosition="0">
        <references count="1">
          <reference field="3" count="0"/>
        </references>
      </pivotArea>
    </format>
    <format dxfId="4939">
      <pivotArea dataOnly="0" labelOnly="1" grandRow="1" outline="0" fieldPosition="0"/>
    </format>
    <format dxfId="4938">
      <pivotArea dataOnly="0" labelOnly="1"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PivotTable1" cacheId="13" applyNumberFormats="0" applyBorderFormats="0" applyFontFormats="0" applyPatternFormats="0" applyAlignmentFormats="0" applyWidthHeightFormats="1" dataCaption="Values" updatedVersion="8" minRefreshableVersion="3" colGrandTotals="0" itemPrintTitles="1" createdVersion="5" indent="0" compact="0" compactData="0" multipleFieldFilters="0" fieldListSortAscending="1">
  <location ref="B16:AC54" firstHeaderRow="1" firstDataRow="2" firstDataCol="2" rowPageCount="1" colPageCount="1"/>
  <pivotFields count="6">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1"/>
        <item x="8"/>
        <item x="2"/>
        <item x="4"/>
        <item x="5"/>
        <item x="6"/>
        <item x="0"/>
        <item x="7"/>
        <item x="3"/>
      </items>
      <extLst>
        <ext xmlns:x14="http://schemas.microsoft.com/office/spreadsheetml/2009/9/main" uri="{2946ED86-A175-432a-8AC1-64E0C546D7DE}">
          <x14:pivotField fillDownLabels="1"/>
        </ext>
      </extLst>
    </pivotField>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axis="axisRow" compact="0" outline="0" showAll="0" sortType="ascending" defaultSubtotal="0">
      <items count="6">
        <item x="0"/>
        <item x="4"/>
        <item x="3"/>
        <item x="2"/>
        <item x="5"/>
        <item x="1"/>
      </items>
      <extLst>
        <ext xmlns:x14="http://schemas.microsoft.com/office/spreadsheetml/2009/9/main" uri="{2946ED86-A175-432a-8AC1-64E0C546D7DE}">
          <x14:pivotField fillDownLabels="1"/>
        </ext>
      </extLst>
    </pivotField>
    <pivotField axis="axisCol" compact="0" outline="0" showAll="0" sortType="ascending" defaultSubtotal="0">
      <items count="26">
        <item x="12"/>
        <item x="8"/>
        <item x="15"/>
        <item x="2"/>
        <item x="4"/>
        <item x="0"/>
        <item x="21"/>
        <item x="17"/>
        <item x="19"/>
        <item x="11"/>
        <item x="3"/>
        <item x="20"/>
        <item x="23"/>
        <item x="24"/>
        <item x="10"/>
        <item x="25"/>
        <item x="1"/>
        <item x="5"/>
        <item x="6"/>
        <item x="13"/>
        <item x="22"/>
        <item x="18"/>
        <item x="7"/>
        <item x="14"/>
        <item x="16"/>
        <item x="9"/>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1"/>
    <field x="3"/>
  </rowFields>
  <rowItems count="37">
    <i>
      <x/>
      <x/>
    </i>
    <i r="1">
      <x v="1"/>
    </i>
    <i r="1">
      <x v="2"/>
    </i>
    <i r="1">
      <x v="5"/>
    </i>
    <i>
      <x v="1"/>
      <x/>
    </i>
    <i r="1">
      <x v="2"/>
    </i>
    <i r="1">
      <x v="5"/>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r="1">
      <x v="4"/>
    </i>
    <i t="grand">
      <x/>
    </i>
  </rowItems>
  <colFields count="1">
    <field x="4"/>
  </colFields>
  <colItems count="26">
    <i>
      <x/>
    </i>
    <i>
      <x v="1"/>
    </i>
    <i>
      <x v="2"/>
    </i>
    <i>
      <x v="3"/>
    </i>
    <i>
      <x v="4"/>
    </i>
    <i>
      <x v="5"/>
    </i>
    <i>
      <x v="6"/>
    </i>
    <i>
      <x v="7"/>
    </i>
    <i>
      <x v="8"/>
    </i>
    <i>
      <x v="9"/>
    </i>
    <i>
      <x v="10"/>
    </i>
    <i>
      <x v="11"/>
    </i>
    <i>
      <x v="12"/>
    </i>
    <i>
      <x v="13"/>
    </i>
    <i>
      <x v="14"/>
    </i>
    <i>
      <x v="15"/>
    </i>
    <i>
      <x v="16"/>
    </i>
    <i>
      <x v="17"/>
    </i>
    <i>
      <x v="18"/>
    </i>
    <i>
      <x v="19"/>
    </i>
    <i>
      <x v="20"/>
    </i>
    <i>
      <x v="21"/>
    </i>
    <i>
      <x v="22"/>
    </i>
    <i>
      <x v="23"/>
    </i>
    <i>
      <x v="24"/>
    </i>
    <i>
      <x v="25"/>
    </i>
  </colItems>
  <pageFields count="1">
    <pageField fld="2" hier="-1"/>
  </pageFields>
  <dataFields count="1">
    <dataField name="Sum of Sum of Amount" fld="5" baseField="1" baseItem="2" numFmtId="3"/>
  </dataFields>
  <formats count="1">
    <format dxfId="4948">
      <pivotArea dataOnly="0" labelOnly="1"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9FBCD5E-A420-4956-A1E8-BFE8A15485C8}" name="PivotTable5" cacheId="26" applyNumberFormats="0" applyBorderFormats="0" applyFontFormats="0" applyPatternFormats="0" applyAlignmentFormats="0" applyWidthHeightFormats="1" dataCaption="Values" updatedVersion="8" minRefreshableVersion="3" colGrandTotals="0" itemPrintTitles="1" createdVersion="5" indent="0" compact="0" compactData="0" gridDropZones="1" multipleFieldFilters="0" fieldListSortAscending="1">
  <location ref="B151:AC170" firstHeaderRow="1" firstDataRow="2" firstDataCol="2" rowPageCount="2" colPageCount="1"/>
  <pivotFields count="7">
    <pivotField compact="0" outline="0" showAll="0" defaultSubtotal="0">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axis="axisRow" compact="0" outline="0" showAll="0" defaultSubtotal="0">
      <items count="9">
        <item sd="0" x="5"/>
        <item sd="0" x="1"/>
        <item sd="0" x="0"/>
        <item sd="0" x="7"/>
        <item sd="0" x="6"/>
        <item sd="0" x="4"/>
        <item sd="0" x="2"/>
        <item sd="0" x="3"/>
        <item sd="0" x="8"/>
      </items>
      <extLst>
        <ext xmlns:x14="http://schemas.microsoft.com/office/spreadsheetml/2009/9/main" uri="{2946ED86-A175-432a-8AC1-64E0C546D7DE}">
          <x14:pivotField fillDownLabels="1"/>
        </ext>
      </extLst>
    </pivotField>
    <pivotField axis="axisPage" compact="0" outline="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7">
        <item sd="0" x="5"/>
        <item sd="0" x="10"/>
        <item sd="0" x="15"/>
        <item sd="0" x="13"/>
        <item sd="0" x="8"/>
        <item sd="0" x="3"/>
        <item sd="0" x="14"/>
        <item sd="0" x="6"/>
        <item sd="0" x="7"/>
        <item sd="0" x="4"/>
        <item sd="0" x="12"/>
        <item sd="0" x="2"/>
        <item sd="0" x="0"/>
        <item sd="0" x="9"/>
        <item sd="0" x="1"/>
        <item sd="0" x="11"/>
        <item sd="0" x="16"/>
      </items>
      <extLst>
        <ext xmlns:x14="http://schemas.microsoft.com/office/spreadsheetml/2009/9/main" uri="{2946ED86-A175-432a-8AC1-64E0C546D7DE}">
          <x14:pivotField fillDownLabels="1"/>
        </ext>
      </extLst>
    </pivotField>
    <pivotField axis="axisCol" compact="0" outline="0" showAll="0" sortType="ascending" defaultSubtotal="0">
      <items count="26">
        <item x="8"/>
        <item x="23"/>
        <item x="10"/>
        <item x="21"/>
        <item x="24"/>
        <item x="17"/>
        <item x="25"/>
        <item x="15"/>
        <item x="22"/>
        <item x="7"/>
        <item x="20"/>
        <item x="5"/>
        <item x="4"/>
        <item x="19"/>
        <item x="9"/>
        <item x="16"/>
        <item x="12"/>
        <item x="0"/>
        <item x="1"/>
        <item x="14"/>
        <item x="11"/>
        <item x="13"/>
        <item x="3"/>
        <item x="2"/>
        <item x="6"/>
        <item x="1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4"/>
    <field x="2"/>
  </rowFields>
  <rowItems count="18">
    <i>
      <x/>
    </i>
    <i>
      <x v="1"/>
    </i>
    <i>
      <x v="2"/>
    </i>
    <i>
      <x v="3"/>
    </i>
    <i>
      <x v="4"/>
    </i>
    <i>
      <x v="5"/>
    </i>
    <i>
      <x v="6"/>
    </i>
    <i>
      <x v="7"/>
    </i>
    <i>
      <x v="8"/>
    </i>
    <i>
      <x v="9"/>
    </i>
    <i>
      <x v="10"/>
    </i>
    <i>
      <x v="11"/>
    </i>
    <i>
      <x v="12"/>
    </i>
    <i>
      <x v="13"/>
    </i>
    <i>
      <x v="14"/>
    </i>
    <i>
      <x v="15"/>
    </i>
    <i>
      <x v="16"/>
    </i>
    <i t="grand">
      <x/>
    </i>
  </rowItems>
  <colFields count="1">
    <field x="5"/>
  </colFields>
  <colItems count="26">
    <i>
      <x/>
    </i>
    <i>
      <x v="1"/>
    </i>
    <i>
      <x v="2"/>
    </i>
    <i>
      <x v="3"/>
    </i>
    <i>
      <x v="4"/>
    </i>
    <i>
      <x v="5"/>
    </i>
    <i>
      <x v="6"/>
    </i>
    <i>
      <x v="7"/>
    </i>
    <i>
      <x v="8"/>
    </i>
    <i>
      <x v="9"/>
    </i>
    <i>
      <x v="10"/>
    </i>
    <i>
      <x v="11"/>
    </i>
    <i>
      <x v="12"/>
    </i>
    <i>
      <x v="13"/>
    </i>
    <i>
      <x v="14"/>
    </i>
    <i>
      <x v="15"/>
    </i>
    <i>
      <x v="16"/>
    </i>
    <i>
      <x v="17"/>
    </i>
    <i>
      <x v="18"/>
    </i>
    <i>
      <x v="19"/>
    </i>
    <i>
      <x v="20"/>
    </i>
    <i>
      <x v="21"/>
    </i>
    <i>
      <x v="22"/>
    </i>
    <i>
      <x v="23"/>
    </i>
    <i>
      <x v="24"/>
    </i>
    <i>
      <x v="25"/>
    </i>
  </colItems>
  <pageFields count="2">
    <pageField fld="3" hier="-1"/>
    <pageField fld="1" hier="-1"/>
  </pageFields>
  <dataFields count="1">
    <dataField name="Sum of Sum of Amount" fld="6" baseField="1" baseItem="2" numFmtId="3"/>
  </dataFields>
  <formats count="1">
    <format dxfId="4949">
      <pivotArea dataOnly="0" labelOnly="1" outline="0"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2000-000002000000}" name="PivotTable3" cacheId="26" applyNumberFormats="0" applyBorderFormats="0" applyFontFormats="0" applyPatternFormats="0" applyAlignmentFormats="0" applyWidthHeightFormats="1" dataCaption="Values" updatedVersion="8" minRefreshableVersion="3" colGrandTotals="0" itemPrintTitles="1" createdVersion="5" indent="0" compact="0" compactData="0" multipleFieldFilters="0" fieldListSortAscending="1">
  <location ref="B73:AC84" firstHeaderRow="1" firstDataRow="2" firstDataCol="2" rowPageCount="2" colPageCount="1"/>
  <pivotFields count="7">
    <pivotField compact="0" outline="0" showAll="0" defaultSubtotal="0">
      <extLst>
        <ext xmlns:x14="http://schemas.microsoft.com/office/spreadsheetml/2009/9/main" uri="{2946ED86-A175-432a-8AC1-64E0C546D7DE}">
          <x14:pivotField fillDownLabels="1"/>
        </ext>
      </extLst>
    </pivotField>
    <pivotField axis="axisPage" compact="0" outline="0" showAll="0">
      <items count="2">
        <item x="0"/>
        <item t="default"/>
      </items>
      <extLst>
        <ext xmlns:x14="http://schemas.microsoft.com/office/spreadsheetml/2009/9/main" uri="{2946ED86-A175-432a-8AC1-64E0C546D7DE}">
          <x14:pivotField fillDownLabels="1"/>
        </ext>
      </extLst>
    </pivotField>
    <pivotField axis="axisRow" compact="0" outline="0" showAll="0" defaultSubtotal="0">
      <items count="9">
        <item sd="0" x="5"/>
        <item sd="0" x="1"/>
        <item sd="0" x="0"/>
        <item sd="0" x="7"/>
        <item sd="0" x="6"/>
        <item sd="0" x="4"/>
        <item sd="0" x="2"/>
        <item sd="0" x="3"/>
        <item sd="0" x="8"/>
      </items>
      <extLst>
        <ext xmlns:x14="http://schemas.microsoft.com/office/spreadsheetml/2009/9/main" uri="{2946ED86-A175-432a-8AC1-64E0C546D7DE}">
          <x14:pivotField fillDownLabels="1"/>
        </ext>
      </extLst>
    </pivotField>
    <pivotField axis="axisPage" compact="0" outline="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7">
        <item x="5"/>
        <item x="10"/>
        <item x="15"/>
        <item x="13"/>
        <item x="8"/>
        <item x="3"/>
        <item x="14"/>
        <item x="6"/>
        <item x="7"/>
        <item x="4"/>
        <item x="12"/>
        <item x="2"/>
        <item x="0"/>
        <item x="9"/>
        <item x="1"/>
        <item x="11"/>
        <item x="16"/>
      </items>
      <extLst>
        <ext xmlns:x14="http://schemas.microsoft.com/office/spreadsheetml/2009/9/main" uri="{2946ED86-A175-432a-8AC1-64E0C546D7DE}">
          <x14:pivotField fillDownLabels="1"/>
        </ext>
      </extLst>
    </pivotField>
    <pivotField axis="axisCol" compact="0" outline="0" showAll="0" sortType="ascending" defaultSubtotal="0">
      <items count="26">
        <item x="8"/>
        <item x="23"/>
        <item x="10"/>
        <item x="21"/>
        <item x="24"/>
        <item x="17"/>
        <item x="25"/>
        <item x="15"/>
        <item x="22"/>
        <item x="7"/>
        <item x="20"/>
        <item x="5"/>
        <item x="4"/>
        <item x="19"/>
        <item x="9"/>
        <item x="16"/>
        <item x="12"/>
        <item x="0"/>
        <item x="1"/>
        <item x="14"/>
        <item x="11"/>
        <item x="13"/>
        <item x="3"/>
        <item x="2"/>
        <item x="6"/>
        <item x="1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2"/>
    <field x="4"/>
  </rowFields>
  <rowItems count="10">
    <i>
      <x/>
    </i>
    <i>
      <x v="1"/>
    </i>
    <i>
      <x v="2"/>
    </i>
    <i>
      <x v="3"/>
    </i>
    <i>
      <x v="4"/>
    </i>
    <i>
      <x v="5"/>
    </i>
    <i>
      <x v="6"/>
    </i>
    <i>
      <x v="7"/>
    </i>
    <i>
      <x v="8"/>
    </i>
    <i t="grand">
      <x/>
    </i>
  </rowItems>
  <colFields count="1">
    <field x="5"/>
  </colFields>
  <colItems count="26">
    <i>
      <x/>
    </i>
    <i>
      <x v="1"/>
    </i>
    <i>
      <x v="2"/>
    </i>
    <i>
      <x v="3"/>
    </i>
    <i>
      <x v="4"/>
    </i>
    <i>
      <x v="5"/>
    </i>
    <i>
      <x v="6"/>
    </i>
    <i>
      <x v="7"/>
    </i>
    <i>
      <x v="8"/>
    </i>
    <i>
      <x v="9"/>
    </i>
    <i>
      <x v="10"/>
    </i>
    <i>
      <x v="11"/>
    </i>
    <i>
      <x v="12"/>
    </i>
    <i>
      <x v="13"/>
    </i>
    <i>
      <x v="14"/>
    </i>
    <i>
      <x v="15"/>
    </i>
    <i>
      <x v="16"/>
    </i>
    <i>
      <x v="17"/>
    </i>
    <i>
      <x v="18"/>
    </i>
    <i>
      <x v="19"/>
    </i>
    <i>
      <x v="20"/>
    </i>
    <i>
      <x v="21"/>
    </i>
    <i>
      <x v="22"/>
    </i>
    <i>
      <x v="23"/>
    </i>
    <i>
      <x v="24"/>
    </i>
    <i>
      <x v="25"/>
    </i>
  </colItems>
  <pageFields count="2">
    <pageField fld="3" hier="-1"/>
    <pageField fld="1" hier="-1"/>
  </pageFields>
  <dataFields count="1">
    <dataField name="Sum of Sum of Amount" fld="6" baseField="1" baseItem="2" numFmtId="3"/>
  </dataFields>
  <formats count="1">
    <format dxfId="4950">
      <pivotArea dataOnly="0" labelOnly="1" outline="0"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32.bin"/><Relationship Id="rId4" Type="http://schemas.openxmlformats.org/officeDocument/2006/relationships/pivotTable" Target="../pivotTables/pivotTable4.xml"/></Relationships>
</file>

<file path=xl/worksheets/_rels/sheet3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rinterSettings" Target="../printerSettings/printerSettings33.bin"/><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7.bin"/><Relationship Id="rId4"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38.bin"/><Relationship Id="rId4"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39.bin"/><Relationship Id="rId4"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41.bin"/><Relationship Id="rId4"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42.bin"/><Relationship Id="rId4"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C71"/>
  <sheetViews>
    <sheetView workbookViewId="0"/>
  </sheetViews>
  <sheetFormatPr defaultRowHeight="12.75"/>
  <cols>
    <col min="1" max="1" width="35.625" style="1" customWidth="1"/>
    <col min="2" max="19" width="9.625" style="1" customWidth="1"/>
    <col min="20" max="20" width="10.25" style="1" customWidth="1"/>
    <col min="21" max="16384" width="9" style="1"/>
  </cols>
  <sheetData>
    <row r="1" spans="1:29">
      <c r="A1" s="1" t="str">
        <f>+OperatingFunds!B1</f>
        <v>Last updated: 18 December 2024</v>
      </c>
    </row>
    <row r="2" spans="1:29">
      <c r="A2" s="4" t="s">
        <v>10</v>
      </c>
      <c r="S2" s="8">
        <f ca="1">NOW()</f>
        <v>45644.513693865738</v>
      </c>
      <c r="T2"/>
      <c r="U2"/>
      <c r="V2"/>
      <c r="W2"/>
      <c r="X2"/>
      <c r="Y2"/>
      <c r="Z2"/>
      <c r="AA2"/>
      <c r="AB2"/>
      <c r="AC2"/>
    </row>
    <row r="3" spans="1:29">
      <c r="A3" s="5" t="s">
        <v>35</v>
      </c>
      <c r="B3" s="5"/>
      <c r="C3" s="5"/>
      <c r="D3" s="5"/>
      <c r="E3" s="5"/>
      <c r="F3" s="5"/>
      <c r="G3" s="5"/>
      <c r="H3" s="5"/>
      <c r="I3" s="5"/>
      <c r="J3" s="5"/>
      <c r="K3" s="5"/>
      <c r="L3" s="5"/>
      <c r="M3" s="5"/>
      <c r="N3" s="5"/>
      <c r="O3" s="5"/>
      <c r="P3" s="5"/>
      <c r="Q3" s="5"/>
      <c r="R3" s="5"/>
      <c r="S3" s="5"/>
      <c r="T3"/>
      <c r="U3"/>
      <c r="V3"/>
      <c r="W3"/>
      <c r="X3"/>
      <c r="Y3"/>
      <c r="Z3"/>
      <c r="AA3"/>
      <c r="AB3"/>
      <c r="AC3"/>
    </row>
    <row r="4" spans="1:29">
      <c r="A4" s="5" t="s">
        <v>36</v>
      </c>
      <c r="B4" s="5"/>
      <c r="C4" s="5"/>
      <c r="D4" s="5"/>
      <c r="E4" s="5"/>
      <c r="F4" s="5"/>
      <c r="G4" s="5"/>
      <c r="H4" s="5"/>
      <c r="I4" s="5"/>
      <c r="J4" s="5"/>
      <c r="K4" s="5"/>
      <c r="L4" s="5"/>
      <c r="M4" s="5"/>
      <c r="N4" s="5"/>
      <c r="O4" s="5"/>
      <c r="P4" s="5"/>
      <c r="Q4" s="5"/>
      <c r="R4" s="5"/>
      <c r="S4" s="5"/>
      <c r="T4"/>
      <c r="U4"/>
      <c r="V4"/>
      <c r="W4"/>
      <c r="X4"/>
      <c r="Y4"/>
      <c r="Z4"/>
      <c r="AA4"/>
      <c r="AB4"/>
      <c r="AC4"/>
    </row>
    <row r="5" spans="1:29">
      <c r="A5" s="5" t="s">
        <v>39</v>
      </c>
      <c r="B5" s="5"/>
      <c r="C5" s="5"/>
      <c r="D5" s="5"/>
      <c r="E5" s="5"/>
      <c r="F5" s="5"/>
      <c r="G5" s="5"/>
      <c r="H5" s="5"/>
      <c r="I5" s="5"/>
      <c r="J5" s="5"/>
      <c r="K5" s="5"/>
      <c r="L5" s="5"/>
      <c r="M5" s="5"/>
      <c r="N5" s="5"/>
      <c r="O5" s="5"/>
      <c r="P5" s="5"/>
      <c r="Q5" s="5"/>
      <c r="R5" s="5"/>
      <c r="S5" s="5"/>
      <c r="T5"/>
      <c r="U5"/>
      <c r="V5"/>
      <c r="W5"/>
      <c r="X5"/>
      <c r="Y5"/>
      <c r="Z5"/>
      <c r="AA5"/>
      <c r="AB5"/>
      <c r="AC5"/>
    </row>
    <row r="6" spans="1:29">
      <c r="A6" s="5"/>
      <c r="B6" s="5"/>
      <c r="C6" s="5"/>
      <c r="D6" s="5"/>
      <c r="E6" s="5"/>
      <c r="F6" s="5"/>
      <c r="G6" s="5"/>
      <c r="H6" s="5"/>
      <c r="I6" s="5"/>
      <c r="J6" s="5"/>
      <c r="K6" s="5"/>
      <c r="L6" s="5"/>
      <c r="M6" s="5"/>
      <c r="N6" s="5"/>
      <c r="O6" s="5"/>
      <c r="P6" s="5"/>
      <c r="Q6" s="5"/>
      <c r="R6" s="5"/>
      <c r="S6" s="5"/>
      <c r="T6"/>
      <c r="U6"/>
      <c r="V6"/>
      <c r="W6"/>
      <c r="X6"/>
      <c r="Y6"/>
      <c r="Z6"/>
      <c r="AA6"/>
      <c r="AB6"/>
      <c r="AC6"/>
    </row>
    <row r="7" spans="1:29">
      <c r="B7" s="21" t="str">
        <f t="shared" ref="B7:I7" si="0">LEFT(C7,4)-1&amp;"-"&amp;RIGHT(C7,2)-1</f>
        <v>1971-72</v>
      </c>
      <c r="C7" s="21" t="str">
        <f t="shared" si="0"/>
        <v>1972-73</v>
      </c>
      <c r="D7" s="21" t="str">
        <f t="shared" si="0"/>
        <v>1973-74</v>
      </c>
      <c r="E7" s="21" t="str">
        <f t="shared" si="0"/>
        <v>1974-75</v>
      </c>
      <c r="F7" s="21" t="str">
        <f t="shared" si="0"/>
        <v>1975-76</v>
      </c>
      <c r="G7" s="21" t="str">
        <f t="shared" si="0"/>
        <v>1976-77</v>
      </c>
      <c r="H7" s="21" t="str">
        <f t="shared" si="0"/>
        <v>1977-78</v>
      </c>
      <c r="I7" s="21" t="str">
        <f t="shared" si="0"/>
        <v>1978-79</v>
      </c>
      <c r="J7" s="21" t="str">
        <f t="shared" ref="J7:R7" si="1">LEFT(K7,4)-1&amp;"-"&amp;RIGHT(K7,2)-1</f>
        <v>1979-80</v>
      </c>
      <c r="K7" s="21" t="str">
        <f t="shared" si="1"/>
        <v>1980-81</v>
      </c>
      <c r="L7" s="21" t="str">
        <f t="shared" si="1"/>
        <v>1981-82</v>
      </c>
      <c r="M7" s="21" t="str">
        <f t="shared" si="1"/>
        <v>1982-83</v>
      </c>
      <c r="N7" s="21" t="str">
        <f t="shared" si="1"/>
        <v>1983-84</v>
      </c>
      <c r="O7" s="2" t="str">
        <f t="shared" si="1"/>
        <v>1984-85</v>
      </c>
      <c r="P7" s="2" t="str">
        <f t="shared" si="1"/>
        <v>1985-86</v>
      </c>
      <c r="Q7" s="2" t="str">
        <f t="shared" si="1"/>
        <v>1986-87</v>
      </c>
      <c r="R7" s="2" t="str">
        <f t="shared" si="1"/>
        <v>1987-88</v>
      </c>
      <c r="S7" s="20" t="s">
        <v>40</v>
      </c>
      <c r="T7"/>
      <c r="U7"/>
      <c r="V7"/>
      <c r="W7"/>
      <c r="X7"/>
      <c r="Y7"/>
      <c r="Z7"/>
      <c r="AA7"/>
      <c r="AB7"/>
      <c r="AC7"/>
    </row>
    <row r="8" spans="1:29">
      <c r="B8" s="4"/>
      <c r="C8" s="4"/>
      <c r="D8" s="4"/>
      <c r="E8" s="4"/>
      <c r="F8" s="4"/>
      <c r="G8" s="4"/>
      <c r="H8" s="4"/>
      <c r="I8" s="4"/>
      <c r="J8" s="4"/>
      <c r="K8" s="4"/>
      <c r="L8" s="4"/>
      <c r="M8" s="4"/>
      <c r="N8" s="4"/>
      <c r="T8"/>
      <c r="U8"/>
      <c r="V8"/>
      <c r="W8"/>
      <c r="X8"/>
      <c r="Y8"/>
      <c r="Z8"/>
      <c r="AA8"/>
      <c r="AB8"/>
      <c r="AC8"/>
    </row>
    <row r="9" spans="1:29">
      <c r="A9" s="1" t="s">
        <v>37</v>
      </c>
      <c r="B9" s="22">
        <v>30122</v>
      </c>
      <c r="C9" s="22">
        <v>31080</v>
      </c>
      <c r="D9" s="22">
        <v>31051</v>
      </c>
      <c r="E9" s="22">
        <v>30618</v>
      </c>
      <c r="F9" s="22">
        <v>31092</v>
      </c>
      <c r="G9" s="22">
        <v>30982</v>
      </c>
      <c r="H9" s="22">
        <v>31754</v>
      </c>
      <c r="I9" s="22">
        <v>31398</v>
      </c>
      <c r="J9" s="22">
        <v>31680</v>
      </c>
      <c r="K9" s="22">
        <v>31577</v>
      </c>
      <c r="L9" s="22">
        <v>30192</v>
      </c>
      <c r="M9" s="22">
        <v>29764</v>
      </c>
      <c r="N9" s="22">
        <v>29674</v>
      </c>
      <c r="O9" s="3">
        <v>29780</v>
      </c>
      <c r="P9" s="3">
        <v>29570</v>
      </c>
      <c r="Q9" s="3">
        <v>29475</v>
      </c>
      <c r="R9" s="3">
        <v>29493</v>
      </c>
      <c r="S9" s="3">
        <v>29679</v>
      </c>
      <c r="T9"/>
      <c r="U9"/>
      <c r="V9"/>
      <c r="W9"/>
      <c r="X9"/>
      <c r="Y9"/>
      <c r="Z9"/>
      <c r="AA9"/>
      <c r="AB9"/>
      <c r="AC9"/>
    </row>
    <row r="10" spans="1:29">
      <c r="A10" s="1" t="s">
        <v>38</v>
      </c>
      <c r="B10" s="22">
        <v>14075</v>
      </c>
      <c r="C10" s="22">
        <v>14378</v>
      </c>
      <c r="D10" s="22">
        <v>14532</v>
      </c>
      <c r="E10" s="22">
        <v>15351</v>
      </c>
      <c r="F10" s="22">
        <v>16014</v>
      </c>
      <c r="G10" s="22">
        <v>16467</v>
      </c>
      <c r="H10" s="22">
        <v>16338</v>
      </c>
      <c r="I10" s="22">
        <v>16150</v>
      </c>
      <c r="J10" s="22">
        <v>16670</v>
      </c>
      <c r="K10" s="22">
        <v>17266</v>
      </c>
      <c r="L10" s="22">
        <v>16682</v>
      </c>
      <c r="M10" s="22">
        <v>16382</v>
      </c>
      <c r="N10" s="22">
        <v>16035</v>
      </c>
      <c r="O10" s="3">
        <v>15951</v>
      </c>
      <c r="P10" s="3">
        <v>16075</v>
      </c>
      <c r="Q10" s="3">
        <v>15829</v>
      </c>
      <c r="R10" s="3">
        <v>16035</v>
      </c>
      <c r="S10" s="3">
        <v>16026</v>
      </c>
      <c r="T10"/>
      <c r="U10"/>
      <c r="V10"/>
      <c r="W10"/>
      <c r="X10"/>
      <c r="Y10"/>
      <c r="Z10"/>
      <c r="AA10"/>
      <c r="AB10"/>
      <c r="AC10"/>
    </row>
    <row r="11" spans="1:29">
      <c r="A11" s="1" t="s">
        <v>4</v>
      </c>
      <c r="B11" s="22">
        <v>6350</v>
      </c>
      <c r="C11" s="22">
        <v>6340</v>
      </c>
      <c r="D11" s="22">
        <v>5996</v>
      </c>
      <c r="E11" s="22">
        <v>6204</v>
      </c>
      <c r="F11" s="22">
        <v>6435</v>
      </c>
      <c r="G11" s="22">
        <v>6322</v>
      </c>
      <c r="H11" s="22">
        <v>6280</v>
      </c>
      <c r="I11" s="22">
        <v>6307</v>
      </c>
      <c r="J11" s="22">
        <v>6756</v>
      </c>
      <c r="K11" s="22">
        <v>7212</v>
      </c>
      <c r="L11" s="22">
        <v>7085</v>
      </c>
      <c r="M11" s="22">
        <v>7126</v>
      </c>
      <c r="N11" s="22">
        <v>7220</v>
      </c>
      <c r="O11" s="3">
        <v>7144</v>
      </c>
      <c r="P11" s="3">
        <v>6871</v>
      </c>
      <c r="Q11" s="3">
        <v>6809</v>
      </c>
      <c r="R11" s="3">
        <v>6872</v>
      </c>
      <c r="S11" s="3">
        <v>6924</v>
      </c>
      <c r="T11"/>
      <c r="U11"/>
      <c r="V11"/>
      <c r="W11"/>
      <c r="X11"/>
      <c r="Y11"/>
      <c r="Z11"/>
      <c r="AA11"/>
      <c r="AB11"/>
      <c r="AC11"/>
    </row>
    <row r="12" spans="1:29">
      <c r="A12" s="1" t="s">
        <v>5</v>
      </c>
      <c r="B12" s="22">
        <v>7196</v>
      </c>
      <c r="C12" s="22">
        <v>6483</v>
      </c>
      <c r="D12" s="22">
        <v>6146</v>
      </c>
      <c r="E12" s="22">
        <v>6175</v>
      </c>
      <c r="F12" s="22">
        <v>6239</v>
      </c>
      <c r="G12" s="22">
        <v>5928</v>
      </c>
      <c r="H12" s="22">
        <v>5842</v>
      </c>
      <c r="I12" s="22">
        <v>5711</v>
      </c>
      <c r="J12" s="22">
        <v>5895</v>
      </c>
      <c r="K12" s="22">
        <v>5987</v>
      </c>
      <c r="L12" s="22">
        <v>5995</v>
      </c>
      <c r="M12" s="22">
        <v>5949</v>
      </c>
      <c r="N12" s="22">
        <v>6067</v>
      </c>
      <c r="O12" s="3">
        <v>6003</v>
      </c>
      <c r="P12" s="3">
        <v>5916</v>
      </c>
      <c r="Q12" s="3">
        <v>6040</v>
      </c>
      <c r="R12" s="3">
        <v>6015</v>
      </c>
      <c r="S12" s="3">
        <v>6018</v>
      </c>
      <c r="T12"/>
      <c r="U12"/>
      <c r="V12"/>
      <c r="W12"/>
      <c r="X12"/>
      <c r="Y12"/>
      <c r="Z12"/>
      <c r="AA12"/>
      <c r="AB12"/>
      <c r="AC12"/>
    </row>
    <row r="13" spans="1:29">
      <c r="A13" s="1" t="s">
        <v>6</v>
      </c>
      <c r="B13" s="22">
        <v>1055</v>
      </c>
      <c r="C13" s="22">
        <v>1886</v>
      </c>
      <c r="D13" s="22">
        <v>2206</v>
      </c>
      <c r="E13" s="22">
        <v>2343</v>
      </c>
      <c r="F13" s="22">
        <v>2383</v>
      </c>
      <c r="G13" s="22">
        <v>2399</v>
      </c>
      <c r="H13" s="22">
        <v>2303</v>
      </c>
      <c r="I13" s="22">
        <v>2034</v>
      </c>
      <c r="J13" s="22">
        <v>2175</v>
      </c>
      <c r="K13" s="22">
        <v>2388</v>
      </c>
      <c r="L13" s="22">
        <v>2432</v>
      </c>
      <c r="M13" s="22">
        <v>2267</v>
      </c>
      <c r="N13" s="22">
        <v>2365</v>
      </c>
      <c r="O13" s="3">
        <v>2426</v>
      </c>
      <c r="P13" s="3">
        <v>2582</v>
      </c>
      <c r="Q13" s="3">
        <v>2628</v>
      </c>
      <c r="R13" s="3">
        <v>2790</v>
      </c>
      <c r="S13" s="3">
        <v>3018</v>
      </c>
      <c r="T13"/>
      <c r="U13"/>
      <c r="V13"/>
      <c r="W13"/>
      <c r="X13"/>
      <c r="Y13"/>
      <c r="Z13"/>
      <c r="AA13"/>
      <c r="AB13"/>
      <c r="AC13"/>
    </row>
    <row r="14" spans="1:29">
      <c r="A14" s="1" t="s">
        <v>7</v>
      </c>
      <c r="B14" s="22">
        <v>9460</v>
      </c>
      <c r="C14" s="22">
        <v>8310</v>
      </c>
      <c r="D14" s="22">
        <v>7720</v>
      </c>
      <c r="E14" s="22">
        <v>7974</v>
      </c>
      <c r="F14" s="22">
        <v>8431</v>
      </c>
      <c r="G14" s="22">
        <v>8377</v>
      </c>
      <c r="H14" s="22">
        <v>8567</v>
      </c>
      <c r="I14" s="22">
        <v>8919</v>
      </c>
      <c r="J14" s="22">
        <v>9192</v>
      </c>
      <c r="K14" s="22">
        <v>9597</v>
      </c>
      <c r="L14" s="22">
        <v>9383</v>
      </c>
      <c r="M14" s="22">
        <v>8524</v>
      </c>
      <c r="N14" s="22">
        <v>8605</v>
      </c>
      <c r="O14" s="3">
        <v>8266</v>
      </c>
      <c r="P14" s="3">
        <v>8297</v>
      </c>
      <c r="Q14" s="3">
        <v>8410</v>
      </c>
      <c r="R14" s="3">
        <v>8357</v>
      </c>
      <c r="S14" s="3">
        <v>8650</v>
      </c>
      <c r="T14"/>
      <c r="U14"/>
      <c r="V14"/>
      <c r="W14"/>
      <c r="X14"/>
      <c r="Y14"/>
      <c r="Z14"/>
      <c r="AA14"/>
      <c r="AB14"/>
      <c r="AC14"/>
    </row>
    <row r="15" spans="1:29">
      <c r="A15" s="1" t="s">
        <v>29</v>
      </c>
      <c r="B15" s="22"/>
      <c r="C15" s="22"/>
      <c r="D15" s="22"/>
      <c r="E15" s="22"/>
      <c r="F15" s="22"/>
      <c r="G15" s="22"/>
      <c r="H15" s="22"/>
      <c r="I15" s="22"/>
      <c r="J15" s="22"/>
      <c r="K15" s="22"/>
      <c r="L15" s="22"/>
      <c r="M15" s="22"/>
      <c r="N15" s="22"/>
      <c r="O15" s="3"/>
      <c r="P15" s="3">
        <v>384</v>
      </c>
      <c r="Q15" s="3">
        <v>230</v>
      </c>
      <c r="R15" s="3">
        <v>385</v>
      </c>
      <c r="S15" s="3">
        <v>381</v>
      </c>
      <c r="T15"/>
      <c r="U15"/>
      <c r="V15"/>
      <c r="W15"/>
      <c r="X15"/>
      <c r="Y15"/>
      <c r="Z15"/>
      <c r="AA15"/>
      <c r="AB15"/>
      <c r="AC15"/>
    </row>
    <row r="16" spans="1:29">
      <c r="A16" s="1" t="s">
        <v>146</v>
      </c>
      <c r="B16" s="43">
        <f>SUM(B9:B15)</f>
        <v>68258</v>
      </c>
      <c r="C16" s="43">
        <f t="shared" ref="C16:S16" si="2">SUM(C9:C15)</f>
        <v>68477</v>
      </c>
      <c r="D16" s="43">
        <f t="shared" si="2"/>
        <v>67651</v>
      </c>
      <c r="E16" s="43">
        <f t="shared" si="2"/>
        <v>68665</v>
      </c>
      <c r="F16" s="43">
        <f t="shared" si="2"/>
        <v>70594</v>
      </c>
      <c r="G16" s="43">
        <f t="shared" si="2"/>
        <v>70475</v>
      </c>
      <c r="H16" s="43">
        <f t="shared" si="2"/>
        <v>71084</v>
      </c>
      <c r="I16" s="43">
        <f t="shared" si="2"/>
        <v>70519</v>
      </c>
      <c r="J16" s="43">
        <f t="shared" si="2"/>
        <v>72368</v>
      </c>
      <c r="K16" s="43">
        <f t="shared" si="2"/>
        <v>74027</v>
      </c>
      <c r="L16" s="43">
        <f t="shared" si="2"/>
        <v>71769</v>
      </c>
      <c r="M16" s="43">
        <f t="shared" si="2"/>
        <v>70012</v>
      </c>
      <c r="N16" s="43">
        <f t="shared" si="2"/>
        <v>69966</v>
      </c>
      <c r="O16" s="43">
        <f t="shared" si="2"/>
        <v>69570</v>
      </c>
      <c r="P16" s="43">
        <f t="shared" si="2"/>
        <v>69695</v>
      </c>
      <c r="Q16" s="43">
        <f t="shared" si="2"/>
        <v>69421</v>
      </c>
      <c r="R16" s="43">
        <f t="shared" si="2"/>
        <v>69947</v>
      </c>
      <c r="S16" s="43">
        <f t="shared" si="2"/>
        <v>70696</v>
      </c>
      <c r="T16"/>
      <c r="U16"/>
      <c r="V16"/>
      <c r="W16"/>
      <c r="X16"/>
      <c r="Y16"/>
      <c r="Z16"/>
      <c r="AA16"/>
      <c r="AB16"/>
      <c r="AC16"/>
    </row>
    <row r="17" spans="1:29">
      <c r="B17" s="22"/>
      <c r="C17" s="22"/>
      <c r="D17" s="22"/>
      <c r="E17" s="22"/>
      <c r="F17" s="22"/>
      <c r="G17" s="22"/>
      <c r="H17" s="22"/>
      <c r="I17" s="22"/>
      <c r="J17" s="22"/>
      <c r="K17" s="22"/>
      <c r="L17" s="22"/>
      <c r="M17" s="22"/>
      <c r="N17" s="22"/>
      <c r="O17" s="3"/>
      <c r="P17" s="3"/>
      <c r="Q17" s="3"/>
      <c r="R17" s="3"/>
      <c r="S17" s="3"/>
      <c r="T17"/>
      <c r="U17"/>
      <c r="V17"/>
      <c r="W17"/>
      <c r="X17"/>
      <c r="Y17"/>
      <c r="Z17"/>
      <c r="AA17"/>
      <c r="AB17"/>
      <c r="AC17"/>
    </row>
    <row r="18" spans="1:29">
      <c r="A18" s="1" t="s">
        <v>8</v>
      </c>
      <c r="B18" s="22">
        <v>66175</v>
      </c>
      <c r="C18" s="22">
        <v>69873</v>
      </c>
      <c r="D18" s="22">
        <v>74057</v>
      </c>
      <c r="E18" s="22">
        <v>81417</v>
      </c>
      <c r="F18" s="22">
        <v>86772</v>
      </c>
      <c r="G18" s="22">
        <v>83291</v>
      </c>
      <c r="H18" s="22">
        <v>85666</v>
      </c>
      <c r="I18" s="22">
        <v>88193</v>
      </c>
      <c r="J18" s="22">
        <v>97848</v>
      </c>
      <c r="K18" s="22">
        <v>100357</v>
      </c>
      <c r="L18" s="22">
        <v>86101</v>
      </c>
      <c r="M18" s="22">
        <v>82110</v>
      </c>
      <c r="N18" s="22">
        <v>82317</v>
      </c>
      <c r="O18" s="3">
        <v>83225</v>
      </c>
      <c r="P18" s="3">
        <v>95231</v>
      </c>
      <c r="Q18" s="3">
        <v>96256</v>
      </c>
      <c r="R18" s="3">
        <v>96329</v>
      </c>
      <c r="S18" s="3">
        <v>97206</v>
      </c>
      <c r="T18"/>
      <c r="U18"/>
      <c r="V18"/>
      <c r="W18"/>
      <c r="X18"/>
      <c r="Y18"/>
      <c r="Z18"/>
      <c r="AA18"/>
      <c r="AB18"/>
      <c r="AC18"/>
    </row>
    <row r="19" spans="1:29">
      <c r="B19" s="22"/>
      <c r="C19" s="22"/>
      <c r="D19" s="22"/>
      <c r="E19" s="22"/>
      <c r="F19" s="22"/>
      <c r="G19" s="22"/>
      <c r="H19" s="22"/>
      <c r="I19" s="22"/>
      <c r="J19" s="22"/>
      <c r="K19" s="22"/>
      <c r="L19" s="22"/>
      <c r="M19" s="22"/>
      <c r="N19" s="22"/>
      <c r="O19" s="3"/>
      <c r="P19" s="3"/>
      <c r="Q19" s="3"/>
      <c r="R19" s="3"/>
      <c r="S19" s="3"/>
      <c r="T19"/>
      <c r="U19"/>
      <c r="V19"/>
      <c r="W19"/>
      <c r="X19"/>
      <c r="Y19"/>
      <c r="Z19"/>
      <c r="AA19"/>
      <c r="AB19"/>
      <c r="AC19"/>
    </row>
    <row r="20" spans="1:29">
      <c r="A20" s="1" t="s">
        <v>9</v>
      </c>
      <c r="B20" s="22">
        <f>+B18+B16</f>
        <v>134433</v>
      </c>
      <c r="C20" s="22">
        <f>+C18+C16</f>
        <v>138350</v>
      </c>
      <c r="D20" s="22">
        <f t="shared" ref="D20:S20" si="3">+D18+D16</f>
        <v>141708</v>
      </c>
      <c r="E20" s="22">
        <f t="shared" si="3"/>
        <v>150082</v>
      </c>
      <c r="F20" s="22">
        <f t="shared" si="3"/>
        <v>157366</v>
      </c>
      <c r="G20" s="22">
        <f t="shared" si="3"/>
        <v>153766</v>
      </c>
      <c r="H20" s="22">
        <f t="shared" si="3"/>
        <v>156750</v>
      </c>
      <c r="I20" s="22">
        <f t="shared" si="3"/>
        <v>158712</v>
      </c>
      <c r="J20" s="22">
        <f t="shared" si="3"/>
        <v>170216</v>
      </c>
      <c r="K20" s="22">
        <f t="shared" si="3"/>
        <v>174384</v>
      </c>
      <c r="L20" s="22">
        <f t="shared" si="3"/>
        <v>157870</v>
      </c>
      <c r="M20" s="22">
        <f t="shared" si="3"/>
        <v>152122</v>
      </c>
      <c r="N20" s="22">
        <f t="shared" si="3"/>
        <v>152283</v>
      </c>
      <c r="O20" s="3">
        <f t="shared" si="3"/>
        <v>152795</v>
      </c>
      <c r="P20" s="3">
        <f t="shared" si="3"/>
        <v>164926</v>
      </c>
      <c r="Q20" s="3">
        <f t="shared" si="3"/>
        <v>165677</v>
      </c>
      <c r="R20" s="3">
        <f t="shared" si="3"/>
        <v>166276</v>
      </c>
      <c r="S20" s="3">
        <f t="shared" si="3"/>
        <v>167902</v>
      </c>
      <c r="T20"/>
      <c r="U20"/>
      <c r="V20"/>
      <c r="W20"/>
      <c r="X20"/>
      <c r="Y20"/>
      <c r="Z20"/>
      <c r="AA20"/>
      <c r="AB20"/>
      <c r="AC20"/>
    </row>
    <row r="21" spans="1:29">
      <c r="A21" s="1" t="s">
        <v>12</v>
      </c>
      <c r="B21" s="4"/>
      <c r="C21" s="22">
        <f>+C20+B20</f>
        <v>272783</v>
      </c>
      <c r="D21" s="4"/>
      <c r="E21" s="22">
        <f>+E20+D20</f>
        <v>291790</v>
      </c>
      <c r="F21" s="4"/>
      <c r="G21" s="22">
        <f>+G20+F20</f>
        <v>311132</v>
      </c>
      <c r="H21" s="4"/>
      <c r="I21" s="22">
        <f>+I20+H20</f>
        <v>315462</v>
      </c>
      <c r="J21" s="4"/>
      <c r="K21" s="22">
        <f>+K20+J20</f>
        <v>344600</v>
      </c>
      <c r="L21" s="4"/>
      <c r="M21" s="22">
        <f>+M20+L20</f>
        <v>309992</v>
      </c>
      <c r="N21" s="4"/>
      <c r="O21" s="3">
        <f>+O20+N20</f>
        <v>305078</v>
      </c>
      <c r="Q21" s="3">
        <f>+Q20+P20</f>
        <v>330603</v>
      </c>
      <c r="S21" s="3">
        <f>+S20+R20</f>
        <v>334178</v>
      </c>
      <c r="T21"/>
      <c r="U21"/>
      <c r="V21"/>
      <c r="W21"/>
      <c r="X21"/>
      <c r="Y21"/>
      <c r="Z21"/>
      <c r="AA21"/>
      <c r="AB21"/>
      <c r="AC21"/>
    </row>
    <row r="22" spans="1:29">
      <c r="T22"/>
      <c r="U22"/>
      <c r="V22"/>
      <c r="W22"/>
      <c r="X22"/>
      <c r="Y22"/>
      <c r="Z22"/>
      <c r="AA22"/>
      <c r="AB22"/>
      <c r="AC22"/>
    </row>
    <row r="23" spans="1:29">
      <c r="A23"/>
      <c r="B23"/>
      <c r="C23"/>
      <c r="D23"/>
      <c r="E23"/>
      <c r="F23"/>
      <c r="G23"/>
      <c r="H23"/>
      <c r="I23"/>
      <c r="J23"/>
      <c r="K23"/>
      <c r="L23"/>
      <c r="M23"/>
      <c r="N23"/>
      <c r="O23"/>
      <c r="P23" s="3"/>
      <c r="Q23" s="3"/>
      <c r="R23" s="3"/>
      <c r="S23" s="3"/>
      <c r="T23"/>
      <c r="U23"/>
      <c r="V23"/>
      <c r="W23"/>
      <c r="X23"/>
      <c r="Y23"/>
      <c r="Z23"/>
      <c r="AA23"/>
      <c r="AB23"/>
      <c r="AC23"/>
    </row>
    <row r="24" spans="1:29" ht="15.75">
      <c r="A24" s="18" t="s">
        <v>67</v>
      </c>
      <c r="B24"/>
      <c r="C24"/>
      <c r="D24"/>
      <c r="E24"/>
      <c r="F24"/>
      <c r="G24"/>
      <c r="H24"/>
      <c r="I24"/>
      <c r="J24"/>
      <c r="K24"/>
      <c r="L24"/>
      <c r="M24"/>
      <c r="N24"/>
      <c r="O24"/>
      <c r="P24"/>
      <c r="Q24"/>
      <c r="R24"/>
      <c r="S24"/>
      <c r="T24"/>
      <c r="U24"/>
      <c r="V24"/>
      <c r="W24"/>
      <c r="X24"/>
      <c r="Y24"/>
      <c r="Z24"/>
      <c r="AA24"/>
      <c r="AB24"/>
      <c r="AC24"/>
    </row>
    <row r="25" spans="1:29" ht="16.5">
      <c r="A25" s="19"/>
      <c r="B25"/>
      <c r="C25"/>
      <c r="D25"/>
      <c r="E25"/>
      <c r="F25"/>
      <c r="G25"/>
      <c r="H25"/>
      <c r="I25"/>
      <c r="J25"/>
      <c r="K25"/>
      <c r="L25"/>
      <c r="M25"/>
      <c r="N25"/>
      <c r="O25"/>
      <c r="P25"/>
      <c r="Q25"/>
      <c r="R25"/>
      <c r="S25"/>
      <c r="T25"/>
      <c r="U25"/>
      <c r="V25"/>
      <c r="W25"/>
      <c r="X25"/>
      <c r="Y25"/>
      <c r="Z25"/>
      <c r="AA25"/>
      <c r="AB25"/>
      <c r="AC25"/>
    </row>
    <row r="26" spans="1:29" ht="16.5">
      <c r="A26" s="30" t="s">
        <v>107</v>
      </c>
      <c r="B26" s="31"/>
      <c r="C26" s="31"/>
      <c r="D26" s="31"/>
      <c r="E26" s="31"/>
      <c r="F26" s="31"/>
      <c r="G26" s="31"/>
      <c r="H26" s="31"/>
      <c r="I26" s="31"/>
      <c r="J26" s="31"/>
      <c r="K26" s="31"/>
      <c r="L26" s="31"/>
      <c r="M26" s="31"/>
      <c r="N26" s="31"/>
      <c r="O26" s="31"/>
      <c r="P26" s="31"/>
      <c r="Q26" s="31"/>
      <c r="R26" s="31"/>
      <c r="S26" s="31"/>
      <c r="T26"/>
      <c r="U26"/>
      <c r="V26"/>
      <c r="W26"/>
      <c r="X26"/>
      <c r="Y26"/>
      <c r="Z26"/>
      <c r="AA26"/>
      <c r="AB26"/>
      <c r="AC26"/>
    </row>
    <row r="27" spans="1:29">
      <c r="B27"/>
      <c r="C27"/>
      <c r="D27"/>
      <c r="E27"/>
      <c r="F27"/>
      <c r="G27"/>
      <c r="H27"/>
      <c r="I27"/>
      <c r="J27"/>
      <c r="K27"/>
      <c r="L27"/>
      <c r="M27"/>
      <c r="N27"/>
      <c r="O27"/>
      <c r="P27"/>
      <c r="Q27"/>
      <c r="R27"/>
      <c r="S27"/>
      <c r="T27"/>
      <c r="U27"/>
      <c r="V27"/>
      <c r="W27"/>
      <c r="X27"/>
      <c r="Y27"/>
      <c r="Z27"/>
      <c r="AA27"/>
      <c r="AB27"/>
      <c r="AC27"/>
    </row>
    <row r="28" spans="1:29">
      <c r="A28" s="1" t="s">
        <v>110</v>
      </c>
      <c r="B28"/>
      <c r="C28"/>
      <c r="D28"/>
      <c r="E28"/>
      <c r="F28"/>
      <c r="G28"/>
      <c r="H28" s="3">
        <f>SUM(H29:H32)</f>
        <v>31754</v>
      </c>
      <c r="I28" s="3">
        <f t="shared" ref="I28:S28" si="4">SUM(I29:I32)</f>
        <v>31396</v>
      </c>
      <c r="J28" s="3">
        <f t="shared" si="4"/>
        <v>31737</v>
      </c>
      <c r="K28" s="3">
        <f t="shared" si="4"/>
        <v>31640</v>
      </c>
      <c r="L28" s="3">
        <f t="shared" si="4"/>
        <v>30190</v>
      </c>
      <c r="M28" s="3">
        <f t="shared" si="4"/>
        <v>29764</v>
      </c>
      <c r="N28" s="3">
        <f t="shared" si="4"/>
        <v>29673</v>
      </c>
      <c r="O28" s="3">
        <f t="shared" si="4"/>
        <v>29780</v>
      </c>
      <c r="P28" s="3">
        <f t="shared" si="4"/>
        <v>29570</v>
      </c>
      <c r="Q28" s="3">
        <f t="shared" si="4"/>
        <v>29475</v>
      </c>
      <c r="R28" s="3">
        <f t="shared" si="4"/>
        <v>29493</v>
      </c>
      <c r="S28" s="3">
        <f t="shared" si="4"/>
        <v>29679</v>
      </c>
      <c r="T28" s="3"/>
      <c r="U28" s="3"/>
      <c r="V28" s="3"/>
      <c r="W28" s="3"/>
      <c r="X28" s="3"/>
      <c r="Y28" s="3"/>
      <c r="Z28" s="3"/>
      <c r="AA28" s="3"/>
      <c r="AB28" s="3"/>
      <c r="AC28" s="3"/>
    </row>
    <row r="29" spans="1:29">
      <c r="A29" t="str">
        <f>+BudgetedFTEHistory!A2</f>
        <v>UW Seattle *1</v>
      </c>
      <c r="C29"/>
      <c r="E29"/>
      <c r="F29"/>
      <c r="G29"/>
      <c r="H29" s="3">
        <f>+BudgetedFTEHistory!D2</f>
        <v>31754</v>
      </c>
      <c r="I29" s="3">
        <f>+BudgetedFTEHistory!E2</f>
        <v>31396</v>
      </c>
      <c r="J29" s="3">
        <f>+BudgetedFTEHistory!F2</f>
        <v>31737</v>
      </c>
      <c r="K29" s="3">
        <f>+BudgetedFTEHistory!G2</f>
        <v>31640</v>
      </c>
      <c r="L29" s="3">
        <f>+BudgetedFTEHistory!H2</f>
        <v>30190</v>
      </c>
      <c r="M29" s="3">
        <f>+BudgetedFTEHistory!I2</f>
        <v>29764</v>
      </c>
      <c r="N29" s="3">
        <f>+BudgetedFTEHistory!J2</f>
        <v>29673</v>
      </c>
      <c r="O29" s="3">
        <f>+BudgetedFTEHistory!K2</f>
        <v>29780</v>
      </c>
      <c r="P29" s="3">
        <f>+BudgetedFTEHistory!L2</f>
        <v>29570</v>
      </c>
      <c r="Q29" s="3">
        <f>+BudgetedFTEHistory!M2</f>
        <v>29475</v>
      </c>
      <c r="R29" s="3">
        <f>+BudgetedFTEHistory!N2</f>
        <v>29493</v>
      </c>
      <c r="S29" s="3">
        <f>+BudgetedFTEHistory!O2</f>
        <v>29679</v>
      </c>
      <c r="T29" s="3"/>
      <c r="U29" s="3"/>
      <c r="V29" s="3"/>
      <c r="W29" s="3"/>
      <c r="X29" s="3"/>
      <c r="Y29" s="3"/>
      <c r="Z29" s="3"/>
      <c r="AA29" s="3"/>
      <c r="AB29" s="3"/>
      <c r="AC29" s="3"/>
    </row>
    <row r="30" spans="1:29">
      <c r="A30" t="str">
        <f>+BudgetedFTEHistory!A6</f>
        <v>UW Evening Degree Program *1</v>
      </c>
      <c r="C30"/>
      <c r="E30"/>
      <c r="F30"/>
      <c r="G30"/>
      <c r="H30" s="3">
        <f>+BudgetedFTEHistory!D6</f>
        <v>0</v>
      </c>
      <c r="I30" s="3">
        <f>+BudgetedFTEHistory!E6</f>
        <v>0</v>
      </c>
      <c r="J30" s="3">
        <f>+BudgetedFTEHistory!F6</f>
        <v>0</v>
      </c>
      <c r="K30" s="3">
        <f>+BudgetedFTEHistory!G6</f>
        <v>0</v>
      </c>
      <c r="L30" s="3">
        <f>+BudgetedFTEHistory!H6</f>
        <v>0</v>
      </c>
      <c r="M30" s="3">
        <f>+BudgetedFTEHistory!I6</f>
        <v>0</v>
      </c>
      <c r="N30" s="3">
        <f>+BudgetedFTEHistory!J6</f>
        <v>0</v>
      </c>
      <c r="O30" s="3">
        <f>+BudgetedFTEHistory!K6</f>
        <v>0</v>
      </c>
      <c r="P30" s="3">
        <f>+BudgetedFTEHistory!L6</f>
        <v>0</v>
      </c>
      <c r="Q30" s="3">
        <f>+BudgetedFTEHistory!M6</f>
        <v>0</v>
      </c>
      <c r="R30" s="3">
        <f>+BudgetedFTEHistory!N6</f>
        <v>0</v>
      </c>
      <c r="S30" s="3">
        <f>+BudgetedFTEHistory!O6</f>
        <v>0</v>
      </c>
      <c r="T30" s="3"/>
      <c r="U30" s="3"/>
      <c r="V30" s="3"/>
      <c r="W30" s="3"/>
      <c r="X30" s="3"/>
      <c r="Y30" s="3"/>
      <c r="Z30" s="3"/>
      <c r="AA30" s="3"/>
      <c r="AB30" s="3"/>
      <c r="AC30" s="3"/>
    </row>
    <row r="31" spans="1:29">
      <c r="A31" t="str">
        <f>+BudgetedFTEHistory!A9</f>
        <v>UW Bothell *1</v>
      </c>
      <c r="C31"/>
      <c r="E31"/>
      <c r="F31"/>
      <c r="G31"/>
      <c r="H31" s="3">
        <f>+BudgetedFTEHistory!D9</f>
        <v>0</v>
      </c>
      <c r="I31" s="3">
        <f>+BudgetedFTEHistory!E9</f>
        <v>0</v>
      </c>
      <c r="J31" s="3">
        <f>+BudgetedFTEHistory!F9</f>
        <v>0</v>
      </c>
      <c r="K31" s="3">
        <f>+BudgetedFTEHistory!G9</f>
        <v>0</v>
      </c>
      <c r="L31" s="3">
        <f>+BudgetedFTEHistory!H9</f>
        <v>0</v>
      </c>
      <c r="M31" s="3">
        <f>+BudgetedFTEHistory!I9</f>
        <v>0</v>
      </c>
      <c r="N31" s="3">
        <f>+BudgetedFTEHistory!J9</f>
        <v>0</v>
      </c>
      <c r="O31" s="3">
        <f>+BudgetedFTEHistory!K9</f>
        <v>0</v>
      </c>
      <c r="P31" s="3">
        <f>+BudgetedFTEHistory!L9</f>
        <v>0</v>
      </c>
      <c r="Q31" s="3">
        <f>+BudgetedFTEHistory!M9</f>
        <v>0</v>
      </c>
      <c r="R31" s="3">
        <f>+BudgetedFTEHistory!N9</f>
        <v>0</v>
      </c>
      <c r="S31" s="3">
        <f>+BudgetedFTEHistory!O9</f>
        <v>0</v>
      </c>
      <c r="T31" s="3"/>
      <c r="U31" s="3"/>
      <c r="V31" s="3"/>
      <c r="W31" s="3"/>
      <c r="X31" s="3"/>
      <c r="Y31" s="3"/>
      <c r="Z31" s="3"/>
      <c r="AA31" s="3"/>
      <c r="AB31" s="3"/>
      <c r="AC31" s="3"/>
    </row>
    <row r="32" spans="1:29">
      <c r="A32" t="str">
        <f>+BudgetedFTEHistory!A12</f>
        <v>UW Tacoma *1</v>
      </c>
      <c r="C32"/>
      <c r="E32"/>
      <c r="F32"/>
      <c r="G32"/>
      <c r="H32" s="3">
        <f>+BudgetedFTEHistory!D12</f>
        <v>0</v>
      </c>
      <c r="I32" s="3">
        <f>+BudgetedFTEHistory!E12</f>
        <v>0</v>
      </c>
      <c r="J32" s="3">
        <f>+BudgetedFTEHistory!F12</f>
        <v>0</v>
      </c>
      <c r="K32" s="3">
        <f>+BudgetedFTEHistory!G12</f>
        <v>0</v>
      </c>
      <c r="L32" s="3">
        <f>+BudgetedFTEHistory!H12</f>
        <v>0</v>
      </c>
      <c r="M32" s="3">
        <f>+BudgetedFTEHistory!I12</f>
        <v>0</v>
      </c>
      <c r="N32" s="3">
        <f>+BudgetedFTEHistory!J12</f>
        <v>0</v>
      </c>
      <c r="O32" s="3">
        <f>+BudgetedFTEHistory!K12</f>
        <v>0</v>
      </c>
      <c r="P32" s="3">
        <f>+BudgetedFTEHistory!L12</f>
        <v>0</v>
      </c>
      <c r="Q32" s="3">
        <f>+BudgetedFTEHistory!M12</f>
        <v>0</v>
      </c>
      <c r="R32" s="3">
        <f>+BudgetedFTEHistory!N12</f>
        <v>0</v>
      </c>
      <c r="S32" s="3">
        <f>+BudgetedFTEHistory!O12</f>
        <v>0</v>
      </c>
      <c r="T32" s="3"/>
      <c r="U32" s="3"/>
      <c r="V32" s="3"/>
      <c r="W32" s="3"/>
      <c r="X32" s="3"/>
      <c r="Y32" s="3"/>
      <c r="Z32" s="3"/>
      <c r="AA32" s="3"/>
      <c r="AB32" s="3"/>
      <c r="AC32" s="3"/>
    </row>
    <row r="33" spans="1:29">
      <c r="A33" s="1" t="s">
        <v>111</v>
      </c>
      <c r="C33"/>
      <c r="E33"/>
      <c r="F33"/>
      <c r="G33"/>
      <c r="H33" s="3">
        <f>SUM(H34:H38)</f>
        <v>16338</v>
      </c>
      <c r="I33" s="3">
        <f t="shared" ref="I33:S33" si="5">SUM(I34:I38)</f>
        <v>16150</v>
      </c>
      <c r="J33" s="3">
        <f t="shared" si="5"/>
        <v>16670</v>
      </c>
      <c r="K33" s="3">
        <f t="shared" si="5"/>
        <v>17266</v>
      </c>
      <c r="L33" s="3">
        <f t="shared" si="5"/>
        <v>16682</v>
      </c>
      <c r="M33" s="3">
        <f t="shared" si="5"/>
        <v>16382</v>
      </c>
      <c r="N33" s="3">
        <f t="shared" si="5"/>
        <v>16035</v>
      </c>
      <c r="O33" s="3">
        <f t="shared" si="5"/>
        <v>15951</v>
      </c>
      <c r="P33" s="3">
        <f t="shared" si="5"/>
        <v>15691</v>
      </c>
      <c r="Q33" s="3">
        <f t="shared" si="5"/>
        <v>15599</v>
      </c>
      <c r="R33" s="3">
        <f t="shared" si="5"/>
        <v>15650</v>
      </c>
      <c r="S33" s="3">
        <f t="shared" si="5"/>
        <v>15644</v>
      </c>
      <c r="T33" s="3"/>
      <c r="U33" s="3"/>
      <c r="V33" s="3"/>
      <c r="W33" s="3"/>
      <c r="X33" s="3"/>
      <c r="Y33" s="3"/>
      <c r="Z33" s="3"/>
      <c r="AA33" s="3"/>
      <c r="AB33" s="3"/>
      <c r="AC33" s="3"/>
    </row>
    <row r="34" spans="1:29">
      <c r="A34" t="str">
        <f>+BudgetedFTEHistory!A15</f>
        <v>WSU Pullman *1</v>
      </c>
      <c r="C34"/>
      <c r="E34"/>
      <c r="F34"/>
      <c r="G34"/>
      <c r="H34" s="3">
        <f>+BudgetedFTEHistory!D15</f>
        <v>16338</v>
      </c>
      <c r="I34" s="3">
        <f>+BudgetedFTEHistory!E15</f>
        <v>16150</v>
      </c>
      <c r="J34" s="3">
        <f>+BudgetedFTEHistory!F15</f>
        <v>16670</v>
      </c>
      <c r="K34" s="3">
        <f>+BudgetedFTEHistory!G15</f>
        <v>17266</v>
      </c>
      <c r="L34" s="3">
        <f>+BudgetedFTEHistory!H15</f>
        <v>16682</v>
      </c>
      <c r="M34" s="3">
        <f>+BudgetedFTEHistory!I15</f>
        <v>16382</v>
      </c>
      <c r="N34" s="3">
        <f>+BudgetedFTEHistory!J15</f>
        <v>16035</v>
      </c>
      <c r="O34" s="3">
        <f>+BudgetedFTEHistory!K15</f>
        <v>15951</v>
      </c>
      <c r="P34" s="3">
        <f>+BudgetedFTEHistory!L15</f>
        <v>15691</v>
      </c>
      <c r="Q34" s="3">
        <f>+BudgetedFTEHistory!M15</f>
        <v>15599</v>
      </c>
      <c r="R34" s="3">
        <f>+BudgetedFTEHistory!N15</f>
        <v>15650</v>
      </c>
      <c r="S34" s="3">
        <f>+BudgetedFTEHistory!O15</f>
        <v>15644</v>
      </c>
      <c r="T34" s="3"/>
      <c r="U34" s="3"/>
      <c r="V34" s="3"/>
      <c r="W34" s="3"/>
      <c r="X34" s="3"/>
      <c r="Y34" s="3"/>
      <c r="Z34" s="3"/>
      <c r="AA34" s="3"/>
      <c r="AB34" s="3"/>
      <c r="AC34" s="3"/>
    </row>
    <row r="35" spans="1:29">
      <c r="A35" t="str">
        <f>+BudgetedFTEHistory!A18</f>
        <v>WSU Spokane *1</v>
      </c>
      <c r="C35"/>
      <c r="E35"/>
      <c r="F35"/>
      <c r="G35"/>
      <c r="H35" s="3">
        <f>+BudgetedFTEHistory!D18</f>
        <v>0</v>
      </c>
      <c r="I35" s="3">
        <f>+BudgetedFTEHistory!E18</f>
        <v>0</v>
      </c>
      <c r="J35" s="3">
        <f>+BudgetedFTEHistory!F18</f>
        <v>0</v>
      </c>
      <c r="K35" s="3">
        <f>+BudgetedFTEHistory!G18</f>
        <v>0</v>
      </c>
      <c r="L35" s="3">
        <f>+BudgetedFTEHistory!H18</f>
        <v>0</v>
      </c>
      <c r="M35" s="3">
        <f>+BudgetedFTEHistory!I18</f>
        <v>0</v>
      </c>
      <c r="N35" s="3">
        <f>+BudgetedFTEHistory!J18</f>
        <v>0</v>
      </c>
      <c r="O35" s="3">
        <f>+BudgetedFTEHistory!K18</f>
        <v>0</v>
      </c>
      <c r="P35" s="3">
        <f>+BudgetedFTEHistory!L18</f>
        <v>0</v>
      </c>
      <c r="Q35" s="3">
        <f>+BudgetedFTEHistory!M18</f>
        <v>0</v>
      </c>
      <c r="R35" s="3">
        <f>+BudgetedFTEHistory!N18</f>
        <v>0</v>
      </c>
      <c r="S35" s="3">
        <f>+BudgetedFTEHistory!O18</f>
        <v>0</v>
      </c>
      <c r="T35" s="3"/>
      <c r="U35" s="3"/>
      <c r="V35" s="3"/>
      <c r="W35" s="3"/>
      <c r="X35" s="3"/>
      <c r="Y35" s="3"/>
      <c r="Z35" s="3"/>
      <c r="AA35" s="3"/>
      <c r="AB35" s="3"/>
      <c r="AC35" s="3"/>
    </row>
    <row r="36" spans="1:29">
      <c r="A36" t="str">
        <f>+BudgetedFTEHistory!A21</f>
        <v>WSU TriCities *1</v>
      </c>
      <c r="C36"/>
      <c r="E36"/>
      <c r="F36"/>
      <c r="G36"/>
      <c r="H36" s="3">
        <f>+BudgetedFTEHistory!D21</f>
        <v>0</v>
      </c>
      <c r="I36" s="3">
        <f>+BudgetedFTEHistory!E21</f>
        <v>0</v>
      </c>
      <c r="J36" s="3">
        <f>+BudgetedFTEHistory!F21</f>
        <v>0</v>
      </c>
      <c r="K36" s="3">
        <f>+BudgetedFTEHistory!G21</f>
        <v>0</v>
      </c>
      <c r="L36" s="3">
        <f>+BudgetedFTEHistory!H21</f>
        <v>0</v>
      </c>
      <c r="M36" s="3">
        <f>+BudgetedFTEHistory!I21</f>
        <v>0</v>
      </c>
      <c r="N36" s="3">
        <f>+BudgetedFTEHistory!J21</f>
        <v>0</v>
      </c>
      <c r="O36" s="3">
        <f>+BudgetedFTEHistory!K21</f>
        <v>0</v>
      </c>
      <c r="P36" s="3">
        <f>+BudgetedFTEHistory!L21</f>
        <v>0</v>
      </c>
      <c r="Q36" s="3">
        <f>+BudgetedFTEHistory!M21</f>
        <v>0</v>
      </c>
      <c r="R36" s="3">
        <f>+BudgetedFTEHistory!N21</f>
        <v>0</v>
      </c>
      <c r="S36" s="3">
        <f>+BudgetedFTEHistory!O21</f>
        <v>0</v>
      </c>
      <c r="T36" s="3"/>
      <c r="U36" s="3"/>
      <c r="V36" s="3"/>
      <c r="W36" s="3"/>
      <c r="X36" s="3"/>
      <c r="Y36" s="3"/>
      <c r="Z36" s="3"/>
      <c r="AA36" s="3"/>
      <c r="AB36" s="3"/>
      <c r="AC36" s="3"/>
    </row>
    <row r="37" spans="1:29">
      <c r="A37" t="str">
        <f>+BudgetedFTEHistory!A24</f>
        <v>WSU Vancouver *1</v>
      </c>
      <c r="C37"/>
      <c r="E37"/>
      <c r="F37"/>
      <c r="G37"/>
      <c r="H37" s="3">
        <f>+BudgetedFTEHistory!D24</f>
        <v>0</v>
      </c>
      <c r="I37" s="3">
        <f>+BudgetedFTEHistory!E24</f>
        <v>0</v>
      </c>
      <c r="J37" s="3">
        <f>+BudgetedFTEHistory!F24</f>
        <v>0</v>
      </c>
      <c r="K37" s="3">
        <f>+BudgetedFTEHistory!G24</f>
        <v>0</v>
      </c>
      <c r="L37" s="3">
        <f>+BudgetedFTEHistory!H24</f>
        <v>0</v>
      </c>
      <c r="M37" s="3">
        <f>+BudgetedFTEHistory!I24</f>
        <v>0</v>
      </c>
      <c r="N37" s="3">
        <f>+BudgetedFTEHistory!J24</f>
        <v>0</v>
      </c>
      <c r="O37" s="3">
        <f>+BudgetedFTEHistory!K24</f>
        <v>0</v>
      </c>
      <c r="P37" s="3">
        <f>+BudgetedFTEHistory!L24</f>
        <v>0</v>
      </c>
      <c r="Q37" s="3">
        <f>+BudgetedFTEHistory!M24</f>
        <v>0</v>
      </c>
      <c r="R37" s="3">
        <f>+BudgetedFTEHistory!N24</f>
        <v>0</v>
      </c>
      <c r="S37" s="3">
        <f>+BudgetedFTEHistory!O24</f>
        <v>0</v>
      </c>
      <c r="T37" s="3"/>
      <c r="U37" s="3"/>
      <c r="V37" s="3"/>
      <c r="W37" s="3"/>
      <c r="X37" s="3"/>
      <c r="Y37" s="3"/>
      <c r="Z37" s="3"/>
      <c r="AA37" s="3"/>
      <c r="AB37" s="3"/>
      <c r="AC37" s="3"/>
    </row>
    <row r="38" spans="1:29">
      <c r="A38" t="str">
        <f>+BudgetedFTEHistory!A37</f>
        <v>WSU-Timber Worker Displacement Program *1</v>
      </c>
      <c r="C38"/>
      <c r="E38"/>
      <c r="F38"/>
      <c r="G38"/>
      <c r="H38" s="3">
        <f>+BudgetedFTEHistory!D37</f>
        <v>0</v>
      </c>
      <c r="I38" s="3">
        <f>+BudgetedFTEHistory!E37</f>
        <v>0</v>
      </c>
      <c r="J38" s="3">
        <f>+BudgetedFTEHistory!F37</f>
        <v>0</v>
      </c>
      <c r="K38" s="3">
        <f>+BudgetedFTEHistory!G37</f>
        <v>0</v>
      </c>
      <c r="L38" s="3">
        <f>+BudgetedFTEHistory!H37</f>
        <v>0</v>
      </c>
      <c r="M38" s="3">
        <f>+BudgetedFTEHistory!I37</f>
        <v>0</v>
      </c>
      <c r="N38" s="3">
        <f>+BudgetedFTEHistory!J37</f>
        <v>0</v>
      </c>
      <c r="O38" s="3">
        <f>+BudgetedFTEHistory!K37</f>
        <v>0</v>
      </c>
      <c r="P38" s="3">
        <f>+BudgetedFTEHistory!L37</f>
        <v>0</v>
      </c>
      <c r="Q38" s="3">
        <f>+BudgetedFTEHistory!M37</f>
        <v>0</v>
      </c>
      <c r="R38" s="3">
        <f>+BudgetedFTEHistory!N37</f>
        <v>0</v>
      </c>
      <c r="S38" s="3">
        <f>+BudgetedFTEHistory!O37</f>
        <v>0</v>
      </c>
      <c r="T38" s="3"/>
      <c r="U38" s="3"/>
      <c r="V38" s="3"/>
      <c r="W38" s="3"/>
      <c r="X38" s="3"/>
      <c r="Y38" s="3"/>
      <c r="Z38" s="3"/>
      <c r="AA38" s="3"/>
      <c r="AB38" s="3"/>
      <c r="AC38" s="3"/>
    </row>
    <row r="39" spans="1:29">
      <c r="A39" t="str">
        <f>+BudgetedFTEHistory!A29</f>
        <v>EWU</v>
      </c>
      <c r="C39"/>
      <c r="E39"/>
      <c r="F39"/>
      <c r="G39"/>
      <c r="H39" s="3">
        <f>+BudgetedFTEHistory!D29</f>
        <v>6280</v>
      </c>
      <c r="I39" s="3">
        <f>+BudgetedFTEHistory!E29</f>
        <v>6307</v>
      </c>
      <c r="J39" s="3">
        <f>+BudgetedFTEHistory!F29</f>
        <v>6756</v>
      </c>
      <c r="K39" s="3">
        <f>+BudgetedFTEHistory!G29</f>
        <v>7212</v>
      </c>
      <c r="L39" s="3">
        <f>+BudgetedFTEHistory!H29</f>
        <v>7085</v>
      </c>
      <c r="M39" s="3">
        <f>+BudgetedFTEHistory!I29</f>
        <v>7126</v>
      </c>
      <c r="N39" s="3">
        <f>+BudgetedFTEHistory!J29</f>
        <v>7220</v>
      </c>
      <c r="O39" s="3">
        <f>+BudgetedFTEHistory!K29</f>
        <v>7144</v>
      </c>
      <c r="P39" s="3">
        <f>+BudgetedFTEHistory!L29</f>
        <v>6871</v>
      </c>
      <c r="Q39" s="3">
        <f>+BudgetedFTEHistory!M29</f>
        <v>6809</v>
      </c>
      <c r="R39" s="3">
        <f>+BudgetedFTEHistory!N29</f>
        <v>6872</v>
      </c>
      <c r="S39" s="3">
        <f>+BudgetedFTEHistory!O29</f>
        <v>6924</v>
      </c>
      <c r="T39" s="3"/>
      <c r="U39" s="3"/>
      <c r="V39" s="3"/>
      <c r="W39" s="3"/>
      <c r="X39" s="3"/>
      <c r="Y39" s="3"/>
      <c r="Z39" s="3"/>
      <c r="AA39" s="3"/>
      <c r="AB39" s="3"/>
      <c r="AC39" s="3"/>
    </row>
    <row r="40" spans="1:29">
      <c r="A40" t="str">
        <f>+BudgetedFTEHistory!A27</f>
        <v>CWU</v>
      </c>
      <c r="C40"/>
      <c r="E40"/>
      <c r="F40"/>
      <c r="G40"/>
      <c r="H40" s="3">
        <f>+BudgetedFTEHistory!D27</f>
        <v>5842</v>
      </c>
      <c r="I40" s="3">
        <f>+BudgetedFTEHistory!E27</f>
        <v>5711</v>
      </c>
      <c r="J40" s="3">
        <f>+BudgetedFTEHistory!F27</f>
        <v>5895</v>
      </c>
      <c r="K40" s="3">
        <f>+BudgetedFTEHistory!G27</f>
        <v>5987</v>
      </c>
      <c r="L40" s="3">
        <f>+BudgetedFTEHistory!H27</f>
        <v>5995</v>
      </c>
      <c r="M40" s="3">
        <f>+BudgetedFTEHistory!I27</f>
        <v>5949</v>
      </c>
      <c r="N40" s="3">
        <f>+BudgetedFTEHistory!J27</f>
        <v>6067</v>
      </c>
      <c r="O40" s="3">
        <f>+BudgetedFTEHistory!K27</f>
        <v>6003</v>
      </c>
      <c r="P40" s="3">
        <f>+BudgetedFTEHistory!L27</f>
        <v>5916</v>
      </c>
      <c r="Q40" s="3">
        <f>+BudgetedFTEHistory!M27</f>
        <v>6040</v>
      </c>
      <c r="R40" s="3">
        <f>+BudgetedFTEHistory!N27</f>
        <v>6015</v>
      </c>
      <c r="S40" s="3">
        <f>+BudgetedFTEHistory!O27</f>
        <v>6018</v>
      </c>
      <c r="T40" s="3"/>
      <c r="U40" s="3"/>
      <c r="V40" s="3"/>
      <c r="W40" s="3"/>
      <c r="X40" s="3"/>
      <c r="Y40" s="3"/>
      <c r="Z40" s="3"/>
      <c r="AA40" s="3"/>
      <c r="AB40" s="3"/>
      <c r="AC40" s="3"/>
    </row>
    <row r="41" spans="1:29">
      <c r="A41" t="str">
        <f>+BudgetedFTEHistory!A32</f>
        <v>TESC</v>
      </c>
      <c r="C41"/>
      <c r="E41"/>
      <c r="F41"/>
      <c r="G41"/>
      <c r="H41" s="3">
        <f>+BudgetedFTEHistory!D32</f>
        <v>2303</v>
      </c>
      <c r="I41" s="3">
        <f>+BudgetedFTEHistory!E32</f>
        <v>2034</v>
      </c>
      <c r="J41" s="3">
        <f>+BudgetedFTEHistory!F32</f>
        <v>2175</v>
      </c>
      <c r="K41" s="3">
        <f>+BudgetedFTEHistory!G32</f>
        <v>2388</v>
      </c>
      <c r="L41" s="3">
        <f>+BudgetedFTEHistory!H32</f>
        <v>2432</v>
      </c>
      <c r="M41" s="3">
        <f>+BudgetedFTEHistory!I32</f>
        <v>2267</v>
      </c>
      <c r="N41" s="3">
        <f>+BudgetedFTEHistory!J32</f>
        <v>2365</v>
      </c>
      <c r="O41" s="3">
        <f>+BudgetedFTEHistory!K32</f>
        <v>2426</v>
      </c>
      <c r="P41" s="3">
        <f>+BudgetedFTEHistory!L32</f>
        <v>2582</v>
      </c>
      <c r="Q41" s="3">
        <f>+BudgetedFTEHistory!M32</f>
        <v>2628</v>
      </c>
      <c r="R41" s="3">
        <f>+BudgetedFTEHistory!N32</f>
        <v>2790</v>
      </c>
      <c r="S41" s="3">
        <f>+BudgetedFTEHistory!O32</f>
        <v>3018</v>
      </c>
      <c r="T41" s="3"/>
      <c r="U41" s="3"/>
      <c r="V41" s="3"/>
      <c r="W41" s="3"/>
      <c r="X41" s="3"/>
      <c r="Y41" s="3"/>
      <c r="Z41" s="3"/>
      <c r="AA41" s="3"/>
      <c r="AB41" s="3"/>
      <c r="AC41" s="3"/>
    </row>
    <row r="42" spans="1:29">
      <c r="A42" t="s">
        <v>113</v>
      </c>
      <c r="C42"/>
      <c r="E42"/>
      <c r="F42"/>
      <c r="G42"/>
      <c r="H42" s="3">
        <f>SUM(H43:H44)</f>
        <v>8567</v>
      </c>
      <c r="I42" s="3">
        <f t="shared" ref="I42:S42" si="6">SUM(I43:I44)</f>
        <v>8919</v>
      </c>
      <c r="J42" s="3">
        <f t="shared" si="6"/>
        <v>9192</v>
      </c>
      <c r="K42" s="3">
        <f t="shared" si="6"/>
        <v>9597</v>
      </c>
      <c r="L42" s="3">
        <f t="shared" si="6"/>
        <v>9383</v>
      </c>
      <c r="M42" s="3">
        <f t="shared" si="6"/>
        <v>8524</v>
      </c>
      <c r="N42" s="3">
        <f t="shared" si="6"/>
        <v>8605</v>
      </c>
      <c r="O42" s="3">
        <f t="shared" si="6"/>
        <v>8266</v>
      </c>
      <c r="P42" s="3">
        <f t="shared" si="6"/>
        <v>8297</v>
      </c>
      <c r="Q42" s="3">
        <f t="shared" si="6"/>
        <v>8410</v>
      </c>
      <c r="R42" s="3">
        <f t="shared" si="6"/>
        <v>8357</v>
      </c>
      <c r="S42" s="3">
        <f t="shared" si="6"/>
        <v>8650</v>
      </c>
      <c r="T42" s="3"/>
      <c r="U42" s="3"/>
      <c r="V42" s="3"/>
      <c r="W42" s="3"/>
      <c r="X42" s="3"/>
      <c r="Y42" s="3"/>
      <c r="Z42" s="3"/>
      <c r="AA42" s="3"/>
      <c r="AB42" s="3"/>
      <c r="AC42" s="3"/>
    </row>
    <row r="43" spans="1:29">
      <c r="A43" t="str">
        <f>+BudgetedFTEHistory!A35</f>
        <v>WWU</v>
      </c>
      <c r="C43"/>
      <c r="E43"/>
      <c r="F43"/>
      <c r="G43"/>
      <c r="H43" s="3">
        <f>+BudgetedFTEHistory!D35</f>
        <v>8567</v>
      </c>
      <c r="I43" s="3">
        <f>+BudgetedFTEHistory!E35</f>
        <v>8919</v>
      </c>
      <c r="J43" s="3">
        <f>+BudgetedFTEHistory!F35</f>
        <v>9192</v>
      </c>
      <c r="K43" s="3">
        <f>+BudgetedFTEHistory!G35</f>
        <v>9597</v>
      </c>
      <c r="L43" s="3">
        <f>+BudgetedFTEHistory!H35</f>
        <v>9383</v>
      </c>
      <c r="M43" s="3">
        <f>+BudgetedFTEHistory!I35</f>
        <v>8524</v>
      </c>
      <c r="N43" s="3">
        <f>+BudgetedFTEHistory!J35</f>
        <v>8605</v>
      </c>
      <c r="O43" s="3">
        <f>+BudgetedFTEHistory!K35</f>
        <v>8266</v>
      </c>
      <c r="P43" s="3">
        <f>+BudgetedFTEHistory!L35</f>
        <v>8297</v>
      </c>
      <c r="Q43" s="3">
        <f>+BudgetedFTEHistory!M35</f>
        <v>8410</v>
      </c>
      <c r="R43" s="3">
        <f>+BudgetedFTEHistory!N35</f>
        <v>8357</v>
      </c>
      <c r="S43" s="3">
        <f>+BudgetedFTEHistory!O35</f>
        <v>8650</v>
      </c>
      <c r="T43" s="3"/>
      <c r="U43" s="3"/>
      <c r="V43" s="3"/>
      <c r="W43" s="3"/>
      <c r="X43" s="3"/>
      <c r="Y43" s="3"/>
      <c r="Z43" s="3"/>
      <c r="AA43" s="3"/>
      <c r="AB43" s="3"/>
      <c r="AC43" s="3"/>
    </row>
    <row r="44" spans="1:29">
      <c r="A44" t="str">
        <f>+BudgetedFTEHistory!A41</f>
        <v>WWU-Timber Worker Displacement Program *1</v>
      </c>
      <c r="C44"/>
      <c r="E44"/>
      <c r="F44"/>
      <c r="G44"/>
      <c r="H44" s="3">
        <f>+BudgetedFTEHistory!D41</f>
        <v>0</v>
      </c>
      <c r="I44" s="3">
        <f>+BudgetedFTEHistory!E41</f>
        <v>0</v>
      </c>
      <c r="J44" s="3">
        <f>+BudgetedFTEHistory!F41</f>
        <v>0</v>
      </c>
      <c r="K44" s="3">
        <f>+BudgetedFTEHistory!G41</f>
        <v>0</v>
      </c>
      <c r="L44" s="3">
        <f>+BudgetedFTEHistory!H41</f>
        <v>0</v>
      </c>
      <c r="M44" s="3">
        <f>+BudgetedFTEHistory!I41</f>
        <v>0</v>
      </c>
      <c r="N44" s="3">
        <f>+BudgetedFTEHistory!J41</f>
        <v>0</v>
      </c>
      <c r="O44" s="3">
        <f>+BudgetedFTEHistory!K41</f>
        <v>0</v>
      </c>
      <c r="P44" s="3">
        <f>+BudgetedFTEHistory!L41</f>
        <v>0</v>
      </c>
      <c r="Q44" s="3">
        <f>+BudgetedFTEHistory!M41</f>
        <v>0</v>
      </c>
      <c r="R44" s="3">
        <f>+BudgetedFTEHistory!N41</f>
        <v>0</v>
      </c>
      <c r="S44" s="3">
        <f>+BudgetedFTEHistory!O41</f>
        <v>0</v>
      </c>
      <c r="T44" s="3"/>
      <c r="U44" s="3"/>
      <c r="V44" s="3"/>
      <c r="W44" s="3"/>
      <c r="X44" s="3"/>
      <c r="Y44" s="3"/>
      <c r="Z44" s="3"/>
      <c r="AA44" s="3"/>
      <c r="AB44" s="3"/>
      <c r="AC44" s="3"/>
    </row>
    <row r="45" spans="1:29">
      <c r="A45" t="str">
        <f>+BudgetedFTEHistory!A44</f>
        <v>Public Four-Year System *1</v>
      </c>
      <c r="C45"/>
      <c r="E45"/>
      <c r="F45"/>
      <c r="G45"/>
      <c r="H45" s="3">
        <f>+BudgetedFTEHistory!D44</f>
        <v>71084</v>
      </c>
      <c r="I45" s="3">
        <f>+BudgetedFTEHistory!E44</f>
        <v>70517</v>
      </c>
      <c r="J45" s="3">
        <f>+BudgetedFTEHistory!F44</f>
        <v>72425</v>
      </c>
      <c r="K45" s="3">
        <f>+BudgetedFTEHistory!G44</f>
        <v>74090</v>
      </c>
      <c r="L45" s="3">
        <f>+BudgetedFTEHistory!H44</f>
        <v>71767</v>
      </c>
      <c r="M45" s="3">
        <f>+BudgetedFTEHistory!I44</f>
        <v>70012</v>
      </c>
      <c r="N45" s="3">
        <f>+BudgetedFTEHistory!J44</f>
        <v>69965</v>
      </c>
      <c r="O45" s="3">
        <f>+BudgetedFTEHistory!K44</f>
        <v>69570</v>
      </c>
      <c r="P45" s="3">
        <f>+BudgetedFTEHistory!L44</f>
        <v>68927</v>
      </c>
      <c r="Q45" s="3">
        <f>+BudgetedFTEHistory!M44</f>
        <v>68961</v>
      </c>
      <c r="R45" s="3">
        <f>+BudgetedFTEHistory!N44</f>
        <v>69177</v>
      </c>
      <c r="S45" s="3">
        <f>+BudgetedFTEHistory!O44</f>
        <v>69933</v>
      </c>
      <c r="T45" s="3"/>
      <c r="U45" s="3"/>
      <c r="V45" s="3"/>
      <c r="W45" s="3"/>
      <c r="X45" s="3"/>
      <c r="Y45" s="3"/>
      <c r="Z45" s="3"/>
      <c r="AA45" s="3"/>
      <c r="AB45" s="3"/>
      <c r="AC45" s="3"/>
    </row>
    <row r="46" spans="1:29">
      <c r="A46" t="str">
        <f>+BudgetedFTEHistory!A48</f>
        <v>Community and Technical College System</v>
      </c>
      <c r="C46"/>
      <c r="E46"/>
      <c r="F46"/>
      <c r="G46"/>
      <c r="H46" s="3">
        <f>+BudgetedFTEHistory!D48</f>
        <v>85666</v>
      </c>
      <c r="I46" s="3">
        <f>+BudgetedFTEHistory!E48</f>
        <v>88192</v>
      </c>
      <c r="J46" s="3">
        <f>+BudgetedFTEHistory!F48</f>
        <v>97848</v>
      </c>
      <c r="K46" s="3">
        <f>+BudgetedFTEHistory!G48</f>
        <v>100357</v>
      </c>
      <c r="L46" s="3">
        <f>+BudgetedFTEHistory!H48</f>
        <v>86101</v>
      </c>
      <c r="M46" s="3">
        <f>+BudgetedFTEHistory!I48</f>
        <v>82109</v>
      </c>
      <c r="N46" s="3">
        <f>+BudgetedFTEHistory!J48</f>
        <v>82317</v>
      </c>
      <c r="O46" s="3">
        <f>+BudgetedFTEHistory!K48</f>
        <v>83225</v>
      </c>
      <c r="P46" s="3">
        <f>+BudgetedFTEHistory!L48</f>
        <v>83556</v>
      </c>
      <c r="Q46" s="3">
        <f>+BudgetedFTEHistory!M48</f>
        <v>84406</v>
      </c>
      <c r="R46" s="3">
        <f>+BudgetedFTEHistory!N48</f>
        <v>84304</v>
      </c>
      <c r="S46" s="3">
        <f>+BudgetedFTEHistory!O48</f>
        <v>84392</v>
      </c>
      <c r="T46" s="3"/>
      <c r="U46" s="3"/>
      <c r="V46" s="3"/>
      <c r="W46" s="3"/>
      <c r="X46" s="3"/>
      <c r="Y46" s="3"/>
      <c r="Z46" s="3"/>
      <c r="AA46" s="3"/>
      <c r="AB46" s="3"/>
      <c r="AC46" s="3"/>
    </row>
    <row r="47" spans="1:29">
      <c r="A47"/>
      <c r="C47"/>
      <c r="E47"/>
      <c r="F47"/>
      <c r="G47"/>
      <c r="H47" s="3"/>
      <c r="I47" s="3"/>
      <c r="J47" s="3"/>
      <c r="K47" s="3"/>
      <c r="L47" s="3"/>
      <c r="M47" s="3"/>
      <c r="N47" s="3"/>
      <c r="O47" s="3"/>
      <c r="P47" s="3"/>
      <c r="Q47" s="3"/>
      <c r="R47" s="3"/>
      <c r="S47" s="3"/>
      <c r="T47" s="3"/>
      <c r="U47" s="3"/>
      <c r="V47" s="3"/>
      <c r="W47" s="3"/>
      <c r="X47" s="3"/>
      <c r="Y47" s="3"/>
      <c r="Z47" s="3"/>
      <c r="AA47" s="3"/>
      <c r="AB47" s="3"/>
      <c r="AC47" s="3"/>
    </row>
    <row r="48" spans="1:29">
      <c r="A48"/>
      <c r="C48"/>
      <c r="E48"/>
      <c r="F48"/>
      <c r="G48"/>
      <c r="H48" s="3"/>
      <c r="I48" s="3"/>
      <c r="J48" s="3"/>
      <c r="K48" s="3"/>
      <c r="L48" s="3"/>
      <c r="M48" s="3"/>
      <c r="N48" s="3"/>
      <c r="O48" s="3"/>
      <c r="P48" s="3"/>
      <c r="Q48" s="3"/>
      <c r="R48" s="3"/>
      <c r="S48" s="3"/>
      <c r="T48" s="3"/>
      <c r="U48" s="3"/>
      <c r="V48" s="3"/>
      <c r="W48" s="3"/>
      <c r="X48" s="3"/>
      <c r="Y48" s="3"/>
      <c r="Z48" s="3"/>
      <c r="AA48" s="3"/>
      <c r="AB48" s="3"/>
      <c r="AC48" s="3"/>
    </row>
    <row r="49" spans="1:29" ht="16.5">
      <c r="A49" s="30" t="s">
        <v>112</v>
      </c>
      <c r="B49" s="31"/>
      <c r="C49" s="31"/>
      <c r="D49" s="31"/>
      <c r="E49" s="31"/>
      <c r="F49" s="31"/>
      <c r="G49" s="31"/>
      <c r="H49" s="31"/>
      <c r="I49" s="31"/>
      <c r="J49" s="31"/>
      <c r="K49" s="31"/>
      <c r="L49" s="31"/>
      <c r="M49" s="31"/>
      <c r="N49" s="31"/>
      <c r="O49" s="31"/>
      <c r="P49" s="31"/>
      <c r="Q49" s="31"/>
      <c r="R49" s="31"/>
      <c r="S49" s="31"/>
      <c r="T49" s="3"/>
      <c r="U49" s="3"/>
      <c r="V49" s="3"/>
      <c r="W49" s="3"/>
      <c r="X49" s="3"/>
      <c r="Y49" s="3"/>
      <c r="Z49" s="3"/>
      <c r="AA49" s="3"/>
      <c r="AB49" s="3"/>
      <c r="AC49" s="3"/>
    </row>
    <row r="50" spans="1:29">
      <c r="A50" s="1" t="str">
        <f>+A28</f>
        <v>UW (including branch campuses)</v>
      </c>
      <c r="B50" s="31"/>
      <c r="C50" s="31"/>
      <c r="D50" s="31"/>
      <c r="E50" s="31"/>
      <c r="F50" s="31"/>
      <c r="G50" s="31"/>
      <c r="H50" s="3">
        <f>SUM(H51:H54)</f>
        <v>31105</v>
      </c>
      <c r="I50" s="3">
        <f t="shared" ref="I50:S50" si="7">SUM(I51:I54)</f>
        <v>31210</v>
      </c>
      <c r="J50" s="3">
        <f t="shared" si="7"/>
        <v>31210</v>
      </c>
      <c r="K50" s="3">
        <f t="shared" si="7"/>
        <v>31210</v>
      </c>
      <c r="L50" s="3">
        <f t="shared" si="7"/>
        <v>31000</v>
      </c>
      <c r="M50" s="3">
        <f t="shared" si="7"/>
        <v>31000</v>
      </c>
      <c r="N50" s="3">
        <f t="shared" si="7"/>
        <v>29496</v>
      </c>
      <c r="O50" s="3">
        <f t="shared" si="7"/>
        <v>29496</v>
      </c>
      <c r="P50" s="3">
        <f t="shared" si="7"/>
        <v>29500</v>
      </c>
      <c r="Q50" s="3">
        <f t="shared" si="7"/>
        <v>29500</v>
      </c>
      <c r="R50" s="3">
        <f t="shared" si="7"/>
        <v>29500</v>
      </c>
      <c r="S50" s="3">
        <f t="shared" si="7"/>
        <v>29500</v>
      </c>
      <c r="T50" s="3"/>
      <c r="U50" s="3"/>
      <c r="V50" s="3"/>
      <c r="W50" s="3"/>
      <c r="X50" s="3"/>
      <c r="Y50" s="3"/>
      <c r="Z50" s="3"/>
      <c r="AA50" s="3"/>
      <c r="AB50" s="3"/>
      <c r="AC50" s="3"/>
    </row>
    <row r="51" spans="1:29">
      <c r="A51" t="str">
        <f>+BudgetedFTEHistory!A3</f>
        <v>UW Seattle *1</v>
      </c>
      <c r="C51"/>
      <c r="E51"/>
      <c r="F51"/>
      <c r="G51"/>
      <c r="H51" s="3">
        <f>+BudgetedFTEHistory!D3</f>
        <v>31105</v>
      </c>
      <c r="I51" s="3">
        <f>+BudgetedFTEHistory!E3</f>
        <v>31210</v>
      </c>
      <c r="J51" s="3">
        <f>+BudgetedFTEHistory!F3</f>
        <v>31210</v>
      </c>
      <c r="K51" s="3">
        <f>+BudgetedFTEHistory!G3</f>
        <v>31210</v>
      </c>
      <c r="L51" s="3">
        <f>+BudgetedFTEHistory!H3</f>
        <v>31000</v>
      </c>
      <c r="M51" s="3">
        <f>+BudgetedFTEHistory!I3</f>
        <v>31000</v>
      </c>
      <c r="N51" s="3">
        <f>+BudgetedFTEHistory!J3</f>
        <v>29496</v>
      </c>
      <c r="O51" s="3">
        <f>+BudgetedFTEHistory!K3</f>
        <v>29496</v>
      </c>
      <c r="P51" s="3">
        <f>+BudgetedFTEHistory!L3</f>
        <v>29500</v>
      </c>
      <c r="Q51" s="3">
        <f>+BudgetedFTEHistory!M3</f>
        <v>29500</v>
      </c>
      <c r="R51" s="3">
        <f>+BudgetedFTEHistory!N3</f>
        <v>29500</v>
      </c>
      <c r="S51" s="3">
        <f>+BudgetedFTEHistory!O3</f>
        <v>29500</v>
      </c>
      <c r="T51" s="3"/>
      <c r="U51" s="3"/>
      <c r="V51" s="3"/>
      <c r="W51" s="3"/>
      <c r="X51" s="3"/>
      <c r="Y51" s="3"/>
      <c r="Z51" s="3"/>
      <c r="AA51" s="3"/>
      <c r="AB51" s="3"/>
      <c r="AC51" s="3"/>
    </row>
    <row r="52" spans="1:29">
      <c r="A52" t="str">
        <f>+BudgetedFTEHistory!A7</f>
        <v>UW Evening Degree Program *1</v>
      </c>
      <c r="C52"/>
      <c r="E52"/>
      <c r="F52"/>
      <c r="G52"/>
      <c r="H52" s="3">
        <f>+BudgetedFTEHistory!D7</f>
        <v>0</v>
      </c>
      <c r="I52" s="3">
        <f>+BudgetedFTEHistory!E7</f>
        <v>0</v>
      </c>
      <c r="J52" s="3">
        <f>+BudgetedFTEHistory!F7</f>
        <v>0</v>
      </c>
      <c r="K52" s="3">
        <f>+BudgetedFTEHistory!G7</f>
        <v>0</v>
      </c>
      <c r="L52" s="3">
        <f>+BudgetedFTEHistory!H7</f>
        <v>0</v>
      </c>
      <c r="M52" s="3">
        <f>+BudgetedFTEHistory!I7</f>
        <v>0</v>
      </c>
      <c r="N52" s="3">
        <f>+BudgetedFTEHistory!J7</f>
        <v>0</v>
      </c>
      <c r="O52" s="3">
        <f>+BudgetedFTEHistory!K7</f>
        <v>0</v>
      </c>
      <c r="P52" s="3">
        <f>+BudgetedFTEHistory!L7</f>
        <v>0</v>
      </c>
      <c r="Q52" s="3">
        <f>+BudgetedFTEHistory!M7</f>
        <v>0</v>
      </c>
      <c r="R52" s="3">
        <f>+BudgetedFTEHistory!N7</f>
        <v>0</v>
      </c>
      <c r="S52" s="3">
        <f>+BudgetedFTEHistory!O7</f>
        <v>0</v>
      </c>
      <c r="T52" s="3"/>
      <c r="U52" s="3"/>
      <c r="V52" s="3"/>
      <c r="W52" s="3"/>
      <c r="X52" s="3"/>
      <c r="Y52" s="3"/>
      <c r="Z52" s="3"/>
      <c r="AA52" s="3"/>
      <c r="AB52" s="3"/>
      <c r="AC52" s="3"/>
    </row>
    <row r="53" spans="1:29">
      <c r="A53" t="str">
        <f>+BudgetedFTEHistory!A10</f>
        <v>UW Bothell *1</v>
      </c>
      <c r="C53"/>
      <c r="E53"/>
      <c r="F53"/>
      <c r="G53"/>
      <c r="H53" s="3">
        <f>+BudgetedFTEHistory!D10</f>
        <v>0</v>
      </c>
      <c r="I53" s="3">
        <f>+BudgetedFTEHistory!E10</f>
        <v>0</v>
      </c>
      <c r="J53" s="3">
        <f>+BudgetedFTEHistory!F10</f>
        <v>0</v>
      </c>
      <c r="K53" s="3">
        <f>+BudgetedFTEHistory!G10</f>
        <v>0</v>
      </c>
      <c r="L53" s="3">
        <f>+BudgetedFTEHistory!H10</f>
        <v>0</v>
      </c>
      <c r="M53" s="3">
        <f>+BudgetedFTEHistory!I10</f>
        <v>0</v>
      </c>
      <c r="N53" s="3">
        <f>+BudgetedFTEHistory!J10</f>
        <v>0</v>
      </c>
      <c r="O53" s="3">
        <f>+BudgetedFTEHistory!K10</f>
        <v>0</v>
      </c>
      <c r="P53" s="3">
        <f>+BudgetedFTEHistory!L10</f>
        <v>0</v>
      </c>
      <c r="Q53" s="3">
        <f>+BudgetedFTEHistory!M10</f>
        <v>0</v>
      </c>
      <c r="R53" s="3">
        <f>+BudgetedFTEHistory!N10</f>
        <v>0</v>
      </c>
      <c r="S53" s="3">
        <f>+BudgetedFTEHistory!O10</f>
        <v>0</v>
      </c>
      <c r="T53" s="3"/>
      <c r="U53" s="3"/>
      <c r="V53" s="3"/>
      <c r="W53" s="3"/>
      <c r="X53" s="3"/>
      <c r="Y53" s="3"/>
      <c r="Z53" s="3"/>
      <c r="AA53" s="3"/>
      <c r="AB53" s="3"/>
      <c r="AC53" s="3"/>
    </row>
    <row r="54" spans="1:29">
      <c r="A54" t="str">
        <f>+BudgetedFTEHistory!A13</f>
        <v>UW Tacoma *1</v>
      </c>
      <c r="C54"/>
      <c r="E54"/>
      <c r="F54"/>
      <c r="G54"/>
      <c r="H54" s="3">
        <f>+BudgetedFTEHistory!D13</f>
        <v>0</v>
      </c>
      <c r="I54" s="3">
        <f>+BudgetedFTEHistory!E13</f>
        <v>0</v>
      </c>
      <c r="J54" s="3">
        <f>+BudgetedFTEHistory!F13</f>
        <v>0</v>
      </c>
      <c r="K54" s="3">
        <f>+BudgetedFTEHistory!G13</f>
        <v>0</v>
      </c>
      <c r="L54" s="3">
        <f>+BudgetedFTEHistory!H13</f>
        <v>0</v>
      </c>
      <c r="M54" s="3">
        <f>+BudgetedFTEHistory!I13</f>
        <v>0</v>
      </c>
      <c r="N54" s="3">
        <f>+BudgetedFTEHistory!J13</f>
        <v>0</v>
      </c>
      <c r="O54" s="3">
        <f>+BudgetedFTEHistory!K13</f>
        <v>0</v>
      </c>
      <c r="P54" s="3">
        <f>+BudgetedFTEHistory!L13</f>
        <v>0</v>
      </c>
      <c r="Q54" s="3">
        <f>+BudgetedFTEHistory!M13</f>
        <v>0</v>
      </c>
      <c r="R54" s="3">
        <f>+BudgetedFTEHistory!N13</f>
        <v>0</v>
      </c>
      <c r="S54" s="3">
        <f>+BudgetedFTEHistory!O13</f>
        <v>0</v>
      </c>
      <c r="T54" s="3"/>
      <c r="U54" s="3"/>
      <c r="V54" s="3"/>
      <c r="W54" s="3"/>
      <c r="X54" s="3"/>
      <c r="Y54" s="3"/>
      <c r="Z54" s="3"/>
      <c r="AA54" s="3"/>
      <c r="AB54" s="3"/>
      <c r="AC54" s="3"/>
    </row>
    <row r="55" spans="1:29">
      <c r="A55" s="1" t="str">
        <f>+A33</f>
        <v>WSU (including branch campuses)</v>
      </c>
      <c r="C55"/>
      <c r="E55"/>
      <c r="F55"/>
      <c r="G55"/>
      <c r="H55" s="3">
        <f>SUM(H56:H60)</f>
        <v>16498</v>
      </c>
      <c r="I55" s="3">
        <f t="shared" ref="I55:S55" si="8">SUM(I56:I60)</f>
        <v>16500</v>
      </c>
      <c r="J55" s="3">
        <f t="shared" si="8"/>
        <v>16500</v>
      </c>
      <c r="K55" s="3">
        <f t="shared" si="8"/>
        <v>16500</v>
      </c>
      <c r="L55" s="3">
        <f t="shared" si="8"/>
        <v>16500</v>
      </c>
      <c r="M55" s="3">
        <f t="shared" si="8"/>
        <v>16500</v>
      </c>
      <c r="N55" s="3">
        <f t="shared" si="8"/>
        <v>16000</v>
      </c>
      <c r="O55" s="3">
        <f t="shared" si="8"/>
        <v>16000</v>
      </c>
      <c r="P55" s="3">
        <f t="shared" si="8"/>
        <v>15902</v>
      </c>
      <c r="Q55" s="3">
        <f t="shared" si="8"/>
        <v>15884</v>
      </c>
      <c r="R55" s="3">
        <f t="shared" si="8"/>
        <v>15884</v>
      </c>
      <c r="S55" s="3">
        <f t="shared" si="8"/>
        <v>15884</v>
      </c>
      <c r="T55" s="3"/>
      <c r="U55" s="3"/>
      <c r="V55" s="3"/>
      <c r="W55" s="3"/>
      <c r="X55" s="3"/>
      <c r="Y55" s="3"/>
      <c r="Z55" s="3"/>
      <c r="AA55" s="3"/>
      <c r="AB55" s="3"/>
      <c r="AC55" s="3"/>
    </row>
    <row r="56" spans="1:29">
      <c r="A56" t="str">
        <f>+BudgetedFTEHistory!A16</f>
        <v>WSU Pullman *1</v>
      </c>
      <c r="C56"/>
      <c r="E56"/>
      <c r="F56"/>
      <c r="G56"/>
      <c r="H56" s="3">
        <f>+BudgetedFTEHistory!D16</f>
        <v>16498</v>
      </c>
      <c r="I56" s="3">
        <f>+BudgetedFTEHistory!E16</f>
        <v>16500</v>
      </c>
      <c r="J56" s="3">
        <f>+BudgetedFTEHistory!F16</f>
        <v>16500</v>
      </c>
      <c r="K56" s="3">
        <f>+BudgetedFTEHistory!G16</f>
        <v>16500</v>
      </c>
      <c r="L56" s="3">
        <f>+BudgetedFTEHistory!H16</f>
        <v>16500</v>
      </c>
      <c r="M56" s="3">
        <f>+BudgetedFTEHistory!I16</f>
        <v>16500</v>
      </c>
      <c r="N56" s="3">
        <f>+BudgetedFTEHistory!J16</f>
        <v>16000</v>
      </c>
      <c r="O56" s="3">
        <f>+BudgetedFTEHistory!K16</f>
        <v>16000</v>
      </c>
      <c r="P56" s="3">
        <f>+BudgetedFTEHistory!L16</f>
        <v>15902</v>
      </c>
      <c r="Q56" s="3">
        <f>+BudgetedFTEHistory!M16</f>
        <v>15884</v>
      </c>
      <c r="R56" s="3">
        <f>+BudgetedFTEHistory!N16</f>
        <v>15884</v>
      </c>
      <c r="S56" s="3">
        <f>+BudgetedFTEHistory!O16</f>
        <v>15884</v>
      </c>
      <c r="T56" s="3"/>
      <c r="U56" s="3"/>
      <c r="V56" s="3"/>
      <c r="W56" s="3"/>
      <c r="X56" s="3"/>
      <c r="Y56" s="3"/>
      <c r="Z56" s="3"/>
      <c r="AA56" s="3"/>
      <c r="AB56" s="3"/>
      <c r="AC56" s="3"/>
    </row>
    <row r="57" spans="1:29">
      <c r="A57" t="str">
        <f>+BudgetedFTEHistory!A19</f>
        <v>WSU Spokane *1</v>
      </c>
      <c r="C57"/>
      <c r="E57"/>
      <c r="F57"/>
      <c r="G57"/>
      <c r="H57" s="3">
        <f>+BudgetedFTEHistory!D19</f>
        <v>0</v>
      </c>
      <c r="I57" s="3">
        <f>+BudgetedFTEHistory!E19</f>
        <v>0</v>
      </c>
      <c r="J57" s="3">
        <f>+BudgetedFTEHistory!F19</f>
        <v>0</v>
      </c>
      <c r="K57" s="3">
        <f>+BudgetedFTEHistory!G19</f>
        <v>0</v>
      </c>
      <c r="L57" s="3">
        <f>+BudgetedFTEHistory!H19</f>
        <v>0</v>
      </c>
      <c r="M57" s="3">
        <f>+BudgetedFTEHistory!I19</f>
        <v>0</v>
      </c>
      <c r="N57" s="3">
        <f>+BudgetedFTEHistory!J19</f>
        <v>0</v>
      </c>
      <c r="O57" s="3">
        <f>+BudgetedFTEHistory!K19</f>
        <v>0</v>
      </c>
      <c r="P57" s="3">
        <f>+BudgetedFTEHistory!L19</f>
        <v>0</v>
      </c>
      <c r="Q57" s="3">
        <f>+BudgetedFTEHistory!M19</f>
        <v>0</v>
      </c>
      <c r="R57" s="3">
        <f>+BudgetedFTEHistory!N19</f>
        <v>0</v>
      </c>
      <c r="S57" s="3">
        <f>+BudgetedFTEHistory!O19</f>
        <v>0</v>
      </c>
      <c r="T57" s="3"/>
      <c r="U57" s="3"/>
      <c r="V57" s="3"/>
      <c r="W57" s="3"/>
      <c r="X57" s="3"/>
      <c r="Y57" s="3"/>
      <c r="Z57" s="3"/>
      <c r="AA57" s="3"/>
      <c r="AB57" s="3"/>
      <c r="AC57" s="3"/>
    </row>
    <row r="58" spans="1:29">
      <c r="A58" t="str">
        <f>+BudgetedFTEHistory!A22</f>
        <v>WSU TriCities *1</v>
      </c>
      <c r="C58"/>
      <c r="E58"/>
      <c r="F58"/>
      <c r="G58"/>
      <c r="H58" s="3">
        <f>+BudgetedFTEHistory!D22</f>
        <v>0</v>
      </c>
      <c r="I58" s="3">
        <f>+BudgetedFTEHistory!E22</f>
        <v>0</v>
      </c>
      <c r="J58" s="3">
        <f>+BudgetedFTEHistory!F22</f>
        <v>0</v>
      </c>
      <c r="K58" s="3">
        <f>+BudgetedFTEHistory!G22</f>
        <v>0</v>
      </c>
      <c r="L58" s="3">
        <f>+BudgetedFTEHistory!H22</f>
        <v>0</v>
      </c>
      <c r="M58" s="3">
        <f>+BudgetedFTEHistory!I22</f>
        <v>0</v>
      </c>
      <c r="N58" s="3">
        <f>+BudgetedFTEHistory!J22</f>
        <v>0</v>
      </c>
      <c r="O58" s="3">
        <f>+BudgetedFTEHistory!K22</f>
        <v>0</v>
      </c>
      <c r="P58" s="3">
        <f>+BudgetedFTEHistory!L22</f>
        <v>0</v>
      </c>
      <c r="Q58" s="3">
        <f>+BudgetedFTEHistory!M22</f>
        <v>0</v>
      </c>
      <c r="R58" s="3">
        <f>+BudgetedFTEHistory!N22</f>
        <v>0</v>
      </c>
      <c r="S58" s="3">
        <f>+BudgetedFTEHistory!O22</f>
        <v>0</v>
      </c>
      <c r="T58" s="3"/>
      <c r="U58" s="3"/>
      <c r="V58" s="3"/>
      <c r="W58" s="3"/>
      <c r="X58" s="3"/>
      <c r="Y58" s="3"/>
      <c r="Z58" s="3"/>
      <c r="AA58" s="3"/>
      <c r="AB58" s="3"/>
      <c r="AC58" s="3"/>
    </row>
    <row r="59" spans="1:29">
      <c r="A59" t="str">
        <f>+BudgetedFTEHistory!A25</f>
        <v>WSU Vancouver *1</v>
      </c>
      <c r="C59"/>
      <c r="H59" s="3">
        <f>+BudgetedFTEHistory!D25</f>
        <v>0</v>
      </c>
      <c r="I59" s="3">
        <f>+BudgetedFTEHistory!E25</f>
        <v>0</v>
      </c>
      <c r="J59" s="3">
        <f>+BudgetedFTEHistory!F25</f>
        <v>0</v>
      </c>
      <c r="K59" s="3">
        <f>+BudgetedFTEHistory!G25</f>
        <v>0</v>
      </c>
      <c r="L59" s="3">
        <f>+BudgetedFTEHistory!H25</f>
        <v>0</v>
      </c>
      <c r="M59" s="3">
        <f>+BudgetedFTEHistory!I25</f>
        <v>0</v>
      </c>
      <c r="N59" s="3">
        <f>+BudgetedFTEHistory!J25</f>
        <v>0</v>
      </c>
      <c r="O59" s="3">
        <f>+BudgetedFTEHistory!K25</f>
        <v>0</v>
      </c>
      <c r="P59" s="3">
        <f>+BudgetedFTEHistory!L25</f>
        <v>0</v>
      </c>
      <c r="Q59" s="3">
        <f>+BudgetedFTEHistory!M25</f>
        <v>0</v>
      </c>
      <c r="R59" s="3">
        <f>+BudgetedFTEHistory!N25</f>
        <v>0</v>
      </c>
      <c r="S59" s="3">
        <f>+BudgetedFTEHistory!O25</f>
        <v>0</v>
      </c>
      <c r="T59" s="3"/>
      <c r="U59" s="3"/>
      <c r="V59" s="3"/>
      <c r="W59" s="3"/>
      <c r="X59" s="3"/>
      <c r="Y59" s="3"/>
      <c r="Z59" s="3"/>
      <c r="AA59" s="3"/>
      <c r="AB59" s="3"/>
      <c r="AC59" s="3"/>
    </row>
    <row r="60" spans="1:29">
      <c r="A60" t="str">
        <f>+BudgetedFTEHistory!A38</f>
        <v>WSU-Timber Worker Displacement Program *1</v>
      </c>
      <c r="C60"/>
      <c r="H60" s="3">
        <f>+BudgetedFTEHistory!D38</f>
        <v>0</v>
      </c>
      <c r="I60" s="3">
        <f>+BudgetedFTEHistory!E38</f>
        <v>0</v>
      </c>
      <c r="J60" s="3">
        <f>+BudgetedFTEHistory!F38</f>
        <v>0</v>
      </c>
      <c r="K60" s="3">
        <f>+BudgetedFTEHistory!G38</f>
        <v>0</v>
      </c>
      <c r="L60" s="3">
        <f>+BudgetedFTEHistory!H38</f>
        <v>0</v>
      </c>
      <c r="M60" s="3">
        <f>+BudgetedFTEHistory!I38</f>
        <v>0</v>
      </c>
      <c r="N60" s="3">
        <f>+BudgetedFTEHistory!J38</f>
        <v>0</v>
      </c>
      <c r="O60" s="3">
        <f>+BudgetedFTEHistory!K38</f>
        <v>0</v>
      </c>
      <c r="P60" s="3">
        <f>+BudgetedFTEHistory!L38</f>
        <v>0</v>
      </c>
      <c r="Q60" s="3">
        <f>+BudgetedFTEHistory!M38</f>
        <v>0</v>
      </c>
      <c r="R60" s="3">
        <f>+BudgetedFTEHistory!N38</f>
        <v>0</v>
      </c>
      <c r="S60" s="3">
        <f>+BudgetedFTEHistory!O38</f>
        <v>0</v>
      </c>
      <c r="T60" s="3"/>
      <c r="U60" s="3"/>
      <c r="V60" s="3"/>
      <c r="W60" s="3"/>
      <c r="X60" s="3"/>
      <c r="Y60" s="3"/>
      <c r="Z60" s="3"/>
      <c r="AA60" s="3"/>
      <c r="AB60" s="3"/>
      <c r="AC60" s="3"/>
    </row>
    <row r="61" spans="1:29">
      <c r="A61" t="str">
        <f>+BudgetedFTEHistory!A30</f>
        <v>EWU</v>
      </c>
      <c r="C61"/>
      <c r="H61" s="3">
        <f>+BudgetedFTEHistory!D30</f>
        <v>6300</v>
      </c>
      <c r="I61" s="3">
        <f>+BudgetedFTEHistory!E30</f>
        <v>6400</v>
      </c>
      <c r="J61" s="3">
        <f>+BudgetedFTEHistory!F30</f>
        <v>6475</v>
      </c>
      <c r="K61" s="3">
        <f>+BudgetedFTEHistory!G30</f>
        <v>6575</v>
      </c>
      <c r="L61" s="3">
        <f>+BudgetedFTEHistory!H30</f>
        <v>6800</v>
      </c>
      <c r="M61" s="3">
        <f>+BudgetedFTEHistory!I30</f>
        <v>6800</v>
      </c>
      <c r="N61" s="3">
        <f>+BudgetedFTEHistory!J30</f>
        <v>7000</v>
      </c>
      <c r="O61" s="3">
        <f>+BudgetedFTEHistory!K30</f>
        <v>7000</v>
      </c>
      <c r="P61" s="3">
        <f>+BudgetedFTEHistory!L30</f>
        <v>7000</v>
      </c>
      <c r="Q61" s="3">
        <f>+BudgetedFTEHistory!M30</f>
        <v>7000</v>
      </c>
      <c r="R61" s="3">
        <f>+BudgetedFTEHistory!N30</f>
        <v>7000</v>
      </c>
      <c r="S61" s="3">
        <f>+BudgetedFTEHistory!O30</f>
        <v>7000</v>
      </c>
      <c r="T61" s="3"/>
      <c r="U61" s="3"/>
      <c r="V61" s="3"/>
      <c r="W61" s="3"/>
      <c r="X61" s="3"/>
      <c r="Y61" s="3"/>
      <c r="Z61" s="3"/>
      <c r="AA61" s="3"/>
      <c r="AB61" s="3"/>
      <c r="AC61" s="3"/>
    </row>
    <row r="62" spans="1:29">
      <c r="A62" t="str">
        <f>+BudgetedFTEHistory!A28</f>
        <v>CWU</v>
      </c>
      <c r="C62"/>
      <c r="H62" s="3">
        <f>+BudgetedFTEHistory!D28</f>
        <v>5852</v>
      </c>
      <c r="I62" s="3">
        <f>+BudgetedFTEHistory!E28</f>
        <v>5852</v>
      </c>
      <c r="J62" s="3">
        <f>+BudgetedFTEHistory!F28</f>
        <v>5868</v>
      </c>
      <c r="K62" s="3">
        <f>+BudgetedFTEHistory!G28</f>
        <v>5895</v>
      </c>
      <c r="L62" s="3">
        <f>+BudgetedFTEHistory!H28</f>
        <v>5900</v>
      </c>
      <c r="M62" s="3">
        <f>+BudgetedFTEHistory!I28</f>
        <v>5900</v>
      </c>
      <c r="N62" s="3">
        <f>+BudgetedFTEHistory!J28</f>
        <v>5800</v>
      </c>
      <c r="O62" s="3">
        <f>+BudgetedFTEHistory!K28</f>
        <v>5955</v>
      </c>
      <c r="P62" s="3">
        <f>+BudgetedFTEHistory!L28</f>
        <v>5955</v>
      </c>
      <c r="Q62" s="3">
        <f>+BudgetedFTEHistory!M28</f>
        <v>5955</v>
      </c>
      <c r="R62" s="3">
        <f>+BudgetedFTEHistory!N28</f>
        <v>5877</v>
      </c>
      <c r="S62" s="3">
        <f>+BudgetedFTEHistory!O28</f>
        <v>5877</v>
      </c>
      <c r="T62" s="3"/>
      <c r="U62" s="3"/>
      <c r="V62" s="3"/>
      <c r="W62" s="3"/>
      <c r="X62" s="3"/>
      <c r="Y62" s="3"/>
      <c r="Z62" s="3"/>
      <c r="AA62" s="3"/>
      <c r="AB62" s="3"/>
      <c r="AC62" s="3"/>
    </row>
    <row r="63" spans="1:29">
      <c r="A63" t="str">
        <f>+BudgetedFTEHistory!A33</f>
        <v>TESC</v>
      </c>
      <c r="C63"/>
      <c r="H63" s="3">
        <f>+BudgetedFTEHistory!D33</f>
        <v>2500</v>
      </c>
      <c r="I63" s="3">
        <f>+BudgetedFTEHistory!E33</f>
        <v>2400</v>
      </c>
      <c r="J63" s="3">
        <f>+BudgetedFTEHistory!F33</f>
        <v>2300</v>
      </c>
      <c r="K63" s="3">
        <f>+BudgetedFTEHistory!G33</f>
        <v>2375</v>
      </c>
      <c r="L63" s="3">
        <f>+BudgetedFTEHistory!H33</f>
        <v>2500</v>
      </c>
      <c r="M63" s="3">
        <f>+BudgetedFTEHistory!I33</f>
        <v>2500</v>
      </c>
      <c r="N63" s="3">
        <f>+BudgetedFTEHistory!J33</f>
        <v>2209</v>
      </c>
      <c r="O63" s="3">
        <f>+BudgetedFTEHistory!K33</f>
        <v>2366</v>
      </c>
      <c r="P63" s="3">
        <f>+BudgetedFTEHistory!L33</f>
        <v>2528</v>
      </c>
      <c r="Q63" s="3">
        <f>+BudgetedFTEHistory!M33</f>
        <v>2600</v>
      </c>
      <c r="R63" s="3">
        <f>+BudgetedFTEHistory!N33</f>
        <v>2800</v>
      </c>
      <c r="S63" s="3">
        <f>+BudgetedFTEHistory!O33</f>
        <v>2900</v>
      </c>
      <c r="T63" s="3"/>
      <c r="U63" s="3"/>
      <c r="V63" s="3"/>
      <c r="W63" s="3"/>
      <c r="X63" s="3"/>
      <c r="Y63" s="3"/>
      <c r="Z63" s="3"/>
      <c r="AA63" s="3"/>
      <c r="AB63" s="3"/>
      <c r="AC63" s="3"/>
    </row>
    <row r="64" spans="1:29">
      <c r="A64" t="s">
        <v>113</v>
      </c>
      <c r="C64"/>
      <c r="H64" s="3">
        <f>SUM(H65:H66)</f>
        <v>8406</v>
      </c>
      <c r="I64" s="3">
        <f t="shared" ref="I64:S64" si="9">SUM(I65:I66)</f>
        <v>8500</v>
      </c>
      <c r="J64" s="3">
        <f t="shared" si="9"/>
        <v>8984</v>
      </c>
      <c r="K64" s="3">
        <f t="shared" si="9"/>
        <v>9120</v>
      </c>
      <c r="L64" s="3">
        <f t="shared" si="9"/>
        <v>9100</v>
      </c>
      <c r="M64" s="3">
        <f t="shared" si="9"/>
        <v>9100</v>
      </c>
      <c r="N64" s="3">
        <f t="shared" si="9"/>
        <v>8250</v>
      </c>
      <c r="O64" s="3">
        <f t="shared" si="9"/>
        <v>8250</v>
      </c>
      <c r="P64" s="3">
        <f t="shared" si="9"/>
        <v>8250</v>
      </c>
      <c r="Q64" s="3">
        <f t="shared" si="9"/>
        <v>8250</v>
      </c>
      <c r="R64" s="3">
        <f t="shared" si="9"/>
        <v>8250</v>
      </c>
      <c r="S64" s="3">
        <f t="shared" si="9"/>
        <v>8250</v>
      </c>
      <c r="T64" s="3"/>
      <c r="U64" s="3"/>
      <c r="V64" s="3"/>
      <c r="W64" s="3"/>
      <c r="X64" s="3"/>
      <c r="Y64" s="3"/>
      <c r="Z64" s="3"/>
      <c r="AA64" s="3"/>
      <c r="AB64" s="3"/>
      <c r="AC64" s="3"/>
    </row>
    <row r="65" spans="1:29">
      <c r="A65" t="str">
        <f>+BudgetedFTEHistory!A36</f>
        <v>WWU</v>
      </c>
      <c r="C65"/>
      <c r="H65" s="3">
        <f>+BudgetedFTEHistory!D36</f>
        <v>8406</v>
      </c>
      <c r="I65" s="3">
        <f>+BudgetedFTEHistory!E36</f>
        <v>8500</v>
      </c>
      <c r="J65" s="3">
        <f>+BudgetedFTEHistory!F36</f>
        <v>8984</v>
      </c>
      <c r="K65" s="3">
        <f>+BudgetedFTEHistory!G36</f>
        <v>9120</v>
      </c>
      <c r="L65" s="3">
        <f>+BudgetedFTEHistory!H36</f>
        <v>9100</v>
      </c>
      <c r="M65" s="3">
        <f>+BudgetedFTEHistory!I36</f>
        <v>9100</v>
      </c>
      <c r="N65" s="3">
        <f>+BudgetedFTEHistory!J36</f>
        <v>8250</v>
      </c>
      <c r="O65" s="3">
        <f>+BudgetedFTEHistory!K36</f>
        <v>8250</v>
      </c>
      <c r="P65" s="3">
        <f>+BudgetedFTEHistory!L36</f>
        <v>8250</v>
      </c>
      <c r="Q65" s="3">
        <f>+BudgetedFTEHistory!M36</f>
        <v>8250</v>
      </c>
      <c r="R65" s="3">
        <f>+BudgetedFTEHistory!N36</f>
        <v>8250</v>
      </c>
      <c r="S65" s="3">
        <f>+BudgetedFTEHistory!O36</f>
        <v>8250</v>
      </c>
      <c r="T65" s="3"/>
      <c r="U65" s="3"/>
      <c r="V65" s="3"/>
      <c r="W65" s="3"/>
      <c r="X65" s="3"/>
      <c r="Y65" s="3"/>
      <c r="Z65" s="3"/>
      <c r="AA65" s="3"/>
      <c r="AB65" s="3"/>
      <c r="AC65" s="3"/>
    </row>
    <row r="66" spans="1:29">
      <c r="A66" t="str">
        <f>+BudgetedFTEHistory!A42</f>
        <v>WWU-Timber Worker Displacement Program *1</v>
      </c>
      <c r="C66"/>
      <c r="H66" s="3">
        <f>+BudgetedFTEHistory!D42</f>
        <v>0</v>
      </c>
      <c r="I66" s="3">
        <f>+BudgetedFTEHistory!E42</f>
        <v>0</v>
      </c>
      <c r="J66" s="3">
        <f>+BudgetedFTEHistory!F42</f>
        <v>0</v>
      </c>
      <c r="K66" s="3">
        <f>+BudgetedFTEHistory!G42</f>
        <v>0</v>
      </c>
      <c r="L66" s="3">
        <f>+BudgetedFTEHistory!H42</f>
        <v>0</v>
      </c>
      <c r="M66" s="3">
        <f>+BudgetedFTEHistory!I42</f>
        <v>0</v>
      </c>
      <c r="N66" s="3">
        <f>+BudgetedFTEHistory!J42</f>
        <v>0</v>
      </c>
      <c r="O66" s="3">
        <f>+BudgetedFTEHistory!K42</f>
        <v>0</v>
      </c>
      <c r="P66" s="3">
        <f>+BudgetedFTEHistory!L42</f>
        <v>0</v>
      </c>
      <c r="Q66" s="3">
        <f>+BudgetedFTEHistory!M42</f>
        <v>0</v>
      </c>
      <c r="R66" s="3">
        <f>+BudgetedFTEHistory!N42</f>
        <v>0</v>
      </c>
      <c r="S66" s="3">
        <f>+BudgetedFTEHistory!O42</f>
        <v>0</v>
      </c>
      <c r="T66" s="3"/>
      <c r="U66" s="3"/>
      <c r="V66" s="3"/>
      <c r="W66" s="3"/>
      <c r="X66" s="3"/>
      <c r="Y66" s="3"/>
      <c r="Z66" s="3"/>
      <c r="AA66" s="3"/>
      <c r="AB66" s="3"/>
      <c r="AC66" s="3"/>
    </row>
    <row r="67" spans="1:29">
      <c r="A67" t="str">
        <f>+BudgetedFTEHistory!A45</f>
        <v>Public Four-Year System *1</v>
      </c>
      <c r="C67"/>
      <c r="E67"/>
      <c r="F67"/>
      <c r="G67"/>
      <c r="H67" s="3">
        <f>+BudgetedFTEHistory!D45</f>
        <v>70661</v>
      </c>
      <c r="I67" s="3">
        <f>+BudgetedFTEHistory!E45</f>
        <v>70862</v>
      </c>
      <c r="J67" s="3">
        <f>+BudgetedFTEHistory!F45</f>
        <v>71337</v>
      </c>
      <c r="K67" s="3">
        <f>+BudgetedFTEHistory!G45</f>
        <v>71675</v>
      </c>
      <c r="L67" s="3">
        <f>+BudgetedFTEHistory!H45</f>
        <v>71800</v>
      </c>
      <c r="M67" s="3">
        <f>+BudgetedFTEHistory!I45</f>
        <v>71800</v>
      </c>
      <c r="N67" s="3">
        <f>+BudgetedFTEHistory!J45</f>
        <v>68755</v>
      </c>
      <c r="O67" s="3">
        <f>+BudgetedFTEHistory!K45</f>
        <v>69067</v>
      </c>
      <c r="P67" s="3">
        <f>+BudgetedFTEHistory!L45</f>
        <v>69135</v>
      </c>
      <c r="Q67" s="3">
        <f>+BudgetedFTEHistory!M45</f>
        <v>69189</v>
      </c>
      <c r="R67" s="3">
        <f>+BudgetedFTEHistory!N45</f>
        <v>69311</v>
      </c>
      <c r="S67" s="3">
        <f>+BudgetedFTEHistory!O45</f>
        <v>69411</v>
      </c>
      <c r="T67" s="3"/>
      <c r="U67" s="3"/>
      <c r="V67" s="3"/>
      <c r="W67" s="3"/>
      <c r="X67" s="3"/>
      <c r="Y67" s="3"/>
      <c r="Z67" s="3"/>
      <c r="AA67" s="3"/>
      <c r="AB67" s="3"/>
      <c r="AC67" s="3"/>
    </row>
    <row r="68" spans="1:29">
      <c r="A68" t="str">
        <f>+BudgetedFTEHistory!A48</f>
        <v>Community and Technical College System</v>
      </c>
      <c r="H68" s="3">
        <f>+BudgetedFTEHistory!D49</f>
        <v>86072</v>
      </c>
      <c r="I68" s="3">
        <f>+BudgetedFTEHistory!E49</f>
        <v>88243</v>
      </c>
      <c r="J68" s="3">
        <f>+BudgetedFTEHistory!F49</f>
        <v>90101</v>
      </c>
      <c r="K68" s="3">
        <f>+BudgetedFTEHistory!G49</f>
        <v>87369</v>
      </c>
      <c r="L68" s="3">
        <f>+BudgetedFTEHistory!H49</f>
        <v>87400</v>
      </c>
      <c r="M68" s="3">
        <f>+BudgetedFTEHistory!I49</f>
        <v>79789</v>
      </c>
      <c r="N68" s="3">
        <f>+BudgetedFTEHistory!J49</f>
        <v>83000</v>
      </c>
      <c r="O68" s="3">
        <f>+BudgetedFTEHistory!K49</f>
        <v>83000</v>
      </c>
      <c r="P68" s="3">
        <f>+BudgetedFTEHistory!L49</f>
        <v>83300</v>
      </c>
      <c r="Q68" s="3">
        <f>+BudgetedFTEHistory!M49</f>
        <v>83300</v>
      </c>
      <c r="R68" s="3">
        <f>+BudgetedFTEHistory!N49</f>
        <v>83300</v>
      </c>
      <c r="S68" s="3">
        <f>+BudgetedFTEHistory!O49</f>
        <v>83300</v>
      </c>
      <c r="T68" s="3"/>
      <c r="U68" s="3"/>
      <c r="V68" s="3"/>
      <c r="W68" s="3"/>
      <c r="X68" s="3"/>
      <c r="Y68" s="3"/>
      <c r="Z68" s="3"/>
      <c r="AA68" s="3"/>
      <c r="AB68" s="3"/>
      <c r="AC68" s="3"/>
    </row>
    <row r="69" spans="1:29">
      <c r="A69"/>
      <c r="H69" s="3"/>
      <c r="I69" s="3"/>
      <c r="J69" s="3"/>
      <c r="K69" s="3"/>
      <c r="L69" s="3"/>
      <c r="M69" s="3"/>
      <c r="N69" s="3"/>
      <c r="O69" s="3"/>
      <c r="P69" s="3"/>
      <c r="Q69" s="3"/>
      <c r="R69" s="3"/>
      <c r="S69" s="3"/>
      <c r="T69" s="3"/>
      <c r="U69" s="3"/>
      <c r="V69" s="3"/>
      <c r="W69" s="3"/>
      <c r="X69" s="3"/>
      <c r="Y69" s="3"/>
      <c r="Z69" s="3"/>
      <c r="AA69" s="3"/>
      <c r="AB69" s="3"/>
      <c r="AC69" s="3"/>
    </row>
    <row r="70" spans="1:29">
      <c r="A70"/>
      <c r="H70" s="3"/>
      <c r="I70" s="3"/>
      <c r="J70" s="3"/>
      <c r="K70" s="3"/>
      <c r="L70" s="3"/>
      <c r="M70" s="3"/>
      <c r="N70" s="3"/>
      <c r="O70" s="3"/>
      <c r="P70" s="3"/>
      <c r="Q70" s="3"/>
      <c r="R70" s="3"/>
      <c r="S70" s="3"/>
      <c r="T70" s="3"/>
      <c r="U70" s="3"/>
      <c r="V70" s="3"/>
      <c r="W70" s="3"/>
      <c r="X70" s="3"/>
      <c r="Y70" s="3"/>
      <c r="Z70" s="3"/>
      <c r="AA70" s="3"/>
      <c r="AB70" s="3"/>
      <c r="AC70" s="3"/>
    </row>
    <row r="71" spans="1:29">
      <c r="A71"/>
      <c r="H71" s="3"/>
      <c r="I71" s="3"/>
      <c r="J71" s="3"/>
      <c r="K71" s="3"/>
      <c r="L71" s="3"/>
      <c r="M71" s="3"/>
      <c r="N71" s="3"/>
      <c r="O71" s="3"/>
      <c r="P71" s="3"/>
      <c r="Q71" s="3"/>
      <c r="R71" s="3"/>
      <c r="S71" s="3"/>
      <c r="T71" s="3"/>
      <c r="U71" s="3"/>
      <c r="V71" s="3"/>
      <c r="W71" s="3"/>
      <c r="X71" s="3"/>
      <c r="Y71" s="3"/>
      <c r="Z71" s="3"/>
      <c r="AA71" s="3"/>
      <c r="AB71" s="3"/>
      <c r="AC71" s="3"/>
    </row>
  </sheetData>
  <phoneticPr fontId="0" type="noConversion"/>
  <pageMargins left="0.25" right="0.25" top="0.5" bottom="0.5" header="0.5" footer="0.5"/>
  <pageSetup scale="5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0000"/>
  </sheetPr>
  <dimension ref="A1:P124"/>
  <sheetViews>
    <sheetView workbookViewId="0">
      <selection sqref="A1:N1"/>
    </sheetView>
  </sheetViews>
  <sheetFormatPr defaultRowHeight="12.75"/>
  <cols>
    <col min="1" max="2" width="2" style="355" customWidth="1"/>
    <col min="3" max="3" width="21.875" style="355" customWidth="1"/>
    <col min="4" max="4" width="2.375" style="355" customWidth="1"/>
    <col min="5" max="5" width="10.625" style="355" customWidth="1"/>
    <col min="6" max="6" width="2.375" style="355" customWidth="1"/>
    <col min="7" max="7" width="10.625" style="361" customWidth="1"/>
    <col min="8" max="8" width="2.375" style="355" customWidth="1"/>
    <col min="9" max="9" width="2.375" style="355" hidden="1" customWidth="1"/>
    <col min="10" max="10" width="10.625" style="355" customWidth="1"/>
    <col min="11" max="11" width="2.375" style="355" customWidth="1"/>
    <col min="12" max="12" width="10.625" style="355" customWidth="1"/>
    <col min="13" max="13" width="2.375" style="355" customWidth="1"/>
    <col min="14" max="14" width="10.625" style="355" customWidth="1"/>
    <col min="15" max="16" width="0" style="355" hidden="1" customWidth="1"/>
    <col min="17" max="16384" width="9" style="355"/>
  </cols>
  <sheetData>
    <row r="1" spans="1:16" s="594" customFormat="1" ht="18.75">
      <c r="A1" s="2541" t="s">
        <v>177</v>
      </c>
      <c r="B1" s="2541"/>
      <c r="C1" s="2541"/>
      <c r="D1" s="2541"/>
      <c r="E1" s="2541"/>
      <c r="F1" s="2541"/>
      <c r="G1" s="2541"/>
      <c r="H1" s="2541"/>
      <c r="I1" s="2541"/>
      <c r="J1" s="2541"/>
      <c r="K1" s="2541"/>
      <c r="L1" s="2541"/>
      <c r="M1" s="2541"/>
      <c r="N1" s="2541"/>
    </row>
    <row r="2" spans="1:16" s="594" customFormat="1" ht="16.5">
      <c r="A2" s="2542" t="s">
        <v>530</v>
      </c>
      <c r="B2" s="2542"/>
      <c r="C2" s="2542"/>
      <c r="D2" s="2542"/>
      <c r="E2" s="2542"/>
      <c r="F2" s="2542"/>
      <c r="G2" s="2542"/>
      <c r="H2" s="2542"/>
      <c r="I2" s="2542"/>
      <c r="J2" s="2542"/>
      <c r="K2" s="2542"/>
      <c r="L2" s="2542"/>
      <c r="M2" s="2542"/>
      <c r="N2" s="2542"/>
    </row>
    <row r="3" spans="1:16" s="594" customFormat="1">
      <c r="A3" s="2543" t="s">
        <v>365</v>
      </c>
      <c r="B3" s="2543"/>
      <c r="C3" s="2543"/>
      <c r="D3" s="2543"/>
      <c r="E3" s="2543"/>
      <c r="F3" s="2543"/>
      <c r="G3" s="2543"/>
      <c r="H3" s="2543"/>
      <c r="I3" s="2543"/>
      <c r="J3" s="2543"/>
      <c r="K3" s="2543"/>
      <c r="L3" s="2543"/>
      <c r="M3" s="2543"/>
      <c r="N3" s="2543"/>
    </row>
    <row r="4" spans="1:16" s="594" customFormat="1" ht="38.25" customHeight="1">
      <c r="A4" s="615"/>
      <c r="B4" s="615"/>
      <c r="C4" s="623"/>
      <c r="D4" s="615"/>
      <c r="E4" s="615"/>
      <c r="F4" s="615"/>
      <c r="G4" s="622"/>
      <c r="H4" s="615"/>
      <c r="I4" s="615"/>
      <c r="J4" s="615"/>
      <c r="K4" s="615"/>
      <c r="L4" s="615"/>
    </row>
    <row r="5" spans="1:16" s="594" customFormat="1" ht="17.25" customHeight="1">
      <c r="A5" s="615"/>
      <c r="B5" s="615"/>
      <c r="C5" s="615"/>
      <c r="D5" s="615"/>
      <c r="E5" s="2538" t="s">
        <v>529</v>
      </c>
      <c r="F5" s="2539"/>
      <c r="G5" s="2539"/>
      <c r="H5" s="2539"/>
      <c r="I5" s="2539"/>
      <c r="J5" s="2539"/>
      <c r="K5" s="2539"/>
      <c r="L5" s="2539"/>
      <c r="M5" s="2539"/>
      <c r="N5" s="2540"/>
    </row>
    <row r="6" spans="1:16" s="611" customFormat="1" ht="20.100000000000001" customHeight="1">
      <c r="A6" s="615"/>
      <c r="B6" s="615"/>
      <c r="C6" s="615"/>
      <c r="D6" s="615"/>
      <c r="E6" s="614" t="s">
        <v>188</v>
      </c>
      <c r="F6" s="614"/>
      <c r="G6" s="614" t="s">
        <v>528</v>
      </c>
      <c r="H6" s="614"/>
      <c r="I6" s="614" t="s">
        <v>528</v>
      </c>
      <c r="J6" s="614" t="s">
        <v>194</v>
      </c>
      <c r="K6" s="618"/>
      <c r="L6" s="614" t="s">
        <v>528</v>
      </c>
      <c r="M6" s="618"/>
      <c r="N6" s="614" t="s">
        <v>194</v>
      </c>
      <c r="O6" s="613" t="s">
        <v>528</v>
      </c>
      <c r="P6" s="612"/>
    </row>
    <row r="7" spans="1:16" s="611" customFormat="1" ht="12.75" customHeight="1">
      <c r="A7" s="599"/>
      <c r="B7" s="599"/>
      <c r="C7" s="599"/>
      <c r="D7" s="599"/>
      <c r="E7" s="620" t="s">
        <v>527</v>
      </c>
      <c r="F7" s="620"/>
      <c r="G7" s="620" t="s">
        <v>526</v>
      </c>
      <c r="H7" s="621"/>
      <c r="I7" s="620" t="s">
        <v>525</v>
      </c>
      <c r="J7" s="620" t="s">
        <v>188</v>
      </c>
      <c r="K7" s="618"/>
      <c r="L7" s="620" t="s">
        <v>526</v>
      </c>
      <c r="M7" s="618"/>
      <c r="N7" s="620" t="s">
        <v>188</v>
      </c>
      <c r="O7" s="619" t="s">
        <v>525</v>
      </c>
      <c r="P7" s="619"/>
    </row>
    <row r="8" spans="1:16" s="611" customFormat="1" ht="12.75" customHeight="1">
      <c r="A8" s="615"/>
      <c r="B8" s="615"/>
      <c r="C8" s="615"/>
      <c r="D8" s="615"/>
      <c r="E8" s="617" t="s">
        <v>367</v>
      </c>
      <c r="F8" s="614"/>
      <c r="G8" s="617" t="s">
        <v>368</v>
      </c>
      <c r="H8" s="614"/>
      <c r="I8" s="617" t="s">
        <v>524</v>
      </c>
      <c r="J8" s="617" t="s">
        <v>368</v>
      </c>
      <c r="K8" s="618"/>
      <c r="L8" s="617" t="s">
        <v>369</v>
      </c>
      <c r="M8" s="618"/>
      <c r="N8" s="617" t="s">
        <v>369</v>
      </c>
      <c r="O8" s="616" t="s">
        <v>463</v>
      </c>
      <c r="P8" s="612"/>
    </row>
    <row r="9" spans="1:16" s="611" customFormat="1" ht="15.75">
      <c r="A9" s="615"/>
      <c r="B9" s="615"/>
      <c r="C9" s="615"/>
      <c r="D9" s="615"/>
      <c r="E9" s="614"/>
      <c r="F9" s="614"/>
      <c r="G9" s="614"/>
      <c r="H9" s="614"/>
      <c r="I9" s="614"/>
      <c r="J9" s="614"/>
      <c r="K9" s="594"/>
      <c r="L9" s="614"/>
      <c r="M9" s="594"/>
      <c r="N9" s="595"/>
      <c r="O9" s="613"/>
      <c r="P9" s="612"/>
    </row>
    <row r="10" spans="1:16" s="594" customFormat="1">
      <c r="A10" s="599" t="s">
        <v>8</v>
      </c>
      <c r="B10" s="599"/>
      <c r="C10" s="599"/>
      <c r="D10" s="599"/>
      <c r="E10" s="596">
        <v>133307</v>
      </c>
      <c r="F10" s="596"/>
      <c r="G10" s="596">
        <v>2795</v>
      </c>
      <c r="H10" s="596"/>
      <c r="I10" s="596"/>
      <c r="J10" s="596">
        <f>E10+G10</f>
        <v>136102</v>
      </c>
      <c r="L10" s="596">
        <v>3135</v>
      </c>
      <c r="N10" s="596">
        <f>J10+L10</f>
        <v>139237</v>
      </c>
      <c r="O10" s="596"/>
      <c r="P10" s="596"/>
    </row>
    <row r="11" spans="1:16" s="594" customFormat="1">
      <c r="A11" s="610"/>
      <c r="B11" s="610"/>
      <c r="C11" s="610"/>
      <c r="D11" s="610"/>
      <c r="E11" s="600"/>
      <c r="F11" s="598"/>
      <c r="G11" s="595"/>
      <c r="H11" s="597"/>
      <c r="I11" s="595"/>
      <c r="J11" s="598"/>
      <c r="L11" s="597"/>
      <c r="N11" s="598"/>
      <c r="O11" s="600"/>
      <c r="P11" s="595"/>
    </row>
    <row r="12" spans="1:16" s="594" customFormat="1">
      <c r="A12" s="609" t="s">
        <v>370</v>
      </c>
      <c r="B12" s="609"/>
      <c r="C12" s="609"/>
      <c r="D12" s="609"/>
      <c r="E12" s="596">
        <f>+E14+E19+E24+E25+E26+E27</f>
        <v>91686</v>
      </c>
      <c r="F12" s="598"/>
      <c r="G12" s="596">
        <f>+G14+G19+G24+G25+G26+G27</f>
        <v>1900</v>
      </c>
      <c r="H12" s="597"/>
      <c r="I12" s="596"/>
      <c r="J12" s="596">
        <f>+J14+J19+J24+J25+J26+J27</f>
        <v>93586</v>
      </c>
      <c r="L12" s="596">
        <f>+L14+L19+L24+L25+L26+L27</f>
        <v>2084</v>
      </c>
      <c r="N12" s="596">
        <f>+N14+N19+N24+N25+N26+N27</f>
        <v>95670</v>
      </c>
      <c r="O12" s="596"/>
      <c r="P12" s="595"/>
    </row>
    <row r="13" spans="1:16" s="594" customFormat="1" ht="4.5" customHeight="1">
      <c r="A13" s="609"/>
      <c r="B13" s="609"/>
      <c r="C13" s="609"/>
      <c r="D13" s="609"/>
      <c r="E13" s="596"/>
      <c r="F13" s="598"/>
      <c r="G13" s="596"/>
      <c r="H13" s="597"/>
      <c r="I13" s="596"/>
      <c r="J13" s="596"/>
      <c r="L13" s="596"/>
      <c r="N13" s="596"/>
      <c r="O13" s="596"/>
      <c r="P13" s="595"/>
    </row>
    <row r="14" spans="1:16" s="594" customFormat="1">
      <c r="A14" s="607"/>
      <c r="B14" s="599" t="s">
        <v>2</v>
      </c>
      <c r="C14" s="601"/>
      <c r="D14" s="607"/>
      <c r="E14" s="596">
        <f>SUM(E15:E17)</f>
        <v>36776</v>
      </c>
      <c r="F14" s="604"/>
      <c r="G14" s="596">
        <f>SUM(G15:G17)</f>
        <v>875</v>
      </c>
      <c r="H14" s="603"/>
      <c r="I14" s="596"/>
      <c r="J14" s="596">
        <f>SUM(J15:J17)</f>
        <v>37651</v>
      </c>
      <c r="L14" s="596">
        <f>SUM(L15:L17)</f>
        <v>875</v>
      </c>
      <c r="N14" s="596">
        <f>SUM(N15:N17)</f>
        <v>38526</v>
      </c>
      <c r="O14" s="596"/>
      <c r="P14" s="602"/>
    </row>
    <row r="15" spans="1:16" s="594" customFormat="1">
      <c r="A15" s="607"/>
      <c r="B15" s="601"/>
      <c r="C15" s="601" t="s">
        <v>523</v>
      </c>
      <c r="D15" s="607"/>
      <c r="E15" s="600">
        <v>33367</v>
      </c>
      <c r="F15" s="598"/>
      <c r="G15" s="595">
        <v>415</v>
      </c>
      <c r="H15" s="597"/>
      <c r="I15" s="595"/>
      <c r="J15" s="600">
        <f>E15+G15</f>
        <v>33782</v>
      </c>
      <c r="L15" s="595">
        <v>415</v>
      </c>
      <c r="N15" s="600">
        <f>J15+L15</f>
        <v>34197</v>
      </c>
      <c r="O15" s="600"/>
      <c r="P15" s="595"/>
    </row>
    <row r="16" spans="1:16" s="594" customFormat="1">
      <c r="A16" s="607"/>
      <c r="B16" s="601"/>
      <c r="C16" s="601" t="s">
        <v>522</v>
      </c>
      <c r="D16" s="607"/>
      <c r="E16" s="600">
        <v>1540</v>
      </c>
      <c r="F16" s="598"/>
      <c r="G16" s="595">
        <v>220</v>
      </c>
      <c r="H16" s="597"/>
      <c r="I16" s="595"/>
      <c r="J16" s="600">
        <f>E16+G16</f>
        <v>1760</v>
      </c>
      <c r="L16" s="595">
        <v>220</v>
      </c>
      <c r="N16" s="600">
        <f>J16+L16</f>
        <v>1980</v>
      </c>
      <c r="O16" s="600"/>
      <c r="P16" s="595"/>
    </row>
    <row r="17" spans="1:16" s="594" customFormat="1">
      <c r="A17" s="607"/>
      <c r="B17" s="601"/>
      <c r="C17" s="601" t="s">
        <v>521</v>
      </c>
      <c r="D17" s="607"/>
      <c r="E17" s="600">
        <v>1869</v>
      </c>
      <c r="F17" s="598"/>
      <c r="G17" s="595">
        <v>240</v>
      </c>
      <c r="H17" s="597"/>
      <c r="I17" s="595"/>
      <c r="J17" s="600">
        <f>E17+G17</f>
        <v>2109</v>
      </c>
      <c r="L17" s="595">
        <v>240</v>
      </c>
      <c r="N17" s="600">
        <f>J17+L17</f>
        <v>2349</v>
      </c>
      <c r="O17" s="600"/>
      <c r="P17" s="595"/>
    </row>
    <row r="18" spans="1:16" s="594" customFormat="1" ht="9" customHeight="1">
      <c r="A18" s="607"/>
      <c r="B18" s="601"/>
      <c r="C18" s="601"/>
      <c r="D18" s="607"/>
      <c r="E18" s="600"/>
      <c r="F18" s="598"/>
      <c r="G18" s="595"/>
      <c r="H18" s="597"/>
      <c r="I18" s="595"/>
      <c r="J18" s="600"/>
      <c r="L18" s="597"/>
      <c r="N18" s="600"/>
      <c r="O18" s="600"/>
      <c r="P18" s="595"/>
    </row>
    <row r="19" spans="1:16" s="594" customFormat="1">
      <c r="A19" s="607"/>
      <c r="B19" s="599" t="s">
        <v>3</v>
      </c>
      <c r="C19" s="601"/>
      <c r="D19" s="607"/>
      <c r="E19" s="596">
        <f>SUM(E20:E22)</f>
        <v>21400</v>
      </c>
      <c r="F19" s="604"/>
      <c r="G19" s="596">
        <f>SUM(G20:G22)</f>
        <v>400</v>
      </c>
      <c r="H19" s="603"/>
      <c r="I19" s="596"/>
      <c r="J19" s="596">
        <f>SUM(J20:J22)</f>
        <v>21800</v>
      </c>
      <c r="L19" s="596">
        <f>SUM(L20:L22)</f>
        <v>450</v>
      </c>
      <c r="N19" s="596">
        <f>SUM(N20:N22)</f>
        <v>22250</v>
      </c>
      <c r="O19" s="596"/>
      <c r="P19" s="602"/>
    </row>
    <row r="20" spans="1:16" s="594" customFormat="1">
      <c r="A20" s="607"/>
      <c r="B20" s="601"/>
      <c r="C20" s="601" t="s">
        <v>520</v>
      </c>
      <c r="D20" s="607"/>
      <c r="E20" s="600">
        <f>17719+1263</f>
        <v>18982</v>
      </c>
      <c r="F20" s="598"/>
      <c r="G20" s="608">
        <f>105+25</f>
        <v>130</v>
      </c>
      <c r="H20" s="597"/>
      <c r="I20" s="595"/>
      <c r="J20" s="600">
        <f>E20+G20</f>
        <v>19112</v>
      </c>
      <c r="L20" s="595">
        <f>105+35+20</f>
        <v>160</v>
      </c>
      <c r="N20" s="600">
        <f>J20+L20</f>
        <v>19272</v>
      </c>
      <c r="O20" s="600"/>
      <c r="P20" s="595"/>
    </row>
    <row r="21" spans="1:16" s="594" customFormat="1">
      <c r="A21" s="607"/>
      <c r="B21" s="601"/>
      <c r="C21" s="601" t="s">
        <v>519</v>
      </c>
      <c r="D21" s="607"/>
      <c r="E21" s="600">
        <v>730</v>
      </c>
      <c r="F21" s="598"/>
      <c r="G21" s="595">
        <v>70</v>
      </c>
      <c r="H21" s="597"/>
      <c r="I21" s="595"/>
      <c r="J21" s="600">
        <f>E21+G21</f>
        <v>800</v>
      </c>
      <c r="L21" s="595">
        <v>65</v>
      </c>
      <c r="N21" s="600">
        <f>J21+L21</f>
        <v>865</v>
      </c>
      <c r="O21" s="600"/>
      <c r="P21" s="595"/>
    </row>
    <row r="22" spans="1:16" s="594" customFormat="1">
      <c r="A22" s="607"/>
      <c r="B22" s="601"/>
      <c r="C22" s="601" t="s">
        <v>518</v>
      </c>
      <c r="D22" s="607"/>
      <c r="E22" s="600">
        <v>1688</v>
      </c>
      <c r="F22" s="598"/>
      <c r="G22" s="595">
        <v>200</v>
      </c>
      <c r="H22" s="597"/>
      <c r="I22" s="595"/>
      <c r="J22" s="600">
        <f>E22+G22</f>
        <v>1888</v>
      </c>
      <c r="L22" s="595">
        <v>225</v>
      </c>
      <c r="N22" s="600">
        <f>J22+L22</f>
        <v>2113</v>
      </c>
      <c r="O22" s="600"/>
      <c r="P22" s="595"/>
    </row>
    <row r="23" spans="1:16" s="594" customFormat="1" ht="9" customHeight="1">
      <c r="A23" s="607"/>
      <c r="B23" s="601"/>
      <c r="C23" s="601"/>
      <c r="D23" s="607"/>
      <c r="E23" s="600"/>
      <c r="F23" s="598"/>
      <c r="G23" s="595"/>
      <c r="H23" s="597"/>
      <c r="I23" s="595"/>
      <c r="J23" s="600"/>
      <c r="L23" s="597"/>
      <c r="N23" s="600"/>
      <c r="O23" s="600"/>
      <c r="P23" s="595"/>
    </row>
    <row r="24" spans="1:16" s="594" customFormat="1" ht="20.100000000000001" customHeight="1">
      <c r="A24" s="606"/>
      <c r="B24" s="599" t="s">
        <v>4</v>
      </c>
      <c r="C24" s="601"/>
      <c r="D24" s="606"/>
      <c r="E24" s="596">
        <v>8946</v>
      </c>
      <c r="F24" s="605"/>
      <c r="G24" s="605">
        <v>50</v>
      </c>
      <c r="H24" s="605"/>
      <c r="I24" s="605"/>
      <c r="J24" s="596">
        <f>E24+G24</f>
        <v>8996</v>
      </c>
      <c r="L24" s="602">
        <v>188</v>
      </c>
      <c r="N24" s="596">
        <f>J24+L24</f>
        <v>9184</v>
      </c>
      <c r="O24" s="605"/>
      <c r="P24" s="605"/>
    </row>
    <row r="25" spans="1:16" s="594" customFormat="1" ht="20.100000000000001" customHeight="1">
      <c r="A25" s="599"/>
      <c r="B25" s="599" t="s">
        <v>5</v>
      </c>
      <c r="C25" s="601"/>
      <c r="D25" s="599"/>
      <c r="E25" s="596">
        <v>8692</v>
      </c>
      <c r="F25" s="596"/>
      <c r="G25" s="605">
        <v>260</v>
      </c>
      <c r="H25" s="603"/>
      <c r="I25" s="602"/>
      <c r="J25" s="596">
        <f>E25+G25</f>
        <v>8952</v>
      </c>
      <c r="L25" s="602">
        <v>370</v>
      </c>
      <c r="N25" s="596">
        <f>J25+L25</f>
        <v>9322</v>
      </c>
      <c r="O25" s="596"/>
      <c r="P25" s="602"/>
    </row>
    <row r="26" spans="1:16" s="594" customFormat="1" ht="20.100000000000001" customHeight="1">
      <c r="A26" s="601"/>
      <c r="B26" s="599" t="s">
        <v>6</v>
      </c>
      <c r="C26" s="601"/>
      <c r="D26" s="601"/>
      <c r="E26" s="596">
        <v>4143</v>
      </c>
      <c r="F26" s="604"/>
      <c r="G26" s="602">
        <v>22</v>
      </c>
      <c r="H26" s="603"/>
      <c r="I26" s="602"/>
      <c r="J26" s="596">
        <f>E26+G26</f>
        <v>4165</v>
      </c>
      <c r="L26" s="602">
        <v>48</v>
      </c>
      <c r="N26" s="596">
        <f>J26+L26</f>
        <v>4213</v>
      </c>
      <c r="O26" s="596"/>
      <c r="P26" s="602"/>
    </row>
    <row r="27" spans="1:16" s="594" customFormat="1" ht="20.100000000000001" customHeight="1">
      <c r="A27" s="601"/>
      <c r="B27" s="599" t="s">
        <v>7</v>
      </c>
      <c r="C27" s="601"/>
      <c r="D27" s="601"/>
      <c r="E27" s="596">
        <v>11729</v>
      </c>
      <c r="F27" s="604"/>
      <c r="G27" s="602">
        <v>293</v>
      </c>
      <c r="H27" s="603"/>
      <c r="I27" s="602"/>
      <c r="J27" s="596">
        <f>E27+G27</f>
        <v>12022</v>
      </c>
      <c r="L27" s="602">
        <v>153</v>
      </c>
      <c r="N27" s="596">
        <f>J27+L27</f>
        <v>12175</v>
      </c>
      <c r="O27" s="596"/>
      <c r="P27" s="602"/>
    </row>
    <row r="28" spans="1:16" s="594" customFormat="1">
      <c r="A28" s="601"/>
      <c r="B28" s="601"/>
      <c r="C28" s="601"/>
      <c r="D28" s="601"/>
      <c r="E28" s="600"/>
      <c r="F28" s="598"/>
      <c r="G28" s="595"/>
      <c r="H28" s="597"/>
      <c r="I28" s="595"/>
      <c r="J28" s="600"/>
      <c r="L28" s="597"/>
      <c r="N28" s="600"/>
      <c r="O28" s="600"/>
      <c r="P28" s="595"/>
    </row>
    <row r="29" spans="1:16" s="594" customFormat="1">
      <c r="A29" s="599" t="s">
        <v>9</v>
      </c>
      <c r="B29" s="599"/>
      <c r="C29" s="599"/>
      <c r="D29" s="599"/>
      <c r="E29" s="596">
        <f>+E12+E10</f>
        <v>224993</v>
      </c>
      <c r="F29" s="598"/>
      <c r="G29" s="596">
        <f>+G12+G10</f>
        <v>4695</v>
      </c>
      <c r="H29" s="597"/>
      <c r="I29" s="596"/>
      <c r="J29" s="596">
        <f>+J12+J10</f>
        <v>229688</v>
      </c>
      <c r="L29" s="596">
        <f>+L12+L10</f>
        <v>5219</v>
      </c>
      <c r="N29" s="596">
        <f>+N12+N10</f>
        <v>234907</v>
      </c>
      <c r="O29" s="596"/>
      <c r="P29" s="595"/>
    </row>
    <row r="30" spans="1:16" s="344" customFormat="1" ht="18" customHeight="1">
      <c r="A30" s="357"/>
      <c r="B30" s="357"/>
      <c r="C30" s="355"/>
      <c r="D30" s="355"/>
      <c r="E30" s="358"/>
      <c r="F30" s="358"/>
      <c r="G30" s="358"/>
      <c r="H30" s="358"/>
      <c r="I30" s="358"/>
      <c r="J30" s="358"/>
      <c r="K30" s="358"/>
      <c r="L30" s="358"/>
      <c r="M30" s="358"/>
      <c r="N30" s="358"/>
      <c r="O30" s="358"/>
    </row>
    <row r="31" spans="1:16" s="344" customFormat="1" ht="15" customHeight="1">
      <c r="A31" s="363"/>
      <c r="B31" s="363"/>
      <c r="C31" s="364"/>
      <c r="D31" s="364"/>
      <c r="E31" s="365"/>
      <c r="F31" s="365"/>
      <c r="G31" s="365"/>
      <c r="H31" s="365"/>
      <c r="I31" s="365"/>
      <c r="J31" s="366"/>
      <c r="K31" s="366"/>
      <c r="L31" s="366"/>
      <c r="M31" s="366"/>
      <c r="N31" s="364"/>
      <c r="O31" s="367"/>
    </row>
    <row r="32" spans="1:16" s="344" customFormat="1" ht="15" customHeight="1">
      <c r="E32" s="345"/>
      <c r="F32" s="345"/>
      <c r="G32" s="345"/>
      <c r="H32" s="345"/>
      <c r="I32" s="345"/>
      <c r="J32" s="346"/>
      <c r="K32" s="345"/>
      <c r="L32" s="346"/>
      <c r="M32" s="345"/>
      <c r="N32" s="345"/>
      <c r="O32" s="368"/>
    </row>
    <row r="33" spans="1:7" s="374" customFormat="1" ht="15.75" customHeight="1">
      <c r="A33" s="374" t="s">
        <v>517</v>
      </c>
      <c r="G33" s="593"/>
    </row>
    <row r="34" spans="1:7" s="590" customFormat="1" ht="15.75" customHeight="1">
      <c r="A34" s="592" t="s">
        <v>516</v>
      </c>
      <c r="G34" s="591"/>
    </row>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row r="43" spans="1:7" ht="12.75" customHeight="1"/>
    <row r="44" spans="1:7" ht="12.75" customHeight="1"/>
    <row r="45" spans="1:7" ht="12.75" customHeight="1"/>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sheetData>
  <mergeCells count="4">
    <mergeCell ref="E5:N5"/>
    <mergeCell ref="A1:N1"/>
    <mergeCell ref="A2:N2"/>
    <mergeCell ref="A3:N3"/>
  </mergeCells>
  <printOptions horizontalCentered="1"/>
  <pageMargins left="0.5" right="0.5" top="0.7" bottom="0.7" header="0.5" footer="0.35"/>
  <pageSetup firstPageNumber="319" orientation="portrait" useFirstPageNumber="1" r:id="rId1"/>
  <headerFooter alignWithMargins="0">
    <oddFooter>&amp;C&amp;"Times New Roman,Regular"&amp;10&amp;P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tabColor rgb="FFFFFF00"/>
  </sheetPr>
  <dimension ref="A1:E1326"/>
  <sheetViews>
    <sheetView workbookViewId="0"/>
  </sheetViews>
  <sheetFormatPr defaultRowHeight="12.75"/>
  <cols>
    <col min="1" max="1" width="9.25" bestFit="1" customWidth="1"/>
    <col min="2" max="2" width="11" bestFit="1" customWidth="1"/>
    <col min="3" max="3" width="30.5" bestFit="1" customWidth="1"/>
    <col min="4" max="4" width="46.125" bestFit="1" customWidth="1"/>
    <col min="5" max="5" width="12.5" bestFit="1" customWidth="1"/>
  </cols>
  <sheetData>
    <row r="1" spans="1:5">
      <c r="A1" t="s">
        <v>1757</v>
      </c>
      <c r="B1" t="s">
        <v>1761</v>
      </c>
      <c r="C1" t="s">
        <v>1758</v>
      </c>
      <c r="D1" t="s">
        <v>1759</v>
      </c>
      <c r="E1" t="s">
        <v>1760</v>
      </c>
    </row>
    <row r="2" spans="1:5">
      <c r="A2" t="str">
        <f>TEXT(LEFT(Enrollment!$B$6,4)+1,"0000")</f>
        <v>1990</v>
      </c>
      <c r="B2" t="str">
        <f>+OperatingFunds!$A$8</f>
        <v>360</v>
      </c>
      <c r="C2" t="s">
        <v>1762</v>
      </c>
      <c r="D2" t="s">
        <v>1765</v>
      </c>
      <c r="E2" s="32">
        <f>INDEX(Enrollment!$B$10:$AAB$18,ROW(BudgetedFTEHistory!$A$1),ROW(BudgetedFTEHistory!A$1))</f>
        <v>29623</v>
      </c>
    </row>
    <row r="3" spans="1:5">
      <c r="A3" t="str">
        <f>TEXT(LEFT(Enrollment!$B$6,4)+1,"0000")</f>
        <v>1990</v>
      </c>
      <c r="B3" t="str">
        <f>+OperatingFunds!$A$9</f>
        <v>365</v>
      </c>
      <c r="C3" t="s">
        <v>1762</v>
      </c>
      <c r="D3" t="s">
        <v>1765</v>
      </c>
      <c r="E3" s="32">
        <f>INDEX(Enrollment!$B$10:$AAB$18,ROW(BudgetedFTEHistory!$A$2),ROW(BudgetedFTEHistory!A$1))</f>
        <v>16590</v>
      </c>
    </row>
    <row r="4" spans="1:5">
      <c r="A4" t="str">
        <f>TEXT(LEFT(Enrollment!$B$6,4)+1,"0000")</f>
        <v>1990</v>
      </c>
      <c r="B4" t="str">
        <f>+OperatingFunds!$A$10</f>
        <v>370</v>
      </c>
      <c r="C4" t="s">
        <v>1762</v>
      </c>
      <c r="D4" t="s">
        <v>1765</v>
      </c>
      <c r="E4" s="32">
        <f>INDEX(Enrollment!$B$10:$AAB$18,ROW(BudgetedFTEHistory!$A$3),ROW(BudgetedFTEHistory!A$1))</f>
        <v>7214</v>
      </c>
    </row>
    <row r="5" spans="1:5">
      <c r="A5" t="str">
        <f>TEXT(LEFT(Enrollment!$B$6,4)+1,"0000")</f>
        <v>1990</v>
      </c>
      <c r="B5" t="str">
        <f>+OperatingFunds!$A$11</f>
        <v>375</v>
      </c>
      <c r="C5" t="s">
        <v>1762</v>
      </c>
      <c r="D5" t="s">
        <v>1765</v>
      </c>
      <c r="E5" s="32">
        <f>INDEX(Enrollment!$B$10:$AAB$18,ROW(BudgetedFTEHistory!$A$4),ROW(BudgetedFTEHistory!A$1))</f>
        <v>6221</v>
      </c>
    </row>
    <row r="6" spans="1:5">
      <c r="A6" t="str">
        <f>TEXT(LEFT(Enrollment!$B$6,4)+1,"0000")</f>
        <v>1990</v>
      </c>
      <c r="B6" t="str">
        <f>+OperatingFunds!$A$12</f>
        <v>376</v>
      </c>
      <c r="C6" t="s">
        <v>1762</v>
      </c>
      <c r="D6" t="s">
        <v>1765</v>
      </c>
      <c r="E6" s="32">
        <f>INDEX(Enrollment!$B$10:$AAB$18,ROW(BudgetedFTEHistory!$A$5),ROW(BudgetedFTEHistory!A$1))</f>
        <v>2988</v>
      </c>
    </row>
    <row r="7" spans="1:5">
      <c r="A7" t="str">
        <f>TEXT(LEFT(Enrollment!$B$6,4)+1,"0000")</f>
        <v>1990</v>
      </c>
      <c r="B7" t="str">
        <f>+OperatingFunds!$A$13</f>
        <v>380</v>
      </c>
      <c r="C7" t="s">
        <v>1762</v>
      </c>
      <c r="D7" t="s">
        <v>1765</v>
      </c>
      <c r="E7" s="32">
        <f>INDEX(Enrollment!$B$10:$AAB$18,ROW(BudgetedFTEHistory!$A$6),ROW(BudgetedFTEHistory!A$1))</f>
        <v>8439</v>
      </c>
    </row>
    <row r="8" spans="1:5">
      <c r="A8" t="str">
        <f>TEXT(LEFT(Enrollment!$B$6,4)+1,"0000")</f>
        <v>1990</v>
      </c>
      <c r="B8" t="str">
        <f>+OperatingFunds!$A$16</f>
        <v>699</v>
      </c>
      <c r="C8" t="s">
        <v>1762</v>
      </c>
      <c r="D8" t="s">
        <v>1765</v>
      </c>
      <c r="E8" s="32">
        <f>INDEX(Enrollment!$B$10:$AAB$18,ROW(BudgetedFTEHistory!$A$9),ROW(BudgetedFTEHistory!A$1))</f>
        <v>98931</v>
      </c>
    </row>
    <row r="9" spans="1:5">
      <c r="A9" t="str">
        <f>TEXT(LEFT(Enrollment!$C$6,4)+1,"0000")</f>
        <v>1991</v>
      </c>
      <c r="B9" t="str">
        <f>+OperatingFunds!$A$8</f>
        <v>360</v>
      </c>
      <c r="C9" t="s">
        <v>1762</v>
      </c>
      <c r="D9" t="s">
        <v>1765</v>
      </c>
      <c r="E9" s="32">
        <f>INDEX(Enrollment!$B$10:$AAB$18,ROW(BudgetedFTEHistory!$A$1),ROW(BudgetedFTEHistory!A$2))</f>
        <v>30123</v>
      </c>
    </row>
    <row r="10" spans="1:5">
      <c r="A10" t="str">
        <f>TEXT(LEFT(Enrollment!$C$6,4)+1,"0000")</f>
        <v>1991</v>
      </c>
      <c r="B10" t="str">
        <f>+OperatingFunds!$A$9</f>
        <v>365</v>
      </c>
      <c r="C10" t="s">
        <v>1762</v>
      </c>
      <c r="D10" t="s">
        <v>1765</v>
      </c>
      <c r="E10" s="32">
        <f>INDEX(Enrollment!$B$10:$AAB$18,ROW(BudgetedFTEHistory!$A$2),ROW(BudgetedFTEHistory!A$2))</f>
        <v>16777</v>
      </c>
    </row>
    <row r="11" spans="1:5">
      <c r="A11" t="str">
        <f>TEXT(LEFT(Enrollment!$C$6,4)+1,"0000")</f>
        <v>1991</v>
      </c>
      <c r="B11" t="str">
        <f>+OperatingFunds!$A$10</f>
        <v>370</v>
      </c>
      <c r="C11" t="s">
        <v>1762</v>
      </c>
      <c r="D11" t="s">
        <v>1765</v>
      </c>
      <c r="E11" s="32">
        <f>INDEX(Enrollment!$B$10:$AAB$18,ROW(BudgetedFTEHistory!$A$3),ROW(BudgetedFTEHistory!A$2))</f>
        <v>7417</v>
      </c>
    </row>
    <row r="12" spans="1:5">
      <c r="A12" t="str">
        <f>TEXT(LEFT(Enrollment!$C$6,4)+1,"0000")</f>
        <v>1991</v>
      </c>
      <c r="B12" t="str">
        <f>+OperatingFunds!$A$11</f>
        <v>375</v>
      </c>
      <c r="C12" t="s">
        <v>1762</v>
      </c>
      <c r="D12" t="s">
        <v>1765</v>
      </c>
      <c r="E12" s="32">
        <f>INDEX(Enrollment!$B$10:$AAB$18,ROW(BudgetedFTEHistory!$A$4),ROW(BudgetedFTEHistory!A$2))</f>
        <v>6429</v>
      </c>
    </row>
    <row r="13" spans="1:5">
      <c r="A13" t="str">
        <f>TEXT(LEFT(Enrollment!$C$6,4)+1,"0000")</f>
        <v>1991</v>
      </c>
      <c r="B13" t="str">
        <f>+OperatingFunds!$A$12</f>
        <v>376</v>
      </c>
      <c r="C13" t="s">
        <v>1762</v>
      </c>
      <c r="D13" t="s">
        <v>1765</v>
      </c>
      <c r="E13" s="32">
        <f>INDEX(Enrollment!$B$10:$AAB$18,ROW(BudgetedFTEHistory!$A$5),ROW(BudgetedFTEHistory!A$2))</f>
        <v>3089</v>
      </c>
    </row>
    <row r="14" spans="1:5">
      <c r="A14" t="str">
        <f>TEXT(LEFT(Enrollment!$C$6,4)+1,"0000")</f>
        <v>1991</v>
      </c>
      <c r="B14" t="str">
        <f>+OperatingFunds!$A$13</f>
        <v>380</v>
      </c>
      <c r="C14" t="s">
        <v>1762</v>
      </c>
      <c r="D14" t="s">
        <v>1765</v>
      </c>
      <c r="E14" s="32">
        <f>INDEX(Enrollment!$B$10:$AAB$18,ROW(BudgetedFTEHistory!$A$6),ROW(BudgetedFTEHistory!A$2))</f>
        <v>8731</v>
      </c>
    </row>
    <row r="15" spans="1:5">
      <c r="A15" t="str">
        <f>TEXT(LEFT(Enrollment!$C$6,4)+1,"0000")</f>
        <v>1991</v>
      </c>
      <c r="B15" t="str">
        <f>+OperatingFunds!$A$16</f>
        <v>699</v>
      </c>
      <c r="C15" t="s">
        <v>1762</v>
      </c>
      <c r="D15" t="s">
        <v>1765</v>
      </c>
      <c r="E15" s="32">
        <f>INDEX(Enrollment!$B$10:$AAB$18,ROW(BudgetedFTEHistory!$A$9),ROW(BudgetedFTEHistory!A$2))</f>
        <v>100523</v>
      </c>
    </row>
    <row r="16" spans="1:5">
      <c r="A16" t="str">
        <f>TEXT(LEFT(Enrollment!$D$6,4)+1,"0000")</f>
        <v>1992</v>
      </c>
      <c r="B16" t="str">
        <f>+OperatingFunds!$A$8</f>
        <v>360</v>
      </c>
      <c r="C16" t="s">
        <v>1762</v>
      </c>
      <c r="D16" t="s">
        <v>1765</v>
      </c>
      <c r="E16" s="32">
        <f>INDEX(Enrollment!$B$10:$AAB$18,ROW(BudgetedFTEHistory!$A$1),ROW(BudgetedFTEHistory!A$3))</f>
        <v>30723</v>
      </c>
    </row>
    <row r="17" spans="1:5">
      <c r="A17" t="str">
        <f>TEXT(LEFT(Enrollment!$D$6,4)+1,"0000")</f>
        <v>1992</v>
      </c>
      <c r="B17" t="str">
        <f>+OperatingFunds!$A$9</f>
        <v>365</v>
      </c>
      <c r="C17" t="s">
        <v>1762</v>
      </c>
      <c r="D17" t="s">
        <v>1765</v>
      </c>
      <c r="E17" s="32">
        <f>INDEX(Enrollment!$B$10:$AAB$18,ROW(BudgetedFTEHistory!$A$2),ROW(BudgetedFTEHistory!A$3))</f>
        <v>16459</v>
      </c>
    </row>
    <row r="18" spans="1:5">
      <c r="A18" t="str">
        <f>TEXT(LEFT(Enrollment!$D$6,4)+1,"0000")</f>
        <v>1992</v>
      </c>
      <c r="B18" t="str">
        <f>+OperatingFunds!$A$10</f>
        <v>370</v>
      </c>
      <c r="C18" t="s">
        <v>1762</v>
      </c>
      <c r="D18" t="s">
        <v>1765</v>
      </c>
      <c r="E18" s="32">
        <f>INDEX(Enrollment!$B$10:$AAB$18,ROW(BudgetedFTEHistory!$A$3),ROW(BudgetedFTEHistory!A$3))</f>
        <v>7360</v>
      </c>
    </row>
    <row r="19" spans="1:5">
      <c r="A19" t="str">
        <f>TEXT(LEFT(Enrollment!$D$6,4)+1,"0000")</f>
        <v>1992</v>
      </c>
      <c r="B19" t="str">
        <f>+OperatingFunds!$A$11</f>
        <v>375</v>
      </c>
      <c r="C19" t="s">
        <v>1762</v>
      </c>
      <c r="D19" t="s">
        <v>1765</v>
      </c>
      <c r="E19" s="32">
        <f>INDEX(Enrollment!$B$10:$AAB$18,ROW(BudgetedFTEHistory!$A$4),ROW(BudgetedFTEHistory!A$3))</f>
        <v>6312</v>
      </c>
    </row>
    <row r="20" spans="1:5">
      <c r="A20" t="str">
        <f>TEXT(LEFT(Enrollment!$D$6,4)+1,"0000")</f>
        <v>1992</v>
      </c>
      <c r="B20" t="str">
        <f>+OperatingFunds!$A$12</f>
        <v>376</v>
      </c>
      <c r="C20" t="s">
        <v>1762</v>
      </c>
      <c r="D20" t="s">
        <v>1765</v>
      </c>
      <c r="E20" s="32">
        <f>INDEX(Enrollment!$B$10:$AAB$18,ROW(BudgetedFTEHistory!$A$5),ROW(BudgetedFTEHistory!A$3))</f>
        <v>3203</v>
      </c>
    </row>
    <row r="21" spans="1:5">
      <c r="A21" t="str">
        <f>TEXT(LEFT(Enrollment!$D$6,4)+1,"0000")</f>
        <v>1992</v>
      </c>
      <c r="B21" t="str">
        <f>+OperatingFunds!$A$13</f>
        <v>380</v>
      </c>
      <c r="C21" t="s">
        <v>1762</v>
      </c>
      <c r="D21" t="s">
        <v>1765</v>
      </c>
      <c r="E21" s="32">
        <f>INDEX(Enrollment!$B$10:$AAB$18,ROW(BudgetedFTEHistory!$A$6),ROW(BudgetedFTEHistory!A$3))</f>
        <v>9021</v>
      </c>
    </row>
    <row r="22" spans="1:5">
      <c r="A22" t="str">
        <f>TEXT(LEFT(Enrollment!$D$6,4)+1,"0000")</f>
        <v>1992</v>
      </c>
      <c r="B22" t="str">
        <f>+OperatingFunds!$A$16</f>
        <v>699</v>
      </c>
      <c r="C22" t="s">
        <v>1762</v>
      </c>
      <c r="D22" t="s">
        <v>1765</v>
      </c>
      <c r="E22" s="32">
        <f>INDEX(Enrollment!$B$10:$AAB$18,ROW(BudgetedFTEHistory!$A$9),ROW(BudgetedFTEHistory!A$3))</f>
        <v>104295</v>
      </c>
    </row>
    <row r="23" spans="1:5">
      <c r="A23" t="str">
        <f>TEXT(LEFT(Enrollment!$E$6,4)+1,"0000")</f>
        <v>1993</v>
      </c>
      <c r="B23" t="str">
        <f>+OperatingFunds!$A$8</f>
        <v>360</v>
      </c>
      <c r="C23" t="s">
        <v>1762</v>
      </c>
      <c r="D23" t="s">
        <v>1765</v>
      </c>
      <c r="E23" s="32">
        <f>INDEX(Enrollment!$B$10:$AAB$18,ROW(BudgetedFTEHistory!$A$1),ROW(BudgetedFTEHistory!A$4))</f>
        <v>31210</v>
      </c>
    </row>
    <row r="24" spans="1:5">
      <c r="A24" t="str">
        <f>TEXT(LEFT(Enrollment!$E$6,4)+1,"0000")</f>
        <v>1993</v>
      </c>
      <c r="B24" t="str">
        <f>+OperatingFunds!$A$9</f>
        <v>365</v>
      </c>
      <c r="C24" t="s">
        <v>1762</v>
      </c>
      <c r="D24" t="s">
        <v>1765</v>
      </c>
      <c r="E24" s="32">
        <f>INDEX(Enrollment!$B$10:$AAB$18,ROW(BudgetedFTEHistory!$A$2),ROW(BudgetedFTEHistory!A$4))</f>
        <v>16710</v>
      </c>
    </row>
    <row r="25" spans="1:5">
      <c r="A25" t="str">
        <f>TEXT(LEFT(Enrollment!$E$6,4)+1,"0000")</f>
        <v>1993</v>
      </c>
      <c r="B25" t="str">
        <f>+OperatingFunds!$A$10</f>
        <v>370</v>
      </c>
      <c r="C25" t="s">
        <v>1762</v>
      </c>
      <c r="D25" t="s">
        <v>1765</v>
      </c>
      <c r="E25" s="32">
        <f>INDEX(Enrollment!$B$10:$AAB$18,ROW(BudgetedFTEHistory!$A$3),ROW(BudgetedFTEHistory!A$4))</f>
        <v>7533</v>
      </c>
    </row>
    <row r="26" spans="1:5">
      <c r="A26" t="str">
        <f>TEXT(LEFT(Enrollment!$E$6,4)+1,"0000")</f>
        <v>1993</v>
      </c>
      <c r="B26" t="str">
        <f>+OperatingFunds!$A$11</f>
        <v>375</v>
      </c>
      <c r="C26" t="s">
        <v>1762</v>
      </c>
      <c r="D26" t="s">
        <v>1765</v>
      </c>
      <c r="E26" s="32">
        <f>INDEX(Enrollment!$B$10:$AAB$18,ROW(BudgetedFTEHistory!$A$4),ROW(BudgetedFTEHistory!A$4))</f>
        <v>6588</v>
      </c>
    </row>
    <row r="27" spans="1:5">
      <c r="A27" t="str">
        <f>TEXT(LEFT(Enrollment!$E$6,4)+1,"0000")</f>
        <v>1993</v>
      </c>
      <c r="B27" t="str">
        <f>+OperatingFunds!$A$12</f>
        <v>376</v>
      </c>
      <c r="C27" t="s">
        <v>1762</v>
      </c>
      <c r="D27" t="s">
        <v>1765</v>
      </c>
      <c r="E27" s="32">
        <f>INDEX(Enrollment!$B$10:$AAB$18,ROW(BudgetedFTEHistory!$A$5),ROW(BudgetedFTEHistory!A$4))</f>
        <v>3236</v>
      </c>
    </row>
    <row r="28" spans="1:5">
      <c r="A28" t="str">
        <f>TEXT(LEFT(Enrollment!$E$6,4)+1,"0000")</f>
        <v>1993</v>
      </c>
      <c r="B28" t="str">
        <f>+OperatingFunds!$A$13</f>
        <v>380</v>
      </c>
      <c r="C28" t="s">
        <v>1762</v>
      </c>
      <c r="D28" t="s">
        <v>1765</v>
      </c>
      <c r="E28" s="32">
        <f>INDEX(Enrollment!$B$10:$AAB$18,ROW(BudgetedFTEHistory!$A$6),ROW(BudgetedFTEHistory!A$4))</f>
        <v>9145</v>
      </c>
    </row>
    <row r="29" spans="1:5">
      <c r="A29" t="str">
        <f>TEXT(LEFT(Enrollment!$E$6,4)+1,"0000")</f>
        <v>1993</v>
      </c>
      <c r="B29" t="str">
        <f>+OperatingFunds!$A$16</f>
        <v>699</v>
      </c>
      <c r="C29" t="s">
        <v>1762</v>
      </c>
      <c r="D29" t="s">
        <v>1765</v>
      </c>
      <c r="E29" s="32">
        <f>INDEX(Enrollment!$B$10:$AAB$18,ROW(BudgetedFTEHistory!$A$9),ROW(BudgetedFTEHistory!A$4))</f>
        <v>107115</v>
      </c>
    </row>
    <row r="30" spans="1:5">
      <c r="A30" t="str">
        <f>TEXT(LEFT(Enrollment!$F$6,4)+1,"0000")</f>
        <v>1994</v>
      </c>
      <c r="B30" t="str">
        <f>+OperatingFunds!$A$8</f>
        <v>360</v>
      </c>
      <c r="C30" t="s">
        <v>1762</v>
      </c>
      <c r="D30" t="s">
        <v>1765</v>
      </c>
      <c r="E30" s="32">
        <f>INDEX(Enrollment!$B$10:$AAB$18,ROW(BudgetedFTEHistory!$A$1),ROW(BudgetedFTEHistory!A$5))</f>
        <v>31341</v>
      </c>
    </row>
    <row r="31" spans="1:5">
      <c r="A31" t="str">
        <f>TEXT(LEFT(Enrollment!$F$6,4)+1,"0000")</f>
        <v>1994</v>
      </c>
      <c r="B31" t="str">
        <f>+OperatingFunds!$A$9</f>
        <v>365</v>
      </c>
      <c r="C31" t="s">
        <v>1762</v>
      </c>
      <c r="D31" t="s">
        <v>1765</v>
      </c>
      <c r="E31" s="32">
        <f>INDEX(Enrollment!$B$10:$AAB$18,ROW(BudgetedFTEHistory!$A$2),ROW(BudgetedFTEHistory!A$5))</f>
        <v>17503</v>
      </c>
    </row>
    <row r="32" spans="1:5">
      <c r="A32" t="str">
        <f>TEXT(LEFT(Enrollment!$F$6,4)+1,"0000")</f>
        <v>1994</v>
      </c>
      <c r="B32" t="str">
        <f>+OperatingFunds!$A$10</f>
        <v>370</v>
      </c>
      <c r="C32" t="s">
        <v>1762</v>
      </c>
      <c r="D32" t="s">
        <v>1765</v>
      </c>
      <c r="E32" s="32">
        <f>INDEX(Enrollment!$B$10:$AAB$18,ROW(BudgetedFTEHistory!$A$3),ROW(BudgetedFTEHistory!A$5))</f>
        <v>7635</v>
      </c>
    </row>
    <row r="33" spans="1:5">
      <c r="A33" t="str">
        <f>TEXT(LEFT(Enrollment!$F$6,4)+1,"0000")</f>
        <v>1994</v>
      </c>
      <c r="B33" t="str">
        <f>+OperatingFunds!$A$11</f>
        <v>375</v>
      </c>
      <c r="C33" t="s">
        <v>1762</v>
      </c>
      <c r="D33" t="s">
        <v>1765</v>
      </c>
      <c r="E33" s="32">
        <f>INDEX(Enrollment!$B$10:$AAB$18,ROW(BudgetedFTEHistory!$A$4),ROW(BudgetedFTEHistory!A$5))</f>
        <v>7339</v>
      </c>
    </row>
    <row r="34" spans="1:5">
      <c r="A34" t="str">
        <f>TEXT(LEFT(Enrollment!$F$6,4)+1,"0000")</f>
        <v>1994</v>
      </c>
      <c r="B34" t="str">
        <f>+OperatingFunds!$A$12</f>
        <v>376</v>
      </c>
      <c r="C34" t="s">
        <v>1762</v>
      </c>
      <c r="D34" t="s">
        <v>1765</v>
      </c>
      <c r="E34" s="32">
        <f>INDEX(Enrollment!$B$10:$AAB$18,ROW(BudgetedFTEHistory!$A$5),ROW(BudgetedFTEHistory!A$5))</f>
        <v>3282</v>
      </c>
    </row>
    <row r="35" spans="1:5">
      <c r="A35" t="str">
        <f>TEXT(LEFT(Enrollment!$F$6,4)+1,"0000")</f>
        <v>1994</v>
      </c>
      <c r="B35" t="str">
        <f>+OperatingFunds!$A$13</f>
        <v>380</v>
      </c>
      <c r="C35" t="s">
        <v>1762</v>
      </c>
      <c r="D35" t="s">
        <v>1765</v>
      </c>
      <c r="E35" s="32">
        <f>INDEX(Enrollment!$B$10:$AAB$18,ROW(BudgetedFTEHistory!$A$6),ROW(BudgetedFTEHistory!A$5))</f>
        <v>9359</v>
      </c>
    </row>
    <row r="36" spans="1:5">
      <c r="A36" t="str">
        <f>TEXT(LEFT(Enrollment!$F$6,4)+1,"0000")</f>
        <v>1994</v>
      </c>
      <c r="B36" t="str">
        <f>+OperatingFunds!$A$16</f>
        <v>699</v>
      </c>
      <c r="C36" t="s">
        <v>1762</v>
      </c>
      <c r="D36" t="s">
        <v>1765</v>
      </c>
      <c r="E36" s="32">
        <f>INDEX(Enrollment!$B$10:$AAB$18,ROW(BudgetedFTEHistory!$A$9),ROW(BudgetedFTEHistory!A$5))</f>
        <v>111035</v>
      </c>
    </row>
    <row r="37" spans="1:5">
      <c r="A37" t="str">
        <f>TEXT(LEFT(Enrollment!$G$6,4)+1,"0000")</f>
        <v>1995</v>
      </c>
      <c r="B37" t="str">
        <f>+OperatingFunds!$A$8</f>
        <v>360</v>
      </c>
      <c r="C37" t="s">
        <v>1762</v>
      </c>
      <c r="D37" t="s">
        <v>1765</v>
      </c>
      <c r="E37" s="32">
        <f>INDEX(Enrollment!$B$10:$AAB$18,ROW(BudgetedFTEHistory!$A$1),ROW(BudgetedFTEHistory!A$6))</f>
        <v>31494</v>
      </c>
    </row>
    <row r="38" spans="1:5">
      <c r="A38" t="str">
        <f>TEXT(LEFT(Enrollment!$G$6,4)+1,"0000")</f>
        <v>1995</v>
      </c>
      <c r="B38" t="str">
        <f>+OperatingFunds!$A$9</f>
        <v>365</v>
      </c>
      <c r="C38" t="s">
        <v>1762</v>
      </c>
      <c r="D38" t="s">
        <v>1765</v>
      </c>
      <c r="E38" s="32">
        <f>INDEX(Enrollment!$B$10:$AAB$18,ROW(BudgetedFTEHistory!$A$2),ROW(BudgetedFTEHistory!A$6))</f>
        <v>18081</v>
      </c>
    </row>
    <row r="39" spans="1:5">
      <c r="A39" t="str">
        <f>TEXT(LEFT(Enrollment!$G$6,4)+1,"0000")</f>
        <v>1995</v>
      </c>
      <c r="B39" t="str">
        <f>+OperatingFunds!$A$10</f>
        <v>370</v>
      </c>
      <c r="C39" t="s">
        <v>1762</v>
      </c>
      <c r="D39" t="s">
        <v>1765</v>
      </c>
      <c r="E39" s="32">
        <f>INDEX(Enrollment!$B$10:$AAB$18,ROW(BudgetedFTEHistory!$A$3),ROW(BudgetedFTEHistory!A$6))</f>
        <v>7605</v>
      </c>
    </row>
    <row r="40" spans="1:5">
      <c r="A40" t="str">
        <f>TEXT(LEFT(Enrollment!$G$6,4)+1,"0000")</f>
        <v>1995</v>
      </c>
      <c r="B40" t="str">
        <f>+OperatingFunds!$A$11</f>
        <v>375</v>
      </c>
      <c r="C40" t="s">
        <v>1762</v>
      </c>
      <c r="D40" t="s">
        <v>1765</v>
      </c>
      <c r="E40" s="32">
        <f>INDEX(Enrollment!$B$10:$AAB$18,ROW(BudgetedFTEHistory!$A$4),ROW(BudgetedFTEHistory!A$6))</f>
        <v>7737</v>
      </c>
    </row>
    <row r="41" spans="1:5">
      <c r="A41" t="str">
        <f>TEXT(LEFT(Enrollment!$G$6,4)+1,"0000")</f>
        <v>1995</v>
      </c>
      <c r="B41" t="str">
        <f>+OperatingFunds!$A$12</f>
        <v>376</v>
      </c>
      <c r="C41" t="s">
        <v>1762</v>
      </c>
      <c r="D41" t="s">
        <v>1765</v>
      </c>
      <c r="E41" s="32">
        <f>INDEX(Enrollment!$B$10:$AAB$18,ROW(BudgetedFTEHistory!$A$5),ROW(BudgetedFTEHistory!A$6))</f>
        <v>3377</v>
      </c>
    </row>
    <row r="42" spans="1:5">
      <c r="A42" t="str">
        <f>TEXT(LEFT(Enrollment!$G$6,4)+1,"0000")</f>
        <v>1995</v>
      </c>
      <c r="B42" t="str">
        <f>+OperatingFunds!$A$13</f>
        <v>380</v>
      </c>
      <c r="C42" t="s">
        <v>1762</v>
      </c>
      <c r="D42" t="s">
        <v>1765</v>
      </c>
      <c r="E42" s="32">
        <f>INDEX(Enrollment!$B$10:$AAB$18,ROW(BudgetedFTEHistory!$A$6),ROW(BudgetedFTEHistory!A$6))</f>
        <v>9499</v>
      </c>
    </row>
    <row r="43" spans="1:5">
      <c r="A43" t="str">
        <f>TEXT(LEFT(Enrollment!$G$6,4)+1,"0000")</f>
        <v>1995</v>
      </c>
      <c r="B43" t="str">
        <f>+OperatingFunds!$A$16</f>
        <v>699</v>
      </c>
      <c r="C43" t="s">
        <v>1762</v>
      </c>
      <c r="D43" t="s">
        <v>1765</v>
      </c>
      <c r="E43" s="32">
        <f>INDEX(Enrollment!$B$10:$AAB$18,ROW(BudgetedFTEHistory!$A$9),ROW(BudgetedFTEHistory!A$6))</f>
        <v>113609</v>
      </c>
    </row>
    <row r="44" spans="1:5">
      <c r="A44" t="str">
        <f>TEXT(LEFT(Enrollment!$H$6,4)+1,"0000")</f>
        <v>1996</v>
      </c>
      <c r="B44" t="str">
        <f>+OperatingFunds!$A$8</f>
        <v>360</v>
      </c>
      <c r="C44" t="s">
        <v>1762</v>
      </c>
      <c r="D44" t="s">
        <v>1765</v>
      </c>
      <c r="E44" s="32">
        <f>INDEX(Enrollment!$B$10:$AAB$18,ROW(BudgetedFTEHistory!$A$1),ROW(BudgetedFTEHistory!A$7))</f>
        <v>31811</v>
      </c>
    </row>
    <row r="45" spans="1:5">
      <c r="A45" t="str">
        <f>TEXT(LEFT(Enrollment!$H$6,4)+1,"0000")</f>
        <v>1996</v>
      </c>
      <c r="B45" t="str">
        <f>+OperatingFunds!$A$9</f>
        <v>365</v>
      </c>
      <c r="C45" t="s">
        <v>1762</v>
      </c>
      <c r="D45" t="s">
        <v>1765</v>
      </c>
      <c r="E45" s="32">
        <f>INDEX(Enrollment!$B$10:$AAB$18,ROW(BudgetedFTEHistory!$A$2),ROW(BudgetedFTEHistory!A$7))</f>
        <v>18526</v>
      </c>
    </row>
    <row r="46" spans="1:5">
      <c r="A46" t="str">
        <f>TEXT(LEFT(Enrollment!$H$6,4)+1,"0000")</f>
        <v>1996</v>
      </c>
      <c r="B46" t="str">
        <f>+OperatingFunds!$A$10</f>
        <v>370</v>
      </c>
      <c r="C46" t="s">
        <v>1762</v>
      </c>
      <c r="D46" t="s">
        <v>1765</v>
      </c>
      <c r="E46" s="32">
        <f>INDEX(Enrollment!$B$10:$AAB$18,ROW(BudgetedFTEHistory!$A$3),ROW(BudgetedFTEHistory!A$7))</f>
        <v>7364</v>
      </c>
    </row>
    <row r="47" spans="1:5">
      <c r="A47" t="str">
        <f>TEXT(LEFT(Enrollment!$H$6,4)+1,"0000")</f>
        <v>1996</v>
      </c>
      <c r="B47" t="str">
        <f>+OperatingFunds!$A$11</f>
        <v>375</v>
      </c>
      <c r="C47" t="s">
        <v>1762</v>
      </c>
      <c r="D47" t="s">
        <v>1765</v>
      </c>
      <c r="E47" s="32">
        <f>INDEX(Enrollment!$B$10:$AAB$18,ROW(BudgetedFTEHistory!$A$4),ROW(BudgetedFTEHistory!A$7))</f>
        <v>7339</v>
      </c>
    </row>
    <row r="48" spans="1:5">
      <c r="A48" t="str">
        <f>TEXT(LEFT(Enrollment!$H$6,4)+1,"0000")</f>
        <v>1996</v>
      </c>
      <c r="B48" t="str">
        <f>+OperatingFunds!$A$12</f>
        <v>376</v>
      </c>
      <c r="C48" t="s">
        <v>1762</v>
      </c>
      <c r="D48" t="s">
        <v>1765</v>
      </c>
      <c r="E48" s="32">
        <f>INDEX(Enrollment!$B$10:$AAB$18,ROW(BudgetedFTEHistory!$A$5),ROW(BudgetedFTEHistory!A$7))</f>
        <v>3387</v>
      </c>
    </row>
    <row r="49" spans="1:5">
      <c r="A49" t="str">
        <f>TEXT(LEFT(Enrollment!$H$6,4)+1,"0000")</f>
        <v>1996</v>
      </c>
      <c r="B49" t="str">
        <f>+OperatingFunds!$A$13</f>
        <v>380</v>
      </c>
      <c r="C49" t="s">
        <v>1762</v>
      </c>
      <c r="D49" t="s">
        <v>1765</v>
      </c>
      <c r="E49" s="32">
        <f>INDEX(Enrollment!$B$10:$AAB$18,ROW(BudgetedFTEHistory!$A$6),ROW(BudgetedFTEHistory!A$7))</f>
        <v>9668</v>
      </c>
    </row>
    <row r="50" spans="1:5">
      <c r="A50" t="str">
        <f>TEXT(LEFT(Enrollment!$H$6,4)+1,"0000")</f>
        <v>1996</v>
      </c>
      <c r="B50" t="str">
        <f>+OperatingFunds!$A$16</f>
        <v>699</v>
      </c>
      <c r="C50" t="s">
        <v>1762</v>
      </c>
      <c r="D50" t="s">
        <v>1765</v>
      </c>
      <c r="E50" s="32">
        <f>INDEX(Enrollment!$B$10:$AAB$18,ROW(BudgetedFTEHistory!$A$9),ROW(BudgetedFTEHistory!A$7))</f>
        <v>118075</v>
      </c>
    </row>
    <row r="51" spans="1:5">
      <c r="A51" t="str">
        <f>TEXT(LEFT(Enrollment!$I$6,4)+1,"0000")</f>
        <v>1997</v>
      </c>
      <c r="B51" t="str">
        <f>+OperatingFunds!$A$8</f>
        <v>360</v>
      </c>
      <c r="C51" t="s">
        <v>1762</v>
      </c>
      <c r="D51" t="s">
        <v>1765</v>
      </c>
      <c r="E51" s="32">
        <f>INDEX(Enrollment!$B$10:$AAB$18,ROW(BudgetedFTEHistory!$A$1),ROW(BudgetedFTEHistory!A$8))</f>
        <v>32858</v>
      </c>
    </row>
    <row r="52" spans="1:5">
      <c r="A52" t="str">
        <f>TEXT(LEFT(Enrollment!$I$6,4)+1,"0000")</f>
        <v>1997</v>
      </c>
      <c r="B52" t="str">
        <f>+OperatingFunds!$A$9</f>
        <v>365</v>
      </c>
      <c r="C52" t="s">
        <v>1762</v>
      </c>
      <c r="D52" t="s">
        <v>1765</v>
      </c>
      <c r="E52" s="32">
        <f>INDEX(Enrollment!$B$10:$AAB$18,ROW(BudgetedFTEHistory!$A$2),ROW(BudgetedFTEHistory!A$8))</f>
        <v>18713</v>
      </c>
    </row>
    <row r="53" spans="1:5">
      <c r="A53" t="str">
        <f>TEXT(LEFT(Enrollment!$I$6,4)+1,"0000")</f>
        <v>1997</v>
      </c>
      <c r="B53" t="str">
        <f>+OperatingFunds!$A$10</f>
        <v>370</v>
      </c>
      <c r="C53" t="s">
        <v>1762</v>
      </c>
      <c r="D53" t="s">
        <v>1765</v>
      </c>
      <c r="E53" s="32">
        <f>INDEX(Enrollment!$B$10:$AAB$18,ROW(BudgetedFTEHistory!$A$3),ROW(BudgetedFTEHistory!A$8))</f>
        <v>6945</v>
      </c>
    </row>
    <row r="54" spans="1:5">
      <c r="A54" t="str">
        <f>TEXT(LEFT(Enrollment!$I$6,4)+1,"0000")</f>
        <v>1997</v>
      </c>
      <c r="B54" t="str">
        <f>+OperatingFunds!$A$11</f>
        <v>375</v>
      </c>
      <c r="C54" t="s">
        <v>1762</v>
      </c>
      <c r="D54" t="s">
        <v>1765</v>
      </c>
      <c r="E54" s="32">
        <f>INDEX(Enrollment!$B$10:$AAB$18,ROW(BudgetedFTEHistory!$A$4),ROW(BudgetedFTEHistory!A$8))</f>
        <v>7448</v>
      </c>
    </row>
    <row r="55" spans="1:5">
      <c r="A55" t="str">
        <f>TEXT(LEFT(Enrollment!$I$6,4)+1,"0000")</f>
        <v>1997</v>
      </c>
      <c r="B55" t="str">
        <f>+OperatingFunds!$A$12</f>
        <v>376</v>
      </c>
      <c r="C55" t="s">
        <v>1762</v>
      </c>
      <c r="D55" t="s">
        <v>1765</v>
      </c>
      <c r="E55" s="32">
        <f>INDEX(Enrollment!$B$10:$AAB$18,ROW(BudgetedFTEHistory!$A$5),ROW(BudgetedFTEHistory!A$8))</f>
        <v>3489</v>
      </c>
    </row>
    <row r="56" spans="1:5">
      <c r="A56" t="str">
        <f>TEXT(LEFT(Enrollment!$I$6,4)+1,"0000")</f>
        <v>1997</v>
      </c>
      <c r="B56" t="str">
        <f>+OperatingFunds!$A$13</f>
        <v>380</v>
      </c>
      <c r="C56" t="s">
        <v>1762</v>
      </c>
      <c r="D56" t="s">
        <v>1765</v>
      </c>
      <c r="E56" s="32">
        <f>INDEX(Enrollment!$B$10:$AAB$18,ROW(BudgetedFTEHistory!$A$6),ROW(BudgetedFTEHistory!A$8))</f>
        <v>10118</v>
      </c>
    </row>
    <row r="57" spans="1:5">
      <c r="A57" t="str">
        <f>TEXT(LEFT(Enrollment!$I$6,4)+1,"0000")</f>
        <v>1997</v>
      </c>
      <c r="B57" t="str">
        <f>+OperatingFunds!$A$16</f>
        <v>699</v>
      </c>
      <c r="C57" t="s">
        <v>1762</v>
      </c>
      <c r="D57" t="s">
        <v>1765</v>
      </c>
      <c r="E57" s="32">
        <f>INDEX(Enrollment!$B$10:$AAB$18,ROW(BudgetedFTEHistory!$A$9),ROW(BudgetedFTEHistory!A$8))</f>
        <v>118653</v>
      </c>
    </row>
    <row r="58" spans="1:5">
      <c r="A58" t="str">
        <f>TEXT(LEFT(Enrollment!$J$6,4)+1,"0000")</f>
        <v>1998</v>
      </c>
      <c r="B58" t="str">
        <f>+OperatingFunds!$A$8</f>
        <v>360</v>
      </c>
      <c r="C58" t="s">
        <v>1762</v>
      </c>
      <c r="D58" t="s">
        <v>1765</v>
      </c>
      <c r="E58" s="32">
        <f>INDEX(Enrollment!$B$10:$AAB$18,ROW(BudgetedFTEHistory!$A$1),ROW(BudgetedFTEHistory!A$9))</f>
        <v>33398</v>
      </c>
    </row>
    <row r="59" spans="1:5">
      <c r="A59" t="str">
        <f>TEXT(LEFT(Enrollment!$J$6,4)+1,"0000")</f>
        <v>1998</v>
      </c>
      <c r="B59" t="str">
        <f>+OperatingFunds!$A$9</f>
        <v>365</v>
      </c>
      <c r="C59" t="s">
        <v>1762</v>
      </c>
      <c r="D59" t="s">
        <v>1765</v>
      </c>
      <c r="E59" s="32">
        <f>INDEX(Enrollment!$B$10:$AAB$18,ROW(BudgetedFTEHistory!$A$2),ROW(BudgetedFTEHistory!A$9))</f>
        <v>18725</v>
      </c>
    </row>
    <row r="60" spans="1:5">
      <c r="A60" t="str">
        <f>TEXT(LEFT(Enrollment!$J$6,4)+1,"0000")</f>
        <v>1998</v>
      </c>
      <c r="B60" t="str">
        <f>+OperatingFunds!$A$10</f>
        <v>370</v>
      </c>
      <c r="C60" t="s">
        <v>1762</v>
      </c>
      <c r="D60" t="s">
        <v>1765</v>
      </c>
      <c r="E60" s="32">
        <f>INDEX(Enrollment!$B$10:$AAB$18,ROW(BudgetedFTEHistory!$A$3),ROW(BudgetedFTEHistory!A$9))</f>
        <v>6907</v>
      </c>
    </row>
    <row r="61" spans="1:5">
      <c r="A61" t="str">
        <f>TEXT(LEFT(Enrollment!$J$6,4)+1,"0000")</f>
        <v>1998</v>
      </c>
      <c r="B61" t="str">
        <f>+OperatingFunds!$A$11</f>
        <v>375</v>
      </c>
      <c r="C61" t="s">
        <v>1762</v>
      </c>
      <c r="D61" t="s">
        <v>1765</v>
      </c>
      <c r="E61" s="32">
        <f>INDEX(Enrollment!$B$10:$AAB$18,ROW(BudgetedFTEHistory!$A$4),ROW(BudgetedFTEHistory!A$9))</f>
        <v>7474</v>
      </c>
    </row>
    <row r="62" spans="1:5">
      <c r="A62" t="str">
        <f>TEXT(LEFT(Enrollment!$J$6,4)+1,"0000")</f>
        <v>1998</v>
      </c>
      <c r="B62" t="str">
        <f>+OperatingFunds!$A$12</f>
        <v>376</v>
      </c>
      <c r="C62" t="s">
        <v>1762</v>
      </c>
      <c r="D62" t="s">
        <v>1765</v>
      </c>
      <c r="E62" s="32">
        <f>INDEX(Enrollment!$B$10:$AAB$18,ROW(BudgetedFTEHistory!$A$5),ROW(BudgetedFTEHistory!A$9))</f>
        <v>3728</v>
      </c>
    </row>
    <row r="63" spans="1:5">
      <c r="A63" t="str">
        <f>TEXT(LEFT(Enrollment!$J$6,4)+1,"0000")</f>
        <v>1998</v>
      </c>
      <c r="B63" t="str">
        <f>+OperatingFunds!$A$13</f>
        <v>380</v>
      </c>
      <c r="C63" t="s">
        <v>1762</v>
      </c>
      <c r="D63" t="s">
        <v>1765</v>
      </c>
      <c r="E63" s="32">
        <f>INDEX(Enrollment!$B$10:$AAB$18,ROW(BudgetedFTEHistory!$A$6),ROW(BudgetedFTEHistory!A$9))</f>
        <v>10374</v>
      </c>
    </row>
    <row r="64" spans="1:5">
      <c r="A64" t="str">
        <f>TEXT(LEFT(Enrollment!$J$6,4)+1,"0000")</f>
        <v>1998</v>
      </c>
      <c r="B64" t="str">
        <f>+OperatingFunds!$A$16</f>
        <v>699</v>
      </c>
      <c r="C64" t="s">
        <v>1762</v>
      </c>
      <c r="D64" t="s">
        <v>1765</v>
      </c>
      <c r="E64" s="32">
        <f>INDEX(Enrollment!$B$10:$AAB$18,ROW(BudgetedFTEHistory!$A$9),ROW(BudgetedFTEHistory!A$9))</f>
        <v>117925</v>
      </c>
    </row>
    <row r="65" spans="1:5">
      <c r="A65" t="str">
        <f>TEXT(LEFT(Enrollment!$K$6,4)+1,"0000")</f>
        <v>1999</v>
      </c>
      <c r="B65" t="str">
        <f>+OperatingFunds!$A$8</f>
        <v>360</v>
      </c>
      <c r="C65" t="s">
        <v>1762</v>
      </c>
      <c r="D65" t="s">
        <v>1765</v>
      </c>
      <c r="E65" s="32">
        <f>INDEX(Enrollment!$B$10:$AAB$18,ROW(BudgetedFTEHistory!$A$1),ROW(BudgetedFTEHistory!A$10))</f>
        <v>33592</v>
      </c>
    </row>
    <row r="66" spans="1:5">
      <c r="A66" t="str">
        <f>TEXT(LEFT(Enrollment!$K$6,4)+1,"0000")</f>
        <v>1999</v>
      </c>
      <c r="B66" t="str">
        <f>+OperatingFunds!$A$9</f>
        <v>365</v>
      </c>
      <c r="C66" t="s">
        <v>1762</v>
      </c>
      <c r="D66" t="s">
        <v>1765</v>
      </c>
      <c r="E66" s="32">
        <f>INDEX(Enrollment!$B$10:$AAB$18,ROW(BudgetedFTEHistory!$A$2),ROW(BudgetedFTEHistory!A$10))</f>
        <v>19312</v>
      </c>
    </row>
    <row r="67" spans="1:5">
      <c r="A67" t="str">
        <f>TEXT(LEFT(Enrollment!$K$6,4)+1,"0000")</f>
        <v>1999</v>
      </c>
      <c r="B67" t="str">
        <f>+OperatingFunds!$A$10</f>
        <v>370</v>
      </c>
      <c r="C67" t="s">
        <v>1762</v>
      </c>
      <c r="D67" t="s">
        <v>1765</v>
      </c>
      <c r="E67" s="32">
        <f>INDEX(Enrollment!$B$10:$AAB$18,ROW(BudgetedFTEHistory!$A$3),ROW(BudgetedFTEHistory!A$10))</f>
        <v>7244</v>
      </c>
    </row>
    <row r="68" spans="1:5">
      <c r="A68" t="str">
        <f>TEXT(LEFT(Enrollment!$K$6,4)+1,"0000")</f>
        <v>1999</v>
      </c>
      <c r="B68" t="str">
        <f>+OperatingFunds!$A$11</f>
        <v>375</v>
      </c>
      <c r="C68" t="s">
        <v>1762</v>
      </c>
      <c r="D68" t="s">
        <v>1765</v>
      </c>
      <c r="E68" s="32">
        <f>INDEX(Enrollment!$B$10:$AAB$18,ROW(BudgetedFTEHistory!$A$4),ROW(BudgetedFTEHistory!A$10))</f>
        <v>7471</v>
      </c>
    </row>
    <row r="69" spans="1:5">
      <c r="A69" t="str">
        <f>TEXT(LEFT(Enrollment!$K$6,4)+1,"0000")</f>
        <v>1999</v>
      </c>
      <c r="B69" t="str">
        <f>+OperatingFunds!$A$12</f>
        <v>376</v>
      </c>
      <c r="C69" t="s">
        <v>1762</v>
      </c>
      <c r="D69" t="s">
        <v>1765</v>
      </c>
      <c r="E69" s="32">
        <f>INDEX(Enrollment!$B$10:$AAB$18,ROW(BudgetedFTEHistory!$A$5),ROW(BudgetedFTEHistory!A$10))</f>
        <v>3822</v>
      </c>
    </row>
    <row r="70" spans="1:5">
      <c r="A70" t="str">
        <f>TEXT(LEFT(Enrollment!$K$6,4)+1,"0000")</f>
        <v>1999</v>
      </c>
      <c r="B70" t="str">
        <f>+OperatingFunds!$A$13</f>
        <v>380</v>
      </c>
      <c r="C70" t="s">
        <v>1762</v>
      </c>
      <c r="D70" t="s">
        <v>1765</v>
      </c>
      <c r="E70" s="32">
        <f>INDEX(Enrollment!$B$10:$AAB$18,ROW(BudgetedFTEHistory!$A$6),ROW(BudgetedFTEHistory!A$10))</f>
        <v>10550</v>
      </c>
    </row>
    <row r="71" spans="1:5">
      <c r="A71" t="str">
        <f>TEXT(LEFT(Enrollment!$K$6,4)+1,"0000")</f>
        <v>1999</v>
      </c>
      <c r="B71" t="str">
        <f>+OperatingFunds!$A$16</f>
        <v>699</v>
      </c>
      <c r="C71" t="s">
        <v>1762</v>
      </c>
      <c r="D71" t="s">
        <v>1765</v>
      </c>
      <c r="E71" s="32">
        <f>INDEX(Enrollment!$B$10:$AAB$18,ROW(BudgetedFTEHistory!$A$9),ROW(BudgetedFTEHistory!A$10))</f>
        <v>121302</v>
      </c>
    </row>
    <row r="72" spans="1:5">
      <c r="A72" t="str">
        <f>LEFT(Enrollment!$M$6,4)</f>
        <v>2000</v>
      </c>
      <c r="B72" t="str">
        <f>+OperatingFunds!$A$8</f>
        <v>360</v>
      </c>
      <c r="C72" t="s">
        <v>1762</v>
      </c>
      <c r="D72" t="s">
        <v>1765</v>
      </c>
      <c r="E72" s="32">
        <f>INDEX(Enrollment!$L$10:$AAB$18,ROW(BudgetedFTEHistory!$A$1),ROW(A$1))</f>
        <v>34058</v>
      </c>
    </row>
    <row r="73" spans="1:5">
      <c r="A73" t="str">
        <f>LEFT(Enrollment!$M$6,4)</f>
        <v>2000</v>
      </c>
      <c r="B73" t="str">
        <f>+OperatingFunds!$A$9</f>
        <v>365</v>
      </c>
      <c r="C73" t="s">
        <v>1762</v>
      </c>
      <c r="D73" t="s">
        <v>1765</v>
      </c>
      <c r="E73" s="32">
        <f>INDEX(Enrollment!$L$10:$AAB$18,ROW(BudgetedFTEHistory!$A$2),ROW(BudgetedFTEHistory!A$1))</f>
        <v>19008</v>
      </c>
    </row>
    <row r="74" spans="1:5">
      <c r="A74" t="str">
        <f>LEFT(Enrollment!$M$6,4)</f>
        <v>2000</v>
      </c>
      <c r="B74" t="str">
        <f>+OperatingFunds!$A$10</f>
        <v>370</v>
      </c>
      <c r="C74" t="s">
        <v>1762</v>
      </c>
      <c r="D74" t="s">
        <v>1765</v>
      </c>
      <c r="E74" s="32">
        <f>INDEX(Enrollment!$L$10:$AAB$18,ROW(BudgetedFTEHistory!$A$3),ROW(BudgetedFTEHistory!A$1))</f>
        <v>7712</v>
      </c>
    </row>
    <row r="75" spans="1:5">
      <c r="A75" t="str">
        <f>LEFT(Enrollment!$M$6,4)</f>
        <v>2000</v>
      </c>
      <c r="B75" t="str">
        <f>+OperatingFunds!$A$11</f>
        <v>375</v>
      </c>
      <c r="C75" t="s">
        <v>1762</v>
      </c>
      <c r="D75" t="s">
        <v>1765</v>
      </c>
      <c r="E75" s="32">
        <f>INDEX(Enrollment!$L$10:$AAB$18,ROW(BudgetedFTEHistory!$A$4),ROW(BudgetedFTEHistory!A$1))</f>
        <v>7463</v>
      </c>
    </row>
    <row r="76" spans="1:5">
      <c r="A76" t="str">
        <f>LEFT(Enrollment!$M$6,4)</f>
        <v>2000</v>
      </c>
      <c r="B76" t="str">
        <f>+OperatingFunds!$A$12</f>
        <v>376</v>
      </c>
      <c r="C76" t="s">
        <v>1762</v>
      </c>
      <c r="D76" t="s">
        <v>1765</v>
      </c>
      <c r="E76" s="32">
        <f>INDEX(Enrollment!$L$10:$AAB$18,ROW(BudgetedFTEHistory!$A$5),ROW(BudgetedFTEHistory!A$1))</f>
        <v>3697</v>
      </c>
    </row>
    <row r="77" spans="1:5">
      <c r="A77" t="str">
        <f>LEFT(Enrollment!$M$6,4)</f>
        <v>2000</v>
      </c>
      <c r="B77" t="str">
        <f>+OperatingFunds!$A$13</f>
        <v>380</v>
      </c>
      <c r="C77" t="s">
        <v>1762</v>
      </c>
      <c r="D77" t="s">
        <v>1765</v>
      </c>
      <c r="E77" s="32">
        <f>INDEX(Enrollment!$L$10:$AAB$18,ROW(BudgetedFTEHistory!$A$6),ROW(BudgetedFTEHistory!A$1))</f>
        <v>10841</v>
      </c>
    </row>
    <row r="78" spans="1:5">
      <c r="A78" t="str">
        <f>LEFT(Enrollment!$M$6,4)</f>
        <v>2000</v>
      </c>
      <c r="B78" t="str">
        <f>+OperatingFunds!$A$16</f>
        <v>699</v>
      </c>
      <c r="C78" t="s">
        <v>1762</v>
      </c>
      <c r="D78" t="s">
        <v>1765</v>
      </c>
      <c r="E78" s="32">
        <f>INDEX(Enrollment!$L$10:$AAB$18,ROW(BudgetedFTEHistory!$A$9),ROW(BudgetedFTEHistory!A$1))</f>
        <v>125131</v>
      </c>
    </row>
    <row r="79" spans="1:5">
      <c r="A79" t="str">
        <f>(LEFT(Enrollment!$N$6,4))</f>
        <v>2001</v>
      </c>
      <c r="B79" t="str">
        <f>+OperatingFunds!$A$8</f>
        <v>360</v>
      </c>
      <c r="C79" t="s">
        <v>1762</v>
      </c>
      <c r="D79" t="s">
        <v>1765</v>
      </c>
      <c r="E79" s="32">
        <f>INDEX(Enrollment!$L$10:$AAB$18,ROW(BudgetedFTEHistory!$A$1),ROW(BudgetedFTEHistory!A$2))</f>
        <v>34966</v>
      </c>
    </row>
    <row r="80" spans="1:5">
      <c r="A80" t="str">
        <f>(LEFT(Enrollment!$N$6,4))</f>
        <v>2001</v>
      </c>
      <c r="B80" t="str">
        <f>+OperatingFunds!$A$9</f>
        <v>365</v>
      </c>
      <c r="C80" t="s">
        <v>1762</v>
      </c>
      <c r="D80" t="s">
        <v>1765</v>
      </c>
      <c r="E80" s="32">
        <f>INDEX(Enrollment!$L$10:$AAB$18,ROW(BudgetedFTEHistory!$A$2),ROW(BudgetedFTEHistory!A$2))</f>
        <v>19498</v>
      </c>
    </row>
    <row r="81" spans="1:5">
      <c r="A81" t="str">
        <f>(LEFT(Enrollment!$N$6,4))</f>
        <v>2001</v>
      </c>
      <c r="B81" t="str">
        <f>+OperatingFunds!$A$10</f>
        <v>370</v>
      </c>
      <c r="C81" t="s">
        <v>1762</v>
      </c>
      <c r="D81" t="s">
        <v>1765</v>
      </c>
      <c r="E81" s="32">
        <f>INDEX(Enrollment!$L$10:$AAB$18,ROW(BudgetedFTEHistory!$A$3),ROW(BudgetedFTEHistory!A$2))</f>
        <v>8081</v>
      </c>
    </row>
    <row r="82" spans="1:5">
      <c r="A82" t="str">
        <f>(LEFT(Enrollment!$N$6,4))</f>
        <v>2001</v>
      </c>
      <c r="B82" t="str">
        <f>+OperatingFunds!$A$11</f>
        <v>375</v>
      </c>
      <c r="C82" t="s">
        <v>1762</v>
      </c>
      <c r="D82" t="s">
        <v>1765</v>
      </c>
      <c r="E82" s="32">
        <f>INDEX(Enrollment!$L$10:$AAB$18,ROW(BudgetedFTEHistory!$A$4),ROW(BudgetedFTEHistory!A$2))</f>
        <v>7287</v>
      </c>
    </row>
    <row r="83" spans="1:5">
      <c r="A83" t="str">
        <f>(LEFT(Enrollment!$N$6,4))</f>
        <v>2001</v>
      </c>
      <c r="B83" t="str">
        <f>+OperatingFunds!$A$12</f>
        <v>376</v>
      </c>
      <c r="C83" t="s">
        <v>1762</v>
      </c>
      <c r="D83" t="s">
        <v>1765</v>
      </c>
      <c r="E83" s="32">
        <f>INDEX(Enrollment!$L$10:$AAB$18,ROW(BudgetedFTEHistory!$A$5),ROW(BudgetedFTEHistory!A$2))</f>
        <v>3786</v>
      </c>
    </row>
    <row r="84" spans="1:5">
      <c r="A84" t="str">
        <f>(LEFT(Enrollment!$N$6,4))</f>
        <v>2001</v>
      </c>
      <c r="B84" t="str">
        <f>+OperatingFunds!$A$13</f>
        <v>380</v>
      </c>
      <c r="C84" t="s">
        <v>1762</v>
      </c>
      <c r="D84" t="s">
        <v>1765</v>
      </c>
      <c r="E84" s="32">
        <f>INDEX(Enrollment!$L$10:$AAB$18,ROW(BudgetedFTEHistory!$A$6),ROW(BudgetedFTEHistory!A$2))</f>
        <v>11214</v>
      </c>
    </row>
    <row r="85" spans="1:5">
      <c r="A85" t="str">
        <f>(LEFT(Enrollment!$N$6,4))</f>
        <v>2001</v>
      </c>
      <c r="B85" t="str">
        <f>+OperatingFunds!$A$16</f>
        <v>699</v>
      </c>
      <c r="C85" t="s">
        <v>1762</v>
      </c>
      <c r="D85" t="s">
        <v>1765</v>
      </c>
      <c r="E85" s="32">
        <f>INDEX(Enrollment!$L$10:$AAB$18,ROW(BudgetedFTEHistory!$A$9),ROW(BudgetedFTEHistory!A$2))</f>
        <v>128093</v>
      </c>
    </row>
    <row r="86" spans="1:5">
      <c r="A86" t="str">
        <f>(LEFT(Enrollment!$O$6,4))</f>
        <v>2002</v>
      </c>
      <c r="B86" t="str">
        <f>+OperatingFunds!$A$8</f>
        <v>360</v>
      </c>
      <c r="C86" t="s">
        <v>1762</v>
      </c>
      <c r="D86" t="s">
        <v>1765</v>
      </c>
      <c r="E86" s="32">
        <f>INDEX(Enrollment!$L$10:$AAB$18,ROW(BudgetedFTEHistory!$A$1),ROW(BudgetedFTEHistory!A$3))</f>
        <v>36647</v>
      </c>
    </row>
    <row r="87" spans="1:5">
      <c r="A87" t="str">
        <f>(LEFT(Enrollment!$O$6,4))</f>
        <v>2002</v>
      </c>
      <c r="B87" t="str">
        <f>+OperatingFunds!$A$9</f>
        <v>365</v>
      </c>
      <c r="C87" t="s">
        <v>1762</v>
      </c>
      <c r="D87" t="s">
        <v>1765</v>
      </c>
      <c r="E87" s="32">
        <f>INDEX(Enrollment!$L$10:$AAB$18,ROW(BudgetedFTEHistory!$A$2),ROW(BudgetedFTEHistory!A$3))</f>
        <v>19955</v>
      </c>
    </row>
    <row r="88" spans="1:5">
      <c r="A88" t="str">
        <f>(LEFT(Enrollment!$O$6,4))</f>
        <v>2002</v>
      </c>
      <c r="B88" t="str">
        <f>+OperatingFunds!$A$10</f>
        <v>370</v>
      </c>
      <c r="C88" t="s">
        <v>1762</v>
      </c>
      <c r="D88" t="s">
        <v>1765</v>
      </c>
      <c r="E88" s="32">
        <f>INDEX(Enrollment!$L$10:$AAB$18,ROW(BudgetedFTEHistory!$A$3),ROW(BudgetedFTEHistory!A$3))</f>
        <v>8421</v>
      </c>
    </row>
    <row r="89" spans="1:5">
      <c r="A89" t="str">
        <f>(LEFT(Enrollment!$O$6,4))</f>
        <v>2002</v>
      </c>
      <c r="B89" t="str">
        <f>+OperatingFunds!$A$11</f>
        <v>375</v>
      </c>
      <c r="C89" t="s">
        <v>1762</v>
      </c>
      <c r="D89" t="s">
        <v>1765</v>
      </c>
      <c r="E89" s="32">
        <f>INDEX(Enrollment!$L$10:$AAB$18,ROW(BudgetedFTEHistory!$A$4),ROW(BudgetedFTEHistory!A$3))</f>
        <v>7672</v>
      </c>
    </row>
    <row r="90" spans="1:5">
      <c r="A90" t="str">
        <f>(LEFT(Enrollment!$O$6,4))</f>
        <v>2002</v>
      </c>
      <c r="B90" t="str">
        <f>+OperatingFunds!$A$12</f>
        <v>376</v>
      </c>
      <c r="C90" t="s">
        <v>1762</v>
      </c>
      <c r="D90" t="s">
        <v>1765</v>
      </c>
      <c r="E90" s="32">
        <f>INDEX(Enrollment!$L$10:$AAB$18,ROW(BudgetedFTEHistory!$A$5),ROW(BudgetedFTEHistory!A$3))</f>
        <v>4009</v>
      </c>
    </row>
    <row r="91" spans="1:5">
      <c r="A91" t="str">
        <f>(LEFT(Enrollment!$O$6,4))</f>
        <v>2002</v>
      </c>
      <c r="B91" t="str">
        <f>+OperatingFunds!$A$13</f>
        <v>380</v>
      </c>
      <c r="C91" t="s">
        <v>1762</v>
      </c>
      <c r="D91" t="s">
        <v>1765</v>
      </c>
      <c r="E91" s="32">
        <f>INDEX(Enrollment!$L$10:$AAB$18,ROW(BudgetedFTEHistory!$A$6),ROW(BudgetedFTEHistory!A$3))</f>
        <v>11265</v>
      </c>
    </row>
    <row r="92" spans="1:5">
      <c r="A92" t="str">
        <f>(LEFT(Enrollment!$O$6,4))</f>
        <v>2002</v>
      </c>
      <c r="B92" t="str">
        <f>+OperatingFunds!$A$16</f>
        <v>699</v>
      </c>
      <c r="C92" t="s">
        <v>1762</v>
      </c>
      <c r="D92" t="s">
        <v>1765</v>
      </c>
      <c r="E92" s="32">
        <f>INDEX(Enrollment!$L$10:$AAB$18,ROW(BudgetedFTEHistory!$A$9),ROW(BudgetedFTEHistory!A$3))</f>
        <v>133962</v>
      </c>
    </row>
    <row r="93" spans="1:5">
      <c r="A93" t="str">
        <f>(LEFT(Enrollment!$P$6,4))</f>
        <v>2003</v>
      </c>
      <c r="B93" t="str">
        <f>+OperatingFunds!$A$8</f>
        <v>360</v>
      </c>
      <c r="C93" t="s">
        <v>1762</v>
      </c>
      <c r="D93" t="s">
        <v>1765</v>
      </c>
      <c r="E93" s="32">
        <f>INDEX(Enrollment!$L$10:$AAB$18,ROW(BudgetedFTEHistory!$A$1),ROW(BudgetedFTEHistory!A$4))</f>
        <v>36963</v>
      </c>
    </row>
    <row r="94" spans="1:5">
      <c r="A94" t="str">
        <f>(LEFT(Enrollment!$P$6,4))</f>
        <v>2003</v>
      </c>
      <c r="B94" t="str">
        <f>+OperatingFunds!$A$9</f>
        <v>365</v>
      </c>
      <c r="C94" t="s">
        <v>1762</v>
      </c>
      <c r="D94" t="s">
        <v>1765</v>
      </c>
      <c r="E94" s="32">
        <f>INDEX(Enrollment!$L$10:$AAB$18,ROW(BudgetedFTEHistory!$A$2),ROW(BudgetedFTEHistory!A$4))</f>
        <v>20311</v>
      </c>
    </row>
    <row r="95" spans="1:5">
      <c r="A95" t="str">
        <f>(LEFT(Enrollment!$P$6,4))</f>
        <v>2003</v>
      </c>
      <c r="B95" t="str">
        <f>+OperatingFunds!$A$10</f>
        <v>370</v>
      </c>
      <c r="C95" t="s">
        <v>1762</v>
      </c>
      <c r="D95" t="s">
        <v>1765</v>
      </c>
      <c r="E95" s="32">
        <f>INDEX(Enrollment!$L$10:$AAB$18,ROW(BudgetedFTEHistory!$A$3),ROW(BudgetedFTEHistory!A$4))</f>
        <v>8700</v>
      </c>
    </row>
    <row r="96" spans="1:5">
      <c r="A96" t="str">
        <f>(LEFT(Enrollment!$P$6,4))</f>
        <v>2003</v>
      </c>
      <c r="B96" t="str">
        <f>+OperatingFunds!$A$11</f>
        <v>375</v>
      </c>
      <c r="C96" t="s">
        <v>1762</v>
      </c>
      <c r="D96" t="s">
        <v>1765</v>
      </c>
      <c r="E96" s="32">
        <f>INDEX(Enrollment!$L$10:$AAB$18,ROW(BudgetedFTEHistory!$A$4),ROW(BudgetedFTEHistory!A$4))</f>
        <v>8106</v>
      </c>
    </row>
    <row r="97" spans="1:5">
      <c r="A97" t="str">
        <f>(LEFT(Enrollment!$P$6,4))</f>
        <v>2003</v>
      </c>
      <c r="B97" t="str">
        <f>+OperatingFunds!$A$12</f>
        <v>376</v>
      </c>
      <c r="C97" t="s">
        <v>1762</v>
      </c>
      <c r="D97" t="s">
        <v>1765</v>
      </c>
      <c r="E97" s="32">
        <f>INDEX(Enrollment!$L$10:$AAB$18,ROW(BudgetedFTEHistory!$A$5),ROW(BudgetedFTEHistory!A$4))</f>
        <v>4054</v>
      </c>
    </row>
    <row r="98" spans="1:5">
      <c r="A98" t="str">
        <f>(LEFT(Enrollment!$P$6,4))</f>
        <v>2003</v>
      </c>
      <c r="B98" t="str">
        <f>+OperatingFunds!$A$13</f>
        <v>380</v>
      </c>
      <c r="C98" t="s">
        <v>1762</v>
      </c>
      <c r="D98" t="s">
        <v>1765</v>
      </c>
      <c r="E98" s="32">
        <f>INDEX(Enrollment!$L$10:$AAB$18,ROW(BudgetedFTEHistory!$A$6),ROW(BudgetedFTEHistory!A$4))</f>
        <v>11377</v>
      </c>
    </row>
    <row r="99" spans="1:5">
      <c r="A99" t="str">
        <f>(LEFT(Enrollment!$P$6,4))</f>
        <v>2003</v>
      </c>
      <c r="B99" t="str">
        <f>+OperatingFunds!$A$16</f>
        <v>699</v>
      </c>
      <c r="C99" t="s">
        <v>1762</v>
      </c>
      <c r="D99" t="s">
        <v>1765</v>
      </c>
      <c r="E99" s="32">
        <f>INDEX(Enrollment!$L$10:$AAB$18,ROW(BudgetedFTEHistory!$A$9),ROW(BudgetedFTEHistory!A$4))</f>
        <v>139753</v>
      </c>
    </row>
    <row r="100" spans="1:5">
      <c r="A100" t="str">
        <f>(LEFT(Enrollment!$Q$6,4))</f>
        <v>2004</v>
      </c>
      <c r="B100" t="str">
        <f>+OperatingFunds!$A$8</f>
        <v>360</v>
      </c>
      <c r="C100" t="s">
        <v>1762</v>
      </c>
      <c r="D100" t="s">
        <v>1765</v>
      </c>
      <c r="E100" s="32">
        <f>INDEX(Enrollment!$L$10:$AAB$18,ROW(BudgetedFTEHistory!$A$1),ROW(BudgetedFTEHistory!A$5))</f>
        <v>36316</v>
      </c>
    </row>
    <row r="101" spans="1:5">
      <c r="A101" t="str">
        <f>(LEFT(Enrollment!$Q$6,4))</f>
        <v>2004</v>
      </c>
      <c r="B101" t="str">
        <f>+OperatingFunds!$A$9</f>
        <v>365</v>
      </c>
      <c r="C101" t="s">
        <v>1762</v>
      </c>
      <c r="D101" t="s">
        <v>1765</v>
      </c>
      <c r="E101" s="32">
        <f>INDEX(Enrollment!$L$10:$AAB$18,ROW(BudgetedFTEHistory!$A$2),ROW(BudgetedFTEHistory!A$5))</f>
        <v>20542</v>
      </c>
    </row>
    <row r="102" spans="1:5">
      <c r="A102" t="str">
        <f>(LEFT(Enrollment!$Q$6,4))</f>
        <v>2004</v>
      </c>
      <c r="B102" t="str">
        <f>+OperatingFunds!$A$10</f>
        <v>370</v>
      </c>
      <c r="C102" t="s">
        <v>1762</v>
      </c>
      <c r="D102" t="s">
        <v>1765</v>
      </c>
      <c r="E102" s="32">
        <f>INDEX(Enrollment!$L$10:$AAB$18,ROW(BudgetedFTEHistory!$A$3),ROW(BudgetedFTEHistory!A$5))</f>
        <v>8956</v>
      </c>
    </row>
    <row r="103" spans="1:5">
      <c r="A103" t="str">
        <f>(LEFT(Enrollment!$Q$6,4))</f>
        <v>2004</v>
      </c>
      <c r="B103" t="str">
        <f>+OperatingFunds!$A$11</f>
        <v>375</v>
      </c>
      <c r="C103" t="s">
        <v>1762</v>
      </c>
      <c r="D103" t="s">
        <v>1765</v>
      </c>
      <c r="E103" s="32">
        <f>INDEX(Enrollment!$L$10:$AAB$18,ROW(BudgetedFTEHistory!$A$4),ROW(BudgetedFTEHistory!A$5))</f>
        <v>8657</v>
      </c>
    </row>
    <row r="104" spans="1:5">
      <c r="A104" t="str">
        <f>(LEFT(Enrollment!$Q$6,4))</f>
        <v>2004</v>
      </c>
      <c r="B104" t="str">
        <f>+OperatingFunds!$A$12</f>
        <v>376</v>
      </c>
      <c r="C104" t="s">
        <v>1762</v>
      </c>
      <c r="D104" t="s">
        <v>1765</v>
      </c>
      <c r="E104" s="32">
        <f>INDEX(Enrollment!$L$10:$AAB$18,ROW(BudgetedFTEHistory!$A$5),ROW(BudgetedFTEHistory!A$5))</f>
        <v>4099</v>
      </c>
    </row>
    <row r="105" spans="1:5">
      <c r="A105" t="str">
        <f>(LEFT(Enrollment!$Q$6,4))</f>
        <v>2004</v>
      </c>
      <c r="B105" t="str">
        <f>+OperatingFunds!$A$13</f>
        <v>380</v>
      </c>
      <c r="C105" t="s">
        <v>1762</v>
      </c>
      <c r="D105" t="s">
        <v>1765</v>
      </c>
      <c r="E105" s="32">
        <f>INDEX(Enrollment!$L$10:$AAB$18,ROW(BudgetedFTEHistory!$A$6),ROW(BudgetedFTEHistory!A$5))</f>
        <v>11505</v>
      </c>
    </row>
    <row r="106" spans="1:5">
      <c r="A106" t="str">
        <f>(LEFT(Enrollment!$Q$6,4))</f>
        <v>2004</v>
      </c>
      <c r="B106" t="str">
        <f>+OperatingFunds!$A$16</f>
        <v>699</v>
      </c>
      <c r="C106" t="s">
        <v>1762</v>
      </c>
      <c r="D106" t="s">
        <v>1765</v>
      </c>
      <c r="E106" s="32">
        <f>INDEX(Enrollment!$L$10:$AAB$18,ROW(BudgetedFTEHistory!$A$9),ROW(BudgetedFTEHistory!A$5))</f>
        <v>138241</v>
      </c>
    </row>
    <row r="107" spans="1:5">
      <c r="A107" t="str">
        <f>(LEFT(Enrollment!$R$6,4))</f>
        <v>2005</v>
      </c>
      <c r="B107" t="str">
        <f>+OperatingFunds!$A$8</f>
        <v>360</v>
      </c>
      <c r="C107" t="s">
        <v>1762</v>
      </c>
      <c r="D107" t="s">
        <v>1765</v>
      </c>
      <c r="E107" s="32">
        <f>INDEX(Enrollment!$L$10:$AAB$18,ROW(BudgetedFTEHistory!$A$1),ROW(BudgetedFTEHistory!A$6))</f>
        <v>36357</v>
      </c>
    </row>
    <row r="108" spans="1:5">
      <c r="A108" t="str">
        <f>(LEFT(Enrollment!$R$6,4))</f>
        <v>2005</v>
      </c>
      <c r="B108" t="str">
        <f>+OperatingFunds!$A$9</f>
        <v>365</v>
      </c>
      <c r="C108" t="s">
        <v>1762</v>
      </c>
      <c r="D108" t="s">
        <v>1765</v>
      </c>
      <c r="E108" s="32">
        <f>INDEX(Enrollment!$L$10:$AAB$18,ROW(BudgetedFTEHistory!$A$2),ROW(BudgetedFTEHistory!A$6))</f>
        <v>21157</v>
      </c>
    </row>
    <row r="109" spans="1:5">
      <c r="A109" t="str">
        <f>(LEFT(Enrollment!$R$6,4))</f>
        <v>2005</v>
      </c>
      <c r="B109" t="str">
        <f>+OperatingFunds!$A$10</f>
        <v>370</v>
      </c>
      <c r="C109" t="s">
        <v>1762</v>
      </c>
      <c r="D109" t="s">
        <v>1765</v>
      </c>
      <c r="E109" s="32">
        <f>INDEX(Enrollment!$L$10:$AAB$18,ROW(BudgetedFTEHistory!$A$3),ROW(BudgetedFTEHistory!A$6))</f>
        <v>9126</v>
      </c>
    </row>
    <row r="110" spans="1:5">
      <c r="A110" t="str">
        <f>(LEFT(Enrollment!$R$6,4))</f>
        <v>2005</v>
      </c>
      <c r="B110" t="str">
        <f>+OperatingFunds!$A$11</f>
        <v>375</v>
      </c>
      <c r="C110" t="s">
        <v>1762</v>
      </c>
      <c r="D110" t="s">
        <v>1765</v>
      </c>
      <c r="E110" s="32">
        <f>INDEX(Enrollment!$L$10:$AAB$18,ROW(BudgetedFTEHistory!$A$4),ROW(BudgetedFTEHistory!A$6))</f>
        <v>8885</v>
      </c>
    </row>
    <row r="111" spans="1:5">
      <c r="A111" t="str">
        <f>(LEFT(Enrollment!$R$6,4))</f>
        <v>2005</v>
      </c>
      <c r="B111" t="str">
        <f>+OperatingFunds!$A$12</f>
        <v>376</v>
      </c>
      <c r="C111" t="s">
        <v>1762</v>
      </c>
      <c r="D111" t="s">
        <v>1765</v>
      </c>
      <c r="E111" s="32">
        <f>INDEX(Enrollment!$L$10:$AAB$18,ROW(BudgetedFTEHistory!$A$5),ROW(BudgetedFTEHistory!A$6))</f>
        <v>4120</v>
      </c>
    </row>
    <row r="112" spans="1:5">
      <c r="A112" t="str">
        <f>(LEFT(Enrollment!$R$6,4))</f>
        <v>2005</v>
      </c>
      <c r="B112" t="str">
        <f>+OperatingFunds!$A$13</f>
        <v>380</v>
      </c>
      <c r="C112" t="s">
        <v>1762</v>
      </c>
      <c r="D112" t="s">
        <v>1765</v>
      </c>
      <c r="E112" s="32">
        <f>INDEX(Enrollment!$L$10:$AAB$18,ROW(BudgetedFTEHistory!$A$6),ROW(BudgetedFTEHistory!A$6))</f>
        <v>11713</v>
      </c>
    </row>
    <row r="113" spans="1:5">
      <c r="A113" t="str">
        <f>(LEFT(Enrollment!$R$6,4))</f>
        <v>2005</v>
      </c>
      <c r="B113" t="str">
        <f>+OperatingFunds!$A$16</f>
        <v>699</v>
      </c>
      <c r="C113" t="s">
        <v>1762</v>
      </c>
      <c r="D113" t="s">
        <v>1765</v>
      </c>
      <c r="E113" s="32">
        <f>INDEX(Enrollment!$L$10:$AAB$18,ROW(BudgetedFTEHistory!$A$9),ROW(BudgetedFTEHistory!A$6))</f>
        <v>131489</v>
      </c>
    </row>
    <row r="114" spans="1:5">
      <c r="A114" t="str">
        <f>(LEFT(Enrollment!$S$6,4))</f>
        <v>2006</v>
      </c>
      <c r="B114" t="str">
        <f>+OperatingFunds!$A$8</f>
        <v>360</v>
      </c>
      <c r="C114" t="s">
        <v>1762</v>
      </c>
      <c r="D114" t="s">
        <v>1765</v>
      </c>
      <c r="E114" s="32">
        <f>INDEX(Enrollment!$L$10:$AAB$18,ROW(BudgetedFTEHistory!$A$1),ROW(BudgetedFTEHistory!A$7))</f>
        <v>36022</v>
      </c>
    </row>
    <row r="115" spans="1:5">
      <c r="A115" t="str">
        <f>(LEFT(Enrollment!$S$6,4))</f>
        <v>2006</v>
      </c>
      <c r="B115" t="str">
        <f>+OperatingFunds!$A$9</f>
        <v>365</v>
      </c>
      <c r="C115" t="s">
        <v>1762</v>
      </c>
      <c r="D115" t="s">
        <v>1765</v>
      </c>
      <c r="E115" s="32">
        <f>INDEX(Enrollment!$L$10:$AAB$18,ROW(BudgetedFTEHistory!$A$2),ROW(BudgetedFTEHistory!A$7))</f>
        <v>21325</v>
      </c>
    </row>
    <row r="116" spans="1:5">
      <c r="A116" t="str">
        <f>(LEFT(Enrollment!$S$6,4))</f>
        <v>2006</v>
      </c>
      <c r="B116" t="str">
        <f>+OperatingFunds!$A$10</f>
        <v>370</v>
      </c>
      <c r="C116" t="s">
        <v>1762</v>
      </c>
      <c r="D116" t="s">
        <v>1765</v>
      </c>
      <c r="E116" s="32">
        <f>INDEX(Enrollment!$L$10:$AAB$18,ROW(BudgetedFTEHistory!$A$3),ROW(BudgetedFTEHistory!A$7))</f>
        <v>9281</v>
      </c>
    </row>
    <row r="117" spans="1:5">
      <c r="A117" t="str">
        <f>(LEFT(Enrollment!$S$6,4))</f>
        <v>2006</v>
      </c>
      <c r="B117" t="str">
        <f>+OperatingFunds!$A$11</f>
        <v>375</v>
      </c>
      <c r="C117" t="s">
        <v>1762</v>
      </c>
      <c r="D117" t="s">
        <v>1765</v>
      </c>
      <c r="E117" s="32">
        <f>INDEX(Enrollment!$L$10:$AAB$18,ROW(BudgetedFTEHistory!$A$4),ROW(BudgetedFTEHistory!A$7))</f>
        <v>9057</v>
      </c>
    </row>
    <row r="118" spans="1:5">
      <c r="A118" t="str">
        <f>(LEFT(Enrollment!$S$6,4))</f>
        <v>2006</v>
      </c>
      <c r="B118" t="str">
        <f>+OperatingFunds!$A$12</f>
        <v>376</v>
      </c>
      <c r="C118" t="s">
        <v>1762</v>
      </c>
      <c r="D118" t="s">
        <v>1765</v>
      </c>
      <c r="E118" s="32">
        <f>INDEX(Enrollment!$L$10:$AAB$18,ROW(BudgetedFTEHistory!$A$5),ROW(BudgetedFTEHistory!A$7))</f>
        <v>4131</v>
      </c>
    </row>
    <row r="119" spans="1:5">
      <c r="A119" t="str">
        <f>(LEFT(Enrollment!$S$6,4))</f>
        <v>2006</v>
      </c>
      <c r="B119" t="str">
        <f>+OperatingFunds!$A$13</f>
        <v>380</v>
      </c>
      <c r="C119" t="s">
        <v>1762</v>
      </c>
      <c r="D119" t="s">
        <v>1765</v>
      </c>
      <c r="E119" s="32">
        <f>INDEX(Enrollment!$L$10:$AAB$18,ROW(BudgetedFTEHistory!$A$6),ROW(BudgetedFTEHistory!A$7))</f>
        <v>11755</v>
      </c>
    </row>
    <row r="120" spans="1:5">
      <c r="A120" t="str">
        <f>(LEFT(Enrollment!$S$6,4))</f>
        <v>2006</v>
      </c>
      <c r="B120" t="str">
        <f>+OperatingFunds!$A$16</f>
        <v>699</v>
      </c>
      <c r="C120" t="s">
        <v>1762</v>
      </c>
      <c r="D120" t="s">
        <v>1765</v>
      </c>
      <c r="E120" s="32">
        <f>INDEX(Enrollment!$L$10:$AAB$18,ROW(BudgetedFTEHistory!$A$9),ROW(BudgetedFTEHistory!A$7))</f>
        <v>130933</v>
      </c>
    </row>
    <row r="121" spans="1:5">
      <c r="A121" t="str">
        <f>(LEFT(Enrollment!$T$6,4))</f>
        <v>2007</v>
      </c>
      <c r="B121" t="str">
        <f>+OperatingFunds!$A$8</f>
        <v>360</v>
      </c>
      <c r="C121" t="s">
        <v>1762</v>
      </c>
      <c r="D121" t="s">
        <v>1765</v>
      </c>
      <c r="E121" s="32">
        <f>INDEX(Enrollment!$L$10:$AAB$18,ROW(BudgetedFTEHistory!$A$1),ROW(BudgetedFTEHistory!A$8))</f>
        <v>36647</v>
      </c>
    </row>
    <row r="122" spans="1:5">
      <c r="A122" t="str">
        <f>(LEFT(Enrollment!$T$6,4))</f>
        <v>2007</v>
      </c>
      <c r="B122" t="str">
        <f>+OperatingFunds!$A$9</f>
        <v>365</v>
      </c>
      <c r="C122" t="s">
        <v>1762</v>
      </c>
      <c r="D122" t="s">
        <v>1765</v>
      </c>
      <c r="E122" s="32">
        <f>INDEX(Enrollment!$L$10:$AAB$18,ROW(BudgetedFTEHistory!$A$2),ROW(BudgetedFTEHistory!A$8))</f>
        <v>21277</v>
      </c>
    </row>
    <row r="123" spans="1:5">
      <c r="A123" t="str">
        <f>(LEFT(Enrollment!$T$6,4))</f>
        <v>2007</v>
      </c>
      <c r="B123" t="str">
        <f>+OperatingFunds!$A$10</f>
        <v>370</v>
      </c>
      <c r="C123" t="s">
        <v>1762</v>
      </c>
      <c r="D123" t="s">
        <v>1765</v>
      </c>
      <c r="E123" s="32">
        <f>INDEX(Enrollment!$L$10:$AAB$18,ROW(BudgetedFTEHistory!$A$3),ROW(BudgetedFTEHistory!A$8))</f>
        <v>9189</v>
      </c>
    </row>
    <row r="124" spans="1:5">
      <c r="A124" t="str">
        <f>(LEFT(Enrollment!$T$6,4))</f>
        <v>2007</v>
      </c>
      <c r="B124" t="str">
        <f>+OperatingFunds!$A$11</f>
        <v>375</v>
      </c>
      <c r="C124" t="s">
        <v>1762</v>
      </c>
      <c r="D124" t="s">
        <v>1765</v>
      </c>
      <c r="E124" s="32">
        <f>INDEX(Enrollment!$L$10:$AAB$18,ROW(BudgetedFTEHistory!$A$4),ROW(BudgetedFTEHistory!A$8))</f>
        <v>9204</v>
      </c>
    </row>
    <row r="125" spans="1:5">
      <c r="A125" t="str">
        <f>(LEFT(Enrollment!$T$6,4))</f>
        <v>2007</v>
      </c>
      <c r="B125" t="str">
        <f>+OperatingFunds!$A$12</f>
        <v>376</v>
      </c>
      <c r="C125" t="s">
        <v>1762</v>
      </c>
      <c r="D125" t="s">
        <v>1765</v>
      </c>
      <c r="E125" s="32">
        <f>INDEX(Enrollment!$L$10:$AAB$18,ROW(BudgetedFTEHistory!$A$5),ROW(BudgetedFTEHistory!A$8))</f>
        <v>4114</v>
      </c>
    </row>
    <row r="126" spans="1:5">
      <c r="A126" t="str">
        <f>(LEFT(Enrollment!$T$6,4))</f>
        <v>2007</v>
      </c>
      <c r="B126" t="str">
        <f>+OperatingFunds!$A$13</f>
        <v>380</v>
      </c>
      <c r="C126" t="s">
        <v>1762</v>
      </c>
      <c r="D126" t="s">
        <v>1765</v>
      </c>
      <c r="E126" s="32">
        <f>INDEX(Enrollment!$L$10:$AAB$18,ROW(BudgetedFTEHistory!$A$6),ROW(BudgetedFTEHistory!A$8))</f>
        <v>11784</v>
      </c>
    </row>
    <row r="127" spans="1:5">
      <c r="A127" t="str">
        <f>(LEFT(Enrollment!$T$6,4))</f>
        <v>2007</v>
      </c>
      <c r="B127" t="str">
        <f>+OperatingFunds!$A$16</f>
        <v>699</v>
      </c>
      <c r="C127" t="s">
        <v>1762</v>
      </c>
      <c r="D127" t="s">
        <v>1765</v>
      </c>
      <c r="E127" s="32">
        <f>INDEX(Enrollment!$L$10:$AAB$18,ROW(BudgetedFTEHistory!$A$9),ROW(BudgetedFTEHistory!A$8))</f>
        <v>132373</v>
      </c>
    </row>
    <row r="128" spans="1:5">
      <c r="A128" t="str">
        <f>(LEFT(Enrollment!$U$6,4))</f>
        <v>2008</v>
      </c>
      <c r="B128" t="str">
        <f>+OperatingFunds!$A$8</f>
        <v>360</v>
      </c>
      <c r="C128" t="s">
        <v>1762</v>
      </c>
      <c r="D128" t="s">
        <v>1765</v>
      </c>
      <c r="E128" s="32">
        <f>INDEX(Enrollment!$L$10:$AAB$18,ROW(BudgetedFTEHistory!$A$1),ROW(BudgetedFTEHistory!A$9))</f>
        <v>37526.163333333345</v>
      </c>
    </row>
    <row r="129" spans="1:5">
      <c r="A129" t="str">
        <f>(LEFT(Enrollment!$U$6,4))</f>
        <v>2008</v>
      </c>
      <c r="B129" t="str">
        <f>+OperatingFunds!$A$9</f>
        <v>365</v>
      </c>
      <c r="C129" t="s">
        <v>1762</v>
      </c>
      <c r="D129" t="s">
        <v>1765</v>
      </c>
      <c r="E129" s="32">
        <f>INDEX(Enrollment!$L$10:$AAB$18,ROW(BudgetedFTEHistory!$A$2),ROW(BudgetedFTEHistory!A$9))</f>
        <v>22333</v>
      </c>
    </row>
    <row r="130" spans="1:5">
      <c r="A130" t="str">
        <f>(LEFT(Enrollment!$U$6,4))</f>
        <v>2008</v>
      </c>
      <c r="B130" t="str">
        <f>+OperatingFunds!$A$10</f>
        <v>370</v>
      </c>
      <c r="C130" t="s">
        <v>1762</v>
      </c>
      <c r="D130" t="s">
        <v>1765</v>
      </c>
      <c r="E130" s="32">
        <f>INDEX(Enrollment!$L$10:$AAB$18,ROW(BudgetedFTEHistory!$A$3),ROW(BudgetedFTEHistory!A$9))</f>
        <v>9110.9666666666672</v>
      </c>
    </row>
    <row r="131" spans="1:5">
      <c r="A131" t="str">
        <f>(LEFT(Enrollment!$U$6,4))</f>
        <v>2008</v>
      </c>
      <c r="B131" t="str">
        <f>+OperatingFunds!$A$11</f>
        <v>375</v>
      </c>
      <c r="C131" t="s">
        <v>1762</v>
      </c>
      <c r="D131" t="s">
        <v>1765</v>
      </c>
      <c r="E131" s="32">
        <f>INDEX(Enrollment!$L$10:$AAB$18,ROW(BudgetedFTEHistory!$A$4),ROW(BudgetedFTEHistory!A$9))</f>
        <v>8930.5433333333331</v>
      </c>
    </row>
    <row r="132" spans="1:5">
      <c r="A132" t="str">
        <f>(LEFT(Enrollment!$U$6,4))</f>
        <v>2008</v>
      </c>
      <c r="B132" t="str">
        <f>+OperatingFunds!$A$12</f>
        <v>376</v>
      </c>
      <c r="C132" t="s">
        <v>1762</v>
      </c>
      <c r="D132" t="s">
        <v>1765</v>
      </c>
      <c r="E132" s="32">
        <f>INDEX(Enrollment!$L$10:$AAB$18,ROW(BudgetedFTEHistory!$A$5),ROW(BudgetedFTEHistory!A$9))</f>
        <v>4268.8666666666668</v>
      </c>
    </row>
    <row r="133" spans="1:5">
      <c r="A133" t="str">
        <f>(LEFT(Enrollment!$U$6,4))</f>
        <v>2008</v>
      </c>
      <c r="B133" t="str">
        <f>+OperatingFunds!$A$13</f>
        <v>380</v>
      </c>
      <c r="C133" t="s">
        <v>1762</v>
      </c>
      <c r="D133" t="s">
        <v>1765</v>
      </c>
      <c r="E133" s="32">
        <f>INDEX(Enrollment!$L$10:$AAB$18,ROW(BudgetedFTEHistory!$A$6),ROW(BudgetedFTEHistory!A$9))</f>
        <v>12140.323333333334</v>
      </c>
    </row>
    <row r="134" spans="1:5">
      <c r="A134" t="str">
        <f>(LEFT(Enrollment!$U$6,4))</f>
        <v>2008</v>
      </c>
      <c r="B134" t="str">
        <f>+OperatingFunds!$A$16</f>
        <v>699</v>
      </c>
      <c r="C134" t="s">
        <v>1762</v>
      </c>
      <c r="D134" t="s">
        <v>1765</v>
      </c>
      <c r="E134" s="32">
        <f>INDEX(Enrollment!$L$10:$AAB$18,ROW(BudgetedFTEHistory!$A$9),ROW(BudgetedFTEHistory!A$9))</f>
        <v>136933.86000000002</v>
      </c>
    </row>
    <row r="135" spans="1:5">
      <c r="A135" t="str">
        <f>(LEFT(Enrollment!$V$6,4))</f>
        <v>2009</v>
      </c>
      <c r="B135" t="str">
        <f>+OperatingFunds!$A$8</f>
        <v>360</v>
      </c>
      <c r="C135" t="s">
        <v>1762</v>
      </c>
      <c r="D135" t="s">
        <v>1765</v>
      </c>
      <c r="E135" s="32">
        <f>INDEX(Enrollment!$L$10:$AAB$18,ROW(BudgetedFTEHistory!$A$1),ROW(BudgetedFTEHistory!A$10))</f>
        <v>39729.25</v>
      </c>
    </row>
    <row r="136" spans="1:5">
      <c r="A136" t="str">
        <f>(LEFT(Enrollment!$V$6,4))</f>
        <v>2009</v>
      </c>
      <c r="B136" t="str">
        <f>+OperatingFunds!$A$9</f>
        <v>365</v>
      </c>
      <c r="C136" t="s">
        <v>1762</v>
      </c>
      <c r="D136" t="s">
        <v>1765</v>
      </c>
      <c r="E136" s="32">
        <f>INDEX(Enrollment!$L$10:$AAB$18,ROW(BudgetedFTEHistory!$A$2),ROW(BudgetedFTEHistory!A$10))</f>
        <v>23315.899999999998</v>
      </c>
    </row>
    <row r="137" spans="1:5">
      <c r="A137" t="str">
        <f>(LEFT(Enrollment!$V$6,4))</f>
        <v>2009</v>
      </c>
      <c r="B137" t="str">
        <f>+OperatingFunds!$A$10</f>
        <v>370</v>
      </c>
      <c r="C137" t="s">
        <v>1762</v>
      </c>
      <c r="D137" t="s">
        <v>1765</v>
      </c>
      <c r="E137" s="32">
        <f>INDEX(Enrollment!$L$10:$AAB$18,ROW(BudgetedFTEHistory!$A$3),ROW(BudgetedFTEHistory!A$10))</f>
        <v>9286.74</v>
      </c>
    </row>
    <row r="138" spans="1:5">
      <c r="A138" t="str">
        <f>(LEFT(Enrollment!$V$6,4))</f>
        <v>2009</v>
      </c>
      <c r="B138" t="str">
        <f>+OperatingFunds!$A$11</f>
        <v>375</v>
      </c>
      <c r="C138" t="s">
        <v>1762</v>
      </c>
      <c r="D138" t="s">
        <v>1765</v>
      </c>
      <c r="E138" s="32">
        <f>INDEX(Enrollment!$L$10:$AAB$18,ROW(BudgetedFTEHistory!$A$4),ROW(BudgetedFTEHistory!A$10))</f>
        <v>9081.6200000000008</v>
      </c>
    </row>
    <row r="139" spans="1:5">
      <c r="A139" t="str">
        <f>(LEFT(Enrollment!$V$6,4))</f>
        <v>2009</v>
      </c>
      <c r="B139" t="str">
        <f>+OperatingFunds!$A$12</f>
        <v>376</v>
      </c>
      <c r="C139" t="s">
        <v>1762</v>
      </c>
      <c r="D139" t="s">
        <v>1765</v>
      </c>
      <c r="E139" s="32">
        <f>INDEX(Enrollment!$L$10:$AAB$18,ROW(BudgetedFTEHistory!$A$5),ROW(BudgetedFTEHistory!A$10))</f>
        <v>4470.09</v>
      </c>
    </row>
    <row r="140" spans="1:5">
      <c r="A140" t="str">
        <f>(LEFT(Enrollment!$V$6,4))</f>
        <v>2009</v>
      </c>
      <c r="B140" t="str">
        <f>+OperatingFunds!$A$13</f>
        <v>380</v>
      </c>
      <c r="C140" t="s">
        <v>1762</v>
      </c>
      <c r="D140" t="s">
        <v>1765</v>
      </c>
      <c r="E140" s="32">
        <f>INDEX(Enrollment!$L$10:$AAB$18,ROW(BudgetedFTEHistory!$A$6),ROW(BudgetedFTEHistory!A$10))</f>
        <v>12408.253333333334</v>
      </c>
    </row>
    <row r="141" spans="1:5">
      <c r="A141" t="str">
        <f>(LEFT(Enrollment!$V$6,4))</f>
        <v>2009</v>
      </c>
      <c r="B141" t="str">
        <f>+OperatingFunds!$A$16</f>
        <v>699</v>
      </c>
      <c r="C141" t="s">
        <v>1762</v>
      </c>
      <c r="D141" t="s">
        <v>1765</v>
      </c>
      <c r="E141" s="32">
        <f>INDEX(Enrollment!$L$10:$AAB$18,ROW(BudgetedFTEHistory!$A$9),ROW(BudgetedFTEHistory!A$10))</f>
        <v>147999.59</v>
      </c>
    </row>
    <row r="142" spans="1:5">
      <c r="A142" t="str">
        <f>(LEFT(Enrollment!$W$6,4))</f>
        <v>2010</v>
      </c>
      <c r="B142" t="str">
        <f>+OperatingFunds!$A$8</f>
        <v>360</v>
      </c>
      <c r="C142" t="s">
        <v>1762</v>
      </c>
      <c r="D142" t="s">
        <v>1765</v>
      </c>
      <c r="E142" s="32">
        <f>INDEX(Enrollment!$L$10:$AAB$18,ROW(BudgetedFTEHistory!$A$1),ROW(BudgetedFTEHistory!A$11))</f>
        <v>40942.549999999996</v>
      </c>
    </row>
    <row r="143" spans="1:5">
      <c r="A143" t="str">
        <f>(LEFT(Enrollment!$W$6,4))</f>
        <v>2010</v>
      </c>
      <c r="B143" t="str">
        <f>+OperatingFunds!$A$9</f>
        <v>365</v>
      </c>
      <c r="C143" t="s">
        <v>1762</v>
      </c>
      <c r="D143" t="s">
        <v>1765</v>
      </c>
      <c r="E143" s="32">
        <f>INDEX(Enrollment!$L$10:$AAB$18,ROW(BudgetedFTEHistory!$A$2),ROW(BudgetedFTEHistory!A$11))</f>
        <v>23992.370000000003</v>
      </c>
    </row>
    <row r="144" spans="1:5">
      <c r="A144" t="str">
        <f>(LEFT(Enrollment!$W$6,4))</f>
        <v>2010</v>
      </c>
      <c r="B144" t="str">
        <f>+OperatingFunds!$A$10</f>
        <v>370</v>
      </c>
      <c r="C144" t="s">
        <v>1762</v>
      </c>
      <c r="D144" t="s">
        <v>1765</v>
      </c>
      <c r="E144" s="32">
        <f>INDEX(Enrollment!$L$10:$AAB$18,ROW(BudgetedFTEHistory!$A$3),ROW(BudgetedFTEHistory!A$11))</f>
        <v>9485.8133333333335</v>
      </c>
    </row>
    <row r="145" spans="1:5">
      <c r="A145" t="str">
        <f>(LEFT(Enrollment!$W$6,4))</f>
        <v>2010</v>
      </c>
      <c r="B145" t="str">
        <f>+OperatingFunds!$A$11</f>
        <v>375</v>
      </c>
      <c r="C145" t="s">
        <v>1762</v>
      </c>
      <c r="D145" t="s">
        <v>1765</v>
      </c>
      <c r="E145" s="32">
        <f>INDEX(Enrollment!$L$10:$AAB$18,ROW(BudgetedFTEHistory!$A$4),ROW(BudgetedFTEHistory!A$11))</f>
        <v>9672.6133333333328</v>
      </c>
    </row>
    <row r="146" spans="1:5">
      <c r="A146" t="str">
        <f>(LEFT(Enrollment!$W$6,4))</f>
        <v>2010</v>
      </c>
      <c r="B146" t="str">
        <f>+OperatingFunds!$A$12</f>
        <v>376</v>
      </c>
      <c r="C146" t="s">
        <v>1762</v>
      </c>
      <c r="D146" t="s">
        <v>1765</v>
      </c>
      <c r="E146" s="32">
        <f>INDEX(Enrollment!$L$10:$AAB$18,ROW(BudgetedFTEHistory!$A$5),ROW(BudgetedFTEHistory!A$11))</f>
        <v>4596.09</v>
      </c>
    </row>
    <row r="147" spans="1:5">
      <c r="A147" t="str">
        <f>(LEFT(Enrollment!$W$6,4))</f>
        <v>2010</v>
      </c>
      <c r="B147" t="str">
        <f>+OperatingFunds!$A$13</f>
        <v>380</v>
      </c>
      <c r="C147" t="s">
        <v>1762</v>
      </c>
      <c r="D147" t="s">
        <v>1765</v>
      </c>
      <c r="E147" s="32">
        <f>INDEX(Enrollment!$L$10:$AAB$18,ROW(BudgetedFTEHistory!$A$6),ROW(BudgetedFTEHistory!A$11))</f>
        <v>12475.19</v>
      </c>
    </row>
    <row r="148" spans="1:5">
      <c r="A148" t="str">
        <f>(LEFT(Enrollment!$W$6,4))</f>
        <v>2010</v>
      </c>
      <c r="B148" t="str">
        <f>+OperatingFunds!$A$16</f>
        <v>699</v>
      </c>
      <c r="C148" t="s">
        <v>1762</v>
      </c>
      <c r="D148" t="s">
        <v>1765</v>
      </c>
      <c r="E148" s="32">
        <f>INDEX(Enrollment!$L$10:$AAB$18,ROW(BudgetedFTEHistory!$A$9),ROW(BudgetedFTEHistory!A$11))</f>
        <v>160778.09</v>
      </c>
    </row>
    <row r="149" spans="1:5">
      <c r="A149" t="str">
        <f>(LEFT(Enrollment!$X$6,4))</f>
        <v>2011</v>
      </c>
      <c r="B149" t="str">
        <f>+OperatingFunds!$A$8</f>
        <v>360</v>
      </c>
      <c r="C149" t="s">
        <v>1762</v>
      </c>
      <c r="D149" t="s">
        <v>1765</v>
      </c>
      <c r="E149" s="32">
        <f>INDEX(Enrollment!$L$10:$AAB$18,ROW(BudgetedFTEHistory!$A$1),ROW(BudgetedFTEHistory!A$12))</f>
        <v>42302.866666666661</v>
      </c>
    </row>
    <row r="150" spans="1:5">
      <c r="A150" t="str">
        <f>(LEFT(Enrollment!$X$6,4))</f>
        <v>2011</v>
      </c>
      <c r="B150" t="str">
        <f>+OperatingFunds!$A$9</f>
        <v>365</v>
      </c>
      <c r="C150" t="s">
        <v>1762</v>
      </c>
      <c r="D150" t="s">
        <v>1765</v>
      </c>
      <c r="E150" s="32">
        <f>INDEX(Enrollment!$L$10:$AAB$18,ROW(BudgetedFTEHistory!$A$2),ROW(BudgetedFTEHistory!A$12))</f>
        <v>24233.100000000002</v>
      </c>
    </row>
    <row r="151" spans="1:5">
      <c r="A151" t="str">
        <f>(LEFT(Enrollment!$X$6,4))</f>
        <v>2011</v>
      </c>
      <c r="B151" t="str">
        <f>+OperatingFunds!$A$10</f>
        <v>370</v>
      </c>
      <c r="C151" t="s">
        <v>1762</v>
      </c>
      <c r="D151" t="s">
        <v>1765</v>
      </c>
      <c r="E151" s="32">
        <f>INDEX(Enrollment!$L$10:$AAB$18,ROW(BudgetedFTEHistory!$A$3),ROW(BudgetedFTEHistory!A$12))</f>
        <v>9639.6666666666661</v>
      </c>
    </row>
    <row r="152" spans="1:5">
      <c r="A152" t="str">
        <f>(LEFT(Enrollment!$X$6,4))</f>
        <v>2011</v>
      </c>
      <c r="B152" t="str">
        <f>+OperatingFunds!$A$11</f>
        <v>375</v>
      </c>
      <c r="C152" t="s">
        <v>1762</v>
      </c>
      <c r="D152" t="s">
        <v>1765</v>
      </c>
      <c r="E152" s="32">
        <f>INDEX(Enrollment!$L$10:$AAB$18,ROW(BudgetedFTEHistory!$A$4),ROW(BudgetedFTEHistory!A$12))</f>
        <v>9832.2333333333318</v>
      </c>
    </row>
    <row r="153" spans="1:5">
      <c r="A153" t="str">
        <f>(LEFT(Enrollment!$X$6,4))</f>
        <v>2011</v>
      </c>
      <c r="B153" t="str">
        <f>+OperatingFunds!$A$12</f>
        <v>376</v>
      </c>
      <c r="C153" t="s">
        <v>1762</v>
      </c>
      <c r="D153" t="s">
        <v>1765</v>
      </c>
      <c r="E153" s="32">
        <f>INDEX(Enrollment!$L$10:$AAB$18,ROW(BudgetedFTEHistory!$A$5),ROW(BudgetedFTEHistory!A$12))</f>
        <v>4559.2566666666671</v>
      </c>
    </row>
    <row r="154" spans="1:5">
      <c r="A154" t="str">
        <f>(LEFT(Enrollment!$X$6,4))</f>
        <v>2011</v>
      </c>
      <c r="B154" t="str">
        <f>+OperatingFunds!$A$13</f>
        <v>380</v>
      </c>
      <c r="C154" t="s">
        <v>1762</v>
      </c>
      <c r="D154" t="s">
        <v>1765</v>
      </c>
      <c r="E154" s="32">
        <f>INDEX(Enrollment!$L$10:$AAB$18,ROW(BudgetedFTEHistory!$A$6),ROW(BudgetedFTEHistory!A$12))</f>
        <v>12647.366666666667</v>
      </c>
    </row>
    <row r="155" spans="1:5">
      <c r="A155" t="str">
        <f>(LEFT(Enrollment!$X$6,4))</f>
        <v>2011</v>
      </c>
      <c r="B155" t="str">
        <f>+OperatingFunds!$A$16</f>
        <v>699</v>
      </c>
      <c r="C155" t="s">
        <v>1762</v>
      </c>
      <c r="D155" t="s">
        <v>1765</v>
      </c>
      <c r="E155" s="32">
        <f>INDEX(Enrollment!$L$10:$AAB$18,ROW(BudgetedFTEHistory!$A$9),ROW(BudgetedFTEHistory!A$12))</f>
        <v>162328.25000000003</v>
      </c>
    </row>
    <row r="156" spans="1:5">
      <c r="A156" t="str">
        <f>(LEFT(Enrollment!$Y$6,4))</f>
        <v>2012</v>
      </c>
      <c r="B156" t="str">
        <f>+OperatingFunds!$A$8</f>
        <v>360</v>
      </c>
      <c r="C156" t="s">
        <v>1762</v>
      </c>
      <c r="D156" t="s">
        <v>1765</v>
      </c>
      <c r="E156" s="32">
        <f>INDEX(Enrollment!$L$10:$AAB$18,ROW(BudgetedFTEHistory!$A$1),ROW(BudgetedFTEHistory!A$13))</f>
        <v>42717.999999999993</v>
      </c>
    </row>
    <row r="157" spans="1:5">
      <c r="A157" t="str">
        <f>(LEFT(Enrollment!$Y$6,4))</f>
        <v>2012</v>
      </c>
      <c r="B157" t="str">
        <f>+OperatingFunds!$A$9</f>
        <v>365</v>
      </c>
      <c r="C157" t="s">
        <v>1762</v>
      </c>
      <c r="D157" t="s">
        <v>1765</v>
      </c>
      <c r="E157" s="32">
        <f>INDEX(Enrollment!$L$10:$AAB$18,ROW(BudgetedFTEHistory!$A$2),ROW(BudgetedFTEHistory!A$13))</f>
        <v>25284</v>
      </c>
    </row>
    <row r="158" spans="1:5">
      <c r="A158" t="str">
        <f>(LEFT(Enrollment!$Y$6,4))</f>
        <v>2012</v>
      </c>
      <c r="B158" t="str">
        <f>+OperatingFunds!$A$10</f>
        <v>370</v>
      </c>
      <c r="C158" t="s">
        <v>1762</v>
      </c>
      <c r="D158" t="s">
        <v>1765</v>
      </c>
      <c r="E158" s="32">
        <f>INDEX(Enrollment!$L$10:$AAB$18,ROW(BudgetedFTEHistory!$A$3),ROW(BudgetedFTEHistory!A$13))</f>
        <v>9914.2333333333354</v>
      </c>
    </row>
    <row r="159" spans="1:5">
      <c r="A159" t="str">
        <f>(LEFT(Enrollment!$Y$6,4))</f>
        <v>2012</v>
      </c>
      <c r="B159" t="str">
        <f>+OperatingFunds!$A$11</f>
        <v>375</v>
      </c>
      <c r="C159" t="s">
        <v>1762</v>
      </c>
      <c r="D159" t="s">
        <v>1765</v>
      </c>
      <c r="E159" s="32">
        <f>INDEX(Enrollment!$L$10:$AAB$18,ROW(BudgetedFTEHistory!$A$4),ROW(BudgetedFTEHistory!A$13))</f>
        <v>9580.9</v>
      </c>
    </row>
    <row r="160" spans="1:5">
      <c r="A160" t="str">
        <f>(LEFT(Enrollment!$Y$6,4))</f>
        <v>2012</v>
      </c>
      <c r="B160" t="str">
        <f>+OperatingFunds!$A$12</f>
        <v>376</v>
      </c>
      <c r="C160" t="s">
        <v>1762</v>
      </c>
      <c r="D160" t="s">
        <v>1765</v>
      </c>
      <c r="E160" s="32">
        <f>INDEX(Enrollment!$L$10:$AAB$18,ROW(BudgetedFTEHistory!$A$5),ROW(BudgetedFTEHistory!A$13))</f>
        <v>4558.0600000000004</v>
      </c>
    </row>
    <row r="161" spans="1:5">
      <c r="A161" t="str">
        <f>(LEFT(Enrollment!$Y$6,4))</f>
        <v>2012</v>
      </c>
      <c r="B161" t="str">
        <f>+OperatingFunds!$A$13</f>
        <v>380</v>
      </c>
      <c r="C161" t="s">
        <v>1762</v>
      </c>
      <c r="D161" t="s">
        <v>1765</v>
      </c>
      <c r="E161" s="32">
        <f>INDEX(Enrollment!$L$10:$AAB$18,ROW(BudgetedFTEHistory!$A$6),ROW(BudgetedFTEHistory!A$13))</f>
        <v>12646.5</v>
      </c>
    </row>
    <row r="162" spans="1:5">
      <c r="A162" t="str">
        <f>(LEFT(Enrollment!$Y$6,4))</f>
        <v>2012</v>
      </c>
      <c r="B162" t="str">
        <f>+OperatingFunds!$A$16</f>
        <v>699</v>
      </c>
      <c r="C162" t="s">
        <v>1762</v>
      </c>
      <c r="D162" t="s">
        <v>1765</v>
      </c>
      <c r="E162" s="32">
        <f>INDEX(Enrollment!$L$10:$AAB$18,ROW(BudgetedFTEHistory!$A$9),ROW(BudgetedFTEHistory!A$13))</f>
        <v>153395.04333333331</v>
      </c>
    </row>
    <row r="163" spans="1:5">
      <c r="A163" t="str">
        <f>(LEFT(Enrollment!$Z$6,4))</f>
        <v>2013</v>
      </c>
      <c r="B163" t="str">
        <f>+OperatingFunds!$A$8</f>
        <v>360</v>
      </c>
      <c r="C163" t="s">
        <v>1762</v>
      </c>
      <c r="D163" t="s">
        <v>1765</v>
      </c>
      <c r="E163" s="32">
        <f>INDEX(Enrollment!$L$10:$AAB$18,ROW(BudgetedFTEHistory!$A$1),ROW(BudgetedFTEHistory!A$14))</f>
        <v>43486.8</v>
      </c>
    </row>
    <row r="164" spans="1:5">
      <c r="A164" t="str">
        <f>(LEFT(Enrollment!$Z$6,4))</f>
        <v>2013</v>
      </c>
      <c r="B164" t="str">
        <f>+OperatingFunds!$A$9</f>
        <v>365</v>
      </c>
      <c r="C164" t="s">
        <v>1762</v>
      </c>
      <c r="D164" t="s">
        <v>1765</v>
      </c>
      <c r="E164" s="32">
        <f>INDEX(Enrollment!$L$10:$AAB$18,ROW(BudgetedFTEHistory!$A$2),ROW(BudgetedFTEHistory!A$14))</f>
        <v>25189.449999999997</v>
      </c>
    </row>
    <row r="165" spans="1:5">
      <c r="A165" t="str">
        <f>(LEFT(Enrollment!$Z$6,4))</f>
        <v>2013</v>
      </c>
      <c r="B165" t="str">
        <f>+OperatingFunds!$A$10</f>
        <v>370</v>
      </c>
      <c r="C165" t="s">
        <v>1762</v>
      </c>
      <c r="D165" t="s">
        <v>1765</v>
      </c>
      <c r="E165" s="32">
        <f>INDEX(Enrollment!$L$10:$AAB$18,ROW(BudgetedFTEHistory!$A$3),ROW(BudgetedFTEHistory!A$14))</f>
        <v>10169.5</v>
      </c>
    </row>
    <row r="166" spans="1:5">
      <c r="A166" t="str">
        <f>(LEFT(Enrollment!$Z$6,4))</f>
        <v>2013</v>
      </c>
      <c r="B166" t="str">
        <f>+OperatingFunds!$A$11</f>
        <v>375</v>
      </c>
      <c r="C166" t="s">
        <v>1762</v>
      </c>
      <c r="D166" t="s">
        <v>1765</v>
      </c>
      <c r="E166" s="32">
        <f>INDEX(Enrollment!$L$10:$AAB$18,ROW(BudgetedFTEHistory!$A$4),ROW(BudgetedFTEHistory!A$14))</f>
        <v>9375.6333333333332</v>
      </c>
    </row>
    <row r="167" spans="1:5">
      <c r="A167" t="str">
        <f>(LEFT(Enrollment!$Z$6,4))</f>
        <v>2013</v>
      </c>
      <c r="B167" t="str">
        <f>+OperatingFunds!$A$12</f>
        <v>376</v>
      </c>
      <c r="C167" t="s">
        <v>1762</v>
      </c>
      <c r="D167" t="s">
        <v>1765</v>
      </c>
      <c r="E167" s="32">
        <f>INDEX(Enrollment!$L$10:$AAB$18,ROW(BudgetedFTEHistory!$A$5),ROW(BudgetedFTEHistory!A$14))</f>
        <v>4354.4433333333327</v>
      </c>
    </row>
    <row r="168" spans="1:5">
      <c r="A168" t="str">
        <f>(LEFT(Enrollment!$Z$6,4))</f>
        <v>2013</v>
      </c>
      <c r="B168" t="str">
        <f>+OperatingFunds!$A$13</f>
        <v>380</v>
      </c>
      <c r="C168" t="s">
        <v>1762</v>
      </c>
      <c r="D168" t="s">
        <v>1765</v>
      </c>
      <c r="E168" s="32">
        <f>INDEX(Enrollment!$L$10:$AAB$18,ROW(BudgetedFTEHistory!$A$6),ROW(BudgetedFTEHistory!A$14))</f>
        <v>12515.666666666666</v>
      </c>
    </row>
    <row r="169" spans="1:5">
      <c r="A169" t="str">
        <f>(LEFT(Enrollment!$Z$6,4))</f>
        <v>2013</v>
      </c>
      <c r="B169" t="str">
        <f>+OperatingFunds!$A$16</f>
        <v>699</v>
      </c>
      <c r="C169" t="s">
        <v>1762</v>
      </c>
      <c r="D169" t="s">
        <v>1765</v>
      </c>
      <c r="E169" s="32">
        <f>INDEX(Enrollment!$L$10:$AAB$18,ROW(BudgetedFTEHistory!$A$9),ROW(BudgetedFTEHistory!A$14))</f>
        <v>147433.24999999997</v>
      </c>
    </row>
    <row r="170" spans="1:5">
      <c r="A170" t="str">
        <f>(LEFT(Enrollment!$AA$6,4))</f>
        <v>2014</v>
      </c>
      <c r="B170" t="str">
        <f>+OperatingFunds!$A$8</f>
        <v>360</v>
      </c>
      <c r="C170" t="s">
        <v>1762</v>
      </c>
      <c r="D170" t="s">
        <v>1765</v>
      </c>
      <c r="E170" s="32">
        <f>INDEX(Enrollment!$L$10:$AAB$18,ROW(BudgetedFTEHistory!$A$1),ROW(BudgetedFTEHistory!A$15))</f>
        <v>44709.166666666672</v>
      </c>
    </row>
    <row r="171" spans="1:5">
      <c r="A171" t="str">
        <f>(LEFT(Enrollment!$AA$6,4))</f>
        <v>2014</v>
      </c>
      <c r="B171" t="str">
        <f>+OperatingFunds!$A$9</f>
        <v>365</v>
      </c>
      <c r="C171" t="s">
        <v>1762</v>
      </c>
      <c r="D171" t="s">
        <v>1765</v>
      </c>
      <c r="E171" s="32">
        <f>INDEX(Enrollment!$L$10:$AAB$18,ROW(BudgetedFTEHistory!$A$2),ROW(BudgetedFTEHistory!A$15))</f>
        <v>25092.250000000004</v>
      </c>
    </row>
    <row r="172" spans="1:5">
      <c r="A172" t="str">
        <f>(LEFT(Enrollment!$AA$6,4))</f>
        <v>2014</v>
      </c>
      <c r="B172" t="str">
        <f>+OperatingFunds!$A$10</f>
        <v>370</v>
      </c>
      <c r="C172" t="s">
        <v>1762</v>
      </c>
      <c r="D172" t="s">
        <v>1765</v>
      </c>
      <c r="E172" s="32">
        <f>INDEX(Enrollment!$L$10:$AAB$18,ROW(BudgetedFTEHistory!$A$3),ROW(BudgetedFTEHistory!A$15))</f>
        <v>10235.933333333334</v>
      </c>
    </row>
    <row r="173" spans="1:5">
      <c r="A173" t="str">
        <f>(LEFT(Enrollment!$AA$6,4))</f>
        <v>2014</v>
      </c>
      <c r="B173" t="str">
        <f>+OperatingFunds!$A$11</f>
        <v>375</v>
      </c>
      <c r="C173" t="s">
        <v>1762</v>
      </c>
      <c r="D173" t="s">
        <v>1765</v>
      </c>
      <c r="E173" s="32">
        <f>INDEX(Enrollment!$L$10:$AAB$18,ROW(BudgetedFTEHistory!$A$4),ROW(BudgetedFTEHistory!A$15))</f>
        <v>9291.5999999999985</v>
      </c>
    </row>
    <row r="174" spans="1:5">
      <c r="A174" t="str">
        <f>(LEFT(Enrollment!$AA$6,4))</f>
        <v>2014</v>
      </c>
      <c r="B174" t="str">
        <f>+OperatingFunds!$A$12</f>
        <v>376</v>
      </c>
      <c r="C174" t="s">
        <v>1762</v>
      </c>
      <c r="D174" t="s">
        <v>1765</v>
      </c>
      <c r="E174" s="32">
        <f>INDEX(Enrollment!$L$10:$AAB$18,ROW(BudgetedFTEHistory!$A$5),ROW(BudgetedFTEHistory!A$15))</f>
        <v>4144.3</v>
      </c>
    </row>
    <row r="175" spans="1:5">
      <c r="A175" t="str">
        <f>(LEFT(Enrollment!$AA$6,4))</f>
        <v>2014</v>
      </c>
      <c r="B175" t="str">
        <f>+OperatingFunds!$A$13</f>
        <v>380</v>
      </c>
      <c r="C175" t="s">
        <v>1762</v>
      </c>
      <c r="D175" t="s">
        <v>1765</v>
      </c>
      <c r="E175" s="32">
        <f>INDEX(Enrollment!$L$10:$AAB$18,ROW(BudgetedFTEHistory!$A$6),ROW(BudgetedFTEHistory!A$15))</f>
        <v>12564.766666666668</v>
      </c>
    </row>
    <row r="176" spans="1:5">
      <c r="A176" t="str">
        <f>(LEFT(Enrollment!$AA$6,4))</f>
        <v>2014</v>
      </c>
      <c r="B176" t="str">
        <f>+OperatingFunds!$A$16</f>
        <v>699</v>
      </c>
      <c r="C176" t="s">
        <v>1762</v>
      </c>
      <c r="D176" t="s">
        <v>1765</v>
      </c>
      <c r="E176" s="32">
        <f>INDEX(Enrollment!$L$10:$AAB$18,ROW(BudgetedFTEHistory!$A$9),ROW(BudgetedFTEHistory!A$15))</f>
        <v>143292.16666666666</v>
      </c>
    </row>
    <row r="177" spans="1:5">
      <c r="A177" t="str">
        <f>(LEFT(Enrollment!$AB$6,4))</f>
        <v>2015</v>
      </c>
      <c r="B177" t="str">
        <f>+OperatingFunds!$A$8</f>
        <v>360</v>
      </c>
      <c r="C177" t="s">
        <v>1762</v>
      </c>
      <c r="D177" t="s">
        <v>1765</v>
      </c>
      <c r="E177" s="32">
        <f>INDEX(Enrollment!$L$10:$AAB$18,ROW(BudgetedFTEHistory!$A$1),ROW(BudgetedFTEHistory!A$16))</f>
        <v>45886.466666666674</v>
      </c>
    </row>
    <row r="178" spans="1:5">
      <c r="A178" t="str">
        <f>(LEFT(Enrollment!$AB$6,4))</f>
        <v>2015</v>
      </c>
      <c r="B178" t="str">
        <f>+OperatingFunds!$A$9</f>
        <v>365</v>
      </c>
      <c r="C178" t="s">
        <v>1762</v>
      </c>
      <c r="D178" t="s">
        <v>1765</v>
      </c>
      <c r="E178" s="32">
        <f>INDEX(Enrollment!$L$10:$AAB$18,ROW(BudgetedFTEHistory!$A$2),ROW(BudgetedFTEHistory!A$16))</f>
        <v>25954.016666666666</v>
      </c>
    </row>
    <row r="179" spans="1:5">
      <c r="A179" t="str">
        <f>(LEFT(Enrollment!$AB$6,4))</f>
        <v>2015</v>
      </c>
      <c r="B179" t="str">
        <f>+OperatingFunds!$A$10</f>
        <v>370</v>
      </c>
      <c r="C179" t="s">
        <v>1762</v>
      </c>
      <c r="D179" t="s">
        <v>1765</v>
      </c>
      <c r="E179" s="32">
        <f>INDEX(Enrollment!$L$10:$AAB$18,ROW(BudgetedFTEHistory!$A$3),ROW(BudgetedFTEHistory!A$16))</f>
        <v>10395.333333333332</v>
      </c>
    </row>
    <row r="180" spans="1:5">
      <c r="A180" t="str">
        <f>(LEFT(Enrollment!$AB$6,4))</f>
        <v>2015</v>
      </c>
      <c r="B180" t="str">
        <f>+OperatingFunds!$A$11</f>
        <v>375</v>
      </c>
      <c r="C180" t="s">
        <v>1762</v>
      </c>
      <c r="D180" t="s">
        <v>1765</v>
      </c>
      <c r="E180" s="32">
        <f>INDEX(Enrollment!$L$10:$AAB$18,ROW(BudgetedFTEHistory!$A$4),ROW(BudgetedFTEHistory!A$16))</f>
        <v>9096.5</v>
      </c>
    </row>
    <row r="181" spans="1:5">
      <c r="A181" t="str">
        <f>(LEFT(Enrollment!$AB$6,4))</f>
        <v>2015</v>
      </c>
      <c r="B181" t="str">
        <f>+OperatingFunds!$A$12</f>
        <v>376</v>
      </c>
      <c r="C181" t="s">
        <v>1762</v>
      </c>
      <c r="D181" t="s">
        <v>1765</v>
      </c>
      <c r="E181" s="32">
        <f>INDEX(Enrollment!$L$10:$AAB$18,ROW(BudgetedFTEHistory!$A$5),ROW(BudgetedFTEHistory!A$16))</f>
        <v>4007.0666666666671</v>
      </c>
    </row>
    <row r="182" spans="1:5">
      <c r="A182" t="str">
        <f>(LEFT(Enrollment!$AB$6,4))</f>
        <v>2015</v>
      </c>
      <c r="B182" t="str">
        <f>+OperatingFunds!$A$13</f>
        <v>380</v>
      </c>
      <c r="C182" t="s">
        <v>1762</v>
      </c>
      <c r="D182" t="s">
        <v>1765</v>
      </c>
      <c r="E182" s="32">
        <f>INDEX(Enrollment!$L$10:$AAB$18,ROW(BudgetedFTEHistory!$A$6),ROW(BudgetedFTEHistory!A$16))</f>
        <v>12595.966666666667</v>
      </c>
    </row>
    <row r="183" spans="1:5">
      <c r="A183" t="str">
        <f>(LEFT(Enrollment!$AB$6,4))</f>
        <v>2015</v>
      </c>
      <c r="B183" t="str">
        <f>+OperatingFunds!$A$16</f>
        <v>699</v>
      </c>
      <c r="C183" t="s">
        <v>1762</v>
      </c>
      <c r="D183" t="s">
        <v>1765</v>
      </c>
      <c r="E183" s="32">
        <f>INDEX(Enrollment!$L$10:$AAB$18,ROW(BudgetedFTEHistory!$A$9),ROW(BudgetedFTEHistory!A$16))</f>
        <v>138724.48333333334</v>
      </c>
    </row>
    <row r="184" spans="1:5">
      <c r="A184" t="str">
        <f>(LEFT(Enrollment!$AC$6,4))</f>
        <v>2016</v>
      </c>
      <c r="B184" t="str">
        <f>+OperatingFunds!$A$8</f>
        <v>360</v>
      </c>
      <c r="C184" t="s">
        <v>1762</v>
      </c>
      <c r="D184" t="s">
        <v>1765</v>
      </c>
      <c r="E184" s="32">
        <f>INDEX(Enrollment!$L$10:$AAB$18,ROW(BudgetedFTEHistory!$A$1),ROW(BudgetedFTEHistory!A$17))</f>
        <v>47089.166666666664</v>
      </c>
    </row>
    <row r="185" spans="1:5">
      <c r="A185" t="str">
        <f>(LEFT(Enrollment!$AC$6,4))</f>
        <v>2016</v>
      </c>
      <c r="B185" t="str">
        <f>+OperatingFunds!$A$9</f>
        <v>365</v>
      </c>
      <c r="C185" t="s">
        <v>1762</v>
      </c>
      <c r="D185" t="s">
        <v>1765</v>
      </c>
      <c r="E185" s="32">
        <f>INDEX(Enrollment!$L$10:$AAB$18,ROW(BudgetedFTEHistory!$A$2),ROW(BudgetedFTEHistory!A$17))</f>
        <v>26321.599999999999</v>
      </c>
    </row>
    <row r="186" spans="1:5">
      <c r="A186" t="str">
        <f>(LEFT(Enrollment!$AC$6,4))</f>
        <v>2016</v>
      </c>
      <c r="B186" t="str">
        <f>+OperatingFunds!$A$10</f>
        <v>370</v>
      </c>
      <c r="C186" t="s">
        <v>1762</v>
      </c>
      <c r="D186" t="s">
        <v>1765</v>
      </c>
      <c r="E186" s="32">
        <f>INDEX(Enrollment!$L$10:$AAB$18,ROW(BudgetedFTEHistory!$A$3),ROW(BudgetedFTEHistory!A$17))</f>
        <v>10365.866666666665</v>
      </c>
    </row>
    <row r="187" spans="1:5">
      <c r="A187" t="str">
        <f>(LEFT(Enrollment!$AC$6,4))</f>
        <v>2016</v>
      </c>
      <c r="B187" t="str">
        <f>+OperatingFunds!$A$11</f>
        <v>375</v>
      </c>
      <c r="C187" t="s">
        <v>1762</v>
      </c>
      <c r="D187" t="s">
        <v>1765</v>
      </c>
      <c r="E187" s="32">
        <f>INDEX(Enrollment!$L$10:$AAB$18,ROW(BudgetedFTEHistory!$A$4),ROW(BudgetedFTEHistory!A$17))</f>
        <v>9389.4666666666672</v>
      </c>
    </row>
    <row r="188" spans="1:5">
      <c r="A188" t="str">
        <f>(LEFT(Enrollment!$AC$6,4))</f>
        <v>2016</v>
      </c>
      <c r="B188" t="str">
        <f>+OperatingFunds!$A$12</f>
        <v>376</v>
      </c>
      <c r="C188" t="s">
        <v>1762</v>
      </c>
      <c r="D188" t="s">
        <v>1765</v>
      </c>
      <c r="E188" s="32">
        <f>INDEX(Enrollment!$L$10:$AAB$18,ROW(BudgetedFTEHistory!$A$5),ROW(BudgetedFTEHistory!A$17))</f>
        <v>3991.7333333333336</v>
      </c>
    </row>
    <row r="189" spans="1:5">
      <c r="A189" t="str">
        <f>(LEFT(Enrollment!$AC$6,4))</f>
        <v>2016</v>
      </c>
      <c r="B189" t="str">
        <f>+OperatingFunds!$A$13</f>
        <v>380</v>
      </c>
      <c r="C189" t="s">
        <v>1762</v>
      </c>
      <c r="D189" t="s">
        <v>1765</v>
      </c>
      <c r="E189" s="32">
        <f>INDEX(Enrollment!$L$10:$AAB$18,ROW(BudgetedFTEHistory!$A$6),ROW(BudgetedFTEHistory!A$17))</f>
        <v>12675.666666666666</v>
      </c>
    </row>
    <row r="190" spans="1:5">
      <c r="A190" t="str">
        <f>(LEFT(Enrollment!$AC$6,4))</f>
        <v>2016</v>
      </c>
      <c r="B190" t="str">
        <f>+OperatingFunds!$A$16</f>
        <v>699</v>
      </c>
      <c r="C190" t="s">
        <v>1762</v>
      </c>
      <c r="D190" t="s">
        <v>1765</v>
      </c>
      <c r="E190" s="32">
        <f>INDEX(Enrollment!$L$10:$AAB$18,ROW(BudgetedFTEHistory!$A$9),ROW(BudgetedFTEHistory!A$17))</f>
        <v>135652.6166666667</v>
      </c>
    </row>
    <row r="191" spans="1:5">
      <c r="A191" t="str">
        <f>(LEFT(Enrollment!$AD$6,4))</f>
        <v>2017</v>
      </c>
      <c r="B191" t="str">
        <f>+OperatingFunds!$A$8</f>
        <v>360</v>
      </c>
      <c r="C191" t="s">
        <v>1762</v>
      </c>
      <c r="D191" t="s">
        <v>1765</v>
      </c>
      <c r="E191" s="32">
        <f>INDEX(Enrollment!$L$10:$AAB$18,ROW(BudgetedFTEHistory!$A$1),ROW(BudgetedFTEHistory!A$18))</f>
        <v>47917.066666666666</v>
      </c>
    </row>
    <row r="192" spans="1:5">
      <c r="A192" t="str">
        <f>(LEFT(Enrollment!$AD$6,4))</f>
        <v>2017</v>
      </c>
      <c r="B192" t="str">
        <f>+OperatingFunds!$A$9</f>
        <v>365</v>
      </c>
      <c r="C192" t="s">
        <v>1762</v>
      </c>
      <c r="D192" t="s">
        <v>1765</v>
      </c>
      <c r="E192" s="32">
        <f>INDEX(Enrollment!$L$10:$AAB$18,ROW(BudgetedFTEHistory!$A$2),ROW(BudgetedFTEHistory!A$18))</f>
        <v>26630.083333333336</v>
      </c>
    </row>
    <row r="193" spans="1:5">
      <c r="A193" t="str">
        <f>(LEFT(Enrollment!$AD$6,4))</f>
        <v>2017</v>
      </c>
      <c r="B193" t="str">
        <f>+OperatingFunds!$A$10</f>
        <v>370</v>
      </c>
      <c r="C193" t="s">
        <v>1762</v>
      </c>
      <c r="D193" t="s">
        <v>1765</v>
      </c>
      <c r="E193" s="32">
        <f>INDEX(Enrollment!$L$10:$AAB$18,ROW(BudgetedFTEHistory!$A$3),ROW(BudgetedFTEHistory!A$18))</f>
        <v>10241.866666666667</v>
      </c>
    </row>
    <row r="194" spans="1:5">
      <c r="A194" t="str">
        <f>(LEFT(Enrollment!$AD$6,4))</f>
        <v>2017</v>
      </c>
      <c r="B194" t="str">
        <f>+OperatingFunds!$A$11</f>
        <v>375</v>
      </c>
      <c r="C194" t="s">
        <v>1762</v>
      </c>
      <c r="D194" t="s">
        <v>1765</v>
      </c>
      <c r="E194" s="32">
        <f>INDEX(Enrollment!$L$10:$AAB$18,ROW(BudgetedFTEHistory!$A$4),ROW(BudgetedFTEHistory!A$18))</f>
        <v>9715.0999999999985</v>
      </c>
    </row>
    <row r="195" spans="1:5">
      <c r="A195" t="str">
        <f>(LEFT(Enrollment!$AD$6,4))</f>
        <v>2017</v>
      </c>
      <c r="B195" t="str">
        <f>+OperatingFunds!$A$12</f>
        <v>376</v>
      </c>
      <c r="C195" t="s">
        <v>1762</v>
      </c>
      <c r="D195" t="s">
        <v>1765</v>
      </c>
      <c r="E195" s="32">
        <f>INDEX(Enrollment!$L$10:$AAB$18,ROW(BudgetedFTEHistory!$A$5),ROW(BudgetedFTEHistory!A$18))</f>
        <v>3921.6</v>
      </c>
    </row>
    <row r="196" spans="1:5">
      <c r="A196" t="str">
        <f>(LEFT(Enrollment!$AD$6,4))</f>
        <v>2017</v>
      </c>
      <c r="B196" t="str">
        <f>+OperatingFunds!$A$13</f>
        <v>380</v>
      </c>
      <c r="C196" t="s">
        <v>1762</v>
      </c>
      <c r="D196" t="s">
        <v>1765</v>
      </c>
      <c r="E196" s="32">
        <f>INDEX(Enrollment!$L$10:$AAB$18,ROW(BudgetedFTEHistory!$A$6),ROW(BudgetedFTEHistory!A$18))</f>
        <v>12795.1</v>
      </c>
    </row>
    <row r="197" spans="1:5">
      <c r="A197" t="str">
        <f>(LEFT(Enrollment!$AD$6,4))</f>
        <v>2017</v>
      </c>
      <c r="B197" t="str">
        <f>+OperatingFunds!$A$16</f>
        <v>699</v>
      </c>
      <c r="C197" t="s">
        <v>1762</v>
      </c>
      <c r="D197" t="s">
        <v>1765</v>
      </c>
      <c r="E197" s="32">
        <f>INDEX(Enrollment!$L$10:$AAB$18,ROW(BudgetedFTEHistory!$A$9),ROW(BudgetedFTEHistory!A$18))</f>
        <v>131134.95000000001</v>
      </c>
    </row>
    <row r="198" spans="1:5">
      <c r="A198" t="str">
        <f>RIGHT(TuitionRevenues!$B$6,4)</f>
        <v>1994</v>
      </c>
      <c r="B198" t="str">
        <f>+OperatingFunds!$A$8</f>
        <v>360</v>
      </c>
      <c r="C198" t="s">
        <v>1763</v>
      </c>
      <c r="D198" t="s">
        <v>1766</v>
      </c>
      <c r="E198" s="32">
        <f>INDEX(TuitionRevenues!$B$8:$ZT$16,ROW(TuitionRevenues!$A$1),ROW(TuitionRevenues!A$1))</f>
        <v>80546.591</v>
      </c>
    </row>
    <row r="199" spans="1:5">
      <c r="A199" t="str">
        <f>RIGHT(TuitionRevenues!$B$6,4)</f>
        <v>1994</v>
      </c>
      <c r="B199" t="str">
        <f>+OperatingFunds!$A$9</f>
        <v>365</v>
      </c>
      <c r="C199" t="s">
        <v>1763</v>
      </c>
      <c r="D199" t="s">
        <v>1766</v>
      </c>
      <c r="E199" s="32">
        <f>INDEX(TuitionRevenues!$B$8:$ZT$16,ROW(TuitionRevenues!$A$2),ROW(TuitionRevenues!A$1))</f>
        <v>41078.383999999998</v>
      </c>
    </row>
    <row r="200" spans="1:5">
      <c r="A200" t="str">
        <f>RIGHT(TuitionRevenues!$B$6,4)</f>
        <v>1994</v>
      </c>
      <c r="B200" t="str">
        <f>+OperatingFunds!$A$10</f>
        <v>370</v>
      </c>
      <c r="C200" t="s">
        <v>1763</v>
      </c>
      <c r="D200" t="s">
        <v>1766</v>
      </c>
      <c r="E200" s="32">
        <f>INDEX(TuitionRevenues!$B$8:$ZT$16,ROW(TuitionRevenues!$A$3),ROW(TuitionRevenues!A$1))</f>
        <v>14452.218999999999</v>
      </c>
    </row>
    <row r="201" spans="1:5">
      <c r="A201" t="str">
        <f>RIGHT(TuitionRevenues!$B$6,4)</f>
        <v>1994</v>
      </c>
      <c r="B201" t="str">
        <f>+OperatingFunds!$A$11</f>
        <v>375</v>
      </c>
      <c r="C201" t="s">
        <v>1763</v>
      </c>
      <c r="D201" t="s">
        <v>1766</v>
      </c>
      <c r="E201" s="32">
        <f>INDEX(TuitionRevenues!$B$8:$ZT$16,ROW(TuitionRevenues!$A$4),ROW(TuitionRevenues!A$1))</f>
        <v>12681.946</v>
      </c>
    </row>
    <row r="202" spans="1:5">
      <c r="A202" t="str">
        <f>RIGHT(TuitionRevenues!$B$6,4)</f>
        <v>1994</v>
      </c>
      <c r="B202" t="str">
        <f>+OperatingFunds!$A$12</f>
        <v>376</v>
      </c>
      <c r="C202" t="s">
        <v>1763</v>
      </c>
      <c r="D202" t="s">
        <v>1766</v>
      </c>
      <c r="E202" s="32">
        <f>INDEX(TuitionRevenues!$B$8:$ZT$16,ROW(TuitionRevenues!$A$5),ROW(TuitionRevenues!A$1))</f>
        <v>8798.8150000000005</v>
      </c>
    </row>
    <row r="203" spans="1:5">
      <c r="A203" t="str">
        <f>RIGHT(TuitionRevenues!$B$6,4)</f>
        <v>1994</v>
      </c>
      <c r="B203" t="str">
        <f>+OperatingFunds!$A$13</f>
        <v>380</v>
      </c>
      <c r="C203" t="s">
        <v>1763</v>
      </c>
      <c r="D203" t="s">
        <v>1766</v>
      </c>
      <c r="E203" s="32">
        <f>INDEX(TuitionRevenues!$B$8:$ZT$16,ROW(TuitionRevenues!$A$6),ROW(TuitionRevenues!A$1))</f>
        <v>15712.322</v>
      </c>
    </row>
    <row r="204" spans="1:5">
      <c r="A204" t="str">
        <f>RIGHT(TuitionRevenues!$B$6,4)</f>
        <v>1994</v>
      </c>
      <c r="B204" t="str">
        <f>+OperatingFunds!$A$16</f>
        <v>699</v>
      </c>
      <c r="C204" t="s">
        <v>1763</v>
      </c>
      <c r="D204" t="s">
        <v>1766</v>
      </c>
      <c r="E204" s="32">
        <f>INDEX(TuitionRevenues!$B$8:$ZT$16,ROW(TuitionRevenues!$A$9),ROW(TuitionRevenues!A$1))</f>
        <v>87200.316999999995</v>
      </c>
    </row>
    <row r="205" spans="1:5">
      <c r="A205" t="str">
        <f>RIGHT(TuitionRevenues!$C$6,4)</f>
        <v>1995</v>
      </c>
      <c r="B205" t="str">
        <f>+OperatingFunds!$A$8</f>
        <v>360</v>
      </c>
      <c r="C205" t="s">
        <v>1763</v>
      </c>
      <c r="D205" t="s">
        <v>1766</v>
      </c>
      <c r="E205" s="32">
        <f>INDEX(TuitionRevenues!$B$8:$ZT$16,ROW(TuitionRevenues!$A$1),ROW(TuitionRevenues!A$2))</f>
        <v>93538.895000000004</v>
      </c>
    </row>
    <row r="206" spans="1:5">
      <c r="A206" t="str">
        <f>RIGHT(TuitionRevenues!$C$6,4)</f>
        <v>1995</v>
      </c>
      <c r="B206" t="str">
        <f>+OperatingFunds!$A$9</f>
        <v>365</v>
      </c>
      <c r="C206" t="s">
        <v>1763</v>
      </c>
      <c r="D206" t="s">
        <v>1766</v>
      </c>
      <c r="E206" s="32">
        <f>INDEX(TuitionRevenues!$B$8:$ZT$16,ROW(TuitionRevenues!$A$2),ROW(TuitionRevenues!A$2))</f>
        <v>50626.353000000003</v>
      </c>
    </row>
    <row r="207" spans="1:5">
      <c r="A207" t="str">
        <f>RIGHT(TuitionRevenues!$C$6,4)</f>
        <v>1995</v>
      </c>
      <c r="B207" t="str">
        <f>+OperatingFunds!$A$10</f>
        <v>370</v>
      </c>
      <c r="C207" t="s">
        <v>1763</v>
      </c>
      <c r="D207" t="s">
        <v>1766</v>
      </c>
      <c r="E207" s="32">
        <f>INDEX(TuitionRevenues!$B$8:$ZT$16,ROW(TuitionRevenues!$A$3),ROW(TuitionRevenues!A$2))</f>
        <v>16812.39</v>
      </c>
    </row>
    <row r="208" spans="1:5">
      <c r="A208" t="str">
        <f>RIGHT(TuitionRevenues!$C$6,4)</f>
        <v>1995</v>
      </c>
      <c r="B208" t="str">
        <f>+OperatingFunds!$A$11</f>
        <v>375</v>
      </c>
      <c r="C208" t="s">
        <v>1763</v>
      </c>
      <c r="D208" t="s">
        <v>1766</v>
      </c>
      <c r="E208" s="32">
        <f>INDEX(TuitionRevenues!$B$8:$ZT$16,ROW(TuitionRevenues!$A$4),ROW(TuitionRevenues!A$2))</f>
        <v>14954.797</v>
      </c>
    </row>
    <row r="209" spans="1:5">
      <c r="A209" t="str">
        <f>RIGHT(TuitionRevenues!$C$6,4)</f>
        <v>1995</v>
      </c>
      <c r="B209" t="str">
        <f>+OperatingFunds!$A$12</f>
        <v>376</v>
      </c>
      <c r="C209" t="s">
        <v>1763</v>
      </c>
      <c r="D209" t="s">
        <v>1766</v>
      </c>
      <c r="E209" s="32">
        <f>INDEX(TuitionRevenues!$B$8:$ZT$16,ROW(TuitionRevenues!$A$5),ROW(TuitionRevenues!A$2))</f>
        <v>10213.776</v>
      </c>
    </row>
    <row r="210" spans="1:5">
      <c r="A210" t="str">
        <f>RIGHT(TuitionRevenues!$C$6,4)</f>
        <v>1995</v>
      </c>
      <c r="B210" t="str">
        <f>+OperatingFunds!$A$13</f>
        <v>380</v>
      </c>
      <c r="C210" t="s">
        <v>1763</v>
      </c>
      <c r="D210" t="s">
        <v>1766</v>
      </c>
      <c r="E210" s="32">
        <f>INDEX(TuitionRevenues!$B$8:$ZT$16,ROW(TuitionRevenues!$A$6),ROW(TuitionRevenues!A$2))</f>
        <v>20506.911</v>
      </c>
    </row>
    <row r="211" spans="1:5">
      <c r="A211" t="str">
        <f>RIGHT(TuitionRevenues!$C$6,4)</f>
        <v>1995</v>
      </c>
      <c r="B211" t="str">
        <f>+OperatingFunds!$A$16</f>
        <v>699</v>
      </c>
      <c r="C211" t="s">
        <v>1763</v>
      </c>
      <c r="D211" t="s">
        <v>1766</v>
      </c>
      <c r="E211" s="32">
        <f>INDEX(TuitionRevenues!$B$8:$ZT$16,ROW(TuitionRevenues!$A$9),ROW(TuitionRevenues!A$2))</f>
        <v>106287.306</v>
      </c>
    </row>
    <row r="212" spans="1:5">
      <c r="A212" t="str">
        <f>RIGHT(TuitionRevenues!$D$6,4)</f>
        <v>1996</v>
      </c>
      <c r="B212" t="str">
        <f>+OperatingFunds!$A$8</f>
        <v>360</v>
      </c>
      <c r="C212" t="s">
        <v>1763</v>
      </c>
      <c r="D212" t="s">
        <v>1766</v>
      </c>
      <c r="E212" s="32">
        <f>INDEX(TuitionRevenues!$B$8:$ZT$16,ROW(TuitionRevenues!$A$1),ROW(TuitionRevenues!A$3))</f>
        <v>96769.54</v>
      </c>
    </row>
    <row r="213" spans="1:5">
      <c r="A213" t="str">
        <f>RIGHT(TuitionRevenues!$D$6,4)</f>
        <v>1996</v>
      </c>
      <c r="B213" t="str">
        <f>+OperatingFunds!$A$9</f>
        <v>365</v>
      </c>
      <c r="C213" t="s">
        <v>1763</v>
      </c>
      <c r="D213" t="s">
        <v>1766</v>
      </c>
      <c r="E213" s="32">
        <f>INDEX(TuitionRevenues!$B$8:$ZT$16,ROW(TuitionRevenues!$A$2),ROW(TuitionRevenues!A$3))</f>
        <v>51268.031999999999</v>
      </c>
    </row>
    <row r="214" spans="1:5">
      <c r="A214" t="str">
        <f>RIGHT(TuitionRevenues!$D$6,4)</f>
        <v>1996</v>
      </c>
      <c r="B214" t="str">
        <f>+OperatingFunds!$A$10</f>
        <v>370</v>
      </c>
      <c r="C214" t="s">
        <v>1763</v>
      </c>
      <c r="D214" t="s">
        <v>1766</v>
      </c>
      <c r="E214" s="32">
        <f>INDEX(TuitionRevenues!$B$8:$ZT$16,ROW(TuitionRevenues!$A$3),ROW(TuitionRevenues!A$3))</f>
        <v>16456.27</v>
      </c>
    </row>
    <row r="215" spans="1:5">
      <c r="A215" t="str">
        <f>RIGHT(TuitionRevenues!$D$6,4)</f>
        <v>1996</v>
      </c>
      <c r="B215" t="str">
        <f>+OperatingFunds!$A$11</f>
        <v>375</v>
      </c>
      <c r="C215" t="s">
        <v>1763</v>
      </c>
      <c r="D215" t="s">
        <v>1766</v>
      </c>
      <c r="E215" s="32">
        <f>INDEX(TuitionRevenues!$B$8:$ZT$16,ROW(TuitionRevenues!$A$4),ROW(TuitionRevenues!A$3))</f>
        <v>15197.796</v>
      </c>
    </row>
    <row r="216" spans="1:5">
      <c r="A216" t="str">
        <f>RIGHT(TuitionRevenues!$D$6,4)</f>
        <v>1996</v>
      </c>
      <c r="B216" t="str">
        <f>+OperatingFunds!$A$12</f>
        <v>376</v>
      </c>
      <c r="C216" t="s">
        <v>1763</v>
      </c>
      <c r="D216" t="s">
        <v>1766</v>
      </c>
      <c r="E216" s="32">
        <f>INDEX(TuitionRevenues!$B$8:$ZT$16,ROW(TuitionRevenues!$A$5),ROW(TuitionRevenues!A$3))</f>
        <v>10845.367</v>
      </c>
    </row>
    <row r="217" spans="1:5">
      <c r="A217" t="str">
        <f>RIGHT(TuitionRevenues!$D$6,4)</f>
        <v>1996</v>
      </c>
      <c r="B217" t="str">
        <f>+OperatingFunds!$A$13</f>
        <v>380</v>
      </c>
      <c r="C217" t="s">
        <v>1763</v>
      </c>
      <c r="D217" t="s">
        <v>1766</v>
      </c>
      <c r="E217" s="32">
        <f>INDEX(TuitionRevenues!$B$8:$ZT$16,ROW(TuitionRevenues!$A$6),ROW(TuitionRevenues!A$3))</f>
        <v>20186.971000000001</v>
      </c>
    </row>
    <row r="218" spans="1:5">
      <c r="A218" t="str">
        <f>RIGHT(TuitionRevenues!$D$6,4)</f>
        <v>1996</v>
      </c>
      <c r="B218" t="str">
        <f>+OperatingFunds!$A$16</f>
        <v>699</v>
      </c>
      <c r="C218" t="s">
        <v>1763</v>
      </c>
      <c r="D218" t="s">
        <v>1766</v>
      </c>
      <c r="E218" s="32">
        <f>INDEX(TuitionRevenues!$B$8:$ZT$16,ROW(TuitionRevenues!$A$9),ROW(TuitionRevenues!A$3))</f>
        <v>108207.531</v>
      </c>
    </row>
    <row r="219" spans="1:5">
      <c r="A219" t="str">
        <f>RIGHT(TuitionRevenues!$E$6,4)</f>
        <v>1997</v>
      </c>
      <c r="B219" t="str">
        <f>+OperatingFunds!$A$8</f>
        <v>360</v>
      </c>
      <c r="C219" t="s">
        <v>1763</v>
      </c>
      <c r="D219" t="s">
        <v>1766</v>
      </c>
      <c r="E219" s="32">
        <f>INDEX(TuitionRevenues!$B$8:$ZT$16,ROW(TuitionRevenues!$A$1),ROW(TuitionRevenues!A$4))</f>
        <v>104704.927</v>
      </c>
    </row>
    <row r="220" spans="1:5">
      <c r="A220" t="str">
        <f>RIGHT(TuitionRevenues!$E$6,4)</f>
        <v>1997</v>
      </c>
      <c r="B220" t="str">
        <f>+OperatingFunds!$A$9</f>
        <v>365</v>
      </c>
      <c r="C220" t="s">
        <v>1763</v>
      </c>
      <c r="D220" t="s">
        <v>1766</v>
      </c>
      <c r="E220" s="32">
        <f>INDEX(TuitionRevenues!$B$8:$ZT$16,ROW(TuitionRevenues!$A$2),ROW(TuitionRevenues!A$4))</f>
        <v>54503.648000000001</v>
      </c>
    </row>
    <row r="221" spans="1:5">
      <c r="A221" t="str">
        <f>RIGHT(TuitionRevenues!$E$6,4)</f>
        <v>1997</v>
      </c>
      <c r="B221" t="str">
        <f>+OperatingFunds!$A$10</f>
        <v>370</v>
      </c>
      <c r="C221" t="s">
        <v>1763</v>
      </c>
      <c r="D221" t="s">
        <v>1766</v>
      </c>
      <c r="E221" s="32">
        <f>INDEX(TuitionRevenues!$B$8:$ZT$16,ROW(TuitionRevenues!$A$3),ROW(TuitionRevenues!A$4))</f>
        <v>15986.790999999999</v>
      </c>
    </row>
    <row r="222" spans="1:5">
      <c r="A222" t="str">
        <f>RIGHT(TuitionRevenues!$E$6,4)</f>
        <v>1997</v>
      </c>
      <c r="B222" t="str">
        <f>+OperatingFunds!$A$11</f>
        <v>375</v>
      </c>
      <c r="C222" t="s">
        <v>1763</v>
      </c>
      <c r="D222" t="s">
        <v>1766</v>
      </c>
      <c r="E222" s="32">
        <f>INDEX(TuitionRevenues!$B$8:$ZT$16,ROW(TuitionRevenues!$A$4),ROW(TuitionRevenues!A$4))</f>
        <v>16189.431</v>
      </c>
    </row>
    <row r="223" spans="1:5">
      <c r="A223" t="str">
        <f>RIGHT(TuitionRevenues!$E$6,4)</f>
        <v>1997</v>
      </c>
      <c r="B223" t="str">
        <f>+OperatingFunds!$A$12</f>
        <v>376</v>
      </c>
      <c r="C223" t="s">
        <v>1763</v>
      </c>
      <c r="D223" t="s">
        <v>1766</v>
      </c>
      <c r="E223" s="32">
        <f>INDEX(TuitionRevenues!$B$8:$ZT$16,ROW(TuitionRevenues!$A$5),ROW(TuitionRevenues!A$4))</f>
        <v>11594.266</v>
      </c>
    </row>
    <row r="224" spans="1:5">
      <c r="A224" t="str">
        <f>RIGHT(TuitionRevenues!$E$6,4)</f>
        <v>1997</v>
      </c>
      <c r="B224" t="str">
        <f>+OperatingFunds!$A$13</f>
        <v>380</v>
      </c>
      <c r="C224" t="s">
        <v>1763</v>
      </c>
      <c r="D224" t="s">
        <v>1766</v>
      </c>
      <c r="E224" s="32">
        <f>INDEX(TuitionRevenues!$B$8:$ZT$16,ROW(TuitionRevenues!$A$6),ROW(TuitionRevenues!A$4))</f>
        <v>22150.456999999999</v>
      </c>
    </row>
    <row r="225" spans="1:5">
      <c r="A225" t="str">
        <f>RIGHT(TuitionRevenues!$E$6,4)</f>
        <v>1997</v>
      </c>
      <c r="B225" t="str">
        <f>+OperatingFunds!$A$16</f>
        <v>699</v>
      </c>
      <c r="C225" t="s">
        <v>1763</v>
      </c>
      <c r="D225" t="s">
        <v>1766</v>
      </c>
      <c r="E225" s="32">
        <f>INDEX(TuitionRevenues!$B$8:$ZT$16,ROW(TuitionRevenues!$A$9),ROW(TuitionRevenues!A$4))</f>
        <v>111815.837</v>
      </c>
    </row>
    <row r="226" spans="1:5">
      <c r="A226" t="str">
        <f>RIGHT(TuitionRevenues!$F$6,4)</f>
        <v>1998</v>
      </c>
      <c r="B226" t="str">
        <f>+OperatingFunds!$A$8</f>
        <v>360</v>
      </c>
      <c r="C226" t="s">
        <v>1763</v>
      </c>
      <c r="D226" t="s">
        <v>1766</v>
      </c>
      <c r="E226" s="32">
        <f>INDEX(TuitionRevenues!$B$8:$ZT$16,ROW(TuitionRevenues!$A$1),ROW(TuitionRevenues!A$5))</f>
        <v>111894.625</v>
      </c>
    </row>
    <row r="227" spans="1:5">
      <c r="A227" t="str">
        <f>RIGHT(TuitionRevenues!$F$6,4)</f>
        <v>1998</v>
      </c>
      <c r="B227" t="str">
        <f>+OperatingFunds!$A$9</f>
        <v>365</v>
      </c>
      <c r="C227" t="s">
        <v>1763</v>
      </c>
      <c r="D227" t="s">
        <v>1766</v>
      </c>
      <c r="E227" s="32">
        <f>INDEX(TuitionRevenues!$B$8:$ZT$16,ROW(TuitionRevenues!$A$2),ROW(TuitionRevenues!A$5))</f>
        <v>55325.83</v>
      </c>
    </row>
    <row r="228" spans="1:5">
      <c r="A228" t="str">
        <f>RIGHT(TuitionRevenues!$F$6,4)</f>
        <v>1998</v>
      </c>
      <c r="B228" t="str">
        <f>+OperatingFunds!$A$10</f>
        <v>370</v>
      </c>
      <c r="C228" t="s">
        <v>1763</v>
      </c>
      <c r="D228" t="s">
        <v>1766</v>
      </c>
      <c r="E228" s="32">
        <f>INDEX(TuitionRevenues!$B$8:$ZT$16,ROW(TuitionRevenues!$A$3),ROW(TuitionRevenues!A$5))</f>
        <v>16476.585999999999</v>
      </c>
    </row>
    <row r="229" spans="1:5">
      <c r="A229" t="str">
        <f>RIGHT(TuitionRevenues!$F$6,4)</f>
        <v>1998</v>
      </c>
      <c r="B229" t="str">
        <f>+OperatingFunds!$A$11</f>
        <v>375</v>
      </c>
      <c r="C229" t="s">
        <v>1763</v>
      </c>
      <c r="D229" t="s">
        <v>1766</v>
      </c>
      <c r="E229" s="32">
        <f>INDEX(TuitionRevenues!$B$8:$ZT$16,ROW(TuitionRevenues!$A$4),ROW(TuitionRevenues!A$5))</f>
        <v>17037.347000000002</v>
      </c>
    </row>
    <row r="230" spans="1:5">
      <c r="A230" t="str">
        <f>RIGHT(TuitionRevenues!$F$6,4)</f>
        <v>1998</v>
      </c>
      <c r="B230" t="str">
        <f>+OperatingFunds!$A$12</f>
        <v>376</v>
      </c>
      <c r="C230" t="s">
        <v>1763</v>
      </c>
      <c r="D230" t="s">
        <v>1766</v>
      </c>
      <c r="E230" s="32">
        <f>INDEX(TuitionRevenues!$B$8:$ZT$16,ROW(TuitionRevenues!$A$5),ROW(TuitionRevenues!A$5))</f>
        <v>12658.493</v>
      </c>
    </row>
    <row r="231" spans="1:5">
      <c r="A231" t="str">
        <f>RIGHT(TuitionRevenues!$F$6,4)</f>
        <v>1998</v>
      </c>
      <c r="B231" t="str">
        <f>+OperatingFunds!$A$13</f>
        <v>380</v>
      </c>
      <c r="C231" t="s">
        <v>1763</v>
      </c>
      <c r="D231" t="s">
        <v>1766</v>
      </c>
      <c r="E231" s="32">
        <f>INDEX(TuitionRevenues!$B$8:$ZT$16,ROW(TuitionRevenues!$A$6),ROW(TuitionRevenues!A$5))</f>
        <v>24279.699000000001</v>
      </c>
    </row>
    <row r="232" spans="1:5">
      <c r="A232" t="str">
        <f>RIGHT(TuitionRevenues!$F$6,4)</f>
        <v>1998</v>
      </c>
      <c r="B232" t="str">
        <f>+OperatingFunds!$A$16</f>
        <v>699</v>
      </c>
      <c r="C232" t="s">
        <v>1763</v>
      </c>
      <c r="D232" t="s">
        <v>1766</v>
      </c>
      <c r="E232" s="32">
        <f>INDEX(TuitionRevenues!$B$8:$ZT$16,ROW(TuitionRevenues!$A$9),ROW(TuitionRevenues!A$5))</f>
        <v>117517.928</v>
      </c>
    </row>
    <row r="233" spans="1:5">
      <c r="A233" t="str">
        <f>RIGHT(TuitionRevenues!$G$6,4)</f>
        <v>1999</v>
      </c>
      <c r="B233" t="str">
        <f>+OperatingFunds!$A$8</f>
        <v>360</v>
      </c>
      <c r="C233" t="s">
        <v>1763</v>
      </c>
      <c r="D233" t="s">
        <v>1766</v>
      </c>
      <c r="E233" s="32">
        <f>INDEX(TuitionRevenues!$B$8:$ZT$16,ROW(TuitionRevenues!$A$1),ROW(TuitionRevenues!A$6))</f>
        <v>118055.989</v>
      </c>
    </row>
    <row r="234" spans="1:5">
      <c r="A234" t="str">
        <f>RIGHT(TuitionRevenues!$G$6,4)</f>
        <v>1999</v>
      </c>
      <c r="B234" t="str">
        <f>+OperatingFunds!$A$9</f>
        <v>365</v>
      </c>
      <c r="C234" t="s">
        <v>1763</v>
      </c>
      <c r="D234" t="s">
        <v>1766</v>
      </c>
      <c r="E234" s="32">
        <f>INDEX(TuitionRevenues!$B$8:$ZT$16,ROW(TuitionRevenues!$A$2),ROW(TuitionRevenues!A$6))</f>
        <v>57456.796999999999</v>
      </c>
    </row>
    <row r="235" spans="1:5">
      <c r="A235" t="str">
        <f>RIGHT(TuitionRevenues!$G$6,4)</f>
        <v>1999</v>
      </c>
      <c r="B235" t="str">
        <f>+OperatingFunds!$A$10</f>
        <v>370</v>
      </c>
      <c r="C235" t="s">
        <v>1763</v>
      </c>
      <c r="D235" t="s">
        <v>1766</v>
      </c>
      <c r="E235" s="32">
        <f>INDEX(TuitionRevenues!$B$8:$ZT$16,ROW(TuitionRevenues!$A$3),ROW(TuitionRevenues!A$6))</f>
        <v>17522.492999999999</v>
      </c>
    </row>
    <row r="236" spans="1:5">
      <c r="A236" t="str">
        <f>RIGHT(TuitionRevenues!$G$6,4)</f>
        <v>1999</v>
      </c>
      <c r="B236" t="str">
        <f>+OperatingFunds!$A$11</f>
        <v>375</v>
      </c>
      <c r="C236" t="s">
        <v>1763</v>
      </c>
      <c r="D236" t="s">
        <v>1766</v>
      </c>
      <c r="E236" s="32">
        <f>INDEX(TuitionRevenues!$B$8:$ZT$16,ROW(TuitionRevenues!$A$4),ROW(TuitionRevenues!A$6))</f>
        <v>17388.904999999999</v>
      </c>
    </row>
    <row r="237" spans="1:5">
      <c r="A237" t="str">
        <f>RIGHT(TuitionRevenues!$G$6,4)</f>
        <v>1999</v>
      </c>
      <c r="B237" t="str">
        <f>+OperatingFunds!$A$12</f>
        <v>376</v>
      </c>
      <c r="C237" t="s">
        <v>1763</v>
      </c>
      <c r="D237" t="s">
        <v>1766</v>
      </c>
      <c r="E237" s="32">
        <f>INDEX(TuitionRevenues!$B$8:$ZT$16,ROW(TuitionRevenues!$A$5),ROW(TuitionRevenues!A$6))</f>
        <v>13922.457</v>
      </c>
    </row>
    <row r="238" spans="1:5">
      <c r="A238" t="str">
        <f>RIGHT(TuitionRevenues!$G$6,4)</f>
        <v>1999</v>
      </c>
      <c r="B238" t="str">
        <f>+OperatingFunds!$A$13</f>
        <v>380</v>
      </c>
      <c r="C238" t="s">
        <v>1763</v>
      </c>
      <c r="D238" t="s">
        <v>1766</v>
      </c>
      <c r="E238" s="32">
        <f>INDEX(TuitionRevenues!$B$8:$ZT$16,ROW(TuitionRevenues!$A$6),ROW(TuitionRevenues!A$6))</f>
        <v>25804.859</v>
      </c>
    </row>
    <row r="239" spans="1:5">
      <c r="A239" t="str">
        <f>RIGHT(TuitionRevenues!$G$6,4)</f>
        <v>1999</v>
      </c>
      <c r="B239" t="str">
        <f>+OperatingFunds!$A$16</f>
        <v>699</v>
      </c>
      <c r="C239" t="s">
        <v>1763</v>
      </c>
      <c r="D239" t="s">
        <v>1766</v>
      </c>
      <c r="E239" s="32">
        <f>INDEX(TuitionRevenues!$B$8:$ZT$16,ROW(TuitionRevenues!$A$9),ROW(TuitionRevenues!A$6))</f>
        <v>124812.304</v>
      </c>
    </row>
    <row r="240" spans="1:5">
      <c r="A240" t="str">
        <f>RIGHT(TuitionRevenues!$H$6,4)</f>
        <v>2000</v>
      </c>
      <c r="B240" t="str">
        <f>+OperatingFunds!$A$8</f>
        <v>360</v>
      </c>
      <c r="C240" t="s">
        <v>1763</v>
      </c>
      <c r="D240" t="s">
        <v>1766</v>
      </c>
      <c r="E240" s="32">
        <f>INDEX(TuitionRevenues!$B$8:$ZT$16,ROW(TuitionRevenues!$A$1),ROW(TuitionRevenues!A$7))</f>
        <v>126289.77259000002</v>
      </c>
    </row>
    <row r="241" spans="1:5">
      <c r="A241" t="str">
        <f>RIGHT(TuitionRevenues!$H$6,4)</f>
        <v>2000</v>
      </c>
      <c r="B241" t="str">
        <f>+OperatingFunds!$A$9</f>
        <v>365</v>
      </c>
      <c r="C241" t="s">
        <v>1763</v>
      </c>
      <c r="D241" t="s">
        <v>1766</v>
      </c>
      <c r="E241" s="32">
        <f>INDEX(TuitionRevenues!$B$8:$ZT$16,ROW(TuitionRevenues!$A$2),ROW(TuitionRevenues!A$7))</f>
        <v>59077.108740000003</v>
      </c>
    </row>
    <row r="242" spans="1:5">
      <c r="A242" t="str">
        <f>RIGHT(TuitionRevenues!$H$6,4)</f>
        <v>2000</v>
      </c>
      <c r="B242" t="str">
        <f>+OperatingFunds!$A$10</f>
        <v>370</v>
      </c>
      <c r="C242" t="s">
        <v>1763</v>
      </c>
      <c r="D242" t="s">
        <v>1766</v>
      </c>
      <c r="E242" s="32">
        <f>INDEX(TuitionRevenues!$B$8:$ZT$16,ROW(TuitionRevenues!$A$3),ROW(TuitionRevenues!A$7))</f>
        <v>18878.776270000002</v>
      </c>
    </row>
    <row r="243" spans="1:5">
      <c r="A243" t="str">
        <f>RIGHT(TuitionRevenues!$H$6,4)</f>
        <v>2000</v>
      </c>
      <c r="B243" t="str">
        <f>+OperatingFunds!$A$11</f>
        <v>375</v>
      </c>
      <c r="C243" t="s">
        <v>1763</v>
      </c>
      <c r="D243" t="s">
        <v>1766</v>
      </c>
      <c r="E243" s="32">
        <f>INDEX(TuitionRevenues!$B$8:$ZT$16,ROW(TuitionRevenues!$A$4),ROW(TuitionRevenues!A$7))</f>
        <v>18157.917799999999</v>
      </c>
    </row>
    <row r="244" spans="1:5">
      <c r="A244" t="str">
        <f>RIGHT(TuitionRevenues!$H$6,4)</f>
        <v>2000</v>
      </c>
      <c r="B244" t="str">
        <f>+OperatingFunds!$A$12</f>
        <v>376</v>
      </c>
      <c r="C244" t="s">
        <v>1763</v>
      </c>
      <c r="D244" t="s">
        <v>1766</v>
      </c>
      <c r="E244" s="32">
        <f>INDEX(TuitionRevenues!$B$8:$ZT$16,ROW(TuitionRevenues!$A$5),ROW(TuitionRevenues!A$7))</f>
        <v>13907.239670000003</v>
      </c>
    </row>
    <row r="245" spans="1:5">
      <c r="A245" t="str">
        <f>RIGHT(TuitionRevenues!$H$6,4)</f>
        <v>2000</v>
      </c>
      <c r="B245" t="str">
        <f>+OperatingFunds!$A$13</f>
        <v>380</v>
      </c>
      <c r="C245" t="s">
        <v>1763</v>
      </c>
      <c r="D245" t="s">
        <v>1766</v>
      </c>
      <c r="E245" s="32">
        <f>INDEX(TuitionRevenues!$B$8:$ZT$16,ROW(TuitionRevenues!$A$6),ROW(TuitionRevenues!A$7))</f>
        <v>25317.728480000002</v>
      </c>
    </row>
    <row r="246" spans="1:5">
      <c r="A246" t="str">
        <f>RIGHT(TuitionRevenues!$H$6,4)</f>
        <v>2000</v>
      </c>
      <c r="B246" t="str">
        <f>+OperatingFunds!$A$16</f>
        <v>699</v>
      </c>
      <c r="C246" t="s">
        <v>1763</v>
      </c>
      <c r="D246" t="s">
        <v>1766</v>
      </c>
      <c r="E246" s="32">
        <f>INDEX(TuitionRevenues!$B$8:$ZT$16,ROW(TuitionRevenues!$A$9),ROW(TuitionRevenues!A$7))</f>
        <v>131551.77562999999</v>
      </c>
    </row>
    <row r="247" spans="1:5">
      <c r="A247" t="str">
        <f>RIGHT(TuitionRevenues!$I$6,4)</f>
        <v>2001</v>
      </c>
      <c r="B247" t="str">
        <f>+OperatingFunds!$A$8</f>
        <v>360</v>
      </c>
      <c r="C247" t="s">
        <v>1763</v>
      </c>
      <c r="D247" t="s">
        <v>1766</v>
      </c>
      <c r="E247" s="32">
        <f>INDEX(TuitionRevenues!$B$8:$ZT$16,ROW(TuitionRevenues!$A$1),ROW(TuitionRevenues!A$8))</f>
        <v>133419.50145999997</v>
      </c>
    </row>
    <row r="248" spans="1:5">
      <c r="A248" t="str">
        <f>RIGHT(TuitionRevenues!$I$6,4)</f>
        <v>2001</v>
      </c>
      <c r="B248" t="str">
        <f>+OperatingFunds!$A$9</f>
        <v>365</v>
      </c>
      <c r="C248" t="s">
        <v>1763</v>
      </c>
      <c r="D248" t="s">
        <v>1766</v>
      </c>
      <c r="E248" s="32">
        <f>INDEX(TuitionRevenues!$B$8:$ZT$16,ROW(TuitionRevenues!$A$2),ROW(TuitionRevenues!A$8))</f>
        <v>61680.684689999995</v>
      </c>
    </row>
    <row r="249" spans="1:5">
      <c r="A249" t="str">
        <f>RIGHT(TuitionRevenues!$I$6,4)</f>
        <v>2001</v>
      </c>
      <c r="B249" t="str">
        <f>+OperatingFunds!$A$10</f>
        <v>370</v>
      </c>
      <c r="C249" t="s">
        <v>1763</v>
      </c>
      <c r="D249" t="s">
        <v>1766</v>
      </c>
      <c r="E249" s="32">
        <f>INDEX(TuitionRevenues!$B$8:$ZT$16,ROW(TuitionRevenues!$A$3),ROW(TuitionRevenues!A$8))</f>
        <v>20723.204139999998</v>
      </c>
    </row>
    <row r="250" spans="1:5">
      <c r="A250" t="str">
        <f>RIGHT(TuitionRevenues!$I$6,4)</f>
        <v>2001</v>
      </c>
      <c r="B250" t="str">
        <f>+OperatingFunds!$A$11</f>
        <v>375</v>
      </c>
      <c r="C250" t="s">
        <v>1763</v>
      </c>
      <c r="D250" t="s">
        <v>1766</v>
      </c>
      <c r="E250" s="32">
        <f>INDEX(TuitionRevenues!$B$8:$ZT$16,ROW(TuitionRevenues!$A$4),ROW(TuitionRevenues!A$8))</f>
        <v>18065.56853</v>
      </c>
    </row>
    <row r="251" spans="1:5">
      <c r="A251" t="str">
        <f>RIGHT(TuitionRevenues!$I$6,4)</f>
        <v>2001</v>
      </c>
      <c r="B251" t="str">
        <f>+OperatingFunds!$A$12</f>
        <v>376</v>
      </c>
      <c r="C251" t="s">
        <v>1763</v>
      </c>
      <c r="D251" t="s">
        <v>1766</v>
      </c>
      <c r="E251" s="32">
        <f>INDEX(TuitionRevenues!$B$8:$ZT$16,ROW(TuitionRevenues!$A$5),ROW(TuitionRevenues!A$8))</f>
        <v>14403.041090000002</v>
      </c>
    </row>
    <row r="252" spans="1:5">
      <c r="A252" t="str">
        <f>RIGHT(TuitionRevenues!$I$6,4)</f>
        <v>2001</v>
      </c>
      <c r="B252" t="str">
        <f>+OperatingFunds!$A$13</f>
        <v>380</v>
      </c>
      <c r="C252" t="s">
        <v>1763</v>
      </c>
      <c r="D252" t="s">
        <v>1766</v>
      </c>
      <c r="E252" s="32">
        <f>INDEX(TuitionRevenues!$B$8:$ZT$16,ROW(TuitionRevenues!$A$6),ROW(TuitionRevenues!A$8))</f>
        <v>30737.289549999998</v>
      </c>
    </row>
    <row r="253" spans="1:5">
      <c r="A253" t="str">
        <f>RIGHT(TuitionRevenues!$I$6,4)</f>
        <v>2001</v>
      </c>
      <c r="B253" t="str">
        <f>+OperatingFunds!$A$16</f>
        <v>699</v>
      </c>
      <c r="C253" t="s">
        <v>1763</v>
      </c>
      <c r="D253" t="s">
        <v>1766</v>
      </c>
      <c r="E253" s="32">
        <f>INDEX(TuitionRevenues!$B$8:$ZT$16,ROW(TuitionRevenues!$A$9),ROW(TuitionRevenues!A$8))</f>
        <v>137605.95252000002</v>
      </c>
    </row>
    <row r="254" spans="1:5">
      <c r="A254" t="str">
        <f>RIGHT(TuitionRevenues!$J$6,4)</f>
        <v>2002</v>
      </c>
      <c r="B254" t="str">
        <f>+OperatingFunds!$A$8</f>
        <v>360</v>
      </c>
      <c r="C254" t="s">
        <v>1763</v>
      </c>
      <c r="D254" t="s">
        <v>1766</v>
      </c>
      <c r="E254" s="32">
        <f>INDEX(TuitionRevenues!$B$8:$ZT$16,ROW(TuitionRevenues!$A$1),ROW(TuitionRevenues!A$9))</f>
        <v>151094.92456000001</v>
      </c>
    </row>
    <row r="255" spans="1:5">
      <c r="A255" t="str">
        <f>RIGHT(TuitionRevenues!$J$6,4)</f>
        <v>2002</v>
      </c>
      <c r="B255" t="str">
        <f>+OperatingFunds!$A$9</f>
        <v>365</v>
      </c>
      <c r="C255" t="s">
        <v>1763</v>
      </c>
      <c r="D255" t="s">
        <v>1766</v>
      </c>
      <c r="E255" s="32">
        <f>INDEX(TuitionRevenues!$B$8:$ZT$16,ROW(TuitionRevenues!$A$2),ROW(TuitionRevenues!A$9))</f>
        <v>67548.299180000016</v>
      </c>
    </row>
    <row r="256" spans="1:5">
      <c r="A256" t="str">
        <f>RIGHT(TuitionRevenues!$J$6,4)</f>
        <v>2002</v>
      </c>
      <c r="B256" t="str">
        <f>+OperatingFunds!$A$10</f>
        <v>370</v>
      </c>
      <c r="C256" t="s">
        <v>1763</v>
      </c>
      <c r="D256" t="s">
        <v>1766</v>
      </c>
      <c r="E256" s="32">
        <f>INDEX(TuitionRevenues!$B$8:$ZT$16,ROW(TuitionRevenues!$A$3),ROW(TuitionRevenues!A$9))</f>
        <v>22300.61911</v>
      </c>
    </row>
    <row r="257" spans="1:5">
      <c r="A257" t="str">
        <f>RIGHT(TuitionRevenues!$J$6,4)</f>
        <v>2002</v>
      </c>
      <c r="B257" t="str">
        <f>+OperatingFunds!$A$11</f>
        <v>375</v>
      </c>
      <c r="C257" t="s">
        <v>1763</v>
      </c>
      <c r="D257" t="s">
        <v>1766</v>
      </c>
      <c r="E257" s="32">
        <f>INDEX(TuitionRevenues!$B$8:$ZT$16,ROW(TuitionRevenues!$A$4),ROW(TuitionRevenues!A$9))</f>
        <v>19636.140100000001</v>
      </c>
    </row>
    <row r="258" spans="1:5">
      <c r="A258" t="str">
        <f>RIGHT(TuitionRevenues!$J$6,4)</f>
        <v>2002</v>
      </c>
      <c r="B258" t="str">
        <f>+OperatingFunds!$A$12</f>
        <v>376</v>
      </c>
      <c r="C258" t="s">
        <v>1763</v>
      </c>
      <c r="D258" t="s">
        <v>1766</v>
      </c>
      <c r="E258" s="32">
        <f>INDEX(TuitionRevenues!$B$8:$ZT$16,ROW(TuitionRevenues!$A$5),ROW(TuitionRevenues!A$9))</f>
        <v>15558.818440000001</v>
      </c>
    </row>
    <row r="259" spans="1:5">
      <c r="A259" t="str">
        <f>RIGHT(TuitionRevenues!$J$6,4)</f>
        <v>2002</v>
      </c>
      <c r="B259" t="str">
        <f>+OperatingFunds!$A$13</f>
        <v>380</v>
      </c>
      <c r="C259" t="s">
        <v>1763</v>
      </c>
      <c r="D259" t="s">
        <v>1766</v>
      </c>
      <c r="E259" s="32">
        <f>INDEX(TuitionRevenues!$B$8:$ZT$16,ROW(TuitionRevenues!$A$6),ROW(TuitionRevenues!A$9))</f>
        <v>30328.21267999999</v>
      </c>
    </row>
    <row r="260" spans="1:5">
      <c r="A260" t="str">
        <f>RIGHT(TuitionRevenues!$J$6,4)</f>
        <v>2002</v>
      </c>
      <c r="B260" t="str">
        <f>+OperatingFunds!$A$16</f>
        <v>699</v>
      </c>
      <c r="C260" t="s">
        <v>1763</v>
      </c>
      <c r="D260" t="s">
        <v>1766</v>
      </c>
      <c r="E260" s="32">
        <f>INDEX(TuitionRevenues!$B$8:$ZT$16,ROW(TuitionRevenues!$A$9),ROW(TuitionRevenues!A$9))</f>
        <v>149990.15420999998</v>
      </c>
    </row>
    <row r="261" spans="1:5">
      <c r="A261" t="str">
        <f>RIGHT(TuitionRevenues!$K$6,4)</f>
        <v>2003</v>
      </c>
      <c r="B261" t="str">
        <f>+OperatingFunds!$A$8</f>
        <v>360</v>
      </c>
      <c r="C261" t="s">
        <v>1763</v>
      </c>
      <c r="D261" t="s">
        <v>1766</v>
      </c>
      <c r="E261" s="32">
        <f>INDEX(TuitionRevenues!$B$8:$ZT$16,ROW(TuitionRevenues!$A$1),ROW(TuitionRevenues!A$10))</f>
        <v>173264.73618999991</v>
      </c>
    </row>
    <row r="262" spans="1:5">
      <c r="A262" t="str">
        <f>RIGHT(TuitionRevenues!$K$6,4)</f>
        <v>2003</v>
      </c>
      <c r="B262" t="str">
        <f>+OperatingFunds!$A$9</f>
        <v>365</v>
      </c>
      <c r="C262" t="s">
        <v>1763</v>
      </c>
      <c r="D262" t="s">
        <v>1766</v>
      </c>
      <c r="E262" s="32">
        <f>INDEX(TuitionRevenues!$B$8:$ZT$16,ROW(TuitionRevenues!$A$2),ROW(TuitionRevenues!A$10))</f>
        <v>78560.005370000028</v>
      </c>
    </row>
    <row r="263" spans="1:5">
      <c r="A263" t="str">
        <f>RIGHT(TuitionRevenues!$K$6,4)</f>
        <v>2003</v>
      </c>
      <c r="B263" t="str">
        <f>+OperatingFunds!$A$10</f>
        <v>370</v>
      </c>
      <c r="C263" t="s">
        <v>1763</v>
      </c>
      <c r="D263" t="s">
        <v>1766</v>
      </c>
      <c r="E263" s="32">
        <f>INDEX(TuitionRevenues!$B$8:$ZT$16,ROW(TuitionRevenues!$A$3),ROW(TuitionRevenues!A$10))</f>
        <v>26474.943080000001</v>
      </c>
    </row>
    <row r="264" spans="1:5">
      <c r="A264" t="str">
        <f>RIGHT(TuitionRevenues!$K$6,4)</f>
        <v>2003</v>
      </c>
      <c r="B264" t="str">
        <f>+OperatingFunds!$A$11</f>
        <v>375</v>
      </c>
      <c r="C264" t="s">
        <v>1763</v>
      </c>
      <c r="D264" t="s">
        <v>1766</v>
      </c>
      <c r="E264" s="32">
        <f>INDEX(TuitionRevenues!$B$8:$ZT$16,ROW(TuitionRevenues!$A$4),ROW(TuitionRevenues!A$10))</f>
        <v>22857.389880000002</v>
      </c>
    </row>
    <row r="265" spans="1:5">
      <c r="A265" t="str">
        <f>RIGHT(TuitionRevenues!$K$6,4)</f>
        <v>2003</v>
      </c>
      <c r="B265" t="str">
        <f>+OperatingFunds!$A$12</f>
        <v>376</v>
      </c>
      <c r="C265" t="s">
        <v>1763</v>
      </c>
      <c r="D265" t="s">
        <v>1766</v>
      </c>
      <c r="E265" s="32">
        <f>INDEX(TuitionRevenues!$B$8:$ZT$16,ROW(TuitionRevenues!$A$5),ROW(TuitionRevenues!A$10))</f>
        <v>15843.64733</v>
      </c>
    </row>
    <row r="266" spans="1:5">
      <c r="A266" t="str">
        <f>RIGHT(TuitionRevenues!$K$6,4)</f>
        <v>2003</v>
      </c>
      <c r="B266" t="str">
        <f>+OperatingFunds!$A$13</f>
        <v>380</v>
      </c>
      <c r="C266" t="s">
        <v>1763</v>
      </c>
      <c r="D266" t="s">
        <v>1766</v>
      </c>
      <c r="E266" s="32">
        <f>INDEX(TuitionRevenues!$B$8:$ZT$16,ROW(TuitionRevenues!$A$6),ROW(TuitionRevenues!A$10))</f>
        <v>33840.12698999999</v>
      </c>
    </row>
    <row r="267" spans="1:5">
      <c r="A267" t="str">
        <f>RIGHT(TuitionRevenues!$K$6,4)</f>
        <v>2003</v>
      </c>
      <c r="B267" t="str">
        <f>+OperatingFunds!$A$16</f>
        <v>699</v>
      </c>
      <c r="C267" t="s">
        <v>1763</v>
      </c>
      <c r="D267" t="s">
        <v>1766</v>
      </c>
      <c r="E267" s="32">
        <f>INDEX(TuitionRevenues!$B$8:$ZT$16,ROW(TuitionRevenues!$A$9),ROW(TuitionRevenues!A$10))</f>
        <v>167827.98656999992</v>
      </c>
    </row>
    <row r="268" spans="1:5">
      <c r="A268" t="str">
        <f>RIGHT(TuitionRevenues!$L$6,4)</f>
        <v>2004</v>
      </c>
      <c r="B268" t="str">
        <f>+OperatingFunds!$A$8</f>
        <v>360</v>
      </c>
      <c r="C268" t="s">
        <v>1763</v>
      </c>
      <c r="D268" t="s">
        <v>1766</v>
      </c>
      <c r="E268" s="32">
        <f>INDEX(TuitionRevenues!$B$8:$ZT$16,ROW(TuitionRevenues!$A$1),ROW(TuitionRevenues!A$11))</f>
        <v>183104.05669</v>
      </c>
    </row>
    <row r="269" spans="1:5">
      <c r="A269" t="str">
        <f>RIGHT(TuitionRevenues!$L$6,4)</f>
        <v>2004</v>
      </c>
      <c r="B269" t="str">
        <f>+OperatingFunds!$A$9</f>
        <v>365</v>
      </c>
      <c r="C269" t="s">
        <v>1763</v>
      </c>
      <c r="D269" t="s">
        <v>1766</v>
      </c>
      <c r="E269" s="32">
        <f>INDEX(TuitionRevenues!$B$8:$ZT$16,ROW(TuitionRevenues!$A$2),ROW(TuitionRevenues!A$11))</f>
        <v>84610.484900000025</v>
      </c>
    </row>
    <row r="270" spans="1:5">
      <c r="A270" t="str">
        <f>RIGHT(TuitionRevenues!$L$6,4)</f>
        <v>2004</v>
      </c>
      <c r="B270" t="str">
        <f>+OperatingFunds!$A$10</f>
        <v>370</v>
      </c>
      <c r="C270" t="s">
        <v>1763</v>
      </c>
      <c r="D270" t="s">
        <v>1766</v>
      </c>
      <c r="E270" s="32">
        <f>INDEX(TuitionRevenues!$B$8:$ZT$16,ROW(TuitionRevenues!$A$3),ROW(TuitionRevenues!A$11))</f>
        <v>28360.55256</v>
      </c>
    </row>
    <row r="271" spans="1:5">
      <c r="A271" t="str">
        <f>RIGHT(TuitionRevenues!$L$6,4)</f>
        <v>2004</v>
      </c>
      <c r="B271" t="str">
        <f>+OperatingFunds!$A$11</f>
        <v>375</v>
      </c>
      <c r="C271" t="s">
        <v>1763</v>
      </c>
      <c r="D271" t="s">
        <v>1766</v>
      </c>
      <c r="E271" s="32">
        <f>INDEX(TuitionRevenues!$B$8:$ZT$16,ROW(TuitionRevenues!$A$4),ROW(TuitionRevenues!A$11))</f>
        <v>24494.525559999998</v>
      </c>
    </row>
    <row r="272" spans="1:5">
      <c r="A272" t="str">
        <f>RIGHT(TuitionRevenues!$L$6,4)</f>
        <v>2004</v>
      </c>
      <c r="B272" t="str">
        <f>+OperatingFunds!$A$12</f>
        <v>376</v>
      </c>
      <c r="C272" t="s">
        <v>1763</v>
      </c>
      <c r="D272" t="s">
        <v>1766</v>
      </c>
      <c r="E272" s="32">
        <f>INDEX(TuitionRevenues!$B$8:$ZT$16,ROW(TuitionRevenues!$A$5),ROW(TuitionRevenues!A$11))</f>
        <v>12978.173260000005</v>
      </c>
    </row>
    <row r="273" spans="1:5">
      <c r="A273" t="str">
        <f>RIGHT(TuitionRevenues!$L$6,4)</f>
        <v>2004</v>
      </c>
      <c r="B273" t="str">
        <f>+OperatingFunds!$A$13</f>
        <v>380</v>
      </c>
      <c r="C273" t="s">
        <v>1763</v>
      </c>
      <c r="D273" t="s">
        <v>1766</v>
      </c>
      <c r="E273" s="32">
        <f>INDEX(TuitionRevenues!$B$8:$ZT$16,ROW(TuitionRevenues!$A$6),ROW(TuitionRevenues!A$11))</f>
        <v>37958.130849999994</v>
      </c>
    </row>
    <row r="274" spans="1:5">
      <c r="A274" t="str">
        <f>RIGHT(TuitionRevenues!$L$6,4)</f>
        <v>2004</v>
      </c>
      <c r="B274" t="str">
        <f>+OperatingFunds!$A$16</f>
        <v>699</v>
      </c>
      <c r="C274" t="s">
        <v>1763</v>
      </c>
      <c r="D274" t="s">
        <v>1766</v>
      </c>
      <c r="E274" s="32">
        <f>INDEX(TuitionRevenues!$B$8:$ZT$16,ROW(TuitionRevenues!$A$9),ROW(TuitionRevenues!A$11))</f>
        <v>184067.77504000004</v>
      </c>
    </row>
    <row r="275" spans="1:5">
      <c r="A275" t="str">
        <f>RIGHT(TuitionRevenues!$M$6,4)</f>
        <v>2005</v>
      </c>
      <c r="B275" t="str">
        <f>+OperatingFunds!$A$8</f>
        <v>360</v>
      </c>
      <c r="C275" t="s">
        <v>1763</v>
      </c>
      <c r="D275" t="s">
        <v>1766</v>
      </c>
      <c r="E275" s="32">
        <f>INDEX(TuitionRevenues!$B$8:$ZT$16,ROW(TuitionRevenues!$A$1),ROW(TuitionRevenues!A$12))</f>
        <v>204784.39222999997</v>
      </c>
    </row>
    <row r="276" spans="1:5">
      <c r="A276" t="str">
        <f>RIGHT(TuitionRevenues!$M$6,4)</f>
        <v>2005</v>
      </c>
      <c r="B276" t="str">
        <f>+OperatingFunds!$A$9</f>
        <v>365</v>
      </c>
      <c r="C276" t="s">
        <v>1763</v>
      </c>
      <c r="D276" t="s">
        <v>1766</v>
      </c>
      <c r="E276" s="32">
        <f>INDEX(TuitionRevenues!$B$8:$ZT$16,ROW(TuitionRevenues!$A$2),ROW(TuitionRevenues!A$12))</f>
        <v>97994.003940000039</v>
      </c>
    </row>
    <row r="277" spans="1:5">
      <c r="A277" t="str">
        <f>RIGHT(TuitionRevenues!$M$6,4)</f>
        <v>2005</v>
      </c>
      <c r="B277" t="str">
        <f>+OperatingFunds!$A$10</f>
        <v>370</v>
      </c>
      <c r="C277" t="s">
        <v>1763</v>
      </c>
      <c r="D277" t="s">
        <v>1766</v>
      </c>
      <c r="E277" s="32">
        <f>INDEX(TuitionRevenues!$B$8:$ZT$16,ROW(TuitionRevenues!$A$3),ROW(TuitionRevenues!A$12))</f>
        <v>30704.459429999995</v>
      </c>
    </row>
    <row r="278" spans="1:5">
      <c r="A278" t="str">
        <f>RIGHT(TuitionRevenues!$M$6,4)</f>
        <v>2005</v>
      </c>
      <c r="B278" t="str">
        <f>+OperatingFunds!$A$11</f>
        <v>375</v>
      </c>
      <c r="C278" t="s">
        <v>1763</v>
      </c>
      <c r="D278" t="s">
        <v>1766</v>
      </c>
      <c r="E278" s="32">
        <f>INDEX(TuitionRevenues!$B$8:$ZT$16,ROW(TuitionRevenues!$A$4),ROW(TuitionRevenues!A$12))</f>
        <v>27665.377630000003</v>
      </c>
    </row>
    <row r="279" spans="1:5">
      <c r="A279" t="str">
        <f>RIGHT(TuitionRevenues!$M$6,4)</f>
        <v>2005</v>
      </c>
      <c r="B279" t="str">
        <f>+OperatingFunds!$A$12</f>
        <v>376</v>
      </c>
      <c r="C279" t="s">
        <v>1763</v>
      </c>
      <c r="D279" t="s">
        <v>1766</v>
      </c>
      <c r="E279" s="32">
        <f>INDEX(TuitionRevenues!$B$8:$ZT$16,ROW(TuitionRevenues!$A$5),ROW(TuitionRevenues!A$12))</f>
        <v>25342.573900000007</v>
      </c>
    </row>
    <row r="280" spans="1:5">
      <c r="A280" t="str">
        <f>RIGHT(TuitionRevenues!$M$6,4)</f>
        <v>2005</v>
      </c>
      <c r="B280" t="str">
        <f>+OperatingFunds!$A$13</f>
        <v>380</v>
      </c>
      <c r="C280" t="s">
        <v>1763</v>
      </c>
      <c r="D280" t="s">
        <v>1766</v>
      </c>
      <c r="E280" s="32">
        <f>INDEX(TuitionRevenues!$B$8:$ZT$16,ROW(TuitionRevenues!$A$6),ROW(TuitionRevenues!A$12))</f>
        <v>42490.997799999997</v>
      </c>
    </row>
    <row r="281" spans="1:5">
      <c r="A281" t="str">
        <f>RIGHT(TuitionRevenues!$M$6,4)</f>
        <v>2005</v>
      </c>
      <c r="B281" t="str">
        <f>+OperatingFunds!$A$16</f>
        <v>699</v>
      </c>
      <c r="C281" t="s">
        <v>1763</v>
      </c>
      <c r="D281" t="s">
        <v>1766</v>
      </c>
      <c r="E281" s="32">
        <f>INDEX(TuitionRevenues!$B$8:$ZT$16,ROW(TuitionRevenues!$A$9),ROW(TuitionRevenues!A$12))</f>
        <v>201478.93521999996</v>
      </c>
    </row>
    <row r="282" spans="1:5">
      <c r="A282" t="str">
        <f>RIGHT(TuitionRevenues!$N$6,4)</f>
        <v>2006</v>
      </c>
      <c r="B282" t="str">
        <f>+OperatingFunds!$A$8</f>
        <v>360</v>
      </c>
      <c r="C282" t="s">
        <v>1763</v>
      </c>
      <c r="D282" t="s">
        <v>1766</v>
      </c>
      <c r="E282" s="32">
        <f>INDEX(TuitionRevenues!$B$8:$ZT$16,ROW(TuitionRevenues!$A$1),ROW(TuitionRevenues!A$13))</f>
        <v>225754.54895000011</v>
      </c>
    </row>
    <row r="283" spans="1:5">
      <c r="A283" t="str">
        <f>RIGHT(TuitionRevenues!$N$6,4)</f>
        <v>2006</v>
      </c>
      <c r="B283" t="str">
        <f>+OperatingFunds!$A$9</f>
        <v>365</v>
      </c>
      <c r="C283" t="s">
        <v>1763</v>
      </c>
      <c r="D283" t="s">
        <v>1766</v>
      </c>
      <c r="E283" s="32">
        <f>INDEX(TuitionRevenues!$B$8:$ZT$16,ROW(TuitionRevenues!$A$2),ROW(TuitionRevenues!A$13))</f>
        <v>102714.57546999998</v>
      </c>
    </row>
    <row r="284" spans="1:5">
      <c r="A284" t="str">
        <f>RIGHT(TuitionRevenues!$N$6,4)</f>
        <v>2006</v>
      </c>
      <c r="B284" t="str">
        <f>+OperatingFunds!$A$10</f>
        <v>370</v>
      </c>
      <c r="C284" t="s">
        <v>1763</v>
      </c>
      <c r="D284" t="s">
        <v>1766</v>
      </c>
      <c r="E284" s="32">
        <f>INDEX(TuitionRevenues!$B$8:$ZT$16,ROW(TuitionRevenues!$A$3),ROW(TuitionRevenues!A$13))</f>
        <v>33018.064900000005</v>
      </c>
    </row>
    <row r="285" spans="1:5">
      <c r="A285" t="str">
        <f>RIGHT(TuitionRevenues!$N$6,4)</f>
        <v>2006</v>
      </c>
      <c r="B285" t="str">
        <f>+OperatingFunds!$A$11</f>
        <v>375</v>
      </c>
      <c r="C285" t="s">
        <v>1763</v>
      </c>
      <c r="D285" t="s">
        <v>1766</v>
      </c>
      <c r="E285" s="32">
        <f>INDEX(TuitionRevenues!$B$8:$ZT$16,ROW(TuitionRevenues!$A$4),ROW(TuitionRevenues!A$13))</f>
        <v>30570.354349999998</v>
      </c>
    </row>
    <row r="286" spans="1:5">
      <c r="A286" t="str">
        <f>RIGHT(TuitionRevenues!$N$6,4)</f>
        <v>2006</v>
      </c>
      <c r="B286" t="str">
        <f>+OperatingFunds!$A$12</f>
        <v>376</v>
      </c>
      <c r="C286" t="s">
        <v>1763</v>
      </c>
      <c r="D286" t="s">
        <v>1766</v>
      </c>
      <c r="E286" s="32">
        <f>INDEX(TuitionRevenues!$B$8:$ZT$16,ROW(TuitionRevenues!$A$5),ROW(TuitionRevenues!A$13))</f>
        <v>20088.412800000002</v>
      </c>
    </row>
    <row r="287" spans="1:5">
      <c r="A287" t="str">
        <f>RIGHT(TuitionRevenues!$N$6,4)</f>
        <v>2006</v>
      </c>
      <c r="B287" t="str">
        <f>+OperatingFunds!$A$13</f>
        <v>380</v>
      </c>
      <c r="C287" t="s">
        <v>1763</v>
      </c>
      <c r="D287" t="s">
        <v>1766</v>
      </c>
      <c r="E287" s="32">
        <f>INDEX(TuitionRevenues!$B$8:$ZT$16,ROW(TuitionRevenues!$A$6),ROW(TuitionRevenues!A$13))</f>
        <v>44496.799770000005</v>
      </c>
    </row>
    <row r="288" spans="1:5">
      <c r="A288" t="str">
        <f>RIGHT(TuitionRevenues!$N$6,4)</f>
        <v>2006</v>
      </c>
      <c r="B288" t="str">
        <f>+OperatingFunds!$A$16</f>
        <v>699</v>
      </c>
      <c r="C288" t="s">
        <v>1763</v>
      </c>
      <c r="D288" t="s">
        <v>1766</v>
      </c>
      <c r="E288" s="32">
        <f>INDEX(TuitionRevenues!$B$8:$ZT$16,ROW(TuitionRevenues!$A$9),ROW(TuitionRevenues!A$13))</f>
        <v>213104.94586999994</v>
      </c>
    </row>
    <row r="289" spans="1:5">
      <c r="A289" t="str">
        <f>RIGHT(TuitionRevenues!$O$6,4)</f>
        <v>2007</v>
      </c>
      <c r="B289" t="str">
        <f>+OperatingFunds!$A$8</f>
        <v>360</v>
      </c>
      <c r="C289" t="s">
        <v>1763</v>
      </c>
      <c r="D289" t="s">
        <v>1766</v>
      </c>
      <c r="E289" s="32">
        <f>INDEX(TuitionRevenues!$B$8:$ZT$16,ROW(TuitionRevenues!$A$1),ROW(TuitionRevenues!A$14))</f>
        <v>250532.31284999999</v>
      </c>
    </row>
    <row r="290" spans="1:5">
      <c r="A290" t="str">
        <f>RIGHT(TuitionRevenues!$O$6,4)</f>
        <v>2007</v>
      </c>
      <c r="B290" t="str">
        <f>+OperatingFunds!$A$9</f>
        <v>365</v>
      </c>
      <c r="C290" t="s">
        <v>1763</v>
      </c>
      <c r="D290" t="s">
        <v>1766</v>
      </c>
      <c r="E290" s="32">
        <f>INDEX(TuitionRevenues!$B$8:$ZT$16,ROW(TuitionRevenues!$A$2),ROW(TuitionRevenues!A$14))</f>
        <v>107702.29092999997</v>
      </c>
    </row>
    <row r="291" spans="1:5">
      <c r="A291" t="str">
        <f>RIGHT(TuitionRevenues!$O$6,4)</f>
        <v>2007</v>
      </c>
      <c r="B291" t="str">
        <f>+OperatingFunds!$A$10</f>
        <v>370</v>
      </c>
      <c r="C291" t="s">
        <v>1763</v>
      </c>
      <c r="D291" t="s">
        <v>1766</v>
      </c>
      <c r="E291" s="32">
        <f>INDEX(TuitionRevenues!$B$8:$ZT$16,ROW(TuitionRevenues!$A$3),ROW(TuitionRevenues!A$14))</f>
        <v>35974.246850000003</v>
      </c>
    </row>
    <row r="292" spans="1:5">
      <c r="A292" t="str">
        <f>RIGHT(TuitionRevenues!$O$6,4)</f>
        <v>2007</v>
      </c>
      <c r="B292" t="str">
        <f>+OperatingFunds!$A$11</f>
        <v>375</v>
      </c>
      <c r="C292" t="s">
        <v>1763</v>
      </c>
      <c r="D292" t="s">
        <v>1766</v>
      </c>
      <c r="E292" s="32">
        <f>INDEX(TuitionRevenues!$B$8:$ZT$16,ROW(TuitionRevenues!$A$4),ROW(TuitionRevenues!A$14))</f>
        <v>33219.286639999998</v>
      </c>
    </row>
    <row r="293" spans="1:5">
      <c r="A293" t="str">
        <f>RIGHT(TuitionRevenues!$O$6,4)</f>
        <v>2007</v>
      </c>
      <c r="B293" t="str">
        <f>+OperatingFunds!$A$12</f>
        <v>376</v>
      </c>
      <c r="C293" t="s">
        <v>1763</v>
      </c>
      <c r="D293" t="s">
        <v>1766</v>
      </c>
      <c r="E293" s="32">
        <f>INDEX(TuitionRevenues!$B$8:$ZT$16,ROW(TuitionRevenues!$A$5),ROW(TuitionRevenues!A$14))</f>
        <v>21205.354890000002</v>
      </c>
    </row>
    <row r="294" spans="1:5">
      <c r="A294" t="str">
        <f>RIGHT(TuitionRevenues!$O$6,4)</f>
        <v>2007</v>
      </c>
      <c r="B294" t="str">
        <f>+OperatingFunds!$A$13</f>
        <v>380</v>
      </c>
      <c r="C294" t="s">
        <v>1763</v>
      </c>
      <c r="D294" t="s">
        <v>1766</v>
      </c>
      <c r="E294" s="32">
        <f>INDEX(TuitionRevenues!$B$8:$ZT$16,ROW(TuitionRevenues!$A$6),ROW(TuitionRevenues!A$14))</f>
        <v>47769.819699999985</v>
      </c>
    </row>
    <row r="295" spans="1:5">
      <c r="A295" t="str">
        <f>RIGHT(TuitionRevenues!$O$6,4)</f>
        <v>2007</v>
      </c>
      <c r="B295" t="str">
        <f>+OperatingFunds!$A$16</f>
        <v>699</v>
      </c>
      <c r="C295" t="s">
        <v>1763</v>
      </c>
      <c r="D295" t="s">
        <v>1766</v>
      </c>
      <c r="E295" s="32">
        <f>INDEX(TuitionRevenues!$B$8:$ZT$16,ROW(TuitionRevenues!$A$9),ROW(TuitionRevenues!A$14))</f>
        <v>226654.55052000002</v>
      </c>
    </row>
    <row r="296" spans="1:5">
      <c r="A296" t="str">
        <f>RIGHT(TuitionRevenues!$P$6,4)</f>
        <v>2008</v>
      </c>
      <c r="B296" t="str">
        <f>+OperatingFunds!$A$8</f>
        <v>360</v>
      </c>
      <c r="C296" t="s">
        <v>1763</v>
      </c>
      <c r="D296" t="s">
        <v>1766</v>
      </c>
      <c r="E296" s="32">
        <f>INDEX(TuitionRevenues!$B$8:$ZT$16,ROW(TuitionRevenues!$A$1),ROW(TuitionRevenues!A$15))</f>
        <v>282509.95507999993</v>
      </c>
    </row>
    <row r="297" spans="1:5">
      <c r="A297" t="str">
        <f>RIGHT(TuitionRevenues!$P$6,4)</f>
        <v>2008</v>
      </c>
      <c r="B297" t="str">
        <f>+OperatingFunds!$A$9</f>
        <v>365</v>
      </c>
      <c r="C297" t="s">
        <v>1763</v>
      </c>
      <c r="D297" t="s">
        <v>1766</v>
      </c>
      <c r="E297" s="32">
        <f>INDEX(TuitionRevenues!$B$8:$ZT$16,ROW(TuitionRevenues!$A$2),ROW(TuitionRevenues!A$15))</f>
        <v>119582.83235999999</v>
      </c>
    </row>
    <row r="298" spans="1:5">
      <c r="A298" t="str">
        <f>RIGHT(TuitionRevenues!$P$6,4)</f>
        <v>2008</v>
      </c>
      <c r="B298" t="str">
        <f>+OperatingFunds!$A$10</f>
        <v>370</v>
      </c>
      <c r="C298" t="s">
        <v>1763</v>
      </c>
      <c r="D298" t="s">
        <v>1766</v>
      </c>
      <c r="E298" s="32">
        <f>INDEX(TuitionRevenues!$B$8:$ZT$16,ROW(TuitionRevenues!$A$3),ROW(TuitionRevenues!A$15))</f>
        <v>37528.25765</v>
      </c>
    </row>
    <row r="299" spans="1:5">
      <c r="A299" t="str">
        <f>RIGHT(TuitionRevenues!$P$6,4)</f>
        <v>2008</v>
      </c>
      <c r="B299" t="str">
        <f>+OperatingFunds!$A$11</f>
        <v>375</v>
      </c>
      <c r="C299" t="s">
        <v>1763</v>
      </c>
      <c r="D299" t="s">
        <v>1766</v>
      </c>
      <c r="E299" s="32">
        <f>INDEX(TuitionRevenues!$B$8:$ZT$16,ROW(TuitionRevenues!$A$4),ROW(TuitionRevenues!A$15))</f>
        <v>34535.33746000001</v>
      </c>
    </row>
    <row r="300" spans="1:5">
      <c r="A300" t="str">
        <f>RIGHT(TuitionRevenues!$P$6,4)</f>
        <v>2008</v>
      </c>
      <c r="B300" t="str">
        <f>+OperatingFunds!$A$12</f>
        <v>376</v>
      </c>
      <c r="C300" t="s">
        <v>1763</v>
      </c>
      <c r="D300" t="s">
        <v>1766</v>
      </c>
      <c r="E300" s="32">
        <f>INDEX(TuitionRevenues!$B$8:$ZT$16,ROW(TuitionRevenues!$A$5),ROW(TuitionRevenues!A$15))</f>
        <v>23347.77461</v>
      </c>
    </row>
    <row r="301" spans="1:5">
      <c r="A301" t="str">
        <f>RIGHT(TuitionRevenues!$P$6,4)</f>
        <v>2008</v>
      </c>
      <c r="B301" t="str">
        <f>+OperatingFunds!$A$13</f>
        <v>380</v>
      </c>
      <c r="C301" t="s">
        <v>1763</v>
      </c>
      <c r="D301" t="s">
        <v>1766</v>
      </c>
      <c r="E301" s="32">
        <f>INDEX(TuitionRevenues!$B$8:$ZT$16,ROW(TuitionRevenues!$A$6),ROW(TuitionRevenues!A$15))</f>
        <v>50668.237529999991</v>
      </c>
    </row>
    <row r="302" spans="1:5">
      <c r="A302" t="str">
        <f>RIGHT(TuitionRevenues!$P$6,4)</f>
        <v>2008</v>
      </c>
      <c r="B302" t="str">
        <f>+OperatingFunds!$A$16</f>
        <v>699</v>
      </c>
      <c r="C302" t="s">
        <v>1763</v>
      </c>
      <c r="D302" t="s">
        <v>1766</v>
      </c>
      <c r="E302" s="32">
        <f>INDEX(TuitionRevenues!$B$8:$ZT$16,ROW(TuitionRevenues!$A$9),ROW(TuitionRevenues!A$15))</f>
        <v>243474.71277999997</v>
      </c>
    </row>
    <row r="303" spans="1:5">
      <c r="A303" t="str">
        <f>RIGHT(TuitionRevenues!$Q$6,4)</f>
        <v>2009</v>
      </c>
      <c r="B303" t="str">
        <f>+OperatingFunds!$A$8</f>
        <v>360</v>
      </c>
      <c r="C303" t="s">
        <v>1763</v>
      </c>
      <c r="D303" t="s">
        <v>1766</v>
      </c>
      <c r="E303" s="32">
        <f>INDEX(TuitionRevenues!$B$8:$ZT$16,ROW(TuitionRevenues!$A$1),ROW(TuitionRevenues!A$16))</f>
        <v>334931.4254100002</v>
      </c>
    </row>
    <row r="304" spans="1:5">
      <c r="A304" t="str">
        <f>RIGHT(TuitionRevenues!$Q$6,4)</f>
        <v>2009</v>
      </c>
      <c r="B304" t="str">
        <f>+OperatingFunds!$A$9</f>
        <v>365</v>
      </c>
      <c r="C304" t="s">
        <v>1763</v>
      </c>
      <c r="D304" t="s">
        <v>1766</v>
      </c>
      <c r="E304" s="32">
        <f>INDEX(TuitionRevenues!$B$8:$ZT$16,ROW(TuitionRevenues!$A$2),ROW(TuitionRevenues!A$16))</f>
        <v>135619.02896</v>
      </c>
    </row>
    <row r="305" spans="1:5">
      <c r="A305" t="str">
        <f>RIGHT(TuitionRevenues!$Q$6,4)</f>
        <v>2009</v>
      </c>
      <c r="B305" t="str">
        <f>+OperatingFunds!$A$10</f>
        <v>370</v>
      </c>
      <c r="C305" t="s">
        <v>1763</v>
      </c>
      <c r="D305" t="s">
        <v>1766</v>
      </c>
      <c r="E305" s="32">
        <f>INDEX(TuitionRevenues!$B$8:$ZT$16,ROW(TuitionRevenues!$A$3),ROW(TuitionRevenues!A$16))</f>
        <v>39262.048859999995</v>
      </c>
    </row>
    <row r="306" spans="1:5">
      <c r="A306" t="str">
        <f>RIGHT(TuitionRevenues!$Q$6,4)</f>
        <v>2009</v>
      </c>
      <c r="B306" t="str">
        <f>+OperatingFunds!$A$11</f>
        <v>375</v>
      </c>
      <c r="C306" t="s">
        <v>1763</v>
      </c>
      <c r="D306" t="s">
        <v>1766</v>
      </c>
      <c r="E306" s="32">
        <f>INDEX(TuitionRevenues!$B$8:$ZT$16,ROW(TuitionRevenues!$A$4),ROW(TuitionRevenues!A$16))</f>
        <v>35865.959639999994</v>
      </c>
    </row>
    <row r="307" spans="1:5">
      <c r="A307" t="str">
        <f>RIGHT(TuitionRevenues!$Q$6,4)</f>
        <v>2009</v>
      </c>
      <c r="B307" t="str">
        <f>+OperatingFunds!$A$12</f>
        <v>376</v>
      </c>
      <c r="C307" t="s">
        <v>1763</v>
      </c>
      <c r="D307" t="s">
        <v>1766</v>
      </c>
      <c r="E307" s="32">
        <f>INDEX(TuitionRevenues!$B$8:$ZT$16,ROW(TuitionRevenues!$A$5),ROW(TuitionRevenues!A$16))</f>
        <v>26618.617940000004</v>
      </c>
    </row>
    <row r="308" spans="1:5">
      <c r="A308" t="str">
        <f>RIGHT(TuitionRevenues!$Q$6,4)</f>
        <v>2009</v>
      </c>
      <c r="B308" t="str">
        <f>+OperatingFunds!$A$13</f>
        <v>380</v>
      </c>
      <c r="C308" t="s">
        <v>1763</v>
      </c>
      <c r="D308" t="s">
        <v>1766</v>
      </c>
      <c r="E308" s="32">
        <f>INDEX(TuitionRevenues!$B$8:$ZT$16,ROW(TuitionRevenues!$A$6),ROW(TuitionRevenues!A$16))</f>
        <v>56105.232160000014</v>
      </c>
    </row>
    <row r="309" spans="1:5">
      <c r="A309" t="str">
        <f>RIGHT(TuitionRevenues!$Q$6,4)</f>
        <v>2009</v>
      </c>
      <c r="B309" t="str">
        <f>+OperatingFunds!$A$16</f>
        <v>699</v>
      </c>
      <c r="C309" t="s">
        <v>1763</v>
      </c>
      <c r="D309" t="s">
        <v>1766</v>
      </c>
      <c r="E309" s="32">
        <f>INDEX(TuitionRevenues!$B$8:$ZT$16,ROW(TuitionRevenues!$A$9),ROW(TuitionRevenues!A$16))</f>
        <v>248071.40036999999</v>
      </c>
    </row>
    <row r="310" spans="1:5">
      <c r="A310" t="str">
        <f>RIGHT(TuitionRevenues!$R$6,4)</f>
        <v>2010</v>
      </c>
      <c r="B310" t="str">
        <f>+OperatingFunds!$A$8</f>
        <v>360</v>
      </c>
      <c r="C310" t="s">
        <v>1763</v>
      </c>
      <c r="D310" t="s">
        <v>1766</v>
      </c>
      <c r="E310" s="32">
        <f>INDEX(TuitionRevenues!$B$8:$ZT$16,ROW(TuitionRevenues!$A$1),ROW(TuitionRevenues!A$17))</f>
        <v>339292.64828999992</v>
      </c>
    </row>
    <row r="311" spans="1:5">
      <c r="A311" t="str">
        <f>RIGHT(TuitionRevenues!$R$6,4)</f>
        <v>2010</v>
      </c>
      <c r="B311" t="str">
        <f>+OperatingFunds!$A$9</f>
        <v>365</v>
      </c>
      <c r="C311" t="s">
        <v>1763</v>
      </c>
      <c r="D311" t="s">
        <v>1766</v>
      </c>
      <c r="E311" s="32">
        <f>INDEX(TuitionRevenues!$B$8:$ZT$16,ROW(TuitionRevenues!$A$2),ROW(TuitionRevenues!A$17))</f>
        <v>154801.51861000003</v>
      </c>
    </row>
    <row r="312" spans="1:5">
      <c r="A312" t="str">
        <f>RIGHT(TuitionRevenues!$R$6,4)</f>
        <v>2010</v>
      </c>
      <c r="B312" t="str">
        <f>+OperatingFunds!$A$10</f>
        <v>370</v>
      </c>
      <c r="C312" t="s">
        <v>1763</v>
      </c>
      <c r="D312" t="s">
        <v>1766</v>
      </c>
      <c r="E312" s="32">
        <f>INDEX(TuitionRevenues!$B$8:$ZT$16,ROW(TuitionRevenues!$A$3),ROW(TuitionRevenues!A$17))</f>
        <v>44031.828829999999</v>
      </c>
    </row>
    <row r="313" spans="1:5">
      <c r="A313" t="str">
        <f>RIGHT(TuitionRevenues!$R$6,4)</f>
        <v>2010</v>
      </c>
      <c r="B313" t="str">
        <f>+OperatingFunds!$A$11</f>
        <v>375</v>
      </c>
      <c r="C313" t="s">
        <v>1763</v>
      </c>
      <c r="D313" t="s">
        <v>1766</v>
      </c>
      <c r="E313" s="32">
        <f>INDEX(TuitionRevenues!$B$8:$ZT$16,ROW(TuitionRevenues!$A$4),ROW(TuitionRevenues!A$17))</f>
        <v>43041.037009999993</v>
      </c>
    </row>
    <row r="314" spans="1:5">
      <c r="A314" t="str">
        <f>RIGHT(TuitionRevenues!$R$6,4)</f>
        <v>2010</v>
      </c>
      <c r="B314" t="str">
        <f>+OperatingFunds!$A$12</f>
        <v>376</v>
      </c>
      <c r="C314" t="s">
        <v>1763</v>
      </c>
      <c r="D314" t="s">
        <v>1766</v>
      </c>
      <c r="E314" s="32">
        <f>INDEX(TuitionRevenues!$B$8:$ZT$16,ROW(TuitionRevenues!$A$5),ROW(TuitionRevenues!A$17))</f>
        <v>23674.432500000003</v>
      </c>
    </row>
    <row r="315" spans="1:5">
      <c r="A315" t="str">
        <f>RIGHT(TuitionRevenues!$R$6,4)</f>
        <v>2010</v>
      </c>
      <c r="B315" t="str">
        <f>+OperatingFunds!$A$13</f>
        <v>380</v>
      </c>
      <c r="C315" t="s">
        <v>1763</v>
      </c>
      <c r="D315" t="s">
        <v>1766</v>
      </c>
      <c r="E315" s="32">
        <f>INDEX(TuitionRevenues!$B$8:$ZT$16,ROW(TuitionRevenues!$A$6),ROW(TuitionRevenues!A$17))</f>
        <v>62312.922009999987</v>
      </c>
    </row>
    <row r="316" spans="1:5">
      <c r="A316" t="str">
        <f>RIGHT(TuitionRevenues!$R$6,4)</f>
        <v>2010</v>
      </c>
      <c r="B316" t="str">
        <f>+OperatingFunds!$A$16</f>
        <v>699</v>
      </c>
      <c r="C316" t="s">
        <v>1763</v>
      </c>
      <c r="D316" t="s">
        <v>1766</v>
      </c>
      <c r="E316" s="32">
        <f>INDEX(TuitionRevenues!$B$8:$ZT$16,ROW(TuitionRevenues!$A$9),ROW(TuitionRevenues!A$17))</f>
        <v>257537.60518000001</v>
      </c>
    </row>
    <row r="317" spans="1:5">
      <c r="A317" t="str">
        <f>RIGHT(TuitionRevenues!$S$6,4)</f>
        <v>2011</v>
      </c>
      <c r="B317" t="str">
        <f>+OperatingFunds!$A$8</f>
        <v>360</v>
      </c>
      <c r="C317" t="s">
        <v>1763</v>
      </c>
      <c r="D317" t="s">
        <v>1766</v>
      </c>
      <c r="E317" s="32">
        <f>INDEX(TuitionRevenues!$B$8:$ZT$16,ROW(TuitionRevenues!$A$1),ROW(TuitionRevenues!A$18))</f>
        <v>368083.4201799999</v>
      </c>
    </row>
    <row r="318" spans="1:5">
      <c r="A318" t="str">
        <f>RIGHT(TuitionRevenues!$S$6,4)</f>
        <v>2011</v>
      </c>
      <c r="B318" t="str">
        <f>+OperatingFunds!$A$9</f>
        <v>365</v>
      </c>
      <c r="C318" t="s">
        <v>1763</v>
      </c>
      <c r="D318" t="s">
        <v>1766</v>
      </c>
      <c r="E318" s="32">
        <f>INDEX(TuitionRevenues!$B$8:$ZT$16,ROW(TuitionRevenues!$A$2),ROW(TuitionRevenues!A$18))</f>
        <v>177467.54544999995</v>
      </c>
    </row>
    <row r="319" spans="1:5">
      <c r="A319" t="str">
        <f>RIGHT(TuitionRevenues!$S$6,4)</f>
        <v>2011</v>
      </c>
      <c r="B319" t="str">
        <f>+OperatingFunds!$A$10</f>
        <v>370</v>
      </c>
      <c r="C319" t="s">
        <v>1763</v>
      </c>
      <c r="D319" t="s">
        <v>1766</v>
      </c>
      <c r="E319" s="32">
        <f>INDEX(TuitionRevenues!$B$8:$ZT$16,ROW(TuitionRevenues!$A$3),ROW(TuitionRevenues!A$18))</f>
        <v>49261.182999999997</v>
      </c>
    </row>
    <row r="320" spans="1:5">
      <c r="A320" t="str">
        <f>RIGHT(TuitionRevenues!$S$6,4)</f>
        <v>2011</v>
      </c>
      <c r="B320" t="str">
        <f>+OperatingFunds!$A$11</f>
        <v>375</v>
      </c>
      <c r="C320" t="s">
        <v>1763</v>
      </c>
      <c r="D320" t="s">
        <v>1766</v>
      </c>
      <c r="E320" s="32">
        <f>INDEX(TuitionRevenues!$B$8:$ZT$16,ROW(TuitionRevenues!$A$4),ROW(TuitionRevenues!A$18))</f>
        <v>50308.889379999986</v>
      </c>
    </row>
    <row r="321" spans="1:5">
      <c r="A321" t="str">
        <f>RIGHT(TuitionRevenues!$S$6,4)</f>
        <v>2011</v>
      </c>
      <c r="B321" t="str">
        <f>+OperatingFunds!$A$12</f>
        <v>376</v>
      </c>
      <c r="C321" t="s">
        <v>1763</v>
      </c>
      <c r="D321" t="s">
        <v>1766</v>
      </c>
      <c r="E321" s="32">
        <f>INDEX(TuitionRevenues!$B$8:$ZT$16,ROW(TuitionRevenues!$A$5),ROW(TuitionRevenues!A$18))</f>
        <v>29976.610700000005</v>
      </c>
    </row>
    <row r="322" spans="1:5">
      <c r="A322" t="str">
        <f>RIGHT(TuitionRevenues!$S$6,4)</f>
        <v>2011</v>
      </c>
      <c r="B322" t="str">
        <f>+OperatingFunds!$A$13</f>
        <v>380</v>
      </c>
      <c r="C322" t="s">
        <v>1763</v>
      </c>
      <c r="D322" t="s">
        <v>1766</v>
      </c>
      <c r="E322" s="32">
        <f>INDEX(TuitionRevenues!$B$8:$ZT$16,ROW(TuitionRevenues!$A$6),ROW(TuitionRevenues!A$18))</f>
        <v>69758.065659999993</v>
      </c>
    </row>
    <row r="323" spans="1:5">
      <c r="A323" t="str">
        <f>RIGHT(TuitionRevenues!$S$6,4)</f>
        <v>2011</v>
      </c>
      <c r="B323" t="str">
        <f>+OperatingFunds!$A$16</f>
        <v>699</v>
      </c>
      <c r="C323" t="s">
        <v>1763</v>
      </c>
      <c r="D323" t="s">
        <v>1766</v>
      </c>
      <c r="E323" s="32">
        <f>INDEX(TuitionRevenues!$B$8:$ZT$16,ROW(TuitionRevenues!$A$9),ROW(TuitionRevenues!A$18))</f>
        <v>290332.95234000002</v>
      </c>
    </row>
    <row r="324" spans="1:5">
      <c r="A324" t="str">
        <f>RIGHT(TuitionRevenues!$T$6,4)</f>
        <v>2012</v>
      </c>
      <c r="B324" t="str">
        <f>+OperatingFunds!$A$8</f>
        <v>360</v>
      </c>
      <c r="C324" t="s">
        <v>1763</v>
      </c>
      <c r="D324" t="s">
        <v>1766</v>
      </c>
      <c r="E324" s="32">
        <f>INDEX(TuitionRevenues!$B$8:$ZT$16,ROW(TuitionRevenues!$A$1),ROW(TuitionRevenues!A$19))</f>
        <v>460148.10950000002</v>
      </c>
    </row>
    <row r="325" spans="1:5">
      <c r="A325" t="str">
        <f>RIGHT(TuitionRevenues!$T$6,4)</f>
        <v>2012</v>
      </c>
      <c r="B325" t="str">
        <f>+OperatingFunds!$A$9</f>
        <v>365</v>
      </c>
      <c r="C325" t="s">
        <v>1763</v>
      </c>
      <c r="D325" t="s">
        <v>1766</v>
      </c>
      <c r="E325" s="32">
        <f>INDEX(TuitionRevenues!$B$8:$ZT$16,ROW(TuitionRevenues!$A$2),ROW(TuitionRevenues!A$19))</f>
        <v>209304.15735000002</v>
      </c>
    </row>
    <row r="326" spans="1:5">
      <c r="A326" t="str">
        <f>RIGHT(TuitionRevenues!$T$6,4)</f>
        <v>2012</v>
      </c>
      <c r="B326" t="str">
        <f>+OperatingFunds!$A$10</f>
        <v>370</v>
      </c>
      <c r="C326" t="s">
        <v>1763</v>
      </c>
      <c r="D326" t="s">
        <v>1766</v>
      </c>
      <c r="E326" s="32">
        <f>INDEX(TuitionRevenues!$B$8:$ZT$16,ROW(TuitionRevenues!$A$3),ROW(TuitionRevenues!A$19))</f>
        <v>57152.342519999998</v>
      </c>
    </row>
    <row r="327" spans="1:5">
      <c r="A327" t="str">
        <f>RIGHT(TuitionRevenues!$T$6,4)</f>
        <v>2012</v>
      </c>
      <c r="B327" t="str">
        <f>+OperatingFunds!$A$11</f>
        <v>375</v>
      </c>
      <c r="C327" t="s">
        <v>1763</v>
      </c>
      <c r="D327" t="s">
        <v>1766</v>
      </c>
      <c r="E327" s="32">
        <f>INDEX(TuitionRevenues!$B$8:$ZT$16,ROW(TuitionRevenues!$A$4),ROW(TuitionRevenues!A$19))</f>
        <v>57447.298459999984</v>
      </c>
    </row>
    <row r="328" spans="1:5">
      <c r="A328" t="str">
        <f>RIGHT(TuitionRevenues!$T$6,4)</f>
        <v>2012</v>
      </c>
      <c r="B328" t="str">
        <f>+OperatingFunds!$A$12</f>
        <v>376</v>
      </c>
      <c r="C328" t="s">
        <v>1763</v>
      </c>
      <c r="D328" t="s">
        <v>1766</v>
      </c>
      <c r="E328" s="32">
        <f>INDEX(TuitionRevenues!$B$8:$ZT$16,ROW(TuitionRevenues!$A$5),ROW(TuitionRevenues!A$19))</f>
        <v>32677.048140000003</v>
      </c>
    </row>
    <row r="329" spans="1:5">
      <c r="A329" t="str">
        <f>RIGHT(TuitionRevenues!$T$6,4)</f>
        <v>2012</v>
      </c>
      <c r="B329" t="str">
        <f>+OperatingFunds!$A$13</f>
        <v>380</v>
      </c>
      <c r="C329" t="s">
        <v>1763</v>
      </c>
      <c r="D329" t="s">
        <v>1766</v>
      </c>
      <c r="E329" s="32">
        <f>INDEX(TuitionRevenues!$B$8:$ZT$16,ROW(TuitionRevenues!$A$6),ROW(TuitionRevenues!A$19))</f>
        <v>81614.492389999985</v>
      </c>
    </row>
    <row r="330" spans="1:5">
      <c r="A330" t="str">
        <f>RIGHT(TuitionRevenues!$T$6,4)</f>
        <v>2012</v>
      </c>
      <c r="B330" t="str">
        <f>+OperatingFunds!$A$16</f>
        <v>699</v>
      </c>
      <c r="C330" t="s">
        <v>1763</v>
      </c>
      <c r="D330" t="s">
        <v>1766</v>
      </c>
      <c r="E330" s="32">
        <f>INDEX(TuitionRevenues!$B$8:$ZT$16,ROW(TuitionRevenues!$A$9),ROW(TuitionRevenues!A$19))</f>
        <v>320222.17168000009</v>
      </c>
    </row>
    <row r="331" spans="1:5">
      <c r="A331" t="str">
        <f>RIGHT(TuitionRevenues!$U$6,4)</f>
        <v>2013</v>
      </c>
      <c r="B331" t="str">
        <f>+OperatingFunds!$A$8</f>
        <v>360</v>
      </c>
      <c r="C331" t="s">
        <v>1763</v>
      </c>
      <c r="D331" t="s">
        <v>1766</v>
      </c>
      <c r="E331" s="32">
        <f>INDEX(TuitionRevenues!$B$8:$ZT$16,ROW(TuitionRevenues!$A$1),ROW(TuitionRevenues!A$20))</f>
        <v>538620.55468000006</v>
      </c>
    </row>
    <row r="332" spans="1:5">
      <c r="A332" t="str">
        <f>RIGHT(TuitionRevenues!$U$6,4)</f>
        <v>2013</v>
      </c>
      <c r="B332" t="str">
        <f>+OperatingFunds!$A$9</f>
        <v>365</v>
      </c>
      <c r="C332" t="s">
        <v>1763</v>
      </c>
      <c r="D332" t="s">
        <v>1766</v>
      </c>
      <c r="E332" s="32">
        <f>INDEX(TuitionRevenues!$B$8:$ZT$16,ROW(TuitionRevenues!$A$2),ROW(TuitionRevenues!A$20))</f>
        <v>244333.11046000003</v>
      </c>
    </row>
    <row r="333" spans="1:5">
      <c r="A333" t="str">
        <f>RIGHT(TuitionRevenues!$U$6,4)</f>
        <v>2013</v>
      </c>
      <c r="B333" t="str">
        <f>+OperatingFunds!$A$10</f>
        <v>370</v>
      </c>
      <c r="C333" t="s">
        <v>1763</v>
      </c>
      <c r="D333" t="s">
        <v>1766</v>
      </c>
      <c r="E333" s="32">
        <f>INDEX(TuitionRevenues!$B$8:$ZT$16,ROW(TuitionRevenues!$A$3),ROW(TuitionRevenues!A$20))</f>
        <v>63596.757109999999</v>
      </c>
    </row>
    <row r="334" spans="1:5">
      <c r="A334" t="str">
        <f>RIGHT(TuitionRevenues!$U$6,4)</f>
        <v>2013</v>
      </c>
      <c r="B334" t="str">
        <f>+OperatingFunds!$A$11</f>
        <v>375</v>
      </c>
      <c r="C334" t="s">
        <v>1763</v>
      </c>
      <c r="D334" t="s">
        <v>1766</v>
      </c>
      <c r="E334" s="32">
        <f>INDEX(TuitionRevenues!$B$8:$ZT$16,ROW(TuitionRevenues!$A$4),ROW(TuitionRevenues!A$20))</f>
        <v>66231.157779999994</v>
      </c>
    </row>
    <row r="335" spans="1:5">
      <c r="A335" t="str">
        <f>RIGHT(TuitionRevenues!$U$6,4)</f>
        <v>2013</v>
      </c>
      <c r="B335" t="str">
        <f>+OperatingFunds!$A$12</f>
        <v>376</v>
      </c>
      <c r="C335" t="s">
        <v>1763</v>
      </c>
      <c r="D335" t="s">
        <v>1766</v>
      </c>
      <c r="E335" s="32">
        <f>INDEX(TuitionRevenues!$B$8:$ZT$16,ROW(TuitionRevenues!$A$5),ROW(TuitionRevenues!A$20))</f>
        <v>32808.264009999999</v>
      </c>
    </row>
    <row r="336" spans="1:5">
      <c r="A336" t="str">
        <f>RIGHT(TuitionRevenues!$U$6,4)</f>
        <v>2013</v>
      </c>
      <c r="B336" t="str">
        <f>+OperatingFunds!$A$13</f>
        <v>380</v>
      </c>
      <c r="C336" t="s">
        <v>1763</v>
      </c>
      <c r="D336" t="s">
        <v>1766</v>
      </c>
      <c r="E336" s="32">
        <f>INDEX(TuitionRevenues!$B$8:$ZT$16,ROW(TuitionRevenues!$A$6),ROW(TuitionRevenues!A$20))</f>
        <v>91589.405130000014</v>
      </c>
    </row>
    <row r="337" spans="1:5">
      <c r="A337" t="str">
        <f>RIGHT(TuitionRevenues!$U$6,4)</f>
        <v>2013</v>
      </c>
      <c r="B337" t="str">
        <f>+OperatingFunds!$A$16</f>
        <v>699</v>
      </c>
      <c r="C337" t="s">
        <v>1763</v>
      </c>
      <c r="D337" t="s">
        <v>1766</v>
      </c>
      <c r="E337" s="32">
        <f>INDEX(TuitionRevenues!$B$8:$ZT$16,ROW(TuitionRevenues!$A$9),ROW(TuitionRevenues!A$20))</f>
        <v>353122.45529999991</v>
      </c>
    </row>
    <row r="338" spans="1:5">
      <c r="A338" t="str">
        <f>RIGHT(TuitionRevenues!$V$6,4)</f>
        <v>2014</v>
      </c>
      <c r="B338" t="str">
        <f>+OperatingFunds!$A$8</f>
        <v>360</v>
      </c>
      <c r="C338" t="s">
        <v>1763</v>
      </c>
      <c r="D338" t="s">
        <v>1766</v>
      </c>
      <c r="E338" s="32">
        <f>INDEX(TuitionRevenues!$B$8:$ZT$16,ROW(TuitionRevenues!$A$1),ROW(TuitionRevenues!A$21))</f>
        <v>551505.42764999985</v>
      </c>
    </row>
    <row r="339" spans="1:5">
      <c r="A339" t="str">
        <f>RIGHT(TuitionRevenues!$V$6,4)</f>
        <v>2014</v>
      </c>
      <c r="B339" t="str">
        <f>+OperatingFunds!$A$9</f>
        <v>365</v>
      </c>
      <c r="C339" t="s">
        <v>1763</v>
      </c>
      <c r="D339" t="s">
        <v>1766</v>
      </c>
      <c r="E339" s="32">
        <f>INDEX(TuitionRevenues!$B$8:$ZT$16,ROW(TuitionRevenues!$A$2),ROW(TuitionRevenues!A$21))</f>
        <v>243118.43221999996</v>
      </c>
    </row>
    <row r="340" spans="1:5">
      <c r="A340" t="str">
        <f>RIGHT(TuitionRevenues!$V$6,4)</f>
        <v>2014</v>
      </c>
      <c r="B340" t="str">
        <f>+OperatingFunds!$A$10</f>
        <v>370</v>
      </c>
      <c r="C340" t="s">
        <v>1763</v>
      </c>
      <c r="D340" t="s">
        <v>1766</v>
      </c>
      <c r="E340" s="32">
        <f>INDEX(TuitionRevenues!$B$8:$ZT$16,ROW(TuitionRevenues!$A$3),ROW(TuitionRevenues!A$21))</f>
        <v>65429.633099999999</v>
      </c>
    </row>
    <row r="341" spans="1:5">
      <c r="A341" t="str">
        <f>RIGHT(TuitionRevenues!$V$6,4)</f>
        <v>2014</v>
      </c>
      <c r="B341" t="str">
        <f>+OperatingFunds!$A$11</f>
        <v>375</v>
      </c>
      <c r="C341" t="s">
        <v>1763</v>
      </c>
      <c r="D341" t="s">
        <v>1766</v>
      </c>
      <c r="E341" s="32">
        <f>INDEX(TuitionRevenues!$B$8:$ZT$16,ROW(TuitionRevenues!$A$4),ROW(TuitionRevenues!A$21))</f>
        <v>61369.281590000006</v>
      </c>
    </row>
    <row r="342" spans="1:5">
      <c r="A342" t="str">
        <f>RIGHT(TuitionRevenues!$V$6,4)</f>
        <v>2014</v>
      </c>
      <c r="B342" t="str">
        <f>+OperatingFunds!$A$12</f>
        <v>376</v>
      </c>
      <c r="C342" t="s">
        <v>1763</v>
      </c>
      <c r="D342" t="s">
        <v>1766</v>
      </c>
      <c r="E342" s="32">
        <f>INDEX(TuitionRevenues!$B$8:$ZT$16,ROW(TuitionRevenues!$A$5),ROW(TuitionRevenues!A$21))</f>
        <v>32355.575950000002</v>
      </c>
    </row>
    <row r="343" spans="1:5">
      <c r="A343" t="str">
        <f>RIGHT(TuitionRevenues!$V$6,4)</f>
        <v>2014</v>
      </c>
      <c r="B343" t="str">
        <f>+OperatingFunds!$A$13</f>
        <v>380</v>
      </c>
      <c r="C343" t="s">
        <v>1763</v>
      </c>
      <c r="D343" t="s">
        <v>1766</v>
      </c>
      <c r="E343" s="32">
        <f>INDEX(TuitionRevenues!$B$8:$ZT$16,ROW(TuitionRevenues!$A$6),ROW(TuitionRevenues!A$21))</f>
        <v>91679.917119999998</v>
      </c>
    </row>
    <row r="344" spans="1:5">
      <c r="A344" t="str">
        <f>RIGHT(TuitionRevenues!$V$6,4)</f>
        <v>2014</v>
      </c>
      <c r="B344" t="str">
        <f>+OperatingFunds!$A$16</f>
        <v>699</v>
      </c>
      <c r="C344" t="s">
        <v>1763</v>
      </c>
      <c r="D344" t="s">
        <v>1766</v>
      </c>
      <c r="E344" s="32">
        <f>INDEX(TuitionRevenues!$B$8:$ZT$16,ROW(TuitionRevenues!$A$9),ROW(TuitionRevenues!A$21))</f>
        <v>363553.82499999995</v>
      </c>
    </row>
    <row r="345" spans="1:5">
      <c r="A345" t="str">
        <f>RIGHT(TuitionRevenues!$W$6,4)</f>
        <v>2015</v>
      </c>
      <c r="B345" t="str">
        <f>+OperatingFunds!$A$8</f>
        <v>360</v>
      </c>
      <c r="C345" t="s">
        <v>1763</v>
      </c>
      <c r="D345" t="s">
        <v>1766</v>
      </c>
      <c r="E345" s="32">
        <f>INDEX(TuitionRevenues!$B$8:$ZT$16,ROW(TuitionRevenues!$A$1),ROW(TuitionRevenues!A$22))</f>
        <v>573776.23176999995</v>
      </c>
    </row>
    <row r="346" spans="1:5">
      <c r="A346" t="str">
        <f>RIGHT(TuitionRevenues!$W$6,4)</f>
        <v>2015</v>
      </c>
      <c r="B346" t="str">
        <f>+OperatingFunds!$A$9</f>
        <v>365</v>
      </c>
      <c r="C346" t="s">
        <v>1763</v>
      </c>
      <c r="D346" t="s">
        <v>1766</v>
      </c>
      <c r="E346" s="32">
        <f>INDEX(TuitionRevenues!$B$8:$ZT$16,ROW(TuitionRevenues!$A$2),ROW(TuitionRevenues!A$22))</f>
        <v>249987.55471999999</v>
      </c>
    </row>
    <row r="347" spans="1:5">
      <c r="A347" t="str">
        <f>RIGHT(TuitionRevenues!$W$6,4)</f>
        <v>2015</v>
      </c>
      <c r="B347" t="str">
        <f>+OperatingFunds!$A$10</f>
        <v>370</v>
      </c>
      <c r="C347" t="s">
        <v>1763</v>
      </c>
      <c r="D347" t="s">
        <v>1766</v>
      </c>
      <c r="E347" s="32">
        <f>INDEX(TuitionRevenues!$B$8:$ZT$16,ROW(TuitionRevenues!$A$3),ROW(TuitionRevenues!A$22))</f>
        <v>67581.336469999995</v>
      </c>
    </row>
    <row r="348" spans="1:5">
      <c r="A348" t="str">
        <f>RIGHT(TuitionRevenues!$W$6,4)</f>
        <v>2015</v>
      </c>
      <c r="B348" t="str">
        <f>+OperatingFunds!$A$11</f>
        <v>375</v>
      </c>
      <c r="C348" t="s">
        <v>1763</v>
      </c>
      <c r="D348" t="s">
        <v>1766</v>
      </c>
      <c r="E348" s="32">
        <f>INDEX(TuitionRevenues!$B$8:$ZT$16,ROW(TuitionRevenues!$A$4),ROW(TuitionRevenues!A$22))</f>
        <v>63422.456639999997</v>
      </c>
    </row>
    <row r="349" spans="1:5">
      <c r="A349" t="str">
        <f>RIGHT(TuitionRevenues!$W$6,4)</f>
        <v>2015</v>
      </c>
      <c r="B349" t="str">
        <f>+OperatingFunds!$A$12</f>
        <v>376</v>
      </c>
      <c r="C349" t="s">
        <v>1763</v>
      </c>
      <c r="D349" t="s">
        <v>1766</v>
      </c>
      <c r="E349" s="32">
        <f>INDEX(TuitionRevenues!$B$8:$ZT$16,ROW(TuitionRevenues!$A$5),ROW(TuitionRevenues!A$22))</f>
        <v>32143.213680000001</v>
      </c>
    </row>
    <row r="350" spans="1:5">
      <c r="A350" t="str">
        <f>RIGHT(TuitionRevenues!$W$6,4)</f>
        <v>2015</v>
      </c>
      <c r="B350" t="str">
        <f>+OperatingFunds!$A$13</f>
        <v>380</v>
      </c>
      <c r="C350" t="s">
        <v>1763</v>
      </c>
      <c r="D350" t="s">
        <v>1766</v>
      </c>
      <c r="E350" s="32">
        <f>INDEX(TuitionRevenues!$B$8:$ZT$16,ROW(TuitionRevenues!$A$6),ROW(TuitionRevenues!A$22))</f>
        <v>92168.933369999984</v>
      </c>
    </row>
    <row r="351" spans="1:5">
      <c r="A351" t="str">
        <f>RIGHT(TuitionRevenues!$W$6,4)</f>
        <v>2015</v>
      </c>
      <c r="B351" t="str">
        <f>+OperatingFunds!$A$16</f>
        <v>699</v>
      </c>
      <c r="C351" t="s">
        <v>1763</v>
      </c>
      <c r="D351" t="s">
        <v>1766</v>
      </c>
      <c r="E351" s="32">
        <f>INDEX(TuitionRevenues!$B$8:$ZT$16,ROW(TuitionRevenues!$A$9),ROW(TuitionRevenues!A$22))</f>
        <v>360082.6543199998</v>
      </c>
    </row>
    <row r="352" spans="1:5">
      <c r="A352" t="str">
        <f>RIGHT(TuitionRevenues!$X$6,4)</f>
        <v>2016</v>
      </c>
      <c r="B352" t="str">
        <f>+OperatingFunds!$A$8</f>
        <v>360</v>
      </c>
      <c r="C352" t="s">
        <v>1763</v>
      </c>
      <c r="D352" t="s">
        <v>1766</v>
      </c>
      <c r="E352" s="32">
        <f>INDEX(TuitionRevenues!$B$8:$ZT$16,ROW(TuitionRevenues!$A$1),ROW(TuitionRevenues!A$23))</f>
        <v>598404.06814999972</v>
      </c>
    </row>
    <row r="353" spans="1:5">
      <c r="A353" t="str">
        <f>RIGHT(TuitionRevenues!$X$6,4)</f>
        <v>2016</v>
      </c>
      <c r="B353" t="str">
        <f>+OperatingFunds!$A$9</f>
        <v>365</v>
      </c>
      <c r="C353" t="s">
        <v>1763</v>
      </c>
      <c r="D353" t="s">
        <v>1766</v>
      </c>
      <c r="E353" s="32">
        <f>INDEX(TuitionRevenues!$B$8:$ZT$16,ROW(TuitionRevenues!$A$2),ROW(TuitionRevenues!A$23))</f>
        <v>240280.35462</v>
      </c>
    </row>
    <row r="354" spans="1:5">
      <c r="A354" t="str">
        <f>RIGHT(TuitionRevenues!$X$6,4)</f>
        <v>2016</v>
      </c>
      <c r="B354" t="str">
        <f>+OperatingFunds!$A$10</f>
        <v>370</v>
      </c>
      <c r="C354" t="s">
        <v>1763</v>
      </c>
      <c r="D354" t="s">
        <v>1766</v>
      </c>
      <c r="E354" s="32">
        <f>INDEX(TuitionRevenues!$B$8:$ZT$16,ROW(TuitionRevenues!$A$3),ROW(TuitionRevenues!A$23))</f>
        <v>66276.512599999987</v>
      </c>
    </row>
    <row r="355" spans="1:5">
      <c r="A355" t="str">
        <f>RIGHT(TuitionRevenues!$X$6,4)</f>
        <v>2016</v>
      </c>
      <c r="B355" t="str">
        <f>+OperatingFunds!$A$11</f>
        <v>375</v>
      </c>
      <c r="C355" t="s">
        <v>1763</v>
      </c>
      <c r="D355" t="s">
        <v>1766</v>
      </c>
      <c r="E355" s="32">
        <f>INDEX(TuitionRevenues!$B$8:$ZT$16,ROW(TuitionRevenues!$A$4),ROW(TuitionRevenues!A$23))</f>
        <v>60782.217859999997</v>
      </c>
    </row>
    <row r="356" spans="1:5">
      <c r="A356" t="str">
        <f>RIGHT(TuitionRevenues!$X$6,4)</f>
        <v>2016</v>
      </c>
      <c r="B356" t="str">
        <f>+OperatingFunds!$A$12</f>
        <v>376</v>
      </c>
      <c r="C356" t="s">
        <v>1763</v>
      </c>
      <c r="D356" t="s">
        <v>1766</v>
      </c>
      <c r="E356" s="32">
        <f>INDEX(TuitionRevenues!$B$8:$ZT$16,ROW(TuitionRevenues!$A$5),ROW(TuitionRevenues!A$23))</f>
        <v>31804.764760000002</v>
      </c>
    </row>
    <row r="357" spans="1:5">
      <c r="A357" t="str">
        <f>RIGHT(TuitionRevenues!$X$6,4)</f>
        <v>2016</v>
      </c>
      <c r="B357" t="str">
        <f>+OperatingFunds!$A$13</f>
        <v>380</v>
      </c>
      <c r="C357" t="s">
        <v>1763</v>
      </c>
      <c r="D357" t="s">
        <v>1766</v>
      </c>
      <c r="E357" s="32">
        <f>INDEX(TuitionRevenues!$B$8:$ZT$16,ROW(TuitionRevenues!$A$6),ROW(TuitionRevenues!A$23))</f>
        <v>90150.971950000006</v>
      </c>
    </row>
    <row r="358" spans="1:5">
      <c r="A358" t="str">
        <f>RIGHT(TuitionRevenues!$X$6,4)</f>
        <v>2016</v>
      </c>
      <c r="B358" t="str">
        <f>+OperatingFunds!$A$16</f>
        <v>699</v>
      </c>
      <c r="C358" t="s">
        <v>1763</v>
      </c>
      <c r="D358" t="s">
        <v>1766</v>
      </c>
      <c r="E358" s="32">
        <f>INDEX(TuitionRevenues!$B$8:$ZT$16,ROW(TuitionRevenues!$A$9),ROW(TuitionRevenues!A$23))</f>
        <v>345401.21731000027</v>
      </c>
    </row>
    <row r="359" spans="1:5">
      <c r="A359" t="str">
        <f>RIGHT(TuitionRevenues!$Y$6,4)</f>
        <v>2017</v>
      </c>
      <c r="B359" t="str">
        <f>+OperatingFunds!$A$8</f>
        <v>360</v>
      </c>
      <c r="C359" t="s">
        <v>1763</v>
      </c>
      <c r="D359" t="s">
        <v>1766</v>
      </c>
      <c r="E359" s="32">
        <f>INDEX(TuitionRevenues!$B$8:$ZT$16,ROW(TuitionRevenues!$A$1),ROW(TuitionRevenues!A$24))</f>
        <v>600256.51176999987</v>
      </c>
    </row>
    <row r="360" spans="1:5">
      <c r="A360" t="str">
        <f>RIGHT(TuitionRevenues!$Y$6,4)</f>
        <v>2017</v>
      </c>
      <c r="B360" t="str">
        <f>+OperatingFunds!$A$9</f>
        <v>365</v>
      </c>
      <c r="C360" t="s">
        <v>1763</v>
      </c>
      <c r="D360" t="s">
        <v>1766</v>
      </c>
      <c r="E360" s="32">
        <f>INDEX(TuitionRevenues!$B$8:$ZT$16,ROW(TuitionRevenues!$A$2),ROW(TuitionRevenues!A$24))</f>
        <v>223323.73832</v>
      </c>
    </row>
    <row r="361" spans="1:5">
      <c r="A361" t="str">
        <f>RIGHT(TuitionRevenues!$Y$6,4)</f>
        <v>2017</v>
      </c>
      <c r="B361" t="str">
        <f>+OperatingFunds!$A$10</f>
        <v>370</v>
      </c>
      <c r="C361" t="s">
        <v>1763</v>
      </c>
      <c r="D361" t="s">
        <v>1766</v>
      </c>
      <c r="E361" s="32">
        <f>INDEX(TuitionRevenues!$B$8:$ZT$16,ROW(TuitionRevenues!$A$3),ROW(TuitionRevenues!A$24))</f>
        <v>58389.020630000014</v>
      </c>
    </row>
    <row r="362" spans="1:5">
      <c r="A362" t="str">
        <f>RIGHT(TuitionRevenues!$Y$6,4)</f>
        <v>2017</v>
      </c>
      <c r="B362" t="str">
        <f>+OperatingFunds!$A$11</f>
        <v>375</v>
      </c>
      <c r="C362" t="s">
        <v>1763</v>
      </c>
      <c r="D362" t="s">
        <v>1766</v>
      </c>
      <c r="E362" s="32">
        <f>INDEX(TuitionRevenues!$B$8:$ZT$16,ROW(TuitionRevenues!$A$4),ROW(TuitionRevenues!A$24))</f>
        <v>52492.311249999999</v>
      </c>
    </row>
    <row r="363" spans="1:5">
      <c r="A363" t="str">
        <f>RIGHT(TuitionRevenues!$Y$6,4)</f>
        <v>2017</v>
      </c>
      <c r="B363" t="str">
        <f>+OperatingFunds!$A$12</f>
        <v>376</v>
      </c>
      <c r="C363" t="s">
        <v>1763</v>
      </c>
      <c r="D363" t="s">
        <v>1766</v>
      </c>
      <c r="E363" s="32">
        <f>INDEX(TuitionRevenues!$B$8:$ZT$16,ROW(TuitionRevenues!$A$5),ROW(TuitionRevenues!A$24))</f>
        <v>27948.702819999999</v>
      </c>
    </row>
    <row r="364" spans="1:5">
      <c r="A364" t="str">
        <f>RIGHT(TuitionRevenues!$Y$6,4)</f>
        <v>2017</v>
      </c>
      <c r="B364" t="str">
        <f>+OperatingFunds!$A$13</f>
        <v>380</v>
      </c>
      <c r="C364" t="s">
        <v>1763</v>
      </c>
      <c r="D364" t="s">
        <v>1766</v>
      </c>
      <c r="E364" s="32">
        <f>INDEX(TuitionRevenues!$B$8:$ZT$16,ROW(TuitionRevenues!$A$6),ROW(TuitionRevenues!A$24))</f>
        <v>74395.931419999994</v>
      </c>
    </row>
    <row r="365" spans="1:5">
      <c r="A365" t="str">
        <f>RIGHT(TuitionRevenues!$Y$6,4)</f>
        <v>2017</v>
      </c>
      <c r="B365" t="str">
        <f>+OperatingFunds!$A$16</f>
        <v>699</v>
      </c>
      <c r="C365" t="s">
        <v>1763</v>
      </c>
      <c r="D365" t="s">
        <v>1766</v>
      </c>
      <c r="E365" s="32">
        <f>INDEX(TuitionRevenues!$B$8:$ZT$16,ROW(TuitionRevenues!$A$9),ROW(TuitionRevenues!A$24))</f>
        <v>343156.82683000009</v>
      </c>
    </row>
    <row r="366" spans="1:5">
      <c r="A366" t="str">
        <f>RIGHT(TuitionRevenues!$Z$6,4)</f>
        <v>2018</v>
      </c>
      <c r="B366" t="str">
        <f>+OperatingFunds!$A$8</f>
        <v>360</v>
      </c>
      <c r="C366" t="s">
        <v>1763</v>
      </c>
      <c r="D366" t="s">
        <v>1766</v>
      </c>
      <c r="E366" s="32" t="e">
        <f>INDEX(TuitionRevenues!$B$8:$ZT$16,ROW(TuitionRevenues!$A$1),ROW(TuitionRevenues!#REF!))</f>
        <v>#REF!</v>
      </c>
    </row>
    <row r="367" spans="1:5">
      <c r="A367" t="str">
        <f>RIGHT(TuitionRevenues!$Z$6,4)</f>
        <v>2018</v>
      </c>
      <c r="B367" t="str">
        <f>+OperatingFunds!$A$9</f>
        <v>365</v>
      </c>
      <c r="C367" t="s">
        <v>1763</v>
      </c>
      <c r="D367" t="s">
        <v>1766</v>
      </c>
      <c r="E367" s="32" t="e">
        <f>INDEX(TuitionRevenues!$B$8:$ZT$16,ROW(TuitionRevenues!$A$2),ROW(TuitionRevenues!#REF!))</f>
        <v>#REF!</v>
      </c>
    </row>
    <row r="368" spans="1:5">
      <c r="A368" t="str">
        <f>RIGHT(TuitionRevenues!$Z$6,4)</f>
        <v>2018</v>
      </c>
      <c r="B368" t="str">
        <f>+OperatingFunds!$A$10</f>
        <v>370</v>
      </c>
      <c r="C368" t="s">
        <v>1763</v>
      </c>
      <c r="D368" t="s">
        <v>1766</v>
      </c>
      <c r="E368" s="32" t="e">
        <f>INDEX(TuitionRevenues!$B$8:$ZT$16,ROW(TuitionRevenues!$A$3),ROW(TuitionRevenues!#REF!))</f>
        <v>#REF!</v>
      </c>
    </row>
    <row r="369" spans="1:5">
      <c r="A369" t="str">
        <f>RIGHT(TuitionRevenues!$Z$6,4)</f>
        <v>2018</v>
      </c>
      <c r="B369" t="str">
        <f>+OperatingFunds!$A$11</f>
        <v>375</v>
      </c>
      <c r="C369" t="s">
        <v>1763</v>
      </c>
      <c r="D369" t="s">
        <v>1766</v>
      </c>
      <c r="E369" s="32" t="e">
        <f>INDEX(TuitionRevenues!$B$8:$ZT$16,ROW(TuitionRevenues!$A$4),ROW(TuitionRevenues!#REF!))</f>
        <v>#REF!</v>
      </c>
    </row>
    <row r="370" spans="1:5">
      <c r="A370" t="str">
        <f>RIGHT(TuitionRevenues!$Z$6,4)</f>
        <v>2018</v>
      </c>
      <c r="B370" t="str">
        <f>+OperatingFunds!$A$12</f>
        <v>376</v>
      </c>
      <c r="C370" t="s">
        <v>1763</v>
      </c>
      <c r="D370" t="s">
        <v>1766</v>
      </c>
      <c r="E370" s="32" t="e">
        <f>INDEX(TuitionRevenues!$B$8:$ZT$16,ROW(TuitionRevenues!$A$5),ROW(TuitionRevenues!#REF!))</f>
        <v>#REF!</v>
      </c>
    </row>
    <row r="371" spans="1:5">
      <c r="A371" t="str">
        <f>RIGHT(TuitionRevenues!$Z$6,4)</f>
        <v>2018</v>
      </c>
      <c r="B371" t="str">
        <f>+OperatingFunds!$A$13</f>
        <v>380</v>
      </c>
      <c r="C371" t="s">
        <v>1763</v>
      </c>
      <c r="D371" t="s">
        <v>1766</v>
      </c>
      <c r="E371" s="32" t="e">
        <f>INDEX(TuitionRevenues!$B$8:$ZT$16,ROW(TuitionRevenues!$A$6),ROW(TuitionRevenues!#REF!))</f>
        <v>#REF!</v>
      </c>
    </row>
    <row r="372" spans="1:5">
      <c r="A372" t="str">
        <f>RIGHT(TuitionRevenues!$Z$6,4)</f>
        <v>2018</v>
      </c>
      <c r="B372" t="str">
        <f>+OperatingFunds!$A$16</f>
        <v>699</v>
      </c>
      <c r="C372" t="s">
        <v>1763</v>
      </c>
      <c r="D372" t="s">
        <v>1766</v>
      </c>
      <c r="E372" s="32" t="e">
        <f>INDEX(TuitionRevenues!$B$8:$ZT$16,ROW(TuitionRevenues!$A$9),ROW(TuitionRevenues!#REF!))</f>
        <v>#REF!</v>
      </c>
    </row>
    <row r="373" spans="1:5">
      <c r="A373" t="str">
        <f>RIGHT(TuitionRevenues!$AC$6,4)</f>
        <v>2021</v>
      </c>
      <c r="B373" t="str">
        <f>+OperatingFunds!$A$8</f>
        <v>360</v>
      </c>
      <c r="C373" t="s">
        <v>1763</v>
      </c>
      <c r="D373" t="s">
        <v>1767</v>
      </c>
      <c r="E373" s="32">
        <f>INDEX(TuitionRevenues!$B$8:$ZT$16,ROW(TuitionRevenues!$A$1),ROW(TuitionRevenues!A$26))</f>
        <v>701348.36277000012</v>
      </c>
    </row>
    <row r="374" spans="1:5">
      <c r="A374" t="str">
        <f>RIGHT(TuitionRevenues!$AC$6,4)</f>
        <v>2021</v>
      </c>
      <c r="B374" t="str">
        <f>+OperatingFunds!$A$9</f>
        <v>365</v>
      </c>
      <c r="C374" t="s">
        <v>1763</v>
      </c>
      <c r="D374" t="s">
        <v>1767</v>
      </c>
      <c r="E374" s="32">
        <f>INDEX(TuitionRevenues!$B$8:$ZT$16,ROW(TuitionRevenues!$A$2),ROW(TuitionRevenues!A$26))</f>
        <v>259683.27709999998</v>
      </c>
    </row>
    <row r="375" spans="1:5">
      <c r="A375" t="str">
        <f>RIGHT(TuitionRevenues!$AC$6,4)</f>
        <v>2021</v>
      </c>
      <c r="B375" t="str">
        <f>+OperatingFunds!$A$10</f>
        <v>370</v>
      </c>
      <c r="C375" t="s">
        <v>1763</v>
      </c>
      <c r="D375" t="s">
        <v>1767</v>
      </c>
      <c r="E375" s="32">
        <f>INDEX(TuitionRevenues!$B$8:$ZT$16,ROW(TuitionRevenues!$A$3),ROW(TuitionRevenues!A$26))</f>
        <v>60503.748100000004</v>
      </c>
    </row>
    <row r="376" spans="1:5">
      <c r="A376" t="str">
        <f>RIGHT(TuitionRevenues!$AC$6,4)</f>
        <v>2021</v>
      </c>
      <c r="B376" t="str">
        <f>+OperatingFunds!$A$11</f>
        <v>375</v>
      </c>
      <c r="C376" t="s">
        <v>1763</v>
      </c>
      <c r="D376" t="s">
        <v>1767</v>
      </c>
      <c r="E376" s="32">
        <f>INDEX(TuitionRevenues!$B$8:$ZT$16,ROW(TuitionRevenues!$A$4),ROW(TuitionRevenues!A$26))</f>
        <v>62960.336370000005</v>
      </c>
    </row>
    <row r="377" spans="1:5">
      <c r="A377" t="str">
        <f>RIGHT(TuitionRevenues!$AC$6,4)</f>
        <v>2021</v>
      </c>
      <c r="B377" t="str">
        <f>+OperatingFunds!$A$12</f>
        <v>376</v>
      </c>
      <c r="C377" t="s">
        <v>1763</v>
      </c>
      <c r="D377" t="s">
        <v>1767</v>
      </c>
      <c r="E377" s="32">
        <f>INDEX(TuitionRevenues!$B$8:$ZT$16,ROW(TuitionRevenues!$A$5),ROW(TuitionRevenues!A$26))</f>
        <v>21513.707589999998</v>
      </c>
    </row>
    <row r="378" spans="1:5">
      <c r="A378" t="str">
        <f>RIGHT(TuitionRevenues!$AC$6,4)</f>
        <v>2021</v>
      </c>
      <c r="B378" t="str">
        <f>+OperatingFunds!$A$13</f>
        <v>380</v>
      </c>
      <c r="C378" t="s">
        <v>1763</v>
      </c>
      <c r="D378" t="s">
        <v>1767</v>
      </c>
      <c r="E378" s="32">
        <f>INDEX(TuitionRevenues!$B$8:$ZT$16,ROW(TuitionRevenues!$A$6),ROW(TuitionRevenues!A$26))</f>
        <v>94999.453400000013</v>
      </c>
    </row>
    <row r="379" spans="1:5">
      <c r="A379" t="str">
        <f>RIGHT(TuitionRevenues!$AC$6,4)</f>
        <v>2021</v>
      </c>
      <c r="B379" t="str">
        <f>+OperatingFunds!$A$16</f>
        <v>699</v>
      </c>
      <c r="C379" t="s">
        <v>1763</v>
      </c>
      <c r="D379" t="s">
        <v>1767</v>
      </c>
      <c r="E379" s="32">
        <f>INDEX(TuitionRevenues!$B$8:$ZT$16,ROW(TuitionRevenues!$A$9),ROW(TuitionRevenues!A$26))</f>
        <v>333207.85423999996</v>
      </c>
    </row>
    <row r="380" spans="1:5">
      <c r="A380" t="str">
        <f>RIGHT(OperatingFunds!$C$6,4)</f>
        <v>1990</v>
      </c>
      <c r="B380" t="str">
        <f>+OperatingFunds!$A$8</f>
        <v>360</v>
      </c>
      <c r="C380" t="s">
        <v>1764</v>
      </c>
      <c r="D380" t="s">
        <v>1768</v>
      </c>
      <c r="E380" s="32">
        <f>INDEX(OperatingFunds!$C$46:$AAF$54,ROW(OperatingFunds!$A$1),ROW(OperatingFunds!A$1))</f>
        <v>54258</v>
      </c>
    </row>
    <row r="381" spans="1:5">
      <c r="A381" t="str">
        <f>RIGHT(OperatingFunds!$C$6,4)</f>
        <v>1990</v>
      </c>
      <c r="B381" t="str">
        <f>+OperatingFunds!$A$9</f>
        <v>365</v>
      </c>
      <c r="C381" t="s">
        <v>1764</v>
      </c>
      <c r="D381" t="s">
        <v>1768</v>
      </c>
      <c r="E381" s="32">
        <f>INDEX(OperatingFunds!$C$46:$AAF$54,ROW(OperatingFunds!$A$2),ROW(OperatingFunds!A$1))</f>
        <v>26765</v>
      </c>
    </row>
    <row r="382" spans="1:5">
      <c r="A382" t="str">
        <f>RIGHT(OperatingFunds!$C$6,4)</f>
        <v>1990</v>
      </c>
      <c r="B382" t="str">
        <f>+OperatingFunds!$A$10</f>
        <v>370</v>
      </c>
      <c r="C382" t="s">
        <v>1764</v>
      </c>
      <c r="D382" t="s">
        <v>1768</v>
      </c>
      <c r="E382" s="32">
        <f>INDEX(OperatingFunds!$C$46:$AAF$54,ROW(OperatingFunds!$A$3),ROW(OperatingFunds!A$1))</f>
        <v>9691</v>
      </c>
    </row>
    <row r="383" spans="1:5">
      <c r="A383" t="str">
        <f>RIGHT(OperatingFunds!$C$6,4)</f>
        <v>1990</v>
      </c>
      <c r="B383" t="str">
        <f>+OperatingFunds!$A$11</f>
        <v>375</v>
      </c>
      <c r="C383" t="s">
        <v>1764</v>
      </c>
      <c r="D383" t="s">
        <v>1768</v>
      </c>
      <c r="E383" s="32">
        <f>INDEX(OperatingFunds!$C$46:$AAF$54,ROW(OperatingFunds!$A$4),ROW(OperatingFunds!A$1))</f>
        <v>7821</v>
      </c>
    </row>
    <row r="384" spans="1:5">
      <c r="A384" t="str">
        <f>RIGHT(OperatingFunds!$C$6,4)</f>
        <v>1990</v>
      </c>
      <c r="B384" t="str">
        <f>+OperatingFunds!$A$12</f>
        <v>376</v>
      </c>
      <c r="C384" t="s">
        <v>1764</v>
      </c>
      <c r="D384" t="s">
        <v>1768</v>
      </c>
      <c r="E384" s="32">
        <f>INDEX(OperatingFunds!$C$46:$AAF$54,ROW(OperatingFunds!$A$5),ROW(OperatingFunds!A$1))</f>
        <v>4997</v>
      </c>
    </row>
    <row r="385" spans="1:5">
      <c r="A385" t="str">
        <f>RIGHT(OperatingFunds!$C$6,4)</f>
        <v>1990</v>
      </c>
      <c r="B385" t="str">
        <f>+OperatingFunds!$A$13</f>
        <v>380</v>
      </c>
      <c r="C385" t="s">
        <v>1764</v>
      </c>
      <c r="D385" t="s">
        <v>1768</v>
      </c>
      <c r="E385" s="32">
        <f>INDEX(OperatingFunds!$C$46:$AAF$54,ROW(OperatingFunds!$A$6),ROW(OperatingFunds!A$1))</f>
        <v>10465</v>
      </c>
    </row>
    <row r="386" spans="1:5">
      <c r="A386" t="str">
        <f>RIGHT(OperatingFunds!$C$6,4)</f>
        <v>1990</v>
      </c>
      <c r="B386" t="str">
        <f>+OperatingFunds!$A$16</f>
        <v>699</v>
      </c>
      <c r="C386" t="s">
        <v>1764</v>
      </c>
      <c r="D386" t="s">
        <v>1768</v>
      </c>
      <c r="E386" s="32">
        <f>INDEX(OperatingFunds!$C$46:$AAF$54,ROW(OperatingFunds!$A$9),ROW(OperatingFunds!A$1))</f>
        <v>46270</v>
      </c>
    </row>
    <row r="387" spans="1:5">
      <c r="A387" t="str">
        <f>RIGHT(OperatingFunds!$D$6,4)</f>
        <v>1991</v>
      </c>
      <c r="B387" t="str">
        <f>+OperatingFunds!$A$8</f>
        <v>360</v>
      </c>
      <c r="C387" t="s">
        <v>1764</v>
      </c>
      <c r="D387" t="s">
        <v>1768</v>
      </c>
      <c r="E387" s="32">
        <f>INDEX(OperatingFunds!$C$46:$AAF$54,ROW(OperatingFunds!$A$1),ROW(OperatingFunds!A$2))</f>
        <v>60038</v>
      </c>
    </row>
    <row r="388" spans="1:5">
      <c r="A388" t="str">
        <f>RIGHT(OperatingFunds!$D$6,4)</f>
        <v>1991</v>
      </c>
      <c r="B388" t="str">
        <f>+OperatingFunds!$A$9</f>
        <v>365</v>
      </c>
      <c r="C388" t="s">
        <v>1764</v>
      </c>
      <c r="D388" t="s">
        <v>1768</v>
      </c>
      <c r="E388" s="32">
        <f>INDEX(OperatingFunds!$C$46:$AAF$54,ROW(OperatingFunds!$A$2),ROW(OperatingFunds!A$2))</f>
        <v>27937</v>
      </c>
    </row>
    <row r="389" spans="1:5">
      <c r="A389" t="str">
        <f>RIGHT(OperatingFunds!$D$6,4)</f>
        <v>1991</v>
      </c>
      <c r="B389" t="str">
        <f>+OperatingFunds!$A$10</f>
        <v>370</v>
      </c>
      <c r="C389" t="s">
        <v>1764</v>
      </c>
      <c r="D389" t="s">
        <v>1768</v>
      </c>
      <c r="E389" s="32">
        <f>INDEX(OperatingFunds!$C$46:$AAF$54,ROW(OperatingFunds!$A$3),ROW(OperatingFunds!A$2))</f>
        <v>10709</v>
      </c>
    </row>
    <row r="390" spans="1:5">
      <c r="A390" t="str">
        <f>RIGHT(OperatingFunds!$D$6,4)</f>
        <v>1991</v>
      </c>
      <c r="B390" t="str">
        <f>+OperatingFunds!$A$11</f>
        <v>375</v>
      </c>
      <c r="C390" t="s">
        <v>1764</v>
      </c>
      <c r="D390" t="s">
        <v>1768</v>
      </c>
      <c r="E390" s="32">
        <f>INDEX(OperatingFunds!$C$46:$AAF$54,ROW(OperatingFunds!$A$4),ROW(OperatingFunds!A$2))</f>
        <v>8587</v>
      </c>
    </row>
    <row r="391" spans="1:5">
      <c r="A391" t="str">
        <f>RIGHT(OperatingFunds!$D$6,4)</f>
        <v>1991</v>
      </c>
      <c r="B391" t="str">
        <f>+OperatingFunds!$A$12</f>
        <v>376</v>
      </c>
      <c r="C391" t="s">
        <v>1764</v>
      </c>
      <c r="D391" t="s">
        <v>1768</v>
      </c>
      <c r="E391" s="32">
        <f>INDEX(OperatingFunds!$C$46:$AAF$54,ROW(OperatingFunds!$A$5),ROW(OperatingFunds!A$2))</f>
        <v>5675</v>
      </c>
    </row>
    <row r="392" spans="1:5">
      <c r="A392" t="str">
        <f>RIGHT(OperatingFunds!$D$6,4)</f>
        <v>1991</v>
      </c>
      <c r="B392" t="str">
        <f>+OperatingFunds!$A$13</f>
        <v>380</v>
      </c>
      <c r="C392" t="s">
        <v>1764</v>
      </c>
      <c r="D392" t="s">
        <v>1768</v>
      </c>
      <c r="E392" s="32">
        <f>INDEX(OperatingFunds!$C$46:$AAF$54,ROW(OperatingFunds!$A$6),ROW(OperatingFunds!A$2))</f>
        <v>11678</v>
      </c>
    </row>
    <row r="393" spans="1:5">
      <c r="A393" t="str">
        <f>RIGHT(OperatingFunds!$D$6,4)</f>
        <v>1991</v>
      </c>
      <c r="B393" t="str">
        <f>+OperatingFunds!$A$16</f>
        <v>699</v>
      </c>
      <c r="C393" t="s">
        <v>1764</v>
      </c>
      <c r="D393" t="s">
        <v>1768</v>
      </c>
      <c r="E393" s="32">
        <f>INDEX(OperatingFunds!$C$46:$AAF$54,ROW(OperatingFunds!$A$9),ROW(OperatingFunds!A$2))</f>
        <v>50394</v>
      </c>
    </row>
    <row r="394" spans="1:5">
      <c r="A394" t="str">
        <f>RIGHT(OperatingFunds!$E$6,4)</f>
        <v>1992</v>
      </c>
      <c r="B394" t="str">
        <f>+OperatingFunds!$A$8</f>
        <v>360</v>
      </c>
      <c r="C394" t="s">
        <v>1764</v>
      </c>
      <c r="D394" t="s">
        <v>1768</v>
      </c>
      <c r="E394" s="32">
        <f>INDEX(OperatingFunds!$C$46:$AAF$54,ROW(OperatingFunds!$A$1),ROW(OperatingFunds!A$3))</f>
        <v>68702</v>
      </c>
    </row>
    <row r="395" spans="1:5">
      <c r="A395" t="str">
        <f>RIGHT(OperatingFunds!$E$6,4)</f>
        <v>1992</v>
      </c>
      <c r="B395" t="str">
        <f>+OperatingFunds!$A$9</f>
        <v>365</v>
      </c>
      <c r="C395" t="s">
        <v>1764</v>
      </c>
      <c r="D395" t="s">
        <v>1768</v>
      </c>
      <c r="E395" s="32">
        <f>INDEX(OperatingFunds!$C$46:$AAF$54,ROW(OperatingFunds!$A$2),ROW(OperatingFunds!A$3))</f>
        <v>32441</v>
      </c>
    </row>
    <row r="396" spans="1:5">
      <c r="A396" t="str">
        <f>RIGHT(OperatingFunds!$E$6,4)</f>
        <v>1992</v>
      </c>
      <c r="B396" t="str">
        <f>+OperatingFunds!$A$10</f>
        <v>370</v>
      </c>
      <c r="C396" t="s">
        <v>1764</v>
      </c>
      <c r="D396" t="s">
        <v>1768</v>
      </c>
      <c r="E396" s="32">
        <f>INDEX(OperatingFunds!$C$46:$AAF$54,ROW(OperatingFunds!$A$3),ROW(OperatingFunds!A$3))</f>
        <v>11468</v>
      </c>
    </row>
    <row r="397" spans="1:5">
      <c r="A397" t="str">
        <f>RIGHT(OperatingFunds!$E$6,4)</f>
        <v>1992</v>
      </c>
      <c r="B397" t="str">
        <f>+OperatingFunds!$A$11</f>
        <v>375</v>
      </c>
      <c r="C397" t="s">
        <v>1764</v>
      </c>
      <c r="D397" t="s">
        <v>1768</v>
      </c>
      <c r="E397" s="32">
        <f>INDEX(OperatingFunds!$C$46:$AAF$54,ROW(OperatingFunds!$A$4),ROW(OperatingFunds!A$3))</f>
        <v>8932</v>
      </c>
    </row>
    <row r="398" spans="1:5">
      <c r="A398" t="str">
        <f>RIGHT(OperatingFunds!$E$6,4)</f>
        <v>1992</v>
      </c>
      <c r="B398" t="str">
        <f>+OperatingFunds!$A$12</f>
        <v>376</v>
      </c>
      <c r="C398" t="s">
        <v>1764</v>
      </c>
      <c r="D398" t="s">
        <v>1768</v>
      </c>
      <c r="E398" s="32">
        <f>INDEX(OperatingFunds!$C$46:$AAF$54,ROW(OperatingFunds!$A$5),ROW(OperatingFunds!A$3))</f>
        <v>6766</v>
      </c>
    </row>
    <row r="399" spans="1:5">
      <c r="A399" t="str">
        <f>RIGHT(OperatingFunds!$E$6,4)</f>
        <v>1992</v>
      </c>
      <c r="B399" t="str">
        <f>+OperatingFunds!$A$13</f>
        <v>380</v>
      </c>
      <c r="C399" t="s">
        <v>1764</v>
      </c>
      <c r="D399" t="s">
        <v>1768</v>
      </c>
      <c r="E399" s="32">
        <f>INDEX(OperatingFunds!$C$46:$AAF$54,ROW(OperatingFunds!$A$6),ROW(OperatingFunds!A$3))</f>
        <v>12831</v>
      </c>
    </row>
    <row r="400" spans="1:5">
      <c r="A400" t="str">
        <f>RIGHT(OperatingFunds!$E$6,4)</f>
        <v>1992</v>
      </c>
      <c r="B400" t="str">
        <f>+OperatingFunds!$A$16</f>
        <v>699</v>
      </c>
      <c r="C400" t="s">
        <v>1764</v>
      </c>
      <c r="D400" t="s">
        <v>1768</v>
      </c>
      <c r="E400" s="32">
        <f>INDEX(OperatingFunds!$C$46:$AAF$54,ROW(OperatingFunds!$A$9),ROW(OperatingFunds!A$3))</f>
        <v>56042</v>
      </c>
    </row>
    <row r="401" spans="1:5">
      <c r="A401" t="str">
        <f>RIGHT(OperatingFunds!$F$6,4)</f>
        <v>1993</v>
      </c>
      <c r="B401" t="str">
        <f>+OperatingFunds!$A$8</f>
        <v>360</v>
      </c>
      <c r="C401" t="s">
        <v>1764</v>
      </c>
      <c r="D401" t="s">
        <v>1768</v>
      </c>
      <c r="E401" s="32">
        <f>INDEX(OperatingFunds!$C$46:$AAF$54,ROW(OperatingFunds!$A$1),ROW(OperatingFunds!A$4))</f>
        <v>71312</v>
      </c>
    </row>
    <row r="402" spans="1:5">
      <c r="A402" t="str">
        <f>RIGHT(OperatingFunds!$F$6,4)</f>
        <v>1993</v>
      </c>
      <c r="B402" t="str">
        <f>+OperatingFunds!$A$9</f>
        <v>365</v>
      </c>
      <c r="C402" t="s">
        <v>1764</v>
      </c>
      <c r="D402" t="s">
        <v>1768</v>
      </c>
      <c r="E402" s="32">
        <f>INDEX(OperatingFunds!$C$46:$AAF$54,ROW(OperatingFunds!$A$2),ROW(OperatingFunds!A$4))</f>
        <v>34948</v>
      </c>
    </row>
    <row r="403" spans="1:5">
      <c r="A403" t="str">
        <f>RIGHT(OperatingFunds!$F$6,4)</f>
        <v>1993</v>
      </c>
      <c r="B403" t="str">
        <f>+OperatingFunds!$A$10</f>
        <v>370</v>
      </c>
      <c r="C403" t="s">
        <v>1764</v>
      </c>
      <c r="D403" t="s">
        <v>1768</v>
      </c>
      <c r="E403" s="32">
        <f>INDEX(OperatingFunds!$C$46:$AAF$54,ROW(OperatingFunds!$A$3),ROW(OperatingFunds!A$4))</f>
        <v>12463</v>
      </c>
    </row>
    <row r="404" spans="1:5">
      <c r="A404" t="str">
        <f>RIGHT(OperatingFunds!$F$6,4)</f>
        <v>1993</v>
      </c>
      <c r="B404" t="str">
        <f>+OperatingFunds!$A$11</f>
        <v>375</v>
      </c>
      <c r="C404" t="s">
        <v>1764</v>
      </c>
      <c r="D404" t="s">
        <v>1768</v>
      </c>
      <c r="E404" s="32">
        <f>INDEX(OperatingFunds!$C$46:$AAF$54,ROW(OperatingFunds!$A$4),ROW(OperatingFunds!A$4))</f>
        <v>9700</v>
      </c>
    </row>
    <row r="405" spans="1:5">
      <c r="A405" t="str">
        <f>RIGHT(OperatingFunds!$F$6,4)</f>
        <v>1993</v>
      </c>
      <c r="B405" t="str">
        <f>+OperatingFunds!$A$12</f>
        <v>376</v>
      </c>
      <c r="C405" t="s">
        <v>1764</v>
      </c>
      <c r="D405" t="s">
        <v>1768</v>
      </c>
      <c r="E405" s="32">
        <f>INDEX(OperatingFunds!$C$46:$AAF$54,ROW(OperatingFunds!$A$5),ROW(OperatingFunds!A$4))</f>
        <v>6867</v>
      </c>
    </row>
    <row r="406" spans="1:5">
      <c r="A406" t="str">
        <f>RIGHT(OperatingFunds!$F$6,4)</f>
        <v>1993</v>
      </c>
      <c r="B406" t="str">
        <f>+OperatingFunds!$A$13</f>
        <v>380</v>
      </c>
      <c r="C406" t="s">
        <v>1764</v>
      </c>
      <c r="D406" t="s">
        <v>1768</v>
      </c>
      <c r="E406" s="32">
        <f>INDEX(OperatingFunds!$C$46:$AAF$54,ROW(OperatingFunds!$A$6),ROW(OperatingFunds!A$4))</f>
        <v>13792</v>
      </c>
    </row>
    <row r="407" spans="1:5">
      <c r="A407" t="str">
        <f>RIGHT(OperatingFunds!$F$6,4)</f>
        <v>1993</v>
      </c>
      <c r="B407" t="str">
        <f>+OperatingFunds!$A$16</f>
        <v>699</v>
      </c>
      <c r="C407" t="s">
        <v>1764</v>
      </c>
      <c r="D407" t="s">
        <v>1768</v>
      </c>
      <c r="E407" s="32">
        <f>INDEX(OperatingFunds!$C$46:$AAF$54,ROW(OperatingFunds!$A$9),ROW(OperatingFunds!A$4))</f>
        <v>61747</v>
      </c>
    </row>
    <row r="408" spans="1:5">
      <c r="A408" t="str">
        <f>RIGHT(OperatingFunds!$G$6,4)</f>
        <v>1994</v>
      </c>
      <c r="B408" t="str">
        <f>+OperatingFunds!$A$8</f>
        <v>360</v>
      </c>
      <c r="C408" t="s">
        <v>1764</v>
      </c>
      <c r="D408" t="s">
        <v>1768</v>
      </c>
      <c r="E408" s="32">
        <f>INDEX(OperatingFunds!$C$46:$AAF$54,ROW(OperatingFunds!$A$1),ROW(OperatingFunds!A$5))</f>
        <v>74443</v>
      </c>
    </row>
    <row r="409" spans="1:5">
      <c r="A409" t="str">
        <f>RIGHT(OperatingFunds!$G$6,4)</f>
        <v>1994</v>
      </c>
      <c r="B409" t="str">
        <f>+OperatingFunds!$A$9</f>
        <v>365</v>
      </c>
      <c r="C409" t="s">
        <v>1764</v>
      </c>
      <c r="D409" t="s">
        <v>1768</v>
      </c>
      <c r="E409" s="32">
        <f>INDEX(OperatingFunds!$C$46:$AAF$54,ROW(OperatingFunds!$A$2),ROW(OperatingFunds!A$5))</f>
        <v>41435</v>
      </c>
    </row>
    <row r="410" spans="1:5">
      <c r="A410" t="str">
        <f>RIGHT(OperatingFunds!$G$6,4)</f>
        <v>1994</v>
      </c>
      <c r="B410" t="str">
        <f>+OperatingFunds!$A$10</f>
        <v>370</v>
      </c>
      <c r="C410" t="s">
        <v>1764</v>
      </c>
      <c r="D410" t="s">
        <v>1768</v>
      </c>
      <c r="E410" s="32">
        <f>INDEX(OperatingFunds!$C$46:$AAF$54,ROW(OperatingFunds!$A$3),ROW(OperatingFunds!A$5))</f>
        <v>14303</v>
      </c>
    </row>
    <row r="411" spans="1:5">
      <c r="A411" t="str">
        <f>RIGHT(OperatingFunds!$G$6,4)</f>
        <v>1994</v>
      </c>
      <c r="B411" t="str">
        <f>+OperatingFunds!$A$11</f>
        <v>375</v>
      </c>
      <c r="C411" t="s">
        <v>1764</v>
      </c>
      <c r="D411" t="s">
        <v>1768</v>
      </c>
      <c r="E411" s="32">
        <f>INDEX(OperatingFunds!$C$46:$AAF$54,ROW(OperatingFunds!$A$4),ROW(OperatingFunds!A$5))</f>
        <v>11695</v>
      </c>
    </row>
    <row r="412" spans="1:5">
      <c r="A412" t="str">
        <f>RIGHT(OperatingFunds!$G$6,4)</f>
        <v>1994</v>
      </c>
      <c r="B412" t="str">
        <f>+OperatingFunds!$A$12</f>
        <v>376</v>
      </c>
      <c r="C412" t="s">
        <v>1764</v>
      </c>
      <c r="D412" t="s">
        <v>1768</v>
      </c>
      <c r="E412" s="32">
        <f>INDEX(OperatingFunds!$C$46:$AAF$54,ROW(OperatingFunds!$A$5),ROW(OperatingFunds!A$5))</f>
        <v>8102</v>
      </c>
    </row>
    <row r="413" spans="1:5">
      <c r="A413" t="str">
        <f>RIGHT(OperatingFunds!$G$6,4)</f>
        <v>1994</v>
      </c>
      <c r="B413" t="str">
        <f>+OperatingFunds!$A$13</f>
        <v>380</v>
      </c>
      <c r="C413" t="s">
        <v>1764</v>
      </c>
      <c r="D413" t="s">
        <v>1768</v>
      </c>
      <c r="E413" s="32">
        <f>INDEX(OperatingFunds!$C$46:$AAF$54,ROW(OperatingFunds!$A$6),ROW(OperatingFunds!A$5))</f>
        <v>15297</v>
      </c>
    </row>
    <row r="414" spans="1:5">
      <c r="A414" t="str">
        <f>RIGHT(OperatingFunds!$G$6,4)</f>
        <v>1994</v>
      </c>
      <c r="B414" t="str">
        <f>+OperatingFunds!$A$16</f>
        <v>699</v>
      </c>
      <c r="C414" t="s">
        <v>1764</v>
      </c>
      <c r="D414" t="s">
        <v>1768</v>
      </c>
      <c r="E414" s="32">
        <f>INDEX(OperatingFunds!$C$46:$AAF$54,ROW(OperatingFunds!$A$9),ROW(OperatingFunds!A$5))</f>
        <v>82057</v>
      </c>
    </row>
    <row r="415" spans="1:5">
      <c r="A415" t="str">
        <f>RIGHT(OperatingFunds!$H$6,4)</f>
        <v>1995</v>
      </c>
      <c r="B415" t="str">
        <f>+OperatingFunds!$A$8</f>
        <v>360</v>
      </c>
      <c r="C415" t="s">
        <v>1764</v>
      </c>
      <c r="D415" t="s">
        <v>1768</v>
      </c>
      <c r="E415" s="32">
        <f>INDEX(OperatingFunds!$C$46:$AAF$54,ROW(OperatingFunds!$A$1),ROW(OperatingFunds!A$6))</f>
        <v>99438</v>
      </c>
    </row>
    <row r="416" spans="1:5">
      <c r="A416" t="str">
        <f>RIGHT(OperatingFunds!$H$6,4)</f>
        <v>1995</v>
      </c>
      <c r="B416" t="str">
        <f>+OperatingFunds!$A$9</f>
        <v>365</v>
      </c>
      <c r="C416" t="s">
        <v>1764</v>
      </c>
      <c r="D416" t="s">
        <v>1768</v>
      </c>
      <c r="E416" s="32">
        <f>INDEX(OperatingFunds!$C$46:$AAF$54,ROW(OperatingFunds!$A$2),ROW(OperatingFunds!A$6))</f>
        <v>50454</v>
      </c>
    </row>
    <row r="417" spans="1:5">
      <c r="A417" t="str">
        <f>RIGHT(OperatingFunds!$H$6,4)</f>
        <v>1995</v>
      </c>
      <c r="B417" t="str">
        <f>+OperatingFunds!$A$10</f>
        <v>370</v>
      </c>
      <c r="C417" t="s">
        <v>1764</v>
      </c>
      <c r="D417" t="s">
        <v>1768</v>
      </c>
      <c r="E417" s="32">
        <f>INDEX(OperatingFunds!$C$46:$AAF$54,ROW(OperatingFunds!$A$3),ROW(OperatingFunds!A$6))</f>
        <v>16439</v>
      </c>
    </row>
    <row r="418" spans="1:5">
      <c r="A418" t="str">
        <f>RIGHT(OperatingFunds!$H$6,4)</f>
        <v>1995</v>
      </c>
      <c r="B418" t="str">
        <f>+OperatingFunds!$A$11</f>
        <v>375</v>
      </c>
      <c r="C418" t="s">
        <v>1764</v>
      </c>
      <c r="D418" t="s">
        <v>1768</v>
      </c>
      <c r="E418" s="32">
        <f>INDEX(OperatingFunds!$C$46:$AAF$54,ROW(OperatingFunds!$A$4),ROW(OperatingFunds!A$6))</f>
        <v>14109</v>
      </c>
    </row>
    <row r="419" spans="1:5">
      <c r="A419" t="str">
        <f>RIGHT(OperatingFunds!$H$6,4)</f>
        <v>1995</v>
      </c>
      <c r="B419" t="str">
        <f>+OperatingFunds!$A$12</f>
        <v>376</v>
      </c>
      <c r="C419" t="s">
        <v>1764</v>
      </c>
      <c r="D419" t="s">
        <v>1768</v>
      </c>
      <c r="E419" s="32">
        <f>INDEX(OperatingFunds!$C$46:$AAF$54,ROW(OperatingFunds!$A$5),ROW(OperatingFunds!A$6))</f>
        <v>10260</v>
      </c>
    </row>
    <row r="420" spans="1:5">
      <c r="A420" t="str">
        <f>RIGHT(OperatingFunds!$H$6,4)</f>
        <v>1995</v>
      </c>
      <c r="B420" t="str">
        <f>+OperatingFunds!$A$13</f>
        <v>380</v>
      </c>
      <c r="C420" t="s">
        <v>1764</v>
      </c>
      <c r="D420" t="s">
        <v>1768</v>
      </c>
      <c r="E420" s="32">
        <f>INDEX(OperatingFunds!$C$46:$AAF$54,ROW(OperatingFunds!$A$6),ROW(OperatingFunds!A$6))</f>
        <v>20018</v>
      </c>
    </row>
    <row r="421" spans="1:5">
      <c r="A421" t="str">
        <f>RIGHT(OperatingFunds!$H$6,4)</f>
        <v>1995</v>
      </c>
      <c r="B421" t="str">
        <f>+OperatingFunds!$A$16</f>
        <v>699</v>
      </c>
      <c r="C421" t="s">
        <v>1764</v>
      </c>
      <c r="D421" t="s">
        <v>1768</v>
      </c>
      <c r="E421" s="32">
        <f>INDEX(OperatingFunds!$C$46:$AAF$54,ROW(OperatingFunds!$A$9),ROW(OperatingFunds!A$6))</f>
        <v>102098</v>
      </c>
    </row>
    <row r="422" spans="1:5">
      <c r="A422" t="str">
        <f>RIGHT(OperatingFunds!$I$6,4)</f>
        <v>1996</v>
      </c>
      <c r="B422" t="str">
        <f>+OperatingFunds!$A$8</f>
        <v>360</v>
      </c>
      <c r="C422" t="s">
        <v>1764</v>
      </c>
      <c r="D422" t="s">
        <v>1768</v>
      </c>
      <c r="E422" s="32">
        <f>INDEX(OperatingFunds!$C$46:$AAF$54,ROW(OperatingFunds!$A$1),ROW(OperatingFunds!A$7))</f>
        <v>94833</v>
      </c>
    </row>
    <row r="423" spans="1:5">
      <c r="A423" t="str">
        <f>RIGHT(OperatingFunds!$I$6,4)</f>
        <v>1996</v>
      </c>
      <c r="B423" t="str">
        <f>+OperatingFunds!$A$9</f>
        <v>365</v>
      </c>
      <c r="C423" t="s">
        <v>1764</v>
      </c>
      <c r="D423" t="s">
        <v>1768</v>
      </c>
      <c r="E423" s="32">
        <f>INDEX(OperatingFunds!$C$46:$AAF$54,ROW(OperatingFunds!$A$2),ROW(OperatingFunds!A$7))</f>
        <v>50828</v>
      </c>
    </row>
    <row r="424" spans="1:5">
      <c r="A424" t="str">
        <f>RIGHT(OperatingFunds!$I$6,4)</f>
        <v>1996</v>
      </c>
      <c r="B424" t="str">
        <f>+OperatingFunds!$A$10</f>
        <v>370</v>
      </c>
      <c r="C424" t="s">
        <v>1764</v>
      </c>
      <c r="D424" t="s">
        <v>1768</v>
      </c>
      <c r="E424" s="32">
        <f>INDEX(OperatingFunds!$C$46:$AAF$54,ROW(OperatingFunds!$A$3),ROW(OperatingFunds!A$7))</f>
        <v>15652</v>
      </c>
    </row>
    <row r="425" spans="1:5">
      <c r="A425" t="str">
        <f>RIGHT(OperatingFunds!$I$6,4)</f>
        <v>1996</v>
      </c>
      <c r="B425" t="str">
        <f>+OperatingFunds!$A$11</f>
        <v>375</v>
      </c>
      <c r="C425" t="s">
        <v>1764</v>
      </c>
      <c r="D425" t="s">
        <v>1768</v>
      </c>
      <c r="E425" s="32">
        <f>INDEX(OperatingFunds!$C$46:$AAF$54,ROW(OperatingFunds!$A$4),ROW(OperatingFunds!A$7))</f>
        <v>15262</v>
      </c>
    </row>
    <row r="426" spans="1:5">
      <c r="A426" t="str">
        <f>RIGHT(OperatingFunds!$I$6,4)</f>
        <v>1996</v>
      </c>
      <c r="B426" t="str">
        <f>+OperatingFunds!$A$12</f>
        <v>376</v>
      </c>
      <c r="C426" t="s">
        <v>1764</v>
      </c>
      <c r="D426" t="s">
        <v>1768</v>
      </c>
      <c r="E426" s="32">
        <f>INDEX(OperatingFunds!$C$46:$AAF$54,ROW(OperatingFunds!$A$5),ROW(OperatingFunds!A$7))</f>
        <v>9521</v>
      </c>
    </row>
    <row r="427" spans="1:5">
      <c r="A427" t="str">
        <f>RIGHT(OperatingFunds!$I$6,4)</f>
        <v>1996</v>
      </c>
      <c r="B427" t="str">
        <f>+OperatingFunds!$A$13</f>
        <v>380</v>
      </c>
      <c r="C427" t="s">
        <v>1764</v>
      </c>
      <c r="D427" t="s">
        <v>1768</v>
      </c>
      <c r="E427" s="32">
        <f>INDEX(OperatingFunds!$C$46:$AAF$54,ROW(OperatingFunds!$A$6),ROW(OperatingFunds!A$7))</f>
        <v>18561</v>
      </c>
    </row>
    <row r="428" spans="1:5">
      <c r="A428" t="str">
        <f>RIGHT(OperatingFunds!$I$6,4)</f>
        <v>1996</v>
      </c>
      <c r="B428" t="str">
        <f>+OperatingFunds!$A$16</f>
        <v>699</v>
      </c>
      <c r="C428" t="s">
        <v>1764</v>
      </c>
      <c r="D428" t="s">
        <v>1768</v>
      </c>
      <c r="E428" s="32">
        <f>INDEX(OperatingFunds!$C$46:$AAF$54,ROW(OperatingFunds!$A$9),ROW(OperatingFunds!A$7))</f>
        <v>105135</v>
      </c>
    </row>
    <row r="429" spans="1:5">
      <c r="A429" t="str">
        <f>RIGHT(OperatingFunds!$J$6,4)</f>
        <v>1997</v>
      </c>
      <c r="B429" t="str">
        <f>+OperatingFunds!$A$8</f>
        <v>360</v>
      </c>
      <c r="C429" t="s">
        <v>1764</v>
      </c>
      <c r="D429" t="s">
        <v>1768</v>
      </c>
      <c r="E429" s="32">
        <f>INDEX(OperatingFunds!$C$46:$AAF$54,ROW(OperatingFunds!$A$1),ROW(OperatingFunds!A$8))</f>
        <v>101001</v>
      </c>
    </row>
    <row r="430" spans="1:5">
      <c r="A430" t="str">
        <f>RIGHT(OperatingFunds!$J$6,4)</f>
        <v>1997</v>
      </c>
      <c r="B430" t="str">
        <f>+OperatingFunds!$A$9</f>
        <v>365</v>
      </c>
      <c r="C430" t="s">
        <v>1764</v>
      </c>
      <c r="D430" t="s">
        <v>1768</v>
      </c>
      <c r="E430" s="32">
        <f>INDEX(OperatingFunds!$C$46:$AAF$54,ROW(OperatingFunds!$A$2),ROW(OperatingFunds!A$8))</f>
        <v>54690</v>
      </c>
    </row>
    <row r="431" spans="1:5">
      <c r="A431" t="str">
        <f>RIGHT(OperatingFunds!$J$6,4)</f>
        <v>1997</v>
      </c>
      <c r="B431" t="str">
        <f>+OperatingFunds!$A$10</f>
        <v>370</v>
      </c>
      <c r="C431" t="s">
        <v>1764</v>
      </c>
      <c r="D431" t="s">
        <v>1768</v>
      </c>
      <c r="E431" s="32">
        <f>INDEX(OperatingFunds!$C$46:$AAF$54,ROW(OperatingFunds!$A$3),ROW(OperatingFunds!A$8))</f>
        <v>15866</v>
      </c>
    </row>
    <row r="432" spans="1:5">
      <c r="A432" t="str">
        <f>RIGHT(OperatingFunds!$J$6,4)</f>
        <v>1997</v>
      </c>
      <c r="B432" t="str">
        <f>+OperatingFunds!$A$11</f>
        <v>375</v>
      </c>
      <c r="C432" t="s">
        <v>1764</v>
      </c>
      <c r="D432" t="s">
        <v>1768</v>
      </c>
      <c r="E432" s="32">
        <f>INDEX(OperatingFunds!$C$46:$AAF$54,ROW(OperatingFunds!$A$4),ROW(OperatingFunds!A$8))</f>
        <v>14272</v>
      </c>
    </row>
    <row r="433" spans="1:5">
      <c r="A433" t="str">
        <f>RIGHT(OperatingFunds!$J$6,4)</f>
        <v>1997</v>
      </c>
      <c r="B433" t="str">
        <f>+OperatingFunds!$A$12</f>
        <v>376</v>
      </c>
      <c r="C433" t="s">
        <v>1764</v>
      </c>
      <c r="D433" t="s">
        <v>1768</v>
      </c>
      <c r="E433" s="32">
        <f>INDEX(OperatingFunds!$C$46:$AAF$54,ROW(OperatingFunds!$A$5),ROW(OperatingFunds!A$8))</f>
        <v>11678</v>
      </c>
    </row>
    <row r="434" spans="1:5">
      <c r="A434" t="str">
        <f>RIGHT(OperatingFunds!$J$6,4)</f>
        <v>1997</v>
      </c>
      <c r="B434" t="str">
        <f>+OperatingFunds!$A$13</f>
        <v>380</v>
      </c>
      <c r="C434" t="s">
        <v>1764</v>
      </c>
      <c r="D434" t="s">
        <v>1768</v>
      </c>
      <c r="E434" s="32">
        <f>INDEX(OperatingFunds!$C$46:$AAF$54,ROW(OperatingFunds!$A$6),ROW(OperatingFunds!A$8))</f>
        <v>19782</v>
      </c>
    </row>
    <row r="435" spans="1:5">
      <c r="A435" t="str">
        <f>RIGHT(OperatingFunds!$J$6,4)</f>
        <v>1997</v>
      </c>
      <c r="B435" t="str">
        <f>+OperatingFunds!$A$16</f>
        <v>699</v>
      </c>
      <c r="C435" t="s">
        <v>1764</v>
      </c>
      <c r="D435" t="s">
        <v>1768</v>
      </c>
      <c r="E435" s="32">
        <f>INDEX(OperatingFunds!$C$46:$AAF$54,ROW(OperatingFunds!$A$9),ROW(OperatingFunds!A$8))</f>
        <v>110821</v>
      </c>
    </row>
    <row r="436" spans="1:5">
      <c r="A436" t="str">
        <f>RIGHT(OperatingFunds!$K$6,4)</f>
        <v>1998</v>
      </c>
      <c r="B436" t="str">
        <f>+OperatingFunds!$A$8</f>
        <v>360</v>
      </c>
      <c r="C436" t="s">
        <v>1764</v>
      </c>
      <c r="D436" t="s">
        <v>1768</v>
      </c>
      <c r="E436" s="32">
        <f>INDEX(OperatingFunds!$C$46:$AAF$54,ROW(OperatingFunds!$A$1),ROW(OperatingFunds!A$9))</f>
        <v>103580</v>
      </c>
    </row>
    <row r="437" spans="1:5">
      <c r="A437" t="str">
        <f>RIGHT(OperatingFunds!$K$6,4)</f>
        <v>1998</v>
      </c>
      <c r="B437" t="str">
        <f>+OperatingFunds!$A$9</f>
        <v>365</v>
      </c>
      <c r="C437" t="s">
        <v>1764</v>
      </c>
      <c r="D437" t="s">
        <v>1768</v>
      </c>
      <c r="E437" s="32">
        <f>INDEX(OperatingFunds!$C$46:$AAF$54,ROW(OperatingFunds!$A$2),ROW(OperatingFunds!A$9))</f>
        <v>55655</v>
      </c>
    </row>
    <row r="438" spans="1:5">
      <c r="A438" t="str">
        <f>RIGHT(OperatingFunds!$K$6,4)</f>
        <v>1998</v>
      </c>
      <c r="B438" t="str">
        <f>+OperatingFunds!$A$10</f>
        <v>370</v>
      </c>
      <c r="C438" t="s">
        <v>1764</v>
      </c>
      <c r="D438" t="s">
        <v>1768</v>
      </c>
      <c r="E438" s="32">
        <f>INDEX(OperatingFunds!$C$46:$AAF$54,ROW(OperatingFunds!$A$3),ROW(OperatingFunds!A$9))</f>
        <v>15160</v>
      </c>
    </row>
    <row r="439" spans="1:5">
      <c r="A439" t="str">
        <f>RIGHT(OperatingFunds!$K$6,4)</f>
        <v>1998</v>
      </c>
      <c r="B439" t="str">
        <f>+OperatingFunds!$A$11</f>
        <v>375</v>
      </c>
      <c r="C439" t="s">
        <v>1764</v>
      </c>
      <c r="D439" t="s">
        <v>1768</v>
      </c>
      <c r="E439" s="32">
        <f>INDEX(OperatingFunds!$C$46:$AAF$54,ROW(OperatingFunds!$A$4),ROW(OperatingFunds!A$9))</f>
        <v>16881</v>
      </c>
    </row>
    <row r="440" spans="1:5">
      <c r="A440" t="str">
        <f>RIGHT(OperatingFunds!$K$6,4)</f>
        <v>1998</v>
      </c>
      <c r="B440" t="str">
        <f>+OperatingFunds!$A$12</f>
        <v>376</v>
      </c>
      <c r="C440" t="s">
        <v>1764</v>
      </c>
      <c r="D440" t="s">
        <v>1768</v>
      </c>
      <c r="E440" s="32">
        <f>INDEX(OperatingFunds!$C$46:$AAF$54,ROW(OperatingFunds!$A$5),ROW(OperatingFunds!A$9))</f>
        <v>10470</v>
      </c>
    </row>
    <row r="441" spans="1:5">
      <c r="A441" t="str">
        <f>RIGHT(OperatingFunds!$K$6,4)</f>
        <v>1998</v>
      </c>
      <c r="B441" t="str">
        <f>+OperatingFunds!$A$13</f>
        <v>380</v>
      </c>
      <c r="C441" t="s">
        <v>1764</v>
      </c>
      <c r="D441" t="s">
        <v>1768</v>
      </c>
      <c r="E441" s="32">
        <f>INDEX(OperatingFunds!$C$46:$AAF$54,ROW(OperatingFunds!$A$6),ROW(OperatingFunds!A$9))</f>
        <v>21710</v>
      </c>
    </row>
    <row r="442" spans="1:5">
      <c r="A442" t="str">
        <f>RIGHT(OperatingFunds!$K$6,4)</f>
        <v>1998</v>
      </c>
      <c r="B442" t="str">
        <f>+OperatingFunds!$A$16</f>
        <v>699</v>
      </c>
      <c r="C442" t="s">
        <v>1764</v>
      </c>
      <c r="D442" t="s">
        <v>1768</v>
      </c>
      <c r="E442" s="32">
        <f>INDEX(OperatingFunds!$C$46:$AAF$54,ROW(OperatingFunds!$A$9),ROW(OperatingFunds!A$9))</f>
        <v>118828</v>
      </c>
    </row>
    <row r="443" spans="1:5">
      <c r="A443" t="str">
        <f>RIGHT(OperatingFunds!$L$6,4)</f>
        <v>1999</v>
      </c>
      <c r="B443" t="str">
        <f>+OperatingFunds!$A$8</f>
        <v>360</v>
      </c>
      <c r="C443" t="s">
        <v>1764</v>
      </c>
      <c r="D443" t="s">
        <v>1768</v>
      </c>
      <c r="E443" s="32">
        <f>INDEX(OperatingFunds!$C$46:$AAF$54,ROW(OperatingFunds!$A$1),ROW(OperatingFunds!A$10))</f>
        <v>131319</v>
      </c>
    </row>
    <row r="444" spans="1:5">
      <c r="A444" t="str">
        <f>RIGHT(OperatingFunds!$L$6,4)</f>
        <v>1999</v>
      </c>
      <c r="B444" t="str">
        <f>+OperatingFunds!$A$9</f>
        <v>365</v>
      </c>
      <c r="C444" t="s">
        <v>1764</v>
      </c>
      <c r="D444" t="s">
        <v>1768</v>
      </c>
      <c r="E444" s="32">
        <f>INDEX(OperatingFunds!$C$46:$AAF$54,ROW(OperatingFunds!$A$2),ROW(OperatingFunds!A$10))</f>
        <v>57198</v>
      </c>
    </row>
    <row r="445" spans="1:5">
      <c r="A445" t="str">
        <f>RIGHT(OperatingFunds!$L$6,4)</f>
        <v>1999</v>
      </c>
      <c r="B445" t="str">
        <f>+OperatingFunds!$A$10</f>
        <v>370</v>
      </c>
      <c r="C445" t="s">
        <v>1764</v>
      </c>
      <c r="D445" t="s">
        <v>1768</v>
      </c>
      <c r="E445" s="32">
        <f>INDEX(OperatingFunds!$C$46:$AAF$54,ROW(OperatingFunds!$A$3),ROW(OperatingFunds!A$10))</f>
        <v>16546</v>
      </c>
    </row>
    <row r="446" spans="1:5">
      <c r="A446" t="str">
        <f>RIGHT(OperatingFunds!$L$6,4)</f>
        <v>1999</v>
      </c>
      <c r="B446" t="str">
        <f>+OperatingFunds!$A$11</f>
        <v>375</v>
      </c>
      <c r="C446" t="s">
        <v>1764</v>
      </c>
      <c r="D446" t="s">
        <v>1768</v>
      </c>
      <c r="E446" s="32">
        <f>INDEX(OperatingFunds!$C$46:$AAF$54,ROW(OperatingFunds!$A$4),ROW(OperatingFunds!A$10))</f>
        <v>17102</v>
      </c>
    </row>
    <row r="447" spans="1:5">
      <c r="A447" t="str">
        <f>RIGHT(OperatingFunds!$L$6,4)</f>
        <v>1999</v>
      </c>
      <c r="B447" t="str">
        <f>+OperatingFunds!$A$12</f>
        <v>376</v>
      </c>
      <c r="C447" t="s">
        <v>1764</v>
      </c>
      <c r="D447" t="s">
        <v>1768</v>
      </c>
      <c r="E447" s="32">
        <f>INDEX(OperatingFunds!$C$46:$AAF$54,ROW(OperatingFunds!$A$5),ROW(OperatingFunds!A$10))</f>
        <v>12674</v>
      </c>
    </row>
    <row r="448" spans="1:5">
      <c r="A448" t="str">
        <f>RIGHT(OperatingFunds!$L$6,4)</f>
        <v>1999</v>
      </c>
      <c r="B448" t="str">
        <f>+OperatingFunds!$A$13</f>
        <v>380</v>
      </c>
      <c r="C448" t="s">
        <v>1764</v>
      </c>
      <c r="D448" t="s">
        <v>1768</v>
      </c>
      <c r="E448" s="32">
        <f>INDEX(OperatingFunds!$C$46:$AAF$54,ROW(OperatingFunds!$A$6),ROW(OperatingFunds!A$10))</f>
        <v>24580</v>
      </c>
    </row>
    <row r="449" spans="1:5">
      <c r="A449" t="str">
        <f>RIGHT(OperatingFunds!$L$6,4)</f>
        <v>1999</v>
      </c>
      <c r="B449" t="str">
        <f>+OperatingFunds!$A$16</f>
        <v>699</v>
      </c>
      <c r="C449" t="s">
        <v>1764</v>
      </c>
      <c r="D449" t="s">
        <v>1768</v>
      </c>
      <c r="E449" s="32">
        <f>INDEX(OperatingFunds!$C$46:$AAF$54,ROW(OperatingFunds!$A$9),ROW(OperatingFunds!A$10))</f>
        <v>122019</v>
      </c>
    </row>
    <row r="450" spans="1:5">
      <c r="A450" t="str">
        <f>RIGHT(OperatingFunds!$M$6,4)</f>
        <v>2000</v>
      </c>
      <c r="B450" t="str">
        <f>+OperatingFunds!$A$8</f>
        <v>360</v>
      </c>
      <c r="C450" t="s">
        <v>1764</v>
      </c>
      <c r="D450" t="s">
        <v>1768</v>
      </c>
      <c r="E450" s="32">
        <f>INDEX(OperatingFunds!$C$46:$AAF$54,ROW(OperatingFunds!$A$1),ROW(OperatingFunds!A$11))</f>
        <v>127674.15977</v>
      </c>
    </row>
    <row r="451" spans="1:5">
      <c r="A451" t="str">
        <f>RIGHT(OperatingFunds!$M$6,4)</f>
        <v>2000</v>
      </c>
      <c r="B451" t="str">
        <f>+OperatingFunds!$A$9</f>
        <v>365</v>
      </c>
      <c r="C451" t="s">
        <v>1764</v>
      </c>
      <c r="D451" t="s">
        <v>1768</v>
      </c>
      <c r="E451" s="32">
        <f>INDEX(OperatingFunds!$C$46:$AAF$54,ROW(OperatingFunds!$A$2),ROW(OperatingFunds!A$11))</f>
        <v>59158.815000000002</v>
      </c>
    </row>
    <row r="452" spans="1:5">
      <c r="A452" t="str">
        <f>RIGHT(OperatingFunds!$M$6,4)</f>
        <v>2000</v>
      </c>
      <c r="B452" t="str">
        <f>+OperatingFunds!$A$10</f>
        <v>370</v>
      </c>
      <c r="C452" t="s">
        <v>1764</v>
      </c>
      <c r="D452" t="s">
        <v>1768</v>
      </c>
      <c r="E452" s="32">
        <f>INDEX(OperatingFunds!$C$46:$AAF$54,ROW(OperatingFunds!$A$3),ROW(OperatingFunds!A$11))</f>
        <v>17726.94371</v>
      </c>
    </row>
    <row r="453" spans="1:5">
      <c r="A453" t="str">
        <f>RIGHT(OperatingFunds!$M$6,4)</f>
        <v>2000</v>
      </c>
      <c r="B453" t="str">
        <f>+OperatingFunds!$A$11</f>
        <v>375</v>
      </c>
      <c r="C453" t="s">
        <v>1764</v>
      </c>
      <c r="D453" t="s">
        <v>1768</v>
      </c>
      <c r="E453" s="32">
        <f>INDEX(OperatingFunds!$C$46:$AAF$54,ROW(OperatingFunds!$A$4),ROW(OperatingFunds!A$11))</f>
        <v>16506.80904</v>
      </c>
    </row>
    <row r="454" spans="1:5">
      <c r="A454" t="str">
        <f>RIGHT(OperatingFunds!$M$6,4)</f>
        <v>2000</v>
      </c>
      <c r="B454" t="str">
        <f>+OperatingFunds!$A$12</f>
        <v>376</v>
      </c>
      <c r="C454" t="s">
        <v>1764</v>
      </c>
      <c r="D454" t="s">
        <v>1768</v>
      </c>
      <c r="E454" s="32">
        <f>INDEX(OperatingFunds!$C$46:$AAF$54,ROW(OperatingFunds!$A$5),ROW(OperatingFunds!A$11))</f>
        <v>14291.20832</v>
      </c>
    </row>
    <row r="455" spans="1:5">
      <c r="A455" t="str">
        <f>RIGHT(OperatingFunds!$M$6,4)</f>
        <v>2000</v>
      </c>
      <c r="B455" t="str">
        <f>+OperatingFunds!$A$13</f>
        <v>380</v>
      </c>
      <c r="C455" t="s">
        <v>1764</v>
      </c>
      <c r="D455" t="s">
        <v>1768</v>
      </c>
      <c r="E455" s="32">
        <f>INDEX(OperatingFunds!$C$46:$AAF$54,ROW(OperatingFunds!$A$6),ROW(OperatingFunds!A$11))</f>
        <v>26898.128649999999</v>
      </c>
    </row>
    <row r="456" spans="1:5">
      <c r="A456" t="str">
        <f>RIGHT(OperatingFunds!$M$6,4)</f>
        <v>2000</v>
      </c>
      <c r="B456" t="str">
        <f>+OperatingFunds!$A$16</f>
        <v>699</v>
      </c>
      <c r="C456" t="s">
        <v>1764</v>
      </c>
      <c r="D456" t="s">
        <v>1768</v>
      </c>
      <c r="E456" s="32">
        <f>INDEX(OperatingFunds!$C$46:$AAF$54,ROW(OperatingFunds!$A$9),ROW(OperatingFunds!A$11))</f>
        <v>134108.86781</v>
      </c>
    </row>
    <row r="457" spans="1:5">
      <c r="A457" t="str">
        <f>MID(OperatingFunds!$N$6,3,4)</f>
        <v>2001</v>
      </c>
      <c r="B457" t="str">
        <f>+OperatingFunds!$A$8</f>
        <v>360</v>
      </c>
      <c r="C457" t="s">
        <v>1764</v>
      </c>
      <c r="D457" t="s">
        <v>1768</v>
      </c>
      <c r="E457" s="32">
        <f>INDEX(OperatingFunds!$C$46:$AAF$54,ROW(OperatingFunds!$A$1),ROW(OperatingFunds!A$12))</f>
        <v>133131.84059000001</v>
      </c>
    </row>
    <row r="458" spans="1:5">
      <c r="A458" t="str">
        <f>MID(OperatingFunds!$N$6,3,4)</f>
        <v>2001</v>
      </c>
      <c r="B458" t="str">
        <f>+OperatingFunds!$A$9</f>
        <v>365</v>
      </c>
      <c r="C458" t="s">
        <v>1764</v>
      </c>
      <c r="D458" t="s">
        <v>1768</v>
      </c>
      <c r="E458" s="32">
        <f>INDEX(OperatingFunds!$C$46:$AAF$54,ROW(OperatingFunds!$A$2),ROW(OperatingFunds!A$12))</f>
        <v>60034.70579</v>
      </c>
    </row>
    <row r="459" spans="1:5">
      <c r="A459" t="str">
        <f>MID(OperatingFunds!$N$6,3,4)</f>
        <v>2001</v>
      </c>
      <c r="B459" t="str">
        <f>+OperatingFunds!$A$10</f>
        <v>370</v>
      </c>
      <c r="C459" t="s">
        <v>1764</v>
      </c>
      <c r="D459" t="s">
        <v>1768</v>
      </c>
      <c r="E459" s="32">
        <f>INDEX(OperatingFunds!$C$46:$AAF$54,ROW(OperatingFunds!$A$3),ROW(OperatingFunds!A$12))</f>
        <v>19951.349679999999</v>
      </c>
    </row>
    <row r="460" spans="1:5">
      <c r="A460" t="str">
        <f>MID(OperatingFunds!$N$6,3,4)</f>
        <v>2001</v>
      </c>
      <c r="B460" t="str">
        <f>+OperatingFunds!$A$11</f>
        <v>375</v>
      </c>
      <c r="C460" t="s">
        <v>1764</v>
      </c>
      <c r="D460" t="s">
        <v>1768</v>
      </c>
      <c r="E460" s="32">
        <f>INDEX(OperatingFunds!$C$46:$AAF$54,ROW(OperatingFunds!$A$4),ROW(OperatingFunds!A$12))</f>
        <v>17230.346450000001</v>
      </c>
    </row>
    <row r="461" spans="1:5">
      <c r="A461" t="str">
        <f>MID(OperatingFunds!$N$6,3,4)</f>
        <v>2001</v>
      </c>
      <c r="B461" t="str">
        <f>+OperatingFunds!$A$12</f>
        <v>376</v>
      </c>
      <c r="C461" t="s">
        <v>1764</v>
      </c>
      <c r="D461" t="s">
        <v>1768</v>
      </c>
      <c r="E461" s="32">
        <f>INDEX(OperatingFunds!$C$46:$AAF$54,ROW(OperatingFunds!$A$5),ROW(OperatingFunds!A$12))</f>
        <v>14460.499970000001</v>
      </c>
    </row>
    <row r="462" spans="1:5">
      <c r="A462" t="str">
        <f>MID(OperatingFunds!$N$6,3,4)</f>
        <v>2001</v>
      </c>
      <c r="B462" t="str">
        <f>+OperatingFunds!$A$13</f>
        <v>380</v>
      </c>
      <c r="C462" t="s">
        <v>1764</v>
      </c>
      <c r="D462" t="s">
        <v>1768</v>
      </c>
      <c r="E462" s="32">
        <f>INDEX(OperatingFunds!$C$46:$AAF$54,ROW(OperatingFunds!$A$6),ROW(OperatingFunds!A$12))</f>
        <v>28823.412760000003</v>
      </c>
    </row>
    <row r="463" spans="1:5">
      <c r="A463" t="str">
        <f>MID(OperatingFunds!$N$6,3,4)</f>
        <v>2001</v>
      </c>
      <c r="B463" t="str">
        <f>+OperatingFunds!$A$16</f>
        <v>699</v>
      </c>
      <c r="C463" t="s">
        <v>1764</v>
      </c>
      <c r="D463" t="s">
        <v>1768</v>
      </c>
      <c r="E463" s="32">
        <f>INDEX(OperatingFunds!$C$46:$AAF$54,ROW(OperatingFunds!$A$9),ROW(OperatingFunds!A$12))</f>
        <v>134757.78544000001</v>
      </c>
    </row>
    <row r="464" spans="1:5">
      <c r="A464" t="str">
        <f>RIGHT(OperatingFunds!$O$6,4)</f>
        <v>2002</v>
      </c>
      <c r="B464" t="str">
        <f>+OperatingFunds!$A$8</f>
        <v>360</v>
      </c>
      <c r="C464" t="s">
        <v>1764</v>
      </c>
      <c r="D464" t="s">
        <v>1768</v>
      </c>
      <c r="E464" s="32">
        <f>INDEX(OperatingFunds!$C$46:$AAF$54,ROW(OperatingFunds!$A$1),ROW(OperatingFunds!A$13))</f>
        <v>151465.7696</v>
      </c>
    </row>
    <row r="465" spans="1:5">
      <c r="A465" t="str">
        <f>RIGHT(OperatingFunds!$O$6,4)</f>
        <v>2002</v>
      </c>
      <c r="B465" t="str">
        <f>+OperatingFunds!$A$9</f>
        <v>365</v>
      </c>
      <c r="C465" t="s">
        <v>1764</v>
      </c>
      <c r="D465" t="s">
        <v>1768</v>
      </c>
      <c r="E465" s="32">
        <f>INDEX(OperatingFunds!$C$46:$AAF$54,ROW(OperatingFunds!$A$2),ROW(OperatingFunds!A$13))</f>
        <v>65809.928000000014</v>
      </c>
    </row>
    <row r="466" spans="1:5">
      <c r="A466" t="str">
        <f>RIGHT(OperatingFunds!$O$6,4)</f>
        <v>2002</v>
      </c>
      <c r="B466" t="str">
        <f>+OperatingFunds!$A$10</f>
        <v>370</v>
      </c>
      <c r="C466" t="s">
        <v>1764</v>
      </c>
      <c r="D466" t="s">
        <v>1768</v>
      </c>
      <c r="E466" s="32">
        <f>INDEX(OperatingFunds!$C$46:$AAF$54,ROW(OperatingFunds!$A$3),ROW(OperatingFunds!A$13))</f>
        <v>19036.059350000003</v>
      </c>
    </row>
    <row r="467" spans="1:5">
      <c r="A467" t="str">
        <f>RIGHT(OperatingFunds!$O$6,4)</f>
        <v>2002</v>
      </c>
      <c r="B467" t="str">
        <f>+OperatingFunds!$A$11</f>
        <v>375</v>
      </c>
      <c r="C467" t="s">
        <v>1764</v>
      </c>
      <c r="D467" t="s">
        <v>1768</v>
      </c>
      <c r="E467" s="32">
        <f>INDEX(OperatingFunds!$C$46:$AAF$54,ROW(OperatingFunds!$A$4),ROW(OperatingFunds!A$13))</f>
        <v>17801.917539999999</v>
      </c>
    </row>
    <row r="468" spans="1:5">
      <c r="A468" t="str">
        <f>RIGHT(OperatingFunds!$O$6,4)</f>
        <v>2002</v>
      </c>
      <c r="B468" t="str">
        <f>+OperatingFunds!$A$12</f>
        <v>376</v>
      </c>
      <c r="C468" t="s">
        <v>1764</v>
      </c>
      <c r="D468" t="s">
        <v>1768</v>
      </c>
      <c r="E468" s="32">
        <f>INDEX(OperatingFunds!$C$46:$AAF$54,ROW(OperatingFunds!$A$5),ROW(OperatingFunds!A$13))</f>
        <v>14194.184360000001</v>
      </c>
    </row>
    <row r="469" spans="1:5">
      <c r="A469" t="str">
        <f>RIGHT(OperatingFunds!$O$6,4)</f>
        <v>2002</v>
      </c>
      <c r="B469" t="str">
        <f>+OperatingFunds!$A$13</f>
        <v>380</v>
      </c>
      <c r="C469" t="s">
        <v>1764</v>
      </c>
      <c r="D469" t="s">
        <v>1768</v>
      </c>
      <c r="E469" s="32">
        <f>INDEX(OperatingFunds!$C$46:$AAF$54,ROW(OperatingFunds!$A$6),ROW(OperatingFunds!A$13))</f>
        <v>29845.664490000003</v>
      </c>
    </row>
    <row r="470" spans="1:5">
      <c r="A470" t="str">
        <f>RIGHT(OperatingFunds!$O$6,4)</f>
        <v>2002</v>
      </c>
      <c r="B470" t="str">
        <f>+OperatingFunds!$A$16</f>
        <v>699</v>
      </c>
      <c r="C470" t="s">
        <v>1764</v>
      </c>
      <c r="D470" t="s">
        <v>1768</v>
      </c>
      <c r="E470" s="32">
        <f>INDEX(OperatingFunds!$C$46:$AAF$54,ROW(OperatingFunds!$A$9),ROW(OperatingFunds!A$13))</f>
        <v>146072.72946999999</v>
      </c>
    </row>
    <row r="471" spans="1:5">
      <c r="A471" t="str">
        <f>RIGHT(OperatingFunds!$P$6,4)</f>
        <v>2003</v>
      </c>
      <c r="B471" t="str">
        <f>+OperatingFunds!$A$8</f>
        <v>360</v>
      </c>
      <c r="C471" t="s">
        <v>1764</v>
      </c>
      <c r="D471" t="s">
        <v>1768</v>
      </c>
      <c r="E471" s="32">
        <f>INDEX(OperatingFunds!$C$46:$AAF$54,ROW(OperatingFunds!$A$1),ROW(OperatingFunds!A$14))</f>
        <v>173713.05309999999</v>
      </c>
    </row>
    <row r="472" spans="1:5">
      <c r="A472" t="str">
        <f>RIGHT(OperatingFunds!$P$6,4)</f>
        <v>2003</v>
      </c>
      <c r="B472" t="str">
        <f>+OperatingFunds!$A$9</f>
        <v>365</v>
      </c>
      <c r="C472" t="s">
        <v>1764</v>
      </c>
      <c r="D472" t="s">
        <v>1768</v>
      </c>
      <c r="E472" s="32">
        <f>INDEX(OperatingFunds!$C$46:$AAF$54,ROW(OperatingFunds!$A$2),ROW(OperatingFunds!A$14))</f>
        <v>79113.495060000001</v>
      </c>
    </row>
    <row r="473" spans="1:5">
      <c r="A473" t="str">
        <f>RIGHT(OperatingFunds!$P$6,4)</f>
        <v>2003</v>
      </c>
      <c r="B473" t="str">
        <f>+OperatingFunds!$A$10</f>
        <v>370</v>
      </c>
      <c r="C473" t="s">
        <v>1764</v>
      </c>
      <c r="D473" t="s">
        <v>1768</v>
      </c>
      <c r="E473" s="32">
        <f>INDEX(OperatingFunds!$C$46:$AAF$54,ROW(OperatingFunds!$A$3),ROW(OperatingFunds!A$14))</f>
        <v>22716.38466</v>
      </c>
    </row>
    <row r="474" spans="1:5">
      <c r="A474" t="str">
        <f>RIGHT(OperatingFunds!$P$6,4)</f>
        <v>2003</v>
      </c>
      <c r="B474" t="str">
        <f>+OperatingFunds!$A$11</f>
        <v>375</v>
      </c>
      <c r="C474" t="s">
        <v>1764</v>
      </c>
      <c r="D474" t="s">
        <v>1768</v>
      </c>
      <c r="E474" s="32">
        <f>INDEX(OperatingFunds!$C$46:$AAF$54,ROW(OperatingFunds!$A$4),ROW(OperatingFunds!A$14))</f>
        <v>23923.062829999999</v>
      </c>
    </row>
    <row r="475" spans="1:5">
      <c r="A475" t="str">
        <f>RIGHT(OperatingFunds!$P$6,4)</f>
        <v>2003</v>
      </c>
      <c r="B475" t="str">
        <f>+OperatingFunds!$A$12</f>
        <v>376</v>
      </c>
      <c r="C475" t="s">
        <v>1764</v>
      </c>
      <c r="D475" t="s">
        <v>1768</v>
      </c>
      <c r="E475" s="32">
        <f>INDEX(OperatingFunds!$C$46:$AAF$54,ROW(OperatingFunds!$A$5),ROW(OperatingFunds!A$14))</f>
        <v>15702.712899999999</v>
      </c>
    </row>
    <row r="476" spans="1:5">
      <c r="A476" t="str">
        <f>RIGHT(OperatingFunds!$P$6,4)</f>
        <v>2003</v>
      </c>
      <c r="B476" t="str">
        <f>+OperatingFunds!$A$13</f>
        <v>380</v>
      </c>
      <c r="C476" t="s">
        <v>1764</v>
      </c>
      <c r="D476" t="s">
        <v>1768</v>
      </c>
      <c r="E476" s="32">
        <f>INDEX(OperatingFunds!$C$46:$AAF$54,ROW(OperatingFunds!$A$6),ROW(OperatingFunds!A$14))</f>
        <v>34609.505149999997</v>
      </c>
    </row>
    <row r="477" spans="1:5">
      <c r="A477" t="str">
        <f>RIGHT(OperatingFunds!$P$6,4)</f>
        <v>2003</v>
      </c>
      <c r="B477" t="str">
        <f>+OperatingFunds!$A$16</f>
        <v>699</v>
      </c>
      <c r="C477" t="s">
        <v>1764</v>
      </c>
      <c r="D477" t="s">
        <v>1768</v>
      </c>
      <c r="E477" s="32">
        <f>INDEX(OperatingFunds!$C$46:$AAF$54,ROW(OperatingFunds!$A$9),ROW(OperatingFunds!A$14))</f>
        <v>158721.09552</v>
      </c>
    </row>
    <row r="478" spans="1:5">
      <c r="A478" t="str">
        <f>MID(OperatingFunds!$Q$6,3,4)</f>
        <v>2004</v>
      </c>
      <c r="B478" t="str">
        <f>+OperatingFunds!$A$8</f>
        <v>360</v>
      </c>
      <c r="C478" t="s">
        <v>1764</v>
      </c>
      <c r="D478" t="s">
        <v>1768</v>
      </c>
      <c r="E478" s="32">
        <f>INDEX(OperatingFunds!$C$46:$AAF$54,ROW(OperatingFunds!$A$1),ROW(OperatingFunds!A$15))</f>
        <v>178506.40596999999</v>
      </c>
    </row>
    <row r="479" spans="1:5">
      <c r="A479" t="str">
        <f>MID(OperatingFunds!$Q$6,3,4)</f>
        <v>2004</v>
      </c>
      <c r="B479" t="str">
        <f>+OperatingFunds!$A$9</f>
        <v>365</v>
      </c>
      <c r="C479" t="s">
        <v>1764</v>
      </c>
      <c r="D479" t="s">
        <v>1768</v>
      </c>
      <c r="E479" s="32">
        <f>INDEX(OperatingFunds!$C$46:$AAF$54,ROW(OperatingFunds!$A$2),ROW(OperatingFunds!A$15))</f>
        <v>85744.856939999998</v>
      </c>
    </row>
    <row r="480" spans="1:5">
      <c r="A480" t="str">
        <f>MID(OperatingFunds!$Q$6,3,4)</f>
        <v>2004</v>
      </c>
      <c r="B480" t="str">
        <f>+OperatingFunds!$A$10</f>
        <v>370</v>
      </c>
      <c r="C480" t="s">
        <v>1764</v>
      </c>
      <c r="D480" t="s">
        <v>1768</v>
      </c>
      <c r="E480" s="32">
        <f>INDEX(OperatingFunds!$C$46:$AAF$54,ROW(OperatingFunds!$A$3),ROW(OperatingFunds!A$15))</f>
        <v>26257.200579999997</v>
      </c>
    </row>
    <row r="481" spans="1:5">
      <c r="A481" t="str">
        <f>MID(OperatingFunds!$Q$6,3,4)</f>
        <v>2004</v>
      </c>
      <c r="B481" t="str">
        <f>+OperatingFunds!$A$11</f>
        <v>375</v>
      </c>
      <c r="C481" t="s">
        <v>1764</v>
      </c>
      <c r="D481" t="s">
        <v>1768</v>
      </c>
      <c r="E481" s="32">
        <f>INDEX(OperatingFunds!$C$46:$AAF$54,ROW(OperatingFunds!$A$4),ROW(OperatingFunds!A$15))</f>
        <v>26517.258300000001</v>
      </c>
    </row>
    <row r="482" spans="1:5">
      <c r="A482" t="str">
        <f>MID(OperatingFunds!$Q$6,3,4)</f>
        <v>2004</v>
      </c>
      <c r="B482" t="str">
        <f>+OperatingFunds!$A$12</f>
        <v>376</v>
      </c>
      <c r="C482" t="s">
        <v>1764</v>
      </c>
      <c r="D482" t="s">
        <v>1768</v>
      </c>
      <c r="E482" s="32">
        <f>INDEX(OperatingFunds!$C$46:$AAF$54,ROW(OperatingFunds!$A$5),ROW(OperatingFunds!A$15))</f>
        <v>13274.20952</v>
      </c>
    </row>
    <row r="483" spans="1:5">
      <c r="A483" t="str">
        <f>MID(OperatingFunds!$Q$6,3,4)</f>
        <v>2004</v>
      </c>
      <c r="B483" t="str">
        <f>+OperatingFunds!$A$13</f>
        <v>380</v>
      </c>
      <c r="C483" t="s">
        <v>1764</v>
      </c>
      <c r="D483" t="s">
        <v>1768</v>
      </c>
      <c r="E483" s="32">
        <f>INDEX(OperatingFunds!$C$46:$AAF$54,ROW(OperatingFunds!$A$6),ROW(OperatingFunds!A$15))</f>
        <v>38443.41216</v>
      </c>
    </row>
    <row r="484" spans="1:5">
      <c r="A484" t="str">
        <f>MID(OperatingFunds!$Q$6,3,4)</f>
        <v>2004</v>
      </c>
      <c r="B484" t="str">
        <f>+OperatingFunds!$A$16</f>
        <v>699</v>
      </c>
      <c r="C484" t="s">
        <v>1764</v>
      </c>
      <c r="D484" t="s">
        <v>1768</v>
      </c>
      <c r="E484" s="32">
        <f>INDEX(OperatingFunds!$C$46:$AAF$54,ROW(OperatingFunds!$A$9),ROW(OperatingFunds!A$15))</f>
        <v>183989.62482999999</v>
      </c>
    </row>
    <row r="485" spans="1:5">
      <c r="A485" t="str">
        <f>MID(OperatingFunds!$R$6,3,4)</f>
        <v>2005</v>
      </c>
      <c r="B485" t="str">
        <f>+OperatingFunds!$A$8</f>
        <v>360</v>
      </c>
      <c r="C485" t="s">
        <v>1764</v>
      </c>
      <c r="D485" t="s">
        <v>1768</v>
      </c>
      <c r="E485" s="32">
        <f>INDEX(OperatingFunds!$C$46:$AAF$54,ROW(OperatingFunds!$A$1),ROW(OperatingFunds!A$16))</f>
        <v>207331.71428000001</v>
      </c>
    </row>
    <row r="486" spans="1:5">
      <c r="A486" t="str">
        <f>MID(OperatingFunds!$R$6,3,4)</f>
        <v>2005</v>
      </c>
      <c r="B486" t="str">
        <f>+OperatingFunds!$A$9</f>
        <v>365</v>
      </c>
      <c r="C486" t="s">
        <v>1764</v>
      </c>
      <c r="D486" t="s">
        <v>1768</v>
      </c>
      <c r="E486" s="32">
        <f>INDEX(OperatingFunds!$C$46:$AAF$54,ROW(OperatingFunds!$A$2),ROW(OperatingFunds!A$16))</f>
        <v>96329.895000000004</v>
      </c>
    </row>
    <row r="487" spans="1:5">
      <c r="A487" t="str">
        <f>MID(OperatingFunds!$R$6,3,4)</f>
        <v>2005</v>
      </c>
      <c r="B487" t="str">
        <f>+OperatingFunds!$A$10</f>
        <v>370</v>
      </c>
      <c r="C487" t="s">
        <v>1764</v>
      </c>
      <c r="D487" t="s">
        <v>1768</v>
      </c>
      <c r="E487" s="32">
        <f>INDEX(OperatingFunds!$C$46:$AAF$54,ROW(OperatingFunds!$A$3),ROW(OperatingFunds!A$16))</f>
        <v>30953.37659</v>
      </c>
    </row>
    <row r="488" spans="1:5">
      <c r="A488" t="str">
        <f>MID(OperatingFunds!$R$6,3,4)</f>
        <v>2005</v>
      </c>
      <c r="B488" t="str">
        <f>+OperatingFunds!$A$11</f>
        <v>375</v>
      </c>
      <c r="C488" t="s">
        <v>1764</v>
      </c>
      <c r="D488" t="s">
        <v>1768</v>
      </c>
      <c r="E488" s="32">
        <f>INDEX(OperatingFunds!$C$46:$AAF$54,ROW(OperatingFunds!$A$4),ROW(OperatingFunds!A$16))</f>
        <v>27699.62887</v>
      </c>
    </row>
    <row r="489" spans="1:5">
      <c r="A489" t="str">
        <f>MID(OperatingFunds!$R$6,3,4)</f>
        <v>2005</v>
      </c>
      <c r="B489" t="str">
        <f>+OperatingFunds!$A$12</f>
        <v>376</v>
      </c>
      <c r="C489" t="s">
        <v>1764</v>
      </c>
      <c r="D489" t="s">
        <v>1768</v>
      </c>
      <c r="E489" s="32">
        <f>INDEX(OperatingFunds!$C$46:$AAF$54,ROW(OperatingFunds!$A$5),ROW(OperatingFunds!A$16))</f>
        <v>24748.583609999998</v>
      </c>
    </row>
    <row r="490" spans="1:5">
      <c r="A490" t="str">
        <f>MID(OperatingFunds!$R$6,3,4)</f>
        <v>2005</v>
      </c>
      <c r="B490" t="str">
        <f>+OperatingFunds!$A$13</f>
        <v>380</v>
      </c>
      <c r="C490" t="s">
        <v>1764</v>
      </c>
      <c r="D490" t="s">
        <v>1768</v>
      </c>
      <c r="E490" s="32">
        <f>INDEX(OperatingFunds!$C$46:$AAF$54,ROW(OperatingFunds!$A$6),ROW(OperatingFunds!A$16))</f>
        <v>40113.20175</v>
      </c>
    </row>
    <row r="491" spans="1:5">
      <c r="A491" t="str">
        <f>MID(OperatingFunds!$R$6,3,4)</f>
        <v>2005</v>
      </c>
      <c r="B491" t="str">
        <f>+OperatingFunds!$A$16</f>
        <v>699</v>
      </c>
      <c r="C491" t="s">
        <v>1764</v>
      </c>
      <c r="D491" t="s">
        <v>1768</v>
      </c>
      <c r="E491" s="32">
        <f>INDEX(OperatingFunds!$C$46:$AAF$54,ROW(OperatingFunds!$A$9),ROW(OperatingFunds!A$16))</f>
        <v>198652.80664</v>
      </c>
    </row>
    <row r="492" spans="1:5">
      <c r="A492" t="str">
        <f>RIGHT(OperatingFunds!$S$6,4)</f>
        <v>2006</v>
      </c>
      <c r="B492" t="str">
        <f>+OperatingFunds!$A$8</f>
        <v>360</v>
      </c>
      <c r="C492" t="s">
        <v>1764</v>
      </c>
      <c r="D492" t="s">
        <v>1768</v>
      </c>
      <c r="E492" s="32">
        <f>INDEX(OperatingFunds!$C$46:$AAF$54,ROW(OperatingFunds!$A$1),ROW(OperatingFunds!A$17))</f>
        <v>212733.46908000001</v>
      </c>
    </row>
    <row r="493" spans="1:5">
      <c r="A493" t="str">
        <f>RIGHT(OperatingFunds!$S$6,4)</f>
        <v>2006</v>
      </c>
      <c r="B493" t="str">
        <f>+OperatingFunds!$A$9</f>
        <v>365</v>
      </c>
      <c r="C493" t="s">
        <v>1764</v>
      </c>
      <c r="D493" t="s">
        <v>1768</v>
      </c>
      <c r="E493" s="32">
        <f>INDEX(OperatingFunds!$C$46:$AAF$54,ROW(OperatingFunds!$A$2),ROW(OperatingFunds!A$17))</f>
        <v>102385.69100000001</v>
      </c>
    </row>
    <row r="494" spans="1:5">
      <c r="A494" t="str">
        <f>RIGHT(OperatingFunds!$S$6,4)</f>
        <v>2006</v>
      </c>
      <c r="B494" t="str">
        <f>+OperatingFunds!$A$10</f>
        <v>370</v>
      </c>
      <c r="C494" t="s">
        <v>1764</v>
      </c>
      <c r="D494" t="s">
        <v>1768</v>
      </c>
      <c r="E494" s="32">
        <f>INDEX(OperatingFunds!$C$46:$AAF$54,ROW(OperatingFunds!$A$3),ROW(OperatingFunds!A$17))</f>
        <v>29548.331679999999</v>
      </c>
    </row>
    <row r="495" spans="1:5">
      <c r="A495" t="str">
        <f>RIGHT(OperatingFunds!$S$6,4)</f>
        <v>2006</v>
      </c>
      <c r="B495" t="str">
        <f>+OperatingFunds!$A$11</f>
        <v>375</v>
      </c>
      <c r="C495" t="s">
        <v>1764</v>
      </c>
      <c r="D495" t="s">
        <v>1768</v>
      </c>
      <c r="E495" s="32">
        <f>INDEX(OperatingFunds!$C$46:$AAF$54,ROW(OperatingFunds!$A$4),ROW(OperatingFunds!A$17))</f>
        <v>28915.117750000001</v>
      </c>
    </row>
    <row r="496" spans="1:5">
      <c r="A496" t="str">
        <f>RIGHT(OperatingFunds!$S$6,4)</f>
        <v>2006</v>
      </c>
      <c r="B496" t="str">
        <f>+OperatingFunds!$A$12</f>
        <v>376</v>
      </c>
      <c r="C496" t="s">
        <v>1764</v>
      </c>
      <c r="D496" t="s">
        <v>1768</v>
      </c>
      <c r="E496" s="32">
        <f>INDEX(OperatingFunds!$C$46:$AAF$54,ROW(OperatingFunds!$A$5),ROW(OperatingFunds!A$17))</f>
        <v>19978.517769999999</v>
      </c>
    </row>
    <row r="497" spans="1:5">
      <c r="A497" t="str">
        <f>RIGHT(OperatingFunds!$S$6,4)</f>
        <v>2006</v>
      </c>
      <c r="B497" t="str">
        <f>+OperatingFunds!$A$13</f>
        <v>380</v>
      </c>
      <c r="C497" t="s">
        <v>1764</v>
      </c>
      <c r="D497" t="s">
        <v>1768</v>
      </c>
      <c r="E497" s="32">
        <f>INDEX(OperatingFunds!$C$46:$AAF$54,ROW(OperatingFunds!$A$6),ROW(OperatingFunds!A$17))</f>
        <v>41945.57331</v>
      </c>
    </row>
    <row r="498" spans="1:5">
      <c r="A498" t="str">
        <f>RIGHT(OperatingFunds!$S$6,4)</f>
        <v>2006</v>
      </c>
      <c r="B498" t="str">
        <f>+OperatingFunds!$A$16</f>
        <v>699</v>
      </c>
      <c r="C498" t="s">
        <v>1764</v>
      </c>
      <c r="D498" t="s">
        <v>1768</v>
      </c>
      <c r="E498" s="32">
        <f>INDEX(OperatingFunds!$C$46:$AAF$54,ROW(OperatingFunds!$A$9),ROW(OperatingFunds!A$17))</f>
        <v>208488.88889</v>
      </c>
    </row>
    <row r="499" spans="1:5">
      <c r="A499" t="str">
        <f>RIGHT(OperatingFunds!$T$6,4)</f>
        <v>2007</v>
      </c>
      <c r="B499" t="str">
        <f>+OperatingFunds!$A$8</f>
        <v>360</v>
      </c>
      <c r="C499" t="s">
        <v>1764</v>
      </c>
      <c r="D499" t="s">
        <v>1768</v>
      </c>
      <c r="E499" s="32">
        <f>INDEX(OperatingFunds!$C$46:$AAF$54,ROW(OperatingFunds!$A$1),ROW(OperatingFunds!A$18))</f>
        <v>250613.09423999998</v>
      </c>
    </row>
    <row r="500" spans="1:5">
      <c r="A500" t="str">
        <f>RIGHT(OperatingFunds!$T$6,4)</f>
        <v>2007</v>
      </c>
      <c r="B500" t="str">
        <f>+OperatingFunds!$A$9</f>
        <v>365</v>
      </c>
      <c r="C500" t="s">
        <v>1764</v>
      </c>
      <c r="D500" t="s">
        <v>1768</v>
      </c>
      <c r="E500" s="32">
        <f>INDEX(OperatingFunds!$C$46:$AAF$54,ROW(OperatingFunds!$A$2),ROW(OperatingFunds!A$18))</f>
        <v>109147.74800000001</v>
      </c>
    </row>
    <row r="501" spans="1:5">
      <c r="A501" t="str">
        <f>RIGHT(OperatingFunds!$T$6,4)</f>
        <v>2007</v>
      </c>
      <c r="B501" t="str">
        <f>+OperatingFunds!$A$10</f>
        <v>370</v>
      </c>
      <c r="C501" t="s">
        <v>1764</v>
      </c>
      <c r="D501" t="s">
        <v>1768</v>
      </c>
      <c r="E501" s="32">
        <f>INDEX(OperatingFunds!$C$46:$AAF$54,ROW(OperatingFunds!$A$3),ROW(OperatingFunds!A$18))</f>
        <v>33600.601820000003</v>
      </c>
    </row>
    <row r="502" spans="1:5">
      <c r="A502" t="str">
        <f>RIGHT(OperatingFunds!$T$6,4)</f>
        <v>2007</v>
      </c>
      <c r="B502" t="str">
        <f>+OperatingFunds!$A$11</f>
        <v>375</v>
      </c>
      <c r="C502" t="s">
        <v>1764</v>
      </c>
      <c r="D502" t="s">
        <v>1768</v>
      </c>
      <c r="E502" s="32">
        <f>INDEX(OperatingFunds!$C$46:$AAF$54,ROW(OperatingFunds!$A$4),ROW(OperatingFunds!A$18))</f>
        <v>30019.645570000001</v>
      </c>
    </row>
    <row r="503" spans="1:5">
      <c r="A503" t="str">
        <f>RIGHT(OperatingFunds!$T$6,4)</f>
        <v>2007</v>
      </c>
      <c r="B503" t="str">
        <f>+OperatingFunds!$A$12</f>
        <v>376</v>
      </c>
      <c r="C503" t="s">
        <v>1764</v>
      </c>
      <c r="D503" t="s">
        <v>1768</v>
      </c>
      <c r="E503" s="32">
        <f>INDEX(OperatingFunds!$C$46:$AAF$54,ROW(OperatingFunds!$A$5),ROW(OperatingFunds!A$18))</f>
        <v>20713.06914</v>
      </c>
    </row>
    <row r="504" spans="1:5">
      <c r="A504" t="str">
        <f>RIGHT(OperatingFunds!$T$6,4)</f>
        <v>2007</v>
      </c>
      <c r="B504" t="str">
        <f>+OperatingFunds!$A$13</f>
        <v>380</v>
      </c>
      <c r="C504" t="s">
        <v>1764</v>
      </c>
      <c r="D504" t="s">
        <v>1768</v>
      </c>
      <c r="E504" s="32">
        <f>INDEX(OperatingFunds!$C$46:$AAF$54,ROW(OperatingFunds!$A$6),ROW(OperatingFunds!A$18))</f>
        <v>45652.683420000001</v>
      </c>
    </row>
    <row r="505" spans="1:5">
      <c r="A505" t="str">
        <f>RIGHT(OperatingFunds!$T$6,4)</f>
        <v>2007</v>
      </c>
      <c r="B505" t="str">
        <f>+OperatingFunds!$A$16</f>
        <v>699</v>
      </c>
      <c r="C505" t="s">
        <v>1764</v>
      </c>
      <c r="D505" t="s">
        <v>1768</v>
      </c>
      <c r="E505" s="32">
        <f>INDEX(OperatingFunds!$C$46:$AAF$54,ROW(OperatingFunds!$A$9),ROW(OperatingFunds!A$18))</f>
        <v>217269.25946</v>
      </c>
    </row>
    <row r="506" spans="1:5">
      <c r="A506" t="str">
        <f>RIGHT(OperatingFunds!$U$6,4)</f>
        <v>2008</v>
      </c>
      <c r="B506" t="str">
        <f>+OperatingFunds!$A$8</f>
        <v>360</v>
      </c>
      <c r="C506" t="s">
        <v>1764</v>
      </c>
      <c r="D506" t="s">
        <v>1768</v>
      </c>
      <c r="E506" s="32">
        <f>INDEX(OperatingFunds!$C$46:$AAF$54,ROW(OperatingFunds!$A$1),ROW(OperatingFunds!A$19))</f>
        <v>269930.99705000001</v>
      </c>
    </row>
    <row r="507" spans="1:5">
      <c r="A507" t="str">
        <f>RIGHT(OperatingFunds!$U$6,4)</f>
        <v>2008</v>
      </c>
      <c r="B507" t="str">
        <f>+OperatingFunds!$A$9</f>
        <v>365</v>
      </c>
      <c r="C507" t="s">
        <v>1764</v>
      </c>
      <c r="D507" t="s">
        <v>1768</v>
      </c>
      <c r="E507" s="32">
        <f>INDEX(OperatingFunds!$C$46:$AAF$54,ROW(OperatingFunds!$A$2),ROW(OperatingFunds!A$19))</f>
        <v>119035.32865000001</v>
      </c>
    </row>
    <row r="508" spans="1:5">
      <c r="A508" t="str">
        <f>RIGHT(OperatingFunds!$U$6,4)</f>
        <v>2008</v>
      </c>
      <c r="B508" t="str">
        <f>+OperatingFunds!$A$10</f>
        <v>370</v>
      </c>
      <c r="C508" t="s">
        <v>1764</v>
      </c>
      <c r="D508" t="s">
        <v>1768</v>
      </c>
      <c r="E508" s="32">
        <f>INDEX(OperatingFunds!$C$46:$AAF$54,ROW(OperatingFunds!$A$3),ROW(OperatingFunds!A$19))</f>
        <v>35731.798759999998</v>
      </c>
    </row>
    <row r="509" spans="1:5">
      <c r="A509" t="str">
        <f>RIGHT(OperatingFunds!$U$6,4)</f>
        <v>2008</v>
      </c>
      <c r="B509" t="str">
        <f>+OperatingFunds!$A$11</f>
        <v>375</v>
      </c>
      <c r="C509" t="s">
        <v>1764</v>
      </c>
      <c r="D509" t="s">
        <v>1768</v>
      </c>
      <c r="E509" s="32">
        <f>INDEX(OperatingFunds!$C$46:$AAF$54,ROW(OperatingFunds!$A$4),ROW(OperatingFunds!A$19))</f>
        <v>33594.240030000001</v>
      </c>
    </row>
    <row r="510" spans="1:5">
      <c r="A510" t="str">
        <f>RIGHT(OperatingFunds!$U$6,4)</f>
        <v>2008</v>
      </c>
      <c r="B510" t="str">
        <f>+OperatingFunds!$A$12</f>
        <v>376</v>
      </c>
      <c r="C510" t="s">
        <v>1764</v>
      </c>
      <c r="D510" t="s">
        <v>1768</v>
      </c>
      <c r="E510" s="32">
        <f>INDEX(OperatingFunds!$C$46:$AAF$54,ROW(OperatingFunds!$A$5),ROW(OperatingFunds!A$19))</f>
        <v>20395.574679999998</v>
      </c>
    </row>
    <row r="511" spans="1:5">
      <c r="A511" t="str">
        <f>RIGHT(OperatingFunds!$U$6,4)</f>
        <v>2008</v>
      </c>
      <c r="B511" t="str">
        <f>+OperatingFunds!$A$13</f>
        <v>380</v>
      </c>
      <c r="C511" t="s">
        <v>1764</v>
      </c>
      <c r="D511" t="s">
        <v>1768</v>
      </c>
      <c r="E511" s="32">
        <f>INDEX(OperatingFunds!$C$46:$AAF$54,ROW(OperatingFunds!$A$6),ROW(OperatingFunds!A$19))</f>
        <v>49078.327530000002</v>
      </c>
    </row>
    <row r="512" spans="1:5">
      <c r="A512" t="str">
        <f>RIGHT(OperatingFunds!$U$6,4)</f>
        <v>2008</v>
      </c>
      <c r="B512" t="str">
        <f>+OperatingFunds!$A$16</f>
        <v>699</v>
      </c>
      <c r="C512" t="s">
        <v>1764</v>
      </c>
      <c r="D512" t="s">
        <v>1768</v>
      </c>
      <c r="E512" s="32">
        <f>INDEX(OperatingFunds!$C$46:$AAF$54,ROW(OperatingFunds!$A$9),ROW(OperatingFunds!A$19))</f>
        <v>232952.50403000001</v>
      </c>
    </row>
    <row r="513" spans="1:5">
      <c r="A513" t="str">
        <f>RIGHT(OperatingFunds!$V$6,4)</f>
        <v>2009</v>
      </c>
      <c r="B513" t="str">
        <f>+OperatingFunds!$A$8</f>
        <v>360</v>
      </c>
      <c r="C513" t="s">
        <v>1764</v>
      </c>
      <c r="D513" t="s">
        <v>1768</v>
      </c>
      <c r="E513" s="32">
        <f>INDEX(OperatingFunds!$C$46:$AAF$54,ROW(OperatingFunds!$A$1),ROW(OperatingFunds!A$20))</f>
        <v>294543.32393000001</v>
      </c>
    </row>
    <row r="514" spans="1:5">
      <c r="A514" t="str">
        <f>RIGHT(OperatingFunds!$V$6,4)</f>
        <v>2009</v>
      </c>
      <c r="B514" t="str">
        <f>+OperatingFunds!$A$9</f>
        <v>365</v>
      </c>
      <c r="C514" t="s">
        <v>1764</v>
      </c>
      <c r="D514" t="s">
        <v>1768</v>
      </c>
      <c r="E514" s="32">
        <f>INDEX(OperatingFunds!$C$46:$AAF$54,ROW(OperatingFunds!$A$2),ROW(OperatingFunds!A$20))</f>
        <v>132519.50072000001</v>
      </c>
    </row>
    <row r="515" spans="1:5">
      <c r="A515" t="str">
        <f>RIGHT(OperatingFunds!$V$6,4)</f>
        <v>2009</v>
      </c>
      <c r="B515" t="str">
        <f>+OperatingFunds!$A$10</f>
        <v>370</v>
      </c>
      <c r="C515" t="s">
        <v>1764</v>
      </c>
      <c r="D515" t="s">
        <v>1768</v>
      </c>
      <c r="E515" s="32">
        <f>INDEX(OperatingFunds!$C$46:$AAF$54,ROW(OperatingFunds!$A$3),ROW(OperatingFunds!A$20))</f>
        <v>36890.347950000003</v>
      </c>
    </row>
    <row r="516" spans="1:5">
      <c r="A516" t="str">
        <f>RIGHT(OperatingFunds!$V$6,4)</f>
        <v>2009</v>
      </c>
      <c r="B516" t="str">
        <f>+OperatingFunds!$A$11</f>
        <v>375</v>
      </c>
      <c r="C516" t="s">
        <v>1764</v>
      </c>
      <c r="D516" t="s">
        <v>1768</v>
      </c>
      <c r="E516" s="32">
        <f>INDEX(OperatingFunds!$C$46:$AAF$54,ROW(OperatingFunds!$A$4),ROW(OperatingFunds!A$20))</f>
        <v>37189.561750000001</v>
      </c>
    </row>
    <row r="517" spans="1:5">
      <c r="A517" t="str">
        <f>RIGHT(OperatingFunds!$V$6,4)</f>
        <v>2009</v>
      </c>
      <c r="B517" t="str">
        <f>+OperatingFunds!$A$12</f>
        <v>376</v>
      </c>
      <c r="C517" t="s">
        <v>1764</v>
      </c>
      <c r="D517" t="s">
        <v>1768</v>
      </c>
      <c r="E517" s="32">
        <f>INDEX(OperatingFunds!$C$46:$AAF$54,ROW(OperatingFunds!$A$5),ROW(OperatingFunds!A$20))</f>
        <v>24487.150119999998</v>
      </c>
    </row>
    <row r="518" spans="1:5">
      <c r="A518" t="str">
        <f>RIGHT(OperatingFunds!$V$6,4)</f>
        <v>2009</v>
      </c>
      <c r="B518" t="str">
        <f>+OperatingFunds!$A$13</f>
        <v>380</v>
      </c>
      <c r="C518" t="s">
        <v>1764</v>
      </c>
      <c r="D518" t="s">
        <v>1768</v>
      </c>
      <c r="E518" s="32">
        <f>INDEX(OperatingFunds!$C$46:$AAF$54,ROW(OperatingFunds!$A$6),ROW(OperatingFunds!A$20))</f>
        <v>51612.887690000003</v>
      </c>
    </row>
    <row r="519" spans="1:5">
      <c r="A519" t="str">
        <f>RIGHT(OperatingFunds!$V$6,4)</f>
        <v>2009</v>
      </c>
      <c r="B519" t="str">
        <f>+OperatingFunds!$A$16</f>
        <v>699</v>
      </c>
      <c r="C519" t="s">
        <v>1764</v>
      </c>
      <c r="D519" t="s">
        <v>1768</v>
      </c>
      <c r="E519" s="32">
        <f>INDEX(OperatingFunds!$C$46:$AAF$54,ROW(OperatingFunds!$A$9),ROW(OperatingFunds!A$20))</f>
        <v>237174.22628</v>
      </c>
    </row>
    <row r="520" spans="1:5">
      <c r="A520" t="str">
        <f>RIGHT(OperatingFunds!$W$6,4)</f>
        <v>2010</v>
      </c>
      <c r="B520" t="str">
        <f>+OperatingFunds!$A$8</f>
        <v>360</v>
      </c>
      <c r="C520" t="s">
        <v>1764</v>
      </c>
      <c r="D520" t="s">
        <v>1768</v>
      </c>
      <c r="E520" s="32" t="e">
        <f>INDEX(OperatingFunds!$C$46:$AAF$54,ROW(OperatingFunds!$A$1),ROW(OperatingFunds!#REF!))</f>
        <v>#REF!</v>
      </c>
    </row>
    <row r="521" spans="1:5">
      <c r="A521" t="str">
        <f>RIGHT(OperatingFunds!$W$6,4)</f>
        <v>2010</v>
      </c>
      <c r="B521" t="str">
        <f>+OperatingFunds!$A$9</f>
        <v>365</v>
      </c>
      <c r="C521" t="s">
        <v>1764</v>
      </c>
      <c r="D521" t="s">
        <v>1768</v>
      </c>
      <c r="E521" s="32" t="e">
        <f>INDEX(OperatingFunds!$C$46:$AAF$54,ROW(OperatingFunds!$A$2),ROW(OperatingFunds!#REF!))</f>
        <v>#REF!</v>
      </c>
    </row>
    <row r="522" spans="1:5">
      <c r="A522" t="str">
        <f>RIGHT(OperatingFunds!$W$6,4)</f>
        <v>2010</v>
      </c>
      <c r="B522" t="str">
        <f>+OperatingFunds!$A$10</f>
        <v>370</v>
      </c>
      <c r="C522" t="s">
        <v>1764</v>
      </c>
      <c r="D522" t="s">
        <v>1768</v>
      </c>
      <c r="E522" s="32" t="e">
        <f>INDEX(OperatingFunds!$C$46:$AAF$54,ROW(OperatingFunds!$A$3),ROW(OperatingFunds!#REF!))</f>
        <v>#REF!</v>
      </c>
    </row>
    <row r="523" spans="1:5">
      <c r="A523" t="str">
        <f>RIGHT(OperatingFunds!$W$6,4)</f>
        <v>2010</v>
      </c>
      <c r="B523" t="str">
        <f>+OperatingFunds!$A$11</f>
        <v>375</v>
      </c>
      <c r="C523" t="s">
        <v>1764</v>
      </c>
      <c r="D523" t="s">
        <v>1768</v>
      </c>
      <c r="E523" s="32" t="e">
        <f>INDEX(OperatingFunds!$C$46:$AAF$54,ROW(OperatingFunds!$A$4),ROW(OperatingFunds!#REF!))</f>
        <v>#REF!</v>
      </c>
    </row>
    <row r="524" spans="1:5">
      <c r="A524" t="str">
        <f>RIGHT(OperatingFunds!$W$6,4)</f>
        <v>2010</v>
      </c>
      <c r="B524" t="str">
        <f>+OperatingFunds!$A$12</f>
        <v>376</v>
      </c>
      <c r="C524" t="s">
        <v>1764</v>
      </c>
      <c r="D524" t="s">
        <v>1768</v>
      </c>
      <c r="E524" s="32" t="e">
        <f>INDEX(OperatingFunds!$C$46:$AAF$54,ROW(OperatingFunds!$A$5),ROW(OperatingFunds!#REF!))</f>
        <v>#REF!</v>
      </c>
    </row>
    <row r="525" spans="1:5">
      <c r="A525" t="str">
        <f>RIGHT(OperatingFunds!$W$6,4)</f>
        <v>2010</v>
      </c>
      <c r="B525" t="str">
        <f>+OperatingFunds!$A$13</f>
        <v>380</v>
      </c>
      <c r="C525" t="s">
        <v>1764</v>
      </c>
      <c r="D525" t="s">
        <v>1768</v>
      </c>
      <c r="E525" s="32" t="e">
        <f>INDEX(OperatingFunds!$C$46:$AAF$54,ROW(OperatingFunds!$A$6),ROW(OperatingFunds!#REF!))</f>
        <v>#REF!</v>
      </c>
    </row>
    <row r="526" spans="1:5">
      <c r="A526" t="str">
        <f>RIGHT(OperatingFunds!$W$6,4)</f>
        <v>2010</v>
      </c>
      <c r="B526" t="str">
        <f>+OperatingFunds!$A$16</f>
        <v>699</v>
      </c>
      <c r="C526" t="s">
        <v>1764</v>
      </c>
      <c r="D526" t="s">
        <v>1768</v>
      </c>
      <c r="E526" s="32" t="e">
        <f>INDEX(OperatingFunds!$C$46:$AAF$54,ROW(OperatingFunds!$A$9),ROW(OperatingFunds!#REF!))</f>
        <v>#REF!</v>
      </c>
    </row>
    <row r="527" spans="1:5">
      <c r="A527" t="str">
        <f>RIGHT(OperatingFunds!$X$6,4)</f>
        <v>2011</v>
      </c>
      <c r="B527" t="str">
        <f>+OperatingFunds!$A$8</f>
        <v>360</v>
      </c>
      <c r="C527" t="s">
        <v>1764</v>
      </c>
      <c r="D527" t="s">
        <v>1768</v>
      </c>
      <c r="E527" s="32">
        <f>INDEX(OperatingFunds!$C$46:$AAF$54,ROW(OperatingFunds!$A$1),ROW(OperatingFunds!A$21))</f>
        <v>297368.74362999998</v>
      </c>
    </row>
    <row r="528" spans="1:5">
      <c r="A528" t="str">
        <f>RIGHT(OperatingFunds!$X$6,4)</f>
        <v>2011</v>
      </c>
      <c r="B528" t="str">
        <f>+OperatingFunds!$A$9</f>
        <v>365</v>
      </c>
      <c r="C528" t="s">
        <v>1764</v>
      </c>
      <c r="D528" t="s">
        <v>1768</v>
      </c>
      <c r="E528" s="32">
        <f>INDEX(OperatingFunds!$C$46:$AAF$54,ROW(OperatingFunds!$A$2),ROW(OperatingFunds!A$21))</f>
        <v>147233.98788999999</v>
      </c>
    </row>
    <row r="529" spans="1:5">
      <c r="A529" t="str">
        <f>RIGHT(OperatingFunds!$X$6,4)</f>
        <v>2011</v>
      </c>
      <c r="B529" t="str">
        <f>+OperatingFunds!$A$10</f>
        <v>370</v>
      </c>
      <c r="C529" t="s">
        <v>1764</v>
      </c>
      <c r="D529" t="s">
        <v>1768</v>
      </c>
      <c r="E529" s="32">
        <f>INDEX(OperatingFunds!$C$46:$AAF$54,ROW(OperatingFunds!$A$3),ROW(OperatingFunds!A$21))</f>
        <v>41774.249490000002</v>
      </c>
    </row>
    <row r="530" spans="1:5">
      <c r="A530" t="str">
        <f>RIGHT(OperatingFunds!$X$6,4)</f>
        <v>2011</v>
      </c>
      <c r="B530" t="str">
        <f>+OperatingFunds!$A$11</f>
        <v>375</v>
      </c>
      <c r="C530" t="s">
        <v>1764</v>
      </c>
      <c r="D530" t="s">
        <v>1768</v>
      </c>
      <c r="E530" s="32">
        <f>INDEX(OperatingFunds!$C$46:$AAF$54,ROW(OperatingFunds!$A$4),ROW(OperatingFunds!A$21))</f>
        <v>45096.36133</v>
      </c>
    </row>
    <row r="531" spans="1:5">
      <c r="A531" t="str">
        <f>RIGHT(OperatingFunds!$X$6,4)</f>
        <v>2011</v>
      </c>
      <c r="B531" t="str">
        <f>+OperatingFunds!$A$12</f>
        <v>376</v>
      </c>
      <c r="C531" t="s">
        <v>1764</v>
      </c>
      <c r="D531" t="s">
        <v>1768</v>
      </c>
      <c r="E531" s="32">
        <f>INDEX(OperatingFunds!$C$46:$AAF$54,ROW(OperatingFunds!$A$5),ROW(OperatingFunds!A$21))</f>
        <v>26162.580919999997</v>
      </c>
    </row>
    <row r="532" spans="1:5">
      <c r="A532" t="str">
        <f>RIGHT(OperatingFunds!$X$6,4)</f>
        <v>2011</v>
      </c>
      <c r="B532" t="str">
        <f>+OperatingFunds!$A$13</f>
        <v>380</v>
      </c>
      <c r="C532" t="s">
        <v>1764</v>
      </c>
      <c r="D532" t="s">
        <v>1768</v>
      </c>
      <c r="E532" s="32">
        <f>INDEX(OperatingFunds!$C$46:$AAF$54,ROW(OperatingFunds!$A$6),ROW(OperatingFunds!A$21))</f>
        <v>67469.161890000003</v>
      </c>
    </row>
    <row r="533" spans="1:5">
      <c r="A533" t="str">
        <f>RIGHT(OperatingFunds!$X$6,4)</f>
        <v>2011</v>
      </c>
      <c r="B533" t="str">
        <f>+OperatingFunds!$A$16</f>
        <v>699</v>
      </c>
      <c r="C533" t="s">
        <v>1764</v>
      </c>
      <c r="D533" t="s">
        <v>1768</v>
      </c>
      <c r="E533" s="32">
        <f>INDEX(OperatingFunds!$C$46:$AAF$54,ROW(OperatingFunds!$A$9),ROW(OperatingFunds!A$21))</f>
        <v>257436.95342999997</v>
      </c>
    </row>
    <row r="534" spans="1:5">
      <c r="A534" t="str">
        <f>RIGHT(OperatingFunds!$Y$6,4)</f>
        <v>2012</v>
      </c>
      <c r="B534" t="str">
        <f>+OperatingFunds!$A$8</f>
        <v>360</v>
      </c>
      <c r="C534" t="s">
        <v>1764</v>
      </c>
      <c r="D534" t="s">
        <v>1768</v>
      </c>
      <c r="E534" s="32">
        <f>INDEX(OperatingFunds!$C$46:$AAF$54,ROW(OperatingFunds!$A$1),ROW(OperatingFunds!A$22))</f>
        <v>419606.55573000002</v>
      </c>
    </row>
    <row r="535" spans="1:5">
      <c r="A535" t="str">
        <f>RIGHT(OperatingFunds!$Y$6,4)</f>
        <v>2012</v>
      </c>
      <c r="B535" t="str">
        <f>+OperatingFunds!$A$9</f>
        <v>365</v>
      </c>
      <c r="C535" t="s">
        <v>1764</v>
      </c>
      <c r="D535" t="s">
        <v>1768</v>
      </c>
      <c r="E535" s="32">
        <f>INDEX(OperatingFunds!$C$46:$AAF$54,ROW(OperatingFunds!$A$2),ROW(OperatingFunds!A$22))</f>
        <v>157946.72203999999</v>
      </c>
    </row>
    <row r="536" spans="1:5">
      <c r="A536" t="str">
        <f>RIGHT(OperatingFunds!$Y$6,4)</f>
        <v>2012</v>
      </c>
      <c r="B536" t="str">
        <f>+OperatingFunds!$A$10</f>
        <v>370</v>
      </c>
      <c r="C536" t="s">
        <v>1764</v>
      </c>
      <c r="D536" t="s">
        <v>1768</v>
      </c>
      <c r="E536" s="32">
        <f>INDEX(OperatingFunds!$C$46:$AAF$54,ROW(OperatingFunds!$A$3),ROW(OperatingFunds!A$22))</f>
        <v>43719.018549999993</v>
      </c>
    </row>
    <row r="537" spans="1:5">
      <c r="A537" t="str">
        <f>RIGHT(OperatingFunds!$Y$6,4)</f>
        <v>2012</v>
      </c>
      <c r="B537" t="str">
        <f>+OperatingFunds!$A$11</f>
        <v>375</v>
      </c>
      <c r="C537" t="s">
        <v>1764</v>
      </c>
      <c r="D537" t="s">
        <v>1768</v>
      </c>
      <c r="E537" s="32">
        <f>INDEX(OperatingFunds!$C$46:$AAF$54,ROW(OperatingFunds!$A$4),ROW(OperatingFunds!A$22))</f>
        <v>45630.175889999999</v>
      </c>
    </row>
    <row r="538" spans="1:5">
      <c r="A538" t="str">
        <f>RIGHT(OperatingFunds!$Y$6,4)</f>
        <v>2012</v>
      </c>
      <c r="B538" t="str">
        <f>+OperatingFunds!$A$12</f>
        <v>376</v>
      </c>
      <c r="C538" t="s">
        <v>1764</v>
      </c>
      <c r="D538" t="s">
        <v>1768</v>
      </c>
      <c r="E538" s="32">
        <f>INDEX(OperatingFunds!$C$46:$AAF$54,ROW(OperatingFunds!$A$5),ROW(OperatingFunds!A$22))</f>
        <v>30020.329180000001</v>
      </c>
    </row>
    <row r="539" spans="1:5">
      <c r="A539" t="str">
        <f>RIGHT(OperatingFunds!$Y$6,4)</f>
        <v>2012</v>
      </c>
      <c r="B539" t="str">
        <f>+OperatingFunds!$A$13</f>
        <v>380</v>
      </c>
      <c r="C539" t="s">
        <v>1764</v>
      </c>
      <c r="D539" t="s">
        <v>1768</v>
      </c>
      <c r="E539" s="32">
        <f>INDEX(OperatingFunds!$C$46:$AAF$54,ROW(OperatingFunds!$A$6),ROW(OperatingFunds!A$22))</f>
        <v>67662.909019999992</v>
      </c>
    </row>
    <row r="540" spans="1:5">
      <c r="A540" t="str">
        <f>RIGHT(OperatingFunds!$Y$6,4)</f>
        <v>2012</v>
      </c>
      <c r="B540" t="str">
        <f>+OperatingFunds!$A$16</f>
        <v>699</v>
      </c>
      <c r="C540" t="s">
        <v>1764</v>
      </c>
      <c r="D540" t="s">
        <v>1768</v>
      </c>
      <c r="E540" s="32">
        <f>INDEX(OperatingFunds!$C$46:$AAF$54,ROW(OperatingFunds!$A$9),ROW(OperatingFunds!A$22))</f>
        <v>292708.76870000002</v>
      </c>
    </row>
    <row r="541" spans="1:5">
      <c r="A541" t="str">
        <f>RIGHT(OperatingFunds!$Z$6,4)</f>
        <v>2013</v>
      </c>
      <c r="B541" t="str">
        <f>+OperatingFunds!$A$8</f>
        <v>360</v>
      </c>
      <c r="C541" t="s">
        <v>1764</v>
      </c>
      <c r="D541" t="s">
        <v>1768</v>
      </c>
      <c r="E541" s="32">
        <f>INDEX(OperatingFunds!$C$46:$AAF$54,ROW(OperatingFunds!$A$1),ROW(OperatingFunds!A$23))</f>
        <v>453353.42050000001</v>
      </c>
    </row>
    <row r="542" spans="1:5">
      <c r="A542" t="str">
        <f>RIGHT(OperatingFunds!$Z$6,4)</f>
        <v>2013</v>
      </c>
      <c r="B542" t="str">
        <f>+OperatingFunds!$A$9</f>
        <v>365</v>
      </c>
      <c r="C542" t="s">
        <v>1764</v>
      </c>
      <c r="D542" t="s">
        <v>1768</v>
      </c>
      <c r="E542" s="32">
        <f>INDEX(OperatingFunds!$C$46:$AAF$54,ROW(OperatingFunds!$A$2),ROW(OperatingFunds!A$23))</f>
        <v>209361.64807</v>
      </c>
    </row>
    <row r="543" spans="1:5">
      <c r="A543" t="str">
        <f>RIGHT(OperatingFunds!$Z$6,4)</f>
        <v>2013</v>
      </c>
      <c r="B543" t="str">
        <f>+OperatingFunds!$A$10</f>
        <v>370</v>
      </c>
      <c r="C543" t="s">
        <v>1764</v>
      </c>
      <c r="D543" t="s">
        <v>1768</v>
      </c>
      <c r="E543" s="32">
        <f>INDEX(OperatingFunds!$C$46:$AAF$54,ROW(OperatingFunds!$A$3),ROW(OperatingFunds!A$23))</f>
        <v>55052.933520000006</v>
      </c>
    </row>
    <row r="544" spans="1:5">
      <c r="A544" t="str">
        <f>RIGHT(OperatingFunds!$Z$6,4)</f>
        <v>2013</v>
      </c>
      <c r="B544" t="str">
        <f>+OperatingFunds!$A$11</f>
        <v>375</v>
      </c>
      <c r="C544" t="s">
        <v>1764</v>
      </c>
      <c r="D544" t="s">
        <v>1768</v>
      </c>
      <c r="E544" s="32">
        <f>INDEX(OperatingFunds!$C$46:$AAF$54,ROW(OperatingFunds!$A$4),ROW(OperatingFunds!A$23))</f>
        <v>57591.834000000003</v>
      </c>
    </row>
    <row r="545" spans="1:5">
      <c r="A545" t="str">
        <f>RIGHT(OperatingFunds!$Z$6,4)</f>
        <v>2013</v>
      </c>
      <c r="B545" t="str">
        <f>+OperatingFunds!$A$12</f>
        <v>376</v>
      </c>
      <c r="C545" t="s">
        <v>1764</v>
      </c>
      <c r="D545" t="s">
        <v>1768</v>
      </c>
      <c r="E545" s="32">
        <f>INDEX(OperatingFunds!$C$46:$AAF$54,ROW(OperatingFunds!$A$5),ROW(OperatingFunds!A$23))</f>
        <v>33544.503109999998</v>
      </c>
    </row>
    <row r="546" spans="1:5">
      <c r="A546" t="str">
        <f>RIGHT(OperatingFunds!$Z$6,4)</f>
        <v>2013</v>
      </c>
      <c r="B546" t="str">
        <f>+OperatingFunds!$A$13</f>
        <v>380</v>
      </c>
      <c r="C546" t="s">
        <v>1764</v>
      </c>
      <c r="D546" t="s">
        <v>1768</v>
      </c>
      <c r="E546" s="32">
        <f>INDEX(OperatingFunds!$C$46:$AAF$54,ROW(OperatingFunds!$A$6),ROW(OperatingFunds!A$23))</f>
        <v>78671.89145000001</v>
      </c>
    </row>
    <row r="547" spans="1:5">
      <c r="A547" t="str">
        <f>RIGHT(OperatingFunds!$Z$6,4)</f>
        <v>2013</v>
      </c>
      <c r="B547" t="str">
        <f>+OperatingFunds!$A$16</f>
        <v>699</v>
      </c>
      <c r="C547" t="s">
        <v>1764</v>
      </c>
      <c r="D547" t="s">
        <v>1768</v>
      </c>
      <c r="E547" s="32">
        <f>INDEX(OperatingFunds!$C$46:$AAF$54,ROW(OperatingFunds!$A$9),ROW(OperatingFunds!A$23))</f>
        <v>307622.98048000003</v>
      </c>
    </row>
    <row r="548" spans="1:5">
      <c r="A548" t="str">
        <f>RIGHT(OperatingFunds!$AA$6,4)</f>
        <v>2014</v>
      </c>
      <c r="B548" t="str">
        <f>+OperatingFunds!$A$8</f>
        <v>360</v>
      </c>
      <c r="C548" t="s">
        <v>1764</v>
      </c>
      <c r="D548" t="s">
        <v>1768</v>
      </c>
      <c r="E548" s="32">
        <f>INDEX(OperatingFunds!$C$46:$AAF$54,ROW(OperatingFunds!$A$1),ROW(OperatingFunds!A$24))</f>
        <v>533580.80108</v>
      </c>
    </row>
    <row r="549" spans="1:5">
      <c r="A549" t="str">
        <f>RIGHT(OperatingFunds!$AA$6,4)</f>
        <v>2014</v>
      </c>
      <c r="B549" t="str">
        <f>+OperatingFunds!$A$9</f>
        <v>365</v>
      </c>
      <c r="C549" t="s">
        <v>1764</v>
      </c>
      <c r="D549" t="s">
        <v>1768</v>
      </c>
      <c r="E549" s="32">
        <f>INDEX(OperatingFunds!$C$46:$AAF$54,ROW(OperatingFunds!$A$2),ROW(OperatingFunds!A$24))</f>
        <v>230253.0846</v>
      </c>
    </row>
    <row r="550" spans="1:5">
      <c r="A550" t="str">
        <f>RIGHT(OperatingFunds!$AA$6,4)</f>
        <v>2014</v>
      </c>
      <c r="B550" t="str">
        <f>+OperatingFunds!$A$10</f>
        <v>370</v>
      </c>
      <c r="C550" t="s">
        <v>1764</v>
      </c>
      <c r="D550" t="s">
        <v>1768</v>
      </c>
      <c r="E550" s="32">
        <f>INDEX(OperatingFunds!$C$46:$AAF$54,ROW(OperatingFunds!$A$3),ROW(OperatingFunds!A$24))</f>
        <v>58752.223740000001</v>
      </c>
    </row>
    <row r="551" spans="1:5">
      <c r="A551" t="str">
        <f>RIGHT(OperatingFunds!$AA$6,4)</f>
        <v>2014</v>
      </c>
      <c r="B551" t="str">
        <f>+OperatingFunds!$A$11</f>
        <v>375</v>
      </c>
      <c r="C551" t="s">
        <v>1764</v>
      </c>
      <c r="D551" t="s">
        <v>1768</v>
      </c>
      <c r="E551" s="32">
        <f>INDEX(OperatingFunds!$C$46:$AAF$54,ROW(OperatingFunds!$A$4),ROW(OperatingFunds!A$24))</f>
        <v>59140.264950000004</v>
      </c>
    </row>
    <row r="552" spans="1:5">
      <c r="A552" t="str">
        <f>RIGHT(OperatingFunds!$AA$6,4)</f>
        <v>2014</v>
      </c>
      <c r="B552" t="str">
        <f>+OperatingFunds!$A$12</f>
        <v>376</v>
      </c>
      <c r="C552" t="s">
        <v>1764</v>
      </c>
      <c r="D552" t="s">
        <v>1768</v>
      </c>
      <c r="E552" s="32">
        <f>INDEX(OperatingFunds!$C$46:$AAF$54,ROW(OperatingFunds!$A$5),ROW(OperatingFunds!A$24))</f>
        <v>33837.467629999999</v>
      </c>
    </row>
    <row r="553" spans="1:5">
      <c r="A553" t="str">
        <f>RIGHT(OperatingFunds!$AA$6,4)</f>
        <v>2014</v>
      </c>
      <c r="B553" t="str">
        <f>+OperatingFunds!$A$13</f>
        <v>380</v>
      </c>
      <c r="C553" t="s">
        <v>1764</v>
      </c>
      <c r="D553" t="s">
        <v>1768</v>
      </c>
      <c r="E553" s="32">
        <f>INDEX(OperatingFunds!$C$46:$AAF$54,ROW(OperatingFunds!$A$6),ROW(OperatingFunds!A$24))</f>
        <v>83921.379890000011</v>
      </c>
    </row>
    <row r="554" spans="1:5">
      <c r="A554" t="str">
        <f>RIGHT(OperatingFunds!$AA$6,4)</f>
        <v>2014</v>
      </c>
      <c r="B554" t="str">
        <f>+OperatingFunds!$A$16</f>
        <v>699</v>
      </c>
      <c r="C554" t="s">
        <v>1764</v>
      </c>
      <c r="D554" t="s">
        <v>1768</v>
      </c>
      <c r="E554" s="32">
        <f>INDEX(OperatingFunds!$C$46:$AAF$54,ROW(OperatingFunds!$A$9),ROW(OperatingFunds!A$24))</f>
        <v>334831.68521999998</v>
      </c>
    </row>
    <row r="555" spans="1:5">
      <c r="A555" t="str">
        <f>RIGHT(OperatingFunds!$AB$6,4)</f>
        <v>2015</v>
      </c>
      <c r="B555" t="str">
        <f>+OperatingFunds!$A$8</f>
        <v>360</v>
      </c>
      <c r="C555" t="s">
        <v>1764</v>
      </c>
      <c r="D555" t="s">
        <v>1768</v>
      </c>
      <c r="E555" s="32">
        <f>INDEX(OperatingFunds!$C$46:$AAF$54,ROW(OperatingFunds!$A$1),ROW(OperatingFunds!A$25))</f>
        <v>483990.68899</v>
      </c>
    </row>
    <row r="556" spans="1:5">
      <c r="A556" t="str">
        <f>RIGHT(OperatingFunds!$AB$6,4)</f>
        <v>2015</v>
      </c>
      <c r="B556" t="str">
        <f>+OperatingFunds!$A$9</f>
        <v>365</v>
      </c>
      <c r="C556" t="s">
        <v>1764</v>
      </c>
      <c r="D556" t="s">
        <v>1768</v>
      </c>
      <c r="E556" s="32">
        <f>INDEX(OperatingFunds!$C$46:$AAF$54,ROW(OperatingFunds!$A$2),ROW(OperatingFunds!A$25))</f>
        <v>239482.59240999998</v>
      </c>
    </row>
    <row r="557" spans="1:5">
      <c r="A557" t="str">
        <f>RIGHT(OperatingFunds!$AB$6,4)</f>
        <v>2015</v>
      </c>
      <c r="B557" t="str">
        <f>+OperatingFunds!$A$10</f>
        <v>370</v>
      </c>
      <c r="C557" t="s">
        <v>1764</v>
      </c>
      <c r="D557" t="s">
        <v>1768</v>
      </c>
      <c r="E557" s="32">
        <f>INDEX(OperatingFunds!$C$46:$AAF$54,ROW(OperatingFunds!$A$3),ROW(OperatingFunds!A$25))</f>
        <v>61393.748319999999</v>
      </c>
    </row>
    <row r="558" spans="1:5">
      <c r="A558" t="str">
        <f>RIGHT(OperatingFunds!$AB$6,4)</f>
        <v>2015</v>
      </c>
      <c r="B558" t="str">
        <f>+OperatingFunds!$A$11</f>
        <v>375</v>
      </c>
      <c r="C558" t="s">
        <v>1764</v>
      </c>
      <c r="D558" t="s">
        <v>1768</v>
      </c>
      <c r="E558" s="32">
        <f>INDEX(OperatingFunds!$C$46:$AAF$54,ROW(OperatingFunds!$A$4),ROW(OperatingFunds!A$25))</f>
        <v>64999.810939999996</v>
      </c>
    </row>
    <row r="559" spans="1:5">
      <c r="A559" t="str">
        <f>RIGHT(OperatingFunds!$AB$6,4)</f>
        <v>2015</v>
      </c>
      <c r="B559" t="str">
        <f>+OperatingFunds!$A$12</f>
        <v>376</v>
      </c>
      <c r="C559" t="s">
        <v>1764</v>
      </c>
      <c r="D559" t="s">
        <v>1768</v>
      </c>
      <c r="E559" s="32">
        <f>INDEX(OperatingFunds!$C$46:$AAF$54,ROW(OperatingFunds!$A$5),ROW(OperatingFunds!A$25))</f>
        <v>32829.827590000001</v>
      </c>
    </row>
    <row r="560" spans="1:5">
      <c r="A560" t="str">
        <f>RIGHT(OperatingFunds!$AB$6,4)</f>
        <v>2015</v>
      </c>
      <c r="B560" t="str">
        <f>+OperatingFunds!$A$13</f>
        <v>380</v>
      </c>
      <c r="C560" t="s">
        <v>1764</v>
      </c>
      <c r="D560" t="s">
        <v>1768</v>
      </c>
      <c r="E560" s="32">
        <f>INDEX(OperatingFunds!$C$46:$AAF$54,ROW(OperatingFunds!$A$6),ROW(OperatingFunds!A$25))</f>
        <v>84504.162890000007</v>
      </c>
    </row>
    <row r="561" spans="1:5">
      <c r="A561" t="str">
        <f>RIGHT(OperatingFunds!$AB$6,4)</f>
        <v>2015</v>
      </c>
      <c r="B561" t="str">
        <f>+OperatingFunds!$A$16</f>
        <v>699</v>
      </c>
      <c r="C561" t="s">
        <v>1764</v>
      </c>
      <c r="D561" t="s">
        <v>1768</v>
      </c>
      <c r="E561" s="32">
        <f>INDEX(OperatingFunds!$C$46:$AAF$54,ROW(OperatingFunds!$A$9),ROW(OperatingFunds!A$25))</f>
        <v>348460.49267000001</v>
      </c>
    </row>
    <row r="562" spans="1:5">
      <c r="A562" t="str">
        <f>RIGHT(OperatingFunds!$AC$6,4)</f>
        <v>2016</v>
      </c>
      <c r="B562" t="str">
        <f>+OperatingFunds!$A$8</f>
        <v>360</v>
      </c>
      <c r="C562" t="s">
        <v>1764</v>
      </c>
      <c r="D562" t="s">
        <v>1768</v>
      </c>
      <c r="E562" s="32">
        <f>INDEX(OperatingFunds!$C$46:$AAF$54,ROW(OperatingFunds!$A$1),ROW(OperatingFunds!A$26))</f>
        <v>603008.37087999994</v>
      </c>
    </row>
    <row r="563" spans="1:5">
      <c r="A563" t="str">
        <f>RIGHT(OperatingFunds!$AC$6,4)</f>
        <v>2016</v>
      </c>
      <c r="B563" t="str">
        <f>+OperatingFunds!$A$9</f>
        <v>365</v>
      </c>
      <c r="C563" t="s">
        <v>1764</v>
      </c>
      <c r="D563" t="s">
        <v>1768</v>
      </c>
      <c r="E563" s="32">
        <f>INDEX(OperatingFunds!$C$46:$AAF$54,ROW(OperatingFunds!$A$2),ROW(OperatingFunds!A$26))</f>
        <v>253636.26360000001</v>
      </c>
    </row>
    <row r="564" spans="1:5">
      <c r="A564" t="str">
        <f>RIGHT(OperatingFunds!$AC$6,4)</f>
        <v>2016</v>
      </c>
      <c r="B564" t="str">
        <f>+OperatingFunds!$A$10</f>
        <v>370</v>
      </c>
      <c r="C564" t="s">
        <v>1764</v>
      </c>
      <c r="D564" t="s">
        <v>1768</v>
      </c>
      <c r="E564" s="32">
        <f>INDEX(OperatingFunds!$C$46:$AAF$54,ROW(OperatingFunds!$A$3),ROW(OperatingFunds!A$26))</f>
        <v>68591.747759999998</v>
      </c>
    </row>
    <row r="565" spans="1:5">
      <c r="A565" t="str">
        <f>RIGHT(OperatingFunds!$AC$6,4)</f>
        <v>2016</v>
      </c>
      <c r="B565" t="str">
        <f>+OperatingFunds!$A$11</f>
        <v>375</v>
      </c>
      <c r="C565" t="s">
        <v>1764</v>
      </c>
      <c r="D565" t="s">
        <v>1768</v>
      </c>
      <c r="E565" s="32">
        <f>INDEX(OperatingFunds!$C$46:$AAF$54,ROW(OperatingFunds!$A$4),ROW(OperatingFunds!A$26))</f>
        <v>62238.506329999997</v>
      </c>
    </row>
    <row r="566" spans="1:5">
      <c r="A566" t="str">
        <f>RIGHT(OperatingFunds!$AC$6,4)</f>
        <v>2016</v>
      </c>
      <c r="B566" t="str">
        <f>+OperatingFunds!$A$12</f>
        <v>376</v>
      </c>
      <c r="C566" t="s">
        <v>1764</v>
      </c>
      <c r="D566" t="s">
        <v>1768</v>
      </c>
      <c r="E566" s="32">
        <f>INDEX(OperatingFunds!$C$46:$AAF$54,ROW(OperatingFunds!$A$5),ROW(OperatingFunds!A$26))</f>
        <v>32136.535250000001</v>
      </c>
    </row>
    <row r="567" spans="1:5">
      <c r="A567" t="str">
        <f>RIGHT(OperatingFunds!$AC$6,4)</f>
        <v>2016</v>
      </c>
      <c r="B567" t="str">
        <f>+OperatingFunds!$A$13</f>
        <v>380</v>
      </c>
      <c r="C567" t="s">
        <v>1764</v>
      </c>
      <c r="D567" t="s">
        <v>1768</v>
      </c>
      <c r="E567" s="32">
        <f>INDEX(OperatingFunds!$C$46:$AAF$54,ROW(OperatingFunds!$A$6),ROW(OperatingFunds!A$26))</f>
        <v>90869.549299999999</v>
      </c>
    </row>
    <row r="568" spans="1:5">
      <c r="A568" t="str">
        <f>RIGHT(OperatingFunds!$AC$6,4)</f>
        <v>2016</v>
      </c>
      <c r="B568" t="str">
        <f>+OperatingFunds!$A$16</f>
        <v>699</v>
      </c>
      <c r="C568" t="s">
        <v>1764</v>
      </c>
      <c r="D568" t="s">
        <v>1768</v>
      </c>
      <c r="E568" s="32">
        <f>INDEX(OperatingFunds!$C$46:$AAF$54,ROW(OperatingFunds!$A$9),ROW(OperatingFunds!A$26))</f>
        <v>360091.57946000004</v>
      </c>
    </row>
    <row r="569" spans="1:5">
      <c r="A569" t="str">
        <f>RIGHT(OperatingFunds!$AD$6,4)</f>
        <v>2017</v>
      </c>
      <c r="B569" t="str">
        <f>+OperatingFunds!$A$8</f>
        <v>360</v>
      </c>
      <c r="C569" t="s">
        <v>1764</v>
      </c>
      <c r="D569" t="s">
        <v>1768</v>
      </c>
      <c r="E569" s="32">
        <f>INDEX(OperatingFunds!$C$46:$AAF$54,ROW(OperatingFunds!$A$1),ROW(OperatingFunds!A$27))</f>
        <v>560378.32137999998</v>
      </c>
    </row>
    <row r="570" spans="1:5">
      <c r="A570" t="str">
        <f>RIGHT(OperatingFunds!$AD$6,4)</f>
        <v>2017</v>
      </c>
      <c r="B570" t="str">
        <f>+OperatingFunds!$A$9</f>
        <v>365</v>
      </c>
      <c r="C570" t="s">
        <v>1764</v>
      </c>
      <c r="D570" t="s">
        <v>1768</v>
      </c>
      <c r="E570" s="32">
        <f>INDEX(OperatingFunds!$C$46:$AAF$54,ROW(OperatingFunds!$A$2),ROW(OperatingFunds!A$27))</f>
        <v>266779.50482999999</v>
      </c>
    </row>
    <row r="571" spans="1:5">
      <c r="A571" t="str">
        <f>RIGHT(OperatingFunds!$AD$6,4)</f>
        <v>2017</v>
      </c>
      <c r="B571" t="str">
        <f>+OperatingFunds!$A$10</f>
        <v>370</v>
      </c>
      <c r="C571" t="s">
        <v>1764</v>
      </c>
      <c r="D571" t="s">
        <v>1768</v>
      </c>
      <c r="E571" s="32">
        <f>INDEX(OperatingFunds!$C$46:$AAF$54,ROW(OperatingFunds!$A$3),ROW(OperatingFunds!A$27))</f>
        <v>66424.794710000002</v>
      </c>
    </row>
    <row r="572" spans="1:5">
      <c r="A572" t="str">
        <f>RIGHT(OperatingFunds!$AD$6,4)</f>
        <v>2017</v>
      </c>
      <c r="B572" t="str">
        <f>+OperatingFunds!$A$11</f>
        <v>375</v>
      </c>
      <c r="C572" t="s">
        <v>1764</v>
      </c>
      <c r="D572" t="s">
        <v>1768</v>
      </c>
      <c r="E572" s="32">
        <f>INDEX(OperatingFunds!$C$46:$AAF$54,ROW(OperatingFunds!$A$4),ROW(OperatingFunds!A$27))</f>
        <v>60600.058960000002</v>
      </c>
    </row>
    <row r="573" spans="1:5">
      <c r="A573" t="str">
        <f>RIGHT(OperatingFunds!$AD$6,4)</f>
        <v>2017</v>
      </c>
      <c r="B573" t="str">
        <f>+OperatingFunds!$A$12</f>
        <v>376</v>
      </c>
      <c r="C573" t="s">
        <v>1764</v>
      </c>
      <c r="D573" t="s">
        <v>1768</v>
      </c>
      <c r="E573" s="32">
        <f>INDEX(OperatingFunds!$C$46:$AAF$54,ROW(OperatingFunds!$A$5),ROW(OperatingFunds!A$27))</f>
        <v>41436.917089999995</v>
      </c>
    </row>
    <row r="574" spans="1:5">
      <c r="A574" t="str">
        <f>RIGHT(OperatingFunds!$AD$6,4)</f>
        <v>2017</v>
      </c>
      <c r="B574" t="str">
        <f>+OperatingFunds!$A$13</f>
        <v>380</v>
      </c>
      <c r="C574" t="s">
        <v>1764</v>
      </c>
      <c r="D574" t="s">
        <v>1768</v>
      </c>
      <c r="E574" s="32">
        <f>INDEX(OperatingFunds!$C$46:$AAF$54,ROW(OperatingFunds!$A$6),ROW(OperatingFunds!A$27))</f>
        <v>88267.99656</v>
      </c>
    </row>
    <row r="575" spans="1:5">
      <c r="A575" t="str">
        <f>RIGHT(OperatingFunds!$AD$6,4)</f>
        <v>2017</v>
      </c>
      <c r="B575" t="str">
        <f>+OperatingFunds!$A$16</f>
        <v>699</v>
      </c>
      <c r="C575" t="s">
        <v>1764</v>
      </c>
      <c r="D575" t="s">
        <v>1768</v>
      </c>
      <c r="E575" s="32">
        <f>INDEX(OperatingFunds!$C$46:$AAF$54,ROW(OperatingFunds!$A$9),ROW(OperatingFunds!A$27))</f>
        <v>364486.67595999996</v>
      </c>
    </row>
    <row r="576" spans="1:5">
      <c r="A576" t="str">
        <f>RIGHT(OperatingFunds!$AE$6,4)</f>
        <v>2018</v>
      </c>
      <c r="B576" t="str">
        <f>+OperatingFunds!$A$8</f>
        <v>360</v>
      </c>
      <c r="C576" t="s">
        <v>1763</v>
      </c>
      <c r="D576" t="s">
        <v>1768</v>
      </c>
      <c r="E576" s="32">
        <f>INDEX(OperatingFunds!$C$46:$AAF$54,ROW(OperatingFunds!$A$1),ROW(OperatingFunds!A$28))</f>
        <v>602892.75404999999</v>
      </c>
    </row>
    <row r="577" spans="1:5">
      <c r="A577" t="str">
        <f>RIGHT(OperatingFunds!$AE$6,4)</f>
        <v>2018</v>
      </c>
      <c r="B577" t="str">
        <f>+OperatingFunds!$A$9</f>
        <v>365</v>
      </c>
      <c r="C577" t="s">
        <v>1763</v>
      </c>
      <c r="D577" t="s">
        <v>1768</v>
      </c>
      <c r="E577" s="32">
        <f>INDEX(OperatingFunds!$C$46:$AAF$54,ROW(OperatingFunds!$A$2),ROW(OperatingFunds!A$28))</f>
        <v>225202.24400000001</v>
      </c>
    </row>
    <row r="578" spans="1:5">
      <c r="A578" t="str">
        <f>RIGHT(OperatingFunds!$AE$6,4)</f>
        <v>2018</v>
      </c>
      <c r="B578" t="str">
        <f>+OperatingFunds!$A$10</f>
        <v>370</v>
      </c>
      <c r="C578" t="s">
        <v>1763</v>
      </c>
      <c r="D578" t="s">
        <v>1768</v>
      </c>
      <c r="E578" s="32">
        <f>INDEX(OperatingFunds!$C$46:$AAF$54,ROW(OperatingFunds!$A$3),ROW(OperatingFunds!A$28))</f>
        <v>58330.60297</v>
      </c>
    </row>
    <row r="579" spans="1:5">
      <c r="A579" t="str">
        <f>RIGHT(OperatingFunds!$AE$6,4)</f>
        <v>2018</v>
      </c>
      <c r="B579" t="str">
        <f>+OperatingFunds!$A$11</f>
        <v>375</v>
      </c>
      <c r="C579" t="s">
        <v>1763</v>
      </c>
      <c r="D579" t="s">
        <v>1768</v>
      </c>
      <c r="E579" s="32">
        <f>INDEX(OperatingFunds!$C$46:$AAF$54,ROW(OperatingFunds!$A$4),ROW(OperatingFunds!A$28))</f>
        <v>58655.192620000002</v>
      </c>
    </row>
    <row r="580" spans="1:5">
      <c r="A580" t="str">
        <f>RIGHT(OperatingFunds!$AE$6,4)</f>
        <v>2018</v>
      </c>
      <c r="B580" t="str">
        <f>+OperatingFunds!$A$12</f>
        <v>376</v>
      </c>
      <c r="C580" t="s">
        <v>1763</v>
      </c>
      <c r="D580" t="s">
        <v>1768</v>
      </c>
      <c r="E580" s="32">
        <f>INDEX(OperatingFunds!$C$46:$AAF$54,ROW(OperatingFunds!$A$5),ROW(OperatingFunds!A$28))</f>
        <v>31142.328229999999</v>
      </c>
    </row>
    <row r="581" spans="1:5">
      <c r="A581" t="str">
        <f>RIGHT(OperatingFunds!$AE$6,4)</f>
        <v>2018</v>
      </c>
      <c r="B581" t="str">
        <f>+OperatingFunds!$A$13</f>
        <v>380</v>
      </c>
      <c r="C581" t="s">
        <v>1763</v>
      </c>
      <c r="D581" t="s">
        <v>1768</v>
      </c>
      <c r="E581" s="32">
        <f>INDEX(OperatingFunds!$C$46:$AAF$54,ROW(OperatingFunds!$A$6),ROW(OperatingFunds!A$28))</f>
        <v>86687.813949999996</v>
      </c>
    </row>
    <row r="582" spans="1:5">
      <c r="A582" t="str">
        <f>RIGHT(OperatingFunds!$AE$6,4)</f>
        <v>2018</v>
      </c>
      <c r="B582" t="str">
        <f>+OperatingFunds!$A$16</f>
        <v>699</v>
      </c>
      <c r="C582" t="s">
        <v>1763</v>
      </c>
      <c r="D582" t="s">
        <v>1768</v>
      </c>
      <c r="E582" s="32">
        <f>INDEX(OperatingFunds!$C$46:$AAF$54,ROW(OperatingFunds!$A$9),ROW(OperatingFunds!A$28))</f>
        <v>359122.46596000006</v>
      </c>
    </row>
    <row r="583" spans="1:5">
      <c r="A583" t="str">
        <f>RIGHT(OperatingFunds!$AL$6,4)</f>
        <v>2025</v>
      </c>
      <c r="B583" t="str">
        <f>+OperatingFunds!$A$8</f>
        <v>360</v>
      </c>
      <c r="C583" t="s">
        <v>1764</v>
      </c>
      <c r="D583" t="s">
        <v>1769</v>
      </c>
      <c r="E583" s="32">
        <f>INDEX(OperatingFunds!$C$46:$AAF$54,ROW(OperatingFunds!$A$1),ROW(OperatingFunds!A$29))</f>
        <v>689234.65018</v>
      </c>
    </row>
    <row r="584" spans="1:5">
      <c r="A584" t="str">
        <f>RIGHT(OperatingFunds!$AL$6,4)</f>
        <v>2025</v>
      </c>
      <c r="B584" t="str">
        <f>+OperatingFunds!$A$9</f>
        <v>365</v>
      </c>
      <c r="C584" t="s">
        <v>1764</v>
      </c>
      <c r="D584" t="s">
        <v>1769</v>
      </c>
      <c r="E584" s="32">
        <f>INDEX(OperatingFunds!$C$46:$AAF$54,ROW(OperatingFunds!$A$2),ROW(OperatingFunds!A$29))</f>
        <v>243745.70571000001</v>
      </c>
    </row>
    <row r="585" spans="1:5">
      <c r="A585" t="str">
        <f>RIGHT(OperatingFunds!$AL$6,4)</f>
        <v>2025</v>
      </c>
      <c r="B585" t="str">
        <f>+OperatingFunds!$A$10</f>
        <v>370</v>
      </c>
      <c r="C585" t="s">
        <v>1764</v>
      </c>
      <c r="D585" t="s">
        <v>1769</v>
      </c>
      <c r="E585" s="32">
        <f>INDEX(OperatingFunds!$C$46:$AAF$54,ROW(OperatingFunds!$A$3),ROW(OperatingFunds!A$29))</f>
        <v>61940.408839999996</v>
      </c>
    </row>
    <row r="586" spans="1:5">
      <c r="A586" t="str">
        <f>RIGHT(OperatingFunds!$AL$6,4)</f>
        <v>2025</v>
      </c>
      <c r="B586" t="str">
        <f>+OperatingFunds!$A$11</f>
        <v>375</v>
      </c>
      <c r="C586" t="s">
        <v>1764</v>
      </c>
      <c r="D586" t="s">
        <v>1769</v>
      </c>
      <c r="E586" s="32">
        <f>INDEX(OperatingFunds!$C$46:$AAF$54,ROW(OperatingFunds!$A$4),ROW(OperatingFunds!A$29))</f>
        <v>54139.380410000005</v>
      </c>
    </row>
    <row r="587" spans="1:5">
      <c r="A587" t="str">
        <f>RIGHT(OperatingFunds!$AL$6,4)</f>
        <v>2025</v>
      </c>
      <c r="B587" t="str">
        <f>+OperatingFunds!$A$12</f>
        <v>376</v>
      </c>
      <c r="C587" t="s">
        <v>1764</v>
      </c>
      <c r="D587" t="s">
        <v>1769</v>
      </c>
      <c r="E587" s="32">
        <f>INDEX(OperatingFunds!$C$46:$AAF$54,ROW(OperatingFunds!$A$5),ROW(OperatingFunds!A$29))</f>
        <v>30301.325209999995</v>
      </c>
    </row>
    <row r="588" spans="1:5">
      <c r="A588" t="str">
        <f>RIGHT(OperatingFunds!$AL$6,4)</f>
        <v>2025</v>
      </c>
      <c r="B588" t="str">
        <f>+OperatingFunds!$A$13</f>
        <v>380</v>
      </c>
      <c r="C588" t="s">
        <v>1764</v>
      </c>
      <c r="D588" t="s">
        <v>1769</v>
      </c>
      <c r="E588" s="32">
        <f>INDEX(OperatingFunds!$C$46:$AAF$54,ROW(OperatingFunds!$A$6),ROW(OperatingFunds!A$29))</f>
        <v>90360.874130000011</v>
      </c>
    </row>
    <row r="589" spans="1:5">
      <c r="A589" t="str">
        <f>RIGHT(OperatingFunds!$AL$6,4)</f>
        <v>2025</v>
      </c>
      <c r="B589" t="str">
        <f>+OperatingFunds!$A$16</f>
        <v>699</v>
      </c>
      <c r="C589" t="s">
        <v>1764</v>
      </c>
      <c r="D589" t="s">
        <v>1769</v>
      </c>
      <c r="E589" s="32">
        <f>INDEX(OperatingFunds!$C$46:$AAF$54,ROW(OperatingFunds!$A$9),ROW(OperatingFunds!A$29))</f>
        <v>354787.75024999998</v>
      </c>
    </row>
    <row r="590" spans="1:5">
      <c r="A590" t="str">
        <f>RIGHT(OperatingFunds!$C$6,4)</f>
        <v>1990</v>
      </c>
      <c r="B590" t="str">
        <f>+OperatingFunds!$A$8</f>
        <v>360</v>
      </c>
      <c r="C590" t="s">
        <v>1764</v>
      </c>
      <c r="D590" t="s">
        <v>1770</v>
      </c>
      <c r="E590" s="32">
        <f>INDEX(OperatingFunds!$C$65:$AAF$74,ROW(OperatingFunds!$A$1),ROW(OperatingFunds!A$1))</f>
        <v>237504</v>
      </c>
    </row>
    <row r="591" spans="1:5">
      <c r="A591" t="str">
        <f>RIGHT(OperatingFunds!$C$6,4)</f>
        <v>1990</v>
      </c>
      <c r="B591" t="str">
        <f>+OperatingFunds!$A$9</f>
        <v>365</v>
      </c>
      <c r="C591" t="s">
        <v>1764</v>
      </c>
      <c r="D591" t="s">
        <v>1770</v>
      </c>
      <c r="E591" s="32">
        <f>INDEX(OperatingFunds!$C$65:$AAF$74,ROW(OperatingFunds!$A$2),ROW(OperatingFunds!A$1))</f>
        <v>137061</v>
      </c>
    </row>
    <row r="592" spans="1:5">
      <c r="A592" t="str">
        <f>RIGHT(OperatingFunds!$C$6,4)</f>
        <v>1990</v>
      </c>
      <c r="B592" t="str">
        <f>+OperatingFunds!$A$10</f>
        <v>370</v>
      </c>
      <c r="C592" t="s">
        <v>1764</v>
      </c>
      <c r="D592" t="s">
        <v>1770</v>
      </c>
      <c r="E592" s="32">
        <f>INDEX(OperatingFunds!$C$65:$AAF$74,ROW(OperatingFunds!$A$3),ROW(OperatingFunds!A$1))</f>
        <v>34419</v>
      </c>
    </row>
    <row r="593" spans="1:5">
      <c r="A593" t="str">
        <f>RIGHT(OperatingFunds!$C$6,4)</f>
        <v>1990</v>
      </c>
      <c r="B593" t="str">
        <f>+OperatingFunds!$A$11</f>
        <v>375</v>
      </c>
      <c r="C593" t="s">
        <v>1764</v>
      </c>
      <c r="D593" t="s">
        <v>1770</v>
      </c>
      <c r="E593" s="32">
        <f>INDEX(OperatingFunds!$C$65:$AAF$74,ROW(OperatingFunds!$A$4),ROW(OperatingFunds!A$1))</f>
        <v>29139</v>
      </c>
    </row>
    <row r="594" spans="1:5">
      <c r="A594" t="str">
        <f>RIGHT(OperatingFunds!$C$6,4)</f>
        <v>1990</v>
      </c>
      <c r="B594" t="str">
        <f>+OperatingFunds!$A$12</f>
        <v>376</v>
      </c>
      <c r="C594" t="s">
        <v>1764</v>
      </c>
      <c r="D594" t="s">
        <v>1770</v>
      </c>
      <c r="E594" s="32">
        <f>INDEX(OperatingFunds!$C$65:$AAF$74,ROW(OperatingFunds!$A$5),ROW(OperatingFunds!A$1))</f>
        <v>17876</v>
      </c>
    </row>
    <row r="595" spans="1:5">
      <c r="A595" t="str">
        <f>RIGHT(OperatingFunds!$C$6,4)</f>
        <v>1990</v>
      </c>
      <c r="B595" t="str">
        <f>+OperatingFunds!$A$13</f>
        <v>380</v>
      </c>
      <c r="C595" t="s">
        <v>1764</v>
      </c>
      <c r="D595" t="s">
        <v>1770</v>
      </c>
      <c r="E595" s="32">
        <f>INDEX(OperatingFunds!$C$65:$AAF$74,ROW(OperatingFunds!$A$6),ROW(OperatingFunds!A$1))</f>
        <v>37940</v>
      </c>
    </row>
    <row r="596" spans="1:5">
      <c r="A596" t="str">
        <f>RIGHT(OperatingFunds!$C$6,4)</f>
        <v>1990</v>
      </c>
      <c r="B596" t="str">
        <f>+OperatingFunds!$A$16</f>
        <v>699</v>
      </c>
      <c r="C596" t="s">
        <v>1764</v>
      </c>
      <c r="D596" t="s">
        <v>1770</v>
      </c>
      <c r="E596" s="32">
        <f>INDEX(OperatingFunds!$C$65:$AAF$74,ROW(OperatingFunds!$A$9),ROW(OperatingFunds!A$1))</f>
        <v>299035</v>
      </c>
    </row>
    <row r="597" spans="1:5">
      <c r="A597" t="str">
        <f>RIGHT(OperatingFunds!$C$6,4)</f>
        <v>1990</v>
      </c>
      <c r="B597" t="str">
        <f>+OperatingFunds!$A$17</f>
        <v>340</v>
      </c>
      <c r="C597" t="s">
        <v>1764</v>
      </c>
      <c r="D597" t="s">
        <v>1770</v>
      </c>
      <c r="E597" s="32">
        <f>INDEX(OperatingFunds!$C$65:$AAF$74,ROW(OperatingFunds!$A$10),ROW(OperatingFunds!A$1))</f>
        <v>29537</v>
      </c>
    </row>
    <row r="598" spans="1:5">
      <c r="A598" t="str">
        <f>RIGHT(OperatingFunds!$D$6,4)</f>
        <v>1991</v>
      </c>
      <c r="B598" t="str">
        <f>+OperatingFunds!$A$8</f>
        <v>360</v>
      </c>
      <c r="C598" t="s">
        <v>1764</v>
      </c>
      <c r="D598" t="s">
        <v>1770</v>
      </c>
      <c r="E598" s="32">
        <f>INDEX(OperatingFunds!$C$65:$AAF$74,ROW(OperatingFunds!$A$1),ROW(OperatingFunds!A$2))</f>
        <v>265961</v>
      </c>
    </row>
    <row r="599" spans="1:5">
      <c r="A599" t="str">
        <f>RIGHT(OperatingFunds!$D$6,4)</f>
        <v>1991</v>
      </c>
      <c r="B599" t="str">
        <f>+OperatingFunds!$A$9</f>
        <v>365</v>
      </c>
      <c r="C599" t="s">
        <v>1764</v>
      </c>
      <c r="D599" t="s">
        <v>1770</v>
      </c>
      <c r="E599" s="32">
        <f>INDEX(OperatingFunds!$C$65:$AAF$74,ROW(OperatingFunds!$A$2),ROW(OperatingFunds!A$2))</f>
        <v>147957</v>
      </c>
    </row>
    <row r="600" spans="1:5">
      <c r="A600" t="str">
        <f>RIGHT(OperatingFunds!$D$6,4)</f>
        <v>1991</v>
      </c>
      <c r="B600" t="str">
        <f>+OperatingFunds!$A$10</f>
        <v>370</v>
      </c>
      <c r="C600" t="s">
        <v>1764</v>
      </c>
      <c r="D600" t="s">
        <v>1770</v>
      </c>
      <c r="E600" s="32">
        <f>INDEX(OperatingFunds!$C$65:$AAF$74,ROW(OperatingFunds!$A$3),ROW(OperatingFunds!A$2))</f>
        <v>38169</v>
      </c>
    </row>
    <row r="601" spans="1:5">
      <c r="A601" t="str">
        <f>RIGHT(OperatingFunds!$D$6,4)</f>
        <v>1991</v>
      </c>
      <c r="B601" t="str">
        <f>+OperatingFunds!$A$11</f>
        <v>375</v>
      </c>
      <c r="C601" t="s">
        <v>1764</v>
      </c>
      <c r="D601" t="s">
        <v>1770</v>
      </c>
      <c r="E601" s="32">
        <f>INDEX(OperatingFunds!$C$65:$AAF$74,ROW(OperatingFunds!$A$4),ROW(OperatingFunds!A$2))</f>
        <v>33307</v>
      </c>
    </row>
    <row r="602" spans="1:5">
      <c r="A602" t="str">
        <f>RIGHT(OperatingFunds!$D$6,4)</f>
        <v>1991</v>
      </c>
      <c r="B602" t="str">
        <f>+OperatingFunds!$A$12</f>
        <v>376</v>
      </c>
      <c r="C602" t="s">
        <v>1764</v>
      </c>
      <c r="D602" t="s">
        <v>1770</v>
      </c>
      <c r="E602" s="32">
        <f>INDEX(OperatingFunds!$C$65:$AAF$74,ROW(OperatingFunds!$A$5),ROW(OperatingFunds!A$2))</f>
        <v>20640</v>
      </c>
    </row>
    <row r="603" spans="1:5">
      <c r="A603" t="str">
        <f>RIGHT(OperatingFunds!$D$6,4)</f>
        <v>1991</v>
      </c>
      <c r="B603" t="str">
        <f>+OperatingFunds!$A$13</f>
        <v>380</v>
      </c>
      <c r="C603" t="s">
        <v>1764</v>
      </c>
      <c r="D603" t="s">
        <v>1770</v>
      </c>
      <c r="E603" s="32">
        <f>INDEX(OperatingFunds!$C$65:$AAF$74,ROW(OperatingFunds!$A$6),ROW(OperatingFunds!A$2))</f>
        <v>43046</v>
      </c>
    </row>
    <row r="604" spans="1:5">
      <c r="A604" t="str">
        <f>RIGHT(OperatingFunds!$D$6,4)</f>
        <v>1991</v>
      </c>
      <c r="B604" t="str">
        <f>+OperatingFunds!$A$16</f>
        <v>699</v>
      </c>
      <c r="C604" t="s">
        <v>1764</v>
      </c>
      <c r="D604" t="s">
        <v>1770</v>
      </c>
      <c r="E604" s="32">
        <f>INDEX(OperatingFunds!$C$65:$AAF$74,ROW(OperatingFunds!$A$9),ROW(OperatingFunds!A$2))</f>
        <v>330772</v>
      </c>
    </row>
    <row r="605" spans="1:5">
      <c r="A605" t="str">
        <f>RIGHT(OperatingFunds!$D$6,4)</f>
        <v>1991</v>
      </c>
      <c r="B605" t="str">
        <f>+OperatingFunds!$A$17</f>
        <v>340</v>
      </c>
      <c r="C605" t="s">
        <v>1764</v>
      </c>
      <c r="D605" t="s">
        <v>1770</v>
      </c>
      <c r="E605" s="32">
        <f>INDEX(OperatingFunds!$C$65:$AAF$74,ROW(OperatingFunds!$A$10),ROW(OperatingFunds!A$2))</f>
        <v>34001</v>
      </c>
    </row>
    <row r="606" spans="1:5">
      <c r="A606" t="str">
        <f>RIGHT(OperatingFunds!$E$6,4)</f>
        <v>1992</v>
      </c>
      <c r="B606" t="str">
        <f>+OperatingFunds!$A$8</f>
        <v>360</v>
      </c>
      <c r="C606" t="s">
        <v>1764</v>
      </c>
      <c r="D606" t="s">
        <v>1770</v>
      </c>
      <c r="E606" s="32">
        <f>INDEX(OperatingFunds!$C$65:$AAF$74,ROW(OperatingFunds!$A$1),ROW(OperatingFunds!A$3))</f>
        <v>259794</v>
      </c>
    </row>
    <row r="607" spans="1:5">
      <c r="A607" t="str">
        <f>RIGHT(OperatingFunds!$E$6,4)</f>
        <v>1992</v>
      </c>
      <c r="B607" t="str">
        <f>+OperatingFunds!$A$9</f>
        <v>365</v>
      </c>
      <c r="C607" t="s">
        <v>1764</v>
      </c>
      <c r="D607" t="s">
        <v>1770</v>
      </c>
      <c r="E607" s="32">
        <f>INDEX(OperatingFunds!$C$65:$AAF$74,ROW(OperatingFunds!$A$2),ROW(OperatingFunds!A$3))</f>
        <v>149891</v>
      </c>
    </row>
    <row r="608" spans="1:5">
      <c r="A608" t="str">
        <f>RIGHT(OperatingFunds!$E$6,4)</f>
        <v>1992</v>
      </c>
      <c r="B608" t="str">
        <f>+OperatingFunds!$A$10</f>
        <v>370</v>
      </c>
      <c r="C608" t="s">
        <v>1764</v>
      </c>
      <c r="D608" t="s">
        <v>1770</v>
      </c>
      <c r="E608" s="32">
        <f>INDEX(OperatingFunds!$C$65:$AAF$74,ROW(OperatingFunds!$A$3),ROW(OperatingFunds!A$3))</f>
        <v>36710</v>
      </c>
    </row>
    <row r="609" spans="1:5">
      <c r="A609" t="str">
        <f>RIGHT(OperatingFunds!$E$6,4)</f>
        <v>1992</v>
      </c>
      <c r="B609" t="str">
        <f>+OperatingFunds!$A$11</f>
        <v>375</v>
      </c>
      <c r="C609" t="s">
        <v>1764</v>
      </c>
      <c r="D609" t="s">
        <v>1770</v>
      </c>
      <c r="E609" s="32">
        <f>INDEX(OperatingFunds!$C$65:$AAF$74,ROW(OperatingFunds!$A$4),ROW(OperatingFunds!A$3))</f>
        <v>31968</v>
      </c>
    </row>
    <row r="610" spans="1:5">
      <c r="A610" t="str">
        <f>RIGHT(OperatingFunds!$E$6,4)</f>
        <v>1992</v>
      </c>
      <c r="B610" t="str">
        <f>+OperatingFunds!$A$12</f>
        <v>376</v>
      </c>
      <c r="C610" t="s">
        <v>1764</v>
      </c>
      <c r="D610" t="s">
        <v>1770</v>
      </c>
      <c r="E610" s="32">
        <f>INDEX(OperatingFunds!$C$65:$AAF$74,ROW(OperatingFunds!$A$5),ROW(OperatingFunds!A$3))</f>
        <v>18594</v>
      </c>
    </row>
    <row r="611" spans="1:5">
      <c r="A611" t="str">
        <f>RIGHT(OperatingFunds!$E$6,4)</f>
        <v>1992</v>
      </c>
      <c r="B611" t="str">
        <f>+OperatingFunds!$A$13</f>
        <v>380</v>
      </c>
      <c r="C611" t="s">
        <v>1764</v>
      </c>
      <c r="D611" t="s">
        <v>1770</v>
      </c>
      <c r="E611" s="32">
        <f>INDEX(OperatingFunds!$C$65:$AAF$74,ROW(OperatingFunds!$A$6),ROW(OperatingFunds!A$3))</f>
        <v>42326</v>
      </c>
    </row>
    <row r="612" spans="1:5">
      <c r="A612" t="str">
        <f>RIGHT(OperatingFunds!$E$6,4)</f>
        <v>1992</v>
      </c>
      <c r="B612" t="str">
        <f>+OperatingFunds!$A$16</f>
        <v>699</v>
      </c>
      <c r="C612" t="s">
        <v>1764</v>
      </c>
      <c r="D612" t="s">
        <v>1770</v>
      </c>
      <c r="E612" s="32">
        <f>INDEX(OperatingFunds!$C$65:$AAF$74,ROW(OperatingFunds!$A$9),ROW(OperatingFunds!A$3))</f>
        <v>336269</v>
      </c>
    </row>
    <row r="613" spans="1:5">
      <c r="A613" t="str">
        <f>RIGHT(OperatingFunds!$E$6,4)</f>
        <v>1992</v>
      </c>
      <c r="B613" t="str">
        <f>+OperatingFunds!$A$17</f>
        <v>340</v>
      </c>
      <c r="C613" t="s">
        <v>1764</v>
      </c>
      <c r="D613" t="s">
        <v>1770</v>
      </c>
      <c r="E613" s="32">
        <f>INDEX(OperatingFunds!$C$65:$AAF$74,ROW(OperatingFunds!$A$10),ROW(OperatingFunds!A$3))</f>
        <v>39017</v>
      </c>
    </row>
    <row r="614" spans="1:5">
      <c r="A614" t="str">
        <f>RIGHT(OperatingFunds!$F$6,4)</f>
        <v>1993</v>
      </c>
      <c r="B614" t="str">
        <f>+OperatingFunds!$A$8</f>
        <v>360</v>
      </c>
      <c r="C614" t="s">
        <v>1764</v>
      </c>
      <c r="D614" t="s">
        <v>1770</v>
      </c>
      <c r="E614" s="32">
        <f>INDEX(OperatingFunds!$C$65:$AAF$74,ROW(OperatingFunds!$A$1),ROW(OperatingFunds!A$4))</f>
        <v>272390</v>
      </c>
    </row>
    <row r="615" spans="1:5">
      <c r="A615" t="str">
        <f>RIGHT(OperatingFunds!$F$6,4)</f>
        <v>1993</v>
      </c>
      <c r="B615" t="str">
        <f>+OperatingFunds!$A$9</f>
        <v>365</v>
      </c>
      <c r="C615" t="s">
        <v>1764</v>
      </c>
      <c r="D615" t="s">
        <v>1770</v>
      </c>
      <c r="E615" s="32">
        <f>INDEX(OperatingFunds!$C$65:$AAF$74,ROW(OperatingFunds!$A$2),ROW(OperatingFunds!A$4))</f>
        <v>155831</v>
      </c>
    </row>
    <row r="616" spans="1:5">
      <c r="A616" t="str">
        <f>RIGHT(OperatingFunds!$F$6,4)</f>
        <v>1993</v>
      </c>
      <c r="B616" t="str">
        <f>+OperatingFunds!$A$10</f>
        <v>370</v>
      </c>
      <c r="C616" t="s">
        <v>1764</v>
      </c>
      <c r="D616" t="s">
        <v>1770</v>
      </c>
      <c r="E616" s="32">
        <f>INDEX(OperatingFunds!$C$65:$AAF$74,ROW(OperatingFunds!$A$3),ROW(OperatingFunds!A$4))</f>
        <v>39892</v>
      </c>
    </row>
    <row r="617" spans="1:5">
      <c r="A617" t="str">
        <f>RIGHT(OperatingFunds!$F$6,4)</f>
        <v>1993</v>
      </c>
      <c r="B617" t="str">
        <f>+OperatingFunds!$A$11</f>
        <v>375</v>
      </c>
      <c r="C617" t="s">
        <v>1764</v>
      </c>
      <c r="D617" t="s">
        <v>1770</v>
      </c>
      <c r="E617" s="32">
        <f>INDEX(OperatingFunds!$C$65:$AAF$74,ROW(OperatingFunds!$A$4),ROW(OperatingFunds!A$4))</f>
        <v>35310</v>
      </c>
    </row>
    <row r="618" spans="1:5">
      <c r="A618" t="str">
        <f>RIGHT(OperatingFunds!$F$6,4)</f>
        <v>1993</v>
      </c>
      <c r="B618" t="str">
        <f>+OperatingFunds!$A$12</f>
        <v>376</v>
      </c>
      <c r="C618" t="s">
        <v>1764</v>
      </c>
      <c r="D618" t="s">
        <v>1770</v>
      </c>
      <c r="E618" s="32">
        <f>INDEX(OperatingFunds!$C$65:$AAF$74,ROW(OperatingFunds!$A$5),ROW(OperatingFunds!A$4))</f>
        <v>21955</v>
      </c>
    </row>
    <row r="619" spans="1:5">
      <c r="A619" t="str">
        <f>RIGHT(OperatingFunds!$F$6,4)</f>
        <v>1993</v>
      </c>
      <c r="B619" t="str">
        <f>+OperatingFunds!$A$13</f>
        <v>380</v>
      </c>
      <c r="C619" t="s">
        <v>1764</v>
      </c>
      <c r="D619" t="s">
        <v>1770</v>
      </c>
      <c r="E619" s="32">
        <f>INDEX(OperatingFunds!$C$65:$AAF$74,ROW(OperatingFunds!$A$6),ROW(OperatingFunds!A$4))</f>
        <v>43495</v>
      </c>
    </row>
    <row r="620" spans="1:5">
      <c r="A620" t="str">
        <f>RIGHT(OperatingFunds!$F$6,4)</f>
        <v>1993</v>
      </c>
      <c r="B620" t="str">
        <f>+OperatingFunds!$A$16</f>
        <v>699</v>
      </c>
      <c r="C620" t="s">
        <v>1764</v>
      </c>
      <c r="D620" t="s">
        <v>1770</v>
      </c>
      <c r="E620" s="32">
        <f>INDEX(OperatingFunds!$C$65:$AAF$74,ROW(OperatingFunds!$A$9),ROW(OperatingFunds!A$4))</f>
        <v>358000</v>
      </c>
    </row>
    <row r="621" spans="1:5">
      <c r="A621" t="str">
        <f>RIGHT(OperatingFunds!$F$6,4)</f>
        <v>1993</v>
      </c>
      <c r="B621" t="str">
        <f>+OperatingFunds!$A$17</f>
        <v>340</v>
      </c>
      <c r="C621" t="s">
        <v>1764</v>
      </c>
      <c r="D621" t="s">
        <v>1770</v>
      </c>
      <c r="E621" s="32">
        <f>INDEX(OperatingFunds!$C$65:$AAF$74,ROW(OperatingFunds!$A$10),ROW(OperatingFunds!A$4))</f>
        <v>39681</v>
      </c>
    </row>
    <row r="622" spans="1:5">
      <c r="A622" t="str">
        <f>RIGHT(OperatingFunds!$G$6,4)</f>
        <v>1994</v>
      </c>
      <c r="B622" t="str">
        <f>+OperatingFunds!$A$8</f>
        <v>360</v>
      </c>
      <c r="C622" t="s">
        <v>1764</v>
      </c>
      <c r="D622" t="s">
        <v>1770</v>
      </c>
      <c r="E622" s="32">
        <f>INDEX(OperatingFunds!$C$65:$AAF$74,ROW(OperatingFunds!$A$1),ROW(OperatingFunds!A$5))</f>
        <v>254767</v>
      </c>
    </row>
    <row r="623" spans="1:5">
      <c r="A623" t="str">
        <f>RIGHT(OperatingFunds!$G$6,4)</f>
        <v>1994</v>
      </c>
      <c r="B623" t="str">
        <f>+OperatingFunds!$A$9</f>
        <v>365</v>
      </c>
      <c r="C623" t="s">
        <v>1764</v>
      </c>
      <c r="D623" t="s">
        <v>1770</v>
      </c>
      <c r="E623" s="32">
        <f>INDEX(OperatingFunds!$C$65:$AAF$74,ROW(OperatingFunds!$A$2),ROW(OperatingFunds!A$5))</f>
        <v>148092</v>
      </c>
    </row>
    <row r="624" spans="1:5">
      <c r="A624" t="str">
        <f>RIGHT(OperatingFunds!$G$6,4)</f>
        <v>1994</v>
      </c>
      <c r="B624" t="str">
        <f>+OperatingFunds!$A$10</f>
        <v>370</v>
      </c>
      <c r="C624" t="s">
        <v>1764</v>
      </c>
      <c r="D624" t="s">
        <v>1770</v>
      </c>
      <c r="E624" s="32">
        <f>INDEX(OperatingFunds!$C$65:$AAF$74,ROW(OperatingFunds!$A$3),ROW(OperatingFunds!A$5))</f>
        <v>36367</v>
      </c>
    </row>
    <row r="625" spans="1:5">
      <c r="A625" t="str">
        <f>RIGHT(OperatingFunds!$G$6,4)</f>
        <v>1994</v>
      </c>
      <c r="B625" t="str">
        <f>+OperatingFunds!$A$11</f>
        <v>375</v>
      </c>
      <c r="C625" t="s">
        <v>1764</v>
      </c>
      <c r="D625" t="s">
        <v>1770</v>
      </c>
      <c r="E625" s="32">
        <f>INDEX(OperatingFunds!$C$65:$AAF$74,ROW(OperatingFunds!$A$4),ROW(OperatingFunds!A$5))</f>
        <v>31966</v>
      </c>
    </row>
    <row r="626" spans="1:5">
      <c r="A626" t="str">
        <f>RIGHT(OperatingFunds!$G$6,4)</f>
        <v>1994</v>
      </c>
      <c r="B626" t="str">
        <f>+OperatingFunds!$A$12</f>
        <v>376</v>
      </c>
      <c r="C626" t="s">
        <v>1764</v>
      </c>
      <c r="D626" t="s">
        <v>1770</v>
      </c>
      <c r="E626" s="32">
        <f>INDEX(OperatingFunds!$C$65:$AAF$74,ROW(OperatingFunds!$A$5),ROW(OperatingFunds!A$5))</f>
        <v>17846</v>
      </c>
    </row>
    <row r="627" spans="1:5">
      <c r="A627" t="str">
        <f>RIGHT(OperatingFunds!$G$6,4)</f>
        <v>1994</v>
      </c>
      <c r="B627" t="str">
        <f>+OperatingFunds!$A$13</f>
        <v>380</v>
      </c>
      <c r="C627" t="s">
        <v>1764</v>
      </c>
      <c r="D627" t="s">
        <v>1770</v>
      </c>
      <c r="E627" s="32">
        <f>INDEX(OperatingFunds!$C$65:$AAF$74,ROW(OperatingFunds!$A$6),ROW(OperatingFunds!A$5))</f>
        <v>41588</v>
      </c>
    </row>
    <row r="628" spans="1:5">
      <c r="A628" t="str">
        <f>RIGHT(OperatingFunds!$G$6,4)</f>
        <v>1994</v>
      </c>
      <c r="B628" t="str">
        <f>+OperatingFunds!$A$16</f>
        <v>699</v>
      </c>
      <c r="C628" t="s">
        <v>1764</v>
      </c>
      <c r="D628" t="s">
        <v>1770</v>
      </c>
      <c r="E628" s="32">
        <f>INDEX(OperatingFunds!$C$65:$AAF$74,ROW(OperatingFunds!$A$9),ROW(OperatingFunds!A$5))</f>
        <v>335728</v>
      </c>
    </row>
    <row r="629" spans="1:5">
      <c r="A629" t="str">
        <f>RIGHT(OperatingFunds!$G$6,4)</f>
        <v>1994</v>
      </c>
      <c r="B629" t="str">
        <f>+OperatingFunds!$A$17</f>
        <v>340</v>
      </c>
      <c r="C629" t="s">
        <v>1764</v>
      </c>
      <c r="D629" t="s">
        <v>1770</v>
      </c>
      <c r="E629" s="32">
        <f>INDEX(OperatingFunds!$C$65:$AAF$74,ROW(OperatingFunds!$A$10),ROW(OperatingFunds!A$5))</f>
        <v>63643</v>
      </c>
    </row>
    <row r="630" spans="1:5">
      <c r="A630" t="str">
        <f>RIGHT(OperatingFunds!$H$6,4)</f>
        <v>1995</v>
      </c>
      <c r="B630" t="str">
        <f>+OperatingFunds!$A$8</f>
        <v>360</v>
      </c>
      <c r="C630" t="s">
        <v>1764</v>
      </c>
      <c r="D630" t="s">
        <v>1770</v>
      </c>
      <c r="E630" s="32">
        <f>INDEX(OperatingFunds!$C$65:$AAF$74,ROW(OperatingFunds!$A$1),ROW(OperatingFunds!A$6))</f>
        <v>248525</v>
      </c>
    </row>
    <row r="631" spans="1:5">
      <c r="A631" t="str">
        <f>RIGHT(OperatingFunds!$H$6,4)</f>
        <v>1995</v>
      </c>
      <c r="B631" t="str">
        <f>+OperatingFunds!$A$9</f>
        <v>365</v>
      </c>
      <c r="C631" t="s">
        <v>1764</v>
      </c>
      <c r="D631" t="s">
        <v>1770</v>
      </c>
      <c r="E631" s="32">
        <f>INDEX(OperatingFunds!$C$65:$AAF$74,ROW(OperatingFunds!$A$2),ROW(OperatingFunds!A$6))</f>
        <v>143748</v>
      </c>
    </row>
    <row r="632" spans="1:5">
      <c r="A632" t="str">
        <f>RIGHT(OperatingFunds!$H$6,4)</f>
        <v>1995</v>
      </c>
      <c r="B632" t="str">
        <f>+OperatingFunds!$A$10</f>
        <v>370</v>
      </c>
      <c r="C632" t="s">
        <v>1764</v>
      </c>
      <c r="D632" t="s">
        <v>1770</v>
      </c>
      <c r="E632" s="32">
        <f>INDEX(OperatingFunds!$C$65:$AAF$74,ROW(OperatingFunds!$A$3),ROW(OperatingFunds!A$6))</f>
        <v>36560</v>
      </c>
    </row>
    <row r="633" spans="1:5">
      <c r="A633" t="str">
        <f>RIGHT(OperatingFunds!$H$6,4)</f>
        <v>1995</v>
      </c>
      <c r="B633" t="str">
        <f>+OperatingFunds!$A$11</f>
        <v>375</v>
      </c>
      <c r="C633" t="s">
        <v>1764</v>
      </c>
      <c r="D633" t="s">
        <v>1770</v>
      </c>
      <c r="E633" s="32">
        <f>INDEX(OperatingFunds!$C$65:$AAF$74,ROW(OperatingFunds!$A$4),ROW(OperatingFunds!A$6))</f>
        <v>34167</v>
      </c>
    </row>
    <row r="634" spans="1:5">
      <c r="A634" t="str">
        <f>RIGHT(OperatingFunds!$H$6,4)</f>
        <v>1995</v>
      </c>
      <c r="B634" t="str">
        <f>+OperatingFunds!$A$12</f>
        <v>376</v>
      </c>
      <c r="C634" t="s">
        <v>1764</v>
      </c>
      <c r="D634" t="s">
        <v>1770</v>
      </c>
      <c r="E634" s="32">
        <f>INDEX(OperatingFunds!$C$65:$AAF$74,ROW(OperatingFunds!$A$5),ROW(OperatingFunds!A$6))</f>
        <v>19216</v>
      </c>
    </row>
    <row r="635" spans="1:5">
      <c r="A635" t="str">
        <f>RIGHT(OperatingFunds!$H$6,4)</f>
        <v>1995</v>
      </c>
      <c r="B635" t="str">
        <f>+OperatingFunds!$A$13</f>
        <v>380</v>
      </c>
      <c r="C635" t="s">
        <v>1764</v>
      </c>
      <c r="D635" t="s">
        <v>1770</v>
      </c>
      <c r="E635" s="32">
        <f>INDEX(OperatingFunds!$C$65:$AAF$74,ROW(OperatingFunds!$A$6),ROW(OperatingFunds!A$6))</f>
        <v>39519</v>
      </c>
    </row>
    <row r="636" spans="1:5">
      <c r="A636" t="str">
        <f>RIGHT(OperatingFunds!$H$6,4)</f>
        <v>1995</v>
      </c>
      <c r="B636" t="str">
        <f>+OperatingFunds!$A$16</f>
        <v>699</v>
      </c>
      <c r="C636" t="s">
        <v>1764</v>
      </c>
      <c r="D636" t="s">
        <v>1770</v>
      </c>
      <c r="E636" s="32">
        <f>INDEX(OperatingFunds!$C$65:$AAF$74,ROW(OperatingFunds!$A$9),ROW(OperatingFunds!A$6))</f>
        <v>358586</v>
      </c>
    </row>
    <row r="637" spans="1:5">
      <c r="A637" t="str">
        <f>RIGHT(OperatingFunds!$H$6,4)</f>
        <v>1995</v>
      </c>
      <c r="B637" t="str">
        <f>+OperatingFunds!$A$17</f>
        <v>340</v>
      </c>
      <c r="C637" t="s">
        <v>1764</v>
      </c>
      <c r="D637" t="s">
        <v>1770</v>
      </c>
      <c r="E637" s="32">
        <f>INDEX(OperatingFunds!$C$65:$AAF$74,ROW(OperatingFunds!$A$10),ROW(OperatingFunds!A$6))</f>
        <v>69829</v>
      </c>
    </row>
    <row r="638" spans="1:5">
      <c r="A638" t="str">
        <f>RIGHT(OperatingFunds!$I$6,4)</f>
        <v>1996</v>
      </c>
      <c r="B638" t="str">
        <f>+OperatingFunds!$A$8</f>
        <v>360</v>
      </c>
      <c r="C638" t="s">
        <v>1764</v>
      </c>
      <c r="D638" t="s">
        <v>1770</v>
      </c>
      <c r="E638" s="32">
        <f>INDEX(OperatingFunds!$C$65:$AAF$74,ROW(OperatingFunds!$A$1),ROW(OperatingFunds!A$7))</f>
        <v>259062</v>
      </c>
    </row>
    <row r="639" spans="1:5">
      <c r="A639" t="str">
        <f>RIGHT(OperatingFunds!$I$6,4)</f>
        <v>1996</v>
      </c>
      <c r="B639" t="str">
        <f>+OperatingFunds!$A$9</f>
        <v>365</v>
      </c>
      <c r="C639" t="s">
        <v>1764</v>
      </c>
      <c r="D639" t="s">
        <v>1770</v>
      </c>
      <c r="E639" s="32">
        <f>INDEX(OperatingFunds!$C$65:$AAF$74,ROW(OperatingFunds!$A$2),ROW(OperatingFunds!A$7))</f>
        <v>150969</v>
      </c>
    </row>
    <row r="640" spans="1:5">
      <c r="A640" t="str">
        <f>RIGHT(OperatingFunds!$I$6,4)</f>
        <v>1996</v>
      </c>
      <c r="B640" t="str">
        <f>+OperatingFunds!$A$10</f>
        <v>370</v>
      </c>
      <c r="C640" t="s">
        <v>1764</v>
      </c>
      <c r="D640" t="s">
        <v>1770</v>
      </c>
      <c r="E640" s="32">
        <f>INDEX(OperatingFunds!$C$65:$AAF$74,ROW(OperatingFunds!$A$3),ROW(OperatingFunds!A$7))</f>
        <v>37382</v>
      </c>
    </row>
    <row r="641" spans="1:5">
      <c r="A641" t="str">
        <f>RIGHT(OperatingFunds!$I$6,4)</f>
        <v>1996</v>
      </c>
      <c r="B641" t="str">
        <f>+OperatingFunds!$A$11</f>
        <v>375</v>
      </c>
      <c r="C641" t="s">
        <v>1764</v>
      </c>
      <c r="D641" t="s">
        <v>1770</v>
      </c>
      <c r="E641" s="32">
        <f>INDEX(OperatingFunds!$C$65:$AAF$74,ROW(OperatingFunds!$A$4),ROW(OperatingFunds!A$7))</f>
        <v>33642</v>
      </c>
    </row>
    <row r="642" spans="1:5">
      <c r="A642" t="str">
        <f>RIGHT(OperatingFunds!$I$6,4)</f>
        <v>1996</v>
      </c>
      <c r="B642" t="str">
        <f>+OperatingFunds!$A$12</f>
        <v>376</v>
      </c>
      <c r="C642" t="s">
        <v>1764</v>
      </c>
      <c r="D642" t="s">
        <v>1770</v>
      </c>
      <c r="E642" s="32">
        <f>INDEX(OperatingFunds!$C$65:$AAF$74,ROW(OperatingFunds!$A$5),ROW(OperatingFunds!A$7))</f>
        <v>18476</v>
      </c>
    </row>
    <row r="643" spans="1:5">
      <c r="A643" t="str">
        <f>RIGHT(OperatingFunds!$I$6,4)</f>
        <v>1996</v>
      </c>
      <c r="B643" t="str">
        <f>+OperatingFunds!$A$13</f>
        <v>380</v>
      </c>
      <c r="C643" t="s">
        <v>1764</v>
      </c>
      <c r="D643" t="s">
        <v>1770</v>
      </c>
      <c r="E643" s="32">
        <f>INDEX(OperatingFunds!$C$65:$AAF$74,ROW(OperatingFunds!$A$6),ROW(OperatingFunds!A$7))</f>
        <v>42543</v>
      </c>
    </row>
    <row r="644" spans="1:5">
      <c r="A644" t="str">
        <f>RIGHT(OperatingFunds!$I$6,4)</f>
        <v>1996</v>
      </c>
      <c r="B644" t="str">
        <f>+OperatingFunds!$A$16</f>
        <v>699</v>
      </c>
      <c r="C644" t="s">
        <v>1764</v>
      </c>
      <c r="D644" t="s">
        <v>1770</v>
      </c>
      <c r="E644" s="32">
        <f>INDEX(OperatingFunds!$C$65:$AAF$74,ROW(OperatingFunds!$A$9),ROW(OperatingFunds!A$7))</f>
        <v>346249</v>
      </c>
    </row>
    <row r="645" spans="1:5">
      <c r="A645" t="str">
        <f>RIGHT(OperatingFunds!$I$6,4)</f>
        <v>1996</v>
      </c>
      <c r="B645" t="str">
        <f>+OperatingFunds!$A$17</f>
        <v>340</v>
      </c>
      <c r="C645" t="s">
        <v>1764</v>
      </c>
      <c r="D645" t="s">
        <v>1770</v>
      </c>
      <c r="E645" s="32">
        <f>INDEX(OperatingFunds!$C$65:$AAF$74,ROW(OperatingFunds!$A$10),ROW(OperatingFunds!A$7))</f>
        <v>72875</v>
      </c>
    </row>
    <row r="646" spans="1:5">
      <c r="A646" t="str">
        <f>RIGHT(OperatingFunds!$J$6,4)</f>
        <v>1997</v>
      </c>
      <c r="B646" t="str">
        <f>+OperatingFunds!$A$8</f>
        <v>360</v>
      </c>
      <c r="C646" t="s">
        <v>1764</v>
      </c>
      <c r="D646" t="s">
        <v>1770</v>
      </c>
      <c r="E646" s="32">
        <f>INDEX(OperatingFunds!$C$65:$AAF$74,ROW(OperatingFunds!$A$1),ROW(OperatingFunds!A$8))</f>
        <v>267601</v>
      </c>
    </row>
    <row r="647" spans="1:5">
      <c r="A647" t="str">
        <f>RIGHT(OperatingFunds!$J$6,4)</f>
        <v>1997</v>
      </c>
      <c r="B647" t="str">
        <f>+OperatingFunds!$A$9</f>
        <v>365</v>
      </c>
      <c r="C647" t="s">
        <v>1764</v>
      </c>
      <c r="D647" t="s">
        <v>1770</v>
      </c>
      <c r="E647" s="32">
        <f>INDEX(OperatingFunds!$C$65:$AAF$74,ROW(OperatingFunds!$A$2),ROW(OperatingFunds!A$8))</f>
        <v>160691</v>
      </c>
    </row>
    <row r="648" spans="1:5">
      <c r="A648" t="str">
        <f>RIGHT(OperatingFunds!$J$6,4)</f>
        <v>1997</v>
      </c>
      <c r="B648" t="str">
        <f>+OperatingFunds!$A$10</f>
        <v>370</v>
      </c>
      <c r="C648" t="s">
        <v>1764</v>
      </c>
      <c r="D648" t="s">
        <v>1770</v>
      </c>
      <c r="E648" s="32">
        <f>INDEX(OperatingFunds!$C$65:$AAF$74,ROW(OperatingFunds!$A$3),ROW(OperatingFunds!A$8))</f>
        <v>38188</v>
      </c>
    </row>
    <row r="649" spans="1:5">
      <c r="A649" t="str">
        <f>RIGHT(OperatingFunds!$J$6,4)</f>
        <v>1997</v>
      </c>
      <c r="B649" t="str">
        <f>+OperatingFunds!$A$11</f>
        <v>375</v>
      </c>
      <c r="C649" t="s">
        <v>1764</v>
      </c>
      <c r="D649" t="s">
        <v>1770</v>
      </c>
      <c r="E649" s="32">
        <f>INDEX(OperatingFunds!$C$65:$AAF$74,ROW(OperatingFunds!$A$4),ROW(OperatingFunds!A$8))</f>
        <v>36347</v>
      </c>
    </row>
    <row r="650" spans="1:5">
      <c r="A650" t="str">
        <f>RIGHT(OperatingFunds!$J$6,4)</f>
        <v>1997</v>
      </c>
      <c r="B650" t="str">
        <f>+OperatingFunds!$A$12</f>
        <v>376</v>
      </c>
      <c r="C650" t="s">
        <v>1764</v>
      </c>
      <c r="D650" t="s">
        <v>1770</v>
      </c>
      <c r="E650" s="32">
        <f>INDEX(OperatingFunds!$C$65:$AAF$74,ROW(OperatingFunds!$A$5),ROW(OperatingFunds!A$8))</f>
        <v>19439</v>
      </c>
    </row>
    <row r="651" spans="1:5">
      <c r="A651" t="str">
        <f>RIGHT(OperatingFunds!$J$6,4)</f>
        <v>1997</v>
      </c>
      <c r="B651" t="str">
        <f>+OperatingFunds!$A$13</f>
        <v>380</v>
      </c>
      <c r="C651" t="s">
        <v>1764</v>
      </c>
      <c r="D651" t="s">
        <v>1770</v>
      </c>
      <c r="E651" s="32">
        <f>INDEX(OperatingFunds!$C$65:$AAF$74,ROW(OperatingFunds!$A$6),ROW(OperatingFunds!A$8))</f>
        <v>45828</v>
      </c>
    </row>
    <row r="652" spans="1:5">
      <c r="A652" t="str">
        <f>RIGHT(OperatingFunds!$J$6,4)</f>
        <v>1997</v>
      </c>
      <c r="B652" t="str">
        <f>+OperatingFunds!$A$16</f>
        <v>699</v>
      </c>
      <c r="C652" t="s">
        <v>1764</v>
      </c>
      <c r="D652" t="s">
        <v>1770</v>
      </c>
      <c r="E652" s="32">
        <f>INDEX(OperatingFunds!$C$65:$AAF$74,ROW(OperatingFunds!$A$9),ROW(OperatingFunds!A$8))</f>
        <v>360791</v>
      </c>
    </row>
    <row r="653" spans="1:5">
      <c r="A653" t="str">
        <f>RIGHT(OperatingFunds!$J$6,4)</f>
        <v>1997</v>
      </c>
      <c r="B653" t="str">
        <f>+OperatingFunds!$A$17</f>
        <v>340</v>
      </c>
      <c r="C653" t="s">
        <v>1764</v>
      </c>
      <c r="D653" t="s">
        <v>1770</v>
      </c>
      <c r="E653" s="32">
        <f>INDEX(OperatingFunds!$C$65:$AAF$74,ROW(OperatingFunds!$A$10),ROW(OperatingFunds!A$8))</f>
        <v>78214</v>
      </c>
    </row>
    <row r="654" spans="1:5">
      <c r="A654" t="str">
        <f>RIGHT(OperatingFunds!$K$6,4)</f>
        <v>1998</v>
      </c>
      <c r="B654" t="str">
        <f>+OperatingFunds!$A$8</f>
        <v>360</v>
      </c>
      <c r="C654" t="s">
        <v>1764</v>
      </c>
      <c r="D654" t="s">
        <v>1770</v>
      </c>
      <c r="E654" s="32">
        <f>INDEX(OperatingFunds!$C$65:$AAF$74,ROW(OperatingFunds!$A$1),ROW(OperatingFunds!A$9))</f>
        <v>284108</v>
      </c>
    </row>
    <row r="655" spans="1:5">
      <c r="A655" t="str">
        <f>RIGHT(OperatingFunds!$K$6,4)</f>
        <v>1998</v>
      </c>
      <c r="B655" t="str">
        <f>+OperatingFunds!$A$9</f>
        <v>365</v>
      </c>
      <c r="C655" t="s">
        <v>1764</v>
      </c>
      <c r="D655" t="s">
        <v>1770</v>
      </c>
      <c r="E655" s="32">
        <f>INDEX(OperatingFunds!$C$65:$AAF$74,ROW(OperatingFunds!$A$2),ROW(OperatingFunds!A$9))</f>
        <v>171407</v>
      </c>
    </row>
    <row r="656" spans="1:5">
      <c r="A656" t="str">
        <f>RIGHT(OperatingFunds!$K$6,4)</f>
        <v>1998</v>
      </c>
      <c r="B656" t="str">
        <f>+OperatingFunds!$A$10</f>
        <v>370</v>
      </c>
      <c r="C656" t="s">
        <v>1764</v>
      </c>
      <c r="D656" t="s">
        <v>1770</v>
      </c>
      <c r="E656" s="32">
        <f>INDEX(OperatingFunds!$C$65:$AAF$74,ROW(OperatingFunds!$A$3),ROW(OperatingFunds!A$9))</f>
        <v>39189</v>
      </c>
    </row>
    <row r="657" spans="1:5">
      <c r="A657" t="str">
        <f>RIGHT(OperatingFunds!$K$6,4)</f>
        <v>1998</v>
      </c>
      <c r="B657" t="str">
        <f>+OperatingFunds!$A$11</f>
        <v>375</v>
      </c>
      <c r="C657" t="s">
        <v>1764</v>
      </c>
      <c r="D657" t="s">
        <v>1770</v>
      </c>
      <c r="E657" s="32">
        <f>INDEX(OperatingFunds!$C$65:$AAF$74,ROW(OperatingFunds!$A$4),ROW(OperatingFunds!A$9))</f>
        <v>37244</v>
      </c>
    </row>
    <row r="658" spans="1:5">
      <c r="A658" t="str">
        <f>RIGHT(OperatingFunds!$K$6,4)</f>
        <v>1998</v>
      </c>
      <c r="B658" t="str">
        <f>+OperatingFunds!$A$12</f>
        <v>376</v>
      </c>
      <c r="C658" t="s">
        <v>1764</v>
      </c>
      <c r="D658" t="s">
        <v>1770</v>
      </c>
      <c r="E658" s="32">
        <f>INDEX(OperatingFunds!$C$65:$AAF$74,ROW(OperatingFunds!$A$5),ROW(OperatingFunds!A$9))</f>
        <v>20491</v>
      </c>
    </row>
    <row r="659" spans="1:5">
      <c r="A659" t="str">
        <f>RIGHT(OperatingFunds!$K$6,4)</f>
        <v>1998</v>
      </c>
      <c r="B659" t="str">
        <f>+OperatingFunds!$A$13</f>
        <v>380</v>
      </c>
      <c r="C659" t="s">
        <v>1764</v>
      </c>
      <c r="D659" t="s">
        <v>1770</v>
      </c>
      <c r="E659" s="32">
        <f>INDEX(OperatingFunds!$C$65:$AAF$74,ROW(OperatingFunds!$A$6),ROW(OperatingFunds!A$9))</f>
        <v>47835</v>
      </c>
    </row>
    <row r="660" spans="1:5">
      <c r="A660" t="str">
        <f>RIGHT(OperatingFunds!$K$6,4)</f>
        <v>1998</v>
      </c>
      <c r="B660" t="str">
        <f>+OperatingFunds!$A$16</f>
        <v>699</v>
      </c>
      <c r="C660" t="s">
        <v>1764</v>
      </c>
      <c r="D660" t="s">
        <v>1770</v>
      </c>
      <c r="E660" s="32">
        <f>INDEX(OperatingFunds!$C$65:$AAF$74,ROW(OperatingFunds!$A$9),ROW(OperatingFunds!A$9))</f>
        <v>380079</v>
      </c>
    </row>
    <row r="661" spans="1:5">
      <c r="A661" t="str">
        <f>RIGHT(OperatingFunds!$K$6,4)</f>
        <v>1998</v>
      </c>
      <c r="B661" t="str">
        <f>+OperatingFunds!$A$17</f>
        <v>340</v>
      </c>
      <c r="C661" t="s">
        <v>1764</v>
      </c>
      <c r="D661" t="s">
        <v>1770</v>
      </c>
      <c r="E661" s="32">
        <f>INDEX(OperatingFunds!$C$65:$AAF$74,ROW(OperatingFunds!$A$10),ROW(OperatingFunds!A$9))</f>
        <v>91048</v>
      </c>
    </row>
    <row r="662" spans="1:5">
      <c r="A662" t="str">
        <f>RIGHT(OperatingFunds!$L$6,4)</f>
        <v>1999</v>
      </c>
      <c r="B662" t="str">
        <f>+OperatingFunds!$A$8</f>
        <v>360</v>
      </c>
      <c r="C662" t="s">
        <v>1764</v>
      </c>
      <c r="D662" t="s">
        <v>1770</v>
      </c>
      <c r="E662" s="32">
        <f>INDEX(OperatingFunds!$C$65:$AAF$74,ROW(OperatingFunds!$A$1),ROW(OperatingFunds!A$10))</f>
        <v>295832</v>
      </c>
    </row>
    <row r="663" spans="1:5">
      <c r="A663" t="str">
        <f>RIGHT(OperatingFunds!$L$6,4)</f>
        <v>1999</v>
      </c>
      <c r="B663" t="str">
        <f>+OperatingFunds!$A$9</f>
        <v>365</v>
      </c>
      <c r="C663" t="s">
        <v>1764</v>
      </c>
      <c r="D663" t="s">
        <v>1770</v>
      </c>
      <c r="E663" s="32">
        <f>INDEX(OperatingFunds!$C$65:$AAF$74,ROW(OperatingFunds!$A$2),ROW(OperatingFunds!A$10))</f>
        <v>171200</v>
      </c>
    </row>
    <row r="664" spans="1:5">
      <c r="A664" t="str">
        <f>RIGHT(OperatingFunds!$L$6,4)</f>
        <v>1999</v>
      </c>
      <c r="B664" t="str">
        <f>+OperatingFunds!$A$10</f>
        <v>370</v>
      </c>
      <c r="C664" t="s">
        <v>1764</v>
      </c>
      <c r="D664" t="s">
        <v>1770</v>
      </c>
      <c r="E664" s="32">
        <f>INDEX(OperatingFunds!$C$65:$AAF$74,ROW(OperatingFunds!$A$3),ROW(OperatingFunds!A$10))</f>
        <v>39454</v>
      </c>
    </row>
    <row r="665" spans="1:5">
      <c r="A665" t="str">
        <f>RIGHT(OperatingFunds!$L$6,4)</f>
        <v>1999</v>
      </c>
      <c r="B665" t="str">
        <f>+OperatingFunds!$A$11</f>
        <v>375</v>
      </c>
      <c r="C665" t="s">
        <v>1764</v>
      </c>
      <c r="D665" t="s">
        <v>1770</v>
      </c>
      <c r="E665" s="32">
        <f>INDEX(OperatingFunds!$C$65:$AAF$74,ROW(OperatingFunds!$A$4),ROW(OperatingFunds!A$10))</f>
        <v>39158</v>
      </c>
    </row>
    <row r="666" spans="1:5">
      <c r="A666" t="str">
        <f>RIGHT(OperatingFunds!$L$6,4)</f>
        <v>1999</v>
      </c>
      <c r="B666" t="str">
        <f>+OperatingFunds!$A$12</f>
        <v>376</v>
      </c>
      <c r="C666" t="s">
        <v>1764</v>
      </c>
      <c r="D666" t="s">
        <v>1770</v>
      </c>
      <c r="E666" s="32">
        <f>INDEX(OperatingFunds!$C$65:$AAF$74,ROW(OperatingFunds!$A$5),ROW(OperatingFunds!A$10))</f>
        <v>20528</v>
      </c>
    </row>
    <row r="667" spans="1:5">
      <c r="A667" t="str">
        <f>RIGHT(OperatingFunds!$L$6,4)</f>
        <v>1999</v>
      </c>
      <c r="B667" t="str">
        <f>+OperatingFunds!$A$13</f>
        <v>380</v>
      </c>
      <c r="C667" t="s">
        <v>1764</v>
      </c>
      <c r="D667" t="s">
        <v>1770</v>
      </c>
      <c r="E667" s="32">
        <f>INDEX(OperatingFunds!$C$65:$AAF$74,ROW(OperatingFunds!$A$6),ROW(OperatingFunds!A$10))</f>
        <v>48757</v>
      </c>
    </row>
    <row r="668" spans="1:5">
      <c r="A668" t="str">
        <f>RIGHT(OperatingFunds!$L$6,4)</f>
        <v>1999</v>
      </c>
      <c r="B668" t="str">
        <f>+OperatingFunds!$A$16</f>
        <v>699</v>
      </c>
      <c r="C668" t="s">
        <v>1764</v>
      </c>
      <c r="D668" t="s">
        <v>1770</v>
      </c>
      <c r="E668" s="32">
        <f>INDEX(OperatingFunds!$C$65:$AAF$74,ROW(OperatingFunds!$A$9),ROW(OperatingFunds!A$10))</f>
        <v>420342</v>
      </c>
    </row>
    <row r="669" spans="1:5">
      <c r="A669" t="str">
        <f>RIGHT(OperatingFunds!$L$6,4)</f>
        <v>1999</v>
      </c>
      <c r="B669" t="str">
        <f>+OperatingFunds!$A$17</f>
        <v>340</v>
      </c>
      <c r="C669" t="s">
        <v>1764</v>
      </c>
      <c r="D669" t="s">
        <v>1770</v>
      </c>
      <c r="E669" s="32">
        <f>INDEX(OperatingFunds!$C$65:$AAF$74,ROW(OperatingFunds!$A$10),ROW(OperatingFunds!A$10))</f>
        <v>100008</v>
      </c>
    </row>
    <row r="670" spans="1:5">
      <c r="A670" t="str">
        <f>RIGHT(OperatingFunds!$M$6,4)</f>
        <v>2000</v>
      </c>
      <c r="B670" t="str">
        <f>+OperatingFunds!$A$8</f>
        <v>360</v>
      </c>
      <c r="C670" t="s">
        <v>1764</v>
      </c>
      <c r="D670" t="s">
        <v>1770</v>
      </c>
      <c r="E670" s="32">
        <f>INDEX(OperatingFunds!$C$65:$AAF$74,ROW(OperatingFunds!$A$1),ROW(OperatingFunds!A$11))</f>
        <v>316574.83905000001</v>
      </c>
    </row>
    <row r="671" spans="1:5">
      <c r="A671" t="str">
        <f>RIGHT(OperatingFunds!$M$6,4)</f>
        <v>2000</v>
      </c>
      <c r="B671" t="str">
        <f>+OperatingFunds!$A$9</f>
        <v>365</v>
      </c>
      <c r="C671" t="s">
        <v>1764</v>
      </c>
      <c r="D671" t="s">
        <v>1770</v>
      </c>
      <c r="E671" s="32">
        <f>INDEX(OperatingFunds!$C$65:$AAF$74,ROW(OperatingFunds!$A$2),ROW(OperatingFunds!A$11))</f>
        <v>183312.06099999999</v>
      </c>
    </row>
    <row r="672" spans="1:5">
      <c r="A672" t="str">
        <f>RIGHT(OperatingFunds!$M$6,4)</f>
        <v>2000</v>
      </c>
      <c r="B672" t="str">
        <f>+OperatingFunds!$A$10</f>
        <v>370</v>
      </c>
      <c r="C672" t="s">
        <v>1764</v>
      </c>
      <c r="D672" t="s">
        <v>1770</v>
      </c>
      <c r="E672" s="32">
        <f>INDEX(OperatingFunds!$C$65:$AAF$74,ROW(OperatingFunds!$A$3),ROW(OperatingFunds!A$11))</f>
        <v>41668.078000000001</v>
      </c>
    </row>
    <row r="673" spans="1:5">
      <c r="A673" t="str">
        <f>RIGHT(OperatingFunds!$M$6,4)</f>
        <v>2000</v>
      </c>
      <c r="B673" t="str">
        <f>+OperatingFunds!$A$11</f>
        <v>375</v>
      </c>
      <c r="C673" t="s">
        <v>1764</v>
      </c>
      <c r="D673" t="s">
        <v>1770</v>
      </c>
      <c r="E673" s="32">
        <f>INDEX(OperatingFunds!$C$65:$AAF$74,ROW(OperatingFunds!$A$4),ROW(OperatingFunds!A$11))</f>
        <v>42130.065999999999</v>
      </c>
    </row>
    <row r="674" spans="1:5">
      <c r="A674" t="str">
        <f>RIGHT(OperatingFunds!$M$6,4)</f>
        <v>2000</v>
      </c>
      <c r="B674" t="str">
        <f>+OperatingFunds!$A$12</f>
        <v>376</v>
      </c>
      <c r="C674" t="s">
        <v>1764</v>
      </c>
      <c r="D674" t="s">
        <v>1770</v>
      </c>
      <c r="E674" s="32">
        <f>INDEX(OperatingFunds!$C$65:$AAF$74,ROW(OperatingFunds!$A$5),ROW(OperatingFunds!A$11))</f>
        <v>22388.343000000001</v>
      </c>
    </row>
    <row r="675" spans="1:5">
      <c r="A675" t="str">
        <f>RIGHT(OperatingFunds!$M$6,4)</f>
        <v>2000</v>
      </c>
      <c r="B675" t="str">
        <f>+OperatingFunds!$A$13</f>
        <v>380</v>
      </c>
      <c r="C675" t="s">
        <v>1764</v>
      </c>
      <c r="D675" t="s">
        <v>1770</v>
      </c>
      <c r="E675" s="32">
        <f>INDEX(OperatingFunds!$C$65:$AAF$74,ROW(OperatingFunds!$A$6),ROW(OperatingFunds!A$11))</f>
        <v>53392.33</v>
      </c>
    </row>
    <row r="676" spans="1:5">
      <c r="A676" t="str">
        <f>RIGHT(OperatingFunds!$M$6,4)</f>
        <v>2000</v>
      </c>
      <c r="B676" t="str">
        <f>+OperatingFunds!$A$16</f>
        <v>699</v>
      </c>
      <c r="C676" t="s">
        <v>1764</v>
      </c>
      <c r="D676" t="s">
        <v>1770</v>
      </c>
      <c r="E676" s="32">
        <f>INDEX(OperatingFunds!$C$65:$AAF$74,ROW(OperatingFunds!$A$9),ROW(OperatingFunds!A$11))</f>
        <v>455436.40385</v>
      </c>
    </row>
    <row r="677" spans="1:5">
      <c r="A677" t="str">
        <f>RIGHT(OperatingFunds!$M$6,4)</f>
        <v>2000</v>
      </c>
      <c r="B677" t="str">
        <f>+OperatingFunds!$A$17</f>
        <v>340</v>
      </c>
      <c r="C677" t="s">
        <v>1764</v>
      </c>
      <c r="D677" t="s">
        <v>1770</v>
      </c>
      <c r="E677" s="32">
        <f>INDEX(OperatingFunds!$C$65:$AAF$74,ROW(OperatingFunds!$A$10),ROW(OperatingFunds!A$11))</f>
        <v>106710.88920000001</v>
      </c>
    </row>
    <row r="678" spans="1:5">
      <c r="A678" t="str">
        <f>MID(OperatingFunds!$N$6,3,4)</f>
        <v>2001</v>
      </c>
      <c r="B678" t="str">
        <f>+OperatingFunds!$A$8</f>
        <v>360</v>
      </c>
      <c r="C678" t="s">
        <v>1764</v>
      </c>
      <c r="D678" t="s">
        <v>1770</v>
      </c>
      <c r="E678" s="32">
        <f>INDEX(OperatingFunds!$C$65:$AAF$74,ROW(OperatingFunds!$A$1),ROW(OperatingFunds!A$12))</f>
        <v>335810.87915999995</v>
      </c>
    </row>
    <row r="679" spans="1:5">
      <c r="A679" t="str">
        <f>MID(OperatingFunds!$N$6,3,4)</f>
        <v>2001</v>
      </c>
      <c r="B679" t="str">
        <f>+OperatingFunds!$A$9</f>
        <v>365</v>
      </c>
      <c r="C679" t="s">
        <v>1764</v>
      </c>
      <c r="D679" t="s">
        <v>1770</v>
      </c>
      <c r="E679" s="32">
        <f>INDEX(OperatingFunds!$C$65:$AAF$74,ROW(OperatingFunds!$A$2),ROW(OperatingFunds!A$12))</f>
        <v>197707.86199999999</v>
      </c>
    </row>
    <row r="680" spans="1:5">
      <c r="A680" t="str">
        <f>MID(OperatingFunds!$N$6,3,4)</f>
        <v>2001</v>
      </c>
      <c r="B680" t="str">
        <f>+OperatingFunds!$A$10</f>
        <v>370</v>
      </c>
      <c r="C680" t="s">
        <v>1764</v>
      </c>
      <c r="D680" t="s">
        <v>1770</v>
      </c>
      <c r="E680" s="32">
        <f>INDEX(OperatingFunds!$C$65:$AAF$74,ROW(OperatingFunds!$A$3),ROW(OperatingFunds!A$12))</f>
        <v>43970.171000000002</v>
      </c>
    </row>
    <row r="681" spans="1:5">
      <c r="A681" t="str">
        <f>MID(OperatingFunds!$N$6,3,4)</f>
        <v>2001</v>
      </c>
      <c r="B681" t="str">
        <f>+OperatingFunds!$A$11</f>
        <v>375</v>
      </c>
      <c r="C681" t="s">
        <v>1764</v>
      </c>
      <c r="D681" t="s">
        <v>1770</v>
      </c>
      <c r="E681" s="32">
        <f>INDEX(OperatingFunds!$C$65:$AAF$74,ROW(OperatingFunds!$A$4),ROW(OperatingFunds!A$12))</f>
        <v>44321.897450000004</v>
      </c>
    </row>
    <row r="682" spans="1:5">
      <c r="A682" t="str">
        <f>MID(OperatingFunds!$N$6,3,4)</f>
        <v>2001</v>
      </c>
      <c r="B682" t="str">
        <f>+OperatingFunds!$A$12</f>
        <v>376</v>
      </c>
      <c r="C682" t="s">
        <v>1764</v>
      </c>
      <c r="D682" t="s">
        <v>1770</v>
      </c>
      <c r="E682" s="32">
        <f>INDEX(OperatingFunds!$C$65:$AAF$74,ROW(OperatingFunds!$A$5),ROW(OperatingFunds!A$12))</f>
        <v>24869.694</v>
      </c>
    </row>
    <row r="683" spans="1:5">
      <c r="A683" t="str">
        <f>MID(OperatingFunds!$N$6,3,4)</f>
        <v>2001</v>
      </c>
      <c r="B683" t="str">
        <f>+OperatingFunds!$A$13</f>
        <v>380</v>
      </c>
      <c r="C683" t="s">
        <v>1764</v>
      </c>
      <c r="D683" t="s">
        <v>1770</v>
      </c>
      <c r="E683" s="32">
        <f>INDEX(OperatingFunds!$C$65:$AAF$74,ROW(OperatingFunds!$A$6),ROW(OperatingFunds!A$12))</f>
        <v>57095.087979999997</v>
      </c>
    </row>
    <row r="684" spans="1:5">
      <c r="A684" t="str">
        <f>MID(OperatingFunds!$N$6,3,4)</f>
        <v>2001</v>
      </c>
      <c r="B684" t="str">
        <f>+OperatingFunds!$A$16</f>
        <v>699</v>
      </c>
      <c r="C684" t="s">
        <v>1764</v>
      </c>
      <c r="D684" t="s">
        <v>1770</v>
      </c>
      <c r="E684" s="32">
        <f>INDEX(OperatingFunds!$C$65:$AAF$74,ROW(OperatingFunds!$A$9),ROW(OperatingFunds!A$12))</f>
        <v>493333.36426</v>
      </c>
    </row>
    <row r="685" spans="1:5">
      <c r="A685" t="str">
        <f>MID(OperatingFunds!$N$6,3,4)</f>
        <v>2001</v>
      </c>
      <c r="B685" t="str">
        <f>+OperatingFunds!$A$17</f>
        <v>340</v>
      </c>
      <c r="C685" t="s">
        <v>1764</v>
      </c>
      <c r="D685" t="s">
        <v>1770</v>
      </c>
      <c r="E685" s="32">
        <f>INDEX(OperatingFunds!$C$65:$AAF$74,ROW(OperatingFunds!$A$10),ROW(OperatingFunds!A$12))</f>
        <v>124503.73546000001</v>
      </c>
    </row>
    <row r="686" spans="1:5">
      <c r="A686" t="str">
        <f>RIGHT(OperatingFunds!$O$6,4)</f>
        <v>2002</v>
      </c>
      <c r="B686" t="str">
        <f>+OperatingFunds!$A$8</f>
        <v>360</v>
      </c>
      <c r="C686" t="s">
        <v>1764</v>
      </c>
      <c r="D686" t="s">
        <v>1770</v>
      </c>
      <c r="E686" s="32">
        <f>INDEX(OperatingFunds!$C$65:$AAF$74,ROW(OperatingFunds!$A$1),ROW(OperatingFunds!A$13))</f>
        <v>345476.77648</v>
      </c>
    </row>
    <row r="687" spans="1:5">
      <c r="A687" t="str">
        <f>RIGHT(OperatingFunds!$O$6,4)</f>
        <v>2002</v>
      </c>
      <c r="B687" t="str">
        <f>+OperatingFunds!$A$9</f>
        <v>365</v>
      </c>
      <c r="C687" t="s">
        <v>1764</v>
      </c>
      <c r="D687" t="s">
        <v>1770</v>
      </c>
      <c r="E687" s="32">
        <f>INDEX(OperatingFunds!$C$65:$AAF$74,ROW(OperatingFunds!$A$2),ROW(OperatingFunds!A$13))</f>
        <v>201270.03099999999</v>
      </c>
    </row>
    <row r="688" spans="1:5">
      <c r="A688" t="str">
        <f>RIGHT(OperatingFunds!$O$6,4)</f>
        <v>2002</v>
      </c>
      <c r="B688" t="str">
        <f>+OperatingFunds!$A$10</f>
        <v>370</v>
      </c>
      <c r="C688" t="s">
        <v>1764</v>
      </c>
      <c r="D688" t="s">
        <v>1770</v>
      </c>
      <c r="E688" s="32">
        <f>INDEX(OperatingFunds!$C$65:$AAF$74,ROW(OperatingFunds!$A$3),ROW(OperatingFunds!A$13))</f>
        <v>45591.631999999998</v>
      </c>
    </row>
    <row r="689" spans="1:5">
      <c r="A689" t="str">
        <f>RIGHT(OperatingFunds!$O$6,4)</f>
        <v>2002</v>
      </c>
      <c r="B689" t="str">
        <f>+OperatingFunds!$A$11</f>
        <v>375</v>
      </c>
      <c r="C689" t="s">
        <v>1764</v>
      </c>
      <c r="D689" t="s">
        <v>1770</v>
      </c>
      <c r="E689" s="32">
        <f>INDEX(OperatingFunds!$C$65:$AAF$74,ROW(OperatingFunds!$A$4),ROW(OperatingFunds!A$13))</f>
        <v>44143.528199999993</v>
      </c>
    </row>
    <row r="690" spans="1:5">
      <c r="A690" t="str">
        <f>RIGHT(OperatingFunds!$O$6,4)</f>
        <v>2002</v>
      </c>
      <c r="B690" t="str">
        <f>+OperatingFunds!$A$12</f>
        <v>376</v>
      </c>
      <c r="C690" t="s">
        <v>1764</v>
      </c>
      <c r="D690" t="s">
        <v>1770</v>
      </c>
      <c r="E690" s="32">
        <f>INDEX(OperatingFunds!$C$65:$AAF$74,ROW(OperatingFunds!$A$5),ROW(OperatingFunds!A$13))</f>
        <v>25413.817999999999</v>
      </c>
    </row>
    <row r="691" spans="1:5">
      <c r="A691" t="str">
        <f>RIGHT(OperatingFunds!$O$6,4)</f>
        <v>2002</v>
      </c>
      <c r="B691" t="str">
        <f>+OperatingFunds!$A$13</f>
        <v>380</v>
      </c>
      <c r="C691" t="s">
        <v>1764</v>
      </c>
      <c r="D691" t="s">
        <v>1770</v>
      </c>
      <c r="E691" s="32">
        <f>INDEX(OperatingFunds!$C$65:$AAF$74,ROW(OperatingFunds!$A$6),ROW(OperatingFunds!A$13))</f>
        <v>59840.387999999999</v>
      </c>
    </row>
    <row r="692" spans="1:5">
      <c r="A692" t="str">
        <f>RIGHT(OperatingFunds!$O$6,4)</f>
        <v>2002</v>
      </c>
      <c r="B692" t="str">
        <f>+OperatingFunds!$A$16</f>
        <v>699</v>
      </c>
      <c r="C692" t="s">
        <v>1764</v>
      </c>
      <c r="D692" t="s">
        <v>1770</v>
      </c>
      <c r="E692" s="32">
        <f>INDEX(OperatingFunds!$C$65:$AAF$74,ROW(OperatingFunds!$A$9),ROW(OperatingFunds!A$13))</f>
        <v>514954.04729000002</v>
      </c>
    </row>
    <row r="693" spans="1:5">
      <c r="A693" t="str">
        <f>RIGHT(OperatingFunds!$O$6,4)</f>
        <v>2002</v>
      </c>
      <c r="B693" t="str">
        <f>+OperatingFunds!$A$17</f>
        <v>340</v>
      </c>
      <c r="C693" t="s">
        <v>1764</v>
      </c>
      <c r="D693" t="s">
        <v>1770</v>
      </c>
      <c r="E693" s="32">
        <f>INDEX(OperatingFunds!$C$65:$AAF$74,ROW(OperatingFunds!$A$10),ROW(OperatingFunds!A$13))</f>
        <v>125863.46089</v>
      </c>
    </row>
    <row r="694" spans="1:5">
      <c r="A694" t="str">
        <f>RIGHT(OperatingFunds!$P$6,4)</f>
        <v>2003</v>
      </c>
      <c r="B694" t="str">
        <f>+OperatingFunds!$A$8</f>
        <v>360</v>
      </c>
      <c r="C694" t="s">
        <v>1764</v>
      </c>
      <c r="D694" t="s">
        <v>1770</v>
      </c>
      <c r="E694" s="32">
        <f>INDEX(OperatingFunds!$C$65:$AAF$74,ROW(OperatingFunds!$A$1),ROW(OperatingFunds!A$14))</f>
        <v>333762.49959000002</v>
      </c>
    </row>
    <row r="695" spans="1:5">
      <c r="A695" t="str">
        <f>RIGHT(OperatingFunds!$P$6,4)</f>
        <v>2003</v>
      </c>
      <c r="B695" t="str">
        <f>+OperatingFunds!$A$9</f>
        <v>365</v>
      </c>
      <c r="C695" t="s">
        <v>1764</v>
      </c>
      <c r="D695" t="s">
        <v>1770</v>
      </c>
      <c r="E695" s="32">
        <f>INDEX(OperatingFunds!$C$65:$AAF$74,ROW(OperatingFunds!$A$2),ROW(OperatingFunds!A$14))</f>
        <v>194177.66447999998</v>
      </c>
    </row>
    <row r="696" spans="1:5">
      <c r="A696" t="str">
        <f>RIGHT(OperatingFunds!$P$6,4)</f>
        <v>2003</v>
      </c>
      <c r="B696" t="str">
        <f>+OperatingFunds!$A$10</f>
        <v>370</v>
      </c>
      <c r="C696" t="s">
        <v>1764</v>
      </c>
      <c r="D696" t="s">
        <v>1770</v>
      </c>
      <c r="E696" s="32">
        <f>INDEX(OperatingFunds!$C$65:$AAF$74,ROW(OperatingFunds!$A$3),ROW(OperatingFunds!A$14))</f>
        <v>43906.379000000001</v>
      </c>
    </row>
    <row r="697" spans="1:5">
      <c r="A697" t="str">
        <f>RIGHT(OperatingFunds!$P$6,4)</f>
        <v>2003</v>
      </c>
      <c r="B697" t="str">
        <f>+OperatingFunds!$A$11</f>
        <v>375</v>
      </c>
      <c r="C697" t="s">
        <v>1764</v>
      </c>
      <c r="D697" t="s">
        <v>1770</v>
      </c>
      <c r="E697" s="32">
        <f>INDEX(OperatingFunds!$C$65:$AAF$74,ROW(OperatingFunds!$A$4),ROW(OperatingFunds!A$14))</f>
        <v>41599.184879999993</v>
      </c>
    </row>
    <row r="698" spans="1:5">
      <c r="A698" t="str">
        <f>RIGHT(OperatingFunds!$P$6,4)</f>
        <v>2003</v>
      </c>
      <c r="B698" t="str">
        <f>+OperatingFunds!$A$12</f>
        <v>376</v>
      </c>
      <c r="C698" t="s">
        <v>1764</v>
      </c>
      <c r="D698" t="s">
        <v>1770</v>
      </c>
      <c r="E698" s="32">
        <f>INDEX(OperatingFunds!$C$65:$AAF$74,ROW(OperatingFunds!$A$5),ROW(OperatingFunds!A$14))</f>
        <v>24342.161</v>
      </c>
    </row>
    <row r="699" spans="1:5">
      <c r="A699" t="str">
        <f>RIGHT(OperatingFunds!$P$6,4)</f>
        <v>2003</v>
      </c>
      <c r="B699" t="str">
        <f>+OperatingFunds!$A$13</f>
        <v>380</v>
      </c>
      <c r="C699" t="s">
        <v>1764</v>
      </c>
      <c r="D699" t="s">
        <v>1770</v>
      </c>
      <c r="E699" s="32">
        <f>INDEX(OperatingFunds!$C$65:$AAF$74,ROW(OperatingFunds!$A$6),ROW(OperatingFunds!A$14))</f>
        <v>57965.646050000003</v>
      </c>
    </row>
    <row r="700" spans="1:5">
      <c r="A700" t="str">
        <f>RIGHT(OperatingFunds!$P$6,4)</f>
        <v>2003</v>
      </c>
      <c r="B700" t="str">
        <f>+OperatingFunds!$A$16</f>
        <v>699</v>
      </c>
      <c r="C700" t="s">
        <v>1764</v>
      </c>
      <c r="D700" t="s">
        <v>1770</v>
      </c>
      <c r="E700" s="32">
        <f>INDEX(OperatingFunds!$C$65:$AAF$74,ROW(OperatingFunds!$A$9),ROW(OperatingFunds!A$14))</f>
        <v>534151.50091000006</v>
      </c>
    </row>
    <row r="701" spans="1:5">
      <c r="A701" t="str">
        <f>RIGHT(OperatingFunds!$P$6,4)</f>
        <v>2003</v>
      </c>
      <c r="B701" t="str">
        <f>+OperatingFunds!$A$17</f>
        <v>340</v>
      </c>
      <c r="C701" t="s">
        <v>1764</v>
      </c>
      <c r="D701" t="s">
        <v>1770</v>
      </c>
      <c r="E701" s="32">
        <f>INDEX(OperatingFunds!$C$65:$AAF$74,ROW(OperatingFunds!$A$10),ROW(OperatingFunds!A$14))</f>
        <v>138130.20137999998</v>
      </c>
    </row>
    <row r="702" spans="1:5">
      <c r="A702" t="str">
        <f>MID(OperatingFunds!$Q$6,3,4)</f>
        <v>2004</v>
      </c>
      <c r="B702" t="str">
        <f>+OperatingFunds!$A$8</f>
        <v>360</v>
      </c>
      <c r="C702" t="s">
        <v>1764</v>
      </c>
      <c r="D702" t="s">
        <v>1770</v>
      </c>
      <c r="E702" s="32">
        <f>INDEX(OperatingFunds!$C$65:$AAF$74,ROW(OperatingFunds!$A$1),ROW(OperatingFunds!A$15))</f>
        <v>312047.25599999999</v>
      </c>
    </row>
    <row r="703" spans="1:5">
      <c r="A703" t="str">
        <f>MID(OperatingFunds!$Q$6,3,4)</f>
        <v>2004</v>
      </c>
      <c r="B703" t="str">
        <f>+OperatingFunds!$A$9</f>
        <v>365</v>
      </c>
      <c r="C703" t="s">
        <v>1764</v>
      </c>
      <c r="D703" t="s">
        <v>1770</v>
      </c>
      <c r="E703" s="32">
        <f>INDEX(OperatingFunds!$C$65:$AAF$74,ROW(OperatingFunds!$A$2),ROW(OperatingFunds!A$15))</f>
        <v>187044.18400000001</v>
      </c>
    </row>
    <row r="704" spans="1:5">
      <c r="A704" t="str">
        <f>MID(OperatingFunds!$Q$6,3,4)</f>
        <v>2004</v>
      </c>
      <c r="B704" t="str">
        <f>+OperatingFunds!$A$10</f>
        <v>370</v>
      </c>
      <c r="C704" t="s">
        <v>1764</v>
      </c>
      <c r="D704" t="s">
        <v>1770</v>
      </c>
      <c r="E704" s="32">
        <f>INDEX(OperatingFunds!$C$65:$AAF$74,ROW(OperatingFunds!$A$3),ROW(OperatingFunds!A$15))</f>
        <v>41928.862540000002</v>
      </c>
    </row>
    <row r="705" spans="1:5">
      <c r="A705" t="str">
        <f>MID(OperatingFunds!$Q$6,3,4)</f>
        <v>2004</v>
      </c>
      <c r="B705" t="str">
        <f>+OperatingFunds!$A$11</f>
        <v>375</v>
      </c>
      <c r="C705" t="s">
        <v>1764</v>
      </c>
      <c r="D705" t="s">
        <v>1770</v>
      </c>
      <c r="E705" s="32">
        <f>INDEX(OperatingFunds!$C$65:$AAF$74,ROW(OperatingFunds!$A$4),ROW(OperatingFunds!A$15))</f>
        <v>40839.830430000002</v>
      </c>
    </row>
    <row r="706" spans="1:5">
      <c r="A706" t="str">
        <f>MID(OperatingFunds!$Q$6,3,4)</f>
        <v>2004</v>
      </c>
      <c r="B706" t="str">
        <f>+OperatingFunds!$A$12</f>
        <v>376</v>
      </c>
      <c r="C706" t="s">
        <v>1764</v>
      </c>
      <c r="D706" t="s">
        <v>1770</v>
      </c>
      <c r="E706" s="32">
        <f>INDEX(OperatingFunds!$C$65:$AAF$74,ROW(OperatingFunds!$A$5),ROW(OperatingFunds!A$15))</f>
        <v>23121.200000000001</v>
      </c>
    </row>
    <row r="707" spans="1:5">
      <c r="A707" t="str">
        <f>MID(OperatingFunds!$Q$6,3,4)</f>
        <v>2004</v>
      </c>
      <c r="B707" t="str">
        <f>+OperatingFunds!$A$13</f>
        <v>380</v>
      </c>
      <c r="C707" t="s">
        <v>1764</v>
      </c>
      <c r="D707" t="s">
        <v>1770</v>
      </c>
      <c r="E707" s="32">
        <f>INDEX(OperatingFunds!$C$65:$AAF$74,ROW(OperatingFunds!$A$6),ROW(OperatingFunds!A$15))</f>
        <v>54645.436829999999</v>
      </c>
    </row>
    <row r="708" spans="1:5">
      <c r="A708" t="str">
        <f>MID(OperatingFunds!$Q$6,3,4)</f>
        <v>2004</v>
      </c>
      <c r="B708" t="str">
        <f>+OperatingFunds!$A$16</f>
        <v>699</v>
      </c>
      <c r="C708" t="s">
        <v>1764</v>
      </c>
      <c r="D708" t="s">
        <v>1770</v>
      </c>
      <c r="E708" s="32">
        <f>INDEX(OperatingFunds!$C$65:$AAF$74,ROW(OperatingFunds!$A$9),ROW(OperatingFunds!A$15))</f>
        <v>509382.42418999999</v>
      </c>
    </row>
    <row r="709" spans="1:5">
      <c r="A709" t="str">
        <f>MID(OperatingFunds!$Q$6,3,4)</f>
        <v>2004</v>
      </c>
      <c r="B709" t="str">
        <f>+OperatingFunds!$A$17</f>
        <v>340</v>
      </c>
      <c r="C709" t="s">
        <v>1764</v>
      </c>
      <c r="D709" t="s">
        <v>1770</v>
      </c>
      <c r="E709" s="32">
        <f>INDEX(OperatingFunds!$C$65:$AAF$74,ROW(OperatingFunds!$A$10),ROW(OperatingFunds!A$15))</f>
        <v>147382.80502</v>
      </c>
    </row>
    <row r="710" spans="1:5">
      <c r="A710" t="str">
        <f>MID(OperatingFunds!$R$6,3,4)</f>
        <v>2005</v>
      </c>
      <c r="B710" t="str">
        <f>+OperatingFunds!$A$8</f>
        <v>360</v>
      </c>
      <c r="C710" t="s">
        <v>1764</v>
      </c>
      <c r="D710" t="s">
        <v>1770</v>
      </c>
      <c r="E710" s="32">
        <f>INDEX(OperatingFunds!$C$65:$AAF$74,ROW(OperatingFunds!$A$1),ROW(OperatingFunds!A$16))</f>
        <v>326917.11900000001</v>
      </c>
    </row>
    <row r="711" spans="1:5">
      <c r="A711" t="str">
        <f>MID(OperatingFunds!$R$6,3,4)</f>
        <v>2005</v>
      </c>
      <c r="B711" t="str">
        <f>+OperatingFunds!$A$9</f>
        <v>365</v>
      </c>
      <c r="C711" t="s">
        <v>1764</v>
      </c>
      <c r="D711" t="s">
        <v>1770</v>
      </c>
      <c r="E711" s="32">
        <f>INDEX(OperatingFunds!$C$65:$AAF$74,ROW(OperatingFunds!$A$2),ROW(OperatingFunds!A$16))</f>
        <v>195701.58726000003</v>
      </c>
    </row>
    <row r="712" spans="1:5">
      <c r="A712" t="str">
        <f>MID(OperatingFunds!$R$6,3,4)</f>
        <v>2005</v>
      </c>
      <c r="B712" t="str">
        <f>+OperatingFunds!$A$10</f>
        <v>370</v>
      </c>
      <c r="C712" t="s">
        <v>1764</v>
      </c>
      <c r="D712" t="s">
        <v>1770</v>
      </c>
      <c r="E712" s="32">
        <f>INDEX(OperatingFunds!$C$65:$AAF$74,ROW(OperatingFunds!$A$3),ROW(OperatingFunds!A$16))</f>
        <v>43978.451000000001</v>
      </c>
    </row>
    <row r="713" spans="1:5">
      <c r="A713" t="str">
        <f>MID(OperatingFunds!$R$6,3,4)</f>
        <v>2005</v>
      </c>
      <c r="B713" t="str">
        <f>+OperatingFunds!$A$11</f>
        <v>375</v>
      </c>
      <c r="C713" t="s">
        <v>1764</v>
      </c>
      <c r="D713" t="s">
        <v>1770</v>
      </c>
      <c r="E713" s="32">
        <f>INDEX(OperatingFunds!$C$65:$AAF$74,ROW(OperatingFunds!$A$4),ROW(OperatingFunds!A$16))</f>
        <v>43452.648400000005</v>
      </c>
    </row>
    <row r="714" spans="1:5">
      <c r="A714" t="str">
        <f>MID(OperatingFunds!$R$6,3,4)</f>
        <v>2005</v>
      </c>
      <c r="B714" t="str">
        <f>+OperatingFunds!$A$12</f>
        <v>376</v>
      </c>
      <c r="C714" t="s">
        <v>1764</v>
      </c>
      <c r="D714" t="s">
        <v>1770</v>
      </c>
      <c r="E714" s="32">
        <f>INDEX(OperatingFunds!$C$65:$AAF$74,ROW(OperatingFunds!$A$5),ROW(OperatingFunds!A$16))</f>
        <v>24366.954999999998</v>
      </c>
    </row>
    <row r="715" spans="1:5">
      <c r="A715" t="str">
        <f>MID(OperatingFunds!$R$6,3,4)</f>
        <v>2005</v>
      </c>
      <c r="B715" t="str">
        <f>+OperatingFunds!$A$13</f>
        <v>380</v>
      </c>
      <c r="C715" t="s">
        <v>1764</v>
      </c>
      <c r="D715" t="s">
        <v>1770</v>
      </c>
      <c r="E715" s="32">
        <f>INDEX(OperatingFunds!$C$65:$AAF$74,ROW(OperatingFunds!$A$6),ROW(OperatingFunds!A$16))</f>
        <v>57053.581410000006</v>
      </c>
    </row>
    <row r="716" spans="1:5">
      <c r="A716" t="str">
        <f>MID(OperatingFunds!$R$6,3,4)</f>
        <v>2005</v>
      </c>
      <c r="B716" t="str">
        <f>+OperatingFunds!$A$16</f>
        <v>699</v>
      </c>
      <c r="C716" t="s">
        <v>1764</v>
      </c>
      <c r="D716" t="s">
        <v>1770</v>
      </c>
      <c r="E716" s="32">
        <f>INDEX(OperatingFunds!$C$65:$AAF$74,ROW(OperatingFunds!$A$9),ROW(OperatingFunds!A$16))</f>
        <v>524122.23387</v>
      </c>
    </row>
    <row r="717" spans="1:5">
      <c r="A717" t="str">
        <f>MID(OperatingFunds!$R$6,3,4)</f>
        <v>2005</v>
      </c>
      <c r="B717" t="str">
        <f>+OperatingFunds!$A$17</f>
        <v>340</v>
      </c>
      <c r="C717" t="s">
        <v>1764</v>
      </c>
      <c r="D717" t="s">
        <v>1770</v>
      </c>
      <c r="E717" s="32">
        <f>INDEX(OperatingFunds!$C$65:$AAF$74,ROW(OperatingFunds!$A$10),ROW(OperatingFunds!A$16))</f>
        <v>165712.82459999999</v>
      </c>
    </row>
    <row r="718" spans="1:5">
      <c r="A718" t="str">
        <f>RIGHT(OperatingFunds!$S$6,4)</f>
        <v>2006</v>
      </c>
      <c r="B718" t="str">
        <f>+OperatingFunds!$A$8</f>
        <v>360</v>
      </c>
      <c r="C718" t="s">
        <v>1764</v>
      </c>
      <c r="D718" t="s">
        <v>1770</v>
      </c>
      <c r="E718" s="32">
        <f>INDEX(OperatingFunds!$C$65:$AAF$74,ROW(OperatingFunds!$A$1),ROW(OperatingFunds!A$17))</f>
        <v>337460.32607000007</v>
      </c>
    </row>
    <row r="719" spans="1:5">
      <c r="A719" t="str">
        <f>RIGHT(OperatingFunds!$S$6,4)</f>
        <v>2006</v>
      </c>
      <c r="B719" t="str">
        <f>+OperatingFunds!$A$9</f>
        <v>365</v>
      </c>
      <c r="C719" t="s">
        <v>1764</v>
      </c>
      <c r="D719" t="s">
        <v>1770</v>
      </c>
      <c r="E719" s="32">
        <f>INDEX(OperatingFunds!$C$65:$AAF$74,ROW(OperatingFunds!$A$2),ROW(OperatingFunds!A$17))</f>
        <v>206409</v>
      </c>
    </row>
    <row r="720" spans="1:5">
      <c r="A720" t="str">
        <f>RIGHT(OperatingFunds!$S$6,4)</f>
        <v>2006</v>
      </c>
      <c r="B720" t="str">
        <f>+OperatingFunds!$A$10</f>
        <v>370</v>
      </c>
      <c r="C720" t="s">
        <v>1764</v>
      </c>
      <c r="D720" t="s">
        <v>1770</v>
      </c>
      <c r="E720" s="32">
        <f>INDEX(OperatingFunds!$C$65:$AAF$74,ROW(OperatingFunds!$A$3),ROW(OperatingFunds!A$17))</f>
        <v>46277</v>
      </c>
    </row>
    <row r="721" spans="1:5">
      <c r="A721" t="str">
        <f>RIGHT(OperatingFunds!$S$6,4)</f>
        <v>2006</v>
      </c>
      <c r="B721" t="str">
        <f>+OperatingFunds!$A$11</f>
        <v>375</v>
      </c>
      <c r="C721" t="s">
        <v>1764</v>
      </c>
      <c r="D721" t="s">
        <v>1770</v>
      </c>
      <c r="E721" s="32">
        <f>INDEX(OperatingFunds!$C$65:$AAF$74,ROW(OperatingFunds!$A$4),ROW(OperatingFunds!A$17))</f>
        <v>45563</v>
      </c>
    </row>
    <row r="722" spans="1:5">
      <c r="A722" t="str">
        <f>RIGHT(OperatingFunds!$S$6,4)</f>
        <v>2006</v>
      </c>
      <c r="B722" t="str">
        <f>+OperatingFunds!$A$12</f>
        <v>376</v>
      </c>
      <c r="C722" t="s">
        <v>1764</v>
      </c>
      <c r="D722" t="s">
        <v>1770</v>
      </c>
      <c r="E722" s="32">
        <f>INDEX(OperatingFunds!$C$65:$AAF$74,ROW(OperatingFunds!$A$5),ROW(OperatingFunds!A$17))</f>
        <v>25648</v>
      </c>
    </row>
    <row r="723" spans="1:5">
      <c r="A723" t="str">
        <f>RIGHT(OperatingFunds!$S$6,4)</f>
        <v>2006</v>
      </c>
      <c r="B723" t="str">
        <f>+OperatingFunds!$A$13</f>
        <v>380</v>
      </c>
      <c r="C723" t="s">
        <v>1764</v>
      </c>
      <c r="D723" t="s">
        <v>1770</v>
      </c>
      <c r="E723" s="32">
        <f>INDEX(OperatingFunds!$C$65:$AAF$74,ROW(OperatingFunds!$A$6),ROW(OperatingFunds!A$17))</f>
        <v>58964</v>
      </c>
    </row>
    <row r="724" spans="1:5">
      <c r="A724" t="str">
        <f>RIGHT(OperatingFunds!$S$6,4)</f>
        <v>2006</v>
      </c>
      <c r="B724" t="str">
        <f>+OperatingFunds!$A$16</f>
        <v>699</v>
      </c>
      <c r="C724" t="s">
        <v>1764</v>
      </c>
      <c r="D724" t="s">
        <v>1770</v>
      </c>
      <c r="E724" s="32">
        <f>INDEX(OperatingFunds!$C$65:$AAF$74,ROW(OperatingFunds!$A$9),ROW(OperatingFunds!A$17))</f>
        <v>558362.72698000004</v>
      </c>
    </row>
    <row r="725" spans="1:5">
      <c r="A725" t="str">
        <f>RIGHT(OperatingFunds!$S$6,4)</f>
        <v>2006</v>
      </c>
      <c r="B725" t="str">
        <f>+OperatingFunds!$A$17</f>
        <v>340</v>
      </c>
      <c r="C725" t="s">
        <v>1764</v>
      </c>
      <c r="D725" t="s">
        <v>1770</v>
      </c>
      <c r="E725" s="32">
        <f>INDEX(OperatingFunds!$C$65:$AAF$74,ROW(OperatingFunds!$A$10),ROW(OperatingFunds!A$17))</f>
        <v>162107.80129</v>
      </c>
    </row>
    <row r="726" spans="1:5">
      <c r="A726" t="str">
        <f>RIGHT(OperatingFunds!$T$6,4)</f>
        <v>2007</v>
      </c>
      <c r="B726" t="str">
        <f>+OperatingFunds!$A$8</f>
        <v>360</v>
      </c>
      <c r="C726" t="s">
        <v>1764</v>
      </c>
      <c r="D726" t="s">
        <v>1770</v>
      </c>
      <c r="E726" s="32">
        <f>INDEX(OperatingFunds!$C$65:$AAF$74,ROW(OperatingFunds!$A$1),ROW(OperatingFunds!A$18))</f>
        <v>351957.48443999997</v>
      </c>
    </row>
    <row r="727" spans="1:5">
      <c r="A727" t="str">
        <f>RIGHT(OperatingFunds!$T$6,4)</f>
        <v>2007</v>
      </c>
      <c r="B727" t="str">
        <f>+OperatingFunds!$A$9</f>
        <v>365</v>
      </c>
      <c r="C727" t="s">
        <v>1764</v>
      </c>
      <c r="D727" t="s">
        <v>1770</v>
      </c>
      <c r="E727" s="32">
        <f>INDEX(OperatingFunds!$C$65:$AAF$74,ROW(OperatingFunds!$A$2),ROW(OperatingFunds!A$18))</f>
        <v>213133.01500000001</v>
      </c>
    </row>
    <row r="728" spans="1:5">
      <c r="A728" t="str">
        <f>RIGHT(OperatingFunds!$T$6,4)</f>
        <v>2007</v>
      </c>
      <c r="B728" t="str">
        <f>+OperatingFunds!$A$10</f>
        <v>370</v>
      </c>
      <c r="C728" t="s">
        <v>1764</v>
      </c>
      <c r="D728" t="s">
        <v>1770</v>
      </c>
      <c r="E728" s="32">
        <f>INDEX(OperatingFunds!$C$65:$AAF$74,ROW(OperatingFunds!$A$3),ROW(OperatingFunds!A$18))</f>
        <v>47123.040000000001</v>
      </c>
    </row>
    <row r="729" spans="1:5">
      <c r="A729" t="str">
        <f>RIGHT(OperatingFunds!$T$6,4)</f>
        <v>2007</v>
      </c>
      <c r="B729" t="str">
        <f>+OperatingFunds!$A$11</f>
        <v>375</v>
      </c>
      <c r="C729" t="s">
        <v>1764</v>
      </c>
      <c r="D729" t="s">
        <v>1770</v>
      </c>
      <c r="E729" s="32">
        <f>INDEX(OperatingFunds!$C$65:$AAF$74,ROW(OperatingFunds!$A$4),ROW(OperatingFunds!A$18))</f>
        <v>46902.258999999998</v>
      </c>
    </row>
    <row r="730" spans="1:5">
      <c r="A730" t="str">
        <f>RIGHT(OperatingFunds!$T$6,4)</f>
        <v>2007</v>
      </c>
      <c r="B730" t="str">
        <f>+OperatingFunds!$A$12</f>
        <v>376</v>
      </c>
      <c r="C730" t="s">
        <v>1764</v>
      </c>
      <c r="D730" t="s">
        <v>1770</v>
      </c>
      <c r="E730" s="32">
        <f>INDEX(OperatingFunds!$C$65:$AAF$74,ROW(OperatingFunds!$A$5),ROW(OperatingFunds!A$18))</f>
        <v>26856.725999999999</v>
      </c>
    </row>
    <row r="731" spans="1:5">
      <c r="A731" t="str">
        <f>RIGHT(OperatingFunds!$T$6,4)</f>
        <v>2007</v>
      </c>
      <c r="B731" t="str">
        <f>+OperatingFunds!$A$13</f>
        <v>380</v>
      </c>
      <c r="C731" t="s">
        <v>1764</v>
      </c>
      <c r="D731" t="s">
        <v>1770</v>
      </c>
      <c r="E731" s="32">
        <f>INDEX(OperatingFunds!$C$65:$AAF$74,ROW(OperatingFunds!$A$6),ROW(OperatingFunds!A$18))</f>
        <v>61331.508000000002</v>
      </c>
    </row>
    <row r="732" spans="1:5">
      <c r="A732" t="str">
        <f>RIGHT(OperatingFunds!$T$6,4)</f>
        <v>2007</v>
      </c>
      <c r="B732" t="str">
        <f>+OperatingFunds!$A$16</f>
        <v>699</v>
      </c>
      <c r="C732" t="s">
        <v>1764</v>
      </c>
      <c r="D732" t="s">
        <v>1770</v>
      </c>
      <c r="E732" s="32">
        <f>INDEX(OperatingFunds!$C$65:$AAF$74,ROW(OperatingFunds!$A$9),ROW(OperatingFunds!A$18))</f>
        <v>584578.03090000001</v>
      </c>
    </row>
    <row r="733" spans="1:5">
      <c r="A733" t="str">
        <f>RIGHT(OperatingFunds!$T$6,4)</f>
        <v>2007</v>
      </c>
      <c r="B733" t="str">
        <f>+OperatingFunds!$A$17</f>
        <v>340</v>
      </c>
      <c r="C733" t="s">
        <v>1764</v>
      </c>
      <c r="D733" t="s">
        <v>1770</v>
      </c>
      <c r="E733" s="32">
        <f>INDEX(OperatingFunds!$C$65:$AAF$74,ROW(OperatingFunds!$A$10),ROW(OperatingFunds!A$18))</f>
        <v>169328.28761000003</v>
      </c>
    </row>
    <row r="734" spans="1:5">
      <c r="A734" t="str">
        <f>RIGHT(OperatingFunds!$U$6,4)</f>
        <v>2008</v>
      </c>
      <c r="B734" t="str">
        <f>+OperatingFunds!$A$8</f>
        <v>360</v>
      </c>
      <c r="C734" t="s">
        <v>1764</v>
      </c>
      <c r="D734" t="s">
        <v>1770</v>
      </c>
      <c r="E734" s="32">
        <f>INDEX(OperatingFunds!$C$65:$AAF$74,ROW(OperatingFunds!$A$1),ROW(OperatingFunds!A$19))</f>
        <v>373689.18984000001</v>
      </c>
    </row>
    <row r="735" spans="1:5">
      <c r="A735" t="str">
        <f>RIGHT(OperatingFunds!$U$6,4)</f>
        <v>2008</v>
      </c>
      <c r="B735" t="str">
        <f>+OperatingFunds!$A$9</f>
        <v>365</v>
      </c>
      <c r="C735" t="s">
        <v>1764</v>
      </c>
      <c r="D735" t="s">
        <v>1770</v>
      </c>
      <c r="E735" s="32">
        <f>INDEX(OperatingFunds!$C$65:$AAF$74,ROW(OperatingFunds!$A$2),ROW(OperatingFunds!A$19))</f>
        <v>232087.03757999997</v>
      </c>
    </row>
    <row r="736" spans="1:5">
      <c r="A736" t="str">
        <f>RIGHT(OperatingFunds!$U$6,4)</f>
        <v>2008</v>
      </c>
      <c r="B736" t="str">
        <f>+OperatingFunds!$A$10</f>
        <v>370</v>
      </c>
      <c r="C736" t="s">
        <v>1764</v>
      </c>
      <c r="D736" t="s">
        <v>1770</v>
      </c>
      <c r="E736" s="32">
        <f>INDEX(OperatingFunds!$C$65:$AAF$74,ROW(OperatingFunds!$A$3),ROW(OperatingFunds!A$19))</f>
        <v>48911</v>
      </c>
    </row>
    <row r="737" spans="1:5">
      <c r="A737" t="str">
        <f>RIGHT(OperatingFunds!$U$6,4)</f>
        <v>2008</v>
      </c>
      <c r="B737" t="str">
        <f>+OperatingFunds!$A$11</f>
        <v>375</v>
      </c>
      <c r="C737" t="s">
        <v>1764</v>
      </c>
      <c r="D737" t="s">
        <v>1770</v>
      </c>
      <c r="E737" s="32">
        <f>INDEX(OperatingFunds!$C$65:$AAF$74,ROW(OperatingFunds!$A$4),ROW(OperatingFunds!A$19))</f>
        <v>47691</v>
      </c>
    </row>
    <row r="738" spans="1:5">
      <c r="A738" t="str">
        <f>RIGHT(OperatingFunds!$U$6,4)</f>
        <v>2008</v>
      </c>
      <c r="B738" t="str">
        <f>+OperatingFunds!$A$12</f>
        <v>376</v>
      </c>
      <c r="C738" t="s">
        <v>1764</v>
      </c>
      <c r="D738" t="s">
        <v>1770</v>
      </c>
      <c r="E738" s="32">
        <f>INDEX(OperatingFunds!$C$65:$AAF$74,ROW(OperatingFunds!$A$5),ROW(OperatingFunds!A$19))</f>
        <v>29747</v>
      </c>
    </row>
    <row r="739" spans="1:5">
      <c r="A739" t="str">
        <f>RIGHT(OperatingFunds!$U$6,4)</f>
        <v>2008</v>
      </c>
      <c r="B739" t="str">
        <f>+OperatingFunds!$A$13</f>
        <v>380</v>
      </c>
      <c r="C739" t="s">
        <v>1764</v>
      </c>
      <c r="D739" t="s">
        <v>1770</v>
      </c>
      <c r="E739" s="32">
        <f>INDEX(OperatingFunds!$C$65:$AAF$74,ROW(OperatingFunds!$A$6),ROW(OperatingFunds!A$19))</f>
        <v>66773.998500000002</v>
      </c>
    </row>
    <row r="740" spans="1:5">
      <c r="A740" t="str">
        <f>RIGHT(OperatingFunds!$U$6,4)</f>
        <v>2008</v>
      </c>
      <c r="B740" t="str">
        <f>+OperatingFunds!$A$16</f>
        <v>699</v>
      </c>
      <c r="C740" t="s">
        <v>1764</v>
      </c>
      <c r="D740" t="s">
        <v>1770</v>
      </c>
      <c r="E740" s="32">
        <f>INDEX(OperatingFunds!$C$65:$AAF$74,ROW(OperatingFunds!$A$9),ROW(OperatingFunds!A$19))</f>
        <v>617365.99424999999</v>
      </c>
    </row>
    <row r="741" spans="1:5">
      <c r="A741" t="str">
        <f>RIGHT(OperatingFunds!$U$6,4)</f>
        <v>2008</v>
      </c>
      <c r="B741" t="str">
        <f>+OperatingFunds!$A$17</f>
        <v>340</v>
      </c>
      <c r="C741" t="s">
        <v>1764</v>
      </c>
      <c r="D741" t="s">
        <v>1770</v>
      </c>
      <c r="E741" s="32">
        <f>INDEX(OperatingFunds!$C$65:$AAF$74,ROW(OperatingFunds!$A$10),ROW(OperatingFunds!A$19))</f>
        <v>170248.09026</v>
      </c>
    </row>
    <row r="742" spans="1:5">
      <c r="A742" t="str">
        <f>RIGHT(OperatingFunds!$V$6,4)</f>
        <v>2009</v>
      </c>
      <c r="B742" t="str">
        <f>+OperatingFunds!$A$8</f>
        <v>360</v>
      </c>
      <c r="C742" t="s">
        <v>1764</v>
      </c>
      <c r="D742" t="s">
        <v>1770</v>
      </c>
      <c r="E742" s="32">
        <f>INDEX(OperatingFunds!$C$65:$AAF$74,ROW(OperatingFunds!$A$1),ROW(OperatingFunds!A$20))</f>
        <v>358707.24752999999</v>
      </c>
    </row>
    <row r="743" spans="1:5">
      <c r="A743" t="str">
        <f>RIGHT(OperatingFunds!$V$6,4)</f>
        <v>2009</v>
      </c>
      <c r="B743" t="str">
        <f>+OperatingFunds!$A$9</f>
        <v>365</v>
      </c>
      <c r="C743" t="s">
        <v>1764</v>
      </c>
      <c r="D743" t="s">
        <v>1770</v>
      </c>
      <c r="E743" s="32">
        <f>INDEX(OperatingFunds!$C$65:$AAF$74,ROW(OperatingFunds!$A$2),ROW(OperatingFunds!A$20))</f>
        <v>223360.07693000001</v>
      </c>
    </row>
    <row r="744" spans="1:5">
      <c r="A744" t="str">
        <f>RIGHT(OperatingFunds!$V$6,4)</f>
        <v>2009</v>
      </c>
      <c r="B744" t="str">
        <f>+OperatingFunds!$A$10</f>
        <v>370</v>
      </c>
      <c r="C744" t="s">
        <v>1764</v>
      </c>
      <c r="D744" t="s">
        <v>1770</v>
      </c>
      <c r="E744" s="32">
        <f>INDEX(OperatingFunds!$C$65:$AAF$74,ROW(OperatingFunds!$A$3),ROW(OperatingFunds!A$20))</f>
        <v>45771</v>
      </c>
    </row>
    <row r="745" spans="1:5">
      <c r="A745" t="str">
        <f>RIGHT(OperatingFunds!$V$6,4)</f>
        <v>2009</v>
      </c>
      <c r="B745" t="str">
        <f>+OperatingFunds!$A$11</f>
        <v>375</v>
      </c>
      <c r="C745" t="s">
        <v>1764</v>
      </c>
      <c r="D745" t="s">
        <v>1770</v>
      </c>
      <c r="E745" s="32">
        <f>INDEX(OperatingFunds!$C$65:$AAF$74,ROW(OperatingFunds!$A$4),ROW(OperatingFunds!A$20))</f>
        <v>45275</v>
      </c>
    </row>
    <row r="746" spans="1:5">
      <c r="A746" t="str">
        <f>RIGHT(OperatingFunds!$V$6,4)</f>
        <v>2009</v>
      </c>
      <c r="B746" t="str">
        <f>+OperatingFunds!$A$12</f>
        <v>376</v>
      </c>
      <c r="C746" t="s">
        <v>1764</v>
      </c>
      <c r="D746" t="s">
        <v>1770</v>
      </c>
      <c r="E746" s="32">
        <f>INDEX(OperatingFunds!$C$65:$AAF$74,ROW(OperatingFunds!$A$5),ROW(OperatingFunds!A$20))</f>
        <v>27973</v>
      </c>
    </row>
    <row r="747" spans="1:5">
      <c r="A747" t="str">
        <f>RIGHT(OperatingFunds!$V$6,4)</f>
        <v>2009</v>
      </c>
      <c r="B747" t="str">
        <f>+OperatingFunds!$A$13</f>
        <v>380</v>
      </c>
      <c r="C747" t="s">
        <v>1764</v>
      </c>
      <c r="D747" t="s">
        <v>1770</v>
      </c>
      <c r="E747" s="32">
        <f>INDEX(OperatingFunds!$C$65:$AAF$74,ROW(OperatingFunds!$A$6),ROW(OperatingFunds!A$20))</f>
        <v>64450</v>
      </c>
    </row>
    <row r="748" spans="1:5">
      <c r="A748" t="str">
        <f>RIGHT(OperatingFunds!$V$6,4)</f>
        <v>2009</v>
      </c>
      <c r="B748" t="str">
        <f>+OperatingFunds!$A$16</f>
        <v>699</v>
      </c>
      <c r="C748" t="s">
        <v>1764</v>
      </c>
      <c r="D748" t="s">
        <v>1770</v>
      </c>
      <c r="E748" s="32">
        <f>INDEX(OperatingFunds!$C$65:$AAF$74,ROW(OperatingFunds!$A$9),ROW(OperatingFunds!A$20))</f>
        <v>630499.18157000002</v>
      </c>
    </row>
    <row r="749" spans="1:5">
      <c r="A749" t="str">
        <f>RIGHT(OperatingFunds!$V$6,4)</f>
        <v>2009</v>
      </c>
      <c r="B749" t="str">
        <f>+OperatingFunds!$A$17</f>
        <v>340</v>
      </c>
      <c r="C749" t="s">
        <v>1764</v>
      </c>
      <c r="D749" t="s">
        <v>1770</v>
      </c>
      <c r="E749" s="32">
        <f>INDEX(OperatingFunds!$C$65:$AAF$74,ROW(OperatingFunds!$A$10),ROW(OperatingFunds!A$20))</f>
        <v>195031</v>
      </c>
    </row>
    <row r="750" spans="1:5">
      <c r="A750" t="str">
        <f>RIGHT(OperatingFunds!$W$6,4)</f>
        <v>2010</v>
      </c>
      <c r="B750" t="str">
        <f>+OperatingFunds!$A$8</f>
        <v>360</v>
      </c>
      <c r="C750" t="s">
        <v>1764</v>
      </c>
      <c r="D750" t="s">
        <v>1770</v>
      </c>
      <c r="E750" s="32" t="e">
        <f>INDEX(OperatingFunds!$C$65:$AAF$74,ROW(OperatingFunds!$A$1),ROW(OperatingFunds!#REF!))</f>
        <v>#REF!</v>
      </c>
    </row>
    <row r="751" spans="1:5">
      <c r="A751" t="str">
        <f>RIGHT(OperatingFunds!$W$6,4)</f>
        <v>2010</v>
      </c>
      <c r="B751" t="str">
        <f>+OperatingFunds!$A$9</f>
        <v>365</v>
      </c>
      <c r="C751" t="s">
        <v>1764</v>
      </c>
      <c r="D751" t="s">
        <v>1770</v>
      </c>
      <c r="E751" s="32" t="e">
        <f>INDEX(OperatingFunds!$C$65:$AAF$74,ROW(OperatingFunds!$A$2),ROW(OperatingFunds!#REF!))</f>
        <v>#REF!</v>
      </c>
    </row>
    <row r="752" spans="1:5">
      <c r="A752" t="str">
        <f>RIGHT(OperatingFunds!$W$6,4)</f>
        <v>2010</v>
      </c>
      <c r="B752" t="str">
        <f>+OperatingFunds!$A$10</f>
        <v>370</v>
      </c>
      <c r="C752" t="s">
        <v>1764</v>
      </c>
      <c r="D752" t="s">
        <v>1770</v>
      </c>
      <c r="E752" s="32" t="e">
        <f>INDEX(OperatingFunds!$C$65:$AAF$74,ROW(OperatingFunds!$A$3),ROW(OperatingFunds!#REF!))</f>
        <v>#REF!</v>
      </c>
    </row>
    <row r="753" spans="1:5">
      <c r="A753" t="str">
        <f>RIGHT(OperatingFunds!$W$6,4)</f>
        <v>2010</v>
      </c>
      <c r="B753" t="str">
        <f>+OperatingFunds!$A$11</f>
        <v>375</v>
      </c>
      <c r="C753" t="s">
        <v>1764</v>
      </c>
      <c r="D753" t="s">
        <v>1770</v>
      </c>
      <c r="E753" s="32" t="e">
        <f>INDEX(OperatingFunds!$C$65:$AAF$74,ROW(OperatingFunds!$A$4),ROW(OperatingFunds!#REF!))</f>
        <v>#REF!</v>
      </c>
    </row>
    <row r="754" spans="1:5">
      <c r="A754" t="str">
        <f>RIGHT(OperatingFunds!$W$6,4)</f>
        <v>2010</v>
      </c>
      <c r="B754" t="str">
        <f>+OperatingFunds!$A$12</f>
        <v>376</v>
      </c>
      <c r="C754" t="s">
        <v>1764</v>
      </c>
      <c r="D754" t="s">
        <v>1770</v>
      </c>
      <c r="E754" s="32" t="e">
        <f>INDEX(OperatingFunds!$C$65:$AAF$74,ROW(OperatingFunds!$A$5),ROW(OperatingFunds!#REF!))</f>
        <v>#REF!</v>
      </c>
    </row>
    <row r="755" spans="1:5">
      <c r="A755" t="str">
        <f>RIGHT(OperatingFunds!$W$6,4)</f>
        <v>2010</v>
      </c>
      <c r="B755" t="str">
        <f>+OperatingFunds!$A$13</f>
        <v>380</v>
      </c>
      <c r="C755" t="s">
        <v>1764</v>
      </c>
      <c r="D755" t="s">
        <v>1770</v>
      </c>
      <c r="E755" s="32" t="e">
        <f>INDEX(OperatingFunds!$C$65:$AAF$74,ROW(OperatingFunds!$A$6),ROW(OperatingFunds!#REF!))</f>
        <v>#REF!</v>
      </c>
    </row>
    <row r="756" spans="1:5">
      <c r="A756" t="str">
        <f>RIGHT(OperatingFunds!$W$6,4)</f>
        <v>2010</v>
      </c>
      <c r="B756" t="str">
        <f>+OperatingFunds!$A$16</f>
        <v>699</v>
      </c>
      <c r="C756" t="s">
        <v>1764</v>
      </c>
      <c r="D756" t="s">
        <v>1770</v>
      </c>
      <c r="E756" s="32" t="e">
        <f>INDEX(OperatingFunds!$C$65:$AAF$74,ROW(OperatingFunds!$A$9),ROW(OperatingFunds!#REF!))</f>
        <v>#REF!</v>
      </c>
    </row>
    <row r="757" spans="1:5">
      <c r="A757" t="str">
        <f>RIGHT(OperatingFunds!$W$6,4)</f>
        <v>2010</v>
      </c>
      <c r="B757" t="str">
        <f>+OperatingFunds!$A$17</f>
        <v>340</v>
      </c>
      <c r="C757" t="s">
        <v>1764</v>
      </c>
      <c r="D757" t="s">
        <v>1770</v>
      </c>
      <c r="E757" s="32" t="e">
        <f>INDEX(OperatingFunds!$C$65:$AAF$74,ROW(OperatingFunds!$A$10),ROW(OperatingFunds!#REF!))</f>
        <v>#REF!</v>
      </c>
    </row>
    <row r="758" spans="1:5">
      <c r="A758" t="str">
        <f>RIGHT(OperatingFunds!$X$6,4)</f>
        <v>2011</v>
      </c>
      <c r="B758" t="str">
        <f>+OperatingFunds!$A$8</f>
        <v>360</v>
      </c>
      <c r="C758" t="s">
        <v>1764</v>
      </c>
      <c r="D758" t="s">
        <v>1770</v>
      </c>
      <c r="E758" s="32">
        <f>INDEX(OperatingFunds!$C$65:$AAF$74,ROW(OperatingFunds!$A$1),ROW(OperatingFunds!A$21))</f>
        <v>269570.99429</v>
      </c>
    </row>
    <row r="759" spans="1:5">
      <c r="A759" t="str">
        <f>RIGHT(OperatingFunds!$X$6,4)</f>
        <v>2011</v>
      </c>
      <c r="B759" t="str">
        <f>+OperatingFunds!$A$9</f>
        <v>365</v>
      </c>
      <c r="C759" t="s">
        <v>1764</v>
      </c>
      <c r="D759" t="s">
        <v>1770</v>
      </c>
      <c r="E759" s="32">
        <f>INDEX(OperatingFunds!$C$65:$AAF$74,ROW(OperatingFunds!$A$2),ROW(OperatingFunds!A$21))</f>
        <v>169462</v>
      </c>
    </row>
    <row r="760" spans="1:5">
      <c r="A760" t="str">
        <f>RIGHT(OperatingFunds!$X$6,4)</f>
        <v>2011</v>
      </c>
      <c r="B760" t="str">
        <f>+OperatingFunds!$A$10</f>
        <v>370</v>
      </c>
      <c r="C760" t="s">
        <v>1764</v>
      </c>
      <c r="D760" t="s">
        <v>1770</v>
      </c>
      <c r="E760" s="32">
        <f>INDEX(OperatingFunds!$C$65:$AAF$74,ROW(OperatingFunds!$A$3),ROW(OperatingFunds!A$21))</f>
        <v>34689</v>
      </c>
    </row>
    <row r="761" spans="1:5">
      <c r="A761" t="str">
        <f>RIGHT(OperatingFunds!$X$6,4)</f>
        <v>2011</v>
      </c>
      <c r="B761" t="str">
        <f>+OperatingFunds!$A$11</f>
        <v>375</v>
      </c>
      <c r="C761" t="s">
        <v>1764</v>
      </c>
      <c r="D761" t="s">
        <v>1770</v>
      </c>
      <c r="E761" s="32">
        <f>INDEX(OperatingFunds!$C$65:$AAF$74,ROW(OperatingFunds!$A$4),ROW(OperatingFunds!A$21))</f>
        <v>30289</v>
      </c>
    </row>
    <row r="762" spans="1:5">
      <c r="A762" t="str">
        <f>RIGHT(OperatingFunds!$X$6,4)</f>
        <v>2011</v>
      </c>
      <c r="B762" t="str">
        <f>+OperatingFunds!$A$12</f>
        <v>376</v>
      </c>
      <c r="C762" t="s">
        <v>1764</v>
      </c>
      <c r="D762" t="s">
        <v>1770</v>
      </c>
      <c r="E762" s="32">
        <f>INDEX(OperatingFunds!$C$65:$AAF$74,ROW(OperatingFunds!$A$5),ROW(OperatingFunds!A$21))</f>
        <v>20514</v>
      </c>
    </row>
    <row r="763" spans="1:5">
      <c r="A763" t="str">
        <f>RIGHT(OperatingFunds!$X$6,4)</f>
        <v>2011</v>
      </c>
      <c r="B763" t="str">
        <f>+OperatingFunds!$A$13</f>
        <v>380</v>
      </c>
      <c r="C763" t="s">
        <v>1764</v>
      </c>
      <c r="D763" t="s">
        <v>1770</v>
      </c>
      <c r="E763" s="32">
        <f>INDEX(OperatingFunds!$C$65:$AAF$74,ROW(OperatingFunds!$A$6),ROW(OperatingFunds!A$21))</f>
        <v>43146</v>
      </c>
    </row>
    <row r="764" spans="1:5">
      <c r="A764" t="str">
        <f>RIGHT(OperatingFunds!$X$6,4)</f>
        <v>2011</v>
      </c>
      <c r="B764" t="str">
        <f>+OperatingFunds!$A$16</f>
        <v>699</v>
      </c>
      <c r="C764" t="s">
        <v>1764</v>
      </c>
      <c r="D764" t="s">
        <v>1770</v>
      </c>
      <c r="E764" s="32">
        <f>INDEX(OperatingFunds!$C$65:$AAF$74,ROW(OperatingFunds!$A$9),ROW(OperatingFunds!A$21))</f>
        <v>631425.08911000006</v>
      </c>
    </row>
    <row r="765" spans="1:5">
      <c r="A765" t="str">
        <f>RIGHT(OperatingFunds!$X$6,4)</f>
        <v>2011</v>
      </c>
      <c r="B765" t="str">
        <f>+OperatingFunds!$A$17</f>
        <v>340</v>
      </c>
      <c r="C765" t="s">
        <v>1764</v>
      </c>
      <c r="D765" t="s">
        <v>1770</v>
      </c>
      <c r="E765" s="32">
        <f>INDEX(OperatingFunds!$C$65:$AAF$74,ROW(OperatingFunds!$A$10),ROW(OperatingFunds!A$21))</f>
        <v>194733.99244</v>
      </c>
    </row>
    <row r="766" spans="1:5">
      <c r="A766" t="str">
        <f>RIGHT(OperatingFunds!$Y$6,4)</f>
        <v>2012</v>
      </c>
      <c r="B766" t="str">
        <f>+OperatingFunds!$A$8</f>
        <v>360</v>
      </c>
      <c r="C766" t="s">
        <v>1764</v>
      </c>
      <c r="D766" t="s">
        <v>1770</v>
      </c>
      <c r="E766" s="32">
        <f>INDEX(OperatingFunds!$C$65:$AAF$74,ROW(OperatingFunds!$A$1),ROW(OperatingFunds!A$22))</f>
        <v>259702.09726000001</v>
      </c>
    </row>
    <row r="767" spans="1:5">
      <c r="A767" t="str">
        <f>RIGHT(OperatingFunds!$Y$6,4)</f>
        <v>2012</v>
      </c>
      <c r="B767" t="str">
        <f>+OperatingFunds!$A$9</f>
        <v>365</v>
      </c>
      <c r="C767" t="s">
        <v>1764</v>
      </c>
      <c r="D767" t="s">
        <v>1770</v>
      </c>
      <c r="E767" s="32">
        <f>INDEX(OperatingFunds!$C$65:$AAF$74,ROW(OperatingFunds!$A$2),ROW(OperatingFunds!A$22))</f>
        <v>170685.29480999999</v>
      </c>
    </row>
    <row r="768" spans="1:5">
      <c r="A768" t="str">
        <f>RIGHT(OperatingFunds!$Y$6,4)</f>
        <v>2012</v>
      </c>
      <c r="B768" t="str">
        <f>+OperatingFunds!$A$10</f>
        <v>370</v>
      </c>
      <c r="C768" t="s">
        <v>1764</v>
      </c>
      <c r="D768" t="s">
        <v>1770</v>
      </c>
      <c r="E768" s="32">
        <f>INDEX(OperatingFunds!$C$65:$AAF$74,ROW(OperatingFunds!$A$3),ROW(OperatingFunds!A$22))</f>
        <v>35126</v>
      </c>
    </row>
    <row r="769" spans="1:5">
      <c r="A769" t="str">
        <f>RIGHT(OperatingFunds!$Y$6,4)</f>
        <v>2012</v>
      </c>
      <c r="B769" t="str">
        <f>+OperatingFunds!$A$11</f>
        <v>375</v>
      </c>
      <c r="C769" t="s">
        <v>1764</v>
      </c>
      <c r="D769" t="s">
        <v>1770</v>
      </c>
      <c r="E769" s="32">
        <f>INDEX(OperatingFunds!$C$65:$AAF$74,ROW(OperatingFunds!$A$4),ROW(OperatingFunds!A$22))</f>
        <v>32337</v>
      </c>
    </row>
    <row r="770" spans="1:5">
      <c r="A770" t="str">
        <f>RIGHT(OperatingFunds!$Y$6,4)</f>
        <v>2012</v>
      </c>
      <c r="B770" t="str">
        <f>+OperatingFunds!$A$12</f>
        <v>376</v>
      </c>
      <c r="C770" t="s">
        <v>1764</v>
      </c>
      <c r="D770" t="s">
        <v>1770</v>
      </c>
      <c r="E770" s="32">
        <f>INDEX(OperatingFunds!$C$65:$AAF$74,ROW(OperatingFunds!$A$5),ROW(OperatingFunds!A$22))</f>
        <v>17728</v>
      </c>
    </row>
    <row r="771" spans="1:5">
      <c r="A771" t="str">
        <f>RIGHT(OperatingFunds!$Y$6,4)</f>
        <v>2012</v>
      </c>
      <c r="B771" t="str">
        <f>+OperatingFunds!$A$13</f>
        <v>380</v>
      </c>
      <c r="C771" t="s">
        <v>1764</v>
      </c>
      <c r="D771" t="s">
        <v>1770</v>
      </c>
      <c r="E771" s="32">
        <f>INDEX(OperatingFunds!$C$65:$AAF$74,ROW(OperatingFunds!$A$6),ROW(OperatingFunds!A$22))</f>
        <v>46354.91648</v>
      </c>
    </row>
    <row r="772" spans="1:5">
      <c r="A772" t="str">
        <f>RIGHT(OperatingFunds!$Y$6,4)</f>
        <v>2012</v>
      </c>
      <c r="B772" t="str">
        <f>+OperatingFunds!$A$16</f>
        <v>699</v>
      </c>
      <c r="C772" t="s">
        <v>1764</v>
      </c>
      <c r="D772" t="s">
        <v>1770</v>
      </c>
      <c r="E772" s="32">
        <f>INDEX(OperatingFunds!$C$65:$AAF$74,ROW(OperatingFunds!$A$9),ROW(OperatingFunds!A$22))</f>
        <v>603406.7313300001</v>
      </c>
    </row>
    <row r="773" spans="1:5">
      <c r="A773" t="str">
        <f>RIGHT(OperatingFunds!$Y$6,4)</f>
        <v>2012</v>
      </c>
      <c r="B773" t="str">
        <f>+OperatingFunds!$A$17</f>
        <v>340</v>
      </c>
      <c r="C773" t="s">
        <v>1764</v>
      </c>
      <c r="D773" t="s">
        <v>1770</v>
      </c>
      <c r="E773" s="32">
        <f>INDEX(OperatingFunds!$C$65:$AAF$74,ROW(OperatingFunds!$A$10),ROW(OperatingFunds!A$22))</f>
        <v>187919.85075000001</v>
      </c>
    </row>
    <row r="774" spans="1:5">
      <c r="A774" t="str">
        <f>RIGHT(OperatingFunds!$Z$6,4)</f>
        <v>2013</v>
      </c>
      <c r="B774" t="str">
        <f>+OperatingFunds!$A$8</f>
        <v>360</v>
      </c>
      <c r="C774" t="s">
        <v>1764</v>
      </c>
      <c r="D774" t="s">
        <v>1770</v>
      </c>
      <c r="E774" s="32">
        <f>INDEX(OperatingFunds!$C$65:$AAF$74,ROW(OperatingFunds!$A$1),ROW(OperatingFunds!A$23))</f>
        <v>201255.99061000001</v>
      </c>
    </row>
    <row r="775" spans="1:5">
      <c r="A775" t="str">
        <f>RIGHT(OperatingFunds!$Z$6,4)</f>
        <v>2013</v>
      </c>
      <c r="B775" t="str">
        <f>+OperatingFunds!$A$9</f>
        <v>365</v>
      </c>
      <c r="C775" t="s">
        <v>1764</v>
      </c>
      <c r="D775" t="s">
        <v>1770</v>
      </c>
      <c r="E775" s="32">
        <f>INDEX(OperatingFunds!$C$65:$AAF$74,ROW(OperatingFunds!$A$2),ROW(OperatingFunds!A$23))</f>
        <v>134423.87685</v>
      </c>
    </row>
    <row r="776" spans="1:5">
      <c r="A776" t="str">
        <f>RIGHT(OperatingFunds!$Z$6,4)</f>
        <v>2013</v>
      </c>
      <c r="B776" t="str">
        <f>+OperatingFunds!$A$10</f>
        <v>370</v>
      </c>
      <c r="C776" t="s">
        <v>1764</v>
      </c>
      <c r="D776" t="s">
        <v>1770</v>
      </c>
      <c r="E776" s="32">
        <f>INDEX(OperatingFunds!$C$65:$AAF$74,ROW(OperatingFunds!$A$3),ROW(OperatingFunds!A$23))</f>
        <v>26240</v>
      </c>
    </row>
    <row r="777" spans="1:5">
      <c r="A777" t="str">
        <f>RIGHT(OperatingFunds!$Z$6,4)</f>
        <v>2013</v>
      </c>
      <c r="B777" t="str">
        <f>+OperatingFunds!$A$11</f>
        <v>375</v>
      </c>
      <c r="C777" t="s">
        <v>1764</v>
      </c>
      <c r="D777" t="s">
        <v>1770</v>
      </c>
      <c r="E777" s="32">
        <f>INDEX(OperatingFunds!$C$65:$AAF$74,ROW(OperatingFunds!$A$4),ROW(OperatingFunds!A$23))</f>
        <v>23263</v>
      </c>
    </row>
    <row r="778" spans="1:5">
      <c r="A778" t="str">
        <f>RIGHT(OperatingFunds!$Z$6,4)</f>
        <v>2013</v>
      </c>
      <c r="B778" t="str">
        <f>+OperatingFunds!$A$12</f>
        <v>376</v>
      </c>
      <c r="C778" t="s">
        <v>1764</v>
      </c>
      <c r="D778" t="s">
        <v>1770</v>
      </c>
      <c r="E778" s="32">
        <f>INDEX(OperatingFunds!$C$65:$AAF$74,ROW(OperatingFunds!$A$5),ROW(OperatingFunds!A$23))</f>
        <v>15635</v>
      </c>
    </row>
    <row r="779" spans="1:5">
      <c r="A779" t="str">
        <f>RIGHT(OperatingFunds!$Z$6,4)</f>
        <v>2013</v>
      </c>
      <c r="B779" t="str">
        <f>+OperatingFunds!$A$13</f>
        <v>380</v>
      </c>
      <c r="C779" t="s">
        <v>1764</v>
      </c>
      <c r="D779" t="s">
        <v>1770</v>
      </c>
      <c r="E779" s="32">
        <f>INDEX(OperatingFunds!$C$65:$AAF$74,ROW(OperatingFunds!$A$6),ROW(OperatingFunds!A$23))</f>
        <v>33729</v>
      </c>
    </row>
    <row r="780" spans="1:5">
      <c r="A780" t="str">
        <f>RIGHT(OperatingFunds!$Z$6,4)</f>
        <v>2013</v>
      </c>
      <c r="B780" t="str">
        <f>+OperatingFunds!$A$16</f>
        <v>699</v>
      </c>
      <c r="C780" t="s">
        <v>1764</v>
      </c>
      <c r="D780" t="s">
        <v>1770</v>
      </c>
      <c r="E780" s="32">
        <f>INDEX(OperatingFunds!$C$65:$AAF$74,ROW(OperatingFunds!$A$9),ROW(OperatingFunds!A$23))</f>
        <v>531526.82975999999</v>
      </c>
    </row>
    <row r="781" spans="1:5">
      <c r="A781" t="str">
        <f>RIGHT(OperatingFunds!$Z$6,4)</f>
        <v>2013</v>
      </c>
      <c r="B781" t="str">
        <f>+OperatingFunds!$A$17</f>
        <v>340</v>
      </c>
      <c r="C781" t="s">
        <v>1764</v>
      </c>
      <c r="D781" t="s">
        <v>1770</v>
      </c>
      <c r="E781" s="32">
        <f>INDEX(OperatingFunds!$C$65:$AAF$74,ROW(OperatingFunds!$A$10),ROW(OperatingFunds!A$23))</f>
        <v>218926.95181999999</v>
      </c>
    </row>
    <row r="782" spans="1:5">
      <c r="A782" t="str">
        <f>RIGHT(OperatingFunds!$AA$6,4)</f>
        <v>2014</v>
      </c>
      <c r="B782" t="str">
        <f>+OperatingFunds!$A$8</f>
        <v>360</v>
      </c>
      <c r="C782" t="s">
        <v>1764</v>
      </c>
      <c r="D782" t="s">
        <v>1770</v>
      </c>
      <c r="E782" s="32">
        <f>INDEX(OperatingFunds!$C$65:$AAF$74,ROW(OperatingFunds!$A$1),ROW(OperatingFunds!A$24))</f>
        <v>201669.86411999998</v>
      </c>
    </row>
    <row r="783" spans="1:5">
      <c r="A783" t="str">
        <f>RIGHT(OperatingFunds!$AA$6,4)</f>
        <v>2014</v>
      </c>
      <c r="B783" t="str">
        <f>+OperatingFunds!$A$9</f>
        <v>365</v>
      </c>
      <c r="C783" t="s">
        <v>1764</v>
      </c>
      <c r="D783" t="s">
        <v>1770</v>
      </c>
      <c r="E783" s="32">
        <f>INDEX(OperatingFunds!$C$65:$AAF$74,ROW(OperatingFunds!$A$2),ROW(OperatingFunds!A$24))</f>
        <v>133699.95000000001</v>
      </c>
    </row>
    <row r="784" spans="1:5">
      <c r="A784" t="str">
        <f>RIGHT(OperatingFunds!$AA$6,4)</f>
        <v>2014</v>
      </c>
      <c r="B784" t="str">
        <f>+OperatingFunds!$A$10</f>
        <v>370</v>
      </c>
      <c r="C784" t="s">
        <v>1764</v>
      </c>
      <c r="D784" t="s">
        <v>1770</v>
      </c>
      <c r="E784" s="32">
        <f>INDEX(OperatingFunds!$C$65:$AAF$74,ROW(OperatingFunds!$A$3),ROW(OperatingFunds!A$24))</f>
        <v>25762</v>
      </c>
    </row>
    <row r="785" spans="1:5">
      <c r="A785" t="str">
        <f>RIGHT(OperatingFunds!$AA$6,4)</f>
        <v>2014</v>
      </c>
      <c r="B785" t="str">
        <f>+OperatingFunds!$A$11</f>
        <v>375</v>
      </c>
      <c r="C785" t="s">
        <v>1764</v>
      </c>
      <c r="D785" t="s">
        <v>1770</v>
      </c>
      <c r="E785" s="32">
        <f>INDEX(OperatingFunds!$C$65:$AAF$74,ROW(OperatingFunds!$A$4),ROW(OperatingFunds!A$24))</f>
        <v>21882.546969999999</v>
      </c>
    </row>
    <row r="786" spans="1:5">
      <c r="A786" t="str">
        <f>RIGHT(OperatingFunds!$AA$6,4)</f>
        <v>2014</v>
      </c>
      <c r="B786" t="str">
        <f>+OperatingFunds!$A$12</f>
        <v>376</v>
      </c>
      <c r="C786" t="s">
        <v>1764</v>
      </c>
      <c r="D786" t="s">
        <v>1770</v>
      </c>
      <c r="E786" s="32">
        <f>INDEX(OperatingFunds!$C$65:$AAF$74,ROW(OperatingFunds!$A$5),ROW(OperatingFunds!A$24))</f>
        <v>15165</v>
      </c>
    </row>
    <row r="787" spans="1:5">
      <c r="A787" t="str">
        <f>RIGHT(OperatingFunds!$AA$6,4)</f>
        <v>2014</v>
      </c>
      <c r="B787" t="str">
        <f>+OperatingFunds!$A$13</f>
        <v>380</v>
      </c>
      <c r="C787" t="s">
        <v>1764</v>
      </c>
      <c r="D787" t="s">
        <v>1770</v>
      </c>
      <c r="E787" s="32">
        <f>INDEX(OperatingFunds!$C$65:$AAF$74,ROW(OperatingFunds!$A$6),ROW(OperatingFunds!A$24))</f>
        <v>32786</v>
      </c>
    </row>
    <row r="788" spans="1:5">
      <c r="A788" t="str">
        <f>RIGHT(OperatingFunds!$AA$6,4)</f>
        <v>2014</v>
      </c>
      <c r="B788" t="str">
        <f>+OperatingFunds!$A$16</f>
        <v>699</v>
      </c>
      <c r="C788" t="s">
        <v>1764</v>
      </c>
      <c r="D788" t="s">
        <v>1770</v>
      </c>
      <c r="E788" s="32">
        <f>INDEX(OperatingFunds!$C$65:$AAF$74,ROW(OperatingFunds!$A$9),ROW(OperatingFunds!A$24))</f>
        <v>515753.94537000009</v>
      </c>
    </row>
    <row r="789" spans="1:5">
      <c r="A789" t="str">
        <f>RIGHT(OperatingFunds!$AA$6,4)</f>
        <v>2014</v>
      </c>
      <c r="B789" t="str">
        <f>+OperatingFunds!$A$17</f>
        <v>340</v>
      </c>
      <c r="C789" t="s">
        <v>1764</v>
      </c>
      <c r="D789" t="s">
        <v>1770</v>
      </c>
      <c r="E789" s="32">
        <f>INDEX(OperatingFunds!$C$65:$AAF$74,ROW(OperatingFunds!$A$10),ROW(OperatingFunds!A$24))</f>
        <v>216904.95790000001</v>
      </c>
    </row>
    <row r="790" spans="1:5">
      <c r="A790" t="str">
        <f>RIGHT(OperatingFunds!$AB$6,4)</f>
        <v>2015</v>
      </c>
      <c r="B790" t="str">
        <f>+OperatingFunds!$A$8</f>
        <v>360</v>
      </c>
      <c r="C790" t="s">
        <v>1764</v>
      </c>
      <c r="D790" t="s">
        <v>1770</v>
      </c>
      <c r="E790" s="32">
        <f>INDEX(OperatingFunds!$C$65:$AAF$74,ROW(OperatingFunds!$A$1),ROW(OperatingFunds!A$25))</f>
        <v>247021.21826999998</v>
      </c>
    </row>
    <row r="791" spans="1:5">
      <c r="A791" t="str">
        <f>RIGHT(OperatingFunds!$AB$6,4)</f>
        <v>2015</v>
      </c>
      <c r="B791" t="str">
        <f>+OperatingFunds!$A$9</f>
        <v>365</v>
      </c>
      <c r="C791" t="s">
        <v>1764</v>
      </c>
      <c r="D791" t="s">
        <v>1770</v>
      </c>
      <c r="E791" s="32">
        <f>INDEX(OperatingFunds!$C$65:$AAF$74,ROW(OperatingFunds!$A$2),ROW(OperatingFunds!A$25))</f>
        <v>156854</v>
      </c>
    </row>
    <row r="792" spans="1:5">
      <c r="A792" t="str">
        <f>RIGHT(OperatingFunds!$AB$6,4)</f>
        <v>2015</v>
      </c>
      <c r="B792" t="str">
        <f>+OperatingFunds!$A$10</f>
        <v>370</v>
      </c>
      <c r="C792" t="s">
        <v>1764</v>
      </c>
      <c r="D792" t="s">
        <v>1770</v>
      </c>
      <c r="E792" s="32">
        <f>INDEX(OperatingFunds!$C$65:$AAF$74,ROW(OperatingFunds!$A$3),ROW(OperatingFunds!A$25))</f>
        <v>31383</v>
      </c>
    </row>
    <row r="793" spans="1:5">
      <c r="A793" t="str">
        <f>RIGHT(OperatingFunds!$AB$6,4)</f>
        <v>2015</v>
      </c>
      <c r="B793" t="str">
        <f>+OperatingFunds!$A$11</f>
        <v>375</v>
      </c>
      <c r="C793" t="s">
        <v>1764</v>
      </c>
      <c r="D793" t="s">
        <v>1770</v>
      </c>
      <c r="E793" s="32">
        <f>INDEX(OperatingFunds!$C$65:$AAF$74,ROW(OperatingFunds!$A$4),ROW(OperatingFunds!A$25))</f>
        <v>29730</v>
      </c>
    </row>
    <row r="794" spans="1:5">
      <c r="A794" t="str">
        <f>RIGHT(OperatingFunds!$AB$6,4)</f>
        <v>2015</v>
      </c>
      <c r="B794" t="str">
        <f>+OperatingFunds!$A$12</f>
        <v>376</v>
      </c>
      <c r="C794" t="s">
        <v>1764</v>
      </c>
      <c r="D794" t="s">
        <v>1770</v>
      </c>
      <c r="E794" s="32">
        <f>INDEX(OperatingFunds!$C$65:$AAF$74,ROW(OperatingFunds!$A$5),ROW(OperatingFunds!A$25))</f>
        <v>18350</v>
      </c>
    </row>
    <row r="795" spans="1:5">
      <c r="A795" t="str">
        <f>RIGHT(OperatingFunds!$AB$6,4)</f>
        <v>2015</v>
      </c>
      <c r="B795" t="str">
        <f>+OperatingFunds!$A$13</f>
        <v>380</v>
      </c>
      <c r="C795" t="s">
        <v>1764</v>
      </c>
      <c r="D795" t="s">
        <v>1770</v>
      </c>
      <c r="E795" s="32">
        <f>INDEX(OperatingFunds!$C$65:$AAF$74,ROW(OperatingFunds!$A$6),ROW(OperatingFunds!A$25))</f>
        <v>39456.41491</v>
      </c>
    </row>
    <row r="796" spans="1:5">
      <c r="A796" t="str">
        <f>RIGHT(OperatingFunds!$AB$6,4)</f>
        <v>2015</v>
      </c>
      <c r="B796" t="str">
        <f>+OperatingFunds!$A$16</f>
        <v>699</v>
      </c>
      <c r="C796" t="s">
        <v>1764</v>
      </c>
      <c r="D796" t="s">
        <v>1770</v>
      </c>
      <c r="E796" s="32">
        <f>INDEX(OperatingFunds!$C$65:$AAF$74,ROW(OperatingFunds!$A$9),ROW(OperatingFunds!A$25))</f>
        <v>569188.85879999993</v>
      </c>
    </row>
    <row r="797" spans="1:5">
      <c r="A797" t="str">
        <f>RIGHT(OperatingFunds!$AB$6,4)</f>
        <v>2015</v>
      </c>
      <c r="B797" t="str">
        <f>+OperatingFunds!$A$17</f>
        <v>340</v>
      </c>
      <c r="C797" t="s">
        <v>1764</v>
      </c>
      <c r="D797" t="s">
        <v>1770</v>
      </c>
      <c r="E797" s="32">
        <f>INDEX(OperatingFunds!$C$65:$AAF$74,ROW(OperatingFunds!$A$10),ROW(OperatingFunds!A$25))</f>
        <v>250385.96812000001</v>
      </c>
    </row>
    <row r="798" spans="1:5">
      <c r="A798" t="str">
        <f>RIGHT(OperatingFunds!$AC$6,4)</f>
        <v>2016</v>
      </c>
      <c r="B798" t="str">
        <f>+OperatingFunds!$A$8</f>
        <v>360</v>
      </c>
      <c r="C798" t="s">
        <v>1764</v>
      </c>
      <c r="D798" t="s">
        <v>1770</v>
      </c>
      <c r="E798" s="32">
        <f>INDEX(OperatingFunds!$C$65:$AAF$74,ROW(OperatingFunds!$A$1),ROW(OperatingFunds!A$26))</f>
        <v>237597.91931</v>
      </c>
    </row>
    <row r="799" spans="1:5">
      <c r="A799" t="str">
        <f>RIGHT(OperatingFunds!$AC$6,4)</f>
        <v>2016</v>
      </c>
      <c r="B799" t="str">
        <f>+OperatingFunds!$A$9</f>
        <v>365</v>
      </c>
      <c r="C799" t="s">
        <v>1764</v>
      </c>
      <c r="D799" t="s">
        <v>1770</v>
      </c>
      <c r="E799" s="32">
        <f>INDEX(OperatingFunds!$C$65:$AAF$74,ROW(OperatingFunds!$A$2),ROW(OperatingFunds!A$26))</f>
        <v>153044</v>
      </c>
    </row>
    <row r="800" spans="1:5">
      <c r="A800" t="str">
        <f>RIGHT(OperatingFunds!$AC$6,4)</f>
        <v>2016</v>
      </c>
      <c r="B800" t="str">
        <f>+OperatingFunds!$A$10</f>
        <v>370</v>
      </c>
      <c r="C800" t="s">
        <v>1764</v>
      </c>
      <c r="D800" t="s">
        <v>1770</v>
      </c>
      <c r="E800" s="32">
        <f>INDEX(OperatingFunds!$C$65:$AAF$74,ROW(OperatingFunds!$A$3),ROW(OperatingFunds!A$26))</f>
        <v>31525</v>
      </c>
    </row>
    <row r="801" spans="1:5">
      <c r="A801" t="str">
        <f>RIGHT(OperatingFunds!$AC$6,4)</f>
        <v>2016</v>
      </c>
      <c r="B801" t="str">
        <f>+OperatingFunds!$A$11</f>
        <v>375</v>
      </c>
      <c r="C801" t="s">
        <v>1764</v>
      </c>
      <c r="D801" t="s">
        <v>1770</v>
      </c>
      <c r="E801" s="32">
        <f>INDEX(OperatingFunds!$C$65:$AAF$74,ROW(OperatingFunds!$A$4),ROW(OperatingFunds!A$26))</f>
        <v>29239</v>
      </c>
    </row>
    <row r="802" spans="1:5">
      <c r="A802" t="str">
        <f>RIGHT(OperatingFunds!$AC$6,4)</f>
        <v>2016</v>
      </c>
      <c r="B802" t="str">
        <f>+OperatingFunds!$A$12</f>
        <v>376</v>
      </c>
      <c r="C802" t="s">
        <v>1764</v>
      </c>
      <c r="D802" t="s">
        <v>1770</v>
      </c>
      <c r="E802" s="32">
        <f>INDEX(OperatingFunds!$C$65:$AAF$74,ROW(OperatingFunds!$A$5),ROW(OperatingFunds!A$26))</f>
        <v>17230</v>
      </c>
    </row>
    <row r="803" spans="1:5">
      <c r="A803" t="str">
        <f>RIGHT(OperatingFunds!$AC$6,4)</f>
        <v>2016</v>
      </c>
      <c r="B803" t="str">
        <f>+OperatingFunds!$A$13</f>
        <v>380</v>
      </c>
      <c r="C803" t="s">
        <v>1764</v>
      </c>
      <c r="D803" t="s">
        <v>1770</v>
      </c>
      <c r="E803" s="32">
        <f>INDEX(OperatingFunds!$C$65:$AAF$74,ROW(OperatingFunds!$A$6),ROW(OperatingFunds!A$26))</f>
        <v>43005</v>
      </c>
    </row>
    <row r="804" spans="1:5">
      <c r="A804" t="str">
        <f>RIGHT(OperatingFunds!$AC$6,4)</f>
        <v>2016</v>
      </c>
      <c r="B804" t="str">
        <f>+OperatingFunds!$A$16</f>
        <v>699</v>
      </c>
      <c r="C804" t="s">
        <v>1764</v>
      </c>
      <c r="D804" t="s">
        <v>1770</v>
      </c>
      <c r="E804" s="32">
        <f>INDEX(OperatingFunds!$C$65:$AAF$74,ROW(OperatingFunds!$A$9),ROW(OperatingFunds!A$26))</f>
        <v>560655.83512000006</v>
      </c>
    </row>
    <row r="805" spans="1:5">
      <c r="A805" t="str">
        <f>RIGHT(OperatingFunds!$AC$6,4)</f>
        <v>2016</v>
      </c>
      <c r="B805" t="str">
        <f>+OperatingFunds!$A$17</f>
        <v>340</v>
      </c>
      <c r="C805" t="s">
        <v>1764</v>
      </c>
      <c r="D805" t="s">
        <v>1770</v>
      </c>
      <c r="E805" s="32">
        <f>INDEX(OperatingFunds!$C$65:$AAF$74,ROW(OperatingFunds!$A$10),ROW(OperatingFunds!A$26))</f>
        <v>254861.07768000002</v>
      </c>
    </row>
    <row r="806" spans="1:5">
      <c r="A806" t="str">
        <f>RIGHT(OperatingFunds!$AD$6,4)</f>
        <v>2017</v>
      </c>
      <c r="B806" t="str">
        <f>+OperatingFunds!$A$8</f>
        <v>360</v>
      </c>
      <c r="C806" t="s">
        <v>1764</v>
      </c>
      <c r="D806" t="s">
        <v>1770</v>
      </c>
      <c r="E806" s="32">
        <f>INDEX(OperatingFunds!$C$65:$AAF$74,ROW(OperatingFunds!$A$1),ROW(OperatingFunds!A$27))</f>
        <v>279418.97322000004</v>
      </c>
    </row>
    <row r="807" spans="1:5">
      <c r="A807" t="str">
        <f>RIGHT(OperatingFunds!$AD$6,4)</f>
        <v>2017</v>
      </c>
      <c r="B807" t="str">
        <f>+OperatingFunds!$A$9</f>
        <v>365</v>
      </c>
      <c r="C807" t="s">
        <v>1764</v>
      </c>
      <c r="D807" t="s">
        <v>1770</v>
      </c>
      <c r="E807" s="32">
        <f>INDEX(OperatingFunds!$C$65:$AAF$74,ROW(OperatingFunds!$A$2),ROW(OperatingFunds!A$27))</f>
        <v>181340.19536000001</v>
      </c>
    </row>
    <row r="808" spans="1:5">
      <c r="A808" t="str">
        <f>RIGHT(OperatingFunds!$AD$6,4)</f>
        <v>2017</v>
      </c>
      <c r="B808" t="str">
        <f>+OperatingFunds!$A$10</f>
        <v>370</v>
      </c>
      <c r="C808" t="s">
        <v>1764</v>
      </c>
      <c r="D808" t="s">
        <v>1770</v>
      </c>
      <c r="E808" s="32">
        <f>INDEX(OperatingFunds!$C$65:$AAF$74,ROW(OperatingFunds!$A$3),ROW(OperatingFunds!A$27))</f>
        <v>38603</v>
      </c>
    </row>
    <row r="809" spans="1:5">
      <c r="A809" t="str">
        <f>RIGHT(OperatingFunds!$AD$6,4)</f>
        <v>2017</v>
      </c>
      <c r="B809" t="str">
        <f>+OperatingFunds!$A$11</f>
        <v>375</v>
      </c>
      <c r="C809" t="s">
        <v>1764</v>
      </c>
      <c r="D809" t="s">
        <v>1770</v>
      </c>
      <c r="E809" s="32">
        <f>INDEX(OperatingFunds!$C$65:$AAF$74,ROW(OperatingFunds!$A$4),ROW(OperatingFunds!A$27))</f>
        <v>36958</v>
      </c>
    </row>
    <row r="810" spans="1:5">
      <c r="A810" t="str">
        <f>RIGHT(OperatingFunds!$AD$6,4)</f>
        <v>2017</v>
      </c>
      <c r="B810" t="str">
        <f>+OperatingFunds!$A$12</f>
        <v>376</v>
      </c>
      <c r="C810" t="s">
        <v>1764</v>
      </c>
      <c r="D810" t="s">
        <v>1770</v>
      </c>
      <c r="E810" s="32">
        <f>INDEX(OperatingFunds!$C$65:$AAF$74,ROW(OperatingFunds!$A$5),ROW(OperatingFunds!A$27))</f>
        <v>22302</v>
      </c>
    </row>
    <row r="811" spans="1:5">
      <c r="A811" t="str">
        <f>RIGHT(OperatingFunds!$AD$6,4)</f>
        <v>2017</v>
      </c>
      <c r="B811" t="str">
        <f>+OperatingFunds!$A$13</f>
        <v>380</v>
      </c>
      <c r="C811" t="s">
        <v>1764</v>
      </c>
      <c r="D811" t="s">
        <v>1770</v>
      </c>
      <c r="E811" s="32">
        <f>INDEX(OperatingFunds!$C$65:$AAF$74,ROW(OperatingFunds!$A$6),ROW(OperatingFunds!A$27))</f>
        <v>53401</v>
      </c>
    </row>
    <row r="812" spans="1:5">
      <c r="A812" t="str">
        <f>RIGHT(OperatingFunds!$AD$6,4)</f>
        <v>2017</v>
      </c>
      <c r="B812" t="str">
        <f>+OperatingFunds!$A$16</f>
        <v>699</v>
      </c>
      <c r="C812" t="s">
        <v>1764</v>
      </c>
      <c r="D812" t="s">
        <v>1770</v>
      </c>
      <c r="E812" s="32">
        <f>INDEX(OperatingFunds!$C$65:$AAF$74,ROW(OperatingFunds!$A$9),ROW(OperatingFunds!A$27))</f>
        <v>623990.37560999999</v>
      </c>
    </row>
    <row r="813" spans="1:5">
      <c r="A813" t="str">
        <f>RIGHT(OperatingFunds!$AD$6,4)</f>
        <v>2017</v>
      </c>
      <c r="B813" t="str">
        <f>+OperatingFunds!$A$17</f>
        <v>340</v>
      </c>
      <c r="C813" t="s">
        <v>1764</v>
      </c>
      <c r="D813" t="s">
        <v>1770</v>
      </c>
      <c r="E813" s="32">
        <f>INDEX(OperatingFunds!$C$65:$AAF$74,ROW(OperatingFunds!$A$10),ROW(OperatingFunds!A$27))</f>
        <v>271468.59506999998</v>
      </c>
    </row>
    <row r="814" spans="1:5">
      <c r="A814" t="str">
        <f>RIGHT(OperatingFunds!$AE$6,4)</f>
        <v>2018</v>
      </c>
      <c r="B814" t="str">
        <f>+OperatingFunds!$A$8</f>
        <v>360</v>
      </c>
      <c r="C814" t="s">
        <v>1763</v>
      </c>
      <c r="D814" t="s">
        <v>1770</v>
      </c>
      <c r="E814" s="32">
        <f>INDEX(OperatingFunds!$C$65:$AAF$74,ROW(OperatingFunds!$A$1),ROW(OperatingFunds!A$28))</f>
        <v>317222.20139000006</v>
      </c>
    </row>
    <row r="815" spans="1:5">
      <c r="A815" t="str">
        <f>RIGHT(OperatingFunds!$AE$6,4)</f>
        <v>2018</v>
      </c>
      <c r="B815" t="str">
        <f>+OperatingFunds!$A$9</f>
        <v>365</v>
      </c>
      <c r="C815" t="s">
        <v>1763</v>
      </c>
      <c r="D815" t="s">
        <v>1770</v>
      </c>
      <c r="E815" s="32">
        <f>INDEX(OperatingFunds!$C$65:$AAF$74,ROW(OperatingFunds!$A$2),ROW(OperatingFunds!A$28))</f>
        <v>207355.80463999999</v>
      </c>
    </row>
    <row r="816" spans="1:5">
      <c r="A816" t="str">
        <f>RIGHT(OperatingFunds!$AE$6,4)</f>
        <v>2018</v>
      </c>
      <c r="B816" t="str">
        <f>+OperatingFunds!$A$10</f>
        <v>370</v>
      </c>
      <c r="C816" t="s">
        <v>1763</v>
      </c>
      <c r="D816" t="s">
        <v>1770</v>
      </c>
      <c r="E816" s="32">
        <f>INDEX(OperatingFunds!$C$65:$AAF$74,ROW(OperatingFunds!$A$3),ROW(OperatingFunds!A$28))</f>
        <v>48158</v>
      </c>
    </row>
    <row r="817" spans="1:5">
      <c r="A817" t="str">
        <f>RIGHT(OperatingFunds!$AE$6,4)</f>
        <v>2018</v>
      </c>
      <c r="B817" t="str">
        <f>+OperatingFunds!$A$11</f>
        <v>375</v>
      </c>
      <c r="C817" t="s">
        <v>1763</v>
      </c>
      <c r="D817" t="s">
        <v>1770</v>
      </c>
      <c r="E817" s="32">
        <f>INDEX(OperatingFunds!$C$65:$AAF$74,ROW(OperatingFunds!$A$4),ROW(OperatingFunds!A$28))</f>
        <v>47752</v>
      </c>
    </row>
    <row r="818" spans="1:5">
      <c r="A818" t="str">
        <f>RIGHT(OperatingFunds!$AE$6,4)</f>
        <v>2018</v>
      </c>
      <c r="B818" t="str">
        <f>+OperatingFunds!$A$12</f>
        <v>376</v>
      </c>
      <c r="C818" t="s">
        <v>1763</v>
      </c>
      <c r="D818" t="s">
        <v>1770</v>
      </c>
      <c r="E818" s="32">
        <f>INDEX(OperatingFunds!$C$65:$AAF$74,ROW(OperatingFunds!$A$5),ROW(OperatingFunds!A$28))</f>
        <v>25744</v>
      </c>
    </row>
    <row r="819" spans="1:5">
      <c r="A819" t="str">
        <f>RIGHT(OperatingFunds!$AE$6,4)</f>
        <v>2018</v>
      </c>
      <c r="B819" t="str">
        <f>+OperatingFunds!$A$13</f>
        <v>380</v>
      </c>
      <c r="C819" t="s">
        <v>1763</v>
      </c>
      <c r="D819" t="s">
        <v>1770</v>
      </c>
      <c r="E819" s="32">
        <f>INDEX(OperatingFunds!$C$65:$AAF$74,ROW(OperatingFunds!$A$6),ROW(OperatingFunds!A$28))</f>
        <v>67188</v>
      </c>
    </row>
    <row r="820" spans="1:5">
      <c r="A820" t="str">
        <f>RIGHT(OperatingFunds!$AE$6,4)</f>
        <v>2018</v>
      </c>
      <c r="B820" t="str">
        <f>+OperatingFunds!$A$16</f>
        <v>699</v>
      </c>
      <c r="C820" t="s">
        <v>1763</v>
      </c>
      <c r="D820" t="s">
        <v>1770</v>
      </c>
      <c r="E820" s="32">
        <f>INDEX(OperatingFunds!$C$65:$AAF$74,ROW(OperatingFunds!$A$9),ROW(OperatingFunds!A$28))</f>
        <v>667390.68186999997</v>
      </c>
    </row>
    <row r="821" spans="1:5">
      <c r="A821" t="str">
        <f>RIGHT(OperatingFunds!$AE$6,4)</f>
        <v>2018</v>
      </c>
      <c r="B821" t="str">
        <f>+OperatingFunds!$A$17</f>
        <v>340</v>
      </c>
      <c r="C821" t="s">
        <v>1763</v>
      </c>
      <c r="D821" t="s">
        <v>1770</v>
      </c>
      <c r="E821" s="32">
        <f>INDEX(OperatingFunds!$C$65:$AAF$74,ROW(OperatingFunds!$A$10),ROW(OperatingFunds!A$28))</f>
        <v>240658.13982999997</v>
      </c>
    </row>
    <row r="822" spans="1:5">
      <c r="A822" t="str">
        <f>RIGHT(OperatingFunds!$AL$6,4)</f>
        <v>2025</v>
      </c>
      <c r="B822" t="str">
        <f>+OperatingFunds!$A$8</f>
        <v>360</v>
      </c>
      <c r="C822" t="s">
        <v>1764</v>
      </c>
      <c r="D822" t="s">
        <v>1771</v>
      </c>
      <c r="E822" s="32">
        <f>INDEX(OperatingFunds!$C$65:$AAF$74,ROW(OperatingFunds!$A$1),ROW(OperatingFunds!A$29))</f>
        <v>310916.21552000003</v>
      </c>
    </row>
    <row r="823" spans="1:5">
      <c r="A823" t="str">
        <f>RIGHT(OperatingFunds!$AL$6,4)</f>
        <v>2025</v>
      </c>
      <c r="B823" t="str">
        <f>+OperatingFunds!$A$9</f>
        <v>365</v>
      </c>
      <c r="C823" t="s">
        <v>1764</v>
      </c>
      <c r="D823" t="s">
        <v>1771</v>
      </c>
      <c r="E823" s="32">
        <f>INDEX(OperatingFunds!$C$65:$AAF$74,ROW(OperatingFunds!$A$2),ROW(OperatingFunds!A$29))</f>
        <v>200116</v>
      </c>
    </row>
    <row r="824" spans="1:5">
      <c r="A824" t="str">
        <f>RIGHT(OperatingFunds!$AL$6,4)</f>
        <v>2025</v>
      </c>
      <c r="B824" t="str">
        <f>+OperatingFunds!$A$10</f>
        <v>370</v>
      </c>
      <c r="C824" t="s">
        <v>1764</v>
      </c>
      <c r="D824" t="s">
        <v>1771</v>
      </c>
      <c r="E824" s="32">
        <f>INDEX(OperatingFunds!$C$65:$AAF$74,ROW(OperatingFunds!$A$3),ROW(OperatingFunds!A$29))</f>
        <v>50213</v>
      </c>
    </row>
    <row r="825" spans="1:5">
      <c r="A825" t="str">
        <f>RIGHT(OperatingFunds!$AL$6,4)</f>
        <v>2025</v>
      </c>
      <c r="B825" t="str">
        <f>+OperatingFunds!$A$11</f>
        <v>375</v>
      </c>
      <c r="C825" t="s">
        <v>1764</v>
      </c>
      <c r="D825" t="s">
        <v>1771</v>
      </c>
      <c r="E825" s="32">
        <f>INDEX(OperatingFunds!$C$65:$AAF$74,ROW(OperatingFunds!$A$4),ROW(OperatingFunds!A$29))</f>
        <v>48136</v>
      </c>
    </row>
    <row r="826" spans="1:5">
      <c r="A826" t="str">
        <f>RIGHT(OperatingFunds!$AL$6,4)</f>
        <v>2025</v>
      </c>
      <c r="B826" t="str">
        <f>+OperatingFunds!$A$12</f>
        <v>376</v>
      </c>
      <c r="C826" t="s">
        <v>1764</v>
      </c>
      <c r="D826" t="s">
        <v>1771</v>
      </c>
      <c r="E826" s="32">
        <f>INDEX(OperatingFunds!$C$65:$AAF$74,ROW(OperatingFunds!$A$5),ROW(OperatingFunds!A$29))</f>
        <v>26608</v>
      </c>
    </row>
    <row r="827" spans="1:5">
      <c r="A827" t="str">
        <f>RIGHT(OperatingFunds!$AL$6,4)</f>
        <v>2025</v>
      </c>
      <c r="B827" t="str">
        <f>+OperatingFunds!$A$13</f>
        <v>380</v>
      </c>
      <c r="C827" t="s">
        <v>1764</v>
      </c>
      <c r="D827" t="s">
        <v>1771</v>
      </c>
      <c r="E827" s="32">
        <f>INDEX(OperatingFunds!$C$65:$AAF$74,ROW(OperatingFunds!$A$6),ROW(OperatingFunds!A$29))</f>
        <v>70475</v>
      </c>
    </row>
    <row r="828" spans="1:5">
      <c r="A828" t="str">
        <f>RIGHT(OperatingFunds!$AL$6,4)</f>
        <v>2025</v>
      </c>
      <c r="B828" t="str">
        <f>+OperatingFunds!$A$16</f>
        <v>699</v>
      </c>
      <c r="C828" t="s">
        <v>1764</v>
      </c>
      <c r="D828" t="s">
        <v>1771</v>
      </c>
      <c r="E828" s="32">
        <f>INDEX(OperatingFunds!$C$65:$AAF$74,ROW(OperatingFunds!$A$9),ROW(OperatingFunds!A$29))</f>
        <v>629036.98021000007</v>
      </c>
    </row>
    <row r="829" spans="1:5">
      <c r="A829" t="str">
        <f>RIGHT(OperatingFunds!$AL$6,4)</f>
        <v>2025</v>
      </c>
      <c r="B829" t="str">
        <f>+OperatingFunds!$A$17</f>
        <v>340</v>
      </c>
      <c r="C829" t="s">
        <v>1764</v>
      </c>
      <c r="D829" t="s">
        <v>1771</v>
      </c>
      <c r="E829" s="32">
        <f>INDEX(OperatingFunds!$C$65:$AAF$74,ROW(OperatingFunds!$A$10),ROW(OperatingFunds!A$29))</f>
        <v>243579.46728000001</v>
      </c>
    </row>
    <row r="830" spans="1:5">
      <c r="A830" t="str">
        <f>RIGHT(OperatingFunds!$W$6,4)</f>
        <v>2010</v>
      </c>
      <c r="B830" t="str">
        <f>+OperatingFunds!$A$8</f>
        <v>360</v>
      </c>
      <c r="C830" t="s">
        <v>1764</v>
      </c>
      <c r="D830" t="s">
        <v>1779</v>
      </c>
      <c r="E830" s="32" t="e">
        <f>INDEX(OperatingFunds!$C$84:$AAF$92,ROW(OperatingFunds!$A$1),ROW(OperatingFunds!#REF!))</f>
        <v>#REF!</v>
      </c>
    </row>
    <row r="831" spans="1:5">
      <c r="A831" t="str">
        <f>RIGHT(OperatingFunds!$W$6,4)</f>
        <v>2010</v>
      </c>
      <c r="B831" t="str">
        <f>+OperatingFunds!$A$9</f>
        <v>365</v>
      </c>
      <c r="C831" t="s">
        <v>1764</v>
      </c>
      <c r="D831" t="s">
        <v>1779</v>
      </c>
      <c r="E831" s="32" t="e">
        <f>INDEX(OperatingFunds!$C$84:$AAF$92,ROW(OperatingFunds!$A$2),ROW(OperatingFunds!#REF!))</f>
        <v>#REF!</v>
      </c>
    </row>
    <row r="832" spans="1:5">
      <c r="A832" t="str">
        <f>RIGHT(OperatingFunds!$W$6,4)</f>
        <v>2010</v>
      </c>
      <c r="B832" t="str">
        <f>+OperatingFunds!$A$10</f>
        <v>370</v>
      </c>
      <c r="C832" t="s">
        <v>1764</v>
      </c>
      <c r="D832" t="s">
        <v>1779</v>
      </c>
      <c r="E832" s="32" t="e">
        <f>INDEX(OperatingFunds!$C$84:$AAF$92,ROW(OperatingFunds!$A$3),ROW(OperatingFunds!#REF!))</f>
        <v>#REF!</v>
      </c>
    </row>
    <row r="833" spans="1:5">
      <c r="A833" t="str">
        <f>RIGHT(OperatingFunds!$W$6,4)</f>
        <v>2010</v>
      </c>
      <c r="B833" t="str">
        <f>+OperatingFunds!$A$11</f>
        <v>375</v>
      </c>
      <c r="C833" t="s">
        <v>1764</v>
      </c>
      <c r="D833" t="s">
        <v>1779</v>
      </c>
      <c r="E833" s="32" t="e">
        <f>INDEX(OperatingFunds!$C$84:$AAF$92,ROW(OperatingFunds!$A$4),ROW(OperatingFunds!#REF!))</f>
        <v>#REF!</v>
      </c>
    </row>
    <row r="834" spans="1:5">
      <c r="A834" t="str">
        <f>RIGHT(OperatingFunds!$W$6,4)</f>
        <v>2010</v>
      </c>
      <c r="B834" t="str">
        <f>+OperatingFunds!$A$12</f>
        <v>376</v>
      </c>
      <c r="C834" t="s">
        <v>1764</v>
      </c>
      <c r="D834" t="s">
        <v>1779</v>
      </c>
      <c r="E834" s="32" t="e">
        <f>INDEX(OperatingFunds!$C$84:$AAF$92,ROW(OperatingFunds!$A$5),ROW(OperatingFunds!#REF!))</f>
        <v>#REF!</v>
      </c>
    </row>
    <row r="835" spans="1:5">
      <c r="A835" t="str">
        <f>RIGHT(OperatingFunds!$W$6,4)</f>
        <v>2010</v>
      </c>
      <c r="B835" t="str">
        <f>+OperatingFunds!$A$13</f>
        <v>380</v>
      </c>
      <c r="C835" t="s">
        <v>1764</v>
      </c>
      <c r="D835" t="s">
        <v>1779</v>
      </c>
      <c r="E835" s="32" t="e">
        <f>INDEX(OperatingFunds!$C$84:$AAF$92,ROW(OperatingFunds!$A$6),ROW(OperatingFunds!#REF!))</f>
        <v>#REF!</v>
      </c>
    </row>
    <row r="836" spans="1:5">
      <c r="A836" t="str">
        <f>RIGHT(OperatingFunds!$W$6,4)</f>
        <v>2010</v>
      </c>
      <c r="B836" t="str">
        <f>+OperatingFunds!$A$16</f>
        <v>699</v>
      </c>
      <c r="C836" t="s">
        <v>1764</v>
      </c>
      <c r="D836" t="s">
        <v>1779</v>
      </c>
      <c r="E836" s="32" t="e">
        <f>INDEX(OperatingFunds!$C$84:$AAF$92,ROW(OperatingFunds!$A$9),ROW(OperatingFunds!#REF!))</f>
        <v>#REF!</v>
      </c>
    </row>
    <row r="837" spans="1:5">
      <c r="A837" t="str">
        <f>RIGHT(OperatingFunds!$S$6,4)</f>
        <v>2006</v>
      </c>
      <c r="B837" t="str">
        <f>+OperatingFunds!$A$8</f>
        <v>360</v>
      </c>
      <c r="C837" t="s">
        <v>1764</v>
      </c>
      <c r="D837" t="s">
        <v>1772</v>
      </c>
      <c r="E837" s="32">
        <f>INDEX(OperatingFunds!$C$103:$AAF$112,ROW(OperatingFunds!$A$1),ROW(OperatingFunds!A$17))</f>
        <v>3057</v>
      </c>
    </row>
    <row r="838" spans="1:5">
      <c r="A838" t="str">
        <f>RIGHT(OperatingFunds!$S$6,4)</f>
        <v>2006</v>
      </c>
      <c r="B838" t="str">
        <f>+OperatingFunds!$A$9</f>
        <v>365</v>
      </c>
      <c r="C838" t="s">
        <v>1764</v>
      </c>
      <c r="D838" t="s">
        <v>1772</v>
      </c>
      <c r="E838" s="32">
        <f>INDEX(OperatingFunds!$C$103:$AAF$112,ROW(OperatingFunds!$A$2),ROW(OperatingFunds!A$17))</f>
        <v>3248</v>
      </c>
    </row>
    <row r="839" spans="1:5">
      <c r="A839" t="str">
        <f>RIGHT(OperatingFunds!$S$6,4)</f>
        <v>2006</v>
      </c>
      <c r="B839" t="str">
        <f>+OperatingFunds!$A$10</f>
        <v>370</v>
      </c>
      <c r="C839" t="s">
        <v>1764</v>
      </c>
      <c r="D839" t="s">
        <v>1772</v>
      </c>
      <c r="E839" s="32">
        <f>INDEX(OperatingFunds!$C$103:$AAF$112,ROW(OperatingFunds!$A$3),ROW(OperatingFunds!A$17))</f>
        <v>2147</v>
      </c>
    </row>
    <row r="840" spans="1:5">
      <c r="A840" t="str">
        <f>RIGHT(OperatingFunds!$S$6,4)</f>
        <v>2006</v>
      </c>
      <c r="B840" t="str">
        <f>+OperatingFunds!$A$11</f>
        <v>375</v>
      </c>
      <c r="C840" t="s">
        <v>1764</v>
      </c>
      <c r="D840" t="s">
        <v>1772</v>
      </c>
      <c r="E840" s="32">
        <f>INDEX(OperatingFunds!$C$103:$AAF$112,ROW(OperatingFunds!$A$4),ROW(OperatingFunds!A$17))</f>
        <v>2147</v>
      </c>
    </row>
    <row r="841" spans="1:5">
      <c r="A841" t="str">
        <f>RIGHT(OperatingFunds!$S$6,4)</f>
        <v>2006</v>
      </c>
      <c r="B841" t="str">
        <f>+OperatingFunds!$A$12</f>
        <v>376</v>
      </c>
      <c r="C841" t="s">
        <v>1764</v>
      </c>
      <c r="D841" t="s">
        <v>1772</v>
      </c>
      <c r="E841" s="32">
        <f>INDEX(OperatingFunds!$C$103:$AAF$112,ROW(OperatingFunds!$A$5),ROW(OperatingFunds!A$17))</f>
        <v>705</v>
      </c>
    </row>
    <row r="842" spans="1:5">
      <c r="A842" t="str">
        <f>RIGHT(OperatingFunds!$S$6,4)</f>
        <v>2006</v>
      </c>
      <c r="B842" t="str">
        <f>+OperatingFunds!$A$13</f>
        <v>380</v>
      </c>
      <c r="C842" t="s">
        <v>1764</v>
      </c>
      <c r="D842" t="s">
        <v>1772</v>
      </c>
      <c r="E842" s="32">
        <f>INDEX(OperatingFunds!$C$103:$AAF$112,ROW(OperatingFunds!$A$6),ROW(OperatingFunds!A$17))</f>
        <v>1158</v>
      </c>
    </row>
    <row r="843" spans="1:5">
      <c r="A843" t="str">
        <f>RIGHT(OperatingFunds!$S$6,4)</f>
        <v>2006</v>
      </c>
      <c r="B843" t="str">
        <f>+OperatingFunds!$A$16</f>
        <v>699</v>
      </c>
      <c r="C843" t="s">
        <v>1764</v>
      </c>
      <c r="D843" t="s">
        <v>1772</v>
      </c>
      <c r="E843" s="32">
        <f>INDEX(OperatingFunds!$C$103:$AAF$112,ROW(OperatingFunds!$A$9),ROW(OperatingFunds!A$17))</f>
        <v>17570</v>
      </c>
    </row>
    <row r="844" spans="1:5">
      <c r="A844" t="str">
        <f>RIGHT(OperatingFunds!$S$6,4)</f>
        <v>2006</v>
      </c>
      <c r="B844" t="str">
        <f>+OperatingFunds!$A$17</f>
        <v>340</v>
      </c>
      <c r="C844" t="s">
        <v>1764</v>
      </c>
      <c r="D844" t="s">
        <v>1772</v>
      </c>
      <c r="E844" s="32">
        <f>INDEX(OperatingFunds!$C$103:$AAF$112,ROW(OperatingFunds!$A$10),ROW(OperatingFunds!A$17))</f>
        <v>29263</v>
      </c>
    </row>
    <row r="845" spans="1:5">
      <c r="A845" t="str">
        <f>RIGHT(OperatingFunds!$T$6,4)</f>
        <v>2007</v>
      </c>
      <c r="B845" t="str">
        <f>+OperatingFunds!$A$8</f>
        <v>360</v>
      </c>
      <c r="C845" t="s">
        <v>1764</v>
      </c>
      <c r="D845" t="s">
        <v>1772</v>
      </c>
      <c r="E845" s="32">
        <f>INDEX(OperatingFunds!$C$103:$AAF$112,ROW(OperatingFunds!$A$1),ROW(OperatingFunds!A$18))</f>
        <v>7691</v>
      </c>
    </row>
    <row r="846" spans="1:5">
      <c r="A846" t="str">
        <f>RIGHT(OperatingFunds!$T$6,4)</f>
        <v>2007</v>
      </c>
      <c r="B846" t="str">
        <f>+OperatingFunds!$A$9</f>
        <v>365</v>
      </c>
      <c r="C846" t="s">
        <v>1764</v>
      </c>
      <c r="D846" t="s">
        <v>1772</v>
      </c>
      <c r="E846" s="32">
        <f>INDEX(OperatingFunds!$C$103:$AAF$112,ROW(OperatingFunds!$A$2),ROW(OperatingFunds!A$18))</f>
        <v>7914</v>
      </c>
    </row>
    <row r="847" spans="1:5">
      <c r="A847" t="str">
        <f>RIGHT(OperatingFunds!$T$6,4)</f>
        <v>2007</v>
      </c>
      <c r="B847" t="str">
        <f>+OperatingFunds!$A$10</f>
        <v>370</v>
      </c>
      <c r="C847" t="s">
        <v>1764</v>
      </c>
      <c r="D847" t="s">
        <v>1772</v>
      </c>
      <c r="E847" s="32">
        <f>INDEX(OperatingFunds!$C$103:$AAF$112,ROW(OperatingFunds!$A$3),ROW(OperatingFunds!A$18))</f>
        <v>4314</v>
      </c>
    </row>
    <row r="848" spans="1:5">
      <c r="A848" t="str">
        <f>RIGHT(OperatingFunds!$T$6,4)</f>
        <v>2007</v>
      </c>
      <c r="B848" t="str">
        <f>+OperatingFunds!$A$11</f>
        <v>375</v>
      </c>
      <c r="C848" t="s">
        <v>1764</v>
      </c>
      <c r="D848" t="s">
        <v>1772</v>
      </c>
      <c r="E848" s="32">
        <f>INDEX(OperatingFunds!$C$103:$AAF$112,ROW(OperatingFunds!$A$4),ROW(OperatingFunds!A$18))</f>
        <v>4314</v>
      </c>
    </row>
    <row r="849" spans="1:5">
      <c r="A849" t="str">
        <f>RIGHT(OperatingFunds!$T$6,4)</f>
        <v>2007</v>
      </c>
      <c r="B849" t="str">
        <f>+OperatingFunds!$A$12</f>
        <v>376</v>
      </c>
      <c r="C849" t="s">
        <v>1764</v>
      </c>
      <c r="D849" t="s">
        <v>1772</v>
      </c>
      <c r="E849" s="32">
        <f>INDEX(OperatingFunds!$C$103:$AAF$112,ROW(OperatingFunds!$A$5),ROW(OperatingFunds!A$18))</f>
        <v>1411</v>
      </c>
    </row>
    <row r="850" spans="1:5">
      <c r="A850" t="str">
        <f>RIGHT(OperatingFunds!$T$6,4)</f>
        <v>2007</v>
      </c>
      <c r="B850" t="str">
        <f>+OperatingFunds!$A$13</f>
        <v>380</v>
      </c>
      <c r="C850" t="s">
        <v>1764</v>
      </c>
      <c r="D850" t="s">
        <v>1772</v>
      </c>
      <c r="E850" s="32">
        <f>INDEX(OperatingFunds!$C$103:$AAF$112,ROW(OperatingFunds!$A$6),ROW(OperatingFunds!A$18))</f>
        <v>2317</v>
      </c>
    </row>
    <row r="851" spans="1:5">
      <c r="A851" t="str">
        <f>RIGHT(OperatingFunds!$T$6,4)</f>
        <v>2007</v>
      </c>
      <c r="B851" t="str">
        <f>+OperatingFunds!$A$16</f>
        <v>699</v>
      </c>
      <c r="C851" t="s">
        <v>1764</v>
      </c>
      <c r="D851" t="s">
        <v>1772</v>
      </c>
      <c r="E851" s="32">
        <f>INDEX(OperatingFunds!$C$103:$AAF$112,ROW(OperatingFunds!$A$9),ROW(OperatingFunds!A$18))</f>
        <v>27800.375629999999</v>
      </c>
    </row>
    <row r="852" spans="1:5">
      <c r="A852" t="str">
        <f>RIGHT(OperatingFunds!$T$6,4)</f>
        <v>2007</v>
      </c>
      <c r="B852" t="str">
        <f>+OperatingFunds!$A$17</f>
        <v>340</v>
      </c>
      <c r="C852" t="s">
        <v>1764</v>
      </c>
      <c r="D852" t="s">
        <v>1772</v>
      </c>
      <c r="E852" s="32">
        <f>INDEX(OperatingFunds!$C$103:$AAF$112,ROW(OperatingFunds!$A$10),ROW(OperatingFunds!A$18))</f>
        <v>33647</v>
      </c>
    </row>
    <row r="853" spans="1:5">
      <c r="A853" t="str">
        <f>RIGHT(OperatingFunds!$U$6,4)</f>
        <v>2008</v>
      </c>
      <c r="B853" t="str">
        <f>+OperatingFunds!$A$8</f>
        <v>360</v>
      </c>
      <c r="C853" t="s">
        <v>1764</v>
      </c>
      <c r="D853" t="s">
        <v>1772</v>
      </c>
      <c r="E853" s="32">
        <f>INDEX(OperatingFunds!$C$103:$AAF$112,ROW(OperatingFunds!$A$1),ROW(OperatingFunds!A$19))</f>
        <v>15915.9776</v>
      </c>
    </row>
    <row r="854" spans="1:5">
      <c r="A854" t="str">
        <f>RIGHT(OperatingFunds!$U$6,4)</f>
        <v>2008</v>
      </c>
      <c r="B854" t="str">
        <f>+OperatingFunds!$A$9</f>
        <v>365</v>
      </c>
      <c r="C854" t="s">
        <v>1764</v>
      </c>
      <c r="D854" t="s">
        <v>1772</v>
      </c>
      <c r="E854" s="32">
        <f>INDEX(OperatingFunds!$C$103:$AAF$112,ROW(OperatingFunds!$A$2),ROW(OperatingFunds!A$19))</f>
        <v>12491</v>
      </c>
    </row>
    <row r="855" spans="1:5">
      <c r="A855" t="str">
        <f>RIGHT(OperatingFunds!$U$6,4)</f>
        <v>2008</v>
      </c>
      <c r="B855" t="str">
        <f>+OperatingFunds!$A$10</f>
        <v>370</v>
      </c>
      <c r="C855" t="s">
        <v>1764</v>
      </c>
      <c r="D855" t="s">
        <v>1772</v>
      </c>
      <c r="E855" s="32">
        <f>INDEX(OperatingFunds!$C$103:$AAF$112,ROW(OperatingFunds!$A$3),ROW(OperatingFunds!A$19))</f>
        <v>6707</v>
      </c>
    </row>
    <row r="856" spans="1:5">
      <c r="A856" t="str">
        <f>RIGHT(OperatingFunds!$U$6,4)</f>
        <v>2008</v>
      </c>
      <c r="B856" t="str">
        <f>+OperatingFunds!$A$11</f>
        <v>375</v>
      </c>
      <c r="C856" t="s">
        <v>1764</v>
      </c>
      <c r="D856" t="s">
        <v>1772</v>
      </c>
      <c r="E856" s="32">
        <f>INDEX(OperatingFunds!$C$103:$AAF$112,ROW(OperatingFunds!$A$4),ROW(OperatingFunds!A$19))</f>
        <v>6681</v>
      </c>
    </row>
    <row r="857" spans="1:5">
      <c r="A857" t="str">
        <f>RIGHT(OperatingFunds!$U$6,4)</f>
        <v>2008</v>
      </c>
      <c r="B857" t="str">
        <f>+OperatingFunds!$A$12</f>
        <v>376</v>
      </c>
      <c r="C857" t="s">
        <v>1764</v>
      </c>
      <c r="D857" t="s">
        <v>1772</v>
      </c>
      <c r="E857" s="32">
        <f>INDEX(OperatingFunds!$C$103:$AAF$112,ROW(OperatingFunds!$A$5),ROW(OperatingFunds!A$19))</f>
        <v>2033</v>
      </c>
    </row>
    <row r="858" spans="1:5">
      <c r="A858" t="str">
        <f>RIGHT(OperatingFunds!$U$6,4)</f>
        <v>2008</v>
      </c>
      <c r="B858" t="str">
        <f>+OperatingFunds!$A$13</f>
        <v>380</v>
      </c>
      <c r="C858" t="s">
        <v>1764</v>
      </c>
      <c r="D858" t="s">
        <v>1772</v>
      </c>
      <c r="E858" s="32">
        <f>INDEX(OperatingFunds!$C$103:$AAF$112,ROW(OperatingFunds!$A$6),ROW(OperatingFunds!A$19))</f>
        <v>5110</v>
      </c>
    </row>
    <row r="859" spans="1:5">
      <c r="A859" t="str">
        <f>RIGHT(OperatingFunds!$U$6,4)</f>
        <v>2008</v>
      </c>
      <c r="B859" t="str">
        <f>+OperatingFunds!$A$16</f>
        <v>699</v>
      </c>
      <c r="C859" t="s">
        <v>1764</v>
      </c>
      <c r="D859" t="s">
        <v>1772</v>
      </c>
      <c r="E859" s="32">
        <f>INDEX(OperatingFunds!$C$103:$AAF$112,ROW(OperatingFunds!$A$9),ROW(OperatingFunds!A$19))</f>
        <v>55728.38985</v>
      </c>
    </row>
    <row r="860" spans="1:5">
      <c r="A860" t="str">
        <f>RIGHT(OperatingFunds!$U$6,4)</f>
        <v>2008</v>
      </c>
      <c r="B860" t="str">
        <f>+OperatingFunds!$A$17</f>
        <v>340</v>
      </c>
      <c r="C860" t="s">
        <v>1764</v>
      </c>
      <c r="D860" t="s">
        <v>1772</v>
      </c>
      <c r="E860" s="32">
        <f>INDEX(OperatingFunds!$C$103:$AAF$112,ROW(OperatingFunds!$A$10),ROW(OperatingFunds!A$19))</f>
        <v>63573.289929999999</v>
      </c>
    </row>
    <row r="861" spans="1:5">
      <c r="A861" t="str">
        <f>RIGHT(OperatingFunds!$V$6,4)</f>
        <v>2009</v>
      </c>
      <c r="B861" t="str">
        <f>+OperatingFunds!$A$8</f>
        <v>360</v>
      </c>
      <c r="C861" t="s">
        <v>1764</v>
      </c>
      <c r="D861" t="s">
        <v>1772</v>
      </c>
      <c r="E861" s="32">
        <f>INDEX(OperatingFunds!$C$103:$AAF$112,ROW(OperatingFunds!$A$1),ROW(OperatingFunds!A$20))</f>
        <v>27214.139950000001</v>
      </c>
    </row>
    <row r="862" spans="1:5">
      <c r="A862" t="str">
        <f>RIGHT(OperatingFunds!$V$6,4)</f>
        <v>2009</v>
      </c>
      <c r="B862" t="str">
        <f>+OperatingFunds!$A$9</f>
        <v>365</v>
      </c>
      <c r="C862" t="s">
        <v>1764</v>
      </c>
      <c r="D862" t="s">
        <v>1772</v>
      </c>
      <c r="E862" s="32">
        <f>INDEX(OperatingFunds!$C$103:$AAF$112,ROW(OperatingFunds!$A$2),ROW(OperatingFunds!A$20))</f>
        <v>21393</v>
      </c>
    </row>
    <row r="863" spans="1:5">
      <c r="A863" t="str">
        <f>RIGHT(OperatingFunds!$V$6,4)</f>
        <v>2009</v>
      </c>
      <c r="B863" t="str">
        <f>+OperatingFunds!$A$10</f>
        <v>370</v>
      </c>
      <c r="C863" t="s">
        <v>1764</v>
      </c>
      <c r="D863" t="s">
        <v>1772</v>
      </c>
      <c r="E863" s="32">
        <f>INDEX(OperatingFunds!$C$103:$AAF$112,ROW(OperatingFunds!$A$3),ROW(OperatingFunds!A$20))</f>
        <v>8046</v>
      </c>
    </row>
    <row r="864" spans="1:5">
      <c r="A864" t="str">
        <f>RIGHT(OperatingFunds!$V$6,4)</f>
        <v>2009</v>
      </c>
      <c r="B864" t="str">
        <f>+OperatingFunds!$A$11</f>
        <v>375</v>
      </c>
      <c r="C864" t="s">
        <v>1764</v>
      </c>
      <c r="D864" t="s">
        <v>1772</v>
      </c>
      <c r="E864" s="32">
        <f>INDEX(OperatingFunds!$C$103:$AAF$112,ROW(OperatingFunds!$A$4),ROW(OperatingFunds!A$20))</f>
        <v>9538</v>
      </c>
    </row>
    <row r="865" spans="1:5">
      <c r="A865" t="str">
        <f>RIGHT(OperatingFunds!$V$6,4)</f>
        <v>2009</v>
      </c>
      <c r="B865" t="str">
        <f>+OperatingFunds!$A$12</f>
        <v>376</v>
      </c>
      <c r="C865" t="s">
        <v>1764</v>
      </c>
      <c r="D865" t="s">
        <v>1772</v>
      </c>
      <c r="E865" s="32">
        <f>INDEX(OperatingFunds!$C$103:$AAF$112,ROW(OperatingFunds!$A$5),ROW(OperatingFunds!A$20))</f>
        <v>2692</v>
      </c>
    </row>
    <row r="866" spans="1:5">
      <c r="A866" t="str">
        <f>RIGHT(OperatingFunds!$V$6,4)</f>
        <v>2009</v>
      </c>
      <c r="B866" t="str">
        <f>+OperatingFunds!$A$13</f>
        <v>380</v>
      </c>
      <c r="C866" t="s">
        <v>1764</v>
      </c>
      <c r="D866" t="s">
        <v>1772</v>
      </c>
      <c r="E866" s="32">
        <f>INDEX(OperatingFunds!$C$103:$AAF$112,ROW(OperatingFunds!$A$6),ROW(OperatingFunds!A$20))</f>
        <v>6735</v>
      </c>
    </row>
    <row r="867" spans="1:5">
      <c r="A867" t="str">
        <f>RIGHT(OperatingFunds!$V$6,4)</f>
        <v>2009</v>
      </c>
      <c r="B867" t="str">
        <f>+OperatingFunds!$A$16</f>
        <v>699</v>
      </c>
      <c r="C867" t="s">
        <v>1764</v>
      </c>
      <c r="D867" t="s">
        <v>1772</v>
      </c>
      <c r="E867" s="32">
        <f>INDEX(OperatingFunds!$C$103:$AAF$112,ROW(OperatingFunds!$A$9),ROW(OperatingFunds!A$20))</f>
        <v>48343.623540000001</v>
      </c>
    </row>
    <row r="868" spans="1:5">
      <c r="A868" t="str">
        <f>RIGHT(OperatingFunds!$V$6,4)</f>
        <v>2009</v>
      </c>
      <c r="B868" t="str">
        <f>+OperatingFunds!$A$17</f>
        <v>340</v>
      </c>
      <c r="C868" t="s">
        <v>1764</v>
      </c>
      <c r="D868" t="s">
        <v>1772</v>
      </c>
      <c r="E868" s="32">
        <f>INDEX(OperatingFunds!$C$103:$AAF$112,ROW(OperatingFunds!$A$10),ROW(OperatingFunds!A$20))</f>
        <v>43008.085319999998</v>
      </c>
    </row>
    <row r="869" spans="1:5">
      <c r="A869" t="str">
        <f>RIGHT(OperatingFunds!$W$6,4)</f>
        <v>2010</v>
      </c>
      <c r="B869" t="str">
        <f>+OperatingFunds!$A$8</f>
        <v>360</v>
      </c>
      <c r="C869" t="s">
        <v>1764</v>
      </c>
      <c r="D869" t="s">
        <v>1772</v>
      </c>
      <c r="E869" s="32" t="e">
        <f>INDEX(OperatingFunds!$C$103:$AAF$112,ROW(OperatingFunds!$A$1),ROW(OperatingFunds!#REF!))</f>
        <v>#REF!</v>
      </c>
    </row>
    <row r="870" spans="1:5">
      <c r="A870" t="str">
        <f>RIGHT(OperatingFunds!$W$6,4)</f>
        <v>2010</v>
      </c>
      <c r="B870" t="str">
        <f>+OperatingFunds!$A$9</f>
        <v>365</v>
      </c>
      <c r="C870" t="s">
        <v>1764</v>
      </c>
      <c r="D870" t="s">
        <v>1772</v>
      </c>
      <c r="E870" s="32" t="e">
        <f>INDEX(OperatingFunds!$C$103:$AAF$112,ROW(OperatingFunds!$A$2),ROW(OperatingFunds!#REF!))</f>
        <v>#REF!</v>
      </c>
    </row>
    <row r="871" spans="1:5">
      <c r="A871" t="str">
        <f>RIGHT(OperatingFunds!$W$6,4)</f>
        <v>2010</v>
      </c>
      <c r="B871" t="str">
        <f>+OperatingFunds!$A$10</f>
        <v>370</v>
      </c>
      <c r="C871" t="s">
        <v>1764</v>
      </c>
      <c r="D871" t="s">
        <v>1772</v>
      </c>
      <c r="E871" s="32" t="e">
        <f>INDEX(OperatingFunds!$C$103:$AAF$112,ROW(OperatingFunds!$A$3),ROW(OperatingFunds!#REF!))</f>
        <v>#REF!</v>
      </c>
    </row>
    <row r="872" spans="1:5">
      <c r="A872" t="str">
        <f>RIGHT(OperatingFunds!$W$6,4)</f>
        <v>2010</v>
      </c>
      <c r="B872" t="str">
        <f>+OperatingFunds!$A$11</f>
        <v>375</v>
      </c>
      <c r="C872" t="s">
        <v>1764</v>
      </c>
      <c r="D872" t="s">
        <v>1772</v>
      </c>
      <c r="E872" s="32" t="e">
        <f>INDEX(OperatingFunds!$C$103:$AAF$112,ROW(OperatingFunds!$A$4),ROW(OperatingFunds!#REF!))</f>
        <v>#REF!</v>
      </c>
    </row>
    <row r="873" spans="1:5">
      <c r="A873" t="str">
        <f>RIGHT(OperatingFunds!$W$6,4)</f>
        <v>2010</v>
      </c>
      <c r="B873" t="str">
        <f>+OperatingFunds!$A$12</f>
        <v>376</v>
      </c>
      <c r="C873" t="s">
        <v>1764</v>
      </c>
      <c r="D873" t="s">
        <v>1772</v>
      </c>
      <c r="E873" s="32" t="e">
        <f>INDEX(OperatingFunds!$C$103:$AAF$112,ROW(OperatingFunds!$A$5),ROW(OperatingFunds!#REF!))</f>
        <v>#REF!</v>
      </c>
    </row>
    <row r="874" spans="1:5">
      <c r="A874" t="str">
        <f>RIGHT(OperatingFunds!$W$6,4)</f>
        <v>2010</v>
      </c>
      <c r="B874" t="str">
        <f>+OperatingFunds!$A$13</f>
        <v>380</v>
      </c>
      <c r="C874" t="s">
        <v>1764</v>
      </c>
      <c r="D874" t="s">
        <v>1772</v>
      </c>
      <c r="E874" s="32" t="e">
        <f>INDEX(OperatingFunds!$C$103:$AAF$112,ROW(OperatingFunds!$A$6),ROW(OperatingFunds!#REF!))</f>
        <v>#REF!</v>
      </c>
    </row>
    <row r="875" spans="1:5">
      <c r="A875" t="str">
        <f>RIGHT(OperatingFunds!$W$6,4)</f>
        <v>2010</v>
      </c>
      <c r="B875" t="str">
        <f>+OperatingFunds!$A$16</f>
        <v>699</v>
      </c>
      <c r="C875" t="s">
        <v>1764</v>
      </c>
      <c r="D875" t="s">
        <v>1772</v>
      </c>
      <c r="E875" s="32" t="e">
        <f>INDEX(OperatingFunds!$C$103:$AAF$112,ROW(OperatingFunds!$A$9),ROW(OperatingFunds!#REF!))</f>
        <v>#REF!</v>
      </c>
    </row>
    <row r="876" spans="1:5">
      <c r="A876" t="str">
        <f>RIGHT(OperatingFunds!$W$6,4)</f>
        <v>2010</v>
      </c>
      <c r="B876" t="str">
        <f>+OperatingFunds!$A$17</f>
        <v>340</v>
      </c>
      <c r="C876" t="s">
        <v>1764</v>
      </c>
      <c r="D876" t="s">
        <v>1772</v>
      </c>
      <c r="E876" s="32" t="e">
        <f>INDEX(OperatingFunds!$C$103:$AAF$112,ROW(OperatingFunds!$A$10),ROW(OperatingFunds!#REF!))</f>
        <v>#REF!</v>
      </c>
    </row>
    <row r="877" spans="1:5">
      <c r="A877" t="str">
        <f>RIGHT(OperatingFunds!$X$6,4)</f>
        <v>2011</v>
      </c>
      <c r="B877" t="str">
        <f>+OperatingFunds!$A$8</f>
        <v>360</v>
      </c>
      <c r="C877" t="s">
        <v>1764</v>
      </c>
      <c r="D877" t="s">
        <v>1772</v>
      </c>
      <c r="E877" s="32">
        <f>INDEX(OperatingFunds!$C$103:$AAF$112,ROW(OperatingFunds!$A$1),ROW(OperatingFunds!A$21))</f>
        <v>26345</v>
      </c>
    </row>
    <row r="878" spans="1:5">
      <c r="A878" t="str">
        <f>RIGHT(OperatingFunds!$X$6,4)</f>
        <v>2011</v>
      </c>
      <c r="B878" t="str">
        <f>+OperatingFunds!$A$9</f>
        <v>365</v>
      </c>
      <c r="C878" t="s">
        <v>1764</v>
      </c>
      <c r="D878" t="s">
        <v>1772</v>
      </c>
      <c r="E878" s="32">
        <f>INDEX(OperatingFunds!$C$103:$AAF$112,ROW(OperatingFunds!$A$2),ROW(OperatingFunds!A$21))</f>
        <v>17699</v>
      </c>
    </row>
    <row r="879" spans="1:5">
      <c r="A879" t="str">
        <f>RIGHT(OperatingFunds!$X$6,4)</f>
        <v>2011</v>
      </c>
      <c r="B879" t="str">
        <f>+OperatingFunds!$A$10</f>
        <v>370</v>
      </c>
      <c r="C879" t="s">
        <v>1764</v>
      </c>
      <c r="D879" t="s">
        <v>1772</v>
      </c>
      <c r="E879" s="32">
        <f>INDEX(OperatingFunds!$C$103:$AAF$112,ROW(OperatingFunds!$A$3),ROW(OperatingFunds!A$21))</f>
        <v>8046</v>
      </c>
    </row>
    <row r="880" spans="1:5">
      <c r="A880" t="str">
        <f>RIGHT(OperatingFunds!$X$6,4)</f>
        <v>2011</v>
      </c>
      <c r="B880" t="str">
        <f>+OperatingFunds!$A$11</f>
        <v>375</v>
      </c>
      <c r="C880" t="s">
        <v>1764</v>
      </c>
      <c r="D880" t="s">
        <v>1772</v>
      </c>
      <c r="E880" s="32">
        <f>INDEX(OperatingFunds!$C$103:$AAF$112,ROW(OperatingFunds!$A$4),ROW(OperatingFunds!A$21))</f>
        <v>9538</v>
      </c>
    </row>
    <row r="881" spans="1:5">
      <c r="A881" t="str">
        <f>RIGHT(OperatingFunds!$X$6,4)</f>
        <v>2011</v>
      </c>
      <c r="B881" t="str">
        <f>+OperatingFunds!$A$12</f>
        <v>376</v>
      </c>
      <c r="C881" t="s">
        <v>1764</v>
      </c>
      <c r="D881" t="s">
        <v>1772</v>
      </c>
      <c r="E881" s="32">
        <f>INDEX(OperatingFunds!$C$103:$AAF$112,ROW(OperatingFunds!$A$5),ROW(OperatingFunds!A$21))</f>
        <v>2725</v>
      </c>
    </row>
    <row r="882" spans="1:5">
      <c r="A882" t="str">
        <f>RIGHT(OperatingFunds!$X$6,4)</f>
        <v>2011</v>
      </c>
      <c r="B882" t="str">
        <f>+OperatingFunds!$A$13</f>
        <v>380</v>
      </c>
      <c r="C882" t="s">
        <v>1764</v>
      </c>
      <c r="D882" t="s">
        <v>1772</v>
      </c>
      <c r="E882" s="32">
        <f>INDEX(OperatingFunds!$C$103:$AAF$112,ROW(OperatingFunds!$A$6),ROW(OperatingFunds!A$21))</f>
        <v>6518</v>
      </c>
    </row>
    <row r="883" spans="1:5">
      <c r="A883" t="str">
        <f>RIGHT(OperatingFunds!$X$6,4)</f>
        <v>2011</v>
      </c>
      <c r="B883" t="str">
        <f>+OperatingFunds!$A$16</f>
        <v>699</v>
      </c>
      <c r="C883" t="s">
        <v>1764</v>
      </c>
      <c r="D883" t="s">
        <v>1772</v>
      </c>
      <c r="E883" s="32">
        <f>INDEX(OperatingFunds!$C$103:$AAF$112,ROW(OperatingFunds!$A$9),ROW(OperatingFunds!A$21))</f>
        <v>47501.390679999997</v>
      </c>
    </row>
    <row r="884" spans="1:5">
      <c r="A884" t="str">
        <f>RIGHT(OperatingFunds!$X$6,4)</f>
        <v>2011</v>
      </c>
      <c r="B884" t="str">
        <f>+OperatingFunds!$A$17</f>
        <v>340</v>
      </c>
      <c r="C884" t="s">
        <v>1764</v>
      </c>
      <c r="D884" t="s">
        <v>1772</v>
      </c>
      <c r="E884" s="32">
        <f>INDEX(OperatingFunds!$C$103:$AAF$112,ROW(OperatingFunds!$A$10),ROW(OperatingFunds!A$21))</f>
        <v>59984.612070000003</v>
      </c>
    </row>
    <row r="885" spans="1:5">
      <c r="A885" t="str">
        <f>RIGHT(OperatingFunds!$Y$6,4)</f>
        <v>2012</v>
      </c>
      <c r="B885" t="str">
        <f>+OperatingFunds!$A$8</f>
        <v>360</v>
      </c>
      <c r="C885" t="s">
        <v>1764</v>
      </c>
      <c r="D885" t="s">
        <v>1772</v>
      </c>
      <c r="E885" s="32">
        <f>INDEX(OperatingFunds!$C$103:$AAF$112,ROW(OperatingFunds!$A$1),ROW(OperatingFunds!A$22))</f>
        <v>28188.991999999998</v>
      </c>
    </row>
    <row r="886" spans="1:5">
      <c r="A886" t="str">
        <f>RIGHT(OperatingFunds!$Y$6,4)</f>
        <v>2012</v>
      </c>
      <c r="B886" t="str">
        <f>+OperatingFunds!$A$9</f>
        <v>365</v>
      </c>
      <c r="C886" t="s">
        <v>1764</v>
      </c>
      <c r="D886" t="s">
        <v>1772</v>
      </c>
      <c r="E886" s="32">
        <f>INDEX(OperatingFunds!$C$103:$AAF$112,ROW(OperatingFunds!$A$2),ROW(OperatingFunds!A$22))</f>
        <v>16736</v>
      </c>
    </row>
    <row r="887" spans="1:5">
      <c r="A887" t="str">
        <f>RIGHT(OperatingFunds!$Y$6,4)</f>
        <v>2012</v>
      </c>
      <c r="B887" t="str">
        <f>+OperatingFunds!$A$10</f>
        <v>370</v>
      </c>
      <c r="C887" t="s">
        <v>1764</v>
      </c>
      <c r="D887" t="s">
        <v>1772</v>
      </c>
      <c r="E887" s="32">
        <f>INDEX(OperatingFunds!$C$103:$AAF$112,ROW(OperatingFunds!$A$3),ROW(OperatingFunds!A$22))</f>
        <v>7995</v>
      </c>
    </row>
    <row r="888" spans="1:5">
      <c r="A888" t="str">
        <f>RIGHT(OperatingFunds!$Y$6,4)</f>
        <v>2012</v>
      </c>
      <c r="B888" t="str">
        <f>+OperatingFunds!$A$11</f>
        <v>375</v>
      </c>
      <c r="C888" t="s">
        <v>1764</v>
      </c>
      <c r="D888" t="s">
        <v>1772</v>
      </c>
      <c r="E888" s="32">
        <f>INDEX(OperatingFunds!$C$103:$AAF$112,ROW(OperatingFunds!$A$4),ROW(OperatingFunds!A$22))</f>
        <v>9474</v>
      </c>
    </row>
    <row r="889" spans="1:5">
      <c r="A889" t="str">
        <f>RIGHT(OperatingFunds!$Y$6,4)</f>
        <v>2012</v>
      </c>
      <c r="B889" t="str">
        <f>+OperatingFunds!$A$12</f>
        <v>376</v>
      </c>
      <c r="C889" t="s">
        <v>1764</v>
      </c>
      <c r="D889" t="s">
        <v>1772</v>
      </c>
      <c r="E889" s="32">
        <f>INDEX(OperatingFunds!$C$103:$AAF$112,ROW(OperatingFunds!$A$5),ROW(OperatingFunds!A$22))</f>
        <v>2692</v>
      </c>
    </row>
    <row r="890" spans="1:5">
      <c r="A890" t="str">
        <f>RIGHT(OperatingFunds!$Y$6,4)</f>
        <v>2012</v>
      </c>
      <c r="B890" t="str">
        <f>+OperatingFunds!$A$13</f>
        <v>380</v>
      </c>
      <c r="C890" t="s">
        <v>1764</v>
      </c>
      <c r="D890" t="s">
        <v>1772</v>
      </c>
      <c r="E890" s="32">
        <f>INDEX(OperatingFunds!$C$103:$AAF$112,ROW(OperatingFunds!$A$6),ROW(OperatingFunds!A$22))</f>
        <v>6398.4896600000002</v>
      </c>
    </row>
    <row r="891" spans="1:5">
      <c r="A891" t="str">
        <f>RIGHT(OperatingFunds!$Y$6,4)</f>
        <v>2012</v>
      </c>
      <c r="B891" t="str">
        <f>+OperatingFunds!$A$16</f>
        <v>699</v>
      </c>
      <c r="C891" t="s">
        <v>1764</v>
      </c>
      <c r="D891" t="s">
        <v>1772</v>
      </c>
      <c r="E891" s="32">
        <f>INDEX(OperatingFunds!$C$103:$AAF$112,ROW(OperatingFunds!$A$9),ROW(OperatingFunds!A$22))</f>
        <v>47465.505699999994</v>
      </c>
    </row>
    <row r="892" spans="1:5">
      <c r="A892" t="str">
        <f>RIGHT(OperatingFunds!$Y$6,4)</f>
        <v>2012</v>
      </c>
      <c r="B892" t="str">
        <f>+OperatingFunds!$A$17</f>
        <v>340</v>
      </c>
      <c r="C892" t="s">
        <v>1764</v>
      </c>
      <c r="D892" t="s">
        <v>1772</v>
      </c>
      <c r="E892" s="32">
        <f>INDEX(OperatingFunds!$C$103:$AAF$112,ROW(OperatingFunds!$A$10),ROW(OperatingFunds!A$22))</f>
        <v>-29913.94846</v>
      </c>
    </row>
    <row r="893" spans="1:5">
      <c r="A893" t="str">
        <f>RIGHT(OperatingFunds!$Z$6,4)</f>
        <v>2013</v>
      </c>
      <c r="B893" t="str">
        <f>+OperatingFunds!$A$8</f>
        <v>360</v>
      </c>
      <c r="C893" t="s">
        <v>1764</v>
      </c>
      <c r="D893" t="s">
        <v>1772</v>
      </c>
      <c r="E893" s="32">
        <f>INDEX(OperatingFunds!$C$103:$AAF$112,ROW(OperatingFunds!$A$1),ROW(OperatingFunds!A$23))</f>
        <v>10726</v>
      </c>
    </row>
    <row r="894" spans="1:5">
      <c r="A894" t="str">
        <f>RIGHT(OperatingFunds!$Z$6,4)</f>
        <v>2013</v>
      </c>
      <c r="B894" t="str">
        <f>+OperatingFunds!$A$9</f>
        <v>365</v>
      </c>
      <c r="C894" t="s">
        <v>1764</v>
      </c>
      <c r="D894" t="s">
        <v>1772</v>
      </c>
      <c r="E894" s="32">
        <f>INDEX(OperatingFunds!$C$103:$AAF$112,ROW(OperatingFunds!$A$2),ROW(OperatingFunds!A$23))</f>
        <v>16533</v>
      </c>
    </row>
    <row r="895" spans="1:5">
      <c r="A895" t="str">
        <f>RIGHT(OperatingFunds!$Z$6,4)</f>
        <v>2013</v>
      </c>
      <c r="B895" t="str">
        <f>+OperatingFunds!$A$10</f>
        <v>370</v>
      </c>
      <c r="C895" t="s">
        <v>1764</v>
      </c>
      <c r="D895" t="s">
        <v>1772</v>
      </c>
      <c r="E895" s="32">
        <f>INDEX(OperatingFunds!$C$103:$AAF$112,ROW(OperatingFunds!$A$3),ROW(OperatingFunds!A$23))</f>
        <v>8046</v>
      </c>
    </row>
    <row r="896" spans="1:5">
      <c r="A896" t="str">
        <f>RIGHT(OperatingFunds!$Z$6,4)</f>
        <v>2013</v>
      </c>
      <c r="B896" t="str">
        <f>+OperatingFunds!$A$11</f>
        <v>375</v>
      </c>
      <c r="C896" t="s">
        <v>1764</v>
      </c>
      <c r="D896" t="s">
        <v>1772</v>
      </c>
      <c r="E896" s="32">
        <f>INDEX(OperatingFunds!$C$103:$AAF$112,ROW(OperatingFunds!$A$4),ROW(OperatingFunds!A$23))</f>
        <v>9538</v>
      </c>
    </row>
    <row r="897" spans="1:5">
      <c r="A897" t="str">
        <f>RIGHT(OperatingFunds!$Z$6,4)</f>
        <v>2013</v>
      </c>
      <c r="B897" t="str">
        <f>+OperatingFunds!$A$12</f>
        <v>376</v>
      </c>
      <c r="C897" t="s">
        <v>1764</v>
      </c>
      <c r="D897" t="s">
        <v>1772</v>
      </c>
      <c r="E897" s="32">
        <f>INDEX(OperatingFunds!$C$103:$AAF$112,ROW(OperatingFunds!$A$5),ROW(OperatingFunds!A$23))</f>
        <v>2725</v>
      </c>
    </row>
    <row r="898" spans="1:5">
      <c r="A898" t="str">
        <f>RIGHT(OperatingFunds!$Z$6,4)</f>
        <v>2013</v>
      </c>
      <c r="B898" t="str">
        <f>+OperatingFunds!$A$13</f>
        <v>380</v>
      </c>
      <c r="C898" t="s">
        <v>1764</v>
      </c>
      <c r="D898" t="s">
        <v>1772</v>
      </c>
      <c r="E898" s="32">
        <f>INDEX(OperatingFunds!$C$103:$AAF$112,ROW(OperatingFunds!$A$6),ROW(OperatingFunds!A$23))</f>
        <v>6647</v>
      </c>
    </row>
    <row r="899" spans="1:5">
      <c r="A899" t="str">
        <f>RIGHT(OperatingFunds!$Z$6,4)</f>
        <v>2013</v>
      </c>
      <c r="B899" t="str">
        <f>+OperatingFunds!$A$16</f>
        <v>699</v>
      </c>
      <c r="C899" t="s">
        <v>1764</v>
      </c>
      <c r="D899" t="s">
        <v>1772</v>
      </c>
      <c r="E899" s="32">
        <f>INDEX(OperatingFunds!$C$103:$AAF$112,ROW(OperatingFunds!$A$9),ROW(OperatingFunds!A$23))</f>
        <v>47317.354159999995</v>
      </c>
    </row>
    <row r="900" spans="1:5">
      <c r="A900" t="str">
        <f>RIGHT(OperatingFunds!$Z$6,4)</f>
        <v>2013</v>
      </c>
      <c r="B900" t="str">
        <f>+OperatingFunds!$A$17</f>
        <v>340</v>
      </c>
      <c r="C900" t="s">
        <v>1764</v>
      </c>
      <c r="D900" t="s">
        <v>1772</v>
      </c>
      <c r="E900" s="32">
        <f>INDEX(OperatingFunds!$C$103:$AAF$112,ROW(OperatingFunds!$A$10),ROW(OperatingFunds!A$23))</f>
        <v>0</v>
      </c>
    </row>
    <row r="901" spans="1:5">
      <c r="A901" t="str">
        <f>RIGHT(OperatingFunds!$AA$6,4)</f>
        <v>2014</v>
      </c>
      <c r="B901" t="str">
        <f>+OperatingFunds!$A$8</f>
        <v>360</v>
      </c>
      <c r="C901" t="s">
        <v>1764</v>
      </c>
      <c r="D901" t="s">
        <v>1772</v>
      </c>
      <c r="E901" s="32">
        <f>INDEX(OperatingFunds!$C$103:$AAF$112,ROW(OperatingFunds!$A$1),ROW(OperatingFunds!A$24))</f>
        <v>7853</v>
      </c>
    </row>
    <row r="902" spans="1:5">
      <c r="A902" t="str">
        <f>RIGHT(OperatingFunds!$AA$6,4)</f>
        <v>2014</v>
      </c>
      <c r="B902" t="str">
        <f>+OperatingFunds!$A$9</f>
        <v>365</v>
      </c>
      <c r="C902" t="s">
        <v>1764</v>
      </c>
      <c r="D902" t="s">
        <v>1772</v>
      </c>
      <c r="E902" s="32">
        <f>INDEX(OperatingFunds!$C$103:$AAF$112,ROW(OperatingFunds!$A$2),ROW(OperatingFunds!A$24))</f>
        <v>16532</v>
      </c>
    </row>
    <row r="903" spans="1:5">
      <c r="A903" t="str">
        <f>RIGHT(OperatingFunds!$AA$6,4)</f>
        <v>2014</v>
      </c>
      <c r="B903" t="str">
        <f>+OperatingFunds!$A$10</f>
        <v>370</v>
      </c>
      <c r="C903" t="s">
        <v>1764</v>
      </c>
      <c r="D903" t="s">
        <v>1772</v>
      </c>
      <c r="E903" s="32">
        <f>INDEX(OperatingFunds!$C$103:$AAF$112,ROW(OperatingFunds!$A$3),ROW(OperatingFunds!A$24))</f>
        <v>8041</v>
      </c>
    </row>
    <row r="904" spans="1:5">
      <c r="A904" t="str">
        <f>RIGHT(OperatingFunds!$AA$6,4)</f>
        <v>2014</v>
      </c>
      <c r="B904" t="str">
        <f>+OperatingFunds!$A$11</f>
        <v>375</v>
      </c>
      <c r="C904" t="s">
        <v>1764</v>
      </c>
      <c r="D904" t="s">
        <v>1772</v>
      </c>
      <c r="E904" s="32">
        <f>INDEX(OperatingFunds!$C$103:$AAF$112,ROW(OperatingFunds!$A$4),ROW(OperatingFunds!A$24))</f>
        <v>9538</v>
      </c>
    </row>
    <row r="905" spans="1:5">
      <c r="A905" t="str">
        <f>RIGHT(OperatingFunds!$AA$6,4)</f>
        <v>2014</v>
      </c>
      <c r="B905" t="str">
        <f>+OperatingFunds!$A$12</f>
        <v>376</v>
      </c>
      <c r="C905" t="s">
        <v>1764</v>
      </c>
      <c r="D905" t="s">
        <v>1772</v>
      </c>
      <c r="E905" s="32">
        <f>INDEX(OperatingFunds!$C$103:$AAF$112,ROW(OperatingFunds!$A$5),ROW(OperatingFunds!A$24))</f>
        <v>2725</v>
      </c>
    </row>
    <row r="906" spans="1:5">
      <c r="A906" t="str">
        <f>RIGHT(OperatingFunds!$AA$6,4)</f>
        <v>2014</v>
      </c>
      <c r="B906" t="str">
        <f>+OperatingFunds!$A$13</f>
        <v>380</v>
      </c>
      <c r="C906" t="s">
        <v>1764</v>
      </c>
      <c r="D906" t="s">
        <v>1772</v>
      </c>
      <c r="E906" s="32">
        <f>INDEX(OperatingFunds!$C$103:$AAF$112,ROW(OperatingFunds!$A$6),ROW(OperatingFunds!A$24))</f>
        <v>6557</v>
      </c>
    </row>
    <row r="907" spans="1:5">
      <c r="A907" t="str">
        <f>RIGHT(OperatingFunds!$AA$6,4)</f>
        <v>2014</v>
      </c>
      <c r="B907" t="str">
        <f>+OperatingFunds!$A$16</f>
        <v>699</v>
      </c>
      <c r="C907" t="s">
        <v>1764</v>
      </c>
      <c r="D907" t="s">
        <v>1772</v>
      </c>
      <c r="E907" s="32">
        <f>INDEX(OperatingFunds!$C$103:$AAF$112,ROW(OperatingFunds!$A$9),ROW(OperatingFunds!A$24))</f>
        <v>47767.247210000001</v>
      </c>
    </row>
    <row r="908" spans="1:5">
      <c r="A908" t="str">
        <f>RIGHT(OperatingFunds!$AA$6,4)</f>
        <v>2014</v>
      </c>
      <c r="B908" t="str">
        <f>+OperatingFunds!$A$17</f>
        <v>340</v>
      </c>
      <c r="C908" t="s">
        <v>1764</v>
      </c>
      <c r="D908" t="s">
        <v>1772</v>
      </c>
      <c r="E908" s="32">
        <f>INDEX(OperatingFunds!$C$103:$AAF$112,ROW(OperatingFunds!$A$10),ROW(OperatingFunds!A$24))</f>
        <v>0</v>
      </c>
    </row>
    <row r="909" spans="1:5">
      <c r="A909" t="str">
        <f>RIGHT(OperatingFunds!$AB$6,4)</f>
        <v>2015</v>
      </c>
      <c r="B909" t="str">
        <f>+OperatingFunds!$A$8</f>
        <v>360</v>
      </c>
      <c r="C909" t="s">
        <v>1764</v>
      </c>
      <c r="D909" t="s">
        <v>1772</v>
      </c>
      <c r="E909" s="32">
        <f>INDEX(OperatingFunds!$C$103:$AAF$112,ROW(OperatingFunds!$A$1),ROW(OperatingFunds!A$25))</f>
        <v>6999</v>
      </c>
    </row>
    <row r="910" spans="1:5">
      <c r="A910" t="str">
        <f>RIGHT(OperatingFunds!$AB$6,4)</f>
        <v>2015</v>
      </c>
      <c r="B910" t="str">
        <f>+OperatingFunds!$A$9</f>
        <v>365</v>
      </c>
      <c r="C910" t="s">
        <v>1764</v>
      </c>
      <c r="D910" t="s">
        <v>1772</v>
      </c>
      <c r="E910" s="32">
        <f>INDEX(OperatingFunds!$C$103:$AAF$112,ROW(OperatingFunds!$A$2),ROW(OperatingFunds!A$25))</f>
        <v>16998</v>
      </c>
    </row>
    <row r="911" spans="1:5">
      <c r="A911" t="str">
        <f>RIGHT(OperatingFunds!$AB$6,4)</f>
        <v>2015</v>
      </c>
      <c r="B911" t="str">
        <f>+OperatingFunds!$A$10</f>
        <v>370</v>
      </c>
      <c r="C911" t="s">
        <v>1764</v>
      </c>
      <c r="D911" t="s">
        <v>1772</v>
      </c>
      <c r="E911" s="32">
        <f>INDEX(OperatingFunds!$C$103:$AAF$112,ROW(OperatingFunds!$A$3),ROW(OperatingFunds!A$25))</f>
        <v>7790</v>
      </c>
    </row>
    <row r="912" spans="1:5">
      <c r="A912" t="str">
        <f>RIGHT(OperatingFunds!$AB$6,4)</f>
        <v>2015</v>
      </c>
      <c r="B912" t="str">
        <f>+OperatingFunds!$A$11</f>
        <v>375</v>
      </c>
      <c r="C912" t="s">
        <v>1764</v>
      </c>
      <c r="D912" t="s">
        <v>1772</v>
      </c>
      <c r="E912" s="32">
        <f>INDEX(OperatingFunds!$C$103:$AAF$112,ROW(OperatingFunds!$A$4),ROW(OperatingFunds!A$25))</f>
        <v>9538</v>
      </c>
    </row>
    <row r="913" spans="1:5">
      <c r="A913" t="str">
        <f>RIGHT(OperatingFunds!$AB$6,4)</f>
        <v>2015</v>
      </c>
      <c r="B913" t="str">
        <f>+OperatingFunds!$A$12</f>
        <v>376</v>
      </c>
      <c r="C913" t="s">
        <v>1764</v>
      </c>
      <c r="D913" t="s">
        <v>1772</v>
      </c>
      <c r="E913" s="32">
        <f>INDEX(OperatingFunds!$C$103:$AAF$112,ROW(OperatingFunds!$A$5),ROW(OperatingFunds!A$25))</f>
        <v>2725</v>
      </c>
    </row>
    <row r="914" spans="1:5">
      <c r="A914" t="str">
        <f>RIGHT(OperatingFunds!$AB$6,4)</f>
        <v>2015</v>
      </c>
      <c r="B914" t="str">
        <f>+OperatingFunds!$A$13</f>
        <v>380</v>
      </c>
      <c r="C914" t="s">
        <v>1764</v>
      </c>
      <c r="D914" t="s">
        <v>1772</v>
      </c>
      <c r="E914" s="32">
        <f>INDEX(OperatingFunds!$C$103:$AAF$112,ROW(OperatingFunds!$A$6),ROW(OperatingFunds!A$25))</f>
        <v>7891.28298</v>
      </c>
    </row>
    <row r="915" spans="1:5">
      <c r="A915" t="str">
        <f>RIGHT(OperatingFunds!$AB$6,4)</f>
        <v>2015</v>
      </c>
      <c r="B915" t="str">
        <f>+OperatingFunds!$A$16</f>
        <v>699</v>
      </c>
      <c r="C915" t="s">
        <v>1764</v>
      </c>
      <c r="D915" t="s">
        <v>1772</v>
      </c>
      <c r="E915" s="32">
        <f>INDEX(OperatingFunds!$C$103:$AAF$112,ROW(OperatingFunds!$A$9),ROW(OperatingFunds!A$25))</f>
        <v>46759.085699999996</v>
      </c>
    </row>
    <row r="916" spans="1:5">
      <c r="A916" t="str">
        <f>RIGHT(OperatingFunds!$AB$6,4)</f>
        <v>2015</v>
      </c>
      <c r="B916" t="str">
        <f>+OperatingFunds!$A$17</f>
        <v>340</v>
      </c>
      <c r="C916" t="s">
        <v>1764</v>
      </c>
      <c r="D916" t="s">
        <v>1772</v>
      </c>
      <c r="E916" s="32">
        <f>INDEX(OperatingFunds!$C$103:$AAF$112,ROW(OperatingFunds!$A$10),ROW(OperatingFunds!A$25))</f>
        <v>51784.3505</v>
      </c>
    </row>
    <row r="917" spans="1:5">
      <c r="A917" t="str">
        <f>RIGHT(OperatingFunds!$AC$6,4)</f>
        <v>2016</v>
      </c>
      <c r="B917" t="str">
        <f>+OperatingFunds!$A$8</f>
        <v>360</v>
      </c>
      <c r="C917" t="s">
        <v>1764</v>
      </c>
      <c r="D917" t="s">
        <v>1772</v>
      </c>
      <c r="E917" s="32">
        <f>INDEX(OperatingFunds!$C$103:$AAF$112,ROW(OperatingFunds!$A$1),ROW(OperatingFunds!A$26))</f>
        <v>6999</v>
      </c>
    </row>
    <row r="918" spans="1:5">
      <c r="A918" t="str">
        <f>RIGHT(OperatingFunds!$AC$6,4)</f>
        <v>2016</v>
      </c>
      <c r="B918" t="str">
        <f>+OperatingFunds!$A$9</f>
        <v>365</v>
      </c>
      <c r="C918" t="s">
        <v>1764</v>
      </c>
      <c r="D918" t="s">
        <v>1772</v>
      </c>
      <c r="E918" s="32">
        <f>INDEX(OperatingFunds!$C$103:$AAF$112,ROW(OperatingFunds!$A$2),ROW(OperatingFunds!A$26))</f>
        <v>16997</v>
      </c>
    </row>
    <row r="919" spans="1:5">
      <c r="A919" t="str">
        <f>RIGHT(OperatingFunds!$AC$6,4)</f>
        <v>2016</v>
      </c>
      <c r="B919" t="str">
        <f>+OperatingFunds!$A$10</f>
        <v>370</v>
      </c>
      <c r="C919" t="s">
        <v>1764</v>
      </c>
      <c r="D919" t="s">
        <v>1772</v>
      </c>
      <c r="E919" s="32">
        <f>INDEX(OperatingFunds!$C$103:$AAF$112,ROW(OperatingFunds!$A$3),ROW(OperatingFunds!A$26))</f>
        <v>7151</v>
      </c>
    </row>
    <row r="920" spans="1:5">
      <c r="A920" t="str">
        <f>RIGHT(OperatingFunds!$AC$6,4)</f>
        <v>2016</v>
      </c>
      <c r="B920" t="str">
        <f>+OperatingFunds!$A$11</f>
        <v>375</v>
      </c>
      <c r="C920" t="s">
        <v>1764</v>
      </c>
      <c r="D920" t="s">
        <v>1772</v>
      </c>
      <c r="E920" s="32">
        <f>INDEX(OperatingFunds!$C$103:$AAF$112,ROW(OperatingFunds!$A$4),ROW(OperatingFunds!A$26))</f>
        <v>9538</v>
      </c>
    </row>
    <row r="921" spans="1:5">
      <c r="A921" t="str">
        <f>RIGHT(OperatingFunds!$AC$6,4)</f>
        <v>2016</v>
      </c>
      <c r="B921" t="str">
        <f>+OperatingFunds!$A$12</f>
        <v>376</v>
      </c>
      <c r="C921" t="s">
        <v>1764</v>
      </c>
      <c r="D921" t="s">
        <v>1772</v>
      </c>
      <c r="E921" s="32">
        <f>INDEX(OperatingFunds!$C$103:$AAF$112,ROW(OperatingFunds!$A$5),ROW(OperatingFunds!A$26))</f>
        <v>2725</v>
      </c>
    </row>
    <row r="922" spans="1:5">
      <c r="A922" t="str">
        <f>RIGHT(OperatingFunds!$AC$6,4)</f>
        <v>2016</v>
      </c>
      <c r="B922" t="str">
        <f>+OperatingFunds!$A$13</f>
        <v>380</v>
      </c>
      <c r="C922" t="s">
        <v>1764</v>
      </c>
      <c r="D922" t="s">
        <v>1772</v>
      </c>
      <c r="E922" s="32">
        <f>INDEX(OperatingFunds!$C$103:$AAF$112,ROW(OperatingFunds!$A$6),ROW(OperatingFunds!A$26))</f>
        <v>5003.7168100000008</v>
      </c>
    </row>
    <row r="923" spans="1:5">
      <c r="A923" t="str">
        <f>RIGHT(OperatingFunds!$AC$6,4)</f>
        <v>2016</v>
      </c>
      <c r="B923" t="str">
        <f>+OperatingFunds!$A$16</f>
        <v>699</v>
      </c>
      <c r="C923" t="s">
        <v>1764</v>
      </c>
      <c r="D923" t="s">
        <v>1772</v>
      </c>
      <c r="E923" s="32">
        <f>INDEX(OperatingFunds!$C$103:$AAF$112,ROW(OperatingFunds!$A$9),ROW(OperatingFunds!A$26))</f>
        <v>47358.037659999995</v>
      </c>
    </row>
    <row r="924" spans="1:5">
      <c r="A924" t="str">
        <f>RIGHT(OperatingFunds!$AC$6,4)</f>
        <v>2016</v>
      </c>
      <c r="B924" t="str">
        <f>+OperatingFunds!$A$17</f>
        <v>340</v>
      </c>
      <c r="C924" t="s">
        <v>1764</v>
      </c>
      <c r="D924" t="s">
        <v>1772</v>
      </c>
      <c r="E924" s="32">
        <f>INDEX(OperatingFunds!$C$103:$AAF$112,ROW(OperatingFunds!$A$10),ROW(OperatingFunds!A$26))</f>
        <v>26775.649499999996</v>
      </c>
    </row>
    <row r="925" spans="1:5">
      <c r="A925" t="str">
        <f>RIGHT(OperatingFunds!$AD$6,4)</f>
        <v>2017</v>
      </c>
      <c r="B925" t="str">
        <f>+OperatingFunds!$A$8</f>
        <v>360</v>
      </c>
      <c r="C925" t="s">
        <v>1764</v>
      </c>
      <c r="D925" t="s">
        <v>1772</v>
      </c>
      <c r="E925" s="32">
        <f>INDEX(OperatingFunds!$C$103:$AAF$112,ROW(OperatingFunds!$A$1),ROW(OperatingFunds!A$27))</f>
        <v>12999</v>
      </c>
    </row>
    <row r="926" spans="1:5">
      <c r="A926" t="str">
        <f>RIGHT(OperatingFunds!$AD$6,4)</f>
        <v>2017</v>
      </c>
      <c r="B926" t="str">
        <f>+OperatingFunds!$A$9</f>
        <v>365</v>
      </c>
      <c r="C926" t="s">
        <v>1764</v>
      </c>
      <c r="D926" t="s">
        <v>1772</v>
      </c>
      <c r="E926" s="32">
        <f>INDEX(OperatingFunds!$C$103:$AAF$112,ROW(OperatingFunds!$A$2),ROW(OperatingFunds!A$27))</f>
        <v>16998</v>
      </c>
    </row>
    <row r="927" spans="1:5">
      <c r="A927" t="str">
        <f>RIGHT(OperatingFunds!$AD$6,4)</f>
        <v>2017</v>
      </c>
      <c r="B927" t="str">
        <f>+OperatingFunds!$A$10</f>
        <v>370</v>
      </c>
      <c r="C927" t="s">
        <v>1764</v>
      </c>
      <c r="D927" t="s">
        <v>1772</v>
      </c>
      <c r="E927" s="32">
        <f>INDEX(OperatingFunds!$C$103:$AAF$112,ROW(OperatingFunds!$A$3),ROW(OperatingFunds!A$27))</f>
        <v>8304</v>
      </c>
    </row>
    <row r="928" spans="1:5">
      <c r="A928" t="str">
        <f>RIGHT(OperatingFunds!$AD$6,4)</f>
        <v>2017</v>
      </c>
      <c r="B928" t="str">
        <f>+OperatingFunds!$A$11</f>
        <v>375</v>
      </c>
      <c r="C928" t="s">
        <v>1764</v>
      </c>
      <c r="D928" t="s">
        <v>1772</v>
      </c>
      <c r="E928" s="32">
        <f>INDEX(OperatingFunds!$C$103:$AAF$112,ROW(OperatingFunds!$A$4),ROW(OperatingFunds!A$27))</f>
        <v>9538</v>
      </c>
    </row>
    <row r="929" spans="1:5">
      <c r="A929" t="str">
        <f>RIGHT(OperatingFunds!$AD$6,4)</f>
        <v>2017</v>
      </c>
      <c r="B929" t="str">
        <f>+OperatingFunds!$A$12</f>
        <v>376</v>
      </c>
      <c r="C929" t="s">
        <v>1764</v>
      </c>
      <c r="D929" t="s">
        <v>1772</v>
      </c>
      <c r="E929" s="32">
        <f>INDEX(OperatingFunds!$C$103:$AAF$112,ROW(OperatingFunds!$A$5),ROW(OperatingFunds!A$27))</f>
        <v>2725</v>
      </c>
    </row>
    <row r="930" spans="1:5">
      <c r="A930" t="str">
        <f>RIGHT(OperatingFunds!$AD$6,4)</f>
        <v>2017</v>
      </c>
      <c r="B930" t="str">
        <f>+OperatingFunds!$A$13</f>
        <v>380</v>
      </c>
      <c r="C930" t="s">
        <v>1764</v>
      </c>
      <c r="D930" t="s">
        <v>1772</v>
      </c>
      <c r="E930" s="32">
        <f>INDEX(OperatingFunds!$C$103:$AAF$112,ROW(OperatingFunds!$A$6),ROW(OperatingFunds!A$27))</f>
        <v>6803</v>
      </c>
    </row>
    <row r="931" spans="1:5">
      <c r="A931" t="str">
        <f>RIGHT(OperatingFunds!$AD$6,4)</f>
        <v>2017</v>
      </c>
      <c r="B931" t="str">
        <f>+OperatingFunds!$A$16</f>
        <v>699</v>
      </c>
      <c r="C931" t="s">
        <v>1764</v>
      </c>
      <c r="D931" t="s">
        <v>1772</v>
      </c>
      <c r="E931" s="32">
        <f>INDEX(OperatingFunds!$C$103:$AAF$112,ROW(OperatingFunds!$A$9),ROW(OperatingFunds!A$27))</f>
        <v>47152.669969999995</v>
      </c>
    </row>
    <row r="932" spans="1:5">
      <c r="A932" t="str">
        <f>RIGHT(OperatingFunds!$AD$6,4)</f>
        <v>2017</v>
      </c>
      <c r="B932" t="str">
        <f>+OperatingFunds!$A$17</f>
        <v>340</v>
      </c>
      <c r="C932" t="s">
        <v>1764</v>
      </c>
      <c r="D932" t="s">
        <v>1772</v>
      </c>
      <c r="E932" s="32">
        <f>INDEX(OperatingFunds!$C$103:$AAF$112,ROW(OperatingFunds!$A$10),ROW(OperatingFunds!A$27))</f>
        <v>2057.5247700000004</v>
      </c>
    </row>
    <row r="933" spans="1:5">
      <c r="A933" t="str">
        <f>RIGHT(OperatingFunds!$AE$6,4)</f>
        <v>2018</v>
      </c>
      <c r="B933" t="str">
        <f>+OperatingFunds!$A$8</f>
        <v>360</v>
      </c>
      <c r="C933" t="s">
        <v>1763</v>
      </c>
      <c r="D933" t="s">
        <v>1772</v>
      </c>
      <c r="E933" s="32">
        <f>INDEX(OperatingFunds!$C$103:$AAF$112,ROW(OperatingFunds!$A$1),ROW(OperatingFunds!A$28))</f>
        <v>15089</v>
      </c>
    </row>
    <row r="934" spans="1:5">
      <c r="A934" t="str">
        <f>RIGHT(OperatingFunds!$AE$6,4)</f>
        <v>2018</v>
      </c>
      <c r="B934" t="str">
        <f>+OperatingFunds!$A$9</f>
        <v>365</v>
      </c>
      <c r="C934" t="s">
        <v>1763</v>
      </c>
      <c r="D934" t="s">
        <v>1772</v>
      </c>
      <c r="E934" s="32">
        <f>INDEX(OperatingFunds!$C$103:$AAF$112,ROW(OperatingFunds!$A$2),ROW(OperatingFunds!A$28))</f>
        <v>16997</v>
      </c>
    </row>
    <row r="935" spans="1:5">
      <c r="A935" t="str">
        <f>RIGHT(OperatingFunds!$AE$6,4)</f>
        <v>2018</v>
      </c>
      <c r="B935" t="str">
        <f>+OperatingFunds!$A$10</f>
        <v>370</v>
      </c>
      <c r="C935" t="s">
        <v>1763</v>
      </c>
      <c r="D935" t="s">
        <v>1772</v>
      </c>
      <c r="E935" s="32">
        <f>INDEX(OperatingFunds!$C$103:$AAF$112,ROW(OperatingFunds!$A$3),ROW(OperatingFunds!A$28))</f>
        <v>8414</v>
      </c>
    </row>
    <row r="936" spans="1:5">
      <c r="A936" t="str">
        <f>RIGHT(OperatingFunds!$AE$6,4)</f>
        <v>2018</v>
      </c>
      <c r="B936" t="str">
        <f>+OperatingFunds!$A$11</f>
        <v>375</v>
      </c>
      <c r="C936" t="s">
        <v>1763</v>
      </c>
      <c r="D936" t="s">
        <v>1772</v>
      </c>
      <c r="E936" s="32">
        <f>INDEX(OperatingFunds!$C$103:$AAF$112,ROW(OperatingFunds!$A$4),ROW(OperatingFunds!A$28))</f>
        <v>9602</v>
      </c>
    </row>
    <row r="937" spans="1:5">
      <c r="A937" t="str">
        <f>RIGHT(OperatingFunds!$AE$6,4)</f>
        <v>2018</v>
      </c>
      <c r="B937" t="str">
        <f>+OperatingFunds!$A$12</f>
        <v>376</v>
      </c>
      <c r="C937" t="s">
        <v>1763</v>
      </c>
      <c r="D937" t="s">
        <v>1772</v>
      </c>
      <c r="E937" s="32">
        <f>INDEX(OperatingFunds!$C$103:$AAF$112,ROW(OperatingFunds!$A$5),ROW(OperatingFunds!A$28))</f>
        <v>2768</v>
      </c>
    </row>
    <row r="938" spans="1:5">
      <c r="A938" t="str">
        <f>RIGHT(OperatingFunds!$AE$6,4)</f>
        <v>2018</v>
      </c>
      <c r="B938" t="str">
        <f>+OperatingFunds!$A$13</f>
        <v>380</v>
      </c>
      <c r="C938" t="s">
        <v>1763</v>
      </c>
      <c r="D938" t="s">
        <v>1772</v>
      </c>
      <c r="E938" s="32">
        <f>INDEX(OperatingFunds!$C$103:$AAF$112,ROW(OperatingFunds!$A$6),ROW(OperatingFunds!A$28))</f>
        <v>6934</v>
      </c>
    </row>
    <row r="939" spans="1:5">
      <c r="A939" t="str">
        <f>RIGHT(OperatingFunds!$AE$6,4)</f>
        <v>2018</v>
      </c>
      <c r="B939" t="str">
        <f>+OperatingFunds!$A$16</f>
        <v>699</v>
      </c>
      <c r="C939" t="s">
        <v>1763</v>
      </c>
      <c r="D939" t="s">
        <v>1772</v>
      </c>
      <c r="E939" s="32">
        <f>INDEX(OperatingFunds!$C$103:$AAF$112,ROW(OperatingFunds!$A$9),ROW(OperatingFunds!A$28))</f>
        <v>48684.470470000007</v>
      </c>
    </row>
    <row r="940" spans="1:5">
      <c r="A940" t="str">
        <f>RIGHT(OperatingFunds!$AE$6,4)</f>
        <v>2018</v>
      </c>
      <c r="B940" t="str">
        <f>+OperatingFunds!$A$17</f>
        <v>340</v>
      </c>
      <c r="C940" t="s">
        <v>1763</v>
      </c>
      <c r="D940" t="s">
        <v>1772</v>
      </c>
      <c r="E940" s="32">
        <f>INDEX(OperatingFunds!$C$103:$AAF$112,ROW(OperatingFunds!$A$10),ROW(OperatingFunds!A$28))</f>
        <v>38613.475229999996</v>
      </c>
    </row>
    <row r="941" spans="1:5">
      <c r="A941" t="str">
        <f>RIGHT(OperatingFunds!$AL$6,4)</f>
        <v>2025</v>
      </c>
      <c r="B941" t="str">
        <f>+OperatingFunds!$A$8</f>
        <v>360</v>
      </c>
      <c r="C941" t="s">
        <v>1764</v>
      </c>
      <c r="D941" t="s">
        <v>1773</v>
      </c>
      <c r="E941" s="32">
        <f>INDEX(OperatingFunds!$C$103:$AAF$112,ROW(OperatingFunds!$A$1),ROW(OperatingFunds!A$29))</f>
        <v>16079.220600000002</v>
      </c>
    </row>
    <row r="942" spans="1:5">
      <c r="A942" t="str">
        <f>RIGHT(OperatingFunds!$AL$6,4)</f>
        <v>2025</v>
      </c>
      <c r="B942" t="str">
        <f>+OperatingFunds!$A$9</f>
        <v>365</v>
      </c>
      <c r="C942" t="s">
        <v>1764</v>
      </c>
      <c r="D942" t="s">
        <v>1773</v>
      </c>
      <c r="E942" s="32">
        <f>INDEX(OperatingFunds!$C$103:$AAF$112,ROW(OperatingFunds!$A$2),ROW(OperatingFunds!A$29))</f>
        <v>16998</v>
      </c>
    </row>
    <row r="943" spans="1:5">
      <c r="A943" t="str">
        <f>RIGHT(OperatingFunds!$AL$6,4)</f>
        <v>2025</v>
      </c>
      <c r="B943" t="str">
        <f>+OperatingFunds!$A$10</f>
        <v>370</v>
      </c>
      <c r="C943" t="s">
        <v>1764</v>
      </c>
      <c r="D943" t="s">
        <v>1773</v>
      </c>
      <c r="E943" s="32">
        <f>INDEX(OperatingFunds!$C$103:$AAF$112,ROW(OperatingFunds!$A$3),ROW(OperatingFunds!A$29))</f>
        <v>8304</v>
      </c>
    </row>
    <row r="944" spans="1:5">
      <c r="A944" t="str">
        <f>RIGHT(OperatingFunds!$AL$6,4)</f>
        <v>2025</v>
      </c>
      <c r="B944" t="str">
        <f>+OperatingFunds!$A$11</f>
        <v>375</v>
      </c>
      <c r="C944" t="s">
        <v>1764</v>
      </c>
      <c r="D944" t="s">
        <v>1773</v>
      </c>
      <c r="E944" s="32">
        <f>INDEX(OperatingFunds!$C$103:$AAF$112,ROW(OperatingFunds!$A$4),ROW(OperatingFunds!A$29))</f>
        <v>9538</v>
      </c>
    </row>
    <row r="945" spans="1:5">
      <c r="A945" t="str">
        <f>RIGHT(OperatingFunds!$AL$6,4)</f>
        <v>2025</v>
      </c>
      <c r="B945" t="str">
        <f>+OperatingFunds!$A$12</f>
        <v>376</v>
      </c>
      <c r="C945" t="s">
        <v>1764</v>
      </c>
      <c r="D945" t="s">
        <v>1773</v>
      </c>
      <c r="E945" s="32">
        <f>INDEX(OperatingFunds!$C$103:$AAF$112,ROW(OperatingFunds!$A$5),ROW(OperatingFunds!A$29))</f>
        <v>2725</v>
      </c>
    </row>
    <row r="946" spans="1:5">
      <c r="A946" t="str">
        <f>RIGHT(OperatingFunds!$AL$6,4)</f>
        <v>2025</v>
      </c>
      <c r="B946" t="str">
        <f>+OperatingFunds!$A$13</f>
        <v>380</v>
      </c>
      <c r="C946" t="s">
        <v>1764</v>
      </c>
      <c r="D946" t="s">
        <v>1773</v>
      </c>
      <c r="E946" s="32">
        <f>INDEX(OperatingFunds!$C$103:$AAF$112,ROW(OperatingFunds!$A$6),ROW(OperatingFunds!A$29))</f>
        <v>6919</v>
      </c>
    </row>
    <row r="947" spans="1:5">
      <c r="A947" t="str">
        <f>RIGHT(OperatingFunds!$AL$6,4)</f>
        <v>2025</v>
      </c>
      <c r="B947" t="str">
        <f>+OperatingFunds!$A$16</f>
        <v>699</v>
      </c>
      <c r="C947" t="s">
        <v>1764</v>
      </c>
      <c r="D947" t="s">
        <v>1773</v>
      </c>
      <c r="E947" s="32">
        <f>INDEX(OperatingFunds!$C$103:$AAF$112,ROW(OperatingFunds!$A$9),ROW(OperatingFunds!A$29))</f>
        <v>59388.840400000008</v>
      </c>
    </row>
    <row r="948" spans="1:5">
      <c r="A948" t="str">
        <f>RIGHT(OperatingFunds!$AL$6,4)</f>
        <v>2025</v>
      </c>
      <c r="B948" t="str">
        <f>+OperatingFunds!$A$17</f>
        <v>340</v>
      </c>
      <c r="C948" t="s">
        <v>1764</v>
      </c>
      <c r="D948" t="s">
        <v>1773</v>
      </c>
      <c r="E948" s="32">
        <f>INDEX(OperatingFunds!$C$103:$AAF$112,ROW(OperatingFunds!$A$10),ROW(OperatingFunds!A$29))</f>
        <v>52731</v>
      </c>
    </row>
    <row r="949" spans="1:5">
      <c r="A949" t="str">
        <f>MID(OperatingFunds!$Q$6,3,4)</f>
        <v>2004</v>
      </c>
      <c r="B949" t="str">
        <f>+OperatingFunds!$A$8</f>
        <v>360</v>
      </c>
      <c r="C949" t="s">
        <v>1764</v>
      </c>
      <c r="D949" t="s">
        <v>1774</v>
      </c>
      <c r="E949" s="32">
        <f>INDEX(OperatingFunds!$C$122:$AAF$130,ROW(OperatingFunds!$A$1),ROW(OperatingFunds!A$15))</f>
        <v>10795.78938</v>
      </c>
    </row>
    <row r="950" spans="1:5">
      <c r="A950" t="str">
        <f>MID(OperatingFunds!$Q$6,3,4)</f>
        <v>2004</v>
      </c>
      <c r="B950" t="str">
        <f>+OperatingFunds!$A$9</f>
        <v>365</v>
      </c>
      <c r="C950" t="s">
        <v>1764</v>
      </c>
      <c r="D950" t="s">
        <v>1774</v>
      </c>
      <c r="E950" s="32">
        <f>INDEX(OperatingFunds!$C$122:$AAF$130,ROW(OperatingFunds!$A$2),ROW(OperatingFunds!A$15))</f>
        <v>3938</v>
      </c>
    </row>
    <row r="951" spans="1:5">
      <c r="A951" t="str">
        <f>MID(OperatingFunds!$Q$6,3,4)</f>
        <v>2004</v>
      </c>
      <c r="B951" t="str">
        <f>+OperatingFunds!$A$10</f>
        <v>370</v>
      </c>
      <c r="C951" t="s">
        <v>1764</v>
      </c>
      <c r="D951" t="s">
        <v>1774</v>
      </c>
      <c r="E951" s="32">
        <f>INDEX(OperatingFunds!$C$122:$AAF$130,ROW(OperatingFunds!$A$3),ROW(OperatingFunds!A$15))</f>
        <v>42.312870000000004</v>
      </c>
    </row>
    <row r="952" spans="1:5">
      <c r="A952" t="str">
        <f>MID(OperatingFunds!$Q$6,3,4)</f>
        <v>2004</v>
      </c>
      <c r="B952" t="str">
        <f>+OperatingFunds!$A$11</f>
        <v>375</v>
      </c>
      <c r="C952" t="s">
        <v>1764</v>
      </c>
      <c r="D952" t="s">
        <v>1774</v>
      </c>
      <c r="E952" s="32">
        <f>INDEX(OperatingFunds!$C$122:$AAF$130,ROW(OperatingFunds!$A$4),ROW(OperatingFunds!A$15))</f>
        <v>800</v>
      </c>
    </row>
    <row r="953" spans="1:5">
      <c r="A953" t="str">
        <f>MID(OperatingFunds!$Q$6,3,4)</f>
        <v>2004</v>
      </c>
      <c r="B953" t="str">
        <f>+OperatingFunds!$A$12</f>
        <v>376</v>
      </c>
      <c r="C953" t="s">
        <v>1764</v>
      </c>
      <c r="D953" t="s">
        <v>1774</v>
      </c>
      <c r="E953" s="32">
        <f>INDEX(OperatingFunds!$C$122:$AAF$130,ROW(OperatingFunds!$A$5),ROW(OperatingFunds!A$15))</f>
        <v>248.55948999999998</v>
      </c>
    </row>
    <row r="954" spans="1:5">
      <c r="A954" t="str">
        <f>MID(OperatingFunds!$Q$6,3,4)</f>
        <v>2004</v>
      </c>
      <c r="B954" t="str">
        <f>+OperatingFunds!$A$13</f>
        <v>380</v>
      </c>
      <c r="C954" t="s">
        <v>1764</v>
      </c>
      <c r="D954" t="s">
        <v>1774</v>
      </c>
      <c r="E954" s="32">
        <f>INDEX(OperatingFunds!$C$122:$AAF$130,ROW(OperatingFunds!$A$6),ROW(OperatingFunds!A$15))</f>
        <v>1407</v>
      </c>
    </row>
    <row r="955" spans="1:5">
      <c r="A955" t="str">
        <f>MID(OperatingFunds!$Q$6,3,4)</f>
        <v>2004</v>
      </c>
      <c r="B955" t="str">
        <f>+OperatingFunds!$A$16</f>
        <v>699</v>
      </c>
      <c r="C955" t="s">
        <v>1764</v>
      </c>
      <c r="D955" t="s">
        <v>1774</v>
      </c>
      <c r="E955" s="32">
        <f>INDEX(OperatingFunds!$C$122:$AAF$130,ROW(OperatingFunds!$A$9),ROW(OperatingFunds!A$15))</f>
        <v>8844.4200199999996</v>
      </c>
    </row>
    <row r="956" spans="1:5">
      <c r="A956" t="str">
        <f>MID(OperatingFunds!$R$6,3,4)</f>
        <v>2005</v>
      </c>
      <c r="B956" t="str">
        <f>+OperatingFunds!$A$8</f>
        <v>360</v>
      </c>
      <c r="C956" t="s">
        <v>1764</v>
      </c>
      <c r="D956" t="s">
        <v>1774</v>
      </c>
      <c r="E956" s="32">
        <f>INDEX(OperatingFunds!$C$122:$AAF$130,ROW(OperatingFunds!$A$1),ROW(OperatingFunds!A$16))</f>
        <v>9312.2106199999998</v>
      </c>
    </row>
    <row r="957" spans="1:5">
      <c r="A957" t="str">
        <f>MID(OperatingFunds!$R$6,3,4)</f>
        <v>2005</v>
      </c>
      <c r="B957" t="str">
        <f>+OperatingFunds!$A$9</f>
        <v>365</v>
      </c>
      <c r="C957" t="s">
        <v>1764</v>
      </c>
      <c r="D957" t="s">
        <v>1774</v>
      </c>
      <c r="E957" s="32">
        <f>INDEX(OperatingFunds!$C$122:$AAF$130,ROW(OperatingFunds!$A$2),ROW(OperatingFunds!A$16))</f>
        <v>3938</v>
      </c>
    </row>
    <row r="958" spans="1:5">
      <c r="A958" t="str">
        <f>MID(OperatingFunds!$R$6,3,4)</f>
        <v>2005</v>
      </c>
      <c r="B958" t="str">
        <f>+OperatingFunds!$A$10</f>
        <v>370</v>
      </c>
      <c r="C958" t="s">
        <v>1764</v>
      </c>
      <c r="D958" t="s">
        <v>1774</v>
      </c>
      <c r="E958" s="32">
        <f>INDEX(OperatingFunds!$C$122:$AAF$130,ROW(OperatingFunds!$A$3),ROW(OperatingFunds!A$16))</f>
        <v>1683.6871099999998</v>
      </c>
    </row>
    <row r="959" spans="1:5">
      <c r="A959" t="str">
        <f>MID(OperatingFunds!$R$6,3,4)</f>
        <v>2005</v>
      </c>
      <c r="B959" t="str">
        <f>+OperatingFunds!$A$11</f>
        <v>375</v>
      </c>
      <c r="C959" t="s">
        <v>1764</v>
      </c>
      <c r="D959" t="s">
        <v>1774</v>
      </c>
      <c r="E959" s="32">
        <f>INDEX(OperatingFunds!$C$122:$AAF$130,ROW(OperatingFunds!$A$4),ROW(OperatingFunds!A$16))</f>
        <v>1086</v>
      </c>
    </row>
    <row r="960" spans="1:5">
      <c r="A960" t="str">
        <f>MID(OperatingFunds!$R$6,3,4)</f>
        <v>2005</v>
      </c>
      <c r="B960" t="str">
        <f>+OperatingFunds!$A$12</f>
        <v>376</v>
      </c>
      <c r="C960" t="s">
        <v>1764</v>
      </c>
      <c r="D960" t="s">
        <v>1774</v>
      </c>
      <c r="E960" s="32">
        <f>INDEX(OperatingFunds!$C$122:$AAF$130,ROW(OperatingFunds!$A$5),ROW(OperatingFunds!A$16))</f>
        <v>485.44006999999999</v>
      </c>
    </row>
    <row r="961" spans="1:5">
      <c r="A961" t="str">
        <f>MID(OperatingFunds!$R$6,3,4)</f>
        <v>2005</v>
      </c>
      <c r="B961" t="str">
        <f>+OperatingFunds!$A$13</f>
        <v>380</v>
      </c>
      <c r="C961" t="s">
        <v>1764</v>
      </c>
      <c r="D961" t="s">
        <v>1774</v>
      </c>
      <c r="E961" s="32">
        <f>INDEX(OperatingFunds!$C$122:$AAF$130,ROW(OperatingFunds!$A$6),ROW(OperatingFunds!A$16))</f>
        <v>1407</v>
      </c>
    </row>
    <row r="962" spans="1:5">
      <c r="A962" t="str">
        <f>MID(OperatingFunds!$R$6,3,4)</f>
        <v>2005</v>
      </c>
      <c r="B962" t="str">
        <f>+OperatingFunds!$A$16</f>
        <v>699</v>
      </c>
      <c r="C962" t="s">
        <v>1764</v>
      </c>
      <c r="D962" t="s">
        <v>1774</v>
      </c>
      <c r="E962" s="32">
        <f>INDEX(OperatingFunds!$C$122:$AAF$130,ROW(OperatingFunds!$A$9),ROW(OperatingFunds!A$16))</f>
        <v>8909.5795299999991</v>
      </c>
    </row>
    <row r="963" spans="1:5">
      <c r="A963" t="str">
        <f>RIGHT(OperatingFunds!$S$6,4)</f>
        <v>2006</v>
      </c>
      <c r="B963" t="str">
        <f>+OperatingFunds!$A$8</f>
        <v>360</v>
      </c>
      <c r="C963" t="s">
        <v>1764</v>
      </c>
      <c r="D963" t="s">
        <v>1774</v>
      </c>
      <c r="E963" s="32">
        <f>INDEX(OperatingFunds!$C$122:$AAF$130,ROW(OperatingFunds!$A$1),ROW(OperatingFunds!A$17))</f>
        <v>12816.13816</v>
      </c>
    </row>
    <row r="964" spans="1:5">
      <c r="A964" t="str">
        <f>RIGHT(OperatingFunds!$S$6,4)</f>
        <v>2006</v>
      </c>
      <c r="B964" t="str">
        <f>+OperatingFunds!$A$9</f>
        <v>365</v>
      </c>
      <c r="C964" t="s">
        <v>1764</v>
      </c>
      <c r="D964" t="s">
        <v>1774</v>
      </c>
      <c r="E964" s="32">
        <f>INDEX(OperatingFunds!$C$122:$AAF$130,ROW(OperatingFunds!$A$2),ROW(OperatingFunds!A$17))</f>
        <v>5057</v>
      </c>
    </row>
    <row r="965" spans="1:5">
      <c r="A965" t="str">
        <f>RIGHT(OperatingFunds!$S$6,4)</f>
        <v>2006</v>
      </c>
      <c r="B965" t="str">
        <f>+OperatingFunds!$A$10</f>
        <v>370</v>
      </c>
      <c r="C965" t="s">
        <v>1764</v>
      </c>
      <c r="D965" t="s">
        <v>1774</v>
      </c>
      <c r="E965" s="32">
        <f>INDEX(OperatingFunds!$C$122:$AAF$130,ROW(OperatingFunds!$A$3),ROW(OperatingFunds!A$17))</f>
        <v>765.04918999999995</v>
      </c>
    </row>
    <row r="966" spans="1:5">
      <c r="A966" t="str">
        <f>RIGHT(OperatingFunds!$S$6,4)</f>
        <v>2006</v>
      </c>
      <c r="B966" t="str">
        <f>+OperatingFunds!$A$11</f>
        <v>375</v>
      </c>
      <c r="C966" t="s">
        <v>1764</v>
      </c>
      <c r="D966" t="s">
        <v>1774</v>
      </c>
      <c r="E966" s="32">
        <f>INDEX(OperatingFunds!$C$122:$AAF$130,ROW(OperatingFunds!$A$4),ROW(OperatingFunds!A$17))</f>
        <v>1211</v>
      </c>
    </row>
    <row r="967" spans="1:5">
      <c r="A967" t="str">
        <f>RIGHT(OperatingFunds!$S$6,4)</f>
        <v>2006</v>
      </c>
      <c r="B967" t="str">
        <f>+OperatingFunds!$A$12</f>
        <v>376</v>
      </c>
      <c r="C967" t="s">
        <v>1764</v>
      </c>
      <c r="D967" t="s">
        <v>1774</v>
      </c>
      <c r="E967" s="32">
        <f>INDEX(OperatingFunds!$C$122:$AAF$130,ROW(OperatingFunds!$A$5),ROW(OperatingFunds!A$17))</f>
        <v>199.75819000000001</v>
      </c>
    </row>
    <row r="968" spans="1:5">
      <c r="A968" t="str">
        <f>RIGHT(OperatingFunds!$S$6,4)</f>
        <v>2006</v>
      </c>
      <c r="B968" t="str">
        <f>+OperatingFunds!$A$13</f>
        <v>380</v>
      </c>
      <c r="C968" t="s">
        <v>1764</v>
      </c>
      <c r="D968" t="s">
        <v>1774</v>
      </c>
      <c r="E968" s="32">
        <f>INDEX(OperatingFunds!$C$122:$AAF$130,ROW(OperatingFunds!$A$6),ROW(OperatingFunds!A$17))</f>
        <v>1807</v>
      </c>
    </row>
    <row r="969" spans="1:5">
      <c r="A969" t="str">
        <f>RIGHT(OperatingFunds!$S$6,4)</f>
        <v>2006</v>
      </c>
      <c r="B969" t="str">
        <f>+OperatingFunds!$A$16</f>
        <v>699</v>
      </c>
      <c r="C969" t="s">
        <v>1764</v>
      </c>
      <c r="D969" t="s">
        <v>1774</v>
      </c>
      <c r="E969" s="32">
        <f>INDEX(OperatingFunds!$C$122:$AAF$130,ROW(OperatingFunds!$A$9),ROW(OperatingFunds!A$17))</f>
        <v>11554.36759</v>
      </c>
    </row>
    <row r="970" spans="1:5">
      <c r="A970" t="str">
        <f>RIGHT(OperatingFunds!$T$6,4)</f>
        <v>2007</v>
      </c>
      <c r="B970" t="str">
        <f>+OperatingFunds!$A$8</f>
        <v>360</v>
      </c>
      <c r="C970" t="s">
        <v>1764</v>
      </c>
      <c r="D970" t="s">
        <v>1774</v>
      </c>
      <c r="E970" s="32">
        <f>INDEX(OperatingFunds!$C$122:$AAF$130,ROW(OperatingFunds!$A$1),ROW(OperatingFunds!A$18))</f>
        <v>13008.86184</v>
      </c>
    </row>
    <row r="971" spans="1:5">
      <c r="A971" t="str">
        <f>RIGHT(OperatingFunds!$T$6,4)</f>
        <v>2007</v>
      </c>
      <c r="B971" t="str">
        <f>+OperatingFunds!$A$9</f>
        <v>365</v>
      </c>
      <c r="C971" t="s">
        <v>1764</v>
      </c>
      <c r="D971" t="s">
        <v>1774</v>
      </c>
      <c r="E971" s="32">
        <f>INDEX(OperatingFunds!$C$122:$AAF$130,ROW(OperatingFunds!$A$2),ROW(OperatingFunds!A$18))</f>
        <v>5058</v>
      </c>
    </row>
    <row r="972" spans="1:5">
      <c r="A972" t="str">
        <f>RIGHT(OperatingFunds!$T$6,4)</f>
        <v>2007</v>
      </c>
      <c r="B972" t="str">
        <f>+OperatingFunds!$A$10</f>
        <v>370</v>
      </c>
      <c r="C972" t="s">
        <v>1764</v>
      </c>
      <c r="D972" t="s">
        <v>1774</v>
      </c>
      <c r="E972" s="32">
        <f>INDEX(OperatingFunds!$C$122:$AAF$130,ROW(OperatingFunds!$A$3),ROW(OperatingFunds!A$18))</f>
        <v>1451.95081</v>
      </c>
    </row>
    <row r="973" spans="1:5">
      <c r="A973" t="str">
        <f>RIGHT(OperatingFunds!$T$6,4)</f>
        <v>2007</v>
      </c>
      <c r="B973" t="str">
        <f>+OperatingFunds!$A$11</f>
        <v>375</v>
      </c>
      <c r="C973" t="s">
        <v>1764</v>
      </c>
      <c r="D973" t="s">
        <v>1774</v>
      </c>
      <c r="E973" s="32">
        <f>INDEX(OperatingFunds!$C$122:$AAF$130,ROW(OperatingFunds!$A$4),ROW(OperatingFunds!A$18))</f>
        <v>1211</v>
      </c>
    </row>
    <row r="974" spans="1:5">
      <c r="A974" t="str">
        <f>RIGHT(OperatingFunds!$T$6,4)</f>
        <v>2007</v>
      </c>
      <c r="B974" t="str">
        <f>+OperatingFunds!$A$12</f>
        <v>376</v>
      </c>
      <c r="C974" t="s">
        <v>1764</v>
      </c>
      <c r="D974" t="s">
        <v>1774</v>
      </c>
      <c r="E974" s="32">
        <f>INDEX(OperatingFunds!$C$122:$AAF$130,ROW(OperatingFunds!$A$5),ROW(OperatingFunds!A$18))</f>
        <v>560.24180999999999</v>
      </c>
    </row>
    <row r="975" spans="1:5">
      <c r="A975" t="str">
        <f>RIGHT(OperatingFunds!$T$6,4)</f>
        <v>2007</v>
      </c>
      <c r="B975" t="str">
        <f>+OperatingFunds!$A$13</f>
        <v>380</v>
      </c>
      <c r="C975" t="s">
        <v>1764</v>
      </c>
      <c r="D975" t="s">
        <v>1774</v>
      </c>
      <c r="E975" s="32">
        <f>INDEX(OperatingFunds!$C$122:$AAF$130,ROW(OperatingFunds!$A$6),ROW(OperatingFunds!A$18))</f>
        <v>1807</v>
      </c>
    </row>
    <row r="976" spans="1:5">
      <c r="A976" t="str">
        <f>RIGHT(OperatingFunds!$T$6,4)</f>
        <v>2007</v>
      </c>
      <c r="B976" t="str">
        <f>+OperatingFunds!$A$16</f>
        <v>699</v>
      </c>
      <c r="C976" t="s">
        <v>1764</v>
      </c>
      <c r="D976" t="s">
        <v>1774</v>
      </c>
      <c r="E976" s="32">
        <f>INDEX(OperatingFunds!$C$122:$AAF$130,ROW(OperatingFunds!$A$9),ROW(OperatingFunds!A$18))</f>
        <v>11247.63206</v>
      </c>
    </row>
    <row r="977" spans="1:5">
      <c r="A977" t="str">
        <f>RIGHT(OperatingFunds!$U$6,4)</f>
        <v>2008</v>
      </c>
      <c r="B977" t="str">
        <f>+OperatingFunds!$A$8</f>
        <v>360</v>
      </c>
      <c r="C977" t="s">
        <v>1764</v>
      </c>
      <c r="D977" t="s">
        <v>1774</v>
      </c>
      <c r="E977" s="32">
        <f>INDEX(OperatingFunds!$C$122:$AAF$130,ROW(OperatingFunds!$A$1),ROW(OperatingFunds!A$19))</f>
        <v>11442.828380000001</v>
      </c>
    </row>
    <row r="978" spans="1:5">
      <c r="A978" t="str">
        <f>RIGHT(OperatingFunds!$U$6,4)</f>
        <v>2008</v>
      </c>
      <c r="B978" t="str">
        <f>+OperatingFunds!$A$9</f>
        <v>365</v>
      </c>
      <c r="C978" t="s">
        <v>1764</v>
      </c>
      <c r="D978" t="s">
        <v>1774</v>
      </c>
      <c r="E978" s="32">
        <f>INDEX(OperatingFunds!$C$122:$AAF$130,ROW(OperatingFunds!$A$2),ROW(OperatingFunds!A$19))</f>
        <v>5057</v>
      </c>
    </row>
    <row r="979" spans="1:5">
      <c r="A979" t="str">
        <f>RIGHT(OperatingFunds!$U$6,4)</f>
        <v>2008</v>
      </c>
      <c r="B979" t="str">
        <f>+OperatingFunds!$A$10</f>
        <v>370</v>
      </c>
      <c r="C979" t="s">
        <v>1764</v>
      </c>
      <c r="D979" t="s">
        <v>1774</v>
      </c>
      <c r="E979" s="32">
        <f>INDEX(OperatingFunds!$C$122:$AAF$130,ROW(OperatingFunds!$A$3),ROW(OperatingFunds!A$19))</f>
        <v>1213.0405899999998</v>
      </c>
    </row>
    <row r="980" spans="1:5">
      <c r="A980" t="str">
        <f>RIGHT(OperatingFunds!$U$6,4)</f>
        <v>2008</v>
      </c>
      <c r="B980" t="str">
        <f>+OperatingFunds!$A$11</f>
        <v>375</v>
      </c>
      <c r="C980" t="s">
        <v>1764</v>
      </c>
      <c r="D980" t="s">
        <v>1774</v>
      </c>
      <c r="E980" s="32">
        <f>INDEX(OperatingFunds!$C$122:$AAF$130,ROW(OperatingFunds!$A$4),ROW(OperatingFunds!A$19))</f>
        <v>1211</v>
      </c>
    </row>
    <row r="981" spans="1:5">
      <c r="A981" t="str">
        <f>RIGHT(OperatingFunds!$U$6,4)</f>
        <v>2008</v>
      </c>
      <c r="B981" t="str">
        <f>+OperatingFunds!$A$12</f>
        <v>376</v>
      </c>
      <c r="C981" t="s">
        <v>1764</v>
      </c>
      <c r="D981" t="s">
        <v>1774</v>
      </c>
      <c r="E981" s="32">
        <f>INDEX(OperatingFunds!$C$122:$AAF$130,ROW(OperatingFunds!$A$5),ROW(OperatingFunds!A$19))</f>
        <v>540.01887999999997</v>
      </c>
    </row>
    <row r="982" spans="1:5">
      <c r="A982" t="str">
        <f>RIGHT(OperatingFunds!$U$6,4)</f>
        <v>2008</v>
      </c>
      <c r="B982" t="str">
        <f>+OperatingFunds!$A$13</f>
        <v>380</v>
      </c>
      <c r="C982" t="s">
        <v>1764</v>
      </c>
      <c r="D982" t="s">
        <v>1774</v>
      </c>
      <c r="E982" s="32">
        <f>INDEX(OperatingFunds!$C$122:$AAF$130,ROW(OperatingFunds!$A$6),ROW(OperatingFunds!A$19))</f>
        <v>1807</v>
      </c>
    </row>
    <row r="983" spans="1:5">
      <c r="A983" t="str">
        <f>RIGHT(OperatingFunds!$U$6,4)</f>
        <v>2008</v>
      </c>
      <c r="B983" t="str">
        <f>+OperatingFunds!$A$16</f>
        <v>699</v>
      </c>
      <c r="C983" t="s">
        <v>1764</v>
      </c>
      <c r="D983" t="s">
        <v>1774</v>
      </c>
      <c r="E983" s="32">
        <f>INDEX(OperatingFunds!$C$122:$AAF$130,ROW(OperatingFunds!$A$9),ROW(OperatingFunds!A$19))</f>
        <v>11395.09064</v>
      </c>
    </row>
    <row r="984" spans="1:5">
      <c r="A984" t="str">
        <f>RIGHT(OperatingFunds!$V$6,4)</f>
        <v>2009</v>
      </c>
      <c r="B984" t="str">
        <f>+OperatingFunds!$A$8</f>
        <v>360</v>
      </c>
      <c r="C984" t="s">
        <v>1764</v>
      </c>
      <c r="D984" t="s">
        <v>1774</v>
      </c>
      <c r="E984" s="32">
        <f>INDEX(OperatingFunds!$C$122:$AAF$130,ROW(OperatingFunds!$A$1),ROW(OperatingFunds!A$20))</f>
        <v>14382.171619999999</v>
      </c>
    </row>
    <row r="985" spans="1:5">
      <c r="A985" t="str">
        <f>RIGHT(OperatingFunds!$V$6,4)</f>
        <v>2009</v>
      </c>
      <c r="B985" t="str">
        <f>+OperatingFunds!$A$9</f>
        <v>365</v>
      </c>
      <c r="C985" t="s">
        <v>1764</v>
      </c>
      <c r="D985" t="s">
        <v>1774</v>
      </c>
      <c r="E985" s="32">
        <f>INDEX(OperatingFunds!$C$122:$AAF$130,ROW(OperatingFunds!$A$2),ROW(OperatingFunds!A$20))</f>
        <v>5058</v>
      </c>
    </row>
    <row r="986" spans="1:5">
      <c r="A986" t="str">
        <f>RIGHT(OperatingFunds!$V$6,4)</f>
        <v>2009</v>
      </c>
      <c r="B986" t="str">
        <f>+OperatingFunds!$A$10</f>
        <v>370</v>
      </c>
      <c r="C986" t="s">
        <v>1764</v>
      </c>
      <c r="D986" t="s">
        <v>1774</v>
      </c>
      <c r="E986" s="32">
        <f>INDEX(OperatingFunds!$C$122:$AAF$130,ROW(OperatingFunds!$A$3),ROW(OperatingFunds!A$20))</f>
        <v>1003.9594099999999</v>
      </c>
    </row>
    <row r="987" spans="1:5">
      <c r="A987" t="str">
        <f>RIGHT(OperatingFunds!$V$6,4)</f>
        <v>2009</v>
      </c>
      <c r="B987" t="str">
        <f>+OperatingFunds!$A$11</f>
        <v>375</v>
      </c>
      <c r="C987" t="s">
        <v>1764</v>
      </c>
      <c r="D987" t="s">
        <v>1774</v>
      </c>
      <c r="E987" s="32">
        <f>INDEX(OperatingFunds!$C$122:$AAF$130,ROW(OperatingFunds!$A$4),ROW(OperatingFunds!A$20))</f>
        <v>1211</v>
      </c>
    </row>
    <row r="988" spans="1:5">
      <c r="A988" t="str">
        <f>RIGHT(OperatingFunds!$V$6,4)</f>
        <v>2009</v>
      </c>
      <c r="B988" t="str">
        <f>+OperatingFunds!$A$12</f>
        <v>376</v>
      </c>
      <c r="C988" t="s">
        <v>1764</v>
      </c>
      <c r="D988" t="s">
        <v>1774</v>
      </c>
      <c r="E988" s="32">
        <f>INDEX(OperatingFunds!$C$122:$AAF$130,ROW(OperatingFunds!$A$5),ROW(OperatingFunds!A$20))</f>
        <v>219.98112</v>
      </c>
    </row>
    <row r="989" spans="1:5">
      <c r="A989" t="str">
        <f>RIGHT(OperatingFunds!$V$6,4)</f>
        <v>2009</v>
      </c>
      <c r="B989" t="str">
        <f>+OperatingFunds!$A$13</f>
        <v>380</v>
      </c>
      <c r="C989" t="s">
        <v>1764</v>
      </c>
      <c r="D989" t="s">
        <v>1774</v>
      </c>
      <c r="E989" s="32">
        <f>INDEX(OperatingFunds!$C$122:$AAF$130,ROW(OperatingFunds!$A$6),ROW(OperatingFunds!A$20))</f>
        <v>1807</v>
      </c>
    </row>
    <row r="990" spans="1:5">
      <c r="A990" t="str">
        <f>RIGHT(OperatingFunds!$V$6,4)</f>
        <v>2009</v>
      </c>
      <c r="B990" t="str">
        <f>+OperatingFunds!$A$16</f>
        <v>699</v>
      </c>
      <c r="C990" t="s">
        <v>1764</v>
      </c>
      <c r="D990" t="s">
        <v>1774</v>
      </c>
      <c r="E990" s="32">
        <f>INDEX(OperatingFunds!$C$122:$AAF$130,ROW(OperatingFunds!$A$9),ROW(OperatingFunds!A$20))</f>
        <v>11406.82849</v>
      </c>
    </row>
    <row r="991" spans="1:5">
      <c r="A991" t="str">
        <f>RIGHT(OperatingFunds!$W$6,4)</f>
        <v>2010</v>
      </c>
      <c r="B991" t="str">
        <f>+OperatingFunds!$A$8</f>
        <v>360</v>
      </c>
      <c r="C991" t="s">
        <v>1764</v>
      </c>
      <c r="D991" t="s">
        <v>1774</v>
      </c>
      <c r="E991" s="32" t="e">
        <f>INDEX(OperatingFunds!$C$122:$AAF$130,ROW(OperatingFunds!$A$1),ROW(OperatingFunds!#REF!))</f>
        <v>#REF!</v>
      </c>
    </row>
    <row r="992" spans="1:5">
      <c r="A992" t="str">
        <f>RIGHT(OperatingFunds!$W$6,4)</f>
        <v>2010</v>
      </c>
      <c r="B992" t="str">
        <f>+OperatingFunds!$A$9</f>
        <v>365</v>
      </c>
      <c r="C992" t="s">
        <v>1764</v>
      </c>
      <c r="D992" t="s">
        <v>1774</v>
      </c>
      <c r="E992" s="32" t="e">
        <f>INDEX(OperatingFunds!$C$122:$AAF$130,ROW(OperatingFunds!$A$2),ROW(OperatingFunds!#REF!))</f>
        <v>#REF!</v>
      </c>
    </row>
    <row r="993" spans="1:5">
      <c r="A993" t="str">
        <f>RIGHT(OperatingFunds!$W$6,4)</f>
        <v>2010</v>
      </c>
      <c r="B993" t="str">
        <f>+OperatingFunds!$A$10</f>
        <v>370</v>
      </c>
      <c r="C993" t="s">
        <v>1764</v>
      </c>
      <c r="D993" t="s">
        <v>1774</v>
      </c>
      <c r="E993" s="32" t="e">
        <f>INDEX(OperatingFunds!$C$122:$AAF$130,ROW(OperatingFunds!$A$3),ROW(OperatingFunds!#REF!))</f>
        <v>#REF!</v>
      </c>
    </row>
    <row r="994" spans="1:5">
      <c r="A994" t="str">
        <f>RIGHT(OperatingFunds!$W$6,4)</f>
        <v>2010</v>
      </c>
      <c r="B994" t="str">
        <f>+OperatingFunds!$A$11</f>
        <v>375</v>
      </c>
      <c r="C994" t="s">
        <v>1764</v>
      </c>
      <c r="D994" t="s">
        <v>1774</v>
      </c>
      <c r="E994" s="32" t="e">
        <f>INDEX(OperatingFunds!$C$122:$AAF$130,ROW(OperatingFunds!$A$4),ROW(OperatingFunds!#REF!))</f>
        <v>#REF!</v>
      </c>
    </row>
    <row r="995" spans="1:5">
      <c r="A995" t="str">
        <f>RIGHT(OperatingFunds!$W$6,4)</f>
        <v>2010</v>
      </c>
      <c r="B995" t="str">
        <f>+OperatingFunds!$A$12</f>
        <v>376</v>
      </c>
      <c r="C995" t="s">
        <v>1764</v>
      </c>
      <c r="D995" t="s">
        <v>1774</v>
      </c>
      <c r="E995" s="32" t="e">
        <f>INDEX(OperatingFunds!$C$122:$AAF$130,ROW(OperatingFunds!$A$5),ROW(OperatingFunds!#REF!))</f>
        <v>#REF!</v>
      </c>
    </row>
    <row r="996" spans="1:5">
      <c r="A996" t="str">
        <f>RIGHT(OperatingFunds!$W$6,4)</f>
        <v>2010</v>
      </c>
      <c r="B996" t="str">
        <f>+OperatingFunds!$A$13</f>
        <v>380</v>
      </c>
      <c r="C996" t="s">
        <v>1764</v>
      </c>
      <c r="D996" t="s">
        <v>1774</v>
      </c>
      <c r="E996" s="32" t="e">
        <f>INDEX(OperatingFunds!$C$122:$AAF$130,ROW(OperatingFunds!$A$6),ROW(OperatingFunds!#REF!))</f>
        <v>#REF!</v>
      </c>
    </row>
    <row r="997" spans="1:5">
      <c r="A997" t="str">
        <f>RIGHT(OperatingFunds!$W$6,4)</f>
        <v>2010</v>
      </c>
      <c r="B997" t="str">
        <f>+OperatingFunds!$A$16</f>
        <v>699</v>
      </c>
      <c r="C997" t="s">
        <v>1764</v>
      </c>
      <c r="D997" t="s">
        <v>1774</v>
      </c>
      <c r="E997" s="32" t="e">
        <f>INDEX(OperatingFunds!$C$122:$AAF$130,ROW(OperatingFunds!$A$9),ROW(OperatingFunds!#REF!))</f>
        <v>#REF!</v>
      </c>
    </row>
    <row r="998" spans="1:5">
      <c r="A998" t="str">
        <f>RIGHT(OperatingFunds!$X$6,4)</f>
        <v>2011</v>
      </c>
      <c r="B998" t="str">
        <f>+OperatingFunds!$A$8</f>
        <v>360</v>
      </c>
      <c r="C998" t="s">
        <v>1764</v>
      </c>
      <c r="D998" t="s">
        <v>1774</v>
      </c>
      <c r="E998" s="32">
        <f>INDEX(OperatingFunds!$C$122:$AAF$130,ROW(OperatingFunds!$A$1),ROW(OperatingFunds!A$21))</f>
        <v>7269.3917300000003</v>
      </c>
    </row>
    <row r="999" spans="1:5">
      <c r="A999" t="str">
        <f>RIGHT(OperatingFunds!$X$6,4)</f>
        <v>2011</v>
      </c>
      <c r="B999" t="str">
        <f>+OperatingFunds!$A$9</f>
        <v>365</v>
      </c>
      <c r="C999" t="s">
        <v>1764</v>
      </c>
      <c r="D999" t="s">
        <v>1774</v>
      </c>
      <c r="E999" s="32">
        <f>INDEX(OperatingFunds!$C$122:$AAF$130,ROW(OperatingFunds!$A$2),ROW(OperatingFunds!A$21))</f>
        <v>14187</v>
      </c>
    </row>
    <row r="1000" spans="1:5">
      <c r="A1000" t="str">
        <f>RIGHT(OperatingFunds!$X$6,4)</f>
        <v>2011</v>
      </c>
      <c r="B1000" t="str">
        <f>+OperatingFunds!$A$10</f>
        <v>370</v>
      </c>
      <c r="C1000" t="s">
        <v>1764</v>
      </c>
      <c r="D1000" t="s">
        <v>1774</v>
      </c>
      <c r="E1000" s="32">
        <f>INDEX(OperatingFunds!$C$122:$AAF$130,ROW(OperatingFunds!$A$3),ROW(OperatingFunds!A$21))</f>
        <v>1108.5</v>
      </c>
    </row>
    <row r="1001" spans="1:5">
      <c r="A1001" t="str">
        <f>RIGHT(OperatingFunds!$X$6,4)</f>
        <v>2011</v>
      </c>
      <c r="B1001" t="str">
        <f>+OperatingFunds!$A$11</f>
        <v>375</v>
      </c>
      <c r="C1001" t="s">
        <v>1764</v>
      </c>
      <c r="D1001" t="s">
        <v>1774</v>
      </c>
      <c r="E1001" s="32">
        <f>INDEX(OperatingFunds!$C$122:$AAF$130,ROW(OperatingFunds!$A$4),ROW(OperatingFunds!A$21))</f>
        <v>1211</v>
      </c>
    </row>
    <row r="1002" spans="1:5">
      <c r="A1002" t="str">
        <f>RIGHT(OperatingFunds!$X$6,4)</f>
        <v>2011</v>
      </c>
      <c r="B1002" t="str">
        <f>+OperatingFunds!$A$12</f>
        <v>376</v>
      </c>
      <c r="C1002" t="s">
        <v>1764</v>
      </c>
      <c r="D1002" t="s">
        <v>1774</v>
      </c>
      <c r="E1002" s="32">
        <f>INDEX(OperatingFunds!$C$122:$AAF$130,ROW(OperatingFunds!$A$5),ROW(OperatingFunds!A$21))</f>
        <v>758.98340000000007</v>
      </c>
    </row>
    <row r="1003" spans="1:5">
      <c r="A1003" t="str">
        <f>RIGHT(OperatingFunds!$X$6,4)</f>
        <v>2011</v>
      </c>
      <c r="B1003" t="str">
        <f>+OperatingFunds!$A$13</f>
        <v>380</v>
      </c>
      <c r="C1003" t="s">
        <v>1764</v>
      </c>
      <c r="D1003" t="s">
        <v>1774</v>
      </c>
      <c r="E1003" s="32">
        <f>INDEX(OperatingFunds!$C$122:$AAF$130,ROW(OperatingFunds!$A$6),ROW(OperatingFunds!A$21))</f>
        <v>1807</v>
      </c>
    </row>
    <row r="1004" spans="1:5">
      <c r="A1004" t="str">
        <f>RIGHT(OperatingFunds!$X$6,4)</f>
        <v>2011</v>
      </c>
      <c r="B1004" t="str">
        <f>+OperatingFunds!$A$16</f>
        <v>699</v>
      </c>
      <c r="C1004" t="s">
        <v>1764</v>
      </c>
      <c r="D1004" t="s">
        <v>1774</v>
      </c>
      <c r="E1004" s="32">
        <f>INDEX(OperatingFunds!$C$122:$AAF$130,ROW(OperatingFunds!$A$9),ROW(OperatingFunds!A$21))</f>
        <v>0</v>
      </c>
    </row>
    <row r="1005" spans="1:5">
      <c r="A1005" t="str">
        <f>RIGHT(OperatingFunds!$Y$6,4)</f>
        <v>2012</v>
      </c>
      <c r="B1005" t="str">
        <f>+OperatingFunds!$A$8</f>
        <v>360</v>
      </c>
      <c r="C1005" t="s">
        <v>1764</v>
      </c>
      <c r="D1005" t="s">
        <v>1774</v>
      </c>
      <c r="E1005" s="32">
        <f>INDEX(OperatingFunds!$C$122:$AAF$130,ROW(OperatingFunds!$A$1),ROW(OperatingFunds!A$22))</f>
        <v>13471.608269999999</v>
      </c>
    </row>
    <row r="1006" spans="1:5">
      <c r="A1006" t="str">
        <f>RIGHT(OperatingFunds!$Y$6,4)</f>
        <v>2012</v>
      </c>
      <c r="B1006" t="str">
        <f>+OperatingFunds!$A$9</f>
        <v>365</v>
      </c>
      <c r="C1006" t="s">
        <v>1764</v>
      </c>
      <c r="D1006" t="s">
        <v>1774</v>
      </c>
      <c r="E1006" s="32">
        <f>INDEX(OperatingFunds!$C$122:$AAF$130,ROW(OperatingFunds!$A$2),ROW(OperatingFunds!A$22))</f>
        <v>14188</v>
      </c>
    </row>
    <row r="1007" spans="1:5">
      <c r="A1007" t="str">
        <f>RIGHT(OperatingFunds!$Y$6,4)</f>
        <v>2012</v>
      </c>
      <c r="B1007" t="str">
        <f>+OperatingFunds!$A$10</f>
        <v>370</v>
      </c>
      <c r="C1007" t="s">
        <v>1764</v>
      </c>
      <c r="D1007" t="s">
        <v>1774</v>
      </c>
      <c r="E1007" s="32">
        <f>INDEX(OperatingFunds!$C$122:$AAF$130,ROW(OperatingFunds!$A$3),ROW(OperatingFunds!A$22))</f>
        <v>3300.5</v>
      </c>
    </row>
    <row r="1008" spans="1:5">
      <c r="A1008" t="str">
        <f>RIGHT(OperatingFunds!$Y$6,4)</f>
        <v>2012</v>
      </c>
      <c r="B1008" t="str">
        <f>+OperatingFunds!$A$11</f>
        <v>375</v>
      </c>
      <c r="C1008" t="s">
        <v>1764</v>
      </c>
      <c r="D1008" t="s">
        <v>1774</v>
      </c>
      <c r="E1008" s="32">
        <f>INDEX(OperatingFunds!$C$122:$AAF$130,ROW(OperatingFunds!$A$4),ROW(OperatingFunds!A$22))</f>
        <v>3195.9991500000001</v>
      </c>
    </row>
    <row r="1009" spans="1:5">
      <c r="A1009" t="str">
        <f>RIGHT(OperatingFunds!$Y$6,4)</f>
        <v>2012</v>
      </c>
      <c r="B1009" t="str">
        <f>+OperatingFunds!$A$12</f>
        <v>376</v>
      </c>
      <c r="C1009" t="s">
        <v>1764</v>
      </c>
      <c r="D1009" t="s">
        <v>1774</v>
      </c>
      <c r="E1009" s="32">
        <f>INDEX(OperatingFunds!$C$122:$AAF$130,ROW(OperatingFunds!$A$5),ROW(OperatingFunds!A$22))</f>
        <v>3226.3872799999999</v>
      </c>
    </row>
    <row r="1010" spans="1:5">
      <c r="A1010" t="str">
        <f>RIGHT(OperatingFunds!$Y$6,4)</f>
        <v>2012</v>
      </c>
      <c r="B1010" t="str">
        <f>+OperatingFunds!$A$13</f>
        <v>380</v>
      </c>
      <c r="C1010" t="s">
        <v>1764</v>
      </c>
      <c r="D1010" t="s">
        <v>1774</v>
      </c>
      <c r="E1010" s="32">
        <f>INDEX(OperatingFunds!$C$122:$AAF$130,ROW(OperatingFunds!$A$6),ROW(OperatingFunds!A$22))</f>
        <v>4007</v>
      </c>
    </row>
    <row r="1011" spans="1:5">
      <c r="A1011" t="str">
        <f>RIGHT(OperatingFunds!$Y$6,4)</f>
        <v>2012</v>
      </c>
      <c r="B1011" t="str">
        <f>+OperatingFunds!$A$16</f>
        <v>699</v>
      </c>
      <c r="C1011" t="s">
        <v>1764</v>
      </c>
      <c r="D1011" t="s">
        <v>1774</v>
      </c>
      <c r="E1011" s="32">
        <f>INDEX(OperatingFunds!$C$122:$AAF$130,ROW(OperatingFunds!$A$9),ROW(OperatingFunds!A$22))</f>
        <v>0</v>
      </c>
    </row>
    <row r="1012" spans="1:5">
      <c r="A1012" t="str">
        <f>RIGHT(OperatingFunds!$Z$6,4)</f>
        <v>2013</v>
      </c>
      <c r="B1012" t="str">
        <f>+OperatingFunds!$A$8</f>
        <v>360</v>
      </c>
      <c r="C1012" t="s">
        <v>1764</v>
      </c>
      <c r="D1012" t="s">
        <v>1774</v>
      </c>
      <c r="E1012" s="32">
        <f>INDEX(OperatingFunds!$C$122:$AAF$130,ROW(OperatingFunds!$A$1),ROW(OperatingFunds!A$23))</f>
        <v>11835.23148</v>
      </c>
    </row>
    <row r="1013" spans="1:5">
      <c r="A1013" t="str">
        <f>RIGHT(OperatingFunds!$Z$6,4)</f>
        <v>2013</v>
      </c>
      <c r="B1013" t="str">
        <f>+OperatingFunds!$A$9</f>
        <v>365</v>
      </c>
      <c r="C1013" t="s">
        <v>1764</v>
      </c>
      <c r="D1013" t="s">
        <v>1774</v>
      </c>
      <c r="E1013" s="32">
        <f>INDEX(OperatingFunds!$C$122:$AAF$130,ROW(OperatingFunds!$A$2),ROW(OperatingFunds!A$23))</f>
        <v>5057</v>
      </c>
    </row>
    <row r="1014" spans="1:5">
      <c r="A1014" t="str">
        <f>RIGHT(OperatingFunds!$Z$6,4)</f>
        <v>2013</v>
      </c>
      <c r="B1014" t="str">
        <f>+OperatingFunds!$A$10</f>
        <v>370</v>
      </c>
      <c r="C1014" t="s">
        <v>1764</v>
      </c>
      <c r="D1014" t="s">
        <v>1774</v>
      </c>
      <c r="E1014" s="32">
        <f>INDEX(OperatingFunds!$C$122:$AAF$130,ROW(OperatingFunds!$A$3),ROW(OperatingFunds!A$23))</f>
        <v>1108.5</v>
      </c>
    </row>
    <row r="1015" spans="1:5">
      <c r="A1015" t="str">
        <f>RIGHT(OperatingFunds!$Z$6,4)</f>
        <v>2013</v>
      </c>
      <c r="B1015" t="str">
        <f>+OperatingFunds!$A$11</f>
        <v>375</v>
      </c>
      <c r="C1015" t="s">
        <v>1764</v>
      </c>
      <c r="D1015" t="s">
        <v>1774</v>
      </c>
      <c r="E1015" s="32">
        <f>INDEX(OperatingFunds!$C$122:$AAF$130,ROW(OperatingFunds!$A$4),ROW(OperatingFunds!A$23))</f>
        <v>1211</v>
      </c>
    </row>
    <row r="1016" spans="1:5">
      <c r="A1016" t="str">
        <f>RIGHT(OperatingFunds!$Z$6,4)</f>
        <v>2013</v>
      </c>
      <c r="B1016" t="str">
        <f>+OperatingFunds!$A$12</f>
        <v>376</v>
      </c>
      <c r="C1016" t="s">
        <v>1764</v>
      </c>
      <c r="D1016" t="s">
        <v>1774</v>
      </c>
      <c r="E1016" s="32">
        <f>INDEX(OperatingFunds!$C$122:$AAF$130,ROW(OperatingFunds!$A$5),ROW(OperatingFunds!A$23))</f>
        <v>588.46597999999994</v>
      </c>
    </row>
    <row r="1017" spans="1:5">
      <c r="A1017" t="str">
        <f>RIGHT(OperatingFunds!$Z$6,4)</f>
        <v>2013</v>
      </c>
      <c r="B1017" t="str">
        <f>+OperatingFunds!$A$13</f>
        <v>380</v>
      </c>
      <c r="C1017" t="s">
        <v>1764</v>
      </c>
      <c r="D1017" t="s">
        <v>1774</v>
      </c>
      <c r="E1017" s="32">
        <f>INDEX(OperatingFunds!$C$122:$AAF$130,ROW(OperatingFunds!$A$6),ROW(OperatingFunds!A$23))</f>
        <v>1807</v>
      </c>
    </row>
    <row r="1018" spans="1:5">
      <c r="A1018" t="str">
        <f>RIGHT(OperatingFunds!$Z$6,4)</f>
        <v>2013</v>
      </c>
      <c r="B1018" t="str">
        <f>+OperatingFunds!$A$16</f>
        <v>699</v>
      </c>
      <c r="C1018" t="s">
        <v>1764</v>
      </c>
      <c r="D1018" t="s">
        <v>1774</v>
      </c>
      <c r="E1018" s="32">
        <f>INDEX(OperatingFunds!$C$122:$AAF$130,ROW(OperatingFunds!$A$9),ROW(OperatingFunds!A$23))</f>
        <v>10145.311310000001</v>
      </c>
    </row>
    <row r="1019" spans="1:5">
      <c r="A1019" t="str">
        <f>RIGHT(OperatingFunds!$AA$6,4)</f>
        <v>2014</v>
      </c>
      <c r="B1019" t="str">
        <f>+OperatingFunds!$A$8</f>
        <v>360</v>
      </c>
      <c r="C1019" t="s">
        <v>1764</v>
      </c>
      <c r="D1019" t="s">
        <v>1774</v>
      </c>
      <c r="E1019" s="32">
        <f>INDEX(OperatingFunds!$C$122:$AAF$130,ROW(OperatingFunds!$A$1),ROW(OperatingFunds!A$24))</f>
        <v>13989.76852</v>
      </c>
    </row>
    <row r="1020" spans="1:5">
      <c r="A1020" t="str">
        <f>RIGHT(OperatingFunds!$AA$6,4)</f>
        <v>2014</v>
      </c>
      <c r="B1020" t="str">
        <f>+OperatingFunds!$A$9</f>
        <v>365</v>
      </c>
      <c r="C1020" t="s">
        <v>1764</v>
      </c>
      <c r="D1020" t="s">
        <v>1774</v>
      </c>
      <c r="E1020" s="32">
        <f>INDEX(OperatingFunds!$C$122:$AAF$130,ROW(OperatingFunds!$A$2),ROW(OperatingFunds!A$24))</f>
        <v>5058</v>
      </c>
    </row>
    <row r="1021" spans="1:5">
      <c r="A1021" t="str">
        <f>RIGHT(OperatingFunds!$AA$6,4)</f>
        <v>2014</v>
      </c>
      <c r="B1021" t="str">
        <f>+OperatingFunds!$A$10</f>
        <v>370</v>
      </c>
      <c r="C1021" t="s">
        <v>1764</v>
      </c>
      <c r="D1021" t="s">
        <v>1774</v>
      </c>
      <c r="E1021" s="32">
        <f>INDEX(OperatingFunds!$C$122:$AAF$130,ROW(OperatingFunds!$A$3),ROW(OperatingFunds!A$24))</f>
        <v>1108.5</v>
      </c>
    </row>
    <row r="1022" spans="1:5">
      <c r="A1022" t="str">
        <f>RIGHT(OperatingFunds!$AA$6,4)</f>
        <v>2014</v>
      </c>
      <c r="B1022" t="str">
        <f>+OperatingFunds!$A$11</f>
        <v>375</v>
      </c>
      <c r="C1022" t="s">
        <v>1764</v>
      </c>
      <c r="D1022" t="s">
        <v>1774</v>
      </c>
      <c r="E1022" s="32">
        <f>INDEX(OperatingFunds!$C$122:$AAF$130,ROW(OperatingFunds!$A$4),ROW(OperatingFunds!A$24))</f>
        <v>1211</v>
      </c>
    </row>
    <row r="1023" spans="1:5">
      <c r="A1023" t="str">
        <f>RIGHT(OperatingFunds!$AA$6,4)</f>
        <v>2014</v>
      </c>
      <c r="B1023" t="str">
        <f>+OperatingFunds!$A$12</f>
        <v>376</v>
      </c>
      <c r="C1023" t="s">
        <v>1764</v>
      </c>
      <c r="D1023" t="s">
        <v>1774</v>
      </c>
      <c r="E1023" s="32">
        <f>INDEX(OperatingFunds!$C$122:$AAF$130,ROW(OperatingFunds!$A$5),ROW(OperatingFunds!A$24))</f>
        <v>170.36063999999999</v>
      </c>
    </row>
    <row r="1024" spans="1:5">
      <c r="A1024" t="str">
        <f>RIGHT(OperatingFunds!$AA$6,4)</f>
        <v>2014</v>
      </c>
      <c r="B1024" t="str">
        <f>+OperatingFunds!$A$13</f>
        <v>380</v>
      </c>
      <c r="C1024" t="s">
        <v>1764</v>
      </c>
      <c r="D1024" t="s">
        <v>1774</v>
      </c>
      <c r="E1024" s="32">
        <f>INDEX(OperatingFunds!$C$122:$AAF$130,ROW(OperatingFunds!$A$6),ROW(OperatingFunds!A$24))</f>
        <v>1807</v>
      </c>
    </row>
    <row r="1025" spans="1:5">
      <c r="A1025" t="str">
        <f>RIGHT(OperatingFunds!$AA$6,4)</f>
        <v>2014</v>
      </c>
      <c r="B1025" t="str">
        <f>+OperatingFunds!$A$16</f>
        <v>699</v>
      </c>
      <c r="C1025" t="s">
        <v>1764</v>
      </c>
      <c r="D1025" t="s">
        <v>1774</v>
      </c>
      <c r="E1025" s="32">
        <f>INDEX(OperatingFunds!$C$122:$AAF$130,ROW(OperatingFunds!$A$9),ROW(OperatingFunds!A$24))</f>
        <v>12654.688690000001</v>
      </c>
    </row>
    <row r="1026" spans="1:5">
      <c r="A1026" t="str">
        <f>RIGHT(OperatingFunds!$AB$6,4)</f>
        <v>2015</v>
      </c>
      <c r="B1026" t="str">
        <f>+OperatingFunds!$A$8</f>
        <v>360</v>
      </c>
      <c r="C1026" t="s">
        <v>1764</v>
      </c>
      <c r="D1026" t="s">
        <v>1774</v>
      </c>
      <c r="E1026" s="32">
        <f>INDEX(OperatingFunds!$C$122:$AAF$130,ROW(OperatingFunds!$A$1),ROW(OperatingFunds!A$25))</f>
        <v>14792.322380000001</v>
      </c>
    </row>
    <row r="1027" spans="1:5">
      <c r="A1027" t="str">
        <f>RIGHT(OperatingFunds!$AB$6,4)</f>
        <v>2015</v>
      </c>
      <c r="B1027" t="str">
        <f>+OperatingFunds!$A$9</f>
        <v>365</v>
      </c>
      <c r="C1027" t="s">
        <v>1764</v>
      </c>
      <c r="D1027" t="s">
        <v>1774</v>
      </c>
      <c r="E1027" s="32">
        <f>INDEX(OperatingFunds!$C$122:$AAF$130,ROW(OperatingFunds!$A$2),ROW(OperatingFunds!A$25))</f>
        <v>5057</v>
      </c>
    </row>
    <row r="1028" spans="1:5">
      <c r="A1028" t="str">
        <f>RIGHT(OperatingFunds!$AB$6,4)</f>
        <v>2015</v>
      </c>
      <c r="B1028" t="str">
        <f>+OperatingFunds!$A$10</f>
        <v>370</v>
      </c>
      <c r="C1028" t="s">
        <v>1764</v>
      </c>
      <c r="D1028" t="s">
        <v>1774</v>
      </c>
      <c r="E1028" s="32">
        <f>INDEX(OperatingFunds!$C$122:$AAF$130,ROW(OperatingFunds!$A$3),ROW(OperatingFunds!A$25))</f>
        <v>1108.5</v>
      </c>
    </row>
    <row r="1029" spans="1:5">
      <c r="A1029" t="str">
        <f>RIGHT(OperatingFunds!$AB$6,4)</f>
        <v>2015</v>
      </c>
      <c r="B1029" t="str">
        <f>+OperatingFunds!$A$11</f>
        <v>375</v>
      </c>
      <c r="C1029" t="s">
        <v>1764</v>
      </c>
      <c r="D1029" t="s">
        <v>1774</v>
      </c>
      <c r="E1029" s="32">
        <f>INDEX(OperatingFunds!$C$122:$AAF$130,ROW(OperatingFunds!$A$4),ROW(OperatingFunds!A$25))</f>
        <v>1211</v>
      </c>
    </row>
    <row r="1030" spans="1:5">
      <c r="A1030" t="str">
        <f>RIGHT(OperatingFunds!$AB$6,4)</f>
        <v>2015</v>
      </c>
      <c r="B1030" t="str">
        <f>+OperatingFunds!$A$12</f>
        <v>376</v>
      </c>
      <c r="C1030" t="s">
        <v>1764</v>
      </c>
      <c r="D1030" t="s">
        <v>1774</v>
      </c>
      <c r="E1030" s="32">
        <f>INDEX(OperatingFunds!$C$122:$AAF$130,ROW(OperatingFunds!$A$5),ROW(OperatingFunds!A$25))</f>
        <v>747.57281</v>
      </c>
    </row>
    <row r="1031" spans="1:5">
      <c r="A1031" t="str">
        <f>RIGHT(OperatingFunds!$AB$6,4)</f>
        <v>2015</v>
      </c>
      <c r="B1031" t="str">
        <f>+OperatingFunds!$A$13</f>
        <v>380</v>
      </c>
      <c r="C1031" t="s">
        <v>1764</v>
      </c>
      <c r="D1031" t="s">
        <v>1774</v>
      </c>
      <c r="E1031" s="32">
        <f>INDEX(OperatingFunds!$C$122:$AAF$130,ROW(OperatingFunds!$A$6),ROW(OperatingFunds!A$25))</f>
        <v>1807</v>
      </c>
    </row>
    <row r="1032" spans="1:5">
      <c r="A1032" t="str">
        <f>RIGHT(OperatingFunds!$AB$6,4)</f>
        <v>2015</v>
      </c>
      <c r="B1032" t="str">
        <f>+OperatingFunds!$A$16</f>
        <v>699</v>
      </c>
      <c r="C1032" t="s">
        <v>1764</v>
      </c>
      <c r="D1032" t="s">
        <v>1774</v>
      </c>
      <c r="E1032" s="32">
        <f>INDEX(OperatingFunds!$C$122:$AAF$130,ROW(OperatingFunds!$A$9),ROW(OperatingFunds!A$25))</f>
        <v>11398.36076</v>
      </c>
    </row>
    <row r="1033" spans="1:5">
      <c r="A1033" t="str">
        <f>RIGHT(OperatingFunds!$AC$6,4)</f>
        <v>2016</v>
      </c>
      <c r="B1033" t="str">
        <f>+OperatingFunds!$A$8</f>
        <v>360</v>
      </c>
      <c r="C1033" t="s">
        <v>1764</v>
      </c>
      <c r="D1033" t="s">
        <v>1774</v>
      </c>
      <c r="E1033" s="32">
        <f>INDEX(OperatingFunds!$C$122:$AAF$130,ROW(OperatingFunds!$A$1),ROW(OperatingFunds!A$26))</f>
        <v>11032.677619999999</v>
      </c>
    </row>
    <row r="1034" spans="1:5">
      <c r="A1034" t="str">
        <f>RIGHT(OperatingFunds!$AC$6,4)</f>
        <v>2016</v>
      </c>
      <c r="B1034" t="str">
        <f>+OperatingFunds!$A$9</f>
        <v>365</v>
      </c>
      <c r="C1034" t="s">
        <v>1764</v>
      </c>
      <c r="D1034" t="s">
        <v>1774</v>
      </c>
      <c r="E1034" s="32">
        <f>INDEX(OperatingFunds!$C$122:$AAF$130,ROW(OperatingFunds!$A$2),ROW(OperatingFunds!A$26))</f>
        <v>5058</v>
      </c>
    </row>
    <row r="1035" spans="1:5">
      <c r="A1035" t="str">
        <f>RIGHT(OperatingFunds!$AC$6,4)</f>
        <v>2016</v>
      </c>
      <c r="B1035" t="str">
        <f>+OperatingFunds!$A$10</f>
        <v>370</v>
      </c>
      <c r="C1035" t="s">
        <v>1764</v>
      </c>
      <c r="D1035" t="s">
        <v>1774</v>
      </c>
      <c r="E1035" s="32">
        <f>INDEX(OperatingFunds!$C$122:$AAF$130,ROW(OperatingFunds!$A$3),ROW(OperatingFunds!A$26))</f>
        <v>1108.5</v>
      </c>
    </row>
    <row r="1036" spans="1:5">
      <c r="A1036" t="str">
        <f>RIGHT(OperatingFunds!$AC$6,4)</f>
        <v>2016</v>
      </c>
      <c r="B1036" t="str">
        <f>+OperatingFunds!$A$11</f>
        <v>375</v>
      </c>
      <c r="C1036" t="s">
        <v>1764</v>
      </c>
      <c r="D1036" t="s">
        <v>1774</v>
      </c>
      <c r="E1036" s="32">
        <f>INDEX(OperatingFunds!$C$122:$AAF$130,ROW(OperatingFunds!$A$4),ROW(OperatingFunds!A$26))</f>
        <v>1211</v>
      </c>
    </row>
    <row r="1037" spans="1:5">
      <c r="A1037" t="str">
        <f>RIGHT(OperatingFunds!$AC$6,4)</f>
        <v>2016</v>
      </c>
      <c r="B1037" t="str">
        <f>+OperatingFunds!$A$12</f>
        <v>376</v>
      </c>
      <c r="C1037" t="s">
        <v>1764</v>
      </c>
      <c r="D1037" t="s">
        <v>1774</v>
      </c>
      <c r="E1037" s="32">
        <f>INDEX(OperatingFunds!$C$122:$AAF$130,ROW(OperatingFunds!$A$5),ROW(OperatingFunds!A$26))</f>
        <v>3.1010000000000218E-2</v>
      </c>
    </row>
    <row r="1038" spans="1:5">
      <c r="A1038" t="str">
        <f>RIGHT(OperatingFunds!$AC$6,4)</f>
        <v>2016</v>
      </c>
      <c r="B1038" t="str">
        <f>+OperatingFunds!$A$13</f>
        <v>380</v>
      </c>
      <c r="C1038" t="s">
        <v>1764</v>
      </c>
      <c r="D1038" t="s">
        <v>1774</v>
      </c>
      <c r="E1038" s="32">
        <f>INDEX(OperatingFunds!$C$122:$AAF$130,ROW(OperatingFunds!$A$6),ROW(OperatingFunds!A$26))</f>
        <v>1806.9996799999999</v>
      </c>
    </row>
    <row r="1039" spans="1:5">
      <c r="A1039" t="str">
        <f>RIGHT(OperatingFunds!$AC$6,4)</f>
        <v>2016</v>
      </c>
      <c r="B1039" t="str">
        <f>+OperatingFunds!$A$16</f>
        <v>699</v>
      </c>
      <c r="C1039" t="s">
        <v>1764</v>
      </c>
      <c r="D1039" t="s">
        <v>1774</v>
      </c>
      <c r="E1039" s="32">
        <f>INDEX(OperatingFunds!$C$122:$AAF$130,ROW(OperatingFunds!$A$9),ROW(OperatingFunds!A$26))</f>
        <v>11398.364</v>
      </c>
    </row>
    <row r="1040" spans="1:5">
      <c r="A1040" t="str">
        <f>RIGHT(OperatingFunds!$AD$6,4)</f>
        <v>2017</v>
      </c>
      <c r="B1040" t="str">
        <f>+OperatingFunds!$A$8</f>
        <v>360</v>
      </c>
      <c r="C1040" t="s">
        <v>1764</v>
      </c>
      <c r="D1040" t="s">
        <v>1774</v>
      </c>
      <c r="E1040" s="32">
        <f>INDEX(OperatingFunds!$C$122:$AAF$130,ROW(OperatingFunds!$A$1),ROW(OperatingFunds!A$27))</f>
        <v>12913</v>
      </c>
    </row>
    <row r="1041" spans="1:5">
      <c r="A1041" t="str">
        <f>RIGHT(OperatingFunds!$AD$6,4)</f>
        <v>2017</v>
      </c>
      <c r="B1041" t="str">
        <f>+OperatingFunds!$A$9</f>
        <v>365</v>
      </c>
      <c r="C1041" t="s">
        <v>1764</v>
      </c>
      <c r="D1041" t="s">
        <v>1774</v>
      </c>
      <c r="E1041" s="32">
        <f>INDEX(OperatingFunds!$C$122:$AAF$130,ROW(OperatingFunds!$A$2),ROW(OperatingFunds!A$27))</f>
        <v>5056.9765199999993</v>
      </c>
    </row>
    <row r="1042" spans="1:5">
      <c r="A1042" t="str">
        <f>RIGHT(OperatingFunds!$AD$6,4)</f>
        <v>2017</v>
      </c>
      <c r="B1042" t="str">
        <f>+OperatingFunds!$A$10</f>
        <v>370</v>
      </c>
      <c r="C1042" t="s">
        <v>1764</v>
      </c>
      <c r="D1042" t="s">
        <v>1774</v>
      </c>
      <c r="E1042" s="32">
        <f>INDEX(OperatingFunds!$C$122:$AAF$130,ROW(OperatingFunds!$A$3),ROW(OperatingFunds!A$27))</f>
        <v>1108.5</v>
      </c>
    </row>
    <row r="1043" spans="1:5">
      <c r="A1043" t="str">
        <f>RIGHT(OperatingFunds!$AD$6,4)</f>
        <v>2017</v>
      </c>
      <c r="B1043" t="str">
        <f>+OperatingFunds!$A$11</f>
        <v>375</v>
      </c>
      <c r="C1043" t="s">
        <v>1764</v>
      </c>
      <c r="D1043" t="s">
        <v>1774</v>
      </c>
      <c r="E1043" s="32">
        <f>INDEX(OperatingFunds!$C$122:$AAF$130,ROW(OperatingFunds!$A$4),ROW(OperatingFunds!A$27))</f>
        <v>1211</v>
      </c>
    </row>
    <row r="1044" spans="1:5">
      <c r="A1044" t="str">
        <f>RIGHT(OperatingFunds!$AD$6,4)</f>
        <v>2017</v>
      </c>
      <c r="B1044" t="str">
        <f>+OperatingFunds!$A$12</f>
        <v>376</v>
      </c>
      <c r="C1044" t="s">
        <v>1764</v>
      </c>
      <c r="D1044" t="s">
        <v>1774</v>
      </c>
      <c r="E1044" s="32">
        <f>INDEX(OperatingFunds!$C$122:$AAF$130,ROW(OperatingFunds!$A$5),ROW(OperatingFunds!A$27))</f>
        <v>757.62924999999996</v>
      </c>
    </row>
    <row r="1045" spans="1:5">
      <c r="A1045" t="str">
        <f>RIGHT(OperatingFunds!$AD$6,4)</f>
        <v>2017</v>
      </c>
      <c r="B1045" t="str">
        <f>+OperatingFunds!$A$13</f>
        <v>380</v>
      </c>
      <c r="C1045" t="s">
        <v>1764</v>
      </c>
      <c r="D1045" t="s">
        <v>1774</v>
      </c>
      <c r="E1045" s="32">
        <f>INDEX(OperatingFunds!$C$122:$AAF$130,ROW(OperatingFunds!$A$6),ROW(OperatingFunds!A$27))</f>
        <v>1807</v>
      </c>
    </row>
    <row r="1046" spans="1:5">
      <c r="A1046" t="str">
        <f>RIGHT(OperatingFunds!$AD$6,4)</f>
        <v>2017</v>
      </c>
      <c r="B1046" t="str">
        <f>+OperatingFunds!$A$16</f>
        <v>699</v>
      </c>
      <c r="C1046" t="s">
        <v>1764</v>
      </c>
      <c r="D1046" t="s">
        <v>1774</v>
      </c>
      <c r="E1046" s="32">
        <f>INDEX(OperatingFunds!$C$122:$AAF$130,ROW(OperatingFunds!$A$9),ROW(OperatingFunds!A$27))</f>
        <v>10944.856659999999</v>
      </c>
    </row>
    <row r="1047" spans="1:5">
      <c r="A1047" t="str">
        <f>RIGHT(OperatingFunds!$AE$6,4)</f>
        <v>2018</v>
      </c>
      <c r="B1047" t="str">
        <f>+OperatingFunds!$A$8</f>
        <v>360</v>
      </c>
      <c r="C1047" t="s">
        <v>1763</v>
      </c>
      <c r="D1047" t="s">
        <v>1774</v>
      </c>
      <c r="E1047" s="32">
        <f>INDEX(OperatingFunds!$C$122:$AAF$130,ROW(OperatingFunds!$A$1),ROW(OperatingFunds!A$28))</f>
        <v>12912</v>
      </c>
    </row>
    <row r="1048" spans="1:5">
      <c r="A1048" t="str">
        <f>RIGHT(OperatingFunds!$AE$6,4)</f>
        <v>2018</v>
      </c>
      <c r="B1048" t="str">
        <f>+OperatingFunds!$A$9</f>
        <v>365</v>
      </c>
      <c r="C1048" t="s">
        <v>1763</v>
      </c>
      <c r="D1048" t="s">
        <v>1774</v>
      </c>
      <c r="E1048" s="32">
        <f>INDEX(OperatingFunds!$C$122:$AAF$130,ROW(OperatingFunds!$A$2),ROW(OperatingFunds!A$28))</f>
        <v>5058.0234800000007</v>
      </c>
    </row>
    <row r="1049" spans="1:5">
      <c r="A1049" t="str">
        <f>RIGHT(OperatingFunds!$AE$6,4)</f>
        <v>2018</v>
      </c>
      <c r="B1049" t="str">
        <f>+OperatingFunds!$A$10</f>
        <v>370</v>
      </c>
      <c r="C1049" t="s">
        <v>1763</v>
      </c>
      <c r="D1049" t="s">
        <v>1774</v>
      </c>
      <c r="E1049" s="32">
        <f>INDEX(OperatingFunds!$C$122:$AAF$130,ROW(OperatingFunds!$A$3),ROW(OperatingFunds!A$28))</f>
        <v>1108.5</v>
      </c>
    </row>
    <row r="1050" spans="1:5">
      <c r="A1050" t="str">
        <f>RIGHT(OperatingFunds!$AE$6,4)</f>
        <v>2018</v>
      </c>
      <c r="B1050" t="str">
        <f>+OperatingFunds!$A$11</f>
        <v>375</v>
      </c>
      <c r="C1050" t="s">
        <v>1763</v>
      </c>
      <c r="D1050" t="s">
        <v>1774</v>
      </c>
      <c r="E1050" s="32">
        <f>INDEX(OperatingFunds!$C$122:$AAF$130,ROW(OperatingFunds!$A$4),ROW(OperatingFunds!A$28))</f>
        <v>1211</v>
      </c>
    </row>
    <row r="1051" spans="1:5">
      <c r="A1051" t="str">
        <f>RIGHT(OperatingFunds!$AE$6,4)</f>
        <v>2018</v>
      </c>
      <c r="B1051" t="str">
        <f>+OperatingFunds!$A$12</f>
        <v>376</v>
      </c>
      <c r="C1051" t="s">
        <v>1763</v>
      </c>
      <c r="D1051" t="s">
        <v>1774</v>
      </c>
      <c r="E1051" s="32">
        <f>INDEX(OperatingFunds!$C$122:$AAF$130,ROW(OperatingFunds!$A$5),ROW(OperatingFunds!A$28))</f>
        <v>25.370750000000001</v>
      </c>
    </row>
    <row r="1052" spans="1:5">
      <c r="A1052" t="str">
        <f>RIGHT(OperatingFunds!$AE$6,4)</f>
        <v>2018</v>
      </c>
      <c r="B1052" t="str">
        <f>+OperatingFunds!$A$13</f>
        <v>380</v>
      </c>
      <c r="C1052" t="s">
        <v>1763</v>
      </c>
      <c r="D1052" t="s">
        <v>1774</v>
      </c>
      <c r="E1052" s="32">
        <f>INDEX(OperatingFunds!$C$122:$AAF$130,ROW(OperatingFunds!$A$6),ROW(OperatingFunds!A$28))</f>
        <v>1807</v>
      </c>
    </row>
    <row r="1053" spans="1:5">
      <c r="A1053" t="str">
        <f>RIGHT(OperatingFunds!$AE$6,4)</f>
        <v>2018</v>
      </c>
      <c r="B1053" t="str">
        <f>+OperatingFunds!$A$16</f>
        <v>699</v>
      </c>
      <c r="C1053" t="s">
        <v>1763</v>
      </c>
      <c r="D1053" t="s">
        <v>1774</v>
      </c>
      <c r="E1053" s="32">
        <f>INDEX(OperatingFunds!$C$122:$AAF$130,ROW(OperatingFunds!$A$9),ROW(OperatingFunds!A$28))</f>
        <v>11643.751399999999</v>
      </c>
    </row>
    <row r="1054" spans="1:5">
      <c r="A1054" t="str">
        <f>RIGHT(OperatingFunds!$AL$6,4)</f>
        <v>2025</v>
      </c>
      <c r="B1054" t="str">
        <f>+OperatingFunds!$A$8</f>
        <v>360</v>
      </c>
      <c r="C1054" t="s">
        <v>1764</v>
      </c>
      <c r="D1054" t="s">
        <v>1775</v>
      </c>
      <c r="E1054" s="32">
        <f>INDEX(OperatingFunds!$C$122:$AAF$130,ROW(OperatingFunds!$A$1),ROW(OperatingFunds!A$29))</f>
        <v>12912.5</v>
      </c>
    </row>
    <row r="1055" spans="1:5">
      <c r="A1055" t="str">
        <f>RIGHT(OperatingFunds!$AL$6,4)</f>
        <v>2025</v>
      </c>
      <c r="B1055" t="str">
        <f>+OperatingFunds!$A$9</f>
        <v>365</v>
      </c>
      <c r="C1055" t="s">
        <v>1764</v>
      </c>
      <c r="D1055" t="s">
        <v>1775</v>
      </c>
      <c r="E1055" s="32">
        <f>INDEX(OperatingFunds!$C$122:$AAF$130,ROW(OperatingFunds!$A$2),ROW(OperatingFunds!A$29))</f>
        <v>5057</v>
      </c>
    </row>
    <row r="1056" spans="1:5">
      <c r="A1056" t="str">
        <f>RIGHT(OperatingFunds!$AL$6,4)</f>
        <v>2025</v>
      </c>
      <c r="B1056" t="str">
        <f>+OperatingFunds!$A$10</f>
        <v>370</v>
      </c>
      <c r="C1056" t="s">
        <v>1764</v>
      </c>
      <c r="D1056" t="s">
        <v>1775</v>
      </c>
      <c r="E1056" s="32">
        <f>INDEX(OperatingFunds!$C$122:$AAF$130,ROW(OperatingFunds!$A$3),ROW(OperatingFunds!A$29))</f>
        <v>1108.5</v>
      </c>
    </row>
    <row r="1057" spans="1:5">
      <c r="A1057" t="str">
        <f>RIGHT(OperatingFunds!$AL$6,4)</f>
        <v>2025</v>
      </c>
      <c r="B1057" t="str">
        <f>+OperatingFunds!$A$11</f>
        <v>375</v>
      </c>
      <c r="C1057" t="s">
        <v>1764</v>
      </c>
      <c r="D1057" t="s">
        <v>1775</v>
      </c>
      <c r="E1057" s="32">
        <f>INDEX(OperatingFunds!$C$122:$AAF$130,ROW(OperatingFunds!$A$4),ROW(OperatingFunds!A$29))</f>
        <v>1211</v>
      </c>
    </row>
    <row r="1058" spans="1:5">
      <c r="A1058" t="str">
        <f>RIGHT(OperatingFunds!$AL$6,4)</f>
        <v>2025</v>
      </c>
      <c r="B1058" t="str">
        <f>+OperatingFunds!$A$12</f>
        <v>376</v>
      </c>
      <c r="C1058" t="s">
        <v>1764</v>
      </c>
      <c r="D1058" t="s">
        <v>1775</v>
      </c>
      <c r="E1058" s="32">
        <f>INDEX(OperatingFunds!$C$122:$AAF$130,ROW(OperatingFunds!$A$5),ROW(OperatingFunds!A$29))</f>
        <v>830</v>
      </c>
    </row>
    <row r="1059" spans="1:5">
      <c r="A1059" t="str">
        <f>RIGHT(OperatingFunds!$AL$6,4)</f>
        <v>2025</v>
      </c>
      <c r="B1059" t="str">
        <f>+OperatingFunds!$A$13</f>
        <v>380</v>
      </c>
      <c r="C1059" t="s">
        <v>1764</v>
      </c>
      <c r="D1059" t="s">
        <v>1775</v>
      </c>
      <c r="E1059" s="32">
        <f>INDEX(OperatingFunds!$C$122:$AAF$130,ROW(OperatingFunds!$A$6),ROW(OperatingFunds!A$29))</f>
        <v>2077</v>
      </c>
    </row>
    <row r="1060" spans="1:5">
      <c r="A1060" t="str">
        <f>RIGHT(OperatingFunds!$AL$6,4)</f>
        <v>2025</v>
      </c>
      <c r="B1060" t="str">
        <f>+OperatingFunds!$A$16</f>
        <v>699</v>
      </c>
      <c r="C1060" t="s">
        <v>1764</v>
      </c>
      <c r="D1060" t="s">
        <v>1775</v>
      </c>
      <c r="E1060" s="32">
        <f>INDEX(OperatingFunds!$C$122:$AAF$130,ROW(OperatingFunds!$A$9),ROW(OperatingFunds!A$29))</f>
        <v>11088.65307</v>
      </c>
    </row>
    <row r="1061" spans="1:5">
      <c r="A1061" t="str">
        <f>RIGHT(OperatingFunds!$M$6,4)</f>
        <v>2000</v>
      </c>
      <c r="B1061" t="str">
        <f>+OperatingFunds!$A$8</f>
        <v>360</v>
      </c>
      <c r="C1061" t="s">
        <v>1764</v>
      </c>
      <c r="D1061" t="s">
        <v>1776</v>
      </c>
      <c r="E1061" s="32">
        <f>INDEX(OperatingFunds!$C$141:$AAF$150,ROW(OperatingFunds!$A$1),ROW(OperatingFunds!A$11))</f>
        <v>5296.0886</v>
      </c>
    </row>
    <row r="1062" spans="1:5">
      <c r="A1062" t="str">
        <f>RIGHT(OperatingFunds!$M$6,4)</f>
        <v>2000</v>
      </c>
      <c r="B1062" t="str">
        <f>+OperatingFunds!$A$9</f>
        <v>365</v>
      </c>
      <c r="C1062" t="s">
        <v>1764</v>
      </c>
      <c r="D1062" t="s">
        <v>1776</v>
      </c>
      <c r="E1062" s="32">
        <f>INDEX(OperatingFunds!$C$141:$AAF$150,ROW(OperatingFunds!$A$2),ROW(OperatingFunds!A$11))</f>
        <v>0</v>
      </c>
    </row>
    <row r="1063" spans="1:5">
      <c r="A1063" t="str">
        <f>RIGHT(OperatingFunds!$M$6,4)</f>
        <v>2000</v>
      </c>
      <c r="B1063" t="str">
        <f>+OperatingFunds!$A$10</f>
        <v>370</v>
      </c>
      <c r="C1063" t="s">
        <v>1764</v>
      </c>
      <c r="D1063" t="s">
        <v>1776</v>
      </c>
      <c r="E1063" s="32">
        <f>INDEX(OperatingFunds!$C$141:$AAF$150,ROW(OperatingFunds!$A$3),ROW(OperatingFunds!A$11))</f>
        <v>0</v>
      </c>
    </row>
    <row r="1064" spans="1:5">
      <c r="A1064" t="str">
        <f>RIGHT(OperatingFunds!$M$6,4)</f>
        <v>2000</v>
      </c>
      <c r="B1064" t="str">
        <f>+OperatingFunds!$A$11</f>
        <v>375</v>
      </c>
      <c r="C1064" t="s">
        <v>1764</v>
      </c>
      <c r="D1064" t="s">
        <v>1776</v>
      </c>
      <c r="E1064" s="32">
        <f>INDEX(OperatingFunds!$C$141:$AAF$150,ROW(OperatingFunds!$A$4),ROW(OperatingFunds!A$11))</f>
        <v>0</v>
      </c>
    </row>
    <row r="1065" spans="1:5">
      <c r="A1065" t="str">
        <f>RIGHT(OperatingFunds!$M$6,4)</f>
        <v>2000</v>
      </c>
      <c r="B1065" t="str">
        <f>+OperatingFunds!$A$12</f>
        <v>376</v>
      </c>
      <c r="C1065" t="s">
        <v>1764</v>
      </c>
      <c r="D1065" t="s">
        <v>1776</v>
      </c>
      <c r="E1065" s="32">
        <f>INDEX(OperatingFunds!$C$141:$AAF$150,ROW(OperatingFunds!$A$5),ROW(OperatingFunds!A$11))</f>
        <v>0</v>
      </c>
    </row>
    <row r="1066" spans="1:5">
      <c r="A1066" t="str">
        <f>RIGHT(OperatingFunds!$M$6,4)</f>
        <v>2000</v>
      </c>
      <c r="B1066" t="str">
        <f>+OperatingFunds!$A$13</f>
        <v>380</v>
      </c>
      <c r="C1066" t="s">
        <v>1764</v>
      </c>
      <c r="D1066" t="s">
        <v>1776</v>
      </c>
      <c r="E1066" s="32">
        <f>INDEX(OperatingFunds!$C$141:$AAF$150,ROW(OperatingFunds!$A$6),ROW(OperatingFunds!A$11))</f>
        <v>0</v>
      </c>
    </row>
    <row r="1067" spans="1:5">
      <c r="A1067" t="str">
        <f>RIGHT(OperatingFunds!$M$6,4)</f>
        <v>2000</v>
      </c>
      <c r="B1067" t="str">
        <f>+OperatingFunds!$A$16</f>
        <v>699</v>
      </c>
      <c r="C1067" t="s">
        <v>1764</v>
      </c>
      <c r="D1067" t="s">
        <v>1776</v>
      </c>
      <c r="E1067" s="32">
        <f>INDEX(OperatingFunds!$C$141:$AAF$150,ROW(OperatingFunds!$A$9),ROW(OperatingFunds!A$11))</f>
        <v>0</v>
      </c>
    </row>
    <row r="1068" spans="1:5">
      <c r="A1068" t="str">
        <f>RIGHT(OperatingFunds!$M$6,4)</f>
        <v>2000</v>
      </c>
      <c r="B1068" t="str">
        <f>+OperatingFunds!$A$17</f>
        <v>340</v>
      </c>
      <c r="C1068" t="s">
        <v>1764</v>
      </c>
      <c r="D1068" t="s">
        <v>1776</v>
      </c>
      <c r="E1068" s="32">
        <f>INDEX(OperatingFunds!$C$141:$AAF$150,ROW(OperatingFunds!$A$10),ROW(OperatingFunds!A$11))</f>
        <v>0</v>
      </c>
    </row>
    <row r="1069" spans="1:5">
      <c r="A1069" t="str">
        <f>MID(OperatingFunds!$N$6,3,4)</f>
        <v>2001</v>
      </c>
      <c r="B1069" t="str">
        <f>+OperatingFunds!$A$8</f>
        <v>360</v>
      </c>
      <c r="C1069" t="s">
        <v>1764</v>
      </c>
      <c r="D1069" t="s">
        <v>1776</v>
      </c>
      <c r="E1069" s="32">
        <f>INDEX(OperatingFunds!$C$141:$AAF$150,ROW(OperatingFunds!$A$1),ROW(OperatingFunds!A$12))</f>
        <v>6298.9114</v>
      </c>
    </row>
    <row r="1070" spans="1:5">
      <c r="A1070" t="str">
        <f>MID(OperatingFunds!$N$6,3,4)</f>
        <v>2001</v>
      </c>
      <c r="B1070" t="str">
        <f>+OperatingFunds!$A$9</f>
        <v>365</v>
      </c>
      <c r="C1070" t="s">
        <v>1764</v>
      </c>
      <c r="D1070" t="s">
        <v>1776</v>
      </c>
      <c r="E1070" s="32">
        <f>INDEX(OperatingFunds!$C$141:$AAF$150,ROW(OperatingFunds!$A$2),ROW(OperatingFunds!A$12))</f>
        <v>0</v>
      </c>
    </row>
    <row r="1071" spans="1:5">
      <c r="A1071" t="str">
        <f>MID(OperatingFunds!$N$6,3,4)</f>
        <v>2001</v>
      </c>
      <c r="B1071" t="str">
        <f>+OperatingFunds!$A$10</f>
        <v>370</v>
      </c>
      <c r="C1071" t="s">
        <v>1764</v>
      </c>
      <c r="D1071" t="s">
        <v>1776</v>
      </c>
      <c r="E1071" s="32">
        <f>INDEX(OperatingFunds!$C$141:$AAF$150,ROW(OperatingFunds!$A$3),ROW(OperatingFunds!A$12))</f>
        <v>0</v>
      </c>
    </row>
    <row r="1072" spans="1:5">
      <c r="A1072" t="str">
        <f>MID(OperatingFunds!$N$6,3,4)</f>
        <v>2001</v>
      </c>
      <c r="B1072" t="str">
        <f>+OperatingFunds!$A$11</f>
        <v>375</v>
      </c>
      <c r="C1072" t="s">
        <v>1764</v>
      </c>
      <c r="D1072" t="s">
        <v>1776</v>
      </c>
      <c r="E1072" s="32">
        <f>INDEX(OperatingFunds!$C$141:$AAF$150,ROW(OperatingFunds!$A$4),ROW(OperatingFunds!A$12))</f>
        <v>0</v>
      </c>
    </row>
    <row r="1073" spans="1:5">
      <c r="A1073" t="str">
        <f>MID(OperatingFunds!$N$6,3,4)</f>
        <v>2001</v>
      </c>
      <c r="B1073" t="str">
        <f>+OperatingFunds!$A$12</f>
        <v>376</v>
      </c>
      <c r="C1073" t="s">
        <v>1764</v>
      </c>
      <c r="D1073" t="s">
        <v>1776</v>
      </c>
      <c r="E1073" s="32">
        <f>INDEX(OperatingFunds!$C$141:$AAF$150,ROW(OperatingFunds!$A$5),ROW(OperatingFunds!A$12))</f>
        <v>0</v>
      </c>
    </row>
    <row r="1074" spans="1:5">
      <c r="A1074" t="str">
        <f>MID(OperatingFunds!$N$6,3,4)</f>
        <v>2001</v>
      </c>
      <c r="B1074" t="str">
        <f>+OperatingFunds!$A$13</f>
        <v>380</v>
      </c>
      <c r="C1074" t="s">
        <v>1764</v>
      </c>
      <c r="D1074" t="s">
        <v>1776</v>
      </c>
      <c r="E1074" s="32">
        <f>INDEX(OperatingFunds!$C$141:$AAF$150,ROW(OperatingFunds!$A$6),ROW(OperatingFunds!A$12))</f>
        <v>0</v>
      </c>
    </row>
    <row r="1075" spans="1:5">
      <c r="A1075" t="str">
        <f>MID(OperatingFunds!$N$6,3,4)</f>
        <v>2001</v>
      </c>
      <c r="B1075" t="str">
        <f>+OperatingFunds!$A$16</f>
        <v>699</v>
      </c>
      <c r="C1075" t="s">
        <v>1764</v>
      </c>
      <c r="D1075" t="s">
        <v>1776</v>
      </c>
      <c r="E1075" s="32">
        <f>INDEX(OperatingFunds!$C$141:$AAF$150,ROW(OperatingFunds!$A$9),ROW(OperatingFunds!A$12))</f>
        <v>0</v>
      </c>
    </row>
    <row r="1076" spans="1:5">
      <c r="A1076" t="str">
        <f>MID(OperatingFunds!$N$6,3,4)</f>
        <v>2001</v>
      </c>
      <c r="B1076" t="str">
        <f>+OperatingFunds!$A$17</f>
        <v>340</v>
      </c>
      <c r="C1076" t="s">
        <v>1764</v>
      </c>
      <c r="D1076" t="s">
        <v>1776</v>
      </c>
      <c r="E1076" s="32">
        <f>INDEX(OperatingFunds!$C$141:$AAF$150,ROW(OperatingFunds!$A$10),ROW(OperatingFunds!A$12))</f>
        <v>0</v>
      </c>
    </row>
    <row r="1077" spans="1:5">
      <c r="A1077" t="str">
        <f>RIGHT(OperatingFunds!$O$6,4)</f>
        <v>2002</v>
      </c>
      <c r="B1077" t="str">
        <f>+OperatingFunds!$A$8</f>
        <v>360</v>
      </c>
      <c r="C1077" t="s">
        <v>1764</v>
      </c>
      <c r="D1077" t="s">
        <v>1776</v>
      </c>
      <c r="E1077" s="32">
        <f>INDEX(OperatingFunds!$C$141:$AAF$150,ROW(OperatingFunds!$A$1),ROW(OperatingFunds!A$13))</f>
        <v>5800.3806600000007</v>
      </c>
    </row>
    <row r="1078" spans="1:5">
      <c r="A1078" t="str">
        <f>RIGHT(OperatingFunds!$O$6,4)</f>
        <v>2002</v>
      </c>
      <c r="B1078" t="str">
        <f>+OperatingFunds!$A$9</f>
        <v>365</v>
      </c>
      <c r="C1078" t="s">
        <v>1764</v>
      </c>
      <c r="D1078" t="s">
        <v>1776</v>
      </c>
      <c r="E1078" s="32">
        <f>INDEX(OperatingFunds!$C$141:$AAF$150,ROW(OperatingFunds!$A$2),ROW(OperatingFunds!A$13))</f>
        <v>0</v>
      </c>
    </row>
    <row r="1079" spans="1:5">
      <c r="A1079" t="str">
        <f>RIGHT(OperatingFunds!$O$6,4)</f>
        <v>2002</v>
      </c>
      <c r="B1079" t="str">
        <f>+OperatingFunds!$A$10</f>
        <v>370</v>
      </c>
      <c r="C1079" t="s">
        <v>1764</v>
      </c>
      <c r="D1079" t="s">
        <v>1776</v>
      </c>
      <c r="E1079" s="32">
        <f>INDEX(OperatingFunds!$C$141:$AAF$150,ROW(OperatingFunds!$A$3),ROW(OperatingFunds!A$13))</f>
        <v>0</v>
      </c>
    </row>
    <row r="1080" spans="1:5">
      <c r="A1080" t="str">
        <f>RIGHT(OperatingFunds!$O$6,4)</f>
        <v>2002</v>
      </c>
      <c r="B1080" t="str">
        <f>+OperatingFunds!$A$11</f>
        <v>375</v>
      </c>
      <c r="C1080" t="s">
        <v>1764</v>
      </c>
      <c r="D1080" t="s">
        <v>1776</v>
      </c>
      <c r="E1080" s="32">
        <f>INDEX(OperatingFunds!$C$141:$AAF$150,ROW(OperatingFunds!$A$4),ROW(OperatingFunds!A$13))</f>
        <v>0</v>
      </c>
    </row>
    <row r="1081" spans="1:5">
      <c r="A1081" t="str">
        <f>RIGHT(OperatingFunds!$O$6,4)</f>
        <v>2002</v>
      </c>
      <c r="B1081" t="str">
        <f>+OperatingFunds!$A$12</f>
        <v>376</v>
      </c>
      <c r="C1081" t="s">
        <v>1764</v>
      </c>
      <c r="D1081" t="s">
        <v>1776</v>
      </c>
      <c r="E1081" s="32">
        <f>INDEX(OperatingFunds!$C$141:$AAF$150,ROW(OperatingFunds!$A$5),ROW(OperatingFunds!A$13))</f>
        <v>0</v>
      </c>
    </row>
    <row r="1082" spans="1:5">
      <c r="A1082" t="str">
        <f>RIGHT(OperatingFunds!$O$6,4)</f>
        <v>2002</v>
      </c>
      <c r="B1082" t="str">
        <f>+OperatingFunds!$A$13</f>
        <v>380</v>
      </c>
      <c r="C1082" t="s">
        <v>1764</v>
      </c>
      <c r="D1082" t="s">
        <v>1776</v>
      </c>
      <c r="E1082" s="32">
        <f>INDEX(OperatingFunds!$C$141:$AAF$150,ROW(OperatingFunds!$A$6),ROW(OperatingFunds!A$13))</f>
        <v>0</v>
      </c>
    </row>
    <row r="1083" spans="1:5">
      <c r="A1083" t="str">
        <f>RIGHT(OperatingFunds!$O$6,4)</f>
        <v>2002</v>
      </c>
      <c r="B1083" t="str">
        <f>+OperatingFunds!$A$16</f>
        <v>699</v>
      </c>
      <c r="C1083" t="s">
        <v>1764</v>
      </c>
      <c r="D1083" t="s">
        <v>1776</v>
      </c>
      <c r="E1083" s="32">
        <f>INDEX(OperatingFunds!$C$141:$AAF$150,ROW(OperatingFunds!$A$9),ROW(OperatingFunds!A$13))</f>
        <v>0</v>
      </c>
    </row>
    <row r="1084" spans="1:5">
      <c r="A1084" t="str">
        <f>RIGHT(OperatingFunds!$O$6,4)</f>
        <v>2002</v>
      </c>
      <c r="B1084" t="str">
        <f>+OperatingFunds!$A$17</f>
        <v>340</v>
      </c>
      <c r="C1084" t="s">
        <v>1764</v>
      </c>
      <c r="D1084" t="s">
        <v>1776</v>
      </c>
      <c r="E1084" s="32">
        <f>INDEX(OperatingFunds!$C$141:$AAF$150,ROW(OperatingFunds!$A$10),ROW(OperatingFunds!A$13))</f>
        <v>0</v>
      </c>
    </row>
    <row r="1085" spans="1:5">
      <c r="A1085" t="str">
        <f>RIGHT(OperatingFunds!$P$6,4)</f>
        <v>2003</v>
      </c>
      <c r="B1085" t="str">
        <f>+OperatingFunds!$A$8</f>
        <v>360</v>
      </c>
      <c r="C1085" t="s">
        <v>1764</v>
      </c>
      <c r="D1085" t="s">
        <v>1776</v>
      </c>
      <c r="E1085" s="32">
        <f>INDEX(OperatingFunds!$C$141:$AAF$150,ROW(OperatingFunds!$A$1),ROW(OperatingFunds!A$14))</f>
        <v>7120.6193400000002</v>
      </c>
    </row>
    <row r="1086" spans="1:5">
      <c r="A1086" t="str">
        <f>RIGHT(OperatingFunds!$P$6,4)</f>
        <v>2003</v>
      </c>
      <c r="B1086" t="str">
        <f>+OperatingFunds!$A$9</f>
        <v>365</v>
      </c>
      <c r="C1086" t="s">
        <v>1764</v>
      </c>
      <c r="D1086" t="s">
        <v>1776</v>
      </c>
      <c r="E1086" s="32">
        <f>INDEX(OperatingFunds!$C$141:$AAF$150,ROW(OperatingFunds!$A$2),ROW(OperatingFunds!A$14))</f>
        <v>0</v>
      </c>
    </row>
    <row r="1087" spans="1:5">
      <c r="A1087" t="str">
        <f>RIGHT(OperatingFunds!$P$6,4)</f>
        <v>2003</v>
      </c>
      <c r="B1087" t="str">
        <f>+OperatingFunds!$A$10</f>
        <v>370</v>
      </c>
      <c r="C1087" t="s">
        <v>1764</v>
      </c>
      <c r="D1087" t="s">
        <v>1776</v>
      </c>
      <c r="E1087" s="32">
        <f>INDEX(OperatingFunds!$C$141:$AAF$150,ROW(OperatingFunds!$A$3),ROW(OperatingFunds!A$14))</f>
        <v>0</v>
      </c>
    </row>
    <row r="1088" spans="1:5">
      <c r="A1088" t="str">
        <f>RIGHT(OperatingFunds!$P$6,4)</f>
        <v>2003</v>
      </c>
      <c r="B1088" t="str">
        <f>+OperatingFunds!$A$11</f>
        <v>375</v>
      </c>
      <c r="C1088" t="s">
        <v>1764</v>
      </c>
      <c r="D1088" t="s">
        <v>1776</v>
      </c>
      <c r="E1088" s="32">
        <f>INDEX(OperatingFunds!$C$141:$AAF$150,ROW(OperatingFunds!$A$4),ROW(OperatingFunds!A$14))</f>
        <v>0</v>
      </c>
    </row>
    <row r="1089" spans="1:5">
      <c r="A1089" t="str">
        <f>RIGHT(OperatingFunds!$P$6,4)</f>
        <v>2003</v>
      </c>
      <c r="B1089" t="str">
        <f>+OperatingFunds!$A$12</f>
        <v>376</v>
      </c>
      <c r="C1089" t="s">
        <v>1764</v>
      </c>
      <c r="D1089" t="s">
        <v>1776</v>
      </c>
      <c r="E1089" s="32">
        <f>INDEX(OperatingFunds!$C$141:$AAF$150,ROW(OperatingFunds!$A$5),ROW(OperatingFunds!A$14))</f>
        <v>0</v>
      </c>
    </row>
    <row r="1090" spans="1:5">
      <c r="A1090" t="str">
        <f>RIGHT(OperatingFunds!$P$6,4)</f>
        <v>2003</v>
      </c>
      <c r="B1090" t="str">
        <f>+OperatingFunds!$A$13</f>
        <v>380</v>
      </c>
      <c r="C1090" t="s">
        <v>1764</v>
      </c>
      <c r="D1090" t="s">
        <v>1776</v>
      </c>
      <c r="E1090" s="32">
        <f>INDEX(OperatingFunds!$C$141:$AAF$150,ROW(OperatingFunds!$A$6),ROW(OperatingFunds!A$14))</f>
        <v>0</v>
      </c>
    </row>
    <row r="1091" spans="1:5">
      <c r="A1091" t="str">
        <f>RIGHT(OperatingFunds!$P$6,4)</f>
        <v>2003</v>
      </c>
      <c r="B1091" t="str">
        <f>+OperatingFunds!$A$16</f>
        <v>699</v>
      </c>
      <c r="C1091" t="s">
        <v>1764</v>
      </c>
      <c r="D1091" t="s">
        <v>1776</v>
      </c>
      <c r="E1091" s="32">
        <f>INDEX(OperatingFunds!$C$141:$AAF$150,ROW(OperatingFunds!$A$9),ROW(OperatingFunds!A$14))</f>
        <v>0</v>
      </c>
    </row>
    <row r="1092" spans="1:5">
      <c r="A1092" t="str">
        <f>RIGHT(OperatingFunds!$P$6,4)</f>
        <v>2003</v>
      </c>
      <c r="B1092" t="str">
        <f>+OperatingFunds!$A$17</f>
        <v>340</v>
      </c>
      <c r="C1092" t="s">
        <v>1764</v>
      </c>
      <c r="D1092" t="s">
        <v>1776</v>
      </c>
      <c r="E1092" s="32">
        <f>INDEX(OperatingFunds!$C$141:$AAF$150,ROW(OperatingFunds!$A$10),ROW(OperatingFunds!A$14))</f>
        <v>0</v>
      </c>
    </row>
    <row r="1093" spans="1:5">
      <c r="A1093" t="str">
        <f>MID(OperatingFunds!$Q$6,3,4)</f>
        <v>2004</v>
      </c>
      <c r="B1093" t="str">
        <f>+OperatingFunds!$A$8</f>
        <v>360</v>
      </c>
      <c r="C1093" t="s">
        <v>1764</v>
      </c>
      <c r="D1093" t="s">
        <v>1776</v>
      </c>
      <c r="E1093" s="32">
        <f>INDEX(OperatingFunds!$C$141:$AAF$150,ROW(OperatingFunds!$A$1),ROW(OperatingFunds!A$15))</f>
        <v>5873.9603799999995</v>
      </c>
    </row>
    <row r="1094" spans="1:5">
      <c r="A1094" t="str">
        <f>MID(OperatingFunds!$Q$6,3,4)</f>
        <v>2004</v>
      </c>
      <c r="B1094" t="str">
        <f>+OperatingFunds!$A$9</f>
        <v>365</v>
      </c>
      <c r="C1094" t="s">
        <v>1764</v>
      </c>
      <c r="D1094" t="s">
        <v>1776</v>
      </c>
      <c r="E1094" s="32">
        <f>INDEX(OperatingFunds!$C$141:$AAF$150,ROW(OperatingFunds!$A$2),ROW(OperatingFunds!A$15))</f>
        <v>0</v>
      </c>
    </row>
    <row r="1095" spans="1:5">
      <c r="A1095" t="str">
        <f>MID(OperatingFunds!$Q$6,3,4)</f>
        <v>2004</v>
      </c>
      <c r="B1095" t="str">
        <f>+OperatingFunds!$A$10</f>
        <v>370</v>
      </c>
      <c r="C1095" t="s">
        <v>1764</v>
      </c>
      <c r="D1095" t="s">
        <v>1776</v>
      </c>
      <c r="E1095" s="32">
        <f>INDEX(OperatingFunds!$C$141:$AAF$150,ROW(OperatingFunds!$A$3),ROW(OperatingFunds!A$15))</f>
        <v>0</v>
      </c>
    </row>
    <row r="1096" spans="1:5">
      <c r="A1096" t="str">
        <f>MID(OperatingFunds!$Q$6,3,4)</f>
        <v>2004</v>
      </c>
      <c r="B1096" t="str">
        <f>+OperatingFunds!$A$11</f>
        <v>375</v>
      </c>
      <c r="C1096" t="s">
        <v>1764</v>
      </c>
      <c r="D1096" t="s">
        <v>1776</v>
      </c>
      <c r="E1096" s="32">
        <f>INDEX(OperatingFunds!$C$141:$AAF$150,ROW(OperatingFunds!$A$4),ROW(OperatingFunds!A$15))</f>
        <v>0</v>
      </c>
    </row>
    <row r="1097" spans="1:5">
      <c r="A1097" t="str">
        <f>MID(OperatingFunds!$Q$6,3,4)</f>
        <v>2004</v>
      </c>
      <c r="B1097" t="str">
        <f>+OperatingFunds!$A$12</f>
        <v>376</v>
      </c>
      <c r="C1097" t="s">
        <v>1764</v>
      </c>
      <c r="D1097" t="s">
        <v>1776</v>
      </c>
      <c r="E1097" s="32">
        <f>INDEX(OperatingFunds!$C$141:$AAF$150,ROW(OperatingFunds!$A$5),ROW(OperatingFunds!A$15))</f>
        <v>0</v>
      </c>
    </row>
    <row r="1098" spans="1:5">
      <c r="A1098" t="str">
        <f>MID(OperatingFunds!$Q$6,3,4)</f>
        <v>2004</v>
      </c>
      <c r="B1098" t="str">
        <f>+OperatingFunds!$A$13</f>
        <v>380</v>
      </c>
      <c r="C1098" t="s">
        <v>1764</v>
      </c>
      <c r="D1098" t="s">
        <v>1776</v>
      </c>
      <c r="E1098" s="32">
        <f>INDEX(OperatingFunds!$C$141:$AAF$150,ROW(OperatingFunds!$A$6),ROW(OperatingFunds!A$15))</f>
        <v>0</v>
      </c>
    </row>
    <row r="1099" spans="1:5">
      <c r="A1099" t="str">
        <f>MID(OperatingFunds!$Q$6,3,4)</f>
        <v>2004</v>
      </c>
      <c r="B1099" t="str">
        <f>+OperatingFunds!$A$16</f>
        <v>699</v>
      </c>
      <c r="C1099" t="s">
        <v>1764</v>
      </c>
      <c r="D1099" t="s">
        <v>1776</v>
      </c>
      <c r="E1099" s="32">
        <f>INDEX(OperatingFunds!$C$141:$AAF$150,ROW(OperatingFunds!$A$9),ROW(OperatingFunds!A$15))</f>
        <v>0</v>
      </c>
    </row>
    <row r="1100" spans="1:5">
      <c r="A1100" t="str">
        <f>MID(OperatingFunds!$Q$6,3,4)</f>
        <v>2004</v>
      </c>
      <c r="B1100" t="str">
        <f>+OperatingFunds!$A$17</f>
        <v>340</v>
      </c>
      <c r="C1100" t="s">
        <v>1764</v>
      </c>
      <c r="D1100" t="s">
        <v>1776</v>
      </c>
      <c r="E1100" s="32">
        <f>INDEX(OperatingFunds!$C$141:$AAF$150,ROW(OperatingFunds!$A$10),ROW(OperatingFunds!A$15))</f>
        <v>0</v>
      </c>
    </row>
    <row r="1101" spans="1:5">
      <c r="A1101" t="str">
        <f>MID(OperatingFunds!$R$6,3,4)</f>
        <v>2005</v>
      </c>
      <c r="B1101" t="str">
        <f>+OperatingFunds!$A$8</f>
        <v>360</v>
      </c>
      <c r="C1101" t="s">
        <v>1764</v>
      </c>
      <c r="D1101" t="s">
        <v>1776</v>
      </c>
      <c r="E1101" s="32">
        <f>INDEX(OperatingFunds!$C$141:$AAF$150,ROW(OperatingFunds!$A$1),ROW(OperatingFunds!A$16))</f>
        <v>6013.7756200000013</v>
      </c>
    </row>
    <row r="1102" spans="1:5">
      <c r="A1102" t="str">
        <f>MID(OperatingFunds!$R$6,3,4)</f>
        <v>2005</v>
      </c>
      <c r="B1102" t="str">
        <f>+OperatingFunds!$A$9</f>
        <v>365</v>
      </c>
      <c r="C1102" t="s">
        <v>1764</v>
      </c>
      <c r="D1102" t="s">
        <v>1776</v>
      </c>
      <c r="E1102" s="32">
        <f>INDEX(OperatingFunds!$C$141:$AAF$150,ROW(OperatingFunds!$A$2),ROW(OperatingFunds!A$16))</f>
        <v>150</v>
      </c>
    </row>
    <row r="1103" spans="1:5">
      <c r="A1103" t="str">
        <f>MID(OperatingFunds!$R$6,3,4)</f>
        <v>2005</v>
      </c>
      <c r="B1103" t="str">
        <f>+OperatingFunds!$A$10</f>
        <v>370</v>
      </c>
      <c r="C1103" t="s">
        <v>1764</v>
      </c>
      <c r="D1103" t="s">
        <v>1776</v>
      </c>
      <c r="E1103" s="32">
        <f>INDEX(OperatingFunds!$C$141:$AAF$150,ROW(OperatingFunds!$A$3),ROW(OperatingFunds!A$16))</f>
        <v>0</v>
      </c>
    </row>
    <row r="1104" spans="1:5">
      <c r="A1104" t="str">
        <f>MID(OperatingFunds!$R$6,3,4)</f>
        <v>2005</v>
      </c>
      <c r="B1104" t="str">
        <f>+OperatingFunds!$A$11</f>
        <v>375</v>
      </c>
      <c r="C1104" t="s">
        <v>1764</v>
      </c>
      <c r="D1104" t="s">
        <v>1776</v>
      </c>
      <c r="E1104" s="32">
        <f>INDEX(OperatingFunds!$C$141:$AAF$150,ROW(OperatingFunds!$A$4),ROW(OperatingFunds!A$16))</f>
        <v>0</v>
      </c>
    </row>
    <row r="1105" spans="1:5">
      <c r="A1105" t="str">
        <f>MID(OperatingFunds!$R$6,3,4)</f>
        <v>2005</v>
      </c>
      <c r="B1105" t="str">
        <f>+OperatingFunds!$A$12</f>
        <v>376</v>
      </c>
      <c r="C1105" t="s">
        <v>1764</v>
      </c>
      <c r="D1105" t="s">
        <v>1776</v>
      </c>
      <c r="E1105" s="32">
        <f>INDEX(OperatingFunds!$C$141:$AAF$150,ROW(OperatingFunds!$A$5),ROW(OperatingFunds!A$16))</f>
        <v>0</v>
      </c>
    </row>
    <row r="1106" spans="1:5">
      <c r="A1106" t="str">
        <f>MID(OperatingFunds!$R$6,3,4)</f>
        <v>2005</v>
      </c>
      <c r="B1106" t="str">
        <f>+OperatingFunds!$A$13</f>
        <v>380</v>
      </c>
      <c r="C1106" t="s">
        <v>1764</v>
      </c>
      <c r="D1106" t="s">
        <v>1776</v>
      </c>
      <c r="E1106" s="32">
        <f>INDEX(OperatingFunds!$C$141:$AAF$150,ROW(OperatingFunds!$A$6),ROW(OperatingFunds!A$16))</f>
        <v>0</v>
      </c>
    </row>
    <row r="1107" spans="1:5">
      <c r="A1107" t="str">
        <f>MID(OperatingFunds!$R$6,3,4)</f>
        <v>2005</v>
      </c>
      <c r="B1107" t="str">
        <f>+OperatingFunds!$A$16</f>
        <v>699</v>
      </c>
      <c r="C1107" t="s">
        <v>1764</v>
      </c>
      <c r="D1107" t="s">
        <v>1776</v>
      </c>
      <c r="E1107" s="32">
        <f>INDEX(OperatingFunds!$C$141:$AAF$150,ROW(OperatingFunds!$A$9),ROW(OperatingFunds!A$16))</f>
        <v>0</v>
      </c>
    </row>
    <row r="1108" spans="1:5">
      <c r="A1108" t="str">
        <f>MID(OperatingFunds!$R$6,3,4)</f>
        <v>2005</v>
      </c>
      <c r="B1108" t="str">
        <f>+OperatingFunds!$A$17</f>
        <v>340</v>
      </c>
      <c r="C1108" t="s">
        <v>1764</v>
      </c>
      <c r="D1108" t="s">
        <v>1776</v>
      </c>
      <c r="E1108" s="32">
        <f>INDEX(OperatingFunds!$C$141:$AAF$150,ROW(OperatingFunds!$A$10),ROW(OperatingFunds!A$16))</f>
        <v>0</v>
      </c>
    </row>
    <row r="1109" spans="1:5">
      <c r="A1109" t="str">
        <f>RIGHT(OperatingFunds!$S$6,4)</f>
        <v>2006</v>
      </c>
      <c r="B1109" t="str">
        <f>+OperatingFunds!$A$8</f>
        <v>360</v>
      </c>
      <c r="C1109" t="s">
        <v>1764</v>
      </c>
      <c r="D1109" t="s">
        <v>1776</v>
      </c>
      <c r="E1109" s="32">
        <f>INDEX(OperatingFunds!$C$141:$AAF$150,ROW(OperatingFunds!$A$1),ROW(OperatingFunds!A$17))</f>
        <v>6057.4288399999996</v>
      </c>
    </row>
    <row r="1110" spans="1:5">
      <c r="A1110" t="str">
        <f>RIGHT(OperatingFunds!$S$6,4)</f>
        <v>2006</v>
      </c>
      <c r="B1110" t="str">
        <f>+OperatingFunds!$A$9</f>
        <v>365</v>
      </c>
      <c r="C1110" t="s">
        <v>1764</v>
      </c>
      <c r="D1110" t="s">
        <v>1776</v>
      </c>
      <c r="E1110" s="32">
        <f>INDEX(OperatingFunds!$C$141:$AAF$150,ROW(OperatingFunds!$A$2),ROW(OperatingFunds!A$17))</f>
        <v>0</v>
      </c>
    </row>
    <row r="1111" spans="1:5">
      <c r="A1111" t="str">
        <f>RIGHT(OperatingFunds!$S$6,4)</f>
        <v>2006</v>
      </c>
      <c r="B1111" t="str">
        <f>+OperatingFunds!$A$10</f>
        <v>370</v>
      </c>
      <c r="C1111" t="s">
        <v>1764</v>
      </c>
      <c r="D1111" t="s">
        <v>1776</v>
      </c>
      <c r="E1111" s="32">
        <f>INDEX(OperatingFunds!$C$141:$AAF$150,ROW(OperatingFunds!$A$3),ROW(OperatingFunds!A$17))</f>
        <v>0</v>
      </c>
    </row>
    <row r="1112" spans="1:5">
      <c r="A1112" t="str">
        <f>RIGHT(OperatingFunds!$S$6,4)</f>
        <v>2006</v>
      </c>
      <c r="B1112" t="str">
        <f>+OperatingFunds!$A$11</f>
        <v>375</v>
      </c>
      <c r="C1112" t="s">
        <v>1764</v>
      </c>
      <c r="D1112" t="s">
        <v>1776</v>
      </c>
      <c r="E1112" s="32">
        <f>INDEX(OperatingFunds!$C$141:$AAF$150,ROW(OperatingFunds!$A$4),ROW(OperatingFunds!A$17))</f>
        <v>0</v>
      </c>
    </row>
    <row r="1113" spans="1:5">
      <c r="A1113" t="str">
        <f>RIGHT(OperatingFunds!$S$6,4)</f>
        <v>2006</v>
      </c>
      <c r="B1113" t="str">
        <f>+OperatingFunds!$A$12</f>
        <v>376</v>
      </c>
      <c r="C1113" t="s">
        <v>1764</v>
      </c>
      <c r="D1113" t="s">
        <v>1776</v>
      </c>
      <c r="E1113" s="32">
        <f>INDEX(OperatingFunds!$C$141:$AAF$150,ROW(OperatingFunds!$A$5),ROW(OperatingFunds!A$17))</f>
        <v>0</v>
      </c>
    </row>
    <row r="1114" spans="1:5">
      <c r="A1114" t="str">
        <f>RIGHT(OperatingFunds!$S$6,4)</f>
        <v>2006</v>
      </c>
      <c r="B1114" t="str">
        <f>+OperatingFunds!$A$13</f>
        <v>380</v>
      </c>
      <c r="C1114" t="s">
        <v>1764</v>
      </c>
      <c r="D1114" t="s">
        <v>1776</v>
      </c>
      <c r="E1114" s="32">
        <f>INDEX(OperatingFunds!$C$141:$AAF$150,ROW(OperatingFunds!$A$6),ROW(OperatingFunds!A$17))</f>
        <v>0</v>
      </c>
    </row>
    <row r="1115" spans="1:5">
      <c r="A1115" t="str">
        <f>RIGHT(OperatingFunds!$S$6,4)</f>
        <v>2006</v>
      </c>
      <c r="B1115" t="str">
        <f>+OperatingFunds!$A$16</f>
        <v>699</v>
      </c>
      <c r="C1115" t="s">
        <v>1764</v>
      </c>
      <c r="D1115" t="s">
        <v>1776</v>
      </c>
      <c r="E1115" s="32">
        <f>INDEX(OperatingFunds!$C$141:$AAF$150,ROW(OperatingFunds!$A$9),ROW(OperatingFunds!A$17))</f>
        <v>0</v>
      </c>
    </row>
    <row r="1116" spans="1:5">
      <c r="A1116" t="str">
        <f>RIGHT(OperatingFunds!$S$6,4)</f>
        <v>2006</v>
      </c>
      <c r="B1116" t="str">
        <f>+OperatingFunds!$A$17</f>
        <v>340</v>
      </c>
      <c r="C1116" t="s">
        <v>1764</v>
      </c>
      <c r="D1116" t="s">
        <v>1776</v>
      </c>
      <c r="E1116" s="32">
        <f>INDEX(OperatingFunds!$C$141:$AAF$150,ROW(OperatingFunds!$A$10),ROW(OperatingFunds!A$17))</f>
        <v>0</v>
      </c>
    </row>
    <row r="1117" spans="1:5">
      <c r="A1117" t="str">
        <f>RIGHT(OperatingFunds!$T$6,4)</f>
        <v>2007</v>
      </c>
      <c r="B1117" t="str">
        <f>+OperatingFunds!$A$8</f>
        <v>360</v>
      </c>
      <c r="C1117" t="s">
        <v>1764</v>
      </c>
      <c r="D1117" t="s">
        <v>1776</v>
      </c>
      <c r="E1117" s="32">
        <f>INDEX(OperatingFunds!$C$141:$AAF$150,ROW(OperatingFunds!$A$1),ROW(OperatingFunds!A$18))</f>
        <v>6894.2282900000009</v>
      </c>
    </row>
    <row r="1118" spans="1:5">
      <c r="A1118" t="str">
        <f>RIGHT(OperatingFunds!$T$6,4)</f>
        <v>2007</v>
      </c>
      <c r="B1118" t="str">
        <f>+OperatingFunds!$A$9</f>
        <v>365</v>
      </c>
      <c r="C1118" t="s">
        <v>1764</v>
      </c>
      <c r="D1118" t="s">
        <v>1776</v>
      </c>
      <c r="E1118" s="32">
        <f>INDEX(OperatingFunds!$C$141:$AAF$150,ROW(OperatingFunds!$A$2),ROW(OperatingFunds!A$18))</f>
        <v>293</v>
      </c>
    </row>
    <row r="1119" spans="1:5">
      <c r="A1119" t="str">
        <f>RIGHT(OperatingFunds!$T$6,4)</f>
        <v>2007</v>
      </c>
      <c r="B1119" t="str">
        <f>+OperatingFunds!$A$10</f>
        <v>370</v>
      </c>
      <c r="C1119" t="s">
        <v>1764</v>
      </c>
      <c r="D1119" t="s">
        <v>1776</v>
      </c>
      <c r="E1119" s="32">
        <f>INDEX(OperatingFunds!$C$141:$AAF$150,ROW(OperatingFunds!$A$3),ROW(OperatingFunds!A$18))</f>
        <v>110</v>
      </c>
    </row>
    <row r="1120" spans="1:5">
      <c r="A1120" t="str">
        <f>RIGHT(OperatingFunds!$T$6,4)</f>
        <v>2007</v>
      </c>
      <c r="B1120" t="str">
        <f>+OperatingFunds!$A$11</f>
        <v>375</v>
      </c>
      <c r="C1120" t="s">
        <v>1764</v>
      </c>
      <c r="D1120" t="s">
        <v>1776</v>
      </c>
      <c r="E1120" s="32">
        <f>INDEX(OperatingFunds!$C$141:$AAF$150,ROW(OperatingFunds!$A$4),ROW(OperatingFunds!A$18))</f>
        <v>103</v>
      </c>
    </row>
    <row r="1121" spans="1:5">
      <c r="A1121" t="str">
        <f>RIGHT(OperatingFunds!$T$6,4)</f>
        <v>2007</v>
      </c>
      <c r="B1121" t="str">
        <f>+OperatingFunds!$A$12</f>
        <v>376</v>
      </c>
      <c r="C1121" t="s">
        <v>1764</v>
      </c>
      <c r="D1121" t="s">
        <v>1776</v>
      </c>
      <c r="E1121" s="32">
        <f>INDEX(OperatingFunds!$C$141:$AAF$150,ROW(OperatingFunds!$A$5),ROW(OperatingFunds!A$18))</f>
        <v>75</v>
      </c>
    </row>
    <row r="1122" spans="1:5">
      <c r="A1122" t="str">
        <f>RIGHT(OperatingFunds!$T$6,4)</f>
        <v>2007</v>
      </c>
      <c r="B1122" t="str">
        <f>+OperatingFunds!$A$13</f>
        <v>380</v>
      </c>
      <c r="C1122" t="s">
        <v>1764</v>
      </c>
      <c r="D1122" t="s">
        <v>1776</v>
      </c>
      <c r="E1122" s="32">
        <f>INDEX(OperatingFunds!$C$141:$AAF$150,ROW(OperatingFunds!$A$6),ROW(OperatingFunds!A$18))</f>
        <v>161</v>
      </c>
    </row>
    <row r="1123" spans="1:5">
      <c r="A1123" t="str">
        <f>RIGHT(OperatingFunds!$T$6,4)</f>
        <v>2007</v>
      </c>
      <c r="B1123" t="str">
        <f>+OperatingFunds!$A$16</f>
        <v>699</v>
      </c>
      <c r="C1123" t="s">
        <v>1764</v>
      </c>
      <c r="D1123" t="s">
        <v>1776</v>
      </c>
      <c r="E1123" s="32">
        <f>INDEX(OperatingFunds!$C$141:$AAF$150,ROW(OperatingFunds!$A$9),ROW(OperatingFunds!A$18))</f>
        <v>1276</v>
      </c>
    </row>
    <row r="1124" spans="1:5">
      <c r="A1124" t="str">
        <f>RIGHT(OperatingFunds!$T$6,4)</f>
        <v>2007</v>
      </c>
      <c r="B1124" t="str">
        <f>+OperatingFunds!$A$17</f>
        <v>340</v>
      </c>
      <c r="C1124" t="s">
        <v>1764</v>
      </c>
      <c r="D1124" t="s">
        <v>1776</v>
      </c>
      <c r="E1124" s="32">
        <f>INDEX(OperatingFunds!$C$141:$AAF$150,ROW(OperatingFunds!$A$10),ROW(OperatingFunds!A$18))</f>
        <v>30</v>
      </c>
    </row>
    <row r="1125" spans="1:5">
      <c r="A1125" t="str">
        <f>RIGHT(OperatingFunds!$U$6,4)</f>
        <v>2008</v>
      </c>
      <c r="B1125" t="str">
        <f>+OperatingFunds!$A$8</f>
        <v>360</v>
      </c>
      <c r="C1125" t="s">
        <v>1764</v>
      </c>
      <c r="D1125" t="s">
        <v>1776</v>
      </c>
      <c r="E1125" s="32">
        <f>INDEX(OperatingFunds!$C$141:$AAF$150,ROW(OperatingFunds!$A$1),ROW(OperatingFunds!A$19))</f>
        <v>6488.101529999999</v>
      </c>
    </row>
    <row r="1126" spans="1:5">
      <c r="A1126" t="str">
        <f>RIGHT(OperatingFunds!$U$6,4)</f>
        <v>2008</v>
      </c>
      <c r="B1126" t="str">
        <f>+OperatingFunds!$A$9</f>
        <v>365</v>
      </c>
      <c r="C1126" t="s">
        <v>1764</v>
      </c>
      <c r="D1126" t="s">
        <v>1776</v>
      </c>
      <c r="E1126" s="32">
        <f>INDEX(OperatingFunds!$C$141:$AAF$150,ROW(OperatingFunds!$A$2),ROW(OperatingFunds!A$19))</f>
        <v>1225</v>
      </c>
    </row>
    <row r="1127" spans="1:5">
      <c r="A1127" t="str">
        <f>RIGHT(OperatingFunds!$U$6,4)</f>
        <v>2008</v>
      </c>
      <c r="B1127" t="str">
        <f>+OperatingFunds!$A$10</f>
        <v>370</v>
      </c>
      <c r="C1127" t="s">
        <v>1764</v>
      </c>
      <c r="D1127" t="s">
        <v>1776</v>
      </c>
      <c r="E1127" s="32">
        <f>INDEX(OperatingFunds!$C$141:$AAF$150,ROW(OperatingFunds!$A$3),ROW(OperatingFunds!A$19))</f>
        <v>2379</v>
      </c>
    </row>
    <row r="1128" spans="1:5">
      <c r="A1128" t="str">
        <f>RIGHT(OperatingFunds!$U$6,4)</f>
        <v>2008</v>
      </c>
      <c r="B1128" t="str">
        <f>+OperatingFunds!$A$11</f>
        <v>375</v>
      </c>
      <c r="C1128" t="s">
        <v>1764</v>
      </c>
      <c r="D1128" t="s">
        <v>1776</v>
      </c>
      <c r="E1128" s="32">
        <f>INDEX(OperatingFunds!$C$141:$AAF$150,ROW(OperatingFunds!$A$4),ROW(OperatingFunds!A$19))</f>
        <v>2165</v>
      </c>
    </row>
    <row r="1129" spans="1:5">
      <c r="A1129" t="str">
        <f>RIGHT(OperatingFunds!$U$6,4)</f>
        <v>2008</v>
      </c>
      <c r="B1129" t="str">
        <f>+OperatingFunds!$A$12</f>
        <v>376</v>
      </c>
      <c r="C1129" t="s">
        <v>1764</v>
      </c>
      <c r="D1129" t="s">
        <v>1776</v>
      </c>
      <c r="E1129" s="32">
        <f>INDEX(OperatingFunds!$C$141:$AAF$150,ROW(OperatingFunds!$A$5),ROW(OperatingFunds!A$19))</f>
        <v>0</v>
      </c>
    </row>
    <row r="1130" spans="1:5">
      <c r="A1130" t="str">
        <f>RIGHT(OperatingFunds!$U$6,4)</f>
        <v>2008</v>
      </c>
      <c r="B1130" t="str">
        <f>+OperatingFunds!$A$13</f>
        <v>380</v>
      </c>
      <c r="C1130" t="s">
        <v>1764</v>
      </c>
      <c r="D1130" t="s">
        <v>1776</v>
      </c>
      <c r="E1130" s="32">
        <f>INDEX(OperatingFunds!$C$141:$AAF$150,ROW(OperatingFunds!$A$6),ROW(OperatingFunds!A$19))</f>
        <v>0</v>
      </c>
    </row>
    <row r="1131" spans="1:5">
      <c r="A1131" t="str">
        <f>RIGHT(OperatingFunds!$U$6,4)</f>
        <v>2008</v>
      </c>
      <c r="B1131" t="str">
        <f>+OperatingFunds!$A$16</f>
        <v>699</v>
      </c>
      <c r="C1131" t="s">
        <v>1764</v>
      </c>
      <c r="D1131" t="s">
        <v>1776</v>
      </c>
      <c r="E1131" s="32">
        <f>INDEX(OperatingFunds!$C$141:$AAF$150,ROW(OperatingFunds!$A$9),ROW(OperatingFunds!A$19))</f>
        <v>22000</v>
      </c>
    </row>
    <row r="1132" spans="1:5">
      <c r="A1132" t="str">
        <f>RIGHT(OperatingFunds!$U$6,4)</f>
        <v>2008</v>
      </c>
      <c r="B1132" t="str">
        <f>+OperatingFunds!$A$17</f>
        <v>340</v>
      </c>
      <c r="C1132" t="s">
        <v>1764</v>
      </c>
      <c r="D1132" t="s">
        <v>1776</v>
      </c>
      <c r="E1132" s="32">
        <f>INDEX(OperatingFunds!$C$141:$AAF$150,ROW(OperatingFunds!$A$10),ROW(OperatingFunds!A$19))</f>
        <v>0</v>
      </c>
    </row>
    <row r="1133" spans="1:5">
      <c r="A1133" t="str">
        <f>RIGHT(OperatingFunds!$V$6,4)</f>
        <v>2009</v>
      </c>
      <c r="B1133" t="str">
        <f>+OperatingFunds!$A$8</f>
        <v>360</v>
      </c>
      <c r="C1133" t="s">
        <v>1764</v>
      </c>
      <c r="D1133" t="s">
        <v>1776</v>
      </c>
      <c r="E1133" s="32">
        <f>INDEX(OperatingFunds!$C$141:$AAF$150,ROW(OperatingFunds!$A$1),ROW(OperatingFunds!A$20))</f>
        <v>6381.0505499999999</v>
      </c>
    </row>
    <row r="1134" spans="1:5">
      <c r="A1134" t="str">
        <f>RIGHT(OperatingFunds!$V$6,4)</f>
        <v>2009</v>
      </c>
      <c r="B1134" t="str">
        <f>+OperatingFunds!$A$9</f>
        <v>365</v>
      </c>
      <c r="C1134" t="s">
        <v>1764</v>
      </c>
      <c r="D1134" t="s">
        <v>1776</v>
      </c>
      <c r="E1134" s="32">
        <f>INDEX(OperatingFunds!$C$141:$AAF$150,ROW(OperatingFunds!$A$2),ROW(OperatingFunds!A$20))</f>
        <v>1225</v>
      </c>
    </row>
    <row r="1135" spans="1:5">
      <c r="A1135" t="str">
        <f>RIGHT(OperatingFunds!$V$6,4)</f>
        <v>2009</v>
      </c>
      <c r="B1135" t="str">
        <f>+OperatingFunds!$A$10</f>
        <v>370</v>
      </c>
      <c r="C1135" t="s">
        <v>1764</v>
      </c>
      <c r="D1135" t="s">
        <v>1776</v>
      </c>
      <c r="E1135" s="32">
        <f>INDEX(OperatingFunds!$C$141:$AAF$150,ROW(OperatingFunds!$A$3),ROW(OperatingFunds!A$20))</f>
        <v>2379</v>
      </c>
    </row>
    <row r="1136" spans="1:5">
      <c r="A1136" t="str">
        <f>RIGHT(OperatingFunds!$V$6,4)</f>
        <v>2009</v>
      </c>
      <c r="B1136" t="str">
        <f>+OperatingFunds!$A$11</f>
        <v>375</v>
      </c>
      <c r="C1136" t="s">
        <v>1764</v>
      </c>
      <c r="D1136" t="s">
        <v>1776</v>
      </c>
      <c r="E1136" s="32">
        <f>INDEX(OperatingFunds!$C$141:$AAF$150,ROW(OperatingFunds!$A$4),ROW(OperatingFunds!A$20))</f>
        <v>2165</v>
      </c>
    </row>
    <row r="1137" spans="1:5">
      <c r="A1137" t="str">
        <f>RIGHT(OperatingFunds!$V$6,4)</f>
        <v>2009</v>
      </c>
      <c r="B1137" t="str">
        <f>+OperatingFunds!$A$12</f>
        <v>376</v>
      </c>
      <c r="C1137" t="s">
        <v>1764</v>
      </c>
      <c r="D1137" t="s">
        <v>1776</v>
      </c>
      <c r="E1137" s="32">
        <f>INDEX(OperatingFunds!$C$141:$AAF$150,ROW(OperatingFunds!$A$5),ROW(OperatingFunds!A$20))</f>
        <v>0</v>
      </c>
    </row>
    <row r="1138" spans="1:5">
      <c r="A1138" t="str">
        <f>RIGHT(OperatingFunds!$V$6,4)</f>
        <v>2009</v>
      </c>
      <c r="B1138" t="str">
        <f>+OperatingFunds!$A$13</f>
        <v>380</v>
      </c>
      <c r="C1138" t="s">
        <v>1764</v>
      </c>
      <c r="D1138" t="s">
        <v>1776</v>
      </c>
      <c r="E1138" s="32">
        <f>INDEX(OperatingFunds!$C$141:$AAF$150,ROW(OperatingFunds!$A$6),ROW(OperatingFunds!A$20))</f>
        <v>0</v>
      </c>
    </row>
    <row r="1139" spans="1:5">
      <c r="A1139" t="str">
        <f>RIGHT(OperatingFunds!$V$6,4)</f>
        <v>2009</v>
      </c>
      <c r="B1139" t="str">
        <f>+OperatingFunds!$A$16</f>
        <v>699</v>
      </c>
      <c r="C1139" t="s">
        <v>1764</v>
      </c>
      <c r="D1139" t="s">
        <v>1776</v>
      </c>
      <c r="E1139" s="32">
        <f>INDEX(OperatingFunds!$C$141:$AAF$150,ROW(OperatingFunds!$A$9),ROW(OperatingFunds!A$20))</f>
        <v>27800</v>
      </c>
    </row>
    <row r="1140" spans="1:5">
      <c r="A1140" t="str">
        <f>RIGHT(OperatingFunds!$V$6,4)</f>
        <v>2009</v>
      </c>
      <c r="B1140" t="str">
        <f>+OperatingFunds!$A$17</f>
        <v>340</v>
      </c>
      <c r="C1140" t="s">
        <v>1764</v>
      </c>
      <c r="D1140" t="s">
        <v>1776</v>
      </c>
      <c r="E1140" s="32">
        <f>INDEX(OperatingFunds!$C$141:$AAF$150,ROW(OperatingFunds!$A$10),ROW(OperatingFunds!A$20))</f>
        <v>0</v>
      </c>
    </row>
    <row r="1141" spans="1:5">
      <c r="A1141" t="str">
        <f>RIGHT(OperatingFunds!$W$6,4)</f>
        <v>2010</v>
      </c>
      <c r="B1141" t="str">
        <f>+OperatingFunds!$A$8</f>
        <v>360</v>
      </c>
      <c r="C1141" t="s">
        <v>1764</v>
      </c>
      <c r="D1141" t="s">
        <v>1776</v>
      </c>
      <c r="E1141" s="32" t="e">
        <f>INDEX(OperatingFunds!$C$141:$AAF$150,ROW(OperatingFunds!$A$1),ROW(OperatingFunds!#REF!))</f>
        <v>#REF!</v>
      </c>
    </row>
    <row r="1142" spans="1:5">
      <c r="A1142" t="str">
        <f>RIGHT(OperatingFunds!$W$6,4)</f>
        <v>2010</v>
      </c>
      <c r="B1142" t="str">
        <f>+OperatingFunds!$A$9</f>
        <v>365</v>
      </c>
      <c r="C1142" t="s">
        <v>1764</v>
      </c>
      <c r="D1142" t="s">
        <v>1776</v>
      </c>
      <c r="E1142" s="32" t="e">
        <f>INDEX(OperatingFunds!$C$141:$AAF$150,ROW(OperatingFunds!$A$2),ROW(OperatingFunds!#REF!))</f>
        <v>#REF!</v>
      </c>
    </row>
    <row r="1143" spans="1:5">
      <c r="A1143" t="str">
        <f>RIGHT(OperatingFunds!$W$6,4)</f>
        <v>2010</v>
      </c>
      <c r="B1143" t="str">
        <f>+OperatingFunds!$A$10</f>
        <v>370</v>
      </c>
      <c r="C1143" t="s">
        <v>1764</v>
      </c>
      <c r="D1143" t="s">
        <v>1776</v>
      </c>
      <c r="E1143" s="32" t="e">
        <f>INDEX(OperatingFunds!$C$141:$AAF$150,ROW(OperatingFunds!$A$3),ROW(OperatingFunds!#REF!))</f>
        <v>#REF!</v>
      </c>
    </row>
    <row r="1144" spans="1:5">
      <c r="A1144" t="str">
        <f>RIGHT(OperatingFunds!$W$6,4)</f>
        <v>2010</v>
      </c>
      <c r="B1144" t="str">
        <f>+OperatingFunds!$A$11</f>
        <v>375</v>
      </c>
      <c r="C1144" t="s">
        <v>1764</v>
      </c>
      <c r="D1144" t="s">
        <v>1776</v>
      </c>
      <c r="E1144" s="32" t="e">
        <f>INDEX(OperatingFunds!$C$141:$AAF$150,ROW(OperatingFunds!$A$4),ROW(OperatingFunds!#REF!))</f>
        <v>#REF!</v>
      </c>
    </row>
    <row r="1145" spans="1:5">
      <c r="A1145" t="str">
        <f>RIGHT(OperatingFunds!$W$6,4)</f>
        <v>2010</v>
      </c>
      <c r="B1145" t="str">
        <f>+OperatingFunds!$A$12</f>
        <v>376</v>
      </c>
      <c r="C1145" t="s">
        <v>1764</v>
      </c>
      <c r="D1145" t="s">
        <v>1776</v>
      </c>
      <c r="E1145" s="32" t="e">
        <f>INDEX(OperatingFunds!$C$141:$AAF$150,ROW(OperatingFunds!$A$5),ROW(OperatingFunds!#REF!))</f>
        <v>#REF!</v>
      </c>
    </row>
    <row r="1146" spans="1:5">
      <c r="A1146" t="str">
        <f>RIGHT(OperatingFunds!$W$6,4)</f>
        <v>2010</v>
      </c>
      <c r="B1146" t="str">
        <f>+OperatingFunds!$A$13</f>
        <v>380</v>
      </c>
      <c r="C1146" t="s">
        <v>1764</v>
      </c>
      <c r="D1146" t="s">
        <v>1776</v>
      </c>
      <c r="E1146" s="32" t="e">
        <f>INDEX(OperatingFunds!$C$141:$AAF$150,ROW(OperatingFunds!$A$6),ROW(OperatingFunds!#REF!))</f>
        <v>#REF!</v>
      </c>
    </row>
    <row r="1147" spans="1:5">
      <c r="A1147" t="str">
        <f>RIGHT(OperatingFunds!$W$6,4)</f>
        <v>2010</v>
      </c>
      <c r="B1147" t="str">
        <f>+OperatingFunds!$A$16</f>
        <v>699</v>
      </c>
      <c r="C1147" t="s">
        <v>1764</v>
      </c>
      <c r="D1147" t="s">
        <v>1776</v>
      </c>
      <c r="E1147" s="32" t="e">
        <f>INDEX(OperatingFunds!$C$141:$AAF$150,ROW(OperatingFunds!$A$9),ROW(OperatingFunds!#REF!))</f>
        <v>#REF!</v>
      </c>
    </row>
    <row r="1148" spans="1:5">
      <c r="A1148" t="str">
        <f>RIGHT(OperatingFunds!$W$6,4)</f>
        <v>2010</v>
      </c>
      <c r="B1148" t="str">
        <f>+OperatingFunds!$A$17</f>
        <v>340</v>
      </c>
      <c r="C1148" t="s">
        <v>1764</v>
      </c>
      <c r="D1148" t="s">
        <v>1776</v>
      </c>
      <c r="E1148" s="32" t="e">
        <f>INDEX(OperatingFunds!$C$141:$AAF$150,ROW(OperatingFunds!$A$10),ROW(OperatingFunds!#REF!))</f>
        <v>#REF!</v>
      </c>
    </row>
    <row r="1149" spans="1:5">
      <c r="A1149" t="str">
        <f>RIGHT(OperatingFunds!$X$6,4)</f>
        <v>2011</v>
      </c>
      <c r="B1149" t="str">
        <f>+OperatingFunds!$A$8</f>
        <v>360</v>
      </c>
      <c r="C1149" t="s">
        <v>1764</v>
      </c>
      <c r="D1149" t="s">
        <v>1776</v>
      </c>
      <c r="E1149" s="32">
        <f>INDEX(OperatingFunds!$C$141:$AAF$150,ROW(OperatingFunds!$A$1),ROW(OperatingFunds!A$21))</f>
        <v>6596.5375299999996</v>
      </c>
    </row>
    <row r="1150" spans="1:5">
      <c r="A1150" t="str">
        <f>RIGHT(OperatingFunds!$X$6,4)</f>
        <v>2011</v>
      </c>
      <c r="B1150" t="str">
        <f>+OperatingFunds!$A$9</f>
        <v>365</v>
      </c>
      <c r="C1150" t="s">
        <v>1764</v>
      </c>
      <c r="D1150" t="s">
        <v>1776</v>
      </c>
      <c r="E1150" s="32">
        <f>INDEX(OperatingFunds!$C$141:$AAF$150,ROW(OperatingFunds!$A$2),ROW(OperatingFunds!A$21))</f>
        <v>0</v>
      </c>
    </row>
    <row r="1151" spans="1:5">
      <c r="A1151" t="str">
        <f>RIGHT(OperatingFunds!$X$6,4)</f>
        <v>2011</v>
      </c>
      <c r="B1151" t="str">
        <f>+OperatingFunds!$A$10</f>
        <v>370</v>
      </c>
      <c r="C1151" t="s">
        <v>1764</v>
      </c>
      <c r="D1151" t="s">
        <v>1776</v>
      </c>
      <c r="E1151" s="32">
        <f>INDEX(OperatingFunds!$C$141:$AAF$150,ROW(OperatingFunds!$A$3),ROW(OperatingFunds!A$21))</f>
        <v>0</v>
      </c>
    </row>
    <row r="1152" spans="1:5">
      <c r="A1152" t="str">
        <f>RIGHT(OperatingFunds!$X$6,4)</f>
        <v>2011</v>
      </c>
      <c r="B1152" t="str">
        <f>+OperatingFunds!$A$11</f>
        <v>375</v>
      </c>
      <c r="C1152" t="s">
        <v>1764</v>
      </c>
      <c r="D1152" t="s">
        <v>1776</v>
      </c>
      <c r="E1152" s="32">
        <f>INDEX(OperatingFunds!$C$141:$AAF$150,ROW(OperatingFunds!$A$4),ROW(OperatingFunds!A$21))</f>
        <v>0</v>
      </c>
    </row>
    <row r="1153" spans="1:5">
      <c r="A1153" t="str">
        <f>RIGHT(OperatingFunds!$X$6,4)</f>
        <v>2011</v>
      </c>
      <c r="B1153" t="str">
        <f>+OperatingFunds!$A$12</f>
        <v>376</v>
      </c>
      <c r="C1153" t="s">
        <v>1764</v>
      </c>
      <c r="D1153" t="s">
        <v>1776</v>
      </c>
      <c r="E1153" s="32">
        <f>INDEX(OperatingFunds!$C$141:$AAF$150,ROW(OperatingFunds!$A$5),ROW(OperatingFunds!A$21))</f>
        <v>0</v>
      </c>
    </row>
    <row r="1154" spans="1:5">
      <c r="A1154" t="str">
        <f>RIGHT(OperatingFunds!$X$6,4)</f>
        <v>2011</v>
      </c>
      <c r="B1154" t="str">
        <f>+OperatingFunds!$A$13</f>
        <v>380</v>
      </c>
      <c r="C1154" t="s">
        <v>1764</v>
      </c>
      <c r="D1154" t="s">
        <v>1776</v>
      </c>
      <c r="E1154" s="32">
        <f>INDEX(OperatingFunds!$C$141:$AAF$150,ROW(OperatingFunds!$A$6),ROW(OperatingFunds!A$21))</f>
        <v>0</v>
      </c>
    </row>
    <row r="1155" spans="1:5">
      <c r="A1155" t="str">
        <f>RIGHT(OperatingFunds!$X$6,4)</f>
        <v>2011</v>
      </c>
      <c r="B1155" t="str">
        <f>+OperatingFunds!$A$16</f>
        <v>699</v>
      </c>
      <c r="C1155" t="s">
        <v>1764</v>
      </c>
      <c r="D1155" t="s">
        <v>1776</v>
      </c>
      <c r="E1155" s="32">
        <f>INDEX(OperatingFunds!$C$141:$AAF$150,ROW(OperatingFunds!$A$9),ROW(OperatingFunds!A$21))</f>
        <v>0</v>
      </c>
    </row>
    <row r="1156" spans="1:5">
      <c r="A1156" t="str">
        <f>RIGHT(OperatingFunds!$X$6,4)</f>
        <v>2011</v>
      </c>
      <c r="B1156" t="str">
        <f>+OperatingFunds!$A$17</f>
        <v>340</v>
      </c>
      <c r="C1156" t="s">
        <v>1764</v>
      </c>
      <c r="D1156" t="s">
        <v>1776</v>
      </c>
      <c r="E1156" s="32">
        <f>INDEX(OperatingFunds!$C$141:$AAF$150,ROW(OperatingFunds!$A$10),ROW(OperatingFunds!A$21))</f>
        <v>0</v>
      </c>
    </row>
    <row r="1157" spans="1:5">
      <c r="A1157" t="str">
        <f>RIGHT(OperatingFunds!$Y$6,4)</f>
        <v>2012</v>
      </c>
      <c r="B1157" t="str">
        <f>+OperatingFunds!$A$8</f>
        <v>360</v>
      </c>
      <c r="C1157" t="s">
        <v>1764</v>
      </c>
      <c r="D1157" t="s">
        <v>1776</v>
      </c>
      <c r="E1157" s="32">
        <f>INDEX(OperatingFunds!$C$141:$AAF$150,ROW(OperatingFunds!$A$1),ROW(OperatingFunds!A$22))</f>
        <v>6910.5389100000002</v>
      </c>
    </row>
    <row r="1158" spans="1:5">
      <c r="A1158" t="str">
        <f>RIGHT(OperatingFunds!$Y$6,4)</f>
        <v>2012</v>
      </c>
      <c r="B1158" t="str">
        <f>+OperatingFunds!$A$9</f>
        <v>365</v>
      </c>
      <c r="C1158" t="s">
        <v>1764</v>
      </c>
      <c r="D1158" t="s">
        <v>1776</v>
      </c>
      <c r="E1158" s="32">
        <f>INDEX(OperatingFunds!$C$141:$AAF$150,ROW(OperatingFunds!$A$2),ROW(OperatingFunds!A$22))</f>
        <v>0</v>
      </c>
    </row>
    <row r="1159" spans="1:5">
      <c r="A1159" t="str">
        <f>RIGHT(OperatingFunds!$Y$6,4)</f>
        <v>2012</v>
      </c>
      <c r="B1159" t="str">
        <f>+OperatingFunds!$A$10</f>
        <v>370</v>
      </c>
      <c r="C1159" t="s">
        <v>1764</v>
      </c>
      <c r="D1159" t="s">
        <v>1776</v>
      </c>
      <c r="E1159" s="32">
        <f>INDEX(OperatingFunds!$C$141:$AAF$150,ROW(OperatingFunds!$A$3),ROW(OperatingFunds!A$22))</f>
        <v>0</v>
      </c>
    </row>
    <row r="1160" spans="1:5">
      <c r="A1160" t="str">
        <f>RIGHT(OperatingFunds!$Y$6,4)</f>
        <v>2012</v>
      </c>
      <c r="B1160" t="str">
        <f>+OperatingFunds!$A$11</f>
        <v>375</v>
      </c>
      <c r="C1160" t="s">
        <v>1764</v>
      </c>
      <c r="D1160" t="s">
        <v>1776</v>
      </c>
      <c r="E1160" s="32">
        <f>INDEX(OperatingFunds!$C$141:$AAF$150,ROW(OperatingFunds!$A$4),ROW(OperatingFunds!A$22))</f>
        <v>0</v>
      </c>
    </row>
    <row r="1161" spans="1:5">
      <c r="A1161" t="str">
        <f>RIGHT(OperatingFunds!$Y$6,4)</f>
        <v>2012</v>
      </c>
      <c r="B1161" t="str">
        <f>+OperatingFunds!$A$12</f>
        <v>376</v>
      </c>
      <c r="C1161" t="s">
        <v>1764</v>
      </c>
      <c r="D1161" t="s">
        <v>1776</v>
      </c>
      <c r="E1161" s="32">
        <f>INDEX(OperatingFunds!$C$141:$AAF$150,ROW(OperatingFunds!$A$5),ROW(OperatingFunds!A$22))</f>
        <v>0</v>
      </c>
    </row>
    <row r="1162" spans="1:5">
      <c r="A1162" t="str">
        <f>RIGHT(OperatingFunds!$Y$6,4)</f>
        <v>2012</v>
      </c>
      <c r="B1162" t="str">
        <f>+OperatingFunds!$A$13</f>
        <v>380</v>
      </c>
      <c r="C1162" t="s">
        <v>1764</v>
      </c>
      <c r="D1162" t="s">
        <v>1776</v>
      </c>
      <c r="E1162" s="32">
        <f>INDEX(OperatingFunds!$C$141:$AAF$150,ROW(OperatingFunds!$A$6),ROW(OperatingFunds!A$22))</f>
        <v>0</v>
      </c>
    </row>
    <row r="1163" spans="1:5">
      <c r="A1163" t="str">
        <f>RIGHT(OperatingFunds!$Y$6,4)</f>
        <v>2012</v>
      </c>
      <c r="B1163" t="str">
        <f>+OperatingFunds!$A$16</f>
        <v>699</v>
      </c>
      <c r="C1163" t="s">
        <v>1764</v>
      </c>
      <c r="D1163" t="s">
        <v>1776</v>
      </c>
      <c r="E1163" s="32">
        <f>INDEX(OperatingFunds!$C$141:$AAF$150,ROW(OperatingFunds!$A$9),ROW(OperatingFunds!A$22))</f>
        <v>0</v>
      </c>
    </row>
    <row r="1164" spans="1:5">
      <c r="A1164" t="str">
        <f>RIGHT(OperatingFunds!$Y$6,4)</f>
        <v>2012</v>
      </c>
      <c r="B1164" t="str">
        <f>+OperatingFunds!$A$17</f>
        <v>340</v>
      </c>
      <c r="C1164" t="s">
        <v>1764</v>
      </c>
      <c r="D1164" t="s">
        <v>1776</v>
      </c>
      <c r="E1164" s="32">
        <f>INDEX(OperatingFunds!$C$141:$AAF$150,ROW(OperatingFunds!$A$10),ROW(OperatingFunds!A$22))</f>
        <v>0</v>
      </c>
    </row>
    <row r="1165" spans="1:5">
      <c r="A1165" t="str">
        <f>RIGHT(OperatingFunds!$Z$6,4)</f>
        <v>2013</v>
      </c>
      <c r="B1165" t="str">
        <f>+OperatingFunds!$A$8</f>
        <v>360</v>
      </c>
      <c r="C1165" t="s">
        <v>1764</v>
      </c>
      <c r="D1165" t="s">
        <v>1776</v>
      </c>
      <c r="E1165" s="32">
        <f>INDEX(OperatingFunds!$C$141:$AAF$150,ROW(OperatingFunds!$A$1),ROW(OperatingFunds!A$23))</f>
        <v>6187.80159</v>
      </c>
    </row>
    <row r="1166" spans="1:5">
      <c r="A1166" t="str">
        <f>RIGHT(OperatingFunds!$Z$6,4)</f>
        <v>2013</v>
      </c>
      <c r="B1166" t="str">
        <f>+OperatingFunds!$A$9</f>
        <v>365</v>
      </c>
      <c r="C1166" t="s">
        <v>1764</v>
      </c>
      <c r="D1166" t="s">
        <v>1776</v>
      </c>
      <c r="E1166" s="32">
        <f>INDEX(OperatingFunds!$C$141:$AAF$150,ROW(OperatingFunds!$A$2),ROW(OperatingFunds!A$23))</f>
        <v>0</v>
      </c>
    </row>
    <row r="1167" spans="1:5">
      <c r="A1167" t="str">
        <f>RIGHT(OperatingFunds!$Z$6,4)</f>
        <v>2013</v>
      </c>
      <c r="B1167" t="str">
        <f>+OperatingFunds!$A$10</f>
        <v>370</v>
      </c>
      <c r="C1167" t="s">
        <v>1764</v>
      </c>
      <c r="D1167" t="s">
        <v>1776</v>
      </c>
      <c r="E1167" s="32">
        <f>INDEX(OperatingFunds!$C$141:$AAF$150,ROW(OperatingFunds!$A$3),ROW(OperatingFunds!A$23))</f>
        <v>0</v>
      </c>
    </row>
    <row r="1168" spans="1:5">
      <c r="A1168" t="str">
        <f>RIGHT(OperatingFunds!$Z$6,4)</f>
        <v>2013</v>
      </c>
      <c r="B1168" t="str">
        <f>+OperatingFunds!$A$11</f>
        <v>375</v>
      </c>
      <c r="C1168" t="s">
        <v>1764</v>
      </c>
      <c r="D1168" t="s">
        <v>1776</v>
      </c>
      <c r="E1168" s="32">
        <f>INDEX(OperatingFunds!$C$141:$AAF$150,ROW(OperatingFunds!$A$4),ROW(OperatingFunds!A$23))</f>
        <v>0</v>
      </c>
    </row>
    <row r="1169" spans="1:5">
      <c r="A1169" t="str">
        <f>RIGHT(OperatingFunds!$Z$6,4)</f>
        <v>2013</v>
      </c>
      <c r="B1169" t="str">
        <f>+OperatingFunds!$A$12</f>
        <v>376</v>
      </c>
      <c r="C1169" t="s">
        <v>1764</v>
      </c>
      <c r="D1169" t="s">
        <v>1776</v>
      </c>
      <c r="E1169" s="32">
        <f>INDEX(OperatingFunds!$C$141:$AAF$150,ROW(OperatingFunds!$A$5),ROW(OperatingFunds!A$23))</f>
        <v>0</v>
      </c>
    </row>
    <row r="1170" spans="1:5">
      <c r="A1170" t="str">
        <f>RIGHT(OperatingFunds!$Z$6,4)</f>
        <v>2013</v>
      </c>
      <c r="B1170" t="str">
        <f>+OperatingFunds!$A$13</f>
        <v>380</v>
      </c>
      <c r="C1170" t="s">
        <v>1764</v>
      </c>
      <c r="D1170" t="s">
        <v>1776</v>
      </c>
      <c r="E1170" s="32">
        <f>INDEX(OperatingFunds!$C$141:$AAF$150,ROW(OperatingFunds!$A$6),ROW(OperatingFunds!A$23))</f>
        <v>0</v>
      </c>
    </row>
    <row r="1171" spans="1:5">
      <c r="A1171" t="str">
        <f>RIGHT(OperatingFunds!$Z$6,4)</f>
        <v>2013</v>
      </c>
      <c r="B1171" t="str">
        <f>+OperatingFunds!$A$16</f>
        <v>699</v>
      </c>
      <c r="C1171" t="s">
        <v>1764</v>
      </c>
      <c r="D1171" t="s">
        <v>1776</v>
      </c>
      <c r="E1171" s="32">
        <f>INDEX(OperatingFunds!$C$141:$AAF$150,ROW(OperatingFunds!$A$9),ROW(OperatingFunds!A$23))</f>
        <v>4019</v>
      </c>
    </row>
    <row r="1172" spans="1:5">
      <c r="A1172" t="str">
        <f>RIGHT(OperatingFunds!$Z$6,4)</f>
        <v>2013</v>
      </c>
      <c r="B1172" t="str">
        <f>+OperatingFunds!$A$17</f>
        <v>340</v>
      </c>
      <c r="C1172" t="s">
        <v>1764</v>
      </c>
      <c r="D1172" t="s">
        <v>1776</v>
      </c>
      <c r="E1172" s="32">
        <f>INDEX(OperatingFunds!$C$141:$AAF$150,ROW(OperatingFunds!$A$10),ROW(OperatingFunds!A$23))</f>
        <v>0</v>
      </c>
    </row>
    <row r="1173" spans="1:5">
      <c r="A1173" t="str">
        <f>RIGHT(OperatingFunds!$AA$6,4)</f>
        <v>2014</v>
      </c>
      <c r="B1173" t="str">
        <f>+OperatingFunds!$A$8</f>
        <v>360</v>
      </c>
      <c r="C1173" t="s">
        <v>1764</v>
      </c>
      <c r="D1173" t="s">
        <v>1776</v>
      </c>
      <c r="E1173" s="32">
        <f>INDEX(OperatingFunds!$C$141:$AAF$150,ROW(OperatingFunds!$A$1),ROW(OperatingFunds!A$24))</f>
        <v>8815.2296400000014</v>
      </c>
    </row>
    <row r="1174" spans="1:5">
      <c r="A1174" t="str">
        <f>RIGHT(OperatingFunds!$AA$6,4)</f>
        <v>2014</v>
      </c>
      <c r="B1174" t="str">
        <f>+OperatingFunds!$A$9</f>
        <v>365</v>
      </c>
      <c r="C1174" t="s">
        <v>1764</v>
      </c>
      <c r="D1174" t="s">
        <v>1776</v>
      </c>
      <c r="E1174" s="32">
        <f>INDEX(OperatingFunds!$C$141:$AAF$150,ROW(OperatingFunds!$A$2),ROW(OperatingFunds!A$24))</f>
        <v>0</v>
      </c>
    </row>
    <row r="1175" spans="1:5">
      <c r="A1175" t="str">
        <f>RIGHT(OperatingFunds!$AA$6,4)</f>
        <v>2014</v>
      </c>
      <c r="B1175" t="str">
        <f>+OperatingFunds!$A$10</f>
        <v>370</v>
      </c>
      <c r="C1175" t="s">
        <v>1764</v>
      </c>
      <c r="D1175" t="s">
        <v>1776</v>
      </c>
      <c r="E1175" s="32">
        <f>INDEX(OperatingFunds!$C$141:$AAF$150,ROW(OperatingFunds!$A$3),ROW(OperatingFunds!A$24))</f>
        <v>0</v>
      </c>
    </row>
    <row r="1176" spans="1:5">
      <c r="A1176" t="str">
        <f>RIGHT(OperatingFunds!$AA$6,4)</f>
        <v>2014</v>
      </c>
      <c r="B1176" t="str">
        <f>+OperatingFunds!$A$11</f>
        <v>375</v>
      </c>
      <c r="C1176" t="s">
        <v>1764</v>
      </c>
      <c r="D1176" t="s">
        <v>1776</v>
      </c>
      <c r="E1176" s="32">
        <f>INDEX(OperatingFunds!$C$141:$AAF$150,ROW(OperatingFunds!$A$4),ROW(OperatingFunds!A$24))</f>
        <v>0</v>
      </c>
    </row>
    <row r="1177" spans="1:5">
      <c r="A1177" t="str">
        <f>RIGHT(OperatingFunds!$AA$6,4)</f>
        <v>2014</v>
      </c>
      <c r="B1177" t="str">
        <f>+OperatingFunds!$A$12</f>
        <v>376</v>
      </c>
      <c r="C1177" t="s">
        <v>1764</v>
      </c>
      <c r="D1177" t="s">
        <v>1776</v>
      </c>
      <c r="E1177" s="32">
        <f>INDEX(OperatingFunds!$C$141:$AAF$150,ROW(OperatingFunds!$A$5),ROW(OperatingFunds!A$24))</f>
        <v>0</v>
      </c>
    </row>
    <row r="1178" spans="1:5">
      <c r="A1178" t="str">
        <f>RIGHT(OperatingFunds!$AA$6,4)</f>
        <v>2014</v>
      </c>
      <c r="B1178" t="str">
        <f>+OperatingFunds!$A$13</f>
        <v>380</v>
      </c>
      <c r="C1178" t="s">
        <v>1764</v>
      </c>
      <c r="D1178" t="s">
        <v>1776</v>
      </c>
      <c r="E1178" s="32">
        <f>INDEX(OperatingFunds!$C$141:$AAF$150,ROW(OperatingFunds!$A$6),ROW(OperatingFunds!A$24))</f>
        <v>0</v>
      </c>
    </row>
    <row r="1179" spans="1:5">
      <c r="A1179" t="str">
        <f>RIGHT(OperatingFunds!$AA$6,4)</f>
        <v>2014</v>
      </c>
      <c r="B1179" t="str">
        <f>+OperatingFunds!$A$16</f>
        <v>699</v>
      </c>
      <c r="C1179" t="s">
        <v>1764</v>
      </c>
      <c r="D1179" t="s">
        <v>1776</v>
      </c>
      <c r="E1179" s="32">
        <f>INDEX(OperatingFunds!$C$141:$AAF$150,ROW(OperatingFunds!$A$9),ROW(OperatingFunds!A$24))</f>
        <v>8003.4999399999997</v>
      </c>
    </row>
    <row r="1180" spans="1:5">
      <c r="A1180" t="str">
        <f>RIGHT(OperatingFunds!$AA$6,4)</f>
        <v>2014</v>
      </c>
      <c r="B1180" t="str">
        <f>+OperatingFunds!$A$17</f>
        <v>340</v>
      </c>
      <c r="C1180" t="s">
        <v>1764</v>
      </c>
      <c r="D1180" t="s">
        <v>1776</v>
      </c>
      <c r="E1180" s="32">
        <f>INDEX(OperatingFunds!$C$141:$AAF$150,ROW(OperatingFunds!$A$10),ROW(OperatingFunds!A$24))</f>
        <v>0</v>
      </c>
    </row>
    <row r="1181" spans="1:5">
      <c r="A1181" t="str">
        <f>RIGHT(OperatingFunds!$AB$6,4)</f>
        <v>2015</v>
      </c>
      <c r="B1181" t="str">
        <f>+OperatingFunds!$A$8</f>
        <v>360</v>
      </c>
      <c r="C1181" t="s">
        <v>1764</v>
      </c>
      <c r="D1181" t="s">
        <v>1776</v>
      </c>
      <c r="E1181" s="32">
        <f>INDEX(OperatingFunds!$C$141:$AAF$150,ROW(OperatingFunds!$A$1),ROW(OperatingFunds!A$25))</f>
        <v>7781.2381899999991</v>
      </c>
    </row>
    <row r="1182" spans="1:5">
      <c r="A1182" t="str">
        <f>RIGHT(OperatingFunds!$AB$6,4)</f>
        <v>2015</v>
      </c>
      <c r="B1182" t="str">
        <f>+OperatingFunds!$A$9</f>
        <v>365</v>
      </c>
      <c r="C1182" t="s">
        <v>1764</v>
      </c>
      <c r="D1182" t="s">
        <v>1776</v>
      </c>
      <c r="E1182" s="32">
        <f>INDEX(OperatingFunds!$C$141:$AAF$150,ROW(OperatingFunds!$A$2),ROW(OperatingFunds!A$25))</f>
        <v>0</v>
      </c>
    </row>
    <row r="1183" spans="1:5">
      <c r="A1183" t="str">
        <f>RIGHT(OperatingFunds!$AB$6,4)</f>
        <v>2015</v>
      </c>
      <c r="B1183" t="str">
        <f>+OperatingFunds!$A$10</f>
        <v>370</v>
      </c>
      <c r="C1183" t="s">
        <v>1764</v>
      </c>
      <c r="D1183" t="s">
        <v>1776</v>
      </c>
      <c r="E1183" s="32">
        <f>INDEX(OperatingFunds!$C$141:$AAF$150,ROW(OperatingFunds!$A$3),ROW(OperatingFunds!A$25))</f>
        <v>0</v>
      </c>
    </row>
    <row r="1184" spans="1:5">
      <c r="A1184" t="str">
        <f>RIGHT(OperatingFunds!$AB$6,4)</f>
        <v>2015</v>
      </c>
      <c r="B1184" t="str">
        <f>+OperatingFunds!$A$11</f>
        <v>375</v>
      </c>
      <c r="C1184" t="s">
        <v>1764</v>
      </c>
      <c r="D1184" t="s">
        <v>1776</v>
      </c>
      <c r="E1184" s="32">
        <f>INDEX(OperatingFunds!$C$141:$AAF$150,ROW(OperatingFunds!$A$4),ROW(OperatingFunds!A$25))</f>
        <v>0</v>
      </c>
    </row>
    <row r="1185" spans="1:5">
      <c r="A1185" t="str">
        <f>RIGHT(OperatingFunds!$AB$6,4)</f>
        <v>2015</v>
      </c>
      <c r="B1185" t="str">
        <f>+OperatingFunds!$A$12</f>
        <v>376</v>
      </c>
      <c r="C1185" t="s">
        <v>1764</v>
      </c>
      <c r="D1185" t="s">
        <v>1776</v>
      </c>
      <c r="E1185" s="32">
        <f>INDEX(OperatingFunds!$C$141:$AAF$150,ROW(OperatingFunds!$A$5),ROW(OperatingFunds!A$25))</f>
        <v>0</v>
      </c>
    </row>
    <row r="1186" spans="1:5">
      <c r="A1186" t="str">
        <f>RIGHT(OperatingFunds!$AB$6,4)</f>
        <v>2015</v>
      </c>
      <c r="B1186" t="str">
        <f>+OperatingFunds!$A$13</f>
        <v>380</v>
      </c>
      <c r="C1186" t="s">
        <v>1764</v>
      </c>
      <c r="D1186" t="s">
        <v>1776</v>
      </c>
      <c r="E1186" s="32">
        <f>INDEX(OperatingFunds!$C$141:$AAF$150,ROW(OperatingFunds!$A$6),ROW(OperatingFunds!A$25))</f>
        <v>0</v>
      </c>
    </row>
    <row r="1187" spans="1:5">
      <c r="A1187" t="str">
        <f>RIGHT(OperatingFunds!$AB$6,4)</f>
        <v>2015</v>
      </c>
      <c r="B1187" t="str">
        <f>+OperatingFunds!$A$16</f>
        <v>699</v>
      </c>
      <c r="C1187" t="s">
        <v>1764</v>
      </c>
      <c r="D1187" t="s">
        <v>1776</v>
      </c>
      <c r="E1187" s="32">
        <f>INDEX(OperatingFunds!$C$141:$AAF$150,ROW(OperatingFunds!$A$9),ROW(OperatingFunds!A$25))</f>
        <v>8380.0762599999998</v>
      </c>
    </row>
    <row r="1188" spans="1:5">
      <c r="A1188" t="str">
        <f>RIGHT(OperatingFunds!$AB$6,4)</f>
        <v>2015</v>
      </c>
      <c r="B1188" t="str">
        <f>+OperatingFunds!$A$17</f>
        <v>340</v>
      </c>
      <c r="C1188" t="s">
        <v>1764</v>
      </c>
      <c r="D1188" t="s">
        <v>1776</v>
      </c>
      <c r="E1188" s="32">
        <f>INDEX(OperatingFunds!$C$141:$AAF$150,ROW(OperatingFunds!$A$10),ROW(OperatingFunds!A$25))</f>
        <v>0</v>
      </c>
    </row>
    <row r="1189" spans="1:5">
      <c r="A1189" t="str">
        <f>RIGHT(OperatingFunds!$AC$6,4)</f>
        <v>2016</v>
      </c>
      <c r="B1189" t="str">
        <f>+OperatingFunds!$A$8</f>
        <v>360</v>
      </c>
      <c r="C1189" t="s">
        <v>1764</v>
      </c>
      <c r="D1189" t="s">
        <v>1776</v>
      </c>
      <c r="E1189" s="32">
        <f>INDEX(OperatingFunds!$C$141:$AAF$150,ROW(OperatingFunds!$A$1),ROW(OperatingFunds!A$26))</f>
        <v>9572.6825899999985</v>
      </c>
    </row>
    <row r="1190" spans="1:5">
      <c r="A1190" t="str">
        <f>RIGHT(OperatingFunds!$AC$6,4)</f>
        <v>2016</v>
      </c>
      <c r="B1190" t="str">
        <f>+OperatingFunds!$A$9</f>
        <v>365</v>
      </c>
      <c r="C1190" t="s">
        <v>1764</v>
      </c>
      <c r="D1190" t="s">
        <v>1776</v>
      </c>
      <c r="E1190" s="32">
        <f>INDEX(OperatingFunds!$C$141:$AAF$150,ROW(OperatingFunds!$A$2),ROW(OperatingFunds!A$26))</f>
        <v>0</v>
      </c>
    </row>
    <row r="1191" spans="1:5">
      <c r="A1191" t="str">
        <f>RIGHT(OperatingFunds!$AC$6,4)</f>
        <v>2016</v>
      </c>
      <c r="B1191" t="str">
        <f>+OperatingFunds!$A$10</f>
        <v>370</v>
      </c>
      <c r="C1191" t="s">
        <v>1764</v>
      </c>
      <c r="D1191" t="s">
        <v>1776</v>
      </c>
      <c r="E1191" s="32">
        <f>INDEX(OperatingFunds!$C$141:$AAF$150,ROW(OperatingFunds!$A$3),ROW(OperatingFunds!A$26))</f>
        <v>0</v>
      </c>
    </row>
    <row r="1192" spans="1:5">
      <c r="A1192" t="str">
        <f>RIGHT(OperatingFunds!$AC$6,4)</f>
        <v>2016</v>
      </c>
      <c r="B1192" t="str">
        <f>+OperatingFunds!$A$11</f>
        <v>375</v>
      </c>
      <c r="C1192" t="s">
        <v>1764</v>
      </c>
      <c r="D1192" t="s">
        <v>1776</v>
      </c>
      <c r="E1192" s="32">
        <f>INDEX(OperatingFunds!$C$141:$AAF$150,ROW(OperatingFunds!$A$4),ROW(OperatingFunds!A$26))</f>
        <v>0</v>
      </c>
    </row>
    <row r="1193" spans="1:5">
      <c r="A1193" t="str">
        <f>RIGHT(OperatingFunds!$AC$6,4)</f>
        <v>2016</v>
      </c>
      <c r="B1193" t="str">
        <f>+OperatingFunds!$A$12</f>
        <v>376</v>
      </c>
      <c r="C1193" t="s">
        <v>1764</v>
      </c>
      <c r="D1193" t="s">
        <v>1776</v>
      </c>
      <c r="E1193" s="32">
        <f>INDEX(OperatingFunds!$C$141:$AAF$150,ROW(OperatingFunds!$A$5),ROW(OperatingFunds!A$26))</f>
        <v>0</v>
      </c>
    </row>
    <row r="1194" spans="1:5">
      <c r="A1194" t="str">
        <f>RIGHT(OperatingFunds!$AC$6,4)</f>
        <v>2016</v>
      </c>
      <c r="B1194" t="str">
        <f>+OperatingFunds!$A$13</f>
        <v>380</v>
      </c>
      <c r="C1194" t="s">
        <v>1764</v>
      </c>
      <c r="D1194" t="s">
        <v>1776</v>
      </c>
      <c r="E1194" s="32">
        <f>INDEX(OperatingFunds!$C$141:$AAF$150,ROW(OperatingFunds!$A$6),ROW(OperatingFunds!A$26))</f>
        <v>0</v>
      </c>
    </row>
    <row r="1195" spans="1:5">
      <c r="A1195" t="str">
        <f>RIGHT(OperatingFunds!$AC$6,4)</f>
        <v>2016</v>
      </c>
      <c r="B1195" t="str">
        <f>+OperatingFunds!$A$16</f>
        <v>699</v>
      </c>
      <c r="C1195" t="s">
        <v>1764</v>
      </c>
      <c r="D1195" t="s">
        <v>1776</v>
      </c>
      <c r="E1195" s="32">
        <f>INDEX(OperatingFunds!$C$141:$AAF$150,ROW(OperatingFunds!$A$9),ROW(OperatingFunds!A$26))</f>
        <v>8390.1759999999995</v>
      </c>
    </row>
    <row r="1196" spans="1:5">
      <c r="A1196" t="str">
        <f>RIGHT(OperatingFunds!$AC$6,4)</f>
        <v>2016</v>
      </c>
      <c r="B1196" t="str">
        <f>+OperatingFunds!$A$17</f>
        <v>340</v>
      </c>
      <c r="C1196" t="s">
        <v>1764</v>
      </c>
      <c r="D1196" t="s">
        <v>1776</v>
      </c>
      <c r="E1196" s="32">
        <f>INDEX(OperatingFunds!$C$141:$AAF$150,ROW(OperatingFunds!$A$10),ROW(OperatingFunds!A$26))</f>
        <v>0</v>
      </c>
    </row>
    <row r="1197" spans="1:5">
      <c r="A1197" t="str">
        <f>RIGHT(OperatingFunds!$AD$6,4)</f>
        <v>2017</v>
      </c>
      <c r="B1197" t="str">
        <f>+OperatingFunds!$A$8</f>
        <v>360</v>
      </c>
      <c r="C1197" t="s">
        <v>1764</v>
      </c>
      <c r="D1197" t="s">
        <v>1776</v>
      </c>
      <c r="E1197" s="32">
        <f>INDEX(OperatingFunds!$C$141:$AAF$150,ROW(OperatingFunds!$A$1),ROW(OperatingFunds!A$27))</f>
        <v>9655.4633400000002</v>
      </c>
    </row>
    <row r="1198" spans="1:5">
      <c r="A1198" t="str">
        <f>RIGHT(OperatingFunds!$AD$6,4)</f>
        <v>2017</v>
      </c>
      <c r="B1198" t="str">
        <f>+OperatingFunds!$A$9</f>
        <v>365</v>
      </c>
      <c r="C1198" t="s">
        <v>1764</v>
      </c>
      <c r="D1198" t="s">
        <v>1776</v>
      </c>
      <c r="E1198" s="32">
        <f>INDEX(OperatingFunds!$C$141:$AAF$150,ROW(OperatingFunds!$A$2),ROW(OperatingFunds!A$27))</f>
        <v>138</v>
      </c>
    </row>
    <row r="1199" spans="1:5">
      <c r="A1199" t="str">
        <f>RIGHT(OperatingFunds!$AD$6,4)</f>
        <v>2017</v>
      </c>
      <c r="B1199" t="str">
        <f>+OperatingFunds!$A$10</f>
        <v>370</v>
      </c>
      <c r="C1199" t="s">
        <v>1764</v>
      </c>
      <c r="D1199" t="s">
        <v>1776</v>
      </c>
      <c r="E1199" s="32">
        <f>INDEX(OperatingFunds!$C$141:$AAF$150,ROW(OperatingFunds!$A$3),ROW(OperatingFunds!A$27))</f>
        <v>0</v>
      </c>
    </row>
    <row r="1200" spans="1:5">
      <c r="A1200" t="str">
        <f>RIGHT(OperatingFunds!$AD$6,4)</f>
        <v>2017</v>
      </c>
      <c r="B1200" t="str">
        <f>+OperatingFunds!$A$11</f>
        <v>375</v>
      </c>
      <c r="C1200" t="s">
        <v>1764</v>
      </c>
      <c r="D1200" t="s">
        <v>1776</v>
      </c>
      <c r="E1200" s="32">
        <f>INDEX(OperatingFunds!$C$141:$AAF$150,ROW(OperatingFunds!$A$4),ROW(OperatingFunds!A$27))</f>
        <v>0</v>
      </c>
    </row>
    <row r="1201" spans="1:5">
      <c r="A1201" t="str">
        <f>RIGHT(OperatingFunds!$AD$6,4)</f>
        <v>2017</v>
      </c>
      <c r="B1201" t="str">
        <f>+OperatingFunds!$A$12</f>
        <v>376</v>
      </c>
      <c r="C1201" t="s">
        <v>1764</v>
      </c>
      <c r="D1201" t="s">
        <v>1776</v>
      </c>
      <c r="E1201" s="32">
        <f>INDEX(OperatingFunds!$C$141:$AAF$150,ROW(OperatingFunds!$A$5),ROW(OperatingFunds!A$27))</f>
        <v>0</v>
      </c>
    </row>
    <row r="1202" spans="1:5">
      <c r="A1202" t="str">
        <f>RIGHT(OperatingFunds!$AD$6,4)</f>
        <v>2017</v>
      </c>
      <c r="B1202" t="str">
        <f>+OperatingFunds!$A$13</f>
        <v>380</v>
      </c>
      <c r="C1202" t="s">
        <v>1764</v>
      </c>
      <c r="D1202" t="s">
        <v>1776</v>
      </c>
      <c r="E1202" s="32">
        <f>INDEX(OperatingFunds!$C$141:$AAF$150,ROW(OperatingFunds!$A$6),ROW(OperatingFunds!A$27))</f>
        <v>0</v>
      </c>
    </row>
    <row r="1203" spans="1:5">
      <c r="A1203" t="str">
        <f>RIGHT(OperatingFunds!$AD$6,4)</f>
        <v>2017</v>
      </c>
      <c r="B1203" t="str">
        <f>+OperatingFunds!$A$16</f>
        <v>699</v>
      </c>
      <c r="C1203" t="s">
        <v>1764</v>
      </c>
      <c r="D1203" t="s">
        <v>1776</v>
      </c>
      <c r="E1203" s="32">
        <f>INDEX(OperatingFunds!$C$141:$AAF$150,ROW(OperatingFunds!$A$9),ROW(OperatingFunds!A$27))</f>
        <v>8386.3760000000002</v>
      </c>
    </row>
    <row r="1204" spans="1:5">
      <c r="A1204" t="str">
        <f>RIGHT(OperatingFunds!$AD$6,4)</f>
        <v>2017</v>
      </c>
      <c r="B1204" t="str">
        <f>+OperatingFunds!$A$17</f>
        <v>340</v>
      </c>
      <c r="C1204" t="s">
        <v>1764</v>
      </c>
      <c r="D1204" t="s">
        <v>1776</v>
      </c>
      <c r="E1204" s="32">
        <f>INDEX(OperatingFunds!$C$141:$AAF$150,ROW(OperatingFunds!$A$10),ROW(OperatingFunds!A$27))</f>
        <v>0</v>
      </c>
    </row>
    <row r="1205" spans="1:5">
      <c r="A1205" t="str">
        <f>RIGHT(OperatingFunds!$AE$6,4)</f>
        <v>2018</v>
      </c>
      <c r="B1205" t="str">
        <f>+OperatingFunds!$A$8</f>
        <v>360</v>
      </c>
      <c r="C1205" t="s">
        <v>1763</v>
      </c>
      <c r="D1205" t="s">
        <v>1776</v>
      </c>
      <c r="E1205" s="32">
        <f>INDEX(OperatingFunds!$C$141:$AAF$150,ROW(OperatingFunds!$A$1),ROW(OperatingFunds!A$28))</f>
        <v>9516.75605</v>
      </c>
    </row>
    <row r="1206" spans="1:5">
      <c r="A1206" t="str">
        <f>RIGHT(OperatingFunds!$AE$6,4)</f>
        <v>2018</v>
      </c>
      <c r="B1206" t="str">
        <f>+OperatingFunds!$A$9</f>
        <v>365</v>
      </c>
      <c r="C1206" t="s">
        <v>1763</v>
      </c>
      <c r="D1206" t="s">
        <v>1776</v>
      </c>
      <c r="E1206" s="32">
        <f>INDEX(OperatingFunds!$C$141:$AAF$150,ROW(OperatingFunds!$A$2),ROW(OperatingFunds!A$28))</f>
        <v>138</v>
      </c>
    </row>
    <row r="1207" spans="1:5">
      <c r="A1207" t="str">
        <f>RIGHT(OperatingFunds!$AE$6,4)</f>
        <v>2018</v>
      </c>
      <c r="B1207" t="str">
        <f>+OperatingFunds!$A$10</f>
        <v>370</v>
      </c>
      <c r="C1207" t="s">
        <v>1763</v>
      </c>
      <c r="D1207" t="s">
        <v>1776</v>
      </c>
      <c r="E1207" s="32">
        <f>INDEX(OperatingFunds!$C$141:$AAF$150,ROW(OperatingFunds!$A$3),ROW(OperatingFunds!A$28))</f>
        <v>0</v>
      </c>
    </row>
    <row r="1208" spans="1:5">
      <c r="A1208" t="str">
        <f>RIGHT(OperatingFunds!$AE$6,4)</f>
        <v>2018</v>
      </c>
      <c r="B1208" t="str">
        <f>+OperatingFunds!$A$11</f>
        <v>375</v>
      </c>
      <c r="C1208" t="s">
        <v>1763</v>
      </c>
      <c r="D1208" t="s">
        <v>1776</v>
      </c>
      <c r="E1208" s="32">
        <f>INDEX(OperatingFunds!$C$141:$AAF$150,ROW(OperatingFunds!$A$4),ROW(OperatingFunds!A$28))</f>
        <v>0</v>
      </c>
    </row>
    <row r="1209" spans="1:5">
      <c r="A1209" t="str">
        <f>RIGHT(OperatingFunds!$AE$6,4)</f>
        <v>2018</v>
      </c>
      <c r="B1209" t="str">
        <f>+OperatingFunds!$A$12</f>
        <v>376</v>
      </c>
      <c r="C1209" t="s">
        <v>1763</v>
      </c>
      <c r="D1209" t="s">
        <v>1776</v>
      </c>
      <c r="E1209" s="32">
        <f>INDEX(OperatingFunds!$C$141:$AAF$150,ROW(OperatingFunds!$A$5),ROW(OperatingFunds!A$28))</f>
        <v>0</v>
      </c>
    </row>
    <row r="1210" spans="1:5">
      <c r="A1210" t="str">
        <f>RIGHT(OperatingFunds!$AE$6,4)</f>
        <v>2018</v>
      </c>
      <c r="B1210" t="str">
        <f>+OperatingFunds!$A$13</f>
        <v>380</v>
      </c>
      <c r="C1210" t="s">
        <v>1763</v>
      </c>
      <c r="D1210" t="s">
        <v>1776</v>
      </c>
      <c r="E1210" s="32">
        <f>INDEX(OperatingFunds!$C$141:$AAF$150,ROW(OperatingFunds!$A$6),ROW(OperatingFunds!A$28))</f>
        <v>0</v>
      </c>
    </row>
    <row r="1211" spans="1:5">
      <c r="A1211" t="str">
        <f>RIGHT(OperatingFunds!$AE$6,4)</f>
        <v>2018</v>
      </c>
      <c r="B1211" t="str">
        <f>+OperatingFunds!$A$16</f>
        <v>699</v>
      </c>
      <c r="C1211" t="s">
        <v>1763</v>
      </c>
      <c r="D1211" t="s">
        <v>1776</v>
      </c>
      <c r="E1211" s="32">
        <f>INDEX(OperatingFunds!$C$141:$AAF$150,ROW(OperatingFunds!$A$9),ROW(OperatingFunds!A$28))</f>
        <v>8395.3359999999993</v>
      </c>
    </row>
    <row r="1212" spans="1:5">
      <c r="A1212" t="str">
        <f>RIGHT(OperatingFunds!$AE$6,4)</f>
        <v>2018</v>
      </c>
      <c r="B1212" t="str">
        <f>+OperatingFunds!$A$17</f>
        <v>340</v>
      </c>
      <c r="C1212" t="s">
        <v>1763</v>
      </c>
      <c r="D1212" t="s">
        <v>1776</v>
      </c>
      <c r="E1212" s="32">
        <f>INDEX(OperatingFunds!$C$141:$AAF$150,ROW(OperatingFunds!$A$10),ROW(OperatingFunds!A$28))</f>
        <v>60.986270000000005</v>
      </c>
    </row>
    <row r="1213" spans="1:5">
      <c r="A1213" t="str">
        <f>RIGHT(OperatingFunds!$AL$6,4)</f>
        <v>2025</v>
      </c>
      <c r="B1213" t="str">
        <f>+OperatingFunds!$A$8</f>
        <v>360</v>
      </c>
      <c r="C1213" t="s">
        <v>1764</v>
      </c>
      <c r="D1213" t="s">
        <v>1777</v>
      </c>
      <c r="E1213" s="32">
        <f>INDEX(OperatingFunds!$C$141:$AAF$150,ROW(OperatingFunds!$A$1),ROW(OperatingFunds!A$29))</f>
        <v>36518.033769999995</v>
      </c>
    </row>
    <row r="1214" spans="1:5">
      <c r="A1214" t="str">
        <f>RIGHT(OperatingFunds!$AL$6,4)</f>
        <v>2025</v>
      </c>
      <c r="B1214" t="str">
        <f>+OperatingFunds!$A$9</f>
        <v>365</v>
      </c>
      <c r="C1214" t="s">
        <v>1764</v>
      </c>
      <c r="D1214" t="s">
        <v>1777</v>
      </c>
      <c r="E1214" s="32">
        <f>INDEX(OperatingFunds!$C$141:$AAF$150,ROW(OperatingFunds!$A$2),ROW(OperatingFunds!A$29))</f>
        <v>16040</v>
      </c>
    </row>
    <row r="1215" spans="1:5">
      <c r="A1215" t="str">
        <f>RIGHT(OperatingFunds!$AL$6,4)</f>
        <v>2025</v>
      </c>
      <c r="B1215" t="str">
        <f>+OperatingFunds!$A$10</f>
        <v>370</v>
      </c>
      <c r="C1215" t="s">
        <v>1764</v>
      </c>
      <c r="D1215" t="s">
        <v>1777</v>
      </c>
      <c r="E1215" s="32">
        <f>INDEX(OperatingFunds!$C$141:$AAF$150,ROW(OperatingFunds!$A$3),ROW(OperatingFunds!A$29))</f>
        <v>0</v>
      </c>
    </row>
    <row r="1216" spans="1:5">
      <c r="A1216" t="str">
        <f>RIGHT(OperatingFunds!$AL$6,4)</f>
        <v>2025</v>
      </c>
      <c r="B1216" t="str">
        <f>+OperatingFunds!$A$11</f>
        <v>375</v>
      </c>
      <c r="C1216" t="s">
        <v>1764</v>
      </c>
      <c r="D1216" t="s">
        <v>1777</v>
      </c>
      <c r="E1216" s="32">
        <f>INDEX(OperatingFunds!$C$141:$AAF$150,ROW(OperatingFunds!$A$4),ROW(OperatingFunds!A$29))</f>
        <v>1998.5</v>
      </c>
    </row>
    <row r="1217" spans="1:5">
      <c r="A1217" t="str">
        <f>RIGHT(OperatingFunds!$AL$6,4)</f>
        <v>2025</v>
      </c>
      <c r="B1217" t="str">
        <f>+OperatingFunds!$A$12</f>
        <v>376</v>
      </c>
      <c r="C1217" t="s">
        <v>1764</v>
      </c>
      <c r="D1217" t="s">
        <v>1777</v>
      </c>
      <c r="E1217" s="32">
        <f>INDEX(OperatingFunds!$C$141:$AAF$150,ROW(OperatingFunds!$A$5),ROW(OperatingFunds!A$29))</f>
        <v>42</v>
      </c>
    </row>
    <row r="1218" spans="1:5">
      <c r="A1218" t="str">
        <f>RIGHT(OperatingFunds!$AL$6,4)</f>
        <v>2025</v>
      </c>
      <c r="B1218" t="str">
        <f>+OperatingFunds!$A$13</f>
        <v>380</v>
      </c>
      <c r="C1218" t="s">
        <v>1764</v>
      </c>
      <c r="D1218" t="s">
        <v>1777</v>
      </c>
      <c r="E1218" s="32">
        <f>INDEX(OperatingFunds!$C$141:$AAF$150,ROW(OperatingFunds!$A$6),ROW(OperatingFunds!A$29))</f>
        <v>444.46769</v>
      </c>
    </row>
    <row r="1219" spans="1:5">
      <c r="A1219" t="str">
        <f>RIGHT(OperatingFunds!$AL$6,4)</f>
        <v>2025</v>
      </c>
      <c r="B1219" t="str">
        <f>+OperatingFunds!$A$16</f>
        <v>699</v>
      </c>
      <c r="C1219" t="s">
        <v>1764</v>
      </c>
      <c r="D1219" t="s">
        <v>1777</v>
      </c>
      <c r="E1219" s="32">
        <f>INDEX(OperatingFunds!$C$141:$AAF$150,ROW(OperatingFunds!$A$9),ROW(OperatingFunds!A$29))</f>
        <v>43129.936000000002</v>
      </c>
    </row>
    <row r="1220" spans="1:5">
      <c r="A1220" t="str">
        <f>RIGHT(OperatingFunds!$AL$6,4)</f>
        <v>2025</v>
      </c>
      <c r="B1220" t="str">
        <f>+OperatingFunds!$A$17</f>
        <v>340</v>
      </c>
      <c r="C1220" t="s">
        <v>1764</v>
      </c>
      <c r="D1220" t="s">
        <v>1777</v>
      </c>
      <c r="E1220" s="32">
        <f>INDEX(OperatingFunds!$C$141:$AAF$150,ROW(OperatingFunds!$A$10),ROW(OperatingFunds!A$29))</f>
        <v>1425.2834399999999</v>
      </c>
    </row>
    <row r="1221" spans="1:5">
      <c r="A1221" t="str">
        <f>RIGHT(OperatingFunds!$X$6,4)</f>
        <v>2011</v>
      </c>
      <c r="B1221" t="str">
        <f>+OperatingFunds!$A$16</f>
        <v>699</v>
      </c>
      <c r="C1221" t="s">
        <v>1764</v>
      </c>
      <c r="D1221" t="s">
        <v>1778</v>
      </c>
      <c r="E1221" s="32">
        <f>INDEX(OperatingFunds!$C$157:$AAF$157,ROW(OperatingFunds!$A$1),ROW(OperatingFunds!A$21))</f>
        <v>0</v>
      </c>
    </row>
    <row r="1222" spans="1:5">
      <c r="A1222" t="str">
        <f>RIGHT(OperatingFunds!$X$6,4)</f>
        <v>2011</v>
      </c>
      <c r="B1222" t="str">
        <f>+OperatingFunds!$A$17</f>
        <v>340</v>
      </c>
      <c r="C1222" t="s">
        <v>1764</v>
      </c>
      <c r="D1222" t="s">
        <v>1784</v>
      </c>
      <c r="E1222" s="32">
        <f>INDEX(OperatingFunds!$C$158:$AAF$158,ROW(OperatingFunds!$A$1),ROW(OperatingFunds!A$21))</f>
        <v>0</v>
      </c>
    </row>
    <row r="1223" spans="1:5">
      <c r="A1223" t="str">
        <f>RIGHT(OperatingFunds!$Y$6,4)</f>
        <v>2012</v>
      </c>
      <c r="B1223" t="str">
        <f>+OperatingFunds!$A$17</f>
        <v>340</v>
      </c>
      <c r="C1223" t="s">
        <v>1764</v>
      </c>
      <c r="D1223" t="s">
        <v>1784</v>
      </c>
      <c r="E1223" s="32">
        <f>INDEX(OperatingFunds!$C$158:$AAF$158,ROW(OperatingFunds!$A$1),ROW(OperatingFunds!A$22))</f>
        <v>73500</v>
      </c>
    </row>
    <row r="1224" spans="1:5">
      <c r="A1224" t="str">
        <f>RIGHT(OperatingFunds!$Z$6,4)</f>
        <v>2013</v>
      </c>
      <c r="B1224" t="str">
        <f>+OperatingFunds!$A$17</f>
        <v>340</v>
      </c>
      <c r="C1224" t="s">
        <v>1764</v>
      </c>
      <c r="D1224" t="s">
        <v>1784</v>
      </c>
      <c r="E1224" s="32">
        <f>INDEX(OperatingFunds!$C$158:$AAF$158,ROW(OperatingFunds!$A$1),ROW(OperatingFunds!A$23))</f>
        <v>73500</v>
      </c>
    </row>
    <row r="1225" spans="1:5">
      <c r="A1225" t="str">
        <f>RIGHT(OperatingFunds!$AA$6,4)</f>
        <v>2014</v>
      </c>
      <c r="B1225" t="str">
        <f>+OperatingFunds!$A$17</f>
        <v>340</v>
      </c>
      <c r="C1225" t="s">
        <v>1764</v>
      </c>
      <c r="D1225" t="s">
        <v>1784</v>
      </c>
      <c r="E1225" s="32">
        <f>INDEX(OperatingFunds!$C$158:$AAF$158,ROW(OperatingFunds!$A$1),ROW(OperatingFunds!A$24))</f>
        <v>108500</v>
      </c>
    </row>
    <row r="1226" spans="1:5">
      <c r="A1226" t="str">
        <f>RIGHT(OperatingFunds!$AB$6,4)</f>
        <v>2015</v>
      </c>
      <c r="B1226" t="str">
        <f>+OperatingFunds!$A$17</f>
        <v>340</v>
      </c>
      <c r="C1226" t="s">
        <v>1764</v>
      </c>
      <c r="D1226" t="s">
        <v>1784</v>
      </c>
      <c r="E1226" s="32">
        <f>INDEX(OperatingFunds!$C$158:$AAF$158,ROW(OperatingFunds!$A$1),ROW(OperatingFunds!A$25))</f>
        <v>67500</v>
      </c>
    </row>
    <row r="1227" spans="1:5">
      <c r="A1227" t="str">
        <f>RIGHT(OperatingFunds!$AC$6,4)</f>
        <v>2016</v>
      </c>
      <c r="B1227" t="str">
        <f>+OperatingFunds!$A$17</f>
        <v>340</v>
      </c>
      <c r="C1227" t="s">
        <v>1764</v>
      </c>
      <c r="D1227" t="s">
        <v>1784</v>
      </c>
      <c r="E1227" s="32">
        <f>INDEX(OperatingFunds!$C$158:$AAF$158,ROW(OperatingFunds!$A$1),ROW(OperatingFunds!A$26))</f>
        <v>73500</v>
      </c>
    </row>
    <row r="1228" spans="1:5">
      <c r="A1228" t="str">
        <f>RIGHT(OperatingFunds!$AD$6,4)</f>
        <v>2017</v>
      </c>
      <c r="B1228" t="str">
        <f>+OperatingFunds!$A$17</f>
        <v>340</v>
      </c>
      <c r="C1228" t="s">
        <v>1764</v>
      </c>
      <c r="D1228" t="s">
        <v>1784</v>
      </c>
      <c r="E1228" s="32">
        <f>INDEX(OperatingFunds!$C$158:$AAF$158,ROW(OperatingFunds!$A$1),ROW(OperatingFunds!A$27))</f>
        <v>95061</v>
      </c>
    </row>
    <row r="1229" spans="1:5">
      <c r="A1229" t="str">
        <f>RIGHT(OperatingFunds!$AE$6,4)</f>
        <v>2018</v>
      </c>
      <c r="B1229" t="str">
        <f>+OperatingFunds!$A$17</f>
        <v>340</v>
      </c>
      <c r="C1229" t="s">
        <v>1763</v>
      </c>
      <c r="D1229" t="s">
        <v>1784</v>
      </c>
      <c r="E1229" s="32">
        <f>INDEX(OperatingFunds!$C$158:$AAF$158,ROW(OperatingFunds!$A$1),ROW(OperatingFunds!A$28))</f>
        <v>74973.626580000011</v>
      </c>
    </row>
    <row r="1230" spans="1:5">
      <c r="A1230" t="str">
        <f>RIGHT(OperatingFunds!$AL$6,4)</f>
        <v>2025</v>
      </c>
      <c r="B1230" t="str">
        <f>+OperatingFunds!$A$17</f>
        <v>340</v>
      </c>
      <c r="C1230" t="s">
        <v>1764</v>
      </c>
      <c r="D1230" t="s">
        <v>1785</v>
      </c>
      <c r="E1230" s="32">
        <f>INDEX(OperatingFunds!$C$158:$AAF$158,ROW(OperatingFunds!$A$1),ROW(OperatingFunds!A$29))</f>
        <v>59108</v>
      </c>
    </row>
    <row r="1231" spans="1:5">
      <c r="A1231" s="32" t="str">
        <f>TEXT(INDEX(EconomicIndicators!$B$5:$ADD$5,ROW(EconomicIndicators!$A$1),ROW(EconomicIndicators!A1)),"0000")</f>
        <v>1990</v>
      </c>
      <c r="B1231" t="str">
        <f>TEXT(0,"000")</f>
        <v>000</v>
      </c>
      <c r="C1231" t="s">
        <v>1780</v>
      </c>
      <c r="D1231" t="s">
        <v>1781</v>
      </c>
      <c r="E1231" s="2065">
        <f>INDEX(EconomicIndicators!$B$7:$AAG$7,ROW(EconomicIndicators!$A$1),ROW(EconomicIndicators!A1))</f>
        <v>1</v>
      </c>
    </row>
    <row r="1232" spans="1:5">
      <c r="A1232" s="32" t="str">
        <f>TEXT(INDEX(EconomicIndicators!$B$5:$ADD$5,ROW(EconomicIndicators!$A$1),ROW(EconomicIndicators!A2)),"0000")</f>
        <v>1991</v>
      </c>
      <c r="B1232" t="str">
        <f t="shared" ref="B1232:B1262" si="0">TEXT(0,"000")</f>
        <v>000</v>
      </c>
      <c r="C1232" t="s">
        <v>1780</v>
      </c>
      <c r="D1232" t="s">
        <v>1781</v>
      </c>
      <c r="E1232" s="2065">
        <f>INDEX(EconomicIndicators!$B$7:$AAG$7,ROW(EconomicIndicators!$A$1),ROW(EconomicIndicators!A2))</f>
        <v>1.0432900000000001</v>
      </c>
    </row>
    <row r="1233" spans="1:5">
      <c r="A1233" s="32" t="str">
        <f>TEXT(INDEX(EconomicIndicators!$B$5:$ADD$5,ROW(EconomicIndicators!$A$1),ROW(EconomicIndicators!A3)),"0000")</f>
        <v>1992</v>
      </c>
      <c r="B1233" t="str">
        <f t="shared" si="0"/>
        <v>000</v>
      </c>
      <c r="C1233" t="s">
        <v>1780</v>
      </c>
      <c r="D1233" t="s">
        <v>1781</v>
      </c>
      <c r="E1233" s="2065">
        <f>INDEX(EconomicIndicators!$B$7:$AAG$7,ROW(EconomicIndicators!$A$1),ROW(EconomicIndicators!A3))</f>
        <v>1.0717300000000001</v>
      </c>
    </row>
    <row r="1234" spans="1:5">
      <c r="A1234" s="32" t="str">
        <f>TEXT(INDEX(EconomicIndicators!$B$5:$ADD$5,ROW(EconomicIndicators!$A$1),ROW(EconomicIndicators!A4)),"0000")</f>
        <v>1993</v>
      </c>
      <c r="B1234" t="str">
        <f t="shared" si="0"/>
        <v>000</v>
      </c>
      <c r="C1234" t="s">
        <v>1780</v>
      </c>
      <c r="D1234" t="s">
        <v>1781</v>
      </c>
      <c r="E1234" s="2065">
        <f>INDEX(EconomicIndicators!$B$7:$AAG$7,ROW(EconomicIndicators!$A$1),ROW(EconomicIndicators!A4))</f>
        <v>1.1000700000000001</v>
      </c>
    </row>
    <row r="1235" spans="1:5">
      <c r="A1235" s="32" t="str">
        <f>TEXT(INDEX(EconomicIndicators!$B$5:$ADD$5,ROW(EconomicIndicators!$A$1),ROW(EconomicIndicators!A5)),"0000")</f>
        <v>1994</v>
      </c>
      <c r="B1235" t="str">
        <f t="shared" si="0"/>
        <v>000</v>
      </c>
      <c r="C1235" t="s">
        <v>1780</v>
      </c>
      <c r="D1235" t="s">
        <v>1781</v>
      </c>
      <c r="E1235" s="2065">
        <f>INDEX(EconomicIndicators!$B$7:$AAG$7,ROW(EconomicIndicators!$A$1),ROW(EconomicIndicators!A5))</f>
        <v>1.12405</v>
      </c>
    </row>
    <row r="1236" spans="1:5">
      <c r="A1236" s="32" t="str">
        <f>TEXT(INDEX(EconomicIndicators!$B$5:$ADD$5,ROW(EconomicIndicators!$A$1),ROW(EconomicIndicators!A6)),"0000")</f>
        <v>1995</v>
      </c>
      <c r="B1236" t="str">
        <f t="shared" si="0"/>
        <v>000</v>
      </c>
      <c r="C1236" t="s">
        <v>1780</v>
      </c>
      <c r="D1236" t="s">
        <v>1781</v>
      </c>
      <c r="E1236" s="2065">
        <f>INDEX(EconomicIndicators!$B$7:$AAG$7,ROW(EconomicIndicators!$A$1),ROW(EconomicIndicators!A6))</f>
        <v>1.1490100000000001</v>
      </c>
    </row>
    <row r="1237" spans="1:5">
      <c r="A1237" s="32" t="str">
        <f>TEXT(INDEX(EconomicIndicators!$B$5:$ADD$5,ROW(EconomicIndicators!$A$1),ROW(EconomicIndicators!A7)),"0000")</f>
        <v>1996</v>
      </c>
      <c r="B1237" t="str">
        <f t="shared" si="0"/>
        <v>000</v>
      </c>
      <c r="C1237" t="s">
        <v>1780</v>
      </c>
      <c r="D1237" t="s">
        <v>1781</v>
      </c>
      <c r="E1237" s="2065">
        <f>INDEX(EconomicIndicators!$B$7:$AAG$7,ROW(EconomicIndicators!$A$1),ROW(EconomicIndicators!A7))</f>
        <v>1.1719599999999999</v>
      </c>
    </row>
    <row r="1238" spans="1:5">
      <c r="A1238" s="32" t="str">
        <f>TEXT(INDEX(EconomicIndicators!$B$5:$ADD$5,ROW(EconomicIndicators!$A$1),ROW(EconomicIndicators!A8)),"0000")</f>
        <v>1997</v>
      </c>
      <c r="B1238" t="str">
        <f t="shared" si="0"/>
        <v>000</v>
      </c>
      <c r="C1238" t="s">
        <v>1780</v>
      </c>
      <c r="D1238" t="s">
        <v>1781</v>
      </c>
      <c r="E1238" s="2065">
        <f>INDEX(EconomicIndicators!$B$7:$AAG$7,ROW(EconomicIndicators!$A$1),ROW(EconomicIndicators!A8))</f>
        <v>1.1968700000000001</v>
      </c>
    </row>
    <row r="1239" spans="1:5">
      <c r="A1239" s="32" t="str">
        <f>TEXT(INDEX(EconomicIndicators!$B$5:$ADD$5,ROW(EconomicIndicators!$A$1),ROW(EconomicIndicators!A9)),"0000")</f>
        <v>1998</v>
      </c>
      <c r="B1239" t="str">
        <f t="shared" si="0"/>
        <v>000</v>
      </c>
      <c r="C1239" t="s">
        <v>1780</v>
      </c>
      <c r="D1239" t="s">
        <v>1781</v>
      </c>
      <c r="E1239" s="2065">
        <f>INDEX(EconomicIndicators!$B$7:$AAG$7,ROW(EconomicIndicators!$A$1),ROW(EconomicIndicators!A9))</f>
        <v>1.2104200000000001</v>
      </c>
    </row>
    <row r="1240" spans="1:5">
      <c r="A1240" s="32" t="str">
        <f>TEXT(INDEX(EconomicIndicators!$B$5:$ADD$5,ROW(EconomicIndicators!$A$1),ROW(EconomicIndicators!A10)),"0000")</f>
        <v>1999</v>
      </c>
      <c r="B1240" t="str">
        <f t="shared" si="0"/>
        <v>000</v>
      </c>
      <c r="C1240" t="s">
        <v>1780</v>
      </c>
      <c r="D1240" t="s">
        <v>1781</v>
      </c>
      <c r="E1240" s="2065">
        <f>INDEX(EconomicIndicators!$B$7:$AAG$7,ROW(EconomicIndicators!$A$1),ROW(EconomicIndicators!A10))</f>
        <v>1.22211</v>
      </c>
    </row>
    <row r="1241" spans="1:5">
      <c r="A1241" s="32" t="str">
        <f>TEXT(INDEX(EconomicIndicators!$B$5:$ADD$5,ROW(EconomicIndicators!$A$1),ROW(EconomicIndicators!A11)),"0000")</f>
        <v>2000</v>
      </c>
      <c r="B1241" t="str">
        <f t="shared" si="0"/>
        <v>000</v>
      </c>
      <c r="C1241" t="s">
        <v>1780</v>
      </c>
      <c r="D1241" t="s">
        <v>1781</v>
      </c>
      <c r="E1241" s="2065">
        <f>INDEX(EconomicIndicators!$B$7:$AAG$7,ROW(EconomicIndicators!$A$1),ROW(EconomicIndicators!A11))</f>
        <v>1.24824</v>
      </c>
    </row>
    <row r="1242" spans="1:5">
      <c r="A1242" s="32" t="str">
        <f>TEXT(INDEX(EconomicIndicators!$B$5:$ADD$5,ROW(EconomicIndicators!$A$1),ROW(EconomicIndicators!A12)),"0000")</f>
        <v>2001</v>
      </c>
      <c r="B1242" t="str">
        <f t="shared" si="0"/>
        <v>000</v>
      </c>
      <c r="C1242" t="s">
        <v>1780</v>
      </c>
      <c r="D1242" t="s">
        <v>1781</v>
      </c>
      <c r="E1242" s="2065">
        <f>INDEX(EconomicIndicators!$B$7:$AAG$7,ROW(EconomicIndicators!$A$1),ROW(EconomicIndicators!A12))</f>
        <v>1.2794399999999999</v>
      </c>
    </row>
    <row r="1243" spans="1:5">
      <c r="A1243" s="32" t="str">
        <f>TEXT(INDEX(EconomicIndicators!$B$5:$ADD$5,ROW(EconomicIndicators!$A$1),ROW(EconomicIndicators!A13)),"0000")</f>
        <v>2002</v>
      </c>
      <c r="B1243" t="str">
        <f t="shared" si="0"/>
        <v>000</v>
      </c>
      <c r="C1243" t="s">
        <v>1780</v>
      </c>
      <c r="D1243" t="s">
        <v>1781</v>
      </c>
      <c r="E1243" s="2065">
        <f>INDEX(EconomicIndicators!$B$7:$AAG$7,ROW(EconomicIndicators!$A$1),ROW(EconomicIndicators!A13))</f>
        <v>1.2952300000000001</v>
      </c>
    </row>
    <row r="1244" spans="1:5">
      <c r="A1244" s="32" t="str">
        <f>TEXT(INDEX(EconomicIndicators!$B$5:$ADD$5,ROW(EconomicIndicators!$A$1),ROW(EconomicIndicators!A14)),"0000")</f>
        <v>2003</v>
      </c>
      <c r="B1244" t="str">
        <f t="shared" si="0"/>
        <v>000</v>
      </c>
      <c r="C1244" t="s">
        <v>1780</v>
      </c>
      <c r="D1244" t="s">
        <v>1781</v>
      </c>
      <c r="E1244" s="2065">
        <f>INDEX(EconomicIndicators!$B$7:$AAG$7,ROW(EconomicIndicators!$A$1),ROW(EconomicIndicators!A14))</f>
        <v>1.3205199999999999</v>
      </c>
    </row>
    <row r="1245" spans="1:5">
      <c r="A1245" s="32" t="str">
        <f>TEXT(INDEX(EconomicIndicators!$B$5:$ADD$5,ROW(EconomicIndicators!$A$1),ROW(EconomicIndicators!A15)),"0000")</f>
        <v>2004</v>
      </c>
      <c r="B1245" t="str">
        <f t="shared" si="0"/>
        <v>000</v>
      </c>
      <c r="C1245" t="s">
        <v>1780</v>
      </c>
      <c r="D1245" t="s">
        <v>1781</v>
      </c>
      <c r="E1245" s="2065">
        <f>INDEX(EconomicIndicators!$B$7:$AAG$7,ROW(EconomicIndicators!$A$1),ROW(EconomicIndicators!A15))</f>
        <v>1.34921</v>
      </c>
    </row>
    <row r="1246" spans="1:5">
      <c r="A1246" s="32" t="str">
        <f>TEXT(INDEX(EconomicIndicators!$B$5:$ADD$5,ROW(EconomicIndicators!$A$1),ROW(EconomicIndicators!A16)),"0000")</f>
        <v>2005</v>
      </c>
      <c r="B1246" t="str">
        <f t="shared" si="0"/>
        <v>000</v>
      </c>
      <c r="C1246" t="s">
        <v>1780</v>
      </c>
      <c r="D1246" t="s">
        <v>1781</v>
      </c>
      <c r="E1246" s="2065">
        <f>INDEX(EconomicIndicators!$B$7:$AAG$7,ROW(EconomicIndicators!$A$1),ROW(EconomicIndicators!A16))</f>
        <v>1.38453</v>
      </c>
    </row>
    <row r="1247" spans="1:5">
      <c r="A1247" s="32" t="str">
        <f>TEXT(INDEX(EconomicIndicators!$B$5:$ADD$5,ROW(EconomicIndicators!$A$1),ROW(EconomicIndicators!A17)),"0000")</f>
        <v>2006</v>
      </c>
      <c r="B1247" t="str">
        <f t="shared" si="0"/>
        <v>000</v>
      </c>
      <c r="C1247" t="s">
        <v>1780</v>
      </c>
      <c r="D1247" t="s">
        <v>1781</v>
      </c>
      <c r="E1247" s="2065">
        <f>INDEX(EconomicIndicators!$B$7:$AAG$7,ROW(EconomicIndicators!$A$1),ROW(EconomicIndicators!A17))</f>
        <v>1.4284699999999999</v>
      </c>
    </row>
    <row r="1248" spans="1:5">
      <c r="A1248" s="32" t="str">
        <f>TEXT(INDEX(EconomicIndicators!$B$5:$ADD$5,ROW(EconomicIndicators!$A$1),ROW(EconomicIndicators!A18)),"0000")</f>
        <v>2007</v>
      </c>
      <c r="B1248" t="str">
        <f t="shared" si="0"/>
        <v>000</v>
      </c>
      <c r="C1248" t="s">
        <v>1780</v>
      </c>
      <c r="D1248" t="s">
        <v>1781</v>
      </c>
      <c r="E1248" s="2065">
        <f>INDEX(EconomicIndicators!$B$7:$AAG$7,ROW(EconomicIndicators!$A$1),ROW(EconomicIndicators!A18))</f>
        <v>1.4627600000000001</v>
      </c>
    </row>
    <row r="1249" spans="1:5">
      <c r="A1249" s="32" t="str">
        <f>TEXT(INDEX(EconomicIndicators!$B$5:$ADD$5,ROW(EconomicIndicators!$A$1),ROW(EconomicIndicators!A19)),"0000")</f>
        <v>2008</v>
      </c>
      <c r="B1249" t="str">
        <f t="shared" si="0"/>
        <v>000</v>
      </c>
      <c r="C1249" t="s">
        <v>1780</v>
      </c>
      <c r="D1249" t="s">
        <v>1781</v>
      </c>
      <c r="E1249" s="2065">
        <f>INDEX(EconomicIndicators!$B$7:$AAG$7,ROW(EconomicIndicators!$A$1),ROW(EconomicIndicators!A19))</f>
        <v>1.5076499999999999</v>
      </c>
    </row>
    <row r="1250" spans="1:5">
      <c r="A1250" s="32" t="str">
        <f>TEXT(INDEX(EconomicIndicators!$B$5:$ADD$5,ROW(EconomicIndicators!$A$1),ROW(EconomicIndicators!A20)),"0000")</f>
        <v>2009</v>
      </c>
      <c r="B1250" t="str">
        <f t="shared" si="0"/>
        <v>000</v>
      </c>
      <c r="C1250" t="s">
        <v>1780</v>
      </c>
      <c r="D1250" t="s">
        <v>1781</v>
      </c>
      <c r="E1250" s="2065">
        <f>INDEX(EconomicIndicators!$B$7:$AAG$7,ROW(EconomicIndicators!$A$1),ROW(EconomicIndicators!A20))</f>
        <v>1.52281</v>
      </c>
    </row>
    <row r="1251" spans="1:5">
      <c r="A1251" s="32" t="str">
        <f>TEXT(INDEX(EconomicIndicators!$B$5:$ADD$5,ROW(EconomicIndicators!$A$1),ROW(EconomicIndicators!A21)),"0000")</f>
        <v>2010</v>
      </c>
      <c r="B1251" t="str">
        <f t="shared" si="0"/>
        <v>000</v>
      </c>
      <c r="C1251" t="s">
        <v>1780</v>
      </c>
      <c r="D1251" t="s">
        <v>1781</v>
      </c>
      <c r="E1251" s="2065">
        <f>INDEX(EconomicIndicators!$B$7:$AAG$7,ROW(EconomicIndicators!$A$1),ROW(EconomicIndicators!A21))</f>
        <v>1.5388200000000001</v>
      </c>
    </row>
    <row r="1252" spans="1:5">
      <c r="A1252" s="32" t="str">
        <f>TEXT(INDEX(EconomicIndicators!$B$5:$ADD$5,ROW(EconomicIndicators!$A$1),ROW(EconomicIndicators!A22)),"0000")</f>
        <v>2011</v>
      </c>
      <c r="B1252" t="str">
        <f t="shared" si="0"/>
        <v>000</v>
      </c>
      <c r="C1252" t="s">
        <v>1780</v>
      </c>
      <c r="D1252" t="s">
        <v>1781</v>
      </c>
      <c r="E1252" s="2065">
        <f>INDEX(EconomicIndicators!$B$7:$AAG$7,ROW(EconomicIndicators!$A$1),ROW(EconomicIndicators!A22))</f>
        <v>1.5673699999999999</v>
      </c>
    </row>
    <row r="1253" spans="1:5">
      <c r="A1253" s="32" t="str">
        <f>TEXT(INDEX(EconomicIndicators!$B$5:$ADD$5,ROW(EconomicIndicators!$A$1),ROW(EconomicIndicators!A23)),"0000")</f>
        <v>2012</v>
      </c>
      <c r="B1253" t="str">
        <f t="shared" si="0"/>
        <v>000</v>
      </c>
      <c r="C1253" t="s">
        <v>1780</v>
      </c>
      <c r="D1253" t="s">
        <v>1781</v>
      </c>
      <c r="E1253" s="2065">
        <f>INDEX(EconomicIndicators!$B$7:$AAG$7,ROW(EconomicIndicators!$A$1),ROW(EconomicIndicators!A23))</f>
        <v>1.6055900000000001</v>
      </c>
    </row>
    <row r="1254" spans="1:5">
      <c r="A1254" s="32" t="e">
        <f>TEXT(INDEX(EconomicIndicators!$B$5:$ADD$5,ROW(EconomicIndicators!$A$1),ROW(EconomicIndicators!#REF!)),"0000")</f>
        <v>#REF!</v>
      </c>
      <c r="B1254" t="str">
        <f t="shared" si="0"/>
        <v>000</v>
      </c>
      <c r="C1254" t="s">
        <v>1780</v>
      </c>
      <c r="D1254" t="s">
        <v>1781</v>
      </c>
      <c r="E1254" s="2065" t="e">
        <f>INDEX(EconomicIndicators!$B$7:$AAG$7,ROW(EconomicIndicators!$A$1),ROW(EconomicIndicators!#REF!))</f>
        <v>#REF!</v>
      </c>
    </row>
    <row r="1255" spans="1:5">
      <c r="A1255" s="32" t="e">
        <f>TEXT(INDEX(EconomicIndicators!$B$5:$ADD$5,ROW(EconomicIndicators!$A$1),ROW(EconomicIndicators!#REF!)),"0000")</f>
        <v>#REF!</v>
      </c>
      <c r="B1255" t="str">
        <f t="shared" si="0"/>
        <v>000</v>
      </c>
      <c r="C1255" t="s">
        <v>1780</v>
      </c>
      <c r="D1255" t="s">
        <v>1781</v>
      </c>
      <c r="E1255" s="2065" t="e">
        <f>INDEX(EconomicIndicators!$B$7:$AAG$7,ROW(EconomicIndicators!$A$1),ROW(EconomicIndicators!#REF!))</f>
        <v>#REF!</v>
      </c>
    </row>
    <row r="1256" spans="1:5">
      <c r="A1256" s="32" t="e">
        <f>TEXT(INDEX(EconomicIndicators!$B$5:$ADD$5,ROW(EconomicIndicators!$A$1),ROW(EconomicIndicators!#REF!)),"0000")</f>
        <v>#REF!</v>
      </c>
      <c r="B1256" t="str">
        <f t="shared" si="0"/>
        <v>000</v>
      </c>
      <c r="C1256" t="s">
        <v>1780</v>
      </c>
      <c r="D1256" t="s">
        <v>1781</v>
      </c>
      <c r="E1256" s="2065" t="e">
        <f>INDEX(EconomicIndicators!$B$7:$AAG$7,ROW(EconomicIndicators!$A$1),ROW(EconomicIndicators!#REF!))</f>
        <v>#REF!</v>
      </c>
    </row>
    <row r="1257" spans="1:5">
      <c r="A1257" s="32" t="e">
        <f>TEXT(INDEX(EconomicIndicators!$B$5:$ADD$5,ROW(EconomicIndicators!$A$1),ROW(EconomicIndicators!#REF!)),"0000")</f>
        <v>#REF!</v>
      </c>
      <c r="B1257" t="str">
        <f t="shared" si="0"/>
        <v>000</v>
      </c>
      <c r="C1257" t="s">
        <v>1780</v>
      </c>
      <c r="D1257" t="s">
        <v>1781</v>
      </c>
      <c r="E1257" s="2065" t="e">
        <f>INDEX(EconomicIndicators!$B$7:$AAG$7,ROW(EconomicIndicators!$A$1),ROW(EconomicIndicators!#REF!))</f>
        <v>#REF!</v>
      </c>
    </row>
    <row r="1258" spans="1:5">
      <c r="A1258" s="32" t="str">
        <f>TEXT(INDEX(EconomicIndicators!$B$5:$ADD$5,ROW(EconomicIndicators!$A$1),ROW(EconomicIndicators!A24)),"0000")</f>
        <v>2013</v>
      </c>
      <c r="B1258" t="str">
        <f t="shared" si="0"/>
        <v>000</v>
      </c>
      <c r="C1258" t="s">
        <v>1780</v>
      </c>
      <c r="D1258" t="s">
        <v>1781</v>
      </c>
      <c r="E1258" s="2065">
        <f>INDEX(EconomicIndicators!$B$7:$AAG$7,ROW(EconomicIndicators!$A$1),ROW(EconomicIndicators!A24))</f>
        <v>1.6296999999999999</v>
      </c>
    </row>
    <row r="1259" spans="1:5">
      <c r="A1259" s="32" t="str">
        <f>TEXT(INDEX(EconomicIndicators!$B$5:$ADD$5,ROW(EconomicIndicators!$A$1),ROW(EconomicIndicators!A25)),"0000")</f>
        <v>2014</v>
      </c>
      <c r="B1259" t="str">
        <f t="shared" si="0"/>
        <v>000</v>
      </c>
      <c r="C1259" t="s">
        <v>1780</v>
      </c>
      <c r="D1259" t="s">
        <v>1781</v>
      </c>
      <c r="E1259" s="2065">
        <f>INDEX(EconomicIndicators!$B$7:$AAG$7,ROW(EconomicIndicators!$A$1),ROW(EconomicIndicators!A25))</f>
        <v>1.6523300000000001</v>
      </c>
    </row>
    <row r="1260" spans="1:5">
      <c r="A1260" s="32" t="str">
        <f>TEXT(INDEX(EconomicIndicators!$B$5:$ADD$5,ROW(EconomicIndicators!$A$1),ROW(EconomicIndicators!A26)),"0000")</f>
        <v>2015</v>
      </c>
      <c r="B1260" t="str">
        <f t="shared" si="0"/>
        <v>000</v>
      </c>
      <c r="C1260" t="s">
        <v>1780</v>
      </c>
      <c r="D1260" t="s">
        <v>1781</v>
      </c>
      <c r="E1260" s="2065">
        <f>INDEX(EconomicIndicators!$B$7:$AAG$7,ROW(EconomicIndicators!$A$1),ROW(EconomicIndicators!A26))</f>
        <v>1.6644099999999999</v>
      </c>
    </row>
    <row r="1261" spans="1:5">
      <c r="A1261" s="32" t="str">
        <f>TEXT(INDEX(EconomicIndicators!$B$5:$ADD$5,ROW(EconomicIndicators!$A$1),ROW(EconomicIndicators!A27)),"0000")</f>
        <v>2016</v>
      </c>
      <c r="B1261" t="str">
        <f t="shared" si="0"/>
        <v>000</v>
      </c>
      <c r="C1261" t="s">
        <v>1780</v>
      </c>
      <c r="D1261" t="s">
        <v>1781</v>
      </c>
      <c r="E1261" s="2065">
        <f>INDEX(EconomicIndicators!$B$7:$AAG$7,ROW(EconomicIndicators!$A$1),ROW(EconomicIndicators!A27))</f>
        <v>1.67275</v>
      </c>
    </row>
    <row r="1262" spans="1:5">
      <c r="A1262" s="32" t="str">
        <f>TEXT(INDEX(EconomicIndicators!$B$5:$ADD$5,ROW(EconomicIndicators!$A$1),ROW(EconomicIndicators!A28)),"0000")</f>
        <v>2017</v>
      </c>
      <c r="B1262" t="str">
        <f t="shared" si="0"/>
        <v>000</v>
      </c>
      <c r="C1262" t="s">
        <v>1780</v>
      </c>
      <c r="D1262" t="s">
        <v>1781</v>
      </c>
      <c r="E1262" s="2065">
        <f>INDEX(EconomicIndicators!$B$7:$AAG$7,ROW(EconomicIndicators!$A$1),ROW(EconomicIndicators!A28))</f>
        <v>1.6981599999999999</v>
      </c>
    </row>
    <row r="1263" spans="1:5">
      <c r="A1263" s="32" t="str">
        <f>TEXT(INDEX(EconomicIndicators!$B$5:$ADD$5,ROW(EconomicIndicators!$A$1),ROW(EconomicIndicators!A1)),"0000")</f>
        <v>1990</v>
      </c>
      <c r="B1263" t="str">
        <f>TEXT(0,"000")</f>
        <v>000</v>
      </c>
      <c r="C1263" t="s">
        <v>1780</v>
      </c>
      <c r="D1263" t="s">
        <v>1782</v>
      </c>
      <c r="E1263" s="2065">
        <f>INDEX(EconomicIndicators!$B$8:$AAG$8,ROW(EconomicIndicators!$A$1),ROW(EconomicIndicators!A1))</f>
        <v>1</v>
      </c>
    </row>
    <row r="1264" spans="1:5">
      <c r="A1264" s="32" t="str">
        <f>TEXT(INDEX(EconomicIndicators!$B$5:$ADD$5,ROW(EconomicIndicators!$A$1),ROW(EconomicIndicators!A2)),"0000")</f>
        <v>1991</v>
      </c>
      <c r="B1264" t="str">
        <f t="shared" ref="B1264:B1294" si="1">TEXT(0,"000")</f>
        <v>000</v>
      </c>
      <c r="C1264" t="s">
        <v>1780</v>
      </c>
      <c r="D1264" t="s">
        <v>1782</v>
      </c>
      <c r="E1264" s="2065">
        <f>INDEX(EconomicIndicators!$B$8:$AAG$8,ROW(EconomicIndicators!$A$1),ROW(EconomicIndicators!A2))</f>
        <v>1.0577000000000001</v>
      </c>
    </row>
    <row r="1265" spans="1:5">
      <c r="A1265" s="32" t="str">
        <f>TEXT(INDEX(EconomicIndicators!$B$5:$ADD$5,ROW(EconomicIndicators!$A$1),ROW(EconomicIndicators!A3)),"0000")</f>
        <v>1992</v>
      </c>
      <c r="B1265" t="str">
        <f t="shared" si="1"/>
        <v>000</v>
      </c>
      <c r="C1265" t="s">
        <v>1780</v>
      </c>
      <c r="D1265" t="s">
        <v>1782</v>
      </c>
      <c r="E1265" s="2065">
        <f>INDEX(EconomicIndicators!$B$8:$AAG$8,ROW(EconomicIndicators!$A$1),ROW(EconomicIndicators!A3))</f>
        <v>1.13839</v>
      </c>
    </row>
    <row r="1266" spans="1:5">
      <c r="A1266" s="32" t="str">
        <f>TEXT(INDEX(EconomicIndicators!$B$5:$ADD$5,ROW(EconomicIndicators!$A$1),ROW(EconomicIndicators!A4)),"0000")</f>
        <v>1993</v>
      </c>
      <c r="B1266" t="str">
        <f t="shared" si="1"/>
        <v>000</v>
      </c>
      <c r="C1266" t="s">
        <v>1780</v>
      </c>
      <c r="D1266" t="s">
        <v>1782</v>
      </c>
      <c r="E1266" s="2065">
        <f>INDEX(EconomicIndicators!$B$8:$AAG$8,ROW(EconomicIndicators!$A$1),ROW(EconomicIndicators!A4))</f>
        <v>1.18438</v>
      </c>
    </row>
    <row r="1267" spans="1:5">
      <c r="A1267" s="32" t="str">
        <f>TEXT(INDEX(EconomicIndicators!$B$5:$ADD$5,ROW(EconomicIndicators!$A$1),ROW(EconomicIndicators!A5)),"0000")</f>
        <v>1994</v>
      </c>
      <c r="B1267" t="str">
        <f t="shared" si="1"/>
        <v>000</v>
      </c>
      <c r="C1267" t="s">
        <v>1780</v>
      </c>
      <c r="D1267" t="s">
        <v>1782</v>
      </c>
      <c r="E1267" s="2065">
        <f>INDEX(EconomicIndicators!$B$8:$AAG$8,ROW(EconomicIndicators!$A$1),ROW(EconomicIndicators!A5))</f>
        <v>1.2238599999999999</v>
      </c>
    </row>
    <row r="1268" spans="1:5">
      <c r="A1268" s="32" t="str">
        <f>TEXT(INDEX(EconomicIndicators!$B$5:$ADD$5,ROW(EconomicIndicators!$A$1),ROW(EconomicIndicators!A6)),"0000")</f>
        <v>1995</v>
      </c>
      <c r="B1268" t="str">
        <f t="shared" si="1"/>
        <v>000</v>
      </c>
      <c r="C1268" t="s">
        <v>1780</v>
      </c>
      <c r="D1268" t="s">
        <v>1782</v>
      </c>
      <c r="E1268" s="2065">
        <f>INDEX(EconomicIndicators!$B$8:$AAG$8,ROW(EconomicIndicators!$A$1),ROW(EconomicIndicators!A6))</f>
        <v>1.2594399999999999</v>
      </c>
    </row>
    <row r="1269" spans="1:5">
      <c r="A1269" s="32" t="str">
        <f>TEXT(INDEX(EconomicIndicators!$B$5:$ADD$5,ROW(EconomicIndicators!$A$1),ROW(EconomicIndicators!A7)),"0000")</f>
        <v>1996</v>
      </c>
      <c r="B1269" t="str">
        <f t="shared" si="1"/>
        <v>000</v>
      </c>
      <c r="C1269" t="s">
        <v>1780</v>
      </c>
      <c r="D1269" t="s">
        <v>1782</v>
      </c>
      <c r="E1269" s="2065">
        <f>INDEX(EconomicIndicators!$B$8:$AAG$8,ROW(EconomicIndicators!$A$1),ROW(EconomicIndicators!A7))</f>
        <v>1.30325</v>
      </c>
    </row>
    <row r="1270" spans="1:5">
      <c r="A1270" s="32" t="str">
        <f>TEXT(INDEX(EconomicIndicators!$B$5:$ADD$5,ROW(EconomicIndicators!$A$1),ROW(EconomicIndicators!A8)),"0000")</f>
        <v>1997</v>
      </c>
      <c r="B1270" t="str">
        <f t="shared" si="1"/>
        <v>000</v>
      </c>
      <c r="C1270" t="s">
        <v>1780</v>
      </c>
      <c r="D1270" t="s">
        <v>1782</v>
      </c>
      <c r="E1270" s="2065">
        <f>INDEX(EconomicIndicators!$B$8:$AAG$8,ROW(EconomicIndicators!$A$1),ROW(EconomicIndicators!A8))</f>
        <v>1.34013</v>
      </c>
    </row>
    <row r="1271" spans="1:5">
      <c r="A1271" s="32" t="str">
        <f>TEXT(INDEX(EconomicIndicators!$B$5:$ADD$5,ROW(EconomicIndicators!$A$1),ROW(EconomicIndicators!A9)),"0000")</f>
        <v>1998</v>
      </c>
      <c r="B1271" t="str">
        <f t="shared" si="1"/>
        <v>000</v>
      </c>
      <c r="C1271" t="s">
        <v>1780</v>
      </c>
      <c r="D1271" t="s">
        <v>1782</v>
      </c>
      <c r="E1271" s="2065">
        <f>INDEX(EconomicIndicators!$B$8:$AAG$8,ROW(EconomicIndicators!$A$1),ROW(EconomicIndicators!A9))</f>
        <v>1.3939299999999999</v>
      </c>
    </row>
    <row r="1272" spans="1:5">
      <c r="A1272" s="32" t="str">
        <f>TEXT(INDEX(EconomicIndicators!$B$5:$ADD$5,ROW(EconomicIndicators!$A$1),ROW(EconomicIndicators!A10)),"0000")</f>
        <v>1999</v>
      </c>
      <c r="B1272" t="str">
        <f t="shared" si="1"/>
        <v>000</v>
      </c>
      <c r="C1272" t="s">
        <v>1780</v>
      </c>
      <c r="D1272" t="s">
        <v>1782</v>
      </c>
      <c r="E1272" s="2065">
        <f>INDEX(EconomicIndicators!$B$8:$AAG$8,ROW(EconomicIndicators!$A$1),ROW(EconomicIndicators!A10))</f>
        <v>1.4347399999999999</v>
      </c>
    </row>
    <row r="1273" spans="1:5">
      <c r="A1273" s="32" t="str">
        <f>TEXT(INDEX(EconomicIndicators!$B$5:$ADD$5,ROW(EconomicIndicators!$A$1),ROW(EconomicIndicators!A11)),"0000")</f>
        <v>2000</v>
      </c>
      <c r="B1273" t="str">
        <f t="shared" si="1"/>
        <v>000</v>
      </c>
      <c r="C1273" t="s">
        <v>1780</v>
      </c>
      <c r="D1273" t="s">
        <v>1782</v>
      </c>
      <c r="E1273" s="2065">
        <f>INDEX(EconomicIndicators!$B$8:$AAG$8,ROW(EconomicIndicators!$A$1),ROW(EconomicIndicators!A11))</f>
        <v>1.4771000000000001</v>
      </c>
    </row>
    <row r="1274" spans="1:5">
      <c r="A1274" s="32" t="str">
        <f>TEXT(INDEX(EconomicIndicators!$B$5:$ADD$5,ROW(EconomicIndicators!$A$1),ROW(EconomicIndicators!A12)),"0000")</f>
        <v>2001</v>
      </c>
      <c r="B1274" t="str">
        <f t="shared" si="1"/>
        <v>000</v>
      </c>
      <c r="C1274" t="s">
        <v>1780</v>
      </c>
      <c r="D1274" t="s">
        <v>1782</v>
      </c>
      <c r="E1274" s="2065">
        <f>INDEX(EconomicIndicators!$B$8:$AAG$8,ROW(EconomicIndicators!$A$1),ROW(EconomicIndicators!A12))</f>
        <v>1.5242199999999999</v>
      </c>
    </row>
    <row r="1275" spans="1:5">
      <c r="A1275" s="32" t="str">
        <f>TEXT(INDEX(EconomicIndicators!$B$5:$ADD$5,ROW(EconomicIndicators!$A$1),ROW(EconomicIndicators!A13)),"0000")</f>
        <v>2002</v>
      </c>
      <c r="B1275" t="str">
        <f t="shared" si="1"/>
        <v>000</v>
      </c>
      <c r="C1275" t="s">
        <v>1780</v>
      </c>
      <c r="D1275" t="s">
        <v>1782</v>
      </c>
      <c r="E1275" s="2065">
        <f>INDEX(EconomicIndicators!$B$8:$AAG$8,ROW(EconomicIndicators!$A$1),ROW(EconomicIndicators!A13))</f>
        <v>1.5858699999999999</v>
      </c>
    </row>
    <row r="1276" spans="1:5">
      <c r="A1276" s="32" t="str">
        <f>TEXT(INDEX(EconomicIndicators!$B$5:$ADD$5,ROW(EconomicIndicators!$A$1),ROW(EconomicIndicators!A14)),"0000")</f>
        <v>2003</v>
      </c>
      <c r="B1276" t="str">
        <f t="shared" si="1"/>
        <v>000</v>
      </c>
      <c r="C1276" t="s">
        <v>1780</v>
      </c>
      <c r="D1276" t="s">
        <v>1782</v>
      </c>
      <c r="E1276" s="2065">
        <f>INDEX(EconomicIndicators!$B$8:$AAG$8,ROW(EconomicIndicators!$A$1),ROW(EconomicIndicators!A14))</f>
        <v>1.6280300000000001</v>
      </c>
    </row>
    <row r="1277" spans="1:5">
      <c r="A1277" s="32" t="str">
        <f>TEXT(INDEX(EconomicIndicators!$B$5:$ADD$5,ROW(EconomicIndicators!$A$1),ROW(EconomicIndicators!A15)),"0000")</f>
        <v>2004</v>
      </c>
      <c r="B1277" t="str">
        <f t="shared" si="1"/>
        <v>000</v>
      </c>
      <c r="C1277" t="s">
        <v>1780</v>
      </c>
      <c r="D1277" t="s">
        <v>1782</v>
      </c>
      <c r="E1277" s="2065">
        <f>INDEX(EconomicIndicators!$B$8:$AAG$8,ROW(EconomicIndicators!$A$1),ROW(EconomicIndicators!A15))</f>
        <v>1.65706</v>
      </c>
    </row>
    <row r="1278" spans="1:5">
      <c r="A1278" s="32" t="str">
        <f>TEXT(INDEX(EconomicIndicators!$B$5:$ADD$5,ROW(EconomicIndicators!$A$1),ROW(EconomicIndicators!A16)),"0000")</f>
        <v>2005</v>
      </c>
      <c r="B1278" t="str">
        <f t="shared" si="1"/>
        <v>000</v>
      </c>
      <c r="C1278" t="s">
        <v>1780</v>
      </c>
      <c r="D1278" t="s">
        <v>1782</v>
      </c>
      <c r="E1278" s="2065">
        <f>INDEX(EconomicIndicators!$B$8:$AAG$8,ROW(EconomicIndicators!$A$1),ROW(EconomicIndicators!A16))</f>
        <v>1.6792400000000001</v>
      </c>
    </row>
    <row r="1279" spans="1:5">
      <c r="A1279" s="32" t="str">
        <f>TEXT(INDEX(EconomicIndicators!$B$5:$ADD$5,ROW(EconomicIndicators!$A$1),ROW(EconomicIndicators!A17)),"0000")</f>
        <v>2006</v>
      </c>
      <c r="B1279" t="str">
        <f t="shared" si="1"/>
        <v>000</v>
      </c>
      <c r="C1279" t="s">
        <v>1780</v>
      </c>
      <c r="D1279" t="s">
        <v>1782</v>
      </c>
      <c r="E1279" s="2065">
        <f>INDEX(EconomicIndicators!$B$8:$AAG$8,ROW(EconomicIndicators!$A$1),ROW(EconomicIndicators!A17))</f>
        <v>1.7117599999999999</v>
      </c>
    </row>
    <row r="1280" spans="1:5">
      <c r="A1280" s="32" t="str">
        <f>TEXT(INDEX(EconomicIndicators!$B$5:$ADD$5,ROW(EconomicIndicators!$A$1),ROW(EconomicIndicators!A18)),"0000")</f>
        <v>2007</v>
      </c>
      <c r="B1280" t="str">
        <f t="shared" si="1"/>
        <v>000</v>
      </c>
      <c r="C1280" t="s">
        <v>1780</v>
      </c>
      <c r="D1280" t="s">
        <v>1782</v>
      </c>
      <c r="E1280" s="2065">
        <f>INDEX(EconomicIndicators!$B$8:$AAG$8,ROW(EconomicIndicators!$A$1),ROW(EconomicIndicators!A18))</f>
        <v>1.76593</v>
      </c>
    </row>
    <row r="1281" spans="1:5">
      <c r="A1281" s="32" t="str">
        <f>TEXT(INDEX(EconomicIndicators!$B$5:$ADD$5,ROW(EconomicIndicators!$A$1),ROW(EconomicIndicators!A19)),"0000")</f>
        <v>2008</v>
      </c>
      <c r="B1281" t="str">
        <f t="shared" si="1"/>
        <v>000</v>
      </c>
      <c r="C1281" t="s">
        <v>1780</v>
      </c>
      <c r="D1281" t="s">
        <v>1782</v>
      </c>
      <c r="E1281" s="2065">
        <f>INDEX(EconomicIndicators!$B$8:$AAG$8,ROW(EconomicIndicators!$A$1),ROW(EconomicIndicators!A19))</f>
        <v>1.8364100000000001</v>
      </c>
    </row>
    <row r="1282" spans="1:5">
      <c r="A1282" s="32" t="str">
        <f>TEXT(INDEX(EconomicIndicators!$B$5:$ADD$5,ROW(EconomicIndicators!$A$1),ROW(EconomicIndicators!A20)),"0000")</f>
        <v>2009</v>
      </c>
      <c r="B1282" t="str">
        <f t="shared" si="1"/>
        <v>000</v>
      </c>
      <c r="C1282" t="s">
        <v>1780</v>
      </c>
      <c r="D1282" t="s">
        <v>1782</v>
      </c>
      <c r="E1282" s="2065">
        <f>INDEX(EconomicIndicators!$B$8:$AAG$8,ROW(EconomicIndicators!$A$1),ROW(EconomicIndicators!A20))</f>
        <v>1.9136500000000001</v>
      </c>
    </row>
    <row r="1283" spans="1:5">
      <c r="A1283" s="32" t="str">
        <f>TEXT(INDEX(EconomicIndicators!$B$5:$ADD$5,ROW(EconomicIndicators!$A$1),ROW(EconomicIndicators!A21)),"0000")</f>
        <v>2010</v>
      </c>
      <c r="B1283" t="str">
        <f t="shared" si="1"/>
        <v>000</v>
      </c>
      <c r="C1283" t="s">
        <v>1780</v>
      </c>
      <c r="D1283" t="s">
        <v>1782</v>
      </c>
      <c r="E1283" s="2065">
        <f>INDEX(EconomicIndicators!$B$8:$AAG$8,ROW(EconomicIndicators!$A$1),ROW(EconomicIndicators!A21))</f>
        <v>1.95869</v>
      </c>
    </row>
    <row r="1284" spans="1:5">
      <c r="A1284" s="32" t="str">
        <f>TEXT(INDEX(EconomicIndicators!$B$5:$ADD$5,ROW(EconomicIndicators!$A$1),ROW(EconomicIndicators!A22)),"0000")</f>
        <v>2011</v>
      </c>
      <c r="B1284" t="str">
        <f t="shared" si="1"/>
        <v>000</v>
      </c>
      <c r="C1284" t="s">
        <v>1780</v>
      </c>
      <c r="D1284" t="s">
        <v>1782</v>
      </c>
      <c r="E1284" s="2065">
        <f>INDEX(EconomicIndicators!$B$8:$AAG$8,ROW(EconomicIndicators!$A$1),ROW(EconomicIndicators!A22))</f>
        <v>1.9639899999999999</v>
      </c>
    </row>
    <row r="1285" spans="1:5">
      <c r="A1285" s="32" t="str">
        <f>TEXT(INDEX(EconomicIndicators!$B$5:$ADD$5,ROW(EconomicIndicators!$A$1),ROW(EconomicIndicators!A23)),"0000")</f>
        <v>2012</v>
      </c>
      <c r="B1285" t="str">
        <f t="shared" si="1"/>
        <v>000</v>
      </c>
      <c r="C1285" t="s">
        <v>1780</v>
      </c>
      <c r="D1285" t="s">
        <v>1782</v>
      </c>
      <c r="E1285" s="2065">
        <f>INDEX(EconomicIndicators!$B$8:$AAG$8,ROW(EconomicIndicators!$A$1),ROW(EconomicIndicators!A23))</f>
        <v>1.9871000000000001</v>
      </c>
    </row>
    <row r="1286" spans="1:5">
      <c r="A1286" s="32" t="e">
        <f>TEXT(INDEX(EconomicIndicators!$B$5:$ADD$5,ROW(EconomicIndicators!$A$1),ROW(EconomicIndicators!#REF!)),"0000")</f>
        <v>#REF!</v>
      </c>
      <c r="B1286" t="str">
        <f t="shared" si="1"/>
        <v>000</v>
      </c>
      <c r="C1286" t="s">
        <v>1780</v>
      </c>
      <c r="D1286" t="s">
        <v>1782</v>
      </c>
      <c r="E1286" s="2065" t="e">
        <f>INDEX(EconomicIndicators!$B$8:$AAG$8,ROW(EconomicIndicators!$A$1),ROW(EconomicIndicators!#REF!))</f>
        <v>#REF!</v>
      </c>
    </row>
    <row r="1287" spans="1:5">
      <c r="A1287" s="32" t="e">
        <f>TEXT(INDEX(EconomicIndicators!$B$5:$ADD$5,ROW(EconomicIndicators!$A$1),ROW(EconomicIndicators!#REF!)),"0000")</f>
        <v>#REF!</v>
      </c>
      <c r="B1287" t="str">
        <f t="shared" si="1"/>
        <v>000</v>
      </c>
      <c r="C1287" t="s">
        <v>1780</v>
      </c>
      <c r="D1287" t="s">
        <v>1782</v>
      </c>
      <c r="E1287" s="2065" t="e">
        <f>INDEX(EconomicIndicators!$B$8:$AAG$8,ROW(EconomicIndicators!$A$1),ROW(EconomicIndicators!#REF!))</f>
        <v>#REF!</v>
      </c>
    </row>
    <row r="1288" spans="1:5">
      <c r="A1288" s="32" t="e">
        <f>TEXT(INDEX(EconomicIndicators!$B$5:$ADD$5,ROW(EconomicIndicators!$A$1),ROW(EconomicIndicators!#REF!)),"0000")</f>
        <v>#REF!</v>
      </c>
      <c r="B1288" t="str">
        <f t="shared" si="1"/>
        <v>000</v>
      </c>
      <c r="C1288" t="s">
        <v>1780</v>
      </c>
      <c r="D1288" t="s">
        <v>1782</v>
      </c>
      <c r="E1288" s="2065" t="e">
        <f>INDEX(EconomicIndicators!$B$8:$AAG$8,ROW(EconomicIndicators!$A$1),ROW(EconomicIndicators!#REF!))</f>
        <v>#REF!</v>
      </c>
    </row>
    <row r="1289" spans="1:5">
      <c r="A1289" s="32" t="e">
        <f>TEXT(INDEX(EconomicIndicators!$B$5:$ADD$5,ROW(EconomicIndicators!$A$1),ROW(EconomicIndicators!#REF!)),"0000")</f>
        <v>#REF!</v>
      </c>
      <c r="B1289" t="str">
        <f t="shared" si="1"/>
        <v>000</v>
      </c>
      <c r="C1289" t="s">
        <v>1780</v>
      </c>
      <c r="D1289" t="s">
        <v>1782</v>
      </c>
      <c r="E1289" s="2065" t="e">
        <f>INDEX(EconomicIndicators!$B$8:$AAG$8,ROW(EconomicIndicators!$A$1),ROW(EconomicIndicators!#REF!))</f>
        <v>#REF!</v>
      </c>
    </row>
    <row r="1290" spans="1:5">
      <c r="A1290" s="32" t="str">
        <f>TEXT(INDEX(EconomicIndicators!$B$5:$ADD$5,ROW(EconomicIndicators!$A$1),ROW(EconomicIndicators!A24)),"0000")</f>
        <v>2013</v>
      </c>
      <c r="B1290" t="str">
        <f t="shared" si="1"/>
        <v>000</v>
      </c>
      <c r="C1290" t="s">
        <v>1780</v>
      </c>
      <c r="D1290" t="s">
        <v>1782</v>
      </c>
      <c r="E1290" s="2065">
        <f>INDEX(EconomicIndicators!$B$8:$AAG$8,ROW(EconomicIndicators!$A$1),ROW(EconomicIndicators!A24))</f>
        <v>2.0480200000000002</v>
      </c>
    </row>
    <row r="1291" spans="1:5">
      <c r="A1291" s="32" t="str">
        <f>TEXT(INDEX(EconomicIndicators!$B$5:$ADD$5,ROW(EconomicIndicators!$A$1),ROW(EconomicIndicators!A25)),"0000")</f>
        <v>2014</v>
      </c>
      <c r="B1291" t="str">
        <f t="shared" si="1"/>
        <v>000</v>
      </c>
      <c r="C1291" t="s">
        <v>1780</v>
      </c>
      <c r="D1291" t="s">
        <v>1782</v>
      </c>
      <c r="E1291" s="2065">
        <f>INDEX(EconomicIndicators!$B$8:$AAG$8,ROW(EconomicIndicators!$A$1),ROW(EconomicIndicators!A25))</f>
        <v>2.0857199999999998</v>
      </c>
    </row>
    <row r="1292" spans="1:5">
      <c r="A1292" s="32" t="str">
        <f>TEXT(INDEX(EconomicIndicators!$B$5:$ADD$5,ROW(EconomicIndicators!$A$1),ROW(EconomicIndicators!A26)),"0000")</f>
        <v>2015</v>
      </c>
      <c r="B1292" t="str">
        <f t="shared" si="1"/>
        <v>000</v>
      </c>
      <c r="C1292" t="s">
        <v>1780</v>
      </c>
      <c r="D1292" t="s">
        <v>1782</v>
      </c>
      <c r="E1292" s="2065">
        <f>INDEX(EconomicIndicators!$B$8:$AAG$8,ROW(EconomicIndicators!$A$1),ROW(EconomicIndicators!A26))</f>
        <v>2.1147900000000002</v>
      </c>
    </row>
    <row r="1293" spans="1:5">
      <c r="A1293" s="32" t="str">
        <f>TEXT(INDEX(EconomicIndicators!$B$5:$ADD$5,ROW(EconomicIndicators!$A$1),ROW(EconomicIndicators!A27)),"0000")</f>
        <v>2016</v>
      </c>
      <c r="B1293" t="str">
        <f t="shared" si="1"/>
        <v>000</v>
      </c>
      <c r="C1293" t="s">
        <v>1780</v>
      </c>
      <c r="D1293" t="s">
        <v>1782</v>
      </c>
      <c r="E1293" s="2065">
        <f>INDEX(EconomicIndicators!$B$8:$AAG$8,ROW(EconomicIndicators!$A$1),ROW(EconomicIndicators!A27))</f>
        <v>2.1456599999999999</v>
      </c>
    </row>
    <row r="1294" spans="1:5">
      <c r="A1294" s="32" t="str">
        <f>TEXT(INDEX(EconomicIndicators!$B$5:$ADD$5,ROW(EconomicIndicators!$A$1),ROW(EconomicIndicators!A28)),"0000")</f>
        <v>2017</v>
      </c>
      <c r="B1294" t="str">
        <f t="shared" si="1"/>
        <v>000</v>
      </c>
      <c r="C1294" t="s">
        <v>1780</v>
      </c>
      <c r="D1294" t="s">
        <v>1782</v>
      </c>
      <c r="E1294" s="2065">
        <f>INDEX(EconomicIndicators!$B$8:$AAG$8,ROW(EconomicIndicators!$A$1),ROW(EconomicIndicators!A28))</f>
        <v>2.1872500000000001</v>
      </c>
    </row>
    <row r="1295" spans="1:5">
      <c r="A1295" s="32" t="str">
        <f>TEXT(INDEX(EconomicIndicators!$B$5:$ADD$5,ROW(EconomicIndicators!$A$1),ROW(EconomicIndicators!A1)),"0000")</f>
        <v>1990</v>
      </c>
      <c r="B1295" t="str">
        <f>TEXT(0,"000")</f>
        <v>000</v>
      </c>
      <c r="C1295" t="s">
        <v>1780</v>
      </c>
      <c r="D1295" t="s">
        <v>1783</v>
      </c>
      <c r="E1295" s="32">
        <f>INDEX(EconomicIndicators!$C$9:$AAG$9,ROW(EconomicIndicators!$A$1),ROW(EconomicIndicators!A1))</f>
        <v>20670.480486939949</v>
      </c>
    </row>
    <row r="1296" spans="1:5">
      <c r="A1296" s="32" t="str">
        <f>TEXT(INDEX(EconomicIndicators!$B$5:$ADD$5,ROW(EconomicIndicators!$A$1),ROW(EconomicIndicators!A2)),"0000")</f>
        <v>1991</v>
      </c>
      <c r="B1296" t="str">
        <f t="shared" ref="B1296:B1326" si="2">TEXT(0,"000")</f>
        <v>000</v>
      </c>
      <c r="C1296" t="s">
        <v>1780</v>
      </c>
      <c r="D1296" t="s">
        <v>1783</v>
      </c>
      <c r="E1296" s="32">
        <f>INDEX(EconomicIndicators!$C$9:$AAG$9,ROW(EconomicIndicators!$A$1),ROW(EconomicIndicators!A2))</f>
        <v>21783.708538787359</v>
      </c>
    </row>
    <row r="1297" spans="1:5">
      <c r="A1297" s="32" t="str">
        <f>TEXT(INDEX(EconomicIndicators!$B$5:$ADD$5,ROW(EconomicIndicators!$A$1),ROW(EconomicIndicators!A3)),"0000")</f>
        <v>1992</v>
      </c>
      <c r="B1297" t="str">
        <f t="shared" si="2"/>
        <v>000</v>
      </c>
      <c r="C1297" t="s">
        <v>1780</v>
      </c>
      <c r="D1297" t="s">
        <v>1783</v>
      </c>
      <c r="E1297" s="32">
        <f>INDEX(EconomicIndicators!$C$9:$AAG$9,ROW(EconomicIndicators!$A$1),ROW(EconomicIndicators!A3))</f>
        <v>22851.450149937049</v>
      </c>
    </row>
    <row r="1298" spans="1:5">
      <c r="A1298" s="32" t="str">
        <f>TEXT(INDEX(EconomicIndicators!$B$5:$ADD$5,ROW(EconomicIndicators!$A$1),ROW(EconomicIndicators!A4)),"0000")</f>
        <v>1993</v>
      </c>
      <c r="B1298" t="str">
        <f t="shared" si="2"/>
        <v>000</v>
      </c>
      <c r="C1298" t="s">
        <v>1780</v>
      </c>
      <c r="D1298" t="s">
        <v>1783</v>
      </c>
      <c r="E1298" s="32">
        <f>INDEX(EconomicIndicators!$C$9:$AAG$9,ROW(EconomicIndicators!$A$1),ROW(EconomicIndicators!A4))</f>
        <v>23433.206168300134</v>
      </c>
    </row>
    <row r="1299" spans="1:5">
      <c r="A1299" s="32" t="str">
        <f>TEXT(INDEX(EconomicIndicators!$B$5:$ADD$5,ROW(EconomicIndicators!$A$1),ROW(EconomicIndicators!A5)),"0000")</f>
        <v>1994</v>
      </c>
      <c r="B1299" t="str">
        <f t="shared" si="2"/>
        <v>000</v>
      </c>
      <c r="C1299" t="s">
        <v>1780</v>
      </c>
      <c r="D1299" t="s">
        <v>1783</v>
      </c>
      <c r="E1299" s="32">
        <f>INDEX(EconomicIndicators!$C$9:$AAG$9,ROW(EconomicIndicators!$A$1),ROW(EconomicIndicators!A5))</f>
        <v>24256.616358000811</v>
      </c>
    </row>
    <row r="1300" spans="1:5">
      <c r="A1300" s="32" t="str">
        <f>TEXT(INDEX(EconomicIndicators!$B$5:$ADD$5,ROW(EconomicIndicators!$A$1),ROW(EconomicIndicators!A6)),"0000")</f>
        <v>1995</v>
      </c>
      <c r="B1300" t="str">
        <f t="shared" si="2"/>
        <v>000</v>
      </c>
      <c r="C1300" t="s">
        <v>1780</v>
      </c>
      <c r="D1300" t="s">
        <v>1783</v>
      </c>
      <c r="E1300" s="32">
        <f>INDEX(EconomicIndicators!$C$9:$AAG$9,ROW(EconomicIndicators!$A$1),ROW(EconomicIndicators!A6))</f>
        <v>25394.114706295117</v>
      </c>
    </row>
    <row r="1301" spans="1:5">
      <c r="A1301" s="32" t="str">
        <f>TEXT(INDEX(EconomicIndicators!$B$5:$ADD$5,ROW(EconomicIndicators!$A$1),ROW(EconomicIndicators!A7)),"0000")</f>
        <v>1996</v>
      </c>
      <c r="B1301" t="str">
        <f t="shared" si="2"/>
        <v>000</v>
      </c>
      <c r="C1301" t="s">
        <v>1780</v>
      </c>
      <c r="D1301" t="s">
        <v>1783</v>
      </c>
      <c r="E1301" s="32">
        <f>INDEX(EconomicIndicators!$C$9:$AAG$9,ROW(EconomicIndicators!$A$1),ROW(EconomicIndicators!A7))</f>
        <v>26871.273896862509</v>
      </c>
    </row>
    <row r="1302" spans="1:5">
      <c r="A1302" s="32" t="str">
        <f>TEXT(INDEX(EconomicIndicators!$B$5:$ADD$5,ROW(EconomicIndicators!$A$1),ROW(EconomicIndicators!A8)),"0000")</f>
        <v>1997</v>
      </c>
      <c r="B1302" t="str">
        <f t="shared" si="2"/>
        <v>000</v>
      </c>
      <c r="C1302" t="s">
        <v>1780</v>
      </c>
      <c r="D1302" t="s">
        <v>1783</v>
      </c>
      <c r="E1302" s="32">
        <f>INDEX(EconomicIndicators!$C$9:$AAG$9,ROW(EconomicIndicators!$A$1),ROW(EconomicIndicators!A8))</f>
        <v>28602.326083958931</v>
      </c>
    </row>
    <row r="1303" spans="1:5">
      <c r="A1303" s="32" t="str">
        <f>TEXT(INDEX(EconomicIndicators!$B$5:$ADD$5,ROW(EconomicIndicators!$A$1),ROW(EconomicIndicators!A9)),"0000")</f>
        <v>1998</v>
      </c>
      <c r="B1303" t="str">
        <f t="shared" si="2"/>
        <v>000</v>
      </c>
      <c r="C1303" t="s">
        <v>1780</v>
      </c>
      <c r="D1303" t="s">
        <v>1783</v>
      </c>
      <c r="E1303" s="32">
        <f>INDEX(EconomicIndicators!$C$9:$AAG$9,ROW(EconomicIndicators!$A$1),ROW(EconomicIndicators!A9))</f>
        <v>30179.679224301548</v>
      </c>
    </row>
    <row r="1304" spans="1:5">
      <c r="A1304" s="32" t="str">
        <f>TEXT(INDEX(EconomicIndicators!$B$5:$ADD$5,ROW(EconomicIndicators!$A$1),ROW(EconomicIndicators!A10)),"0000")</f>
        <v>1999</v>
      </c>
      <c r="B1304" t="str">
        <f t="shared" si="2"/>
        <v>000</v>
      </c>
      <c r="C1304" t="s">
        <v>1780</v>
      </c>
      <c r="D1304" t="s">
        <v>1783</v>
      </c>
      <c r="E1304" s="32">
        <f>INDEX(EconomicIndicators!$C$9:$AAG$9,ROW(EconomicIndicators!$A$1),ROW(EconomicIndicators!A10))</f>
        <v>31964.126922521551</v>
      </c>
    </row>
    <row r="1305" spans="1:5">
      <c r="A1305" s="32" t="str">
        <f>TEXT(INDEX(EconomicIndicators!$B$5:$ADD$5,ROW(EconomicIndicators!$A$1),ROW(EconomicIndicators!A11)),"0000")</f>
        <v>2000</v>
      </c>
      <c r="B1305" t="str">
        <f t="shared" si="2"/>
        <v>000</v>
      </c>
      <c r="C1305" t="s">
        <v>1780</v>
      </c>
      <c r="D1305" t="s">
        <v>1783</v>
      </c>
      <c r="E1305" s="32">
        <f>INDEX(EconomicIndicators!$C$9:$AAG$9,ROW(EconomicIndicators!$A$1),ROW(EconomicIndicators!A11))</f>
        <v>32900.557967626148</v>
      </c>
    </row>
    <row r="1306" spans="1:5">
      <c r="A1306" s="32" t="str">
        <f>TEXT(INDEX(EconomicIndicators!$B$5:$ADD$5,ROW(EconomicIndicators!$A$1),ROW(EconomicIndicators!A12)),"0000")</f>
        <v>2001</v>
      </c>
      <c r="B1306" t="str">
        <f t="shared" si="2"/>
        <v>000</v>
      </c>
      <c r="C1306" t="s">
        <v>1780</v>
      </c>
      <c r="D1306" t="s">
        <v>1783</v>
      </c>
      <c r="E1306" s="32">
        <f>INDEX(EconomicIndicators!$C$9:$AAG$9,ROW(EconomicIndicators!$A$1),ROW(EconomicIndicators!A12))</f>
        <v>32782.150679654653</v>
      </c>
    </row>
    <row r="1307" spans="1:5">
      <c r="A1307" s="32" t="str">
        <f>TEXT(INDEX(EconomicIndicators!$B$5:$ADD$5,ROW(EconomicIndicators!$A$1),ROW(EconomicIndicators!A13)),"0000")</f>
        <v>2002</v>
      </c>
      <c r="B1307" t="str">
        <f t="shared" si="2"/>
        <v>000</v>
      </c>
      <c r="C1307" t="s">
        <v>1780</v>
      </c>
      <c r="D1307" t="s">
        <v>1783</v>
      </c>
      <c r="E1307" s="32">
        <f>INDEX(EconomicIndicators!$C$9:$AAG$9,ROW(EconomicIndicators!$A$1),ROW(EconomicIndicators!A13))</f>
        <v>33468.909513250837</v>
      </c>
    </row>
    <row r="1308" spans="1:5">
      <c r="A1308" s="32" t="str">
        <f>TEXT(INDEX(EconomicIndicators!$B$5:$ADD$5,ROW(EconomicIndicators!$A$1),ROW(EconomicIndicators!A14)),"0000")</f>
        <v>2003</v>
      </c>
      <c r="B1308" t="str">
        <f t="shared" si="2"/>
        <v>000</v>
      </c>
      <c r="C1308" t="s">
        <v>1780</v>
      </c>
      <c r="D1308" t="s">
        <v>1783</v>
      </c>
      <c r="E1308" s="32">
        <f>INDEX(EconomicIndicators!$C$9:$AAG$9,ROW(EconomicIndicators!$A$1),ROW(EconomicIndicators!A14))</f>
        <v>34581.389925335447</v>
      </c>
    </row>
    <row r="1309" spans="1:5">
      <c r="A1309" s="32" t="str">
        <f>TEXT(INDEX(EconomicIndicators!$B$5:$ADD$5,ROW(EconomicIndicators!$A$1),ROW(EconomicIndicators!A15)),"0000")</f>
        <v>2004</v>
      </c>
      <c r="B1309" t="str">
        <f t="shared" si="2"/>
        <v>000</v>
      </c>
      <c r="C1309" t="s">
        <v>1780</v>
      </c>
      <c r="D1309" t="s">
        <v>1783</v>
      </c>
      <c r="E1309" s="32">
        <f>INDEX(EconomicIndicators!$C$9:$AAG$9,ROW(EconomicIndicators!$A$1),ROW(EconomicIndicators!A15))</f>
        <v>36760.428734804307</v>
      </c>
    </row>
    <row r="1310" spans="1:5">
      <c r="A1310" s="32" t="str">
        <f>TEXT(INDEX(EconomicIndicators!$B$5:$ADD$5,ROW(EconomicIndicators!$A$1),ROW(EconomicIndicators!A16)),"0000")</f>
        <v>2005</v>
      </c>
      <c r="B1310" t="str">
        <f t="shared" si="2"/>
        <v>000</v>
      </c>
      <c r="C1310" t="s">
        <v>1780</v>
      </c>
      <c r="D1310" t="s">
        <v>1783</v>
      </c>
      <c r="E1310" s="32">
        <f>INDEX(EconomicIndicators!$C$9:$AAG$9,ROW(EconomicIndicators!$A$1),ROW(EconomicIndicators!A16))</f>
        <v>38062.408972509598</v>
      </c>
    </row>
    <row r="1311" spans="1:5">
      <c r="A1311" s="32" t="str">
        <f>TEXT(INDEX(EconomicIndicators!$B$5:$ADD$5,ROW(EconomicIndicators!$A$1),ROW(EconomicIndicators!A17)),"0000")</f>
        <v>2006</v>
      </c>
      <c r="B1311" t="str">
        <f t="shared" si="2"/>
        <v>000</v>
      </c>
      <c r="C1311" t="s">
        <v>1780</v>
      </c>
      <c r="D1311" t="s">
        <v>1783</v>
      </c>
      <c r="E1311" s="32">
        <f>INDEX(EconomicIndicators!$C$9:$AAG$9,ROW(EconomicIndicators!$A$1),ROW(EconomicIndicators!A17))</f>
        <v>40519.087350547015</v>
      </c>
    </row>
    <row r="1312" spans="1:5">
      <c r="A1312" s="32" t="str">
        <f>TEXT(INDEX(EconomicIndicators!$B$5:$ADD$5,ROW(EconomicIndicators!$A$1),ROW(EconomicIndicators!A18)),"0000")</f>
        <v>2007</v>
      </c>
      <c r="B1312" t="str">
        <f t="shared" si="2"/>
        <v>000</v>
      </c>
      <c r="C1312" t="s">
        <v>1780</v>
      </c>
      <c r="D1312" t="s">
        <v>1783</v>
      </c>
      <c r="E1312" s="32">
        <f>INDEX(EconomicIndicators!$C$9:$AAG$9,ROW(EconomicIndicators!$A$1),ROW(EconomicIndicators!A18))</f>
        <v>43204.706176057138</v>
      </c>
    </row>
    <row r="1313" spans="1:5">
      <c r="A1313" s="32" t="str">
        <f>TEXT(INDEX(EconomicIndicators!$B$5:$ADD$5,ROW(EconomicIndicators!$A$1),ROW(EconomicIndicators!A19)),"0000")</f>
        <v>2008</v>
      </c>
      <c r="B1313" t="str">
        <f t="shared" si="2"/>
        <v>000</v>
      </c>
      <c r="C1313" t="s">
        <v>1780</v>
      </c>
      <c r="D1313" t="s">
        <v>1783</v>
      </c>
      <c r="E1313" s="32">
        <f>INDEX(EconomicIndicators!$C$9:$AAG$9,ROW(EconomicIndicators!$A$1),ROW(EconomicIndicators!A19))</f>
        <v>42654.669620742585</v>
      </c>
    </row>
    <row r="1314" spans="1:5">
      <c r="A1314" s="32" t="str">
        <f>TEXT(INDEX(EconomicIndicators!$B$5:$ADD$5,ROW(EconomicIndicators!$A$1),ROW(EconomicIndicators!A20)),"0000")</f>
        <v>2009</v>
      </c>
      <c r="B1314" t="str">
        <f t="shared" si="2"/>
        <v>000</v>
      </c>
      <c r="C1314" t="s">
        <v>1780</v>
      </c>
      <c r="D1314" t="s">
        <v>1783</v>
      </c>
      <c r="E1314" s="32">
        <f>INDEX(EconomicIndicators!$C$9:$AAG$9,ROW(EconomicIndicators!$A$1),ROW(EconomicIndicators!A20))</f>
        <v>41684.494414700705</v>
      </c>
    </row>
    <row r="1315" spans="1:5">
      <c r="A1315" s="32" t="str">
        <f>TEXT(INDEX(EconomicIndicators!$B$5:$ADD$5,ROW(EconomicIndicators!$A$1),ROW(EconomicIndicators!A21)),"0000")</f>
        <v>2010</v>
      </c>
      <c r="B1315" t="str">
        <f t="shared" si="2"/>
        <v>000</v>
      </c>
      <c r="C1315" t="s">
        <v>1780</v>
      </c>
      <c r="D1315" t="s">
        <v>1783</v>
      </c>
      <c r="E1315" s="32">
        <f>INDEX(EconomicIndicators!$C$9:$AAG$9,ROW(EconomicIndicators!$A$1),ROW(EconomicIndicators!A21))</f>
        <v>43298.82872285632</v>
      </c>
    </row>
    <row r="1316" spans="1:5">
      <c r="A1316" s="32" t="str">
        <f>TEXT(INDEX(EconomicIndicators!$B$5:$ADD$5,ROW(EconomicIndicators!$A$1),ROW(EconomicIndicators!A22)),"0000")</f>
        <v>2011</v>
      </c>
      <c r="B1316" t="str">
        <f t="shared" si="2"/>
        <v>000</v>
      </c>
      <c r="C1316" t="s">
        <v>1780</v>
      </c>
      <c r="D1316" t="s">
        <v>1783</v>
      </c>
      <c r="E1316" s="32">
        <f>INDEX(EconomicIndicators!$C$9:$AAG$9,ROW(EconomicIndicators!$A$1),ROW(EconomicIndicators!A22))</f>
        <v>45591.951897112827</v>
      </c>
    </row>
    <row r="1317" spans="1:5">
      <c r="A1317" s="32" t="str">
        <f>TEXT(INDEX(EconomicIndicators!$B$5:$ADD$5,ROW(EconomicIndicators!$A$1),ROW(EconomicIndicators!A23)),"0000")</f>
        <v>2012</v>
      </c>
      <c r="B1317" t="str">
        <f t="shared" si="2"/>
        <v>000</v>
      </c>
      <c r="C1317" t="s">
        <v>1780</v>
      </c>
      <c r="D1317" t="s">
        <v>1783</v>
      </c>
      <c r="E1317" s="32">
        <f>INDEX(EconomicIndicators!$C$9:$AAG$9,ROW(EconomicIndicators!$A$1),ROW(EconomicIndicators!A23))</f>
        <v>47312.987721902005</v>
      </c>
    </row>
    <row r="1318" spans="1:5">
      <c r="A1318" s="32" t="e">
        <f>TEXT(INDEX(EconomicIndicators!$B$5:$ADD$5,ROW(EconomicIndicators!$A$1),ROW(EconomicIndicators!#REF!)),"0000")</f>
        <v>#REF!</v>
      </c>
      <c r="B1318" t="str">
        <f t="shared" si="2"/>
        <v>000</v>
      </c>
      <c r="C1318" t="s">
        <v>1780</v>
      </c>
      <c r="D1318" t="s">
        <v>1783</v>
      </c>
      <c r="E1318" s="32" t="e">
        <f>INDEX(EconomicIndicators!$C$9:$AAG$9,ROW(EconomicIndicators!$A$1),ROW(EconomicIndicators!#REF!))</f>
        <v>#REF!</v>
      </c>
    </row>
    <row r="1319" spans="1:5">
      <c r="A1319" s="32" t="e">
        <f>TEXT(INDEX(EconomicIndicators!$B$5:$ADD$5,ROW(EconomicIndicators!$A$1),ROW(EconomicIndicators!#REF!)),"0000")</f>
        <v>#REF!</v>
      </c>
      <c r="B1319" t="str">
        <f t="shared" si="2"/>
        <v>000</v>
      </c>
      <c r="C1319" t="s">
        <v>1780</v>
      </c>
      <c r="D1319" t="s">
        <v>1783</v>
      </c>
      <c r="E1319" s="32" t="e">
        <f>INDEX(EconomicIndicators!$C$9:$AAG$9,ROW(EconomicIndicators!$A$1),ROW(EconomicIndicators!#REF!))</f>
        <v>#REF!</v>
      </c>
    </row>
    <row r="1320" spans="1:5">
      <c r="A1320" s="32" t="e">
        <f>TEXT(INDEX(EconomicIndicators!$B$5:$ADD$5,ROW(EconomicIndicators!$A$1),ROW(EconomicIndicators!#REF!)),"0000")</f>
        <v>#REF!</v>
      </c>
      <c r="B1320" t="str">
        <f t="shared" si="2"/>
        <v>000</v>
      </c>
      <c r="C1320" t="s">
        <v>1780</v>
      </c>
      <c r="D1320" t="s">
        <v>1783</v>
      </c>
      <c r="E1320" s="32" t="e">
        <f>INDEX(EconomicIndicators!$C$9:$AAG$9,ROW(EconomicIndicators!$A$1),ROW(EconomicIndicators!#REF!))</f>
        <v>#REF!</v>
      </c>
    </row>
    <row r="1321" spans="1:5">
      <c r="A1321" s="32" t="e">
        <f>TEXT(INDEX(EconomicIndicators!$B$5:$ADD$5,ROW(EconomicIndicators!$A$1),ROW(EconomicIndicators!#REF!)),"0000")</f>
        <v>#REF!</v>
      </c>
      <c r="B1321" t="str">
        <f t="shared" si="2"/>
        <v>000</v>
      </c>
      <c r="C1321" t="s">
        <v>1780</v>
      </c>
      <c r="D1321" t="s">
        <v>1783</v>
      </c>
      <c r="E1321" s="32" t="e">
        <f>INDEX(EconomicIndicators!$C$9:$AAG$9,ROW(EconomicIndicators!$A$1),ROW(EconomicIndicators!#REF!))</f>
        <v>#REF!</v>
      </c>
    </row>
    <row r="1322" spans="1:5">
      <c r="A1322" s="32" t="str">
        <f>TEXT(INDEX(EconomicIndicators!$B$5:$ADD$5,ROW(EconomicIndicators!$A$1),ROW(EconomicIndicators!A24)),"0000")</f>
        <v>2013</v>
      </c>
      <c r="B1322" t="str">
        <f t="shared" si="2"/>
        <v>000</v>
      </c>
      <c r="C1322" t="s">
        <v>1780</v>
      </c>
      <c r="D1322" t="s">
        <v>1783</v>
      </c>
      <c r="E1322" s="32">
        <f>INDEX(EconomicIndicators!$C$9:$AAG$9,ROW(EconomicIndicators!$A$1),ROW(EconomicIndicators!A24))</f>
        <v>48606.323488450245</v>
      </c>
    </row>
    <row r="1323" spans="1:5">
      <c r="A1323" s="32" t="str">
        <f>TEXT(INDEX(EconomicIndicators!$B$5:$ADD$5,ROW(EconomicIndicators!$A$1),ROW(EconomicIndicators!A25)),"0000")</f>
        <v>2014</v>
      </c>
      <c r="B1323" t="str">
        <f t="shared" si="2"/>
        <v>000</v>
      </c>
      <c r="C1323" t="s">
        <v>1780</v>
      </c>
      <c r="D1323" t="s">
        <v>1783</v>
      </c>
      <c r="E1323" s="32">
        <f>INDEX(EconomicIndicators!$C$9:$AAG$9,ROW(EconomicIndicators!$A$1),ROW(EconomicIndicators!A25))</f>
        <v>51567.476031895581</v>
      </c>
    </row>
    <row r="1324" spans="1:5">
      <c r="A1324" s="32" t="str">
        <f>TEXT(INDEX(EconomicIndicators!$B$5:$ADD$5,ROW(EconomicIndicators!$A$1),ROW(EconomicIndicators!A26)),"0000")</f>
        <v>2015</v>
      </c>
      <c r="B1324" t="str">
        <f t="shared" si="2"/>
        <v>000</v>
      </c>
      <c r="C1324" t="s">
        <v>1780</v>
      </c>
      <c r="D1324" t="s">
        <v>1783</v>
      </c>
      <c r="E1324" s="32">
        <f>INDEX(EconomicIndicators!$C$9:$AAG$9,ROW(EconomicIndicators!$A$1),ROW(EconomicIndicators!A26))</f>
        <v>53231.965848870626</v>
      </c>
    </row>
    <row r="1325" spans="1:5">
      <c r="A1325" s="32" t="str">
        <f>TEXT(INDEX(EconomicIndicators!$B$5:$ADD$5,ROW(EconomicIndicators!$A$1),ROW(EconomicIndicators!A27)),"0000")</f>
        <v>2016</v>
      </c>
      <c r="B1325" t="str">
        <f t="shared" si="2"/>
        <v>000</v>
      </c>
      <c r="C1325" t="s">
        <v>1780</v>
      </c>
      <c r="D1325" t="s">
        <v>1783</v>
      </c>
      <c r="E1325" s="32">
        <f>INDEX(EconomicIndicators!$C$9:$AAG$9,ROW(EconomicIndicators!$A$1),ROW(EconomicIndicators!A27))</f>
        <v>55504.224729318492</v>
      </c>
    </row>
    <row r="1326" spans="1:5">
      <c r="A1326" s="32" t="str">
        <f>TEXT(INDEX(EconomicIndicators!$B$5:$ADD$5,ROW(EconomicIndicators!$A$1),ROW(EconomicIndicators!A28)),"0000")</f>
        <v>2017</v>
      </c>
      <c r="B1326" t="str">
        <f t="shared" si="2"/>
        <v>000</v>
      </c>
      <c r="C1326" t="s">
        <v>1780</v>
      </c>
      <c r="D1326" t="s">
        <v>1783</v>
      </c>
      <c r="E1326" s="32">
        <f>INDEX(EconomicIndicators!$C$9:$AAG$9,ROW(EconomicIndicators!$A$1),ROW(EconomicIndicators!A28))</f>
        <v>58266.939270953786</v>
      </c>
    </row>
  </sheetData>
  <autoFilter ref="A1:E1326" xr:uid="{00000000-0009-0000-0000-00000B000000}"/>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AC59"/>
  <sheetViews>
    <sheetView workbookViewId="0"/>
  </sheetViews>
  <sheetFormatPr defaultColWidth="10.25" defaultRowHeight="12.75"/>
  <cols>
    <col min="1" max="3" width="15.875" style="23" customWidth="1"/>
    <col min="4" max="16384" width="10.25" style="23"/>
  </cols>
  <sheetData>
    <row r="1" spans="1:29">
      <c r="A1" s="29" t="s">
        <v>109</v>
      </c>
      <c r="D1" s="24" t="s">
        <v>74</v>
      </c>
      <c r="E1" s="24" t="s">
        <v>75</v>
      </c>
      <c r="F1" s="24" t="s">
        <v>51</v>
      </c>
      <c r="G1" s="24" t="s">
        <v>42</v>
      </c>
      <c r="H1" s="24" t="s">
        <v>43</v>
      </c>
      <c r="I1" s="24" t="s">
        <v>44</v>
      </c>
      <c r="J1" s="24" t="s">
        <v>45</v>
      </c>
      <c r="K1" s="24" t="s">
        <v>46</v>
      </c>
      <c r="L1" s="24" t="s">
        <v>47</v>
      </c>
      <c r="M1" s="24" t="s">
        <v>48</v>
      </c>
      <c r="N1" s="24" t="s">
        <v>49</v>
      </c>
      <c r="O1" s="24" t="s">
        <v>50</v>
      </c>
      <c r="P1" s="24" t="s">
        <v>27</v>
      </c>
      <c r="Q1" s="24" t="s">
        <v>19</v>
      </c>
      <c r="R1" s="24" t="s">
        <v>20</v>
      </c>
      <c r="S1" s="24" t="s">
        <v>21</v>
      </c>
      <c r="T1" s="24" t="s">
        <v>22</v>
      </c>
      <c r="U1" s="24" t="s">
        <v>23</v>
      </c>
      <c r="V1" s="24" t="s">
        <v>24</v>
      </c>
      <c r="W1" s="24" t="s">
        <v>25</v>
      </c>
      <c r="X1" s="24" t="s">
        <v>26</v>
      </c>
      <c r="Y1" s="24" t="s">
        <v>28</v>
      </c>
      <c r="Z1" s="24" t="s">
        <v>52</v>
      </c>
      <c r="AA1" s="24" t="s">
        <v>53</v>
      </c>
      <c r="AB1" s="24" t="s">
        <v>68</v>
      </c>
      <c r="AC1" s="29" t="s">
        <v>69</v>
      </c>
    </row>
    <row r="2" spans="1:29">
      <c r="A2" s="25" t="s">
        <v>76</v>
      </c>
      <c r="B2" s="25" t="s">
        <v>77</v>
      </c>
      <c r="C2" s="25" t="s">
        <v>78</v>
      </c>
      <c r="D2" s="26">
        <v>31754</v>
      </c>
      <c r="E2" s="26">
        <v>31396</v>
      </c>
      <c r="F2" s="26">
        <v>31737</v>
      </c>
      <c r="G2" s="26">
        <v>31640</v>
      </c>
      <c r="H2" s="26">
        <v>30190</v>
      </c>
      <c r="I2" s="26">
        <v>29764</v>
      </c>
      <c r="J2" s="26">
        <v>29673</v>
      </c>
      <c r="K2" s="26">
        <v>29780</v>
      </c>
      <c r="L2" s="26">
        <v>29570</v>
      </c>
      <c r="M2" s="26">
        <v>29475</v>
      </c>
      <c r="N2" s="26">
        <v>29493</v>
      </c>
      <c r="O2" s="26">
        <v>29679</v>
      </c>
      <c r="P2" s="26">
        <v>29623</v>
      </c>
      <c r="Q2" s="26">
        <v>29711</v>
      </c>
      <c r="R2" s="26">
        <v>30020</v>
      </c>
      <c r="S2" s="26">
        <v>30225</v>
      </c>
      <c r="T2" s="26">
        <v>30174</v>
      </c>
      <c r="U2" s="26">
        <v>30115</v>
      </c>
      <c r="V2" s="26">
        <v>30173</v>
      </c>
      <c r="W2" s="26">
        <v>30825</v>
      </c>
      <c r="X2" s="26">
        <v>31021</v>
      </c>
      <c r="Y2" s="26">
        <v>30952</v>
      </c>
      <c r="Z2" s="26">
        <v>32036</v>
      </c>
      <c r="AA2" s="26">
        <v>32661</v>
      </c>
      <c r="AB2" s="26">
        <v>33863</v>
      </c>
      <c r="AC2" s="23">
        <v>34065</v>
      </c>
    </row>
    <row r="3" spans="1:29">
      <c r="A3" s="25" t="s">
        <v>76</v>
      </c>
      <c r="B3" s="25" t="s">
        <v>79</v>
      </c>
      <c r="C3" s="25" t="s">
        <v>80</v>
      </c>
      <c r="D3" s="26">
        <v>31105</v>
      </c>
      <c r="E3" s="26">
        <v>31210</v>
      </c>
      <c r="F3" s="26">
        <v>31210</v>
      </c>
      <c r="G3" s="26">
        <v>31210</v>
      </c>
      <c r="H3" s="26">
        <v>31000</v>
      </c>
      <c r="I3" s="26">
        <v>31000</v>
      </c>
      <c r="J3" s="26">
        <v>29496</v>
      </c>
      <c r="K3" s="26">
        <v>29496</v>
      </c>
      <c r="L3" s="26">
        <v>29500</v>
      </c>
      <c r="M3" s="26">
        <v>29500</v>
      </c>
      <c r="N3" s="26">
        <v>29500</v>
      </c>
      <c r="O3" s="26">
        <v>29500</v>
      </c>
      <c r="P3" s="26">
        <v>29500</v>
      </c>
      <c r="Q3" s="26">
        <v>29500</v>
      </c>
      <c r="R3" s="26">
        <v>29583</v>
      </c>
      <c r="S3" s="26">
        <v>29666</v>
      </c>
      <c r="T3" s="26">
        <v>29762</v>
      </c>
      <c r="U3" s="26">
        <v>29826</v>
      </c>
      <c r="V3" s="26">
        <v>29857</v>
      </c>
      <c r="W3" s="26">
        <v>30455</v>
      </c>
      <c r="X3" s="26">
        <v>30680</v>
      </c>
      <c r="Y3" s="26">
        <v>30910</v>
      </c>
      <c r="Z3" s="26">
        <v>31927</v>
      </c>
      <c r="AA3" s="26">
        <v>32266</v>
      </c>
      <c r="AB3" s="26">
        <v>32321</v>
      </c>
    </row>
    <row r="4" spans="1:29">
      <c r="A4" s="23" t="s">
        <v>81</v>
      </c>
    </row>
    <row r="5" spans="1:29">
      <c r="A5" s="23" t="s">
        <v>82</v>
      </c>
    </row>
    <row r="6" spans="1:29">
      <c r="A6" s="25" t="s">
        <v>83</v>
      </c>
      <c r="B6" s="25" t="s">
        <v>77</v>
      </c>
      <c r="C6" s="25" t="s">
        <v>84</v>
      </c>
      <c r="D6" s="26">
        <v>0</v>
      </c>
      <c r="E6" s="26">
        <v>0</v>
      </c>
      <c r="F6" s="26">
        <v>0</v>
      </c>
      <c r="G6" s="26">
        <v>0</v>
      </c>
      <c r="H6" s="26">
        <v>0</v>
      </c>
      <c r="I6" s="26">
        <v>0</v>
      </c>
      <c r="J6" s="26">
        <v>0</v>
      </c>
      <c r="K6" s="26">
        <v>0</v>
      </c>
      <c r="L6" s="26">
        <v>0</v>
      </c>
      <c r="M6" s="26">
        <v>0</v>
      </c>
      <c r="N6" s="26">
        <v>0</v>
      </c>
      <c r="O6" s="26">
        <v>0</v>
      </c>
      <c r="P6" s="26">
        <v>0</v>
      </c>
      <c r="Q6" s="26">
        <v>188</v>
      </c>
      <c r="R6" s="26">
        <v>279</v>
      </c>
      <c r="S6" s="26">
        <v>365</v>
      </c>
      <c r="T6" s="26">
        <v>392</v>
      </c>
      <c r="U6" s="26">
        <v>449</v>
      </c>
      <c r="V6" s="26">
        <v>570</v>
      </c>
      <c r="W6" s="26">
        <v>678</v>
      </c>
      <c r="X6" s="26">
        <v>744</v>
      </c>
      <c r="Y6" s="26">
        <v>833</v>
      </c>
      <c r="Z6" s="26">
        <v>0</v>
      </c>
      <c r="AA6" s="26">
        <v>0</v>
      </c>
      <c r="AB6" s="26">
        <v>0</v>
      </c>
    </row>
    <row r="7" spans="1:29">
      <c r="A7" s="25" t="s">
        <v>83</v>
      </c>
      <c r="B7" s="25" t="s">
        <v>79</v>
      </c>
      <c r="C7" s="25" t="s">
        <v>80</v>
      </c>
      <c r="D7" s="26">
        <v>0</v>
      </c>
      <c r="E7" s="26">
        <v>0</v>
      </c>
      <c r="F7" s="26">
        <v>0</v>
      </c>
      <c r="G7" s="26">
        <v>0</v>
      </c>
      <c r="H7" s="26">
        <v>0</v>
      </c>
      <c r="I7" s="26">
        <v>0</v>
      </c>
      <c r="J7" s="26">
        <v>0</v>
      </c>
      <c r="K7" s="26">
        <v>0</v>
      </c>
      <c r="L7" s="26">
        <v>0</v>
      </c>
      <c r="M7" s="26">
        <v>0</v>
      </c>
      <c r="N7" s="26">
        <v>0</v>
      </c>
      <c r="O7" s="26">
        <v>0</v>
      </c>
      <c r="P7" s="26">
        <v>0</v>
      </c>
      <c r="Q7" s="26">
        <v>300</v>
      </c>
      <c r="R7" s="26">
        <v>337</v>
      </c>
      <c r="S7" s="26">
        <v>375</v>
      </c>
      <c r="T7" s="26">
        <v>465</v>
      </c>
      <c r="U7" s="26">
        <v>525</v>
      </c>
      <c r="V7" s="26">
        <v>571</v>
      </c>
      <c r="W7" s="26">
        <v>617</v>
      </c>
      <c r="X7" s="26">
        <v>617</v>
      </c>
      <c r="Y7" s="26">
        <v>617</v>
      </c>
      <c r="Z7" s="26">
        <v>0</v>
      </c>
      <c r="AA7" s="26">
        <v>0</v>
      </c>
      <c r="AB7" s="26">
        <v>0</v>
      </c>
    </row>
    <row r="8" spans="1:29">
      <c r="A8" s="23" t="s">
        <v>85</v>
      </c>
    </row>
    <row r="9" spans="1:29">
      <c r="A9" s="25" t="s">
        <v>86</v>
      </c>
      <c r="B9" s="27" t="s">
        <v>77</v>
      </c>
      <c r="C9" s="27" t="s">
        <v>84</v>
      </c>
      <c r="D9" s="26">
        <v>0</v>
      </c>
      <c r="E9" s="26">
        <v>0</v>
      </c>
      <c r="F9" s="26">
        <v>0</v>
      </c>
      <c r="G9" s="26">
        <v>0</v>
      </c>
      <c r="H9" s="26">
        <v>0</v>
      </c>
      <c r="I9" s="26">
        <v>0</v>
      </c>
      <c r="J9" s="26">
        <v>0</v>
      </c>
      <c r="K9" s="26">
        <v>0</v>
      </c>
      <c r="L9" s="26">
        <v>0</v>
      </c>
      <c r="M9" s="26">
        <v>0</v>
      </c>
      <c r="N9" s="26">
        <v>0</v>
      </c>
      <c r="O9" s="26">
        <v>0</v>
      </c>
      <c r="P9" s="26">
        <v>0</v>
      </c>
      <c r="Q9" s="26">
        <v>85</v>
      </c>
      <c r="R9" s="26">
        <v>168</v>
      </c>
      <c r="S9" s="26">
        <v>273</v>
      </c>
      <c r="T9" s="26">
        <v>344</v>
      </c>
      <c r="U9" s="26">
        <v>404</v>
      </c>
      <c r="V9" s="26">
        <v>509</v>
      </c>
      <c r="W9" s="26">
        <v>638</v>
      </c>
      <c r="X9" s="26">
        <v>799</v>
      </c>
      <c r="Y9" s="26">
        <v>844</v>
      </c>
      <c r="Z9" s="26">
        <v>959</v>
      </c>
      <c r="AA9" s="26">
        <v>1041</v>
      </c>
      <c r="AB9" s="26">
        <v>1228</v>
      </c>
      <c r="AC9" s="23">
        <v>1236</v>
      </c>
    </row>
    <row r="10" spans="1:29">
      <c r="A10" s="25" t="s">
        <v>86</v>
      </c>
      <c r="B10" s="27" t="s">
        <v>79</v>
      </c>
      <c r="C10" s="27" t="s">
        <v>80</v>
      </c>
      <c r="D10" s="26">
        <v>0</v>
      </c>
      <c r="E10" s="26">
        <v>0</v>
      </c>
      <c r="F10" s="26">
        <v>0</v>
      </c>
      <c r="G10" s="26">
        <v>0</v>
      </c>
      <c r="H10" s="26">
        <v>0</v>
      </c>
      <c r="I10" s="26">
        <v>0</v>
      </c>
      <c r="J10" s="26">
        <v>0</v>
      </c>
      <c r="K10" s="26">
        <v>0</v>
      </c>
      <c r="L10" s="26">
        <v>0</v>
      </c>
      <c r="M10" s="26">
        <v>0</v>
      </c>
      <c r="N10" s="26">
        <v>0</v>
      </c>
      <c r="O10" s="26">
        <v>0</v>
      </c>
      <c r="P10" s="26">
        <v>0</v>
      </c>
      <c r="Q10" s="26">
        <v>300</v>
      </c>
      <c r="R10" s="26">
        <v>300</v>
      </c>
      <c r="S10" s="26">
        <v>395</v>
      </c>
      <c r="T10" s="26">
        <v>427</v>
      </c>
      <c r="U10" s="26">
        <v>449</v>
      </c>
      <c r="V10" s="26">
        <v>533</v>
      </c>
      <c r="W10" s="26">
        <v>685</v>
      </c>
      <c r="X10" s="26">
        <v>775</v>
      </c>
      <c r="Y10" s="26">
        <v>895</v>
      </c>
      <c r="Z10" s="26">
        <v>993</v>
      </c>
      <c r="AA10" s="26">
        <v>1136</v>
      </c>
      <c r="AB10" s="26">
        <v>1169</v>
      </c>
    </row>
    <row r="11" spans="1:29">
      <c r="A11" s="23" t="s">
        <v>87</v>
      </c>
    </row>
    <row r="12" spans="1:29">
      <c r="A12" s="25" t="s">
        <v>88</v>
      </c>
      <c r="B12" s="27" t="s">
        <v>77</v>
      </c>
      <c r="C12" s="27" t="s">
        <v>84</v>
      </c>
      <c r="D12" s="26">
        <v>0</v>
      </c>
      <c r="E12" s="26">
        <v>0</v>
      </c>
      <c r="F12" s="26">
        <v>0</v>
      </c>
      <c r="G12" s="26">
        <v>0</v>
      </c>
      <c r="H12" s="26">
        <v>0</v>
      </c>
      <c r="I12" s="26">
        <v>0</v>
      </c>
      <c r="J12" s="26">
        <v>0</v>
      </c>
      <c r="K12" s="26">
        <v>0</v>
      </c>
      <c r="L12" s="26">
        <v>0</v>
      </c>
      <c r="M12" s="26">
        <v>0</v>
      </c>
      <c r="N12" s="26">
        <v>0</v>
      </c>
      <c r="O12" s="26">
        <v>0</v>
      </c>
      <c r="P12" s="26">
        <v>0</v>
      </c>
      <c r="Q12" s="26">
        <v>139</v>
      </c>
      <c r="R12" s="26">
        <v>256</v>
      </c>
      <c r="S12" s="26">
        <v>347</v>
      </c>
      <c r="T12" s="26">
        <v>431</v>
      </c>
      <c r="U12" s="26">
        <v>526</v>
      </c>
      <c r="V12" s="26">
        <v>559</v>
      </c>
      <c r="W12" s="26">
        <v>717</v>
      </c>
      <c r="X12" s="26">
        <v>834</v>
      </c>
      <c r="Y12" s="26">
        <v>963</v>
      </c>
      <c r="Z12" s="26">
        <v>1063</v>
      </c>
      <c r="AA12" s="26">
        <v>1264</v>
      </c>
      <c r="AB12" s="26">
        <v>1556</v>
      </c>
      <c r="AC12" s="23">
        <v>1662</v>
      </c>
    </row>
    <row r="13" spans="1:29">
      <c r="A13" s="25" t="s">
        <v>88</v>
      </c>
      <c r="B13" s="27" t="s">
        <v>79</v>
      </c>
      <c r="C13" s="27" t="s">
        <v>80</v>
      </c>
      <c r="D13" s="26">
        <v>0</v>
      </c>
      <c r="E13" s="26">
        <v>0</v>
      </c>
      <c r="F13" s="26">
        <v>0</v>
      </c>
      <c r="G13" s="26">
        <v>0</v>
      </c>
      <c r="H13" s="26">
        <v>0</v>
      </c>
      <c r="I13" s="26">
        <v>0</v>
      </c>
      <c r="J13" s="26">
        <v>0</v>
      </c>
      <c r="K13" s="26">
        <v>0</v>
      </c>
      <c r="L13" s="26">
        <v>0</v>
      </c>
      <c r="M13" s="26">
        <v>0</v>
      </c>
      <c r="N13" s="26">
        <v>0</v>
      </c>
      <c r="O13" s="26">
        <v>0</v>
      </c>
      <c r="P13" s="26">
        <v>0</v>
      </c>
      <c r="Q13" s="26">
        <v>300</v>
      </c>
      <c r="R13" s="26">
        <v>300</v>
      </c>
      <c r="S13" s="26">
        <v>390</v>
      </c>
      <c r="T13" s="26">
        <v>450</v>
      </c>
      <c r="U13" s="26">
        <v>490</v>
      </c>
      <c r="V13" s="26">
        <v>588</v>
      </c>
      <c r="W13" s="26">
        <v>747</v>
      </c>
      <c r="X13" s="26">
        <v>847</v>
      </c>
      <c r="Y13" s="26">
        <v>992</v>
      </c>
      <c r="Z13" s="26">
        <v>1143</v>
      </c>
      <c r="AA13" s="26">
        <v>1286</v>
      </c>
      <c r="AB13" s="26">
        <v>1330</v>
      </c>
    </row>
    <row r="14" spans="1:29">
      <c r="A14" s="23" t="s">
        <v>87</v>
      </c>
    </row>
    <row r="15" spans="1:29">
      <c r="A15" s="25" t="s">
        <v>89</v>
      </c>
      <c r="B15" s="25" t="s">
        <v>77</v>
      </c>
      <c r="C15" s="25" t="s">
        <v>84</v>
      </c>
      <c r="D15" s="26">
        <v>16338</v>
      </c>
      <c r="E15" s="26">
        <v>16150</v>
      </c>
      <c r="F15" s="26">
        <v>16670</v>
      </c>
      <c r="G15" s="26">
        <v>17266</v>
      </c>
      <c r="H15" s="26">
        <v>16682</v>
      </c>
      <c r="I15" s="26">
        <v>16382</v>
      </c>
      <c r="J15" s="26">
        <v>16035</v>
      </c>
      <c r="K15" s="26">
        <v>15951</v>
      </c>
      <c r="L15" s="26">
        <v>15691</v>
      </c>
      <c r="M15" s="26">
        <v>15599</v>
      </c>
      <c r="N15" s="26">
        <v>15650</v>
      </c>
      <c r="O15" s="26">
        <v>15644</v>
      </c>
      <c r="P15" s="26">
        <v>16040</v>
      </c>
      <c r="Q15" s="26">
        <v>15992</v>
      </c>
      <c r="R15" s="26">
        <v>15565</v>
      </c>
      <c r="S15" s="26">
        <v>15661</v>
      </c>
      <c r="T15" s="26">
        <v>16223</v>
      </c>
      <c r="U15" s="26">
        <v>16555</v>
      </c>
      <c r="V15" s="26">
        <v>16853</v>
      </c>
      <c r="W15" s="26">
        <v>16852</v>
      </c>
      <c r="X15" s="26">
        <v>16821</v>
      </c>
      <c r="Y15" s="26">
        <v>17226</v>
      </c>
      <c r="Z15" s="26">
        <v>16985</v>
      </c>
      <c r="AA15" s="26">
        <v>17232</v>
      </c>
      <c r="AB15" s="26">
        <v>17607</v>
      </c>
      <c r="AC15" s="23">
        <v>17830</v>
      </c>
    </row>
    <row r="16" spans="1:29">
      <c r="A16" s="25" t="s">
        <v>89</v>
      </c>
      <c r="B16" s="25" t="s">
        <v>79</v>
      </c>
      <c r="C16" s="25" t="s">
        <v>80</v>
      </c>
      <c r="D16" s="26">
        <v>16498</v>
      </c>
      <c r="E16" s="26">
        <v>16500</v>
      </c>
      <c r="F16" s="26">
        <v>16500</v>
      </c>
      <c r="G16" s="26">
        <v>16500</v>
      </c>
      <c r="H16" s="26">
        <v>16500</v>
      </c>
      <c r="I16" s="26">
        <v>16500</v>
      </c>
      <c r="J16" s="26">
        <v>16000</v>
      </c>
      <c r="K16" s="26">
        <v>16000</v>
      </c>
      <c r="L16" s="26">
        <v>15902</v>
      </c>
      <c r="M16" s="26">
        <v>15884</v>
      </c>
      <c r="N16" s="26">
        <v>15884</v>
      </c>
      <c r="O16" s="26">
        <v>15884</v>
      </c>
      <c r="P16" s="26">
        <v>15799</v>
      </c>
      <c r="Q16" s="26">
        <v>15799</v>
      </c>
      <c r="R16" s="26">
        <v>15785</v>
      </c>
      <c r="S16" s="26">
        <v>15827</v>
      </c>
      <c r="T16" s="26">
        <v>15965</v>
      </c>
      <c r="U16" s="26">
        <v>15991</v>
      </c>
      <c r="V16" s="26">
        <v>16205</v>
      </c>
      <c r="W16" s="26">
        <v>17403</v>
      </c>
      <c r="X16" s="26">
        <v>17403</v>
      </c>
      <c r="Y16" s="26">
        <v>17272</v>
      </c>
      <c r="Z16" s="26">
        <v>17272</v>
      </c>
      <c r="AA16" s="26">
        <v>17609</v>
      </c>
      <c r="AB16" s="26">
        <v>17332</v>
      </c>
    </row>
    <row r="17" spans="1:29">
      <c r="A17" s="23" t="s">
        <v>90</v>
      </c>
    </row>
    <row r="18" spans="1:29">
      <c r="A18" s="25" t="s">
        <v>115</v>
      </c>
      <c r="B18" s="25" t="s">
        <v>77</v>
      </c>
      <c r="C18" s="25" t="s">
        <v>84</v>
      </c>
      <c r="D18" s="26">
        <v>0</v>
      </c>
      <c r="E18" s="26">
        <v>0</v>
      </c>
      <c r="F18" s="26">
        <v>0</v>
      </c>
      <c r="G18" s="26">
        <v>0</v>
      </c>
      <c r="H18" s="26">
        <v>0</v>
      </c>
      <c r="I18" s="26">
        <v>0</v>
      </c>
      <c r="J18" s="26">
        <v>0</v>
      </c>
      <c r="K18" s="26">
        <v>0</v>
      </c>
      <c r="L18" s="26">
        <v>0</v>
      </c>
      <c r="M18" s="26">
        <v>0</v>
      </c>
      <c r="N18" s="26">
        <v>0</v>
      </c>
      <c r="O18" s="26">
        <v>0</v>
      </c>
      <c r="P18" s="26">
        <v>36</v>
      </c>
      <c r="Q18" s="26">
        <v>143</v>
      </c>
      <c r="R18" s="26">
        <v>148</v>
      </c>
      <c r="S18" s="26">
        <v>183</v>
      </c>
      <c r="T18" s="26">
        <v>230</v>
      </c>
      <c r="U18" s="26">
        <v>262</v>
      </c>
      <c r="V18" s="26">
        <v>317</v>
      </c>
      <c r="W18" s="26">
        <v>364</v>
      </c>
      <c r="X18" s="26">
        <v>288</v>
      </c>
      <c r="Y18" s="26">
        <v>383</v>
      </c>
      <c r="Z18" s="26">
        <v>432</v>
      </c>
      <c r="AA18" s="26">
        <v>526</v>
      </c>
      <c r="AB18" s="26">
        <v>567</v>
      </c>
      <c r="AC18" s="23">
        <v>628</v>
      </c>
    </row>
    <row r="19" spans="1:29">
      <c r="A19" s="25" t="s">
        <v>115</v>
      </c>
      <c r="B19" s="25" t="s">
        <v>79</v>
      </c>
      <c r="C19" s="25" t="s">
        <v>80</v>
      </c>
      <c r="D19" s="26">
        <v>0</v>
      </c>
      <c r="E19" s="26">
        <v>0</v>
      </c>
      <c r="F19" s="26">
        <v>0</v>
      </c>
      <c r="G19" s="26">
        <v>0</v>
      </c>
      <c r="H19" s="26">
        <v>0</v>
      </c>
      <c r="I19" s="26">
        <v>0</v>
      </c>
      <c r="J19" s="26">
        <v>0</v>
      </c>
      <c r="K19" s="26">
        <v>0</v>
      </c>
      <c r="L19" s="26">
        <v>0</v>
      </c>
      <c r="M19" s="26">
        <v>0</v>
      </c>
      <c r="N19" s="26">
        <v>0</v>
      </c>
      <c r="O19" s="26">
        <v>0</v>
      </c>
      <c r="P19" s="26">
        <v>19</v>
      </c>
      <c r="Q19" s="26">
        <v>54</v>
      </c>
      <c r="R19" s="26">
        <v>143</v>
      </c>
      <c r="S19" s="26">
        <v>177</v>
      </c>
      <c r="T19" s="26">
        <v>248</v>
      </c>
      <c r="U19" s="26">
        <v>258</v>
      </c>
      <c r="V19" s="26">
        <v>283</v>
      </c>
      <c r="W19" s="26">
        <v>352</v>
      </c>
      <c r="X19" s="26">
        <v>352</v>
      </c>
      <c r="Y19" s="26">
        <v>442</v>
      </c>
      <c r="Z19" s="26">
        <v>472</v>
      </c>
      <c r="AA19" s="26">
        <v>551</v>
      </c>
      <c r="AB19" s="26">
        <v>551</v>
      </c>
    </row>
    <row r="20" spans="1:29">
      <c r="A20" s="23" t="s">
        <v>91</v>
      </c>
    </row>
    <row r="21" spans="1:29">
      <c r="A21" s="25" t="s">
        <v>114</v>
      </c>
      <c r="B21" s="25" t="s">
        <v>77</v>
      </c>
      <c r="C21" s="25" t="s">
        <v>84</v>
      </c>
      <c r="D21" s="26">
        <v>0</v>
      </c>
      <c r="E21" s="26">
        <v>0</v>
      </c>
      <c r="F21" s="26">
        <v>0</v>
      </c>
      <c r="G21" s="26">
        <v>0</v>
      </c>
      <c r="H21" s="26">
        <v>0</v>
      </c>
      <c r="I21" s="26">
        <v>0</v>
      </c>
      <c r="J21" s="26">
        <v>0</v>
      </c>
      <c r="K21" s="26">
        <v>0</v>
      </c>
      <c r="L21" s="26">
        <v>0</v>
      </c>
      <c r="M21" s="26">
        <v>0</v>
      </c>
      <c r="N21" s="26">
        <v>0</v>
      </c>
      <c r="O21" s="26">
        <v>0</v>
      </c>
      <c r="P21" s="26">
        <v>384</v>
      </c>
      <c r="Q21" s="26">
        <v>406</v>
      </c>
      <c r="R21" s="26">
        <v>424</v>
      </c>
      <c r="S21" s="26">
        <v>492</v>
      </c>
      <c r="T21" s="26">
        <v>530</v>
      </c>
      <c r="U21" s="26">
        <v>624</v>
      </c>
      <c r="V21" s="26">
        <v>619</v>
      </c>
      <c r="W21" s="26">
        <v>656</v>
      </c>
      <c r="X21" s="26">
        <v>647</v>
      </c>
      <c r="Y21" s="26">
        <v>591</v>
      </c>
      <c r="Z21" s="26">
        <v>596</v>
      </c>
      <c r="AA21" s="26">
        <v>639</v>
      </c>
      <c r="AB21" s="26">
        <v>631</v>
      </c>
      <c r="AC21" s="23">
        <v>627</v>
      </c>
    </row>
    <row r="22" spans="1:29">
      <c r="A22" s="25" t="s">
        <v>114</v>
      </c>
      <c r="B22" s="25" t="s">
        <v>79</v>
      </c>
      <c r="C22" s="25" t="s">
        <v>80</v>
      </c>
      <c r="D22" s="26">
        <v>0</v>
      </c>
      <c r="E22" s="26">
        <v>0</v>
      </c>
      <c r="F22" s="26">
        <v>0</v>
      </c>
      <c r="G22" s="26">
        <v>0</v>
      </c>
      <c r="H22" s="26">
        <v>0</v>
      </c>
      <c r="I22" s="26">
        <v>0</v>
      </c>
      <c r="J22" s="26">
        <v>0</v>
      </c>
      <c r="K22" s="26">
        <v>0</v>
      </c>
      <c r="L22" s="26">
        <v>0</v>
      </c>
      <c r="M22" s="26">
        <v>0</v>
      </c>
      <c r="N22" s="26">
        <v>0</v>
      </c>
      <c r="O22" s="26">
        <v>0</v>
      </c>
      <c r="P22" s="26">
        <v>390</v>
      </c>
      <c r="Q22" s="26">
        <v>410</v>
      </c>
      <c r="R22" s="26">
        <v>448</v>
      </c>
      <c r="S22" s="26">
        <v>486</v>
      </c>
      <c r="T22" s="26">
        <v>519</v>
      </c>
      <c r="U22" s="26">
        <v>541</v>
      </c>
      <c r="V22" s="26">
        <v>624</v>
      </c>
      <c r="W22" s="26">
        <v>724</v>
      </c>
      <c r="X22" s="26">
        <v>754</v>
      </c>
      <c r="Y22" s="26">
        <v>754</v>
      </c>
      <c r="Z22" s="26">
        <v>754</v>
      </c>
      <c r="AA22" s="26">
        <v>616</v>
      </c>
      <c r="AB22" s="26">
        <v>616</v>
      </c>
    </row>
    <row r="23" spans="1:29">
      <c r="A23" s="23" t="s">
        <v>92</v>
      </c>
    </row>
    <row r="24" spans="1:29">
      <c r="A24" s="28" t="s">
        <v>108</v>
      </c>
      <c r="B24" s="27" t="s">
        <v>77</v>
      </c>
      <c r="C24" s="27" t="s">
        <v>84</v>
      </c>
      <c r="D24" s="26">
        <v>0</v>
      </c>
      <c r="E24" s="26">
        <v>0</v>
      </c>
      <c r="F24" s="26">
        <v>0</v>
      </c>
      <c r="G24" s="26">
        <v>0</v>
      </c>
      <c r="H24" s="26">
        <v>0</v>
      </c>
      <c r="I24" s="26">
        <v>0</v>
      </c>
      <c r="J24" s="26">
        <v>0</v>
      </c>
      <c r="K24" s="26">
        <v>0</v>
      </c>
      <c r="L24" s="26">
        <v>0</v>
      </c>
      <c r="M24" s="26">
        <v>0</v>
      </c>
      <c r="N24" s="26">
        <v>0</v>
      </c>
      <c r="O24" s="26">
        <v>0</v>
      </c>
      <c r="P24" s="26">
        <v>130</v>
      </c>
      <c r="Q24" s="26">
        <v>236</v>
      </c>
      <c r="R24" s="26">
        <v>315</v>
      </c>
      <c r="S24" s="26">
        <v>349</v>
      </c>
      <c r="T24" s="26">
        <v>484</v>
      </c>
      <c r="U24" s="26">
        <v>566</v>
      </c>
      <c r="V24" s="26">
        <v>636</v>
      </c>
      <c r="W24" s="26">
        <v>722</v>
      </c>
      <c r="X24" s="26">
        <v>828</v>
      </c>
      <c r="Y24" s="26">
        <v>948</v>
      </c>
      <c r="Z24" s="26">
        <v>970</v>
      </c>
      <c r="AA24" s="26">
        <v>1076</v>
      </c>
      <c r="AB24" s="26">
        <v>1150</v>
      </c>
      <c r="AC24" s="23">
        <v>1226</v>
      </c>
    </row>
    <row r="25" spans="1:29">
      <c r="A25" s="28" t="s">
        <v>108</v>
      </c>
      <c r="B25" s="27" t="s">
        <v>79</v>
      </c>
      <c r="C25" s="27" t="s">
        <v>80</v>
      </c>
      <c r="D25" s="26">
        <v>0</v>
      </c>
      <c r="E25" s="26">
        <v>0</v>
      </c>
      <c r="F25" s="26">
        <v>0</v>
      </c>
      <c r="G25" s="26">
        <v>0</v>
      </c>
      <c r="H25" s="26">
        <v>0</v>
      </c>
      <c r="I25" s="26">
        <v>0</v>
      </c>
      <c r="J25" s="26">
        <v>0</v>
      </c>
      <c r="K25" s="26">
        <v>0</v>
      </c>
      <c r="L25" s="26">
        <v>0</v>
      </c>
      <c r="M25" s="26">
        <v>0</v>
      </c>
      <c r="N25" s="26">
        <v>0</v>
      </c>
      <c r="O25" s="26">
        <v>0</v>
      </c>
      <c r="P25" s="26">
        <v>104</v>
      </c>
      <c r="Q25" s="26">
        <v>218</v>
      </c>
      <c r="R25" s="26">
        <v>301</v>
      </c>
      <c r="S25" s="26">
        <v>385</v>
      </c>
      <c r="T25" s="26">
        <v>511</v>
      </c>
      <c r="U25" s="26">
        <v>595</v>
      </c>
      <c r="V25" s="26">
        <v>723</v>
      </c>
      <c r="W25" s="26">
        <v>851</v>
      </c>
      <c r="X25" s="26">
        <v>851</v>
      </c>
      <c r="Y25" s="26">
        <v>971</v>
      </c>
      <c r="Z25" s="26">
        <v>1021</v>
      </c>
      <c r="AA25" s="26">
        <v>1071</v>
      </c>
      <c r="AB25" s="26">
        <v>1071</v>
      </c>
    </row>
    <row r="26" spans="1:29">
      <c r="A26" s="23" t="s">
        <v>91</v>
      </c>
    </row>
    <row r="27" spans="1:29">
      <c r="A27" s="25" t="s">
        <v>93</v>
      </c>
      <c r="B27" s="27" t="s">
        <v>77</v>
      </c>
      <c r="C27" s="27" t="s">
        <v>84</v>
      </c>
      <c r="D27" s="26">
        <v>5842</v>
      </c>
      <c r="E27" s="26">
        <v>5711</v>
      </c>
      <c r="F27" s="26">
        <v>5895</v>
      </c>
      <c r="G27" s="26">
        <v>5987</v>
      </c>
      <c r="H27" s="26">
        <v>5995</v>
      </c>
      <c r="I27" s="26">
        <v>5949</v>
      </c>
      <c r="J27" s="26">
        <v>6067</v>
      </c>
      <c r="K27" s="26">
        <v>6003</v>
      </c>
      <c r="L27" s="26">
        <v>5916</v>
      </c>
      <c r="M27" s="26">
        <v>6040</v>
      </c>
      <c r="N27" s="26">
        <v>6015</v>
      </c>
      <c r="O27" s="26">
        <v>6018</v>
      </c>
      <c r="P27" s="26">
        <v>6221</v>
      </c>
      <c r="Q27" s="26">
        <v>6429</v>
      </c>
      <c r="R27" s="26">
        <v>6312</v>
      </c>
      <c r="S27" s="26">
        <v>6588</v>
      </c>
      <c r="T27" s="26">
        <v>7339</v>
      </c>
      <c r="U27" s="26">
        <v>7737</v>
      </c>
      <c r="V27" s="26">
        <v>7339</v>
      </c>
      <c r="W27" s="26">
        <v>7448</v>
      </c>
      <c r="X27" s="26">
        <v>7474</v>
      </c>
      <c r="Y27" s="26">
        <v>7471</v>
      </c>
      <c r="Z27" s="26">
        <v>7463</v>
      </c>
      <c r="AA27" s="26">
        <v>7287</v>
      </c>
      <c r="AB27" s="26">
        <v>7672</v>
      </c>
      <c r="AC27" s="37">
        <v>8106</v>
      </c>
    </row>
    <row r="28" spans="1:29">
      <c r="A28" s="25" t="s">
        <v>93</v>
      </c>
      <c r="B28" s="27" t="s">
        <v>79</v>
      </c>
      <c r="C28" s="27" t="s">
        <v>80</v>
      </c>
      <c r="D28" s="26">
        <v>5852</v>
      </c>
      <c r="E28" s="26">
        <v>5852</v>
      </c>
      <c r="F28" s="26">
        <v>5868</v>
      </c>
      <c r="G28" s="26">
        <v>5895</v>
      </c>
      <c r="H28" s="26">
        <v>5900</v>
      </c>
      <c r="I28" s="26">
        <v>5900</v>
      </c>
      <c r="J28" s="26">
        <v>5800</v>
      </c>
      <c r="K28" s="26">
        <v>5955</v>
      </c>
      <c r="L28" s="26">
        <v>5955</v>
      </c>
      <c r="M28" s="26">
        <v>5955</v>
      </c>
      <c r="N28" s="26">
        <v>5877</v>
      </c>
      <c r="O28" s="26">
        <v>5877</v>
      </c>
      <c r="P28" s="26">
        <v>5997</v>
      </c>
      <c r="Q28" s="26">
        <v>6090</v>
      </c>
      <c r="R28" s="26">
        <v>6270</v>
      </c>
      <c r="S28" s="26">
        <v>6451</v>
      </c>
      <c r="T28" s="26">
        <v>6666</v>
      </c>
      <c r="U28" s="26">
        <v>6810</v>
      </c>
      <c r="V28" s="26">
        <v>6903</v>
      </c>
      <c r="W28" s="26">
        <v>7256</v>
      </c>
      <c r="X28" s="26">
        <v>7346</v>
      </c>
      <c r="Y28" s="26">
        <v>7446</v>
      </c>
      <c r="Z28" s="26">
        <v>7670</v>
      </c>
      <c r="AA28" s="26">
        <v>7867</v>
      </c>
      <c r="AB28" s="26">
        <v>7470</v>
      </c>
    </row>
    <row r="29" spans="1:29">
      <c r="A29" s="25" t="s">
        <v>94</v>
      </c>
      <c r="B29" s="27" t="s">
        <v>77</v>
      </c>
      <c r="C29" s="27" t="s">
        <v>84</v>
      </c>
      <c r="D29" s="26">
        <v>6280</v>
      </c>
      <c r="E29" s="26">
        <v>6307</v>
      </c>
      <c r="F29" s="26">
        <v>6756</v>
      </c>
      <c r="G29" s="26">
        <v>7212</v>
      </c>
      <c r="H29" s="26">
        <v>7085</v>
      </c>
      <c r="I29" s="26">
        <v>7126</v>
      </c>
      <c r="J29" s="26">
        <v>7220</v>
      </c>
      <c r="K29" s="26">
        <v>7144</v>
      </c>
      <c r="L29" s="26">
        <v>6871</v>
      </c>
      <c r="M29" s="26">
        <v>6809</v>
      </c>
      <c r="N29" s="26">
        <v>6872</v>
      </c>
      <c r="O29" s="26">
        <v>6924</v>
      </c>
      <c r="P29" s="26">
        <v>7214</v>
      </c>
      <c r="Q29" s="26">
        <v>7417</v>
      </c>
      <c r="R29" s="26">
        <v>7360</v>
      </c>
      <c r="S29" s="26">
        <v>7533</v>
      </c>
      <c r="T29" s="26">
        <v>7635</v>
      </c>
      <c r="U29" s="26">
        <v>7605</v>
      </c>
      <c r="V29" s="26">
        <v>7364</v>
      </c>
      <c r="W29" s="26">
        <v>6945</v>
      </c>
      <c r="X29" s="26">
        <v>6907</v>
      </c>
      <c r="Y29" s="26">
        <v>7244</v>
      </c>
      <c r="Z29" s="26">
        <v>7712</v>
      </c>
      <c r="AA29" s="26">
        <v>8081</v>
      </c>
      <c r="AB29" s="26">
        <v>8421</v>
      </c>
      <c r="AC29" s="37">
        <v>8700</v>
      </c>
    </row>
    <row r="30" spans="1:29">
      <c r="A30" s="25" t="s">
        <v>94</v>
      </c>
      <c r="B30" s="27" t="s">
        <v>79</v>
      </c>
      <c r="C30" s="27" t="s">
        <v>80</v>
      </c>
      <c r="D30" s="26">
        <v>6300</v>
      </c>
      <c r="E30" s="26">
        <v>6400</v>
      </c>
      <c r="F30" s="26">
        <v>6475</v>
      </c>
      <c r="G30" s="26">
        <v>6575</v>
      </c>
      <c r="H30" s="26">
        <v>6800</v>
      </c>
      <c r="I30" s="26">
        <v>6800</v>
      </c>
      <c r="J30" s="26">
        <v>7000</v>
      </c>
      <c r="K30" s="26">
        <v>7000</v>
      </c>
      <c r="L30" s="26">
        <v>7000</v>
      </c>
      <c r="M30" s="26">
        <v>7000</v>
      </c>
      <c r="N30" s="26">
        <v>7000</v>
      </c>
      <c r="O30" s="26">
        <v>7000</v>
      </c>
      <c r="P30" s="26">
        <v>7020</v>
      </c>
      <c r="Q30" s="26">
        <v>7020</v>
      </c>
      <c r="R30" s="26">
        <v>7194</v>
      </c>
      <c r="S30" s="26">
        <v>7368</v>
      </c>
      <c r="T30" s="26">
        <v>7429</v>
      </c>
      <c r="U30" s="26">
        <v>7573</v>
      </c>
      <c r="V30" s="26">
        <v>7656</v>
      </c>
      <c r="W30" s="26">
        <v>7825</v>
      </c>
      <c r="X30" s="26">
        <v>7739</v>
      </c>
      <c r="Y30" s="26">
        <v>7739</v>
      </c>
      <c r="Z30" s="26">
        <v>7739</v>
      </c>
      <c r="AA30" s="26">
        <v>7864</v>
      </c>
      <c r="AB30" s="26">
        <v>7933</v>
      </c>
    </row>
    <row r="31" spans="1:29">
      <c r="A31" s="23" t="s">
        <v>95</v>
      </c>
    </row>
    <row r="32" spans="1:29">
      <c r="A32" s="25" t="s">
        <v>96</v>
      </c>
      <c r="B32" s="27" t="s">
        <v>77</v>
      </c>
      <c r="C32" s="27" t="s">
        <v>84</v>
      </c>
      <c r="D32" s="26">
        <v>2303</v>
      </c>
      <c r="E32" s="26">
        <v>2034</v>
      </c>
      <c r="F32" s="26">
        <v>2175</v>
      </c>
      <c r="G32" s="26">
        <v>2388</v>
      </c>
      <c r="H32" s="26">
        <v>2432</v>
      </c>
      <c r="I32" s="26">
        <v>2267</v>
      </c>
      <c r="J32" s="26">
        <v>2365</v>
      </c>
      <c r="K32" s="26">
        <v>2426</v>
      </c>
      <c r="L32" s="26">
        <v>2582</v>
      </c>
      <c r="M32" s="26">
        <v>2628</v>
      </c>
      <c r="N32" s="26">
        <v>2790</v>
      </c>
      <c r="O32" s="26">
        <v>3018</v>
      </c>
      <c r="P32" s="26">
        <v>2988</v>
      </c>
      <c r="Q32" s="26">
        <v>3089</v>
      </c>
      <c r="R32" s="26">
        <v>3203</v>
      </c>
      <c r="S32" s="26">
        <v>3236</v>
      </c>
      <c r="T32" s="26">
        <v>3282</v>
      </c>
      <c r="U32" s="26">
        <v>3377</v>
      </c>
      <c r="V32" s="26">
        <v>3387</v>
      </c>
      <c r="W32" s="26">
        <v>3489</v>
      </c>
      <c r="X32" s="26">
        <v>3728</v>
      </c>
      <c r="Y32" s="26">
        <v>3822</v>
      </c>
      <c r="Z32" s="26">
        <v>3697</v>
      </c>
      <c r="AA32" s="26">
        <v>3786</v>
      </c>
      <c r="AB32" s="26">
        <v>4009</v>
      </c>
      <c r="AC32" s="37">
        <v>4054</v>
      </c>
    </row>
    <row r="33" spans="1:29">
      <c r="A33" s="25" t="s">
        <v>96</v>
      </c>
      <c r="B33" s="27" t="s">
        <v>79</v>
      </c>
      <c r="C33" s="27" t="s">
        <v>80</v>
      </c>
      <c r="D33" s="26">
        <v>2500</v>
      </c>
      <c r="E33" s="26">
        <v>2400</v>
      </c>
      <c r="F33" s="26">
        <v>2300</v>
      </c>
      <c r="G33" s="26">
        <v>2375</v>
      </c>
      <c r="H33" s="26">
        <v>2500</v>
      </c>
      <c r="I33" s="26">
        <v>2500</v>
      </c>
      <c r="J33" s="26">
        <v>2209</v>
      </c>
      <c r="K33" s="26">
        <v>2366</v>
      </c>
      <c r="L33" s="26">
        <v>2528</v>
      </c>
      <c r="M33" s="26">
        <v>2600</v>
      </c>
      <c r="N33" s="26">
        <v>2800</v>
      </c>
      <c r="O33" s="26">
        <v>2900</v>
      </c>
      <c r="P33" s="26">
        <v>3000</v>
      </c>
      <c r="Q33" s="26">
        <v>3100</v>
      </c>
      <c r="R33" s="26">
        <v>3139</v>
      </c>
      <c r="S33" s="26">
        <v>3178</v>
      </c>
      <c r="T33" s="26">
        <v>3226</v>
      </c>
      <c r="U33" s="26">
        <v>3258</v>
      </c>
      <c r="V33" s="26">
        <v>3278</v>
      </c>
      <c r="W33" s="26">
        <v>3406</v>
      </c>
      <c r="X33" s="26">
        <v>3496</v>
      </c>
      <c r="Y33" s="26">
        <v>3576</v>
      </c>
      <c r="Z33" s="26">
        <v>3638</v>
      </c>
      <c r="AA33" s="26">
        <v>3713</v>
      </c>
      <c r="AB33" s="26">
        <v>3754</v>
      </c>
    </row>
    <row r="34" spans="1:29">
      <c r="A34" s="23" t="s">
        <v>97</v>
      </c>
    </row>
    <row r="35" spans="1:29">
      <c r="A35" s="25" t="s">
        <v>98</v>
      </c>
      <c r="B35" s="27" t="s">
        <v>77</v>
      </c>
      <c r="C35" s="27" t="s">
        <v>84</v>
      </c>
      <c r="D35" s="26">
        <v>8567</v>
      </c>
      <c r="E35" s="26">
        <v>8919</v>
      </c>
      <c r="F35" s="26">
        <v>9192</v>
      </c>
      <c r="G35" s="26">
        <v>9597</v>
      </c>
      <c r="H35" s="26">
        <v>9383</v>
      </c>
      <c r="I35" s="26">
        <v>8524</v>
      </c>
      <c r="J35" s="26">
        <v>8605</v>
      </c>
      <c r="K35" s="26">
        <v>8266</v>
      </c>
      <c r="L35" s="26">
        <v>8297</v>
      </c>
      <c r="M35" s="26">
        <v>8410</v>
      </c>
      <c r="N35" s="26">
        <v>8357</v>
      </c>
      <c r="O35" s="26">
        <v>8650</v>
      </c>
      <c r="P35" s="26">
        <v>8439</v>
      </c>
      <c r="Q35" s="26">
        <v>8731</v>
      </c>
      <c r="R35" s="26">
        <v>9021</v>
      </c>
      <c r="S35" s="26">
        <v>9139</v>
      </c>
      <c r="T35" s="26">
        <v>9347</v>
      </c>
      <c r="U35" s="26">
        <v>9486</v>
      </c>
      <c r="V35" s="26">
        <v>9651</v>
      </c>
      <c r="W35" s="26">
        <v>10101</v>
      </c>
      <c r="X35" s="26">
        <v>10367</v>
      </c>
      <c r="Y35" s="26">
        <v>10537</v>
      </c>
      <c r="Z35" s="26">
        <v>10821</v>
      </c>
      <c r="AA35" s="26">
        <v>11191</v>
      </c>
      <c r="AB35" s="26">
        <v>11265</v>
      </c>
      <c r="AC35" s="37">
        <v>11377</v>
      </c>
    </row>
    <row r="36" spans="1:29">
      <c r="A36" s="25" t="s">
        <v>98</v>
      </c>
      <c r="B36" s="27" t="s">
        <v>79</v>
      </c>
      <c r="C36" s="27" t="s">
        <v>80</v>
      </c>
      <c r="D36" s="26">
        <v>8406</v>
      </c>
      <c r="E36" s="26">
        <v>8500</v>
      </c>
      <c r="F36" s="26">
        <v>8984</v>
      </c>
      <c r="G36" s="26">
        <v>9120</v>
      </c>
      <c r="H36" s="26">
        <v>9100</v>
      </c>
      <c r="I36" s="26">
        <v>9100</v>
      </c>
      <c r="J36" s="26">
        <v>8250</v>
      </c>
      <c r="K36" s="26">
        <v>8250</v>
      </c>
      <c r="L36" s="26">
        <v>8250</v>
      </c>
      <c r="M36" s="26">
        <v>8250</v>
      </c>
      <c r="N36" s="26">
        <v>8250</v>
      </c>
      <c r="O36" s="26">
        <v>8250</v>
      </c>
      <c r="P36" s="26">
        <v>8450</v>
      </c>
      <c r="Q36" s="26">
        <v>8650</v>
      </c>
      <c r="R36" s="26">
        <v>8825</v>
      </c>
      <c r="S36" s="26">
        <v>9001</v>
      </c>
      <c r="T36" s="26">
        <v>9216</v>
      </c>
      <c r="U36" s="26">
        <v>9360</v>
      </c>
      <c r="V36" s="26">
        <v>9483</v>
      </c>
      <c r="W36" s="26">
        <v>10038</v>
      </c>
      <c r="X36" s="26">
        <v>10188</v>
      </c>
      <c r="Y36" s="26">
        <v>10338</v>
      </c>
      <c r="Z36" s="26">
        <v>10648</v>
      </c>
      <c r="AA36" s="26">
        <v>10826</v>
      </c>
      <c r="AB36" s="26">
        <v>10976</v>
      </c>
    </row>
    <row r="37" spans="1:29">
      <c r="A37" s="25" t="s">
        <v>99</v>
      </c>
      <c r="B37" s="27" t="s">
        <v>77</v>
      </c>
      <c r="C37" s="27" t="s">
        <v>84</v>
      </c>
      <c r="D37" s="26">
        <v>0</v>
      </c>
      <c r="E37" s="26">
        <v>0</v>
      </c>
      <c r="F37" s="26">
        <v>0</v>
      </c>
      <c r="G37" s="26">
        <v>0</v>
      </c>
      <c r="H37" s="26">
        <v>0</v>
      </c>
      <c r="I37" s="26">
        <v>0</v>
      </c>
      <c r="J37" s="26">
        <v>0</v>
      </c>
      <c r="K37" s="26">
        <v>0</v>
      </c>
      <c r="L37" s="26">
        <v>0</v>
      </c>
      <c r="M37" s="26">
        <v>0</v>
      </c>
      <c r="N37" s="26">
        <v>0</v>
      </c>
      <c r="O37" s="26">
        <v>0</v>
      </c>
      <c r="P37" s="26">
        <v>0</v>
      </c>
      <c r="Q37" s="26">
        <v>0</v>
      </c>
      <c r="R37" s="26">
        <v>7</v>
      </c>
      <c r="S37" s="26">
        <v>25</v>
      </c>
      <c r="T37" s="26">
        <v>36</v>
      </c>
      <c r="U37" s="26">
        <v>74</v>
      </c>
      <c r="V37" s="26">
        <v>101</v>
      </c>
      <c r="W37" s="26">
        <v>119</v>
      </c>
      <c r="X37" s="26">
        <v>141</v>
      </c>
      <c r="Y37" s="26">
        <v>164</v>
      </c>
      <c r="Z37" s="26">
        <v>25</v>
      </c>
      <c r="AA37" s="26">
        <v>25</v>
      </c>
      <c r="AB37" s="26">
        <v>0</v>
      </c>
    </row>
    <row r="38" spans="1:29">
      <c r="A38" s="25" t="s">
        <v>99</v>
      </c>
      <c r="B38" s="27" t="s">
        <v>79</v>
      </c>
      <c r="C38" s="27" t="s">
        <v>80</v>
      </c>
      <c r="D38" s="26">
        <v>0</v>
      </c>
      <c r="E38" s="26">
        <v>0</v>
      </c>
      <c r="F38" s="26">
        <v>0</v>
      </c>
      <c r="G38" s="26">
        <v>0</v>
      </c>
      <c r="H38" s="26">
        <v>0</v>
      </c>
      <c r="I38" s="26">
        <v>0</v>
      </c>
      <c r="J38" s="26">
        <v>0</v>
      </c>
      <c r="K38" s="26">
        <v>0</v>
      </c>
      <c r="L38" s="26">
        <v>0</v>
      </c>
      <c r="M38" s="26">
        <v>0</v>
      </c>
      <c r="N38" s="26">
        <v>0</v>
      </c>
      <c r="O38" s="26">
        <v>0</v>
      </c>
      <c r="P38" s="26">
        <v>0</v>
      </c>
      <c r="Q38" s="26">
        <v>0</v>
      </c>
      <c r="R38" s="26">
        <v>25</v>
      </c>
      <c r="S38" s="26">
        <v>40</v>
      </c>
      <c r="T38" s="26">
        <v>35</v>
      </c>
      <c r="U38" s="26">
        <v>35</v>
      </c>
      <c r="V38" s="26">
        <v>25</v>
      </c>
      <c r="W38" s="26">
        <v>25</v>
      </c>
      <c r="X38" s="26">
        <v>35</v>
      </c>
      <c r="Y38" s="26">
        <v>35</v>
      </c>
      <c r="Z38" s="26">
        <v>25</v>
      </c>
      <c r="AA38" s="26">
        <v>25</v>
      </c>
      <c r="AB38" s="26">
        <v>0</v>
      </c>
    </row>
    <row r="39" spans="1:29">
      <c r="A39" s="23" t="s">
        <v>100</v>
      </c>
    </row>
    <row r="40" spans="1:29">
      <c r="A40" s="23" t="s">
        <v>101</v>
      </c>
    </row>
    <row r="41" spans="1:29">
      <c r="A41" s="25" t="s">
        <v>102</v>
      </c>
      <c r="B41" s="27" t="s">
        <v>77</v>
      </c>
      <c r="C41" s="27" t="s">
        <v>84</v>
      </c>
      <c r="D41" s="26">
        <v>0</v>
      </c>
      <c r="E41" s="26">
        <v>0</v>
      </c>
      <c r="F41" s="26">
        <v>0</v>
      </c>
      <c r="G41" s="26">
        <v>0</v>
      </c>
      <c r="H41" s="26">
        <v>0</v>
      </c>
      <c r="I41" s="26">
        <v>0</v>
      </c>
      <c r="J41" s="26">
        <v>0</v>
      </c>
      <c r="K41" s="26">
        <v>0</v>
      </c>
      <c r="L41" s="26">
        <v>0</v>
      </c>
      <c r="M41" s="26">
        <v>0</v>
      </c>
      <c r="N41" s="26">
        <v>0</v>
      </c>
      <c r="O41" s="26">
        <v>0</v>
      </c>
      <c r="P41" s="26">
        <v>0</v>
      </c>
      <c r="Q41" s="26">
        <v>0</v>
      </c>
      <c r="R41" s="26">
        <v>0</v>
      </c>
      <c r="S41" s="26">
        <v>6</v>
      </c>
      <c r="T41" s="26">
        <v>12</v>
      </c>
      <c r="U41" s="26">
        <v>13</v>
      </c>
      <c r="V41" s="26">
        <v>17</v>
      </c>
      <c r="W41" s="26">
        <v>17</v>
      </c>
      <c r="X41" s="26">
        <v>7</v>
      </c>
      <c r="Y41" s="26">
        <v>13</v>
      </c>
      <c r="Z41" s="26">
        <v>20</v>
      </c>
      <c r="AA41" s="26">
        <v>23</v>
      </c>
      <c r="AB41" s="26">
        <v>0</v>
      </c>
    </row>
    <row r="42" spans="1:29">
      <c r="A42" s="25" t="s">
        <v>102</v>
      </c>
      <c r="B42" s="27" t="s">
        <v>79</v>
      </c>
      <c r="C42" s="27" t="s">
        <v>80</v>
      </c>
      <c r="D42" s="26">
        <v>0</v>
      </c>
      <c r="E42" s="26">
        <v>0</v>
      </c>
      <c r="F42" s="26">
        <v>0</v>
      </c>
      <c r="G42" s="26">
        <v>0</v>
      </c>
      <c r="H42" s="26">
        <v>0</v>
      </c>
      <c r="I42" s="26">
        <v>0</v>
      </c>
      <c r="J42" s="26">
        <v>0</v>
      </c>
      <c r="K42" s="26">
        <v>0</v>
      </c>
      <c r="L42" s="26">
        <v>0</v>
      </c>
      <c r="M42" s="26">
        <v>0</v>
      </c>
      <c r="N42" s="26">
        <v>0</v>
      </c>
      <c r="O42" s="26">
        <v>0</v>
      </c>
      <c r="P42" s="26">
        <v>0</v>
      </c>
      <c r="Q42" s="26">
        <v>0</v>
      </c>
      <c r="R42" s="26">
        <v>0</v>
      </c>
      <c r="S42" s="26">
        <v>10</v>
      </c>
      <c r="T42" s="26">
        <v>15</v>
      </c>
      <c r="U42" s="26">
        <v>15</v>
      </c>
      <c r="V42" s="26">
        <v>25</v>
      </c>
      <c r="W42" s="26">
        <v>25</v>
      </c>
      <c r="X42" s="26">
        <v>15</v>
      </c>
      <c r="Y42" s="26">
        <v>15</v>
      </c>
      <c r="Z42" s="26">
        <v>25</v>
      </c>
      <c r="AA42" s="26">
        <v>25</v>
      </c>
      <c r="AB42" s="26">
        <v>0</v>
      </c>
    </row>
    <row r="43" spans="1:29">
      <c r="A43" s="23" t="s">
        <v>103</v>
      </c>
    </row>
    <row r="44" spans="1:29">
      <c r="A44" s="25" t="s">
        <v>104</v>
      </c>
      <c r="B44" s="27" t="s">
        <v>77</v>
      </c>
      <c r="C44" s="27" t="s">
        <v>84</v>
      </c>
      <c r="D44" s="26">
        <v>71084</v>
      </c>
      <c r="E44" s="26">
        <v>70517</v>
      </c>
      <c r="F44" s="26">
        <v>72425</v>
      </c>
      <c r="G44" s="26">
        <v>74090</v>
      </c>
      <c r="H44" s="26">
        <v>71767</v>
      </c>
      <c r="I44" s="26">
        <v>70012</v>
      </c>
      <c r="J44" s="26">
        <v>69965</v>
      </c>
      <c r="K44" s="26">
        <v>69570</v>
      </c>
      <c r="L44" s="26">
        <v>68927</v>
      </c>
      <c r="M44" s="26">
        <v>68961</v>
      </c>
      <c r="N44" s="26">
        <v>69177</v>
      </c>
      <c r="O44" s="26">
        <v>69933</v>
      </c>
      <c r="P44" s="26">
        <v>71075</v>
      </c>
      <c r="Q44" s="26">
        <v>72566</v>
      </c>
      <c r="R44" s="26">
        <v>73078</v>
      </c>
      <c r="S44" s="26">
        <v>74422</v>
      </c>
      <c r="T44" s="26">
        <v>76459</v>
      </c>
      <c r="U44" s="26">
        <v>77793</v>
      </c>
      <c r="V44" s="26">
        <v>78095</v>
      </c>
      <c r="W44" s="26">
        <v>79571</v>
      </c>
      <c r="X44" s="26">
        <v>80606</v>
      </c>
      <c r="Y44" s="26">
        <v>81991</v>
      </c>
      <c r="Z44" s="26">
        <v>82779</v>
      </c>
      <c r="AA44" s="26">
        <v>84832</v>
      </c>
      <c r="AB44" s="26">
        <v>87969</v>
      </c>
    </row>
    <row r="45" spans="1:29">
      <c r="A45" s="25" t="s">
        <v>104</v>
      </c>
      <c r="B45" s="27" t="s">
        <v>79</v>
      </c>
      <c r="C45" s="27" t="s">
        <v>80</v>
      </c>
      <c r="D45" s="26">
        <v>70661</v>
      </c>
      <c r="E45" s="26">
        <v>70862</v>
      </c>
      <c r="F45" s="26">
        <v>71337</v>
      </c>
      <c r="G45" s="26">
        <v>71675</v>
      </c>
      <c r="H45" s="26">
        <v>71800</v>
      </c>
      <c r="I45" s="26">
        <v>71800</v>
      </c>
      <c r="J45" s="26">
        <v>68755</v>
      </c>
      <c r="K45" s="26">
        <v>69067</v>
      </c>
      <c r="L45" s="26">
        <v>69135</v>
      </c>
      <c r="M45" s="26">
        <v>69189</v>
      </c>
      <c r="N45" s="26">
        <v>69311</v>
      </c>
      <c r="O45" s="26">
        <v>69411</v>
      </c>
      <c r="P45" s="26">
        <v>70279</v>
      </c>
      <c r="Q45" s="26">
        <v>71741</v>
      </c>
      <c r="R45" s="26">
        <v>72650</v>
      </c>
      <c r="S45" s="26">
        <v>73749</v>
      </c>
      <c r="T45" s="26">
        <v>74934</v>
      </c>
      <c r="U45" s="26">
        <v>75726</v>
      </c>
      <c r="V45" s="26">
        <v>76754</v>
      </c>
      <c r="W45" s="26">
        <v>80409</v>
      </c>
      <c r="X45" s="26">
        <v>81098</v>
      </c>
      <c r="Y45" s="26">
        <v>82002</v>
      </c>
      <c r="Z45" s="26">
        <v>83327</v>
      </c>
      <c r="AA45" s="26">
        <v>84855</v>
      </c>
      <c r="AB45" s="26">
        <v>84523</v>
      </c>
    </row>
    <row r="46" spans="1:29">
      <c r="A46" s="23" t="s">
        <v>105</v>
      </c>
    </row>
    <row r="47" spans="1:29">
      <c r="A47" s="23" t="s">
        <v>106</v>
      </c>
    </row>
    <row r="48" spans="1:29">
      <c r="A48" s="28" t="s">
        <v>116</v>
      </c>
      <c r="B48" s="28" t="s">
        <v>77</v>
      </c>
      <c r="C48" s="28" t="s">
        <v>84</v>
      </c>
      <c r="D48" s="32">
        <v>85666</v>
      </c>
      <c r="E48" s="32">
        <v>88192</v>
      </c>
      <c r="F48" s="32">
        <v>97848</v>
      </c>
      <c r="G48" s="32">
        <v>100357</v>
      </c>
      <c r="H48" s="32">
        <v>86101</v>
      </c>
      <c r="I48" s="32">
        <v>82109</v>
      </c>
      <c r="J48" s="32">
        <v>82317</v>
      </c>
      <c r="K48" s="32">
        <v>83225</v>
      </c>
      <c r="L48" s="32">
        <v>83556</v>
      </c>
      <c r="M48" s="32">
        <v>84406</v>
      </c>
      <c r="N48" s="32">
        <v>84304</v>
      </c>
      <c r="O48" s="32">
        <v>84392</v>
      </c>
      <c r="P48" s="32">
        <v>85896</v>
      </c>
      <c r="Q48" s="32">
        <v>86015</v>
      </c>
      <c r="R48" s="32">
        <v>89800</v>
      </c>
      <c r="S48" s="32">
        <v>91590</v>
      </c>
      <c r="T48" s="32">
        <v>111035</v>
      </c>
      <c r="U48" s="32">
        <v>113404</v>
      </c>
      <c r="V48" s="32">
        <v>118075</v>
      </c>
      <c r="W48" s="32">
        <v>118515</v>
      </c>
      <c r="X48" s="32">
        <v>117925</v>
      </c>
      <c r="Y48" s="32">
        <v>121302</v>
      </c>
      <c r="Z48" s="32">
        <v>125131</v>
      </c>
      <c r="AA48" s="32">
        <v>128093</v>
      </c>
      <c r="AB48" s="32">
        <v>133962</v>
      </c>
      <c r="AC48" s="37">
        <v>139753</v>
      </c>
    </row>
    <row r="49" spans="1:28">
      <c r="A49" s="28" t="s">
        <v>116</v>
      </c>
      <c r="B49" s="28" t="s">
        <v>79</v>
      </c>
      <c r="C49" s="28" t="s">
        <v>80</v>
      </c>
      <c r="D49" s="32">
        <v>86072</v>
      </c>
      <c r="E49" s="32">
        <v>88243</v>
      </c>
      <c r="F49" s="32">
        <v>90101</v>
      </c>
      <c r="G49" s="32">
        <v>87369</v>
      </c>
      <c r="H49" s="32">
        <v>87400</v>
      </c>
      <c r="I49" s="32">
        <v>79789</v>
      </c>
      <c r="J49" s="32">
        <v>83000</v>
      </c>
      <c r="K49" s="32">
        <v>83000</v>
      </c>
      <c r="L49" s="32">
        <v>83300</v>
      </c>
      <c r="M49" s="32">
        <v>83300</v>
      </c>
      <c r="N49" s="32">
        <v>83300</v>
      </c>
      <c r="O49" s="32">
        <v>83300</v>
      </c>
      <c r="P49" s="32">
        <v>84500</v>
      </c>
      <c r="Q49" s="32">
        <v>85500</v>
      </c>
      <c r="R49" s="32">
        <v>87650</v>
      </c>
      <c r="S49" s="32">
        <v>89800</v>
      </c>
      <c r="T49" s="32">
        <v>107670</v>
      </c>
      <c r="U49" s="32">
        <v>110386</v>
      </c>
      <c r="V49" s="32">
        <v>111986</v>
      </c>
      <c r="W49" s="32">
        <v>114326</v>
      </c>
      <c r="X49" s="32">
        <v>116426</v>
      </c>
      <c r="Y49" s="32">
        <v>118526</v>
      </c>
      <c r="Z49" s="32">
        <v>120529</v>
      </c>
      <c r="AA49" s="32">
        <v>123762</v>
      </c>
      <c r="AB49" s="32">
        <v>125082</v>
      </c>
    </row>
    <row r="50" spans="1:28">
      <c r="A50" s="28" t="s">
        <v>123</v>
      </c>
      <c r="B50" s="28"/>
      <c r="C50" s="28"/>
      <c r="D50" s="32"/>
      <c r="E50" s="32"/>
      <c r="F50" s="32"/>
      <c r="G50" s="32"/>
      <c r="H50" s="32"/>
      <c r="I50" s="32"/>
      <c r="J50" s="32">
        <v>10638</v>
      </c>
      <c r="K50" s="32">
        <v>11255</v>
      </c>
      <c r="L50" s="32">
        <v>11225</v>
      </c>
      <c r="M50" s="32">
        <v>11255</v>
      </c>
      <c r="N50" s="32">
        <v>12050</v>
      </c>
      <c r="O50" s="32">
        <v>12050</v>
      </c>
      <c r="P50" s="32">
        <v>12655</v>
      </c>
      <c r="Q50" s="32">
        <v>12655</v>
      </c>
      <c r="R50" s="32">
        <v>12655</v>
      </c>
      <c r="S50" s="32">
        <v>12655</v>
      </c>
      <c r="T50" s="32"/>
      <c r="U50" s="32"/>
      <c r="V50" s="32"/>
      <c r="W50" s="32"/>
      <c r="X50" s="32"/>
      <c r="Y50" s="32"/>
      <c r="Z50" s="32"/>
      <c r="AA50" s="32"/>
      <c r="AB50" s="32"/>
    </row>
    <row r="51" spans="1:28">
      <c r="A51" s="28"/>
      <c r="B51" s="28"/>
      <c r="C51" s="28"/>
      <c r="D51" s="32"/>
      <c r="E51" s="32"/>
      <c r="F51" s="32"/>
      <c r="G51" s="32"/>
      <c r="H51" s="32"/>
      <c r="I51" s="32"/>
      <c r="J51" s="32"/>
      <c r="K51" s="32"/>
      <c r="L51" s="32"/>
      <c r="M51" s="32"/>
      <c r="N51" s="32"/>
      <c r="O51" s="32"/>
      <c r="P51" s="32"/>
      <c r="Q51" s="32"/>
      <c r="R51" s="32"/>
      <c r="S51" s="32"/>
      <c r="T51" s="32"/>
      <c r="U51" s="32"/>
      <c r="V51" s="32"/>
      <c r="W51" s="32"/>
      <c r="X51" s="32"/>
      <c r="Y51" s="32"/>
      <c r="Z51" s="32"/>
      <c r="AA51" s="32"/>
      <c r="AB51" s="32"/>
    </row>
    <row r="52" spans="1:28">
      <c r="A52" s="28"/>
      <c r="B52" s="28"/>
      <c r="C52" s="28"/>
      <c r="D52" s="32"/>
      <c r="E52" s="32"/>
      <c r="F52" s="32"/>
      <c r="G52" s="32"/>
      <c r="H52" s="32"/>
      <c r="I52" s="32"/>
      <c r="J52" s="32"/>
      <c r="K52" s="32"/>
      <c r="L52" s="32"/>
      <c r="M52" s="32"/>
      <c r="N52" s="32"/>
      <c r="O52" s="32"/>
      <c r="P52" s="32"/>
      <c r="Q52" s="32"/>
      <c r="R52" s="32"/>
      <c r="S52" s="32"/>
      <c r="T52" s="32"/>
      <c r="U52" s="32"/>
      <c r="V52" s="32"/>
      <c r="W52" s="32"/>
      <c r="X52" s="32"/>
      <c r="Y52" s="32"/>
      <c r="Z52" s="32"/>
      <c r="AA52" s="32"/>
      <c r="AB52" s="32"/>
    </row>
    <row r="53" spans="1:28">
      <c r="A53" s="28"/>
      <c r="B53" s="28"/>
      <c r="C53" s="28"/>
      <c r="D53" s="32"/>
      <c r="E53" s="32"/>
      <c r="F53" s="32"/>
      <c r="G53" s="32"/>
      <c r="H53" s="32"/>
      <c r="I53" s="32"/>
      <c r="J53" s="32"/>
      <c r="K53" s="32"/>
      <c r="L53" s="32"/>
      <c r="M53" s="32"/>
      <c r="N53" s="32"/>
      <c r="O53" s="32"/>
      <c r="P53" s="32"/>
      <c r="Q53" s="32"/>
      <c r="R53" s="32"/>
      <c r="S53" s="32"/>
      <c r="T53" s="32"/>
      <c r="U53" s="32"/>
      <c r="V53" s="32"/>
      <c r="W53" s="32"/>
      <c r="X53" s="32"/>
      <c r="Y53" s="32"/>
      <c r="Z53" s="32"/>
      <c r="AA53" s="32"/>
      <c r="AB53" s="32"/>
    </row>
    <row r="54" spans="1:28">
      <c r="A54" t="s">
        <v>117</v>
      </c>
      <c r="B54"/>
      <c r="C54"/>
      <c r="D54"/>
      <c r="E54"/>
      <c r="F54"/>
      <c r="G54"/>
      <c r="H54"/>
      <c r="I54"/>
      <c r="J54"/>
      <c r="K54"/>
      <c r="L54"/>
      <c r="M54"/>
      <c r="N54"/>
      <c r="O54"/>
      <c r="P54"/>
      <c r="Q54"/>
      <c r="R54"/>
      <c r="S54"/>
      <c r="T54"/>
      <c r="U54"/>
      <c r="V54"/>
      <c r="W54"/>
      <c r="X54"/>
      <c r="Y54"/>
      <c r="Z54"/>
      <c r="AA54"/>
      <c r="AB54"/>
    </row>
    <row r="55" spans="1:28">
      <c r="A55" t="s">
        <v>118</v>
      </c>
      <c r="B55"/>
      <c r="C55"/>
      <c r="D55"/>
      <c r="E55"/>
      <c r="F55"/>
      <c r="G55"/>
      <c r="H55"/>
      <c r="I55"/>
      <c r="J55"/>
      <c r="K55"/>
      <c r="L55"/>
      <c r="M55"/>
      <c r="N55"/>
      <c r="O55"/>
      <c r="P55"/>
      <c r="Q55"/>
      <c r="R55"/>
      <c r="S55"/>
      <c r="T55"/>
      <c r="U55"/>
      <c r="V55"/>
      <c r="W55"/>
      <c r="X55"/>
      <c r="Y55"/>
      <c r="Z55"/>
      <c r="AA55"/>
      <c r="AB55"/>
    </row>
    <row r="56" spans="1:28">
      <c r="A56" t="s">
        <v>119</v>
      </c>
      <c r="B56"/>
      <c r="C56"/>
      <c r="D56"/>
      <c r="E56"/>
      <c r="F56"/>
      <c r="G56"/>
      <c r="H56"/>
      <c r="I56"/>
      <c r="J56"/>
      <c r="K56"/>
      <c r="L56"/>
      <c r="M56"/>
      <c r="N56"/>
      <c r="O56"/>
      <c r="P56"/>
      <c r="Q56"/>
      <c r="R56"/>
      <c r="S56"/>
      <c r="T56"/>
      <c r="U56"/>
      <c r="V56"/>
      <c r="W56"/>
      <c r="X56"/>
      <c r="Y56"/>
      <c r="Z56"/>
      <c r="AA56"/>
      <c r="AB56"/>
    </row>
    <row r="57" spans="1:28">
      <c r="A57" t="s">
        <v>120</v>
      </c>
      <c r="B57"/>
      <c r="C57"/>
      <c r="D57"/>
      <c r="E57"/>
      <c r="F57"/>
      <c r="G57"/>
      <c r="H57"/>
      <c r="I57"/>
      <c r="J57"/>
      <c r="K57"/>
      <c r="L57"/>
      <c r="M57"/>
      <c r="N57"/>
      <c r="O57"/>
      <c r="P57"/>
      <c r="Q57"/>
      <c r="R57"/>
      <c r="S57"/>
      <c r="T57"/>
      <c r="U57"/>
      <c r="V57"/>
      <c r="W57"/>
      <c r="X57"/>
      <c r="Y57"/>
      <c r="Z57"/>
      <c r="AA57"/>
      <c r="AB57"/>
    </row>
    <row r="58" spans="1:28">
      <c r="A58" t="s">
        <v>121</v>
      </c>
      <c r="B58"/>
      <c r="C58"/>
      <c r="D58"/>
      <c r="E58"/>
      <c r="F58"/>
      <c r="G58"/>
      <c r="H58"/>
      <c r="I58"/>
      <c r="J58"/>
      <c r="K58"/>
      <c r="L58"/>
      <c r="M58"/>
      <c r="N58"/>
      <c r="O58"/>
      <c r="P58"/>
      <c r="Q58"/>
      <c r="R58"/>
      <c r="S58"/>
      <c r="T58"/>
      <c r="U58"/>
      <c r="V58"/>
      <c r="W58"/>
      <c r="X58"/>
      <c r="Y58"/>
      <c r="Z58"/>
      <c r="AA58"/>
      <c r="AB58"/>
    </row>
    <row r="59" spans="1:28">
      <c r="A59"/>
      <c r="B59"/>
      <c r="C59"/>
      <c r="D59"/>
      <c r="E59"/>
      <c r="F59"/>
      <c r="G59"/>
      <c r="H59"/>
      <c r="I59"/>
      <c r="J59"/>
      <c r="K59"/>
      <c r="L59"/>
      <c r="M59"/>
      <c r="N59"/>
      <c r="O59"/>
      <c r="P59"/>
      <c r="Q59"/>
      <c r="R59"/>
      <c r="S59"/>
      <c r="T59"/>
      <c r="U59"/>
      <c r="V59"/>
      <c r="W59"/>
      <c r="X59"/>
      <c r="Y59"/>
      <c r="Z59"/>
      <c r="AA59"/>
      <c r="AB59"/>
    </row>
  </sheetData>
  <phoneticPr fontId="28"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sheetPr>
  <dimension ref="A1:J58"/>
  <sheetViews>
    <sheetView workbookViewId="0">
      <selection sqref="A1:J1"/>
    </sheetView>
  </sheetViews>
  <sheetFormatPr defaultColWidth="8.875" defaultRowHeight="12.75"/>
  <cols>
    <col min="1" max="1" width="24" style="209" customWidth="1"/>
    <col min="2" max="2" width="8.625" style="209" customWidth="1"/>
    <col min="3" max="3" width="9.125" style="209" customWidth="1"/>
    <col min="4" max="4" width="8.875" style="209" customWidth="1"/>
    <col min="5" max="5" width="9.125" style="209" customWidth="1"/>
    <col min="6" max="6" width="8.875" style="209" customWidth="1"/>
    <col min="7" max="7" width="8.75" style="209" customWidth="1"/>
    <col min="8" max="8" width="8.625" style="209" customWidth="1"/>
    <col min="9" max="9" width="9.375" style="209" customWidth="1"/>
    <col min="10" max="10" width="9.875" style="209" customWidth="1"/>
    <col min="11" max="16384" width="8.875" style="209"/>
  </cols>
  <sheetData>
    <row r="1" spans="1:10" ht="15.75">
      <c r="A1" s="2548" t="s">
        <v>296</v>
      </c>
      <c r="B1" s="2548"/>
      <c r="C1" s="2548"/>
      <c r="D1" s="2548"/>
      <c r="E1" s="2548"/>
      <c r="F1" s="2548"/>
      <c r="G1" s="2548"/>
      <c r="H1" s="2548"/>
      <c r="I1" s="2548"/>
      <c r="J1" s="2548"/>
    </row>
    <row r="2" spans="1:10" ht="15.75">
      <c r="A2" s="2548" t="s">
        <v>297</v>
      </c>
      <c r="B2" s="2548"/>
      <c r="C2" s="2548"/>
      <c r="D2" s="2548"/>
      <c r="E2" s="2548"/>
      <c r="F2" s="2548"/>
      <c r="G2" s="2548"/>
      <c r="H2" s="2548"/>
      <c r="I2" s="2548"/>
      <c r="J2" s="2548"/>
    </row>
    <row r="3" spans="1:10" ht="15.75">
      <c r="A3" s="2548" t="s">
        <v>298</v>
      </c>
      <c r="B3" s="2548"/>
      <c r="C3" s="2548"/>
      <c r="D3" s="2548"/>
      <c r="E3" s="2548"/>
      <c r="F3" s="2548"/>
      <c r="G3" s="2548"/>
      <c r="H3" s="2548"/>
      <c r="I3" s="2548"/>
      <c r="J3" s="2548"/>
    </row>
    <row r="4" spans="1:10" ht="15.75">
      <c r="A4" s="2548" t="s">
        <v>299</v>
      </c>
      <c r="B4" s="2548"/>
      <c r="C4" s="2548"/>
      <c r="D4" s="2548"/>
      <c r="E4" s="2548"/>
      <c r="F4" s="2548"/>
      <c r="G4" s="2548"/>
      <c r="H4" s="2548"/>
      <c r="I4" s="2548"/>
      <c r="J4" s="2548"/>
    </row>
    <row r="5" spans="1:10" ht="15.75">
      <c r="A5" s="208"/>
      <c r="B5" s="208"/>
      <c r="C5" s="208"/>
      <c r="D5" s="208"/>
      <c r="E5" s="208"/>
      <c r="F5" s="208"/>
      <c r="G5" s="208"/>
      <c r="H5" s="208"/>
      <c r="I5" s="208"/>
      <c r="J5" s="208"/>
    </row>
    <row r="6" spans="1:10" ht="15.75">
      <c r="A6" s="208"/>
      <c r="B6" s="208"/>
      <c r="C6" s="208"/>
      <c r="D6" s="208"/>
      <c r="E6" s="208"/>
      <c r="F6" s="208"/>
      <c r="G6" s="208"/>
      <c r="H6" s="208"/>
      <c r="I6" s="208"/>
      <c r="J6" s="208"/>
    </row>
    <row r="7" spans="1:10" ht="18.75">
      <c r="A7" s="210" t="s">
        <v>347</v>
      </c>
      <c r="B7" s="211"/>
      <c r="C7" s="211"/>
      <c r="D7" s="211"/>
      <c r="E7" s="211"/>
      <c r="F7" s="211"/>
      <c r="G7" s="212"/>
      <c r="H7" s="211"/>
      <c r="I7" s="211"/>
    </row>
    <row r="8" spans="1:10" ht="14.25">
      <c r="A8" s="213"/>
      <c r="B8" s="214" t="s">
        <v>77</v>
      </c>
      <c r="C8" s="215" t="s">
        <v>300</v>
      </c>
      <c r="D8" s="214" t="s">
        <v>77</v>
      </c>
      <c r="E8" s="216" t="s">
        <v>77</v>
      </c>
      <c r="F8" s="216" t="s">
        <v>77</v>
      </c>
      <c r="G8" s="217"/>
      <c r="H8" s="2544" t="s">
        <v>77</v>
      </c>
      <c r="I8" s="2545"/>
      <c r="J8" s="218" t="s">
        <v>348</v>
      </c>
    </row>
    <row r="9" spans="1:10">
      <c r="A9" s="219" t="s">
        <v>301</v>
      </c>
      <c r="B9" s="220" t="s">
        <v>302</v>
      </c>
      <c r="C9" s="221" t="s">
        <v>303</v>
      </c>
      <c r="D9" s="222" t="s">
        <v>304</v>
      </c>
      <c r="E9" s="221" t="s">
        <v>305</v>
      </c>
      <c r="F9" s="222" t="s">
        <v>306</v>
      </c>
      <c r="G9" s="223" t="s">
        <v>307</v>
      </c>
      <c r="H9" s="224" t="s">
        <v>308</v>
      </c>
      <c r="I9" s="225"/>
      <c r="J9" s="223" t="s">
        <v>309</v>
      </c>
    </row>
    <row r="10" spans="1:10" ht="13.5" thickBot="1">
      <c r="A10" s="226" t="s">
        <v>310</v>
      </c>
      <c r="B10" s="220" t="s">
        <v>311</v>
      </c>
      <c r="C10" s="227" t="s">
        <v>312</v>
      </c>
      <c r="D10" s="228" t="s">
        <v>311</v>
      </c>
      <c r="E10" s="227" t="s">
        <v>313</v>
      </c>
      <c r="F10" s="228" t="s">
        <v>314</v>
      </c>
      <c r="G10" s="229" t="s">
        <v>314</v>
      </c>
      <c r="H10" s="230" t="s">
        <v>315</v>
      </c>
      <c r="I10" s="231" t="s">
        <v>316</v>
      </c>
      <c r="J10" s="229" t="s">
        <v>317</v>
      </c>
    </row>
    <row r="11" spans="1:10" ht="13.5" thickTop="1">
      <c r="A11" s="232" t="s">
        <v>318</v>
      </c>
      <c r="B11" s="233" t="s">
        <v>319</v>
      </c>
      <c r="C11" s="234">
        <f>+C12+C13</f>
        <v>34424</v>
      </c>
      <c r="D11" s="234">
        <f>+D12+D13</f>
        <v>33440</v>
      </c>
      <c r="E11" s="234">
        <f>+E12+E13</f>
        <v>31603</v>
      </c>
      <c r="F11" s="234">
        <f>+F12+F13</f>
        <v>33155</v>
      </c>
      <c r="G11" s="235">
        <v>33037</v>
      </c>
      <c r="H11" s="236">
        <f>F11-G11</f>
        <v>118</v>
      </c>
      <c r="I11" s="237">
        <f>H11/G11*100</f>
        <v>0.35717528831310352</v>
      </c>
      <c r="J11" s="238" t="s">
        <v>319</v>
      </c>
    </row>
    <row r="12" spans="1:10">
      <c r="A12" s="239" t="s">
        <v>320</v>
      </c>
      <c r="B12" s="240" t="s">
        <v>321</v>
      </c>
      <c r="C12" s="241">
        <v>34390</v>
      </c>
      <c r="D12" s="241">
        <v>33396</v>
      </c>
      <c r="E12" s="242">
        <v>31569</v>
      </c>
      <c r="F12" s="241">
        <v>33118</v>
      </c>
      <c r="G12" s="243" t="s">
        <v>321</v>
      </c>
      <c r="H12" s="243" t="s">
        <v>321</v>
      </c>
      <c r="I12" s="243" t="s">
        <v>321</v>
      </c>
      <c r="J12" s="243" t="s">
        <v>321</v>
      </c>
    </row>
    <row r="13" spans="1:10">
      <c r="A13" s="239" t="s">
        <v>322</v>
      </c>
      <c r="B13" s="244" t="s">
        <v>321</v>
      </c>
      <c r="C13" s="241">
        <v>34</v>
      </c>
      <c r="D13" s="241">
        <v>44</v>
      </c>
      <c r="E13" s="242">
        <v>34</v>
      </c>
      <c r="F13" s="241">
        <v>37</v>
      </c>
      <c r="G13" s="243" t="s">
        <v>321</v>
      </c>
      <c r="H13" s="243" t="s">
        <v>321</v>
      </c>
      <c r="I13" s="243" t="s">
        <v>321</v>
      </c>
      <c r="J13" s="243" t="s">
        <v>321</v>
      </c>
    </row>
    <row r="14" spans="1:10">
      <c r="A14" s="245" t="s">
        <v>323</v>
      </c>
      <c r="B14" s="246" t="s">
        <v>319</v>
      </c>
      <c r="C14" s="247">
        <v>1232</v>
      </c>
      <c r="D14" s="248">
        <v>1197</v>
      </c>
      <c r="E14" s="249">
        <v>1171</v>
      </c>
      <c r="F14" s="248">
        <v>1200</v>
      </c>
      <c r="G14" s="250">
        <v>1340</v>
      </c>
      <c r="H14" s="251">
        <f>F14-G14</f>
        <v>-140</v>
      </c>
      <c r="I14" s="252">
        <f>H14/G14*100</f>
        <v>-10.44776119402985</v>
      </c>
      <c r="J14" s="253" t="s">
        <v>319</v>
      </c>
    </row>
    <row r="15" spans="1:10">
      <c r="A15" s="245" t="s">
        <v>324</v>
      </c>
      <c r="B15" s="246" t="s">
        <v>319</v>
      </c>
      <c r="C15" s="247">
        <v>1748</v>
      </c>
      <c r="D15" s="248">
        <v>1674</v>
      </c>
      <c r="E15" s="249">
        <v>1578</v>
      </c>
      <c r="F15" s="248">
        <v>1667</v>
      </c>
      <c r="G15" s="250">
        <v>1644</v>
      </c>
      <c r="H15" s="251">
        <f>F15-G15</f>
        <v>23</v>
      </c>
      <c r="I15" s="252">
        <f>H15/G15*100</f>
        <v>1.3990267639902676</v>
      </c>
      <c r="J15" s="253" t="s">
        <v>319</v>
      </c>
    </row>
    <row r="16" spans="1:10">
      <c r="A16" s="245"/>
      <c r="B16" s="254"/>
      <c r="C16" s="247"/>
      <c r="D16" s="255"/>
      <c r="E16" s="247"/>
      <c r="F16" s="255"/>
      <c r="G16" s="250"/>
      <c r="H16" s="256"/>
      <c r="I16" s="252"/>
      <c r="J16" s="253"/>
    </row>
    <row r="17" spans="1:10">
      <c r="A17" s="245" t="s">
        <v>349</v>
      </c>
      <c r="B17" s="246" t="s">
        <v>319</v>
      </c>
      <c r="C17" s="247">
        <f>+C18+C19</f>
        <v>19931</v>
      </c>
      <c r="D17" s="257" t="s">
        <v>325</v>
      </c>
      <c r="E17" s="247">
        <f>+E18+E19</f>
        <v>18603</v>
      </c>
      <c r="F17" s="255">
        <f>+F18+F19</f>
        <v>19267</v>
      </c>
      <c r="G17" s="250">
        <v>18696</v>
      </c>
      <c r="H17" s="256">
        <f>F17-G17</f>
        <v>571</v>
      </c>
      <c r="I17" s="252">
        <f>H17/G17*100</f>
        <v>3.0541292255027814</v>
      </c>
      <c r="J17" s="253" t="s">
        <v>319</v>
      </c>
    </row>
    <row r="18" spans="1:10">
      <c r="A18" s="239" t="s">
        <v>326</v>
      </c>
      <c r="B18" s="243" t="s">
        <v>321</v>
      </c>
      <c r="C18" s="258">
        <v>18639</v>
      </c>
      <c r="D18" s="243" t="s">
        <v>325</v>
      </c>
      <c r="E18" s="258">
        <v>17331</v>
      </c>
      <c r="F18" s="259">
        <v>17985</v>
      </c>
      <c r="G18" s="243" t="s">
        <v>321</v>
      </c>
      <c r="H18" s="243" t="s">
        <v>321</v>
      </c>
      <c r="I18" s="243" t="s">
        <v>321</v>
      </c>
      <c r="J18" s="260" t="s">
        <v>319</v>
      </c>
    </row>
    <row r="19" spans="1:10">
      <c r="A19" s="261" t="s">
        <v>327</v>
      </c>
      <c r="B19" s="243" t="s">
        <v>321</v>
      </c>
      <c r="C19" s="258">
        <v>1292</v>
      </c>
      <c r="D19" s="243" t="s">
        <v>325</v>
      </c>
      <c r="E19" s="258">
        <v>1272</v>
      </c>
      <c r="F19" s="259">
        <v>1282</v>
      </c>
      <c r="G19" s="243" t="s">
        <v>321</v>
      </c>
      <c r="H19" s="243" t="s">
        <v>321</v>
      </c>
      <c r="I19" s="243" t="s">
        <v>321</v>
      </c>
      <c r="J19" s="262" t="s">
        <v>319</v>
      </c>
    </row>
    <row r="20" spans="1:10">
      <c r="A20" s="245" t="s">
        <v>328</v>
      </c>
      <c r="B20" s="246" t="s">
        <v>319</v>
      </c>
      <c r="C20" s="247">
        <v>691</v>
      </c>
      <c r="D20" s="257" t="s">
        <v>325</v>
      </c>
      <c r="E20" s="247">
        <v>690</v>
      </c>
      <c r="F20" s="255">
        <v>691</v>
      </c>
      <c r="G20" s="263">
        <v>690</v>
      </c>
      <c r="H20" s="256">
        <f>F20-G20</f>
        <v>1</v>
      </c>
      <c r="I20" s="252">
        <f>H20/G20*100</f>
        <v>0.14492753623188406</v>
      </c>
      <c r="J20" s="264" t="s">
        <v>319</v>
      </c>
    </row>
    <row r="21" spans="1:10">
      <c r="A21" s="265" t="s">
        <v>329</v>
      </c>
      <c r="B21" s="246" t="s">
        <v>319</v>
      </c>
      <c r="C21" s="247">
        <v>1364</v>
      </c>
      <c r="D21" s="257" t="s">
        <v>325</v>
      </c>
      <c r="E21" s="247">
        <v>1369</v>
      </c>
      <c r="F21" s="255">
        <v>1367</v>
      </c>
      <c r="G21" s="250">
        <v>1353</v>
      </c>
      <c r="H21" s="256">
        <f>F21-G21</f>
        <v>14</v>
      </c>
      <c r="I21" s="252">
        <f>H21/G21*100</f>
        <v>1.0347376201034737</v>
      </c>
      <c r="J21" s="253" t="s">
        <v>319</v>
      </c>
    </row>
    <row r="22" spans="1:10" ht="15.75">
      <c r="A22" s="245"/>
      <c r="B22" s="254"/>
      <c r="C22" s="247"/>
      <c r="D22" s="255"/>
      <c r="E22" s="247"/>
      <c r="F22" s="266"/>
      <c r="G22" s="267"/>
      <c r="H22" s="256"/>
      <c r="I22" s="252"/>
      <c r="J22" s="253"/>
    </row>
    <row r="23" spans="1:10">
      <c r="A23" s="265" t="s">
        <v>330</v>
      </c>
      <c r="B23" s="246" t="s">
        <v>319</v>
      </c>
      <c r="C23" s="247">
        <v>9418</v>
      </c>
      <c r="D23" s="255">
        <v>9086</v>
      </c>
      <c r="E23" s="247">
        <v>8667</v>
      </c>
      <c r="F23" s="255">
        <v>9057</v>
      </c>
      <c r="G23" s="250">
        <v>8323</v>
      </c>
      <c r="H23" s="256">
        <f>F23-G23</f>
        <v>734</v>
      </c>
      <c r="I23" s="252">
        <f>H23/G23*100</f>
        <v>8.8189354799951936</v>
      </c>
      <c r="J23" s="253" t="s">
        <v>319</v>
      </c>
    </row>
    <row r="24" spans="1:10">
      <c r="A24" s="265" t="s">
        <v>331</v>
      </c>
      <c r="B24" s="246" t="s">
        <v>319</v>
      </c>
      <c r="C24" s="247">
        <v>9791</v>
      </c>
      <c r="D24" s="255">
        <v>9251</v>
      </c>
      <c r="E24" s="247">
        <v>8800</v>
      </c>
      <c r="F24" s="255">
        <v>9281</v>
      </c>
      <c r="G24" s="250">
        <v>8593</v>
      </c>
      <c r="H24" s="256">
        <f>F24-G24</f>
        <v>688</v>
      </c>
      <c r="I24" s="252">
        <f>H24/G24*100</f>
        <v>8.0065169323868268</v>
      </c>
      <c r="J24" s="253" t="s">
        <v>319</v>
      </c>
    </row>
    <row r="25" spans="1:10">
      <c r="A25" s="265" t="s">
        <v>332</v>
      </c>
      <c r="B25" s="246" t="s">
        <v>319</v>
      </c>
      <c r="C25" s="247">
        <v>4365</v>
      </c>
      <c r="D25" s="255">
        <v>4089</v>
      </c>
      <c r="E25" s="247">
        <v>3939</v>
      </c>
      <c r="F25" s="255">
        <v>4131</v>
      </c>
      <c r="G25" s="250">
        <v>4038</v>
      </c>
      <c r="H25" s="256">
        <f>F25-G25</f>
        <v>93</v>
      </c>
      <c r="I25" s="252">
        <f>H25/G25*100</f>
        <v>2.3031203566121845</v>
      </c>
      <c r="J25" s="253" t="s">
        <v>319</v>
      </c>
    </row>
    <row r="26" spans="1:10" ht="13.5" thickBot="1">
      <c r="A26" s="245" t="s">
        <v>333</v>
      </c>
      <c r="B26" s="246" t="s">
        <v>319</v>
      </c>
      <c r="C26" s="247">
        <v>12343</v>
      </c>
      <c r="D26" s="255">
        <v>11888</v>
      </c>
      <c r="E26" s="247">
        <v>11033</v>
      </c>
      <c r="F26" s="255">
        <v>11755</v>
      </c>
      <c r="G26" s="250">
        <v>11534</v>
      </c>
      <c r="H26" s="256">
        <f>F26-G26</f>
        <v>221</v>
      </c>
      <c r="I26" s="252">
        <f>H26/G26*100</f>
        <v>1.9160742153632737</v>
      </c>
      <c r="J26" s="253" t="s">
        <v>319</v>
      </c>
    </row>
    <row r="27" spans="1:10" ht="16.5" thickTop="1">
      <c r="A27" s="268" t="s">
        <v>334</v>
      </c>
      <c r="B27" s="269"/>
      <c r="C27" s="269"/>
      <c r="D27" s="269"/>
      <c r="E27" s="269"/>
      <c r="F27" s="270">
        <f>+F11+F14+F15+F17+F20+F21+F23+F24+F25+F26</f>
        <v>91571</v>
      </c>
      <c r="G27" s="270">
        <f>+G11+G14+G15+G17+G20+G21+G23+G24+G25+G26</f>
        <v>89248</v>
      </c>
      <c r="H27" s="271">
        <f>F27-G27</f>
        <v>2323</v>
      </c>
      <c r="I27" s="272">
        <f>H27/G27*100</f>
        <v>2.6028594478307641</v>
      </c>
      <c r="J27" s="273" t="s">
        <v>319</v>
      </c>
    </row>
    <row r="28" spans="1:10" ht="15.75">
      <c r="A28" s="274"/>
      <c r="B28" s="275"/>
      <c r="C28" s="275"/>
      <c r="D28" s="275"/>
      <c r="E28" s="275"/>
      <c r="F28" s="276"/>
      <c r="G28" s="276"/>
      <c r="H28" s="277"/>
      <c r="I28" s="278"/>
      <c r="J28" s="279"/>
    </row>
    <row r="29" spans="1:10" ht="15.75">
      <c r="A29" s="274"/>
      <c r="B29" s="275"/>
      <c r="C29" s="275"/>
      <c r="D29" s="275"/>
      <c r="E29" s="275"/>
      <c r="F29" s="276"/>
      <c r="G29" s="276"/>
      <c r="H29" s="277"/>
      <c r="I29" s="278"/>
      <c r="J29" s="279"/>
    </row>
    <row r="30" spans="1:10" ht="15.75">
      <c r="A30" s="274"/>
      <c r="B30" s="275"/>
      <c r="C30" s="275"/>
      <c r="D30" s="275"/>
      <c r="E30" s="275"/>
      <c r="G30" s="276"/>
      <c r="H30" s="280"/>
      <c r="I30" s="281"/>
      <c r="J30" s="282"/>
    </row>
    <row r="31" spans="1:10" ht="15.75" customHeight="1">
      <c r="A31" s="211"/>
      <c r="B31" s="283"/>
      <c r="C31" s="283"/>
      <c r="D31" s="283"/>
      <c r="E31" s="283"/>
      <c r="F31" s="283"/>
      <c r="G31" s="283"/>
      <c r="H31" s="247"/>
      <c r="I31" s="284"/>
      <c r="J31" s="282"/>
    </row>
    <row r="32" spans="1:10" ht="15.75">
      <c r="A32" s="210" t="s">
        <v>335</v>
      </c>
      <c r="B32" s="283"/>
      <c r="C32" s="283"/>
      <c r="D32" s="283"/>
      <c r="E32" s="283"/>
      <c r="F32" s="283"/>
      <c r="G32" s="285"/>
      <c r="H32" s="247"/>
      <c r="I32" s="284"/>
      <c r="J32" s="282"/>
    </row>
    <row r="33" spans="1:10" ht="14.25">
      <c r="A33" s="213"/>
      <c r="B33" s="286" t="s">
        <v>77</v>
      </c>
      <c r="C33" s="286" t="s">
        <v>77</v>
      </c>
      <c r="D33" s="286" t="s">
        <v>77</v>
      </c>
      <c r="E33" s="286" t="s">
        <v>77</v>
      </c>
      <c r="F33" s="286" t="s">
        <v>77</v>
      </c>
      <c r="G33" s="287"/>
      <c r="H33" s="2546" t="s">
        <v>336</v>
      </c>
      <c r="I33" s="2547"/>
      <c r="J33" s="288" t="s">
        <v>350</v>
      </c>
    </row>
    <row r="34" spans="1:10" ht="14.25">
      <c r="A34" s="289" t="s">
        <v>337</v>
      </c>
      <c r="B34" s="254" t="s">
        <v>302</v>
      </c>
      <c r="C34" s="290" t="s">
        <v>303</v>
      </c>
      <c r="D34" s="254" t="s">
        <v>304</v>
      </c>
      <c r="E34" s="290" t="s">
        <v>305</v>
      </c>
      <c r="F34" s="291" t="s">
        <v>306</v>
      </c>
      <c r="G34" s="292" t="s">
        <v>307</v>
      </c>
      <c r="H34" s="293" t="s">
        <v>351</v>
      </c>
      <c r="I34" s="294"/>
      <c r="J34" s="292" t="s">
        <v>338</v>
      </c>
    </row>
    <row r="35" spans="1:10" ht="13.5" thickBot="1">
      <c r="A35" s="289" t="s">
        <v>339</v>
      </c>
      <c r="B35" s="254" t="s">
        <v>311</v>
      </c>
      <c r="C35" s="254" t="s">
        <v>340</v>
      </c>
      <c r="D35" s="254" t="s">
        <v>311</v>
      </c>
      <c r="E35" s="290" t="s">
        <v>311</v>
      </c>
      <c r="F35" s="295" t="s">
        <v>314</v>
      </c>
      <c r="G35" s="296" t="s">
        <v>314</v>
      </c>
      <c r="H35" s="297" t="s">
        <v>315</v>
      </c>
      <c r="I35" s="298" t="s">
        <v>316</v>
      </c>
      <c r="J35" s="296" t="s">
        <v>317</v>
      </c>
    </row>
    <row r="36" spans="1:10" ht="15" thickTop="1">
      <c r="A36" s="232" t="s">
        <v>352</v>
      </c>
      <c r="B36" s="299">
        <v>38495</v>
      </c>
      <c r="C36" s="300">
        <v>116429</v>
      </c>
      <c r="D36" s="300">
        <v>112521</v>
      </c>
      <c r="E36" s="300">
        <v>106611</v>
      </c>
      <c r="F36" s="300">
        <v>124685</v>
      </c>
      <c r="G36" s="300">
        <v>123469</v>
      </c>
      <c r="H36" s="300">
        <v>1216</v>
      </c>
      <c r="I36" s="301" t="s">
        <v>341</v>
      </c>
      <c r="J36" s="302" t="s">
        <v>319</v>
      </c>
    </row>
    <row r="37" spans="1:10" ht="15" thickBot="1">
      <c r="A37" s="303" t="s">
        <v>353</v>
      </c>
      <c r="B37" s="304">
        <v>2929</v>
      </c>
      <c r="C37" s="305">
        <v>4532</v>
      </c>
      <c r="D37" s="305">
        <v>5527</v>
      </c>
      <c r="E37" s="305">
        <v>5755</v>
      </c>
      <c r="F37" s="305">
        <v>6248</v>
      </c>
      <c r="G37" s="304">
        <v>7436</v>
      </c>
      <c r="H37" s="306">
        <v>-1188</v>
      </c>
      <c r="I37" s="307" t="s">
        <v>342</v>
      </c>
      <c r="J37" s="246" t="s">
        <v>319</v>
      </c>
    </row>
    <row r="38" spans="1:10" ht="16.5" thickTop="1">
      <c r="A38" s="308" t="s">
        <v>343</v>
      </c>
      <c r="B38" s="270">
        <v>41424</v>
      </c>
      <c r="C38" s="273">
        <v>120961</v>
      </c>
      <c r="D38" s="273">
        <v>118048</v>
      </c>
      <c r="E38" s="309">
        <v>112366</v>
      </c>
      <c r="F38" s="273">
        <v>130933</v>
      </c>
      <c r="G38" s="310">
        <v>130905</v>
      </c>
      <c r="H38" s="271">
        <f>F38-G38</f>
        <v>28</v>
      </c>
      <c r="I38" s="272">
        <f>H38/G38*100</f>
        <v>2.1389557312554906E-2</v>
      </c>
      <c r="J38" s="273" t="s">
        <v>319</v>
      </c>
    </row>
    <row r="39" spans="1:10" ht="15.75">
      <c r="A39" s="311"/>
      <c r="B39" s="276"/>
      <c r="C39" s="279"/>
      <c r="D39" s="279"/>
      <c r="E39" s="279"/>
      <c r="F39" s="279"/>
      <c r="G39" s="276"/>
      <c r="H39" s="312"/>
      <c r="I39" s="313"/>
      <c r="J39" s="279"/>
    </row>
    <row r="40" spans="1:10" ht="15.75">
      <c r="A40" s="311"/>
      <c r="B40" s="276"/>
      <c r="C40" s="279"/>
      <c r="D40" s="279"/>
      <c r="E40" s="279"/>
      <c r="F40" s="279"/>
      <c r="G40" s="276"/>
      <c r="H40" s="312"/>
      <c r="I40" s="313"/>
      <c r="J40" s="279"/>
    </row>
    <row r="41" spans="1:10" ht="16.5" customHeight="1" thickBot="1">
      <c r="A41" s="211"/>
      <c r="B41" s="283"/>
      <c r="C41" s="283"/>
      <c r="D41" s="314"/>
      <c r="E41" s="314"/>
      <c r="F41" s="315"/>
      <c r="G41" s="315"/>
      <c r="H41" s="249"/>
      <c r="I41" s="316"/>
      <c r="J41" s="315"/>
    </row>
    <row r="42" spans="1:10" ht="17.25" thickTop="1" thickBot="1">
      <c r="A42" s="317" t="s">
        <v>344</v>
      </c>
      <c r="B42" s="318"/>
      <c r="C42" s="318"/>
      <c r="D42" s="319"/>
      <c r="E42" s="319"/>
      <c r="F42" s="320">
        <f>+F38+F27</f>
        <v>222504</v>
      </c>
      <c r="G42" s="321">
        <f>+G38+G27</f>
        <v>220153</v>
      </c>
      <c r="H42" s="322">
        <f>F42-G42</f>
        <v>2351</v>
      </c>
      <c r="I42" s="323">
        <f>H42/G42*100</f>
        <v>1.0678936921141207</v>
      </c>
      <c r="J42" s="320" t="s">
        <v>319</v>
      </c>
    </row>
    <row r="43" spans="1:10" ht="16.5" thickTop="1">
      <c r="A43" s="324"/>
      <c r="B43" s="275"/>
      <c r="C43" s="275"/>
      <c r="D43" s="315"/>
      <c r="E43" s="315"/>
      <c r="F43" s="279"/>
      <c r="G43" s="312"/>
      <c r="H43" s="312"/>
      <c r="I43" s="313"/>
      <c r="J43" s="279"/>
    </row>
    <row r="44" spans="1:10" ht="15.75">
      <c r="A44" s="324"/>
      <c r="B44" s="275"/>
      <c r="C44" s="275"/>
      <c r="D44" s="315"/>
      <c r="E44" s="315"/>
      <c r="F44" s="279"/>
      <c r="G44" s="312"/>
      <c r="H44" s="312"/>
      <c r="I44" s="313"/>
      <c r="J44" s="279"/>
    </row>
    <row r="45" spans="1:10" ht="15.75">
      <c r="A45" s="325" t="s">
        <v>354</v>
      </c>
      <c r="B45" s="275"/>
      <c r="C45" s="275"/>
      <c r="D45" s="315"/>
      <c r="E45" s="315"/>
      <c r="F45" s="279"/>
      <c r="G45" s="312"/>
      <c r="H45" s="312"/>
      <c r="I45" s="313"/>
      <c r="J45" s="279"/>
    </row>
    <row r="46" spans="1:10" ht="15.75">
      <c r="A46" s="326" t="s">
        <v>345</v>
      </c>
      <c r="B46" s="275"/>
      <c r="C46" s="275"/>
      <c r="D46" s="315"/>
      <c r="E46" s="315"/>
      <c r="F46" s="279"/>
      <c r="G46" s="312"/>
      <c r="H46" s="312"/>
      <c r="I46" s="313"/>
      <c r="J46" s="279"/>
    </row>
    <row r="47" spans="1:10" ht="15.75">
      <c r="A47" s="325" t="s">
        <v>355</v>
      </c>
      <c r="B47" s="275"/>
      <c r="C47" s="275"/>
      <c r="D47" s="315"/>
      <c r="E47" s="315"/>
      <c r="F47" s="279"/>
      <c r="G47" s="312"/>
      <c r="H47" s="312"/>
      <c r="I47" s="313"/>
      <c r="J47" s="279"/>
    </row>
    <row r="48" spans="1:10" ht="15">
      <c r="A48" s="327" t="s">
        <v>356</v>
      </c>
      <c r="B48" s="283"/>
      <c r="C48" s="328"/>
      <c r="D48" s="328"/>
      <c r="E48" s="283"/>
      <c r="F48" s="328"/>
      <c r="G48" s="328"/>
      <c r="H48" s="329"/>
      <c r="I48" s="330"/>
      <c r="J48" s="282"/>
    </row>
    <row r="49" spans="1:10" ht="15">
      <c r="A49" s="327" t="s">
        <v>357</v>
      </c>
      <c r="B49" s="328"/>
      <c r="C49" s="328"/>
      <c r="D49" s="328"/>
      <c r="E49" s="328"/>
      <c r="F49" s="328"/>
      <c r="G49" s="328"/>
      <c r="H49" s="329"/>
      <c r="I49" s="282"/>
      <c r="J49" s="282"/>
    </row>
    <row r="50" spans="1:10" s="334" customFormat="1" ht="14.25">
      <c r="A50" s="331"/>
      <c r="B50" s="332"/>
      <c r="C50" s="332"/>
      <c r="D50" s="332"/>
      <c r="E50" s="332"/>
      <c r="F50" s="332"/>
      <c r="G50" s="332"/>
      <c r="H50" s="333"/>
      <c r="I50" s="282"/>
      <c r="J50" s="282"/>
    </row>
    <row r="51" spans="1:10" s="334" customFormat="1" ht="14.25">
      <c r="A51" s="331"/>
      <c r="B51" s="332"/>
      <c r="C51" s="332"/>
      <c r="D51" s="332"/>
      <c r="E51" s="332"/>
      <c r="F51" s="332"/>
      <c r="G51" s="332"/>
      <c r="H51" s="333"/>
      <c r="I51" s="282"/>
      <c r="J51" s="282"/>
    </row>
    <row r="52" spans="1:10" s="334" customFormat="1" ht="14.25">
      <c r="A52" s="331"/>
      <c r="B52" s="332"/>
      <c r="C52" s="332"/>
      <c r="D52" s="332"/>
      <c r="E52" s="332"/>
      <c r="F52" s="332"/>
      <c r="G52" s="332"/>
      <c r="H52" s="333"/>
      <c r="I52" s="282"/>
      <c r="J52" s="282"/>
    </row>
    <row r="53" spans="1:10" s="334" customFormat="1">
      <c r="B53" s="332"/>
      <c r="C53" s="332"/>
      <c r="D53" s="332"/>
      <c r="E53" s="332"/>
      <c r="F53" s="332"/>
      <c r="G53" s="332"/>
      <c r="H53" s="333"/>
      <c r="I53" s="282"/>
      <c r="J53" s="282"/>
    </row>
    <row r="54" spans="1:10" ht="15">
      <c r="A54" s="327"/>
      <c r="B54" s="328"/>
      <c r="C54" s="328"/>
      <c r="D54" s="328"/>
      <c r="E54" s="328"/>
      <c r="F54" s="328"/>
      <c r="G54" s="328"/>
      <c r="H54" s="329"/>
      <c r="I54" s="282"/>
      <c r="J54" s="282"/>
    </row>
    <row r="55" spans="1:10" s="334" customFormat="1" ht="12.75" customHeight="1">
      <c r="B55" s="332"/>
      <c r="C55" s="332"/>
      <c r="D55" s="332"/>
      <c r="E55" s="332"/>
      <c r="F55" s="332"/>
      <c r="G55" s="332"/>
      <c r="H55" s="333"/>
    </row>
    <row r="58" spans="1:10">
      <c r="A58" s="335" t="s">
        <v>346</v>
      </c>
    </row>
  </sheetData>
  <mergeCells count="6">
    <mergeCell ref="H8:I8"/>
    <mergeCell ref="H33:I33"/>
    <mergeCell ref="A1:J1"/>
    <mergeCell ref="A2:J2"/>
    <mergeCell ref="A3:J3"/>
    <mergeCell ref="A4:J4"/>
  </mergeCells>
  <phoneticPr fontId="16" type="noConversion"/>
  <pageMargins left="0.75" right="0.75" top="1" bottom="1" header="0.5" footer="0.5"/>
  <pageSetup scale="75"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0000"/>
  </sheetPr>
  <dimension ref="A1:K55"/>
  <sheetViews>
    <sheetView workbookViewId="0"/>
  </sheetViews>
  <sheetFormatPr defaultRowHeight="12.75"/>
  <cols>
    <col min="1" max="1" width="27.625" style="425" customWidth="1"/>
    <col min="2" max="2" width="9.125" style="425" customWidth="1"/>
    <col min="3" max="3" width="8.125" style="425" bestFit="1" customWidth="1"/>
    <col min="4" max="6" width="8.25" style="425" bestFit="1" customWidth="1"/>
    <col min="7" max="9" width="8.125" style="425" bestFit="1" customWidth="1"/>
    <col min="10" max="16384" width="9" style="425"/>
  </cols>
  <sheetData>
    <row r="1" spans="1:9" ht="39.75" customHeight="1"/>
    <row r="2" spans="1:9" s="439" customFormat="1">
      <c r="A2" s="2558" t="s">
        <v>297</v>
      </c>
      <c r="B2" s="2558"/>
      <c r="C2" s="2558"/>
      <c r="D2" s="2558"/>
      <c r="E2" s="2558"/>
      <c r="F2" s="2558"/>
      <c r="G2" s="2558"/>
      <c r="H2" s="2558"/>
      <c r="I2" s="2558"/>
    </row>
    <row r="3" spans="1:9" s="427" customFormat="1">
      <c r="A3" s="2559" t="s">
        <v>492</v>
      </c>
      <c r="B3" s="2559"/>
      <c r="C3" s="2559"/>
      <c r="D3" s="2559"/>
      <c r="E3" s="2559"/>
      <c r="F3" s="2559"/>
      <c r="G3" s="2559"/>
      <c r="H3" s="2559"/>
      <c r="I3" s="2559"/>
    </row>
    <row r="4" spans="1:9" s="439" customFormat="1" ht="15.75">
      <c r="A4" s="2558" t="s">
        <v>491</v>
      </c>
      <c r="B4" s="2558"/>
      <c r="C4" s="2558"/>
      <c r="D4" s="2558"/>
      <c r="E4" s="2558"/>
      <c r="F4" s="2558"/>
      <c r="G4" s="2558"/>
      <c r="H4" s="2558"/>
      <c r="I4" s="2558"/>
    </row>
    <row r="5" spans="1:9" s="427" customFormat="1">
      <c r="A5" s="541" t="s">
        <v>486</v>
      </c>
      <c r="B5" s="541"/>
      <c r="C5" s="541"/>
      <c r="D5" s="541"/>
      <c r="E5" s="541"/>
      <c r="F5" s="541"/>
      <c r="G5" s="541"/>
      <c r="I5" s="541"/>
    </row>
    <row r="6" spans="1:9" s="439" customFormat="1">
      <c r="A6" s="540"/>
      <c r="B6" s="2560" t="s">
        <v>300</v>
      </c>
      <c r="C6" s="2561"/>
      <c r="D6" s="2561"/>
      <c r="E6" s="2561"/>
      <c r="F6" s="2562"/>
      <c r="G6" s="539"/>
      <c r="H6" s="2563" t="s">
        <v>77</v>
      </c>
      <c r="I6" s="2564"/>
    </row>
    <row r="7" spans="1:9" s="439" customFormat="1">
      <c r="A7" s="538" t="s">
        <v>485</v>
      </c>
      <c r="B7" s="483" t="s">
        <v>469</v>
      </c>
      <c r="C7" s="497" t="s">
        <v>468</v>
      </c>
      <c r="D7" s="483" t="s">
        <v>467</v>
      </c>
      <c r="E7" s="497" t="s">
        <v>466</v>
      </c>
      <c r="F7" s="495" t="s">
        <v>465</v>
      </c>
      <c r="G7" s="499" t="s">
        <v>188</v>
      </c>
      <c r="H7" s="537" t="s">
        <v>464</v>
      </c>
      <c r="I7" s="536"/>
    </row>
    <row r="8" spans="1:9" s="439" customFormat="1" ht="13.5" thickBot="1">
      <c r="A8" s="535" t="s">
        <v>310</v>
      </c>
      <c r="B8" s="483" t="s">
        <v>311</v>
      </c>
      <c r="C8" s="534" t="s">
        <v>484</v>
      </c>
      <c r="D8" s="533" t="s">
        <v>311</v>
      </c>
      <c r="E8" s="534" t="s">
        <v>483</v>
      </c>
      <c r="F8" s="533" t="s">
        <v>463</v>
      </c>
      <c r="G8" s="530" t="s">
        <v>463</v>
      </c>
      <c r="H8" s="532" t="s">
        <v>315</v>
      </c>
      <c r="I8" s="531" t="s">
        <v>316</v>
      </c>
    </row>
    <row r="9" spans="1:9" s="439" customFormat="1" ht="13.5" thickTop="1">
      <c r="A9" s="529" t="s">
        <v>482</v>
      </c>
      <c r="B9" s="528" t="s">
        <v>451</v>
      </c>
      <c r="C9" s="527">
        <f>+C10+C11</f>
        <v>36482.449999999997</v>
      </c>
      <c r="D9" s="527">
        <f>+D10+D11</f>
        <v>35653.33</v>
      </c>
      <c r="E9" s="526">
        <f>+E10+E11</f>
        <v>33840.980000000003</v>
      </c>
      <c r="F9" s="512">
        <f>+F10+F11</f>
        <v>35325.58666666667</v>
      </c>
      <c r="G9" s="525">
        <v>34067</v>
      </c>
      <c r="H9" s="524">
        <f>F9-G9</f>
        <v>1258.5866666666698</v>
      </c>
      <c r="I9" s="558">
        <f>H9/G9</f>
        <v>3.6944452598311264E-2</v>
      </c>
    </row>
    <row r="10" spans="1:9" s="439" customFormat="1" ht="15.75">
      <c r="A10" s="523" t="s">
        <v>481</v>
      </c>
      <c r="B10" s="456" t="s">
        <v>451</v>
      </c>
      <c r="C10" s="457">
        <v>36438.32</v>
      </c>
      <c r="D10" s="457">
        <v>35611.1</v>
      </c>
      <c r="E10" s="457">
        <v>33809.550000000003</v>
      </c>
      <c r="F10" s="457">
        <f>SUM(C10:E10)/3</f>
        <v>35286.323333333334</v>
      </c>
      <c r="G10" s="456" t="s">
        <v>451</v>
      </c>
      <c r="H10" s="455" t="s">
        <v>451</v>
      </c>
      <c r="I10" s="552" t="s">
        <v>451</v>
      </c>
    </row>
    <row r="11" spans="1:9" s="439" customFormat="1">
      <c r="A11" s="523" t="s">
        <v>480</v>
      </c>
      <c r="B11" s="456" t="s">
        <v>451</v>
      </c>
      <c r="C11" s="457">
        <v>44.13</v>
      </c>
      <c r="D11" s="457">
        <v>42.23</v>
      </c>
      <c r="E11" s="457">
        <v>31.43</v>
      </c>
      <c r="F11" s="457">
        <f>SUM(C11:E11)/3</f>
        <v>39.263333333333328</v>
      </c>
      <c r="G11" s="456" t="s">
        <v>451</v>
      </c>
      <c r="H11" s="455" t="s">
        <v>451</v>
      </c>
      <c r="I11" s="552" t="s">
        <v>451</v>
      </c>
    </row>
    <row r="12" spans="1:9" s="439" customFormat="1">
      <c r="A12" s="521" t="s">
        <v>479</v>
      </c>
      <c r="B12" s="456" t="s">
        <v>451</v>
      </c>
      <c r="C12" s="457">
        <v>1894.83</v>
      </c>
      <c r="D12" s="457">
        <v>1921.13</v>
      </c>
      <c r="E12" s="457">
        <v>1951.3</v>
      </c>
      <c r="F12" s="457">
        <f>SUM(C12:E12)/3</f>
        <v>1922.42</v>
      </c>
      <c r="G12" s="514">
        <v>2045</v>
      </c>
      <c r="H12" s="442">
        <f>F12-G12</f>
        <v>-122.57999999999993</v>
      </c>
      <c r="I12" s="551">
        <f>H12/G12</f>
        <v>-5.9941320293398499E-2</v>
      </c>
    </row>
    <row r="13" spans="1:9" s="439" customFormat="1">
      <c r="A13" s="521" t="s">
        <v>478</v>
      </c>
      <c r="B13" s="456" t="s">
        <v>451</v>
      </c>
      <c r="C13" s="457">
        <v>2499.1999999999998</v>
      </c>
      <c r="D13" s="457">
        <v>2526.23</v>
      </c>
      <c r="E13" s="457">
        <v>2418.3000000000002</v>
      </c>
      <c r="F13" s="457">
        <f>SUM(C13:E13)/3</f>
        <v>2481.2433333333333</v>
      </c>
      <c r="G13" s="514">
        <v>2414</v>
      </c>
      <c r="H13" s="442">
        <f>F13-G13</f>
        <v>67.243333333333339</v>
      </c>
      <c r="I13" s="551">
        <f>H13/G13</f>
        <v>2.7855564761115715E-2</v>
      </c>
    </row>
    <row r="14" spans="1:9" s="439" customFormat="1">
      <c r="A14" s="503" t="s">
        <v>477</v>
      </c>
      <c r="B14" s="456" t="s">
        <v>451</v>
      </c>
      <c r="C14" s="517">
        <f>+C15+C16</f>
        <v>20936.900000000001</v>
      </c>
      <c r="D14" s="456" t="s">
        <v>451</v>
      </c>
      <c r="E14" s="517">
        <f>+E15+E16</f>
        <v>19459.7</v>
      </c>
      <c r="F14" s="515">
        <f>+F15+F16</f>
        <v>20198.3</v>
      </c>
      <c r="G14" s="514">
        <v>19272</v>
      </c>
      <c r="H14" s="460">
        <f>F14-G14</f>
        <v>926.29999999999927</v>
      </c>
      <c r="I14" s="551">
        <f>H14/G14</f>
        <v>4.8064549605645455E-2</v>
      </c>
    </row>
    <row r="15" spans="1:9" s="439" customFormat="1">
      <c r="A15" s="522" t="s">
        <v>476</v>
      </c>
      <c r="B15" s="456" t="s">
        <v>451</v>
      </c>
      <c r="C15" s="457">
        <v>19422.900000000001</v>
      </c>
      <c r="D15" s="456" t="s">
        <v>451</v>
      </c>
      <c r="E15" s="517">
        <v>18101.57</v>
      </c>
      <c r="F15" s="515">
        <f>+(C15+E15)/2</f>
        <v>18762.235000000001</v>
      </c>
      <c r="G15" s="456" t="s">
        <v>451</v>
      </c>
      <c r="H15" s="455" t="s">
        <v>451</v>
      </c>
      <c r="I15" s="552" t="s">
        <v>451</v>
      </c>
    </row>
    <row r="16" spans="1:9" s="439" customFormat="1">
      <c r="A16" s="522" t="s">
        <v>475</v>
      </c>
      <c r="B16" s="456" t="s">
        <v>451</v>
      </c>
      <c r="C16" s="457">
        <v>1514</v>
      </c>
      <c r="D16" s="456" t="s">
        <v>451</v>
      </c>
      <c r="E16" s="517">
        <v>1358.13</v>
      </c>
      <c r="F16" s="515">
        <f>+(C16+E16)/2</f>
        <v>1436.0650000000001</v>
      </c>
      <c r="G16" s="456" t="s">
        <v>451</v>
      </c>
      <c r="H16" s="455" t="s">
        <v>451</v>
      </c>
      <c r="I16" s="552" t="s">
        <v>451</v>
      </c>
    </row>
    <row r="17" spans="1:10" s="439" customFormat="1">
      <c r="A17" s="521" t="s">
        <v>474</v>
      </c>
      <c r="B17" s="456" t="s">
        <v>451</v>
      </c>
      <c r="C17" s="457">
        <v>976.33</v>
      </c>
      <c r="D17" s="456" t="s">
        <v>451</v>
      </c>
      <c r="E17" s="517">
        <v>936.7</v>
      </c>
      <c r="F17" s="515">
        <f>+(E17+C17)/2</f>
        <v>956.5150000000001</v>
      </c>
      <c r="G17" s="469">
        <v>865</v>
      </c>
      <c r="H17" s="460">
        <f t="shared" ref="H17:H23" si="0">F17-G17</f>
        <v>91.5150000000001</v>
      </c>
      <c r="I17" s="551">
        <f t="shared" ref="I17:I23" si="1">H17/G17</f>
        <v>0.10579768786127179</v>
      </c>
    </row>
    <row r="18" spans="1:10" s="439" customFormat="1">
      <c r="A18" s="520" t="s">
        <v>473</v>
      </c>
      <c r="B18" s="456" t="s">
        <v>451</v>
      </c>
      <c r="C18" s="457">
        <v>2183.4699999999998</v>
      </c>
      <c r="D18" s="456" t="s">
        <v>451</v>
      </c>
      <c r="E18" s="517">
        <v>2138.6999999999998</v>
      </c>
      <c r="F18" s="515">
        <f>+(E18+C18)/2</f>
        <v>2161.085</v>
      </c>
      <c r="G18" s="514">
        <v>2113</v>
      </c>
      <c r="H18" s="460">
        <f t="shared" si="0"/>
        <v>48.085000000000036</v>
      </c>
      <c r="I18" s="551">
        <f t="shared" si="1"/>
        <v>2.2756743965925242E-2</v>
      </c>
    </row>
    <row r="19" spans="1:10" s="439" customFormat="1">
      <c r="A19" s="518" t="s">
        <v>5</v>
      </c>
      <c r="B19" s="456" t="s">
        <v>451</v>
      </c>
      <c r="C19" s="457">
        <v>9524.83</v>
      </c>
      <c r="D19" s="519">
        <v>9067.5</v>
      </c>
      <c r="E19" s="516">
        <v>8652.5300000000007</v>
      </c>
      <c r="F19" s="515">
        <f>SUM(C19:E19)/3</f>
        <v>9081.6200000000008</v>
      </c>
      <c r="G19" s="514">
        <v>9322</v>
      </c>
      <c r="H19" s="460">
        <f t="shared" si="0"/>
        <v>-240.3799999999992</v>
      </c>
      <c r="I19" s="551">
        <f t="shared" si="1"/>
        <v>-2.5786311950225186E-2</v>
      </c>
    </row>
    <row r="20" spans="1:10" s="439" customFormat="1">
      <c r="A20" s="518" t="s">
        <v>4</v>
      </c>
      <c r="B20" s="456" t="s">
        <v>451</v>
      </c>
      <c r="C20" s="457">
        <v>9718.08</v>
      </c>
      <c r="D20" s="515">
        <v>9340.8700000000008</v>
      </c>
      <c r="E20" s="517">
        <v>8801.27</v>
      </c>
      <c r="F20" s="515">
        <f>SUM(C20:E20)/3</f>
        <v>9286.74</v>
      </c>
      <c r="G20" s="514">
        <v>9184</v>
      </c>
      <c r="H20" s="460">
        <f t="shared" si="0"/>
        <v>102.73999999999978</v>
      </c>
      <c r="I20" s="551">
        <f t="shared" si="1"/>
        <v>1.1186846689895447E-2</v>
      </c>
    </row>
    <row r="21" spans="1:10" s="439" customFormat="1">
      <c r="A21" s="518" t="s">
        <v>6</v>
      </c>
      <c r="B21" s="458">
        <v>42.8</v>
      </c>
      <c r="C21" s="457">
        <v>4638.53</v>
      </c>
      <c r="D21" s="515">
        <v>4466.7700000000004</v>
      </c>
      <c r="E21" s="517">
        <v>4262.17</v>
      </c>
      <c r="F21" s="515">
        <f>SUM(B21:E21)/3</f>
        <v>4470.09</v>
      </c>
      <c r="G21" s="514">
        <v>4213</v>
      </c>
      <c r="H21" s="460">
        <f t="shared" si="0"/>
        <v>257.09000000000015</v>
      </c>
      <c r="I21" s="551">
        <f t="shared" si="1"/>
        <v>6.1023023973415656E-2</v>
      </c>
    </row>
    <row r="22" spans="1:10" s="439" customFormat="1" ht="13.5" thickBot="1">
      <c r="A22" s="503" t="s">
        <v>7</v>
      </c>
      <c r="B22" s="456" t="s">
        <v>451</v>
      </c>
      <c r="C22" s="457">
        <v>12908.43</v>
      </c>
      <c r="D22" s="515">
        <v>12507.33</v>
      </c>
      <c r="E22" s="516">
        <v>11809</v>
      </c>
      <c r="F22" s="515">
        <f>SUM(C22:E22)/3</f>
        <v>12408.253333333334</v>
      </c>
      <c r="G22" s="514">
        <v>12175</v>
      </c>
      <c r="H22" s="460">
        <f t="shared" si="0"/>
        <v>233.25333333333401</v>
      </c>
      <c r="I22" s="551">
        <f t="shared" si="1"/>
        <v>1.9158384668035648E-2</v>
      </c>
    </row>
    <row r="23" spans="1:10" s="439" customFormat="1" ht="13.5" thickTop="1">
      <c r="A23" s="513" t="s">
        <v>472</v>
      </c>
      <c r="B23" s="512">
        <f>B21</f>
        <v>42.8</v>
      </c>
      <c r="C23" s="512">
        <f>C9+C12+C13+C14+C17+C18+C19+C20+C21+C22</f>
        <v>101763.04999999999</v>
      </c>
      <c r="D23" s="512"/>
      <c r="E23" s="512">
        <f>E9+E12+E13+E14+E17+E18+E19+E20+E21+E22</f>
        <v>94270.650000000009</v>
      </c>
      <c r="F23" s="512">
        <f>F9+F12+F13+F14+F17+F18+F19+F20+F21+F22</f>
        <v>98291.853333333333</v>
      </c>
      <c r="G23" s="512">
        <f>G9+G12+G13+G14+G17+G18+G19+G20+G21+G22</f>
        <v>95670</v>
      </c>
      <c r="H23" s="512">
        <f t="shared" si="0"/>
        <v>2621.8533333333326</v>
      </c>
      <c r="I23" s="511">
        <f t="shared" si="1"/>
        <v>2.7405177519947033E-2</v>
      </c>
    </row>
    <row r="24" spans="1:10" s="439" customFormat="1">
      <c r="A24" s="510"/>
      <c r="B24" s="508"/>
      <c r="C24" s="508"/>
      <c r="D24" s="508"/>
      <c r="E24" s="508"/>
      <c r="F24" s="508"/>
      <c r="G24" s="508"/>
      <c r="H24" s="508"/>
      <c r="I24" s="509"/>
    </row>
    <row r="25" spans="1:10" s="427" customFormat="1" ht="13.5">
      <c r="A25" s="507" t="s">
        <v>471</v>
      </c>
      <c r="B25" s="506"/>
      <c r="C25" s="506"/>
      <c r="D25" s="506"/>
      <c r="E25" s="506"/>
      <c r="F25" s="506"/>
      <c r="G25" s="504"/>
      <c r="H25" s="506"/>
      <c r="I25" s="505"/>
    </row>
    <row r="26" spans="1:10" s="439" customFormat="1" ht="15">
      <c r="A26" s="503"/>
      <c r="B26" s="2552" t="s">
        <v>77</v>
      </c>
      <c r="C26" s="2553"/>
      <c r="D26" s="2553"/>
      <c r="E26" s="2554"/>
      <c r="F26" s="2555"/>
      <c r="G26" s="502"/>
      <c r="H26" s="2556" t="s">
        <v>77</v>
      </c>
      <c r="I26" s="2557"/>
    </row>
    <row r="27" spans="1:10" s="439" customFormat="1">
      <c r="A27" s="498" t="s">
        <v>470</v>
      </c>
      <c r="B27" s="483" t="s">
        <v>469</v>
      </c>
      <c r="C27" s="497" t="s">
        <v>468</v>
      </c>
      <c r="D27" s="483" t="s">
        <v>467</v>
      </c>
      <c r="E27" s="497" t="s">
        <v>466</v>
      </c>
      <c r="F27" s="495" t="s">
        <v>465</v>
      </c>
      <c r="G27" s="499" t="s">
        <v>307</v>
      </c>
      <c r="H27" s="501" t="s">
        <v>464</v>
      </c>
      <c r="I27" s="500"/>
    </row>
    <row r="28" spans="1:10" s="439" customFormat="1" ht="13.5" thickBot="1">
      <c r="A28" s="498" t="s">
        <v>339</v>
      </c>
      <c r="B28" s="483" t="s">
        <v>340</v>
      </c>
      <c r="C28" s="483" t="s">
        <v>340</v>
      </c>
      <c r="D28" s="483" t="s">
        <v>311</v>
      </c>
      <c r="E28" s="497" t="s">
        <v>311</v>
      </c>
      <c r="F28" s="495" t="s">
        <v>369</v>
      </c>
      <c r="G28" s="495" t="s">
        <v>463</v>
      </c>
      <c r="H28" s="496" t="s">
        <v>315</v>
      </c>
      <c r="I28" s="557" t="s">
        <v>316</v>
      </c>
    </row>
    <row r="29" spans="1:10" s="439" customFormat="1" ht="13.5" thickTop="1">
      <c r="A29" s="494" t="s">
        <v>462</v>
      </c>
      <c r="B29" s="493">
        <f>B34-B30-B33</f>
        <v>44825.9</v>
      </c>
      <c r="C29" s="493">
        <f>C34-C30-C33</f>
        <v>127494</v>
      </c>
      <c r="D29" s="493">
        <f>D34-D30-D33</f>
        <v>123363</v>
      </c>
      <c r="E29" s="493">
        <f>E34-E30-E33</f>
        <v>120406</v>
      </c>
      <c r="F29" s="492">
        <f t="shared" ref="F29:F34" si="2">SUM(B29:E29)/3</f>
        <v>138696.30000000002</v>
      </c>
      <c r="G29" s="490">
        <f>G46-G30-G45-G33</f>
        <v>132387</v>
      </c>
      <c r="H29" s="491">
        <f>F29-G29</f>
        <v>6309.3000000000175</v>
      </c>
      <c r="I29" s="556">
        <f>H29/G29</f>
        <v>4.7658002673978697E-2</v>
      </c>
    </row>
    <row r="30" spans="1:10" s="466" customFormat="1">
      <c r="A30" s="489" t="s">
        <v>461</v>
      </c>
      <c r="B30" s="469">
        <f>SUM(B31:B32)</f>
        <v>3030</v>
      </c>
      <c r="C30" s="462">
        <v>6541</v>
      </c>
      <c r="D30" s="469">
        <f>D31+D32</f>
        <v>8030</v>
      </c>
      <c r="E30" s="469">
        <f>E31+E32</f>
        <v>8991</v>
      </c>
      <c r="F30" s="486">
        <f t="shared" si="2"/>
        <v>8864</v>
      </c>
      <c r="G30" s="488">
        <v>6200</v>
      </c>
      <c r="H30" s="487">
        <f>F30-G30</f>
        <v>2664</v>
      </c>
      <c r="I30" s="555">
        <f>H30/G30</f>
        <v>0.42967741935483872</v>
      </c>
      <c r="J30" s="467"/>
    </row>
    <row r="31" spans="1:10" s="466" customFormat="1">
      <c r="A31" s="459" t="s">
        <v>460</v>
      </c>
      <c r="B31" s="469">
        <v>2990</v>
      </c>
      <c r="C31" s="462">
        <v>6284</v>
      </c>
      <c r="D31" s="469">
        <v>7667</v>
      </c>
      <c r="E31" s="469">
        <v>8445</v>
      </c>
      <c r="F31" s="486">
        <f t="shared" si="2"/>
        <v>8462</v>
      </c>
      <c r="G31" s="456" t="s">
        <v>451</v>
      </c>
      <c r="H31" s="456" t="s">
        <v>451</v>
      </c>
      <c r="I31" s="554" t="s">
        <v>451</v>
      </c>
      <c r="J31" s="467"/>
    </row>
    <row r="32" spans="1:10" s="466" customFormat="1">
      <c r="A32" s="459" t="s">
        <v>459</v>
      </c>
      <c r="B32" s="469">
        <v>40</v>
      </c>
      <c r="C32" s="462">
        <v>257</v>
      </c>
      <c r="D32" s="469">
        <v>363</v>
      </c>
      <c r="E32" s="469">
        <v>546</v>
      </c>
      <c r="F32" s="486">
        <f t="shared" si="2"/>
        <v>402</v>
      </c>
      <c r="G32" s="456" t="s">
        <v>451</v>
      </c>
      <c r="H32" s="456" t="s">
        <v>451</v>
      </c>
      <c r="I32" s="554" t="s">
        <v>451</v>
      </c>
      <c r="J32" s="467"/>
    </row>
    <row r="33" spans="1:11" s="439" customFormat="1" ht="16.5" thickBot="1">
      <c r="A33" s="463" t="s">
        <v>490</v>
      </c>
      <c r="B33" s="469">
        <v>27.1</v>
      </c>
      <c r="C33" s="485">
        <v>141</v>
      </c>
      <c r="D33" s="484">
        <v>129</v>
      </c>
      <c r="E33" s="484">
        <v>133</v>
      </c>
      <c r="F33" s="486">
        <f t="shared" si="2"/>
        <v>143.36666666666667</v>
      </c>
      <c r="G33" s="457">
        <v>160</v>
      </c>
      <c r="H33" s="483">
        <f>F33-G33</f>
        <v>-16.633333333333326</v>
      </c>
      <c r="I33" s="553">
        <f>H33/G33</f>
        <v>-0.10395833333333329</v>
      </c>
    </row>
    <row r="34" spans="1:11" s="466" customFormat="1" ht="13.5" thickTop="1">
      <c r="A34" s="482" t="s">
        <v>458</v>
      </c>
      <c r="B34" s="481">
        <f>47883</f>
        <v>47883</v>
      </c>
      <c r="C34" s="481">
        <v>134176</v>
      </c>
      <c r="D34" s="480">
        <v>131522</v>
      </c>
      <c r="E34" s="480">
        <v>129530</v>
      </c>
      <c r="F34" s="479">
        <f t="shared" si="2"/>
        <v>147703.66666666666</v>
      </c>
      <c r="G34" s="478">
        <f>G46-G45</f>
        <v>138747</v>
      </c>
      <c r="H34" s="477">
        <f>F34-G34</f>
        <v>8956.666666666657</v>
      </c>
      <c r="I34" s="476">
        <f>H34/G34</f>
        <v>6.4553948313597107E-2</v>
      </c>
      <c r="J34" s="467"/>
      <c r="K34" s="659"/>
    </row>
    <row r="35" spans="1:11" s="466" customFormat="1">
      <c r="A35" s="454"/>
      <c r="B35" s="475"/>
      <c r="C35" s="473"/>
      <c r="D35" s="473"/>
      <c r="E35" s="473"/>
      <c r="F35" s="474"/>
      <c r="G35" s="473"/>
      <c r="H35" s="472"/>
      <c r="I35" s="471"/>
      <c r="J35" s="467"/>
    </row>
    <row r="36" spans="1:11" s="466" customFormat="1">
      <c r="A36" s="470" t="s">
        <v>457</v>
      </c>
      <c r="B36" s="469"/>
      <c r="C36" s="468"/>
      <c r="D36" s="464"/>
      <c r="E36" s="464"/>
      <c r="F36" s="468"/>
      <c r="G36" s="467"/>
      <c r="H36" s="464"/>
      <c r="I36" s="464"/>
      <c r="J36" s="467"/>
    </row>
    <row r="37" spans="1:11" s="439" customFormat="1">
      <c r="A37" s="465" t="s">
        <v>456</v>
      </c>
      <c r="B37" s="458">
        <f>SUM(B38:B40)</f>
        <v>0.73</v>
      </c>
      <c r="C37" s="462">
        <f>SUM(C38:C40)</f>
        <v>79</v>
      </c>
      <c r="D37" s="457">
        <f>SUM(D38:D40)</f>
        <v>76.27</v>
      </c>
      <c r="E37" s="457">
        <f>SUM(E38:E40)</f>
        <v>85.34</v>
      </c>
      <c r="F37" s="559">
        <f>SUM(F38:F40)</f>
        <v>80.446666666666658</v>
      </c>
      <c r="G37" s="461">
        <v>240</v>
      </c>
      <c r="H37" s="460">
        <f>F37-G37</f>
        <v>-159.55333333333334</v>
      </c>
      <c r="I37" s="551">
        <f>H37/G37</f>
        <v>-0.66480555555555554</v>
      </c>
    </row>
    <row r="38" spans="1:11" s="439" customFormat="1">
      <c r="A38" s="459" t="s">
        <v>455</v>
      </c>
      <c r="B38" s="456" t="s">
        <v>451</v>
      </c>
      <c r="C38" s="457">
        <v>11.6</v>
      </c>
      <c r="D38" s="457">
        <v>12</v>
      </c>
      <c r="E38" s="457">
        <v>14</v>
      </c>
      <c r="F38" s="560">
        <f>SUM(C38:E38)/3</f>
        <v>12.533333333333333</v>
      </c>
      <c r="G38" s="456" t="s">
        <v>451</v>
      </c>
      <c r="H38" s="455" t="s">
        <v>451</v>
      </c>
      <c r="I38" s="552" t="s">
        <v>451</v>
      </c>
      <c r="J38" s="464"/>
    </row>
    <row r="39" spans="1:11" s="439" customFormat="1">
      <c r="A39" s="459" t="s">
        <v>454</v>
      </c>
      <c r="B39" s="456" t="s">
        <v>451</v>
      </c>
      <c r="C39" s="457">
        <v>61.47</v>
      </c>
      <c r="D39" s="457">
        <v>60</v>
      </c>
      <c r="E39" s="457">
        <v>66.87</v>
      </c>
      <c r="F39" s="560">
        <f>SUM(C39:E39)/3</f>
        <v>62.78</v>
      </c>
      <c r="G39" s="456" t="s">
        <v>451</v>
      </c>
      <c r="H39" s="455" t="s">
        <v>451</v>
      </c>
      <c r="I39" s="552" t="s">
        <v>451</v>
      </c>
    </row>
    <row r="40" spans="1:11" s="439" customFormat="1">
      <c r="A40" s="459" t="s">
        <v>453</v>
      </c>
      <c r="B40" s="458">
        <v>0.73</v>
      </c>
      <c r="C40" s="457">
        <v>5.93</v>
      </c>
      <c r="D40" s="457">
        <v>4.2699999999999996</v>
      </c>
      <c r="E40" s="457">
        <v>4.47</v>
      </c>
      <c r="F40" s="560">
        <f>SUM(B40:E40)/3</f>
        <v>5.1333333333333329</v>
      </c>
      <c r="G40" s="456" t="s">
        <v>451</v>
      </c>
      <c r="H40" s="455" t="s">
        <v>451</v>
      </c>
      <c r="I40" s="552" t="s">
        <v>451</v>
      </c>
    </row>
    <row r="41" spans="1:11" s="439" customFormat="1">
      <c r="A41" s="463" t="s">
        <v>452</v>
      </c>
      <c r="B41" s="458">
        <f>SUM(B42:B44)</f>
        <v>93.37</v>
      </c>
      <c r="C41" s="462">
        <f>SUM(C42:C44)</f>
        <v>191.1</v>
      </c>
      <c r="D41" s="457">
        <f>SUM(D42:D44)</f>
        <v>180.5</v>
      </c>
      <c r="E41" s="457">
        <f>SUM(E42:E44)</f>
        <v>181.45999999999998</v>
      </c>
      <c r="F41" s="559">
        <f>SUM(F42:F44)</f>
        <v>215.47666666666666</v>
      </c>
      <c r="G41" s="461">
        <v>250</v>
      </c>
      <c r="H41" s="460">
        <f>F41-G41</f>
        <v>-34.523333333333341</v>
      </c>
      <c r="I41" s="551">
        <f>H41/G41</f>
        <v>-0.13809333333333337</v>
      </c>
    </row>
    <row r="42" spans="1:11" s="439" customFormat="1" ht="15.75">
      <c r="A42" s="459" t="s">
        <v>489</v>
      </c>
      <c r="B42" s="456" t="s">
        <v>451</v>
      </c>
      <c r="C42" s="457">
        <f>7.47+4.13</f>
        <v>11.6</v>
      </c>
      <c r="D42" s="457">
        <f>10+5</f>
        <v>15</v>
      </c>
      <c r="E42" s="457">
        <v>17.8</v>
      </c>
      <c r="F42" s="560">
        <f>SUM(C42:E42)/3</f>
        <v>14.800000000000002</v>
      </c>
      <c r="G42" s="456" t="s">
        <v>451</v>
      </c>
      <c r="H42" s="455" t="s">
        <v>451</v>
      </c>
      <c r="I42" s="550" t="s">
        <v>451</v>
      </c>
    </row>
    <row r="43" spans="1:11" s="439" customFormat="1">
      <c r="A43" s="459" t="s">
        <v>405</v>
      </c>
      <c r="B43" s="456" t="s">
        <v>451</v>
      </c>
      <c r="C43" s="457">
        <v>4</v>
      </c>
      <c r="D43" s="457">
        <v>3.2</v>
      </c>
      <c r="E43" s="457">
        <v>5.93</v>
      </c>
      <c r="F43" s="560">
        <f>SUM(C43:E43)/3</f>
        <v>4.376666666666666</v>
      </c>
      <c r="G43" s="456" t="s">
        <v>451</v>
      </c>
      <c r="H43" s="455" t="s">
        <v>451</v>
      </c>
      <c r="I43" s="550" t="s">
        <v>451</v>
      </c>
    </row>
    <row r="44" spans="1:11" s="439" customFormat="1" ht="13.5" thickBot="1">
      <c r="A44" s="549" t="s">
        <v>406</v>
      </c>
      <c r="B44" s="548">
        <v>93.37</v>
      </c>
      <c r="C44" s="547">
        <v>175.5</v>
      </c>
      <c r="D44" s="547">
        <v>162.30000000000001</v>
      </c>
      <c r="E44" s="547">
        <v>157.72999999999999</v>
      </c>
      <c r="F44" s="561">
        <f>SUM(B44:E44)/3</f>
        <v>196.29999999999998</v>
      </c>
      <c r="G44" s="546" t="s">
        <v>451</v>
      </c>
      <c r="H44" s="545" t="s">
        <v>451</v>
      </c>
      <c r="I44" s="544" t="s">
        <v>451</v>
      </c>
    </row>
    <row r="45" spans="1:11" ht="14.25" thickTop="1" thickBot="1">
      <c r="A45" s="454" t="s">
        <v>450</v>
      </c>
      <c r="B45" s="453">
        <f>B37+B44</f>
        <v>94.100000000000009</v>
      </c>
      <c r="C45" s="452">
        <f>C37+C41</f>
        <v>270.10000000000002</v>
      </c>
      <c r="D45" s="452">
        <f>D37+D41</f>
        <v>256.77</v>
      </c>
      <c r="E45" s="452">
        <f>E37+E41</f>
        <v>266.79999999999995</v>
      </c>
      <c r="F45" s="451">
        <f>SUM(C45:E45)/3</f>
        <v>264.55666666666667</v>
      </c>
      <c r="G45" s="450">
        <f>G37+G41</f>
        <v>490</v>
      </c>
      <c r="H45" s="450">
        <f>F45-G45</f>
        <v>-225.44333333333333</v>
      </c>
      <c r="I45" s="543">
        <f>H45/G45</f>
        <v>-0.46008843537414967</v>
      </c>
    </row>
    <row r="46" spans="1:11" s="439" customFormat="1" ht="13.5" thickTop="1">
      <c r="A46" s="449" t="s">
        <v>449</v>
      </c>
      <c r="B46" s="448">
        <f>B34+B45</f>
        <v>47977.1</v>
      </c>
      <c r="C46" s="448">
        <f>C34+C45</f>
        <v>134446.1</v>
      </c>
      <c r="D46" s="448">
        <f>D34+D45</f>
        <v>131778.76999999999</v>
      </c>
      <c r="E46" s="448">
        <f>E34+E45</f>
        <v>129796.8</v>
      </c>
      <c r="F46" s="447">
        <f>SUM(B46:E46)/3</f>
        <v>147999.59</v>
      </c>
      <c r="G46" s="446">
        <v>139237</v>
      </c>
      <c r="H46" s="445">
        <f>F46-G46</f>
        <v>8762.5899999999965</v>
      </c>
      <c r="I46" s="542">
        <f>H46/G46</f>
        <v>6.2932912946989633E-2</v>
      </c>
      <c r="K46" s="657">
        <f>+'BDRFinal2008-09'!F29+'BDRFinal2008-09'!F31+'BDRFinal2008-09'!F32+'BDRFinal2008-09'!F33</f>
        <v>147703.66666666669</v>
      </c>
    </row>
    <row r="47" spans="1:11" s="439" customFormat="1" ht="13.5" thickBot="1">
      <c r="A47" s="444"/>
      <c r="B47" s="442"/>
      <c r="C47" s="443"/>
      <c r="D47" s="443"/>
      <c r="E47" s="443"/>
      <c r="F47" s="443"/>
      <c r="G47" s="442"/>
      <c r="H47" s="441"/>
      <c r="I47" s="440"/>
    </row>
    <row r="48" spans="1:11" s="427" customFormat="1" ht="15" thickTop="1" thickBot="1">
      <c r="A48" s="438" t="s">
        <v>448</v>
      </c>
      <c r="B48" s="437"/>
      <c r="C48" s="437"/>
      <c r="D48" s="436"/>
      <c r="E48" s="436"/>
      <c r="F48" s="435">
        <f>+F23+F46</f>
        <v>246291.44333333333</v>
      </c>
      <c r="G48" s="435">
        <f>+G46+G23</f>
        <v>234907</v>
      </c>
      <c r="H48" s="434">
        <f>F48-G48</f>
        <v>11384.443333333329</v>
      </c>
      <c r="I48" s="433">
        <f>H48/G48</f>
        <v>4.846361893572064E-2</v>
      </c>
    </row>
    <row r="49" spans="1:9" s="427" customFormat="1" ht="13.5" thickTop="1">
      <c r="A49" s="432"/>
      <c r="B49" s="431"/>
      <c r="C49" s="431"/>
      <c r="D49" s="430"/>
      <c r="E49" s="430"/>
      <c r="F49" s="430"/>
      <c r="G49" s="430"/>
      <c r="H49" s="429"/>
      <c r="I49" s="428"/>
    </row>
    <row r="50" spans="1:9" ht="57" customHeight="1">
      <c r="A50" s="2550" t="s">
        <v>447</v>
      </c>
      <c r="B50" s="2550"/>
      <c r="C50" s="2550"/>
      <c r="D50" s="2550"/>
      <c r="E50" s="2550"/>
      <c r="F50" s="2550"/>
      <c r="G50" s="2550"/>
      <c r="H50" s="2550"/>
      <c r="I50" s="2550"/>
    </row>
    <row r="51" spans="1:9" ht="44.25" customHeight="1">
      <c r="A51" s="2550" t="s">
        <v>446</v>
      </c>
      <c r="B51" s="2550"/>
      <c r="C51" s="2550"/>
      <c r="D51" s="2550"/>
      <c r="E51" s="2550"/>
      <c r="F51" s="2550"/>
      <c r="G51" s="2550"/>
      <c r="H51" s="2550"/>
      <c r="I51" s="2550"/>
    </row>
    <row r="52" spans="1:9" ht="27.75" customHeight="1">
      <c r="A52" s="2549" t="s">
        <v>488</v>
      </c>
      <c r="B52" s="2550"/>
      <c r="C52" s="2550"/>
      <c r="D52" s="2550"/>
      <c r="E52" s="2550"/>
      <c r="F52" s="2550"/>
      <c r="G52" s="2550"/>
      <c r="H52" s="2550"/>
      <c r="I52" s="2550"/>
    </row>
    <row r="53" spans="1:9" ht="17.25" customHeight="1">
      <c r="A53" s="2550" t="s">
        <v>487</v>
      </c>
      <c r="B53" s="2550"/>
      <c r="C53" s="2550"/>
      <c r="D53" s="2550"/>
      <c r="E53" s="2550"/>
      <c r="F53" s="2550"/>
      <c r="G53" s="2550"/>
      <c r="H53" s="2550"/>
      <c r="I53" s="2550"/>
    </row>
    <row r="54" spans="1:9" s="426" customFormat="1" ht="39" customHeight="1">
      <c r="A54" s="2551" t="s">
        <v>445</v>
      </c>
      <c r="B54" s="2551"/>
      <c r="C54" s="2551"/>
      <c r="D54" s="2551"/>
      <c r="E54" s="2551"/>
      <c r="F54" s="2551"/>
      <c r="G54" s="2551"/>
      <c r="H54" s="2551"/>
      <c r="I54" s="2551"/>
    </row>
    <row r="55" spans="1:9">
      <c r="A55" s="425" t="s">
        <v>444</v>
      </c>
    </row>
  </sheetData>
  <mergeCells count="12">
    <mergeCell ref="A2:I2"/>
    <mergeCell ref="A3:I3"/>
    <mergeCell ref="A4:I4"/>
    <mergeCell ref="B6:F6"/>
    <mergeCell ref="H6:I6"/>
    <mergeCell ref="A52:I52"/>
    <mergeCell ref="A53:I53"/>
    <mergeCell ref="A54:I54"/>
    <mergeCell ref="B26:F26"/>
    <mergeCell ref="H26:I26"/>
    <mergeCell ref="A50:I50"/>
    <mergeCell ref="A51:I51"/>
  </mergeCells>
  <pageMargins left="0.7" right="0.7" top="0.75" bottom="0.75" header="0.3" footer="0.3"/>
  <pageSetup scale="77"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pageSetUpPr fitToPage="1"/>
  </sheetPr>
  <dimension ref="A1:I59"/>
  <sheetViews>
    <sheetView workbookViewId="0">
      <selection sqref="A1:C1"/>
    </sheetView>
  </sheetViews>
  <sheetFormatPr defaultColWidth="14.625" defaultRowHeight="12.75"/>
  <cols>
    <col min="1" max="1" width="2.625" style="645" customWidth="1"/>
    <col min="2" max="2" width="60.625" style="645" customWidth="1"/>
    <col min="3" max="16384" width="14.625" style="645"/>
  </cols>
  <sheetData>
    <row r="1" spans="1:9" ht="18">
      <c r="A1" s="2566" t="s">
        <v>566</v>
      </c>
      <c r="B1" s="2567"/>
      <c r="C1" s="2567"/>
    </row>
    <row r="2" spans="1:9" ht="15.75">
      <c r="A2" s="2568" t="s">
        <v>177</v>
      </c>
      <c r="B2" s="2567"/>
      <c r="C2" s="2567"/>
    </row>
    <row r="3" spans="1:9" ht="15">
      <c r="A3" s="2569" t="s">
        <v>565</v>
      </c>
      <c r="B3" s="2567"/>
      <c r="C3" s="2567"/>
    </row>
    <row r="4" spans="1:9" ht="14.25">
      <c r="A4" s="2570" t="s">
        <v>549</v>
      </c>
      <c r="B4" s="2567"/>
      <c r="C4" s="2567"/>
    </row>
    <row r="5" spans="1:9">
      <c r="A5" s="2571" t="s">
        <v>548</v>
      </c>
      <c r="B5" s="2567"/>
      <c r="C5" s="2567"/>
    </row>
    <row r="6" spans="1:9">
      <c r="A6" s="2571" t="s">
        <v>1</v>
      </c>
      <c r="B6" s="2567"/>
      <c r="C6" s="2567"/>
    </row>
    <row r="7" spans="1:9">
      <c r="A7" s="646"/>
      <c r="B7" s="646"/>
      <c r="C7" s="646"/>
    </row>
    <row r="8" spans="1:9">
      <c r="A8" s="651"/>
      <c r="B8" s="651"/>
      <c r="C8" s="650"/>
    </row>
    <row r="9" spans="1:9">
      <c r="A9" s="646"/>
      <c r="B9" s="646"/>
      <c r="C9" s="646"/>
    </row>
    <row r="10" spans="1:9" ht="15">
      <c r="A10" s="649" t="s">
        <v>564</v>
      </c>
      <c r="B10" s="646"/>
      <c r="C10" s="646"/>
    </row>
    <row r="11" spans="1:9">
      <c r="A11" s="646"/>
      <c r="B11" s="646"/>
      <c r="C11" s="646"/>
      <c r="D11" s="797" t="s">
        <v>570</v>
      </c>
      <c r="E11" s="797"/>
      <c r="F11" s="2565" t="s">
        <v>569</v>
      </c>
      <c r="G11" s="2565"/>
      <c r="H11" s="2565" t="s">
        <v>616</v>
      </c>
      <c r="I11" s="2565"/>
    </row>
    <row r="12" spans="1:9">
      <c r="A12" s="647" t="s">
        <v>2</v>
      </c>
      <c r="B12" s="646"/>
      <c r="C12" s="646"/>
      <c r="D12" s="652" t="s">
        <v>568</v>
      </c>
      <c r="E12" s="652" t="s">
        <v>567</v>
      </c>
      <c r="F12" s="652" t="s">
        <v>568</v>
      </c>
      <c r="G12" s="652" t="s">
        <v>567</v>
      </c>
      <c r="H12" s="797" t="s">
        <v>617</v>
      </c>
      <c r="I12" s="797" t="s">
        <v>618</v>
      </c>
    </row>
    <row r="13" spans="1:9">
      <c r="A13" s="646"/>
      <c r="B13" s="646" t="s">
        <v>547</v>
      </c>
      <c r="C13" s="646">
        <v>15040</v>
      </c>
    </row>
    <row r="14" spans="1:9">
      <c r="A14" s="646"/>
      <c r="B14" s="646" t="s">
        <v>546</v>
      </c>
      <c r="C14" s="646">
        <v>5000</v>
      </c>
    </row>
    <row r="15" spans="1:9">
      <c r="A15" s="646"/>
      <c r="B15" s="648" t="s">
        <v>533</v>
      </c>
      <c r="C15" s="648">
        <v>20741</v>
      </c>
      <c r="E15" s="645">
        <v>-5084</v>
      </c>
      <c r="F15" s="645">
        <f>(C15-E15)/2</f>
        <v>12912.5</v>
      </c>
      <c r="G15" s="645">
        <f>F15+E15</f>
        <v>7828.5</v>
      </c>
      <c r="H15" s="645">
        <v>12912</v>
      </c>
      <c r="I15" s="645">
        <v>12913</v>
      </c>
    </row>
    <row r="16" spans="1:9">
      <c r="A16" s="646"/>
      <c r="B16" s="646" t="s">
        <v>545</v>
      </c>
      <c r="C16" s="646">
        <v>8000</v>
      </c>
    </row>
    <row r="17" spans="1:9">
      <c r="A17" s="646"/>
      <c r="B17" s="646" t="s">
        <v>563</v>
      </c>
      <c r="C17" s="646">
        <v>14007</v>
      </c>
    </row>
    <row r="18" spans="1:9">
      <c r="A18" s="646"/>
      <c r="B18" s="646" t="s">
        <v>562</v>
      </c>
      <c r="C18" s="646">
        <v>2469</v>
      </c>
    </row>
    <row r="19" spans="1:9">
      <c r="A19" s="646"/>
      <c r="B19" s="646"/>
      <c r="C19" s="646"/>
    </row>
    <row r="20" spans="1:9">
      <c r="A20" s="647" t="s">
        <v>3</v>
      </c>
      <c r="B20" s="646"/>
      <c r="C20" s="646"/>
    </row>
    <row r="21" spans="1:9">
      <c r="A21" s="646"/>
      <c r="B21" s="646" t="s">
        <v>544</v>
      </c>
      <c r="C21" s="646">
        <v>2225</v>
      </c>
    </row>
    <row r="22" spans="1:9">
      <c r="A22" s="646"/>
      <c r="B22" s="648" t="s">
        <v>533</v>
      </c>
      <c r="C22" s="648">
        <v>28375</v>
      </c>
      <c r="F22" s="645">
        <f>C22/2</f>
        <v>14187.5</v>
      </c>
      <c r="G22" s="645">
        <f>C22-F22</f>
        <v>14187.5</v>
      </c>
      <c r="H22" s="645">
        <v>5057</v>
      </c>
      <c r="I22" s="645">
        <v>5058</v>
      </c>
    </row>
    <row r="23" spans="1:9">
      <c r="A23" s="646"/>
      <c r="B23" s="646"/>
      <c r="C23" s="646"/>
    </row>
    <row r="24" spans="1:9">
      <c r="A24" s="647" t="s">
        <v>4</v>
      </c>
      <c r="B24" s="646"/>
      <c r="C24" s="646"/>
    </row>
    <row r="25" spans="1:9">
      <c r="A25" s="646"/>
      <c r="B25" s="646" t="s">
        <v>547</v>
      </c>
      <c r="C25" s="646">
        <v>1625</v>
      </c>
    </row>
    <row r="26" spans="1:9">
      <c r="A26" s="646"/>
      <c r="B26" s="646" t="s">
        <v>540</v>
      </c>
      <c r="C26" s="646">
        <v>1000</v>
      </c>
    </row>
    <row r="27" spans="1:9">
      <c r="A27" s="646"/>
      <c r="B27" s="646" t="s">
        <v>534</v>
      </c>
      <c r="C27" s="646">
        <v>3306</v>
      </c>
    </row>
    <row r="28" spans="1:9">
      <c r="A28" s="646"/>
      <c r="B28" s="648" t="s">
        <v>543</v>
      </c>
      <c r="C28" s="648">
        <v>4409</v>
      </c>
      <c r="E28" s="645">
        <v>2166</v>
      </c>
      <c r="F28" s="645">
        <f>(C28-E28)/2</f>
        <v>1121.5</v>
      </c>
      <c r="G28" s="645">
        <f>F28+E28</f>
        <v>3287.5</v>
      </c>
      <c r="H28" s="645">
        <v>1108</v>
      </c>
      <c r="I28" s="645">
        <v>1109</v>
      </c>
    </row>
    <row r="29" spans="1:9">
      <c r="A29" s="646"/>
      <c r="B29" s="646" t="s">
        <v>542</v>
      </c>
      <c r="C29" s="646">
        <v>5500</v>
      </c>
    </row>
    <row r="30" spans="1:9">
      <c r="A30" s="646"/>
      <c r="B30" s="646"/>
      <c r="C30" s="646"/>
    </row>
    <row r="31" spans="1:9">
      <c r="A31" s="647" t="s">
        <v>5</v>
      </c>
      <c r="B31" s="646"/>
      <c r="C31" s="646"/>
    </row>
    <row r="32" spans="1:9">
      <c r="A32" s="646"/>
      <c r="B32" s="646" t="s">
        <v>547</v>
      </c>
      <c r="C32" s="646">
        <v>2610</v>
      </c>
    </row>
    <row r="33" spans="1:9">
      <c r="A33" s="646"/>
      <c r="B33" s="646" t="s">
        <v>541</v>
      </c>
      <c r="C33" s="646">
        <v>700</v>
      </c>
    </row>
    <row r="34" spans="1:9">
      <c r="A34" s="646"/>
      <c r="B34" s="646" t="s">
        <v>540</v>
      </c>
      <c r="C34" s="646">
        <v>2139</v>
      </c>
    </row>
    <row r="35" spans="1:9">
      <c r="A35" s="646"/>
      <c r="B35" s="646" t="s">
        <v>538</v>
      </c>
      <c r="C35" s="646">
        <v>1181</v>
      </c>
    </row>
    <row r="36" spans="1:9">
      <c r="A36" s="646"/>
      <c r="B36" s="648" t="s">
        <v>533</v>
      </c>
      <c r="C36" s="648">
        <v>4407</v>
      </c>
      <c r="E36" s="645">
        <v>1962</v>
      </c>
      <c r="F36" s="645">
        <f>(C36-E36)/2</f>
        <v>1222.5</v>
      </c>
      <c r="G36" s="645">
        <f>F36+E36</f>
        <v>3184.5</v>
      </c>
      <c r="H36" s="645">
        <v>1211</v>
      </c>
      <c r="I36" s="645">
        <v>1211</v>
      </c>
    </row>
    <row r="37" spans="1:9">
      <c r="A37" s="646"/>
      <c r="B37" s="646"/>
      <c r="C37" s="646"/>
    </row>
    <row r="38" spans="1:9">
      <c r="A38" s="647" t="s">
        <v>6</v>
      </c>
      <c r="B38" s="646"/>
      <c r="C38" s="646"/>
    </row>
    <row r="39" spans="1:9">
      <c r="A39" s="646"/>
      <c r="B39" s="646" t="s">
        <v>561</v>
      </c>
      <c r="C39" s="646">
        <v>4849</v>
      </c>
    </row>
    <row r="40" spans="1:9">
      <c r="A40" s="646"/>
      <c r="B40" s="646" t="s">
        <v>560</v>
      </c>
      <c r="C40" s="646">
        <v>562</v>
      </c>
    </row>
    <row r="41" spans="1:9">
      <c r="A41" s="646"/>
      <c r="B41" s="646" t="s">
        <v>539</v>
      </c>
      <c r="C41" s="646">
        <v>518</v>
      </c>
    </row>
    <row r="42" spans="1:9">
      <c r="A42" s="646"/>
      <c r="B42" s="646" t="s">
        <v>538</v>
      </c>
      <c r="C42" s="646">
        <v>520</v>
      </c>
    </row>
    <row r="43" spans="1:9">
      <c r="A43" s="646"/>
      <c r="B43" s="648" t="s">
        <v>533</v>
      </c>
      <c r="C43" s="648">
        <v>4007</v>
      </c>
      <c r="E43" s="645">
        <v>3209</v>
      </c>
      <c r="F43" s="645">
        <f>(C43-E43)/2</f>
        <v>399</v>
      </c>
      <c r="G43" s="645">
        <f>F43+E43</f>
        <v>3608</v>
      </c>
      <c r="H43" s="645">
        <v>380</v>
      </c>
      <c r="I43" s="645">
        <v>380</v>
      </c>
    </row>
    <row r="44" spans="1:9">
      <c r="A44" s="646"/>
      <c r="B44" s="646"/>
      <c r="C44" s="646"/>
    </row>
    <row r="45" spans="1:9">
      <c r="A45" s="647" t="s">
        <v>7</v>
      </c>
      <c r="B45" s="646"/>
      <c r="C45" s="646"/>
    </row>
    <row r="46" spans="1:9">
      <c r="A46" s="646"/>
      <c r="B46" s="646" t="s">
        <v>534</v>
      </c>
      <c r="C46" s="646">
        <v>3000</v>
      </c>
    </row>
    <row r="47" spans="1:9">
      <c r="A47" s="646"/>
      <c r="B47" s="646" t="s">
        <v>537</v>
      </c>
      <c r="C47" s="646">
        <v>4616</v>
      </c>
    </row>
    <row r="48" spans="1:9">
      <c r="A48" s="646"/>
      <c r="B48" s="648" t="s">
        <v>533</v>
      </c>
      <c r="C48" s="648">
        <v>5814</v>
      </c>
      <c r="E48" s="645">
        <v>2499</v>
      </c>
      <c r="F48" s="645">
        <f>(C48-E48)/2</f>
        <v>1657.5</v>
      </c>
      <c r="G48" s="645">
        <f>F48+E48</f>
        <v>4156.5</v>
      </c>
      <c r="H48" s="645">
        <v>1807</v>
      </c>
      <c r="I48" s="645">
        <v>1807</v>
      </c>
    </row>
    <row r="49" spans="1:9">
      <c r="A49" s="646"/>
      <c r="B49" s="646"/>
      <c r="C49" s="646"/>
    </row>
    <row r="50" spans="1:9">
      <c r="A50" s="647" t="s">
        <v>536</v>
      </c>
      <c r="B50" s="646"/>
      <c r="C50" s="646"/>
    </row>
    <row r="51" spans="1:9">
      <c r="A51" s="646"/>
      <c r="B51" s="646" t="s">
        <v>559</v>
      </c>
      <c r="C51" s="646">
        <v>2288</v>
      </c>
    </row>
    <row r="52" spans="1:9">
      <c r="A52" s="646"/>
      <c r="B52" s="646" t="s">
        <v>535</v>
      </c>
      <c r="C52" s="646">
        <v>1807</v>
      </c>
    </row>
    <row r="53" spans="1:9">
      <c r="A53" s="646"/>
      <c r="B53" s="646" t="s">
        <v>558</v>
      </c>
      <c r="C53" s="646">
        <v>4044</v>
      </c>
    </row>
    <row r="54" spans="1:9">
      <c r="A54" s="646"/>
      <c r="B54" s="646" t="s">
        <v>544</v>
      </c>
      <c r="C54" s="646">
        <v>16000</v>
      </c>
    </row>
    <row r="55" spans="1:9">
      <c r="A55" s="646"/>
      <c r="B55" s="646" t="s">
        <v>534</v>
      </c>
      <c r="C55" s="646">
        <v>12227</v>
      </c>
    </row>
    <row r="56" spans="1:9">
      <c r="A56" s="646"/>
      <c r="B56" s="646" t="s">
        <v>557</v>
      </c>
      <c r="C56" s="646">
        <v>8500</v>
      </c>
    </row>
    <row r="57" spans="1:9">
      <c r="A57" s="646"/>
      <c r="B57" s="646" t="s">
        <v>556</v>
      </c>
      <c r="C57" s="646">
        <v>6854</v>
      </c>
    </row>
    <row r="58" spans="1:9">
      <c r="A58" s="646"/>
      <c r="B58" s="646" t="s">
        <v>532</v>
      </c>
      <c r="C58" s="646">
        <v>2710</v>
      </c>
    </row>
    <row r="59" spans="1:9">
      <c r="B59" s="648" t="s">
        <v>533</v>
      </c>
      <c r="H59" s="645">
        <v>11400</v>
      </c>
      <c r="I59" s="645">
        <v>11400</v>
      </c>
    </row>
  </sheetData>
  <mergeCells count="8">
    <mergeCell ref="H11:I11"/>
    <mergeCell ref="F11:G11"/>
    <mergeCell ref="A1:C1"/>
    <mergeCell ref="A2:C2"/>
    <mergeCell ref="A3:C3"/>
    <mergeCell ref="A4:C4"/>
    <mergeCell ref="A5:C5"/>
    <mergeCell ref="A6:C6"/>
  </mergeCells>
  <printOptions horizontalCentered="1"/>
  <pageMargins left="0.7" right="0.7" top="0.75" bottom="0.75" header="0.3" footer="0.3"/>
  <pageSetup fitToHeight="300" orientation="portrait" r:id="rId1"/>
  <headerFooter>
    <oddFooter>&amp;LSenate Ways and Means Committee</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rgb="FFFF0000"/>
  </sheetPr>
  <dimension ref="A1:I53"/>
  <sheetViews>
    <sheetView workbookViewId="0"/>
  </sheetViews>
  <sheetFormatPr defaultColWidth="15.125" defaultRowHeight="12.75"/>
  <cols>
    <col min="1" max="1" width="27.375" style="661" customWidth="1"/>
    <col min="2" max="2" width="9.625" style="661" bestFit="1" customWidth="1"/>
    <col min="3" max="3" width="8" style="661" customWidth="1"/>
    <col min="4" max="4" width="9.125" style="661" bestFit="1" customWidth="1"/>
    <col min="5" max="5" width="9.25" style="661" bestFit="1" customWidth="1"/>
    <col min="6" max="6" width="9.75" style="661" bestFit="1" customWidth="1"/>
    <col min="7" max="8" width="9.125" style="661" bestFit="1" customWidth="1"/>
    <col min="9" max="9" width="8.625" style="661" bestFit="1" customWidth="1"/>
    <col min="10" max="16384" width="15.125" style="661"/>
  </cols>
  <sheetData>
    <row r="1" spans="1:9" ht="41.25" customHeight="1"/>
    <row r="2" spans="1:9" s="682" customFormat="1">
      <c r="A2" s="2572" t="s">
        <v>297</v>
      </c>
      <c r="B2" s="2572"/>
      <c r="C2" s="2572"/>
      <c r="D2" s="2572"/>
      <c r="E2" s="2572"/>
      <c r="F2" s="2572"/>
      <c r="G2" s="2572"/>
      <c r="H2" s="2572"/>
      <c r="I2" s="2572"/>
    </row>
    <row r="3" spans="1:9" s="663" customFormat="1">
      <c r="A3" s="2573" t="s">
        <v>600</v>
      </c>
      <c r="B3" s="2573"/>
      <c r="C3" s="2573"/>
      <c r="D3" s="2573"/>
      <c r="E3" s="2573"/>
      <c r="F3" s="2573"/>
      <c r="G3" s="2573"/>
      <c r="H3" s="2573"/>
      <c r="I3" s="2573"/>
    </row>
    <row r="4" spans="1:9" s="682" customFormat="1" ht="15.75">
      <c r="A4" s="2572" t="s">
        <v>593</v>
      </c>
      <c r="B4" s="2572"/>
      <c r="C4" s="2572"/>
      <c r="D4" s="2572"/>
      <c r="E4" s="2572"/>
      <c r="F4" s="2572"/>
      <c r="G4" s="2572"/>
      <c r="H4" s="2572"/>
      <c r="I4" s="2572"/>
    </row>
    <row r="5" spans="1:9" s="663" customFormat="1">
      <c r="A5" s="796"/>
      <c r="B5" s="796"/>
      <c r="C5" s="796"/>
      <c r="D5" s="796"/>
      <c r="E5" s="796"/>
      <c r="F5" s="796"/>
      <c r="G5" s="796"/>
      <c r="I5" s="796"/>
    </row>
    <row r="6" spans="1:9" s="682" customFormat="1" ht="15.75">
      <c r="A6" s="795"/>
      <c r="B6" s="2574" t="s">
        <v>592</v>
      </c>
      <c r="C6" s="2575"/>
      <c r="D6" s="2575"/>
      <c r="E6" s="2575"/>
      <c r="F6" s="2576"/>
      <c r="G6" s="794"/>
      <c r="H6" s="2577" t="s">
        <v>77</v>
      </c>
      <c r="I6" s="2578"/>
    </row>
    <row r="7" spans="1:9" s="682" customFormat="1">
      <c r="A7" s="793" t="s">
        <v>485</v>
      </c>
      <c r="B7" s="750" t="s">
        <v>586</v>
      </c>
      <c r="C7" s="792" t="s">
        <v>585</v>
      </c>
      <c r="D7" s="750" t="s">
        <v>584</v>
      </c>
      <c r="E7" s="792" t="s">
        <v>583</v>
      </c>
      <c r="F7" s="749" t="s">
        <v>465</v>
      </c>
      <c r="G7" s="748" t="s">
        <v>188</v>
      </c>
      <c r="H7" s="791" t="s">
        <v>464</v>
      </c>
      <c r="I7" s="790"/>
    </row>
    <row r="8" spans="1:9" s="682" customFormat="1" ht="13.5" thickBot="1">
      <c r="A8" s="789" t="s">
        <v>310</v>
      </c>
      <c r="B8" s="750" t="s">
        <v>311</v>
      </c>
      <c r="C8" s="788" t="s">
        <v>484</v>
      </c>
      <c r="D8" s="787" t="s">
        <v>311</v>
      </c>
      <c r="E8" s="788" t="s">
        <v>483</v>
      </c>
      <c r="F8" s="787" t="s">
        <v>506</v>
      </c>
      <c r="G8" s="786" t="s">
        <v>506</v>
      </c>
      <c r="H8" s="785" t="s">
        <v>315</v>
      </c>
      <c r="I8" s="784" t="s">
        <v>316</v>
      </c>
    </row>
    <row r="9" spans="1:9" s="682" customFormat="1" ht="13.5" thickTop="1">
      <c r="A9" s="783" t="s">
        <v>2</v>
      </c>
      <c r="B9" s="782" t="s">
        <v>451</v>
      </c>
      <c r="C9" s="781">
        <f>C10+C11+C12</f>
        <v>42238.380000000005</v>
      </c>
      <c r="D9" s="781">
        <f>D10+D11+D12</f>
        <v>41419.089999999997</v>
      </c>
      <c r="E9" s="781">
        <f>E10+E11+E12</f>
        <v>39170.18</v>
      </c>
      <c r="F9" s="781">
        <f>F10+F11+F12</f>
        <v>40942.549999999996</v>
      </c>
      <c r="G9" s="780">
        <v>36546</v>
      </c>
      <c r="H9" s="779">
        <f t="shared" ref="H9:H21" si="0">F9-G9</f>
        <v>4396.5499999999956</v>
      </c>
      <c r="I9" s="778">
        <f t="shared" ref="I9:I21" si="1">H9/G9</f>
        <v>0.12030181141574989</v>
      </c>
    </row>
    <row r="10" spans="1:9" s="694" customFormat="1" ht="14.25">
      <c r="A10" s="772" t="s">
        <v>591</v>
      </c>
      <c r="B10" s="769" t="s">
        <v>451</v>
      </c>
      <c r="C10" s="699">
        <f>37171.68+41.93</f>
        <v>37213.61</v>
      </c>
      <c r="D10" s="699">
        <f>36381.53+47.7</f>
        <v>36429.229999999996</v>
      </c>
      <c r="E10" s="699">
        <f>34238.68+40.5</f>
        <v>34279.18</v>
      </c>
      <c r="F10" s="699">
        <f>(C10+D10+E10)/3</f>
        <v>35974.006666666661</v>
      </c>
      <c r="G10" s="777">
        <v>32087</v>
      </c>
      <c r="H10" s="714">
        <f t="shared" si="0"/>
        <v>3887.0066666666607</v>
      </c>
      <c r="I10" s="766">
        <f t="shared" si="1"/>
        <v>0.12113961001859509</v>
      </c>
    </row>
    <row r="11" spans="1:9" s="694" customFormat="1">
      <c r="A11" s="772" t="s">
        <v>479</v>
      </c>
      <c r="B11" s="769" t="s">
        <v>451</v>
      </c>
      <c r="C11" s="699">
        <v>2360.8000000000002</v>
      </c>
      <c r="D11" s="699">
        <v>2316.13</v>
      </c>
      <c r="E11" s="699">
        <v>2342.87</v>
      </c>
      <c r="F11" s="699">
        <f>(C11+D11+E11)/3</f>
        <v>2339.9333333333334</v>
      </c>
      <c r="G11" s="777">
        <v>2045</v>
      </c>
      <c r="H11" s="714">
        <f t="shared" si="0"/>
        <v>294.93333333333339</v>
      </c>
      <c r="I11" s="766">
        <f t="shared" si="1"/>
        <v>0.14422167889160556</v>
      </c>
    </row>
    <row r="12" spans="1:9" s="694" customFormat="1">
      <c r="A12" s="772" t="s">
        <v>478</v>
      </c>
      <c r="B12" s="769" t="s">
        <v>451</v>
      </c>
      <c r="C12" s="699">
        <v>2663.97</v>
      </c>
      <c r="D12" s="699">
        <v>2673.73</v>
      </c>
      <c r="E12" s="699">
        <v>2548.13</v>
      </c>
      <c r="F12" s="699">
        <f>(C12+D12+E12)/3</f>
        <v>2628.61</v>
      </c>
      <c r="G12" s="777">
        <v>2414</v>
      </c>
      <c r="H12" s="714">
        <f t="shared" si="0"/>
        <v>214.61000000000013</v>
      </c>
      <c r="I12" s="766">
        <f t="shared" si="1"/>
        <v>8.8902236951118527E-2</v>
      </c>
    </row>
    <row r="13" spans="1:9" s="682" customFormat="1">
      <c r="A13" s="762" t="s">
        <v>590</v>
      </c>
      <c r="B13" s="761" t="s">
        <v>451</v>
      </c>
      <c r="C13" s="775">
        <f>C14+C15+C16</f>
        <v>24760.199999999997</v>
      </c>
      <c r="D13" s="761"/>
      <c r="E13" s="776">
        <f>E14+E15+E16</f>
        <v>23224.54</v>
      </c>
      <c r="F13" s="775">
        <f>F14+F15+F16</f>
        <v>23992.370000000003</v>
      </c>
      <c r="G13" s="774">
        <f>G14+G15+G16</f>
        <v>22250</v>
      </c>
      <c r="H13" s="773">
        <f t="shared" si="0"/>
        <v>1742.3700000000026</v>
      </c>
      <c r="I13" s="707">
        <f t="shared" si="1"/>
        <v>7.830876404494394E-2</v>
      </c>
    </row>
    <row r="14" spans="1:9" s="694" customFormat="1">
      <c r="A14" s="770" t="s">
        <v>589</v>
      </c>
      <c r="B14" s="769" t="s">
        <v>451</v>
      </c>
      <c r="C14" s="699">
        <f>19943.1+1397.3</f>
        <v>21340.399999999998</v>
      </c>
      <c r="D14" s="769"/>
      <c r="E14" s="699">
        <f>18598.9+1291.17</f>
        <v>19890.07</v>
      </c>
      <c r="F14" s="768">
        <f>(C14+E14)/2</f>
        <v>20615.235000000001</v>
      </c>
      <c r="G14" s="771">
        <v>19272</v>
      </c>
      <c r="H14" s="700">
        <f t="shared" si="0"/>
        <v>1343.2350000000006</v>
      </c>
      <c r="I14" s="766">
        <f t="shared" si="1"/>
        <v>6.9698785803237892E-2</v>
      </c>
    </row>
    <row r="15" spans="1:9" s="694" customFormat="1">
      <c r="A15" s="772" t="s">
        <v>474</v>
      </c>
      <c r="B15" s="769" t="s">
        <v>451</v>
      </c>
      <c r="C15" s="699">
        <v>1085.5999999999999</v>
      </c>
      <c r="D15" s="769"/>
      <c r="E15" s="699">
        <v>1075.8</v>
      </c>
      <c r="F15" s="768">
        <f>(C15+E15)/2</f>
        <v>1080.6999999999998</v>
      </c>
      <c r="G15" s="771">
        <v>865</v>
      </c>
      <c r="H15" s="700">
        <f t="shared" si="0"/>
        <v>215.69999999999982</v>
      </c>
      <c r="I15" s="766">
        <f t="shared" si="1"/>
        <v>0.24936416184971077</v>
      </c>
    </row>
    <row r="16" spans="1:9" s="694" customFormat="1">
      <c r="A16" s="770" t="s">
        <v>473</v>
      </c>
      <c r="B16" s="769" t="s">
        <v>451</v>
      </c>
      <c r="C16" s="699">
        <v>2334.1999999999998</v>
      </c>
      <c r="D16" s="769"/>
      <c r="E16" s="699">
        <v>2258.67</v>
      </c>
      <c r="F16" s="768">
        <f>(C16+E16)/2</f>
        <v>2296.4349999999999</v>
      </c>
      <c r="G16" s="767">
        <v>2113</v>
      </c>
      <c r="H16" s="700">
        <f t="shared" si="0"/>
        <v>183.43499999999995</v>
      </c>
      <c r="I16" s="766">
        <f t="shared" si="1"/>
        <v>8.6812588736393734E-2</v>
      </c>
    </row>
    <row r="17" spans="1:9" s="682" customFormat="1" ht="17.25" customHeight="1">
      <c r="A17" s="763" t="s">
        <v>5</v>
      </c>
      <c r="B17" s="761" t="s">
        <v>451</v>
      </c>
      <c r="C17" s="720">
        <v>10130.469999999999</v>
      </c>
      <c r="D17" s="765">
        <v>9652.4</v>
      </c>
      <c r="E17" s="765">
        <v>9234.9699999999993</v>
      </c>
      <c r="F17" s="764">
        <f>SUM(C17+D17+E17)/3</f>
        <v>9672.6133333333328</v>
      </c>
      <c r="G17" s="759">
        <v>8469</v>
      </c>
      <c r="H17" s="708">
        <f t="shared" si="0"/>
        <v>1203.6133333333328</v>
      </c>
      <c r="I17" s="707">
        <f t="shared" si="1"/>
        <v>0.14211988821978189</v>
      </c>
    </row>
    <row r="18" spans="1:9" s="682" customFormat="1">
      <c r="A18" s="763" t="s">
        <v>4</v>
      </c>
      <c r="B18" s="761" t="s">
        <v>451</v>
      </c>
      <c r="C18" s="720">
        <v>9971.2999999999993</v>
      </c>
      <c r="D18" s="760">
        <v>9523.27</v>
      </c>
      <c r="E18" s="760">
        <v>8962.8700000000008</v>
      </c>
      <c r="F18" s="764">
        <f>SUM(C18+D18+E18)/3</f>
        <v>9485.8133333333335</v>
      </c>
      <c r="G18" s="759">
        <v>8477</v>
      </c>
      <c r="H18" s="708">
        <f t="shared" si="0"/>
        <v>1008.8133333333335</v>
      </c>
      <c r="I18" s="707">
        <f t="shared" si="1"/>
        <v>0.1190059376351697</v>
      </c>
    </row>
    <row r="19" spans="1:9" s="682" customFormat="1">
      <c r="A19" s="763" t="s">
        <v>6</v>
      </c>
      <c r="B19" s="710">
        <v>46</v>
      </c>
      <c r="C19" s="720">
        <v>4868.7700000000004</v>
      </c>
      <c r="D19" s="760">
        <v>4558.03</v>
      </c>
      <c r="E19" s="760">
        <v>4315.47</v>
      </c>
      <c r="F19" s="760">
        <f>(B19+C19+D19+E19)/3</f>
        <v>4596.09</v>
      </c>
      <c r="G19" s="759">
        <v>4213</v>
      </c>
      <c r="H19" s="708">
        <f t="shared" si="0"/>
        <v>383.09000000000015</v>
      </c>
      <c r="I19" s="707">
        <f t="shared" si="1"/>
        <v>9.0930453358651825E-2</v>
      </c>
    </row>
    <row r="20" spans="1:9" s="682" customFormat="1" ht="13.5" thickBot="1">
      <c r="A20" s="762" t="s">
        <v>7</v>
      </c>
      <c r="B20" s="761" t="s">
        <v>451</v>
      </c>
      <c r="C20" s="720">
        <v>12969.7</v>
      </c>
      <c r="D20" s="760">
        <v>12585.7</v>
      </c>
      <c r="E20" s="760">
        <v>11870.17</v>
      </c>
      <c r="F20" s="760">
        <f>SUM(C20+D20+E20)/3</f>
        <v>12475.19</v>
      </c>
      <c r="G20" s="759">
        <v>11373</v>
      </c>
      <c r="H20" s="708">
        <f t="shared" si="0"/>
        <v>1102.1900000000005</v>
      </c>
      <c r="I20" s="758">
        <f t="shared" si="1"/>
        <v>9.6912863800228663E-2</v>
      </c>
    </row>
    <row r="21" spans="1:9" s="682" customFormat="1" ht="13.5" thickTop="1">
      <c r="A21" s="757" t="s">
        <v>472</v>
      </c>
      <c r="B21" s="756">
        <f>B19</f>
        <v>46</v>
      </c>
      <c r="C21" s="756">
        <f>C9+C13+C17+C18+C19+C20</f>
        <v>104938.82</v>
      </c>
      <c r="D21" s="756">
        <f>D9+D13+D17+D18+D19+D20</f>
        <v>77738.489999999991</v>
      </c>
      <c r="E21" s="756">
        <f>E9+E13+E17+E18+E19+E20</f>
        <v>96778.2</v>
      </c>
      <c r="F21" s="756">
        <f>F9+F13+F17+F18+F19+F20</f>
        <v>101164.62666666666</v>
      </c>
      <c r="G21" s="756">
        <f>G9+G13+G17+G18+G19+G20</f>
        <v>91328</v>
      </c>
      <c r="H21" s="756">
        <f t="shared" si="0"/>
        <v>9836.6266666666634</v>
      </c>
      <c r="I21" s="755">
        <f t="shared" si="1"/>
        <v>0.10770658140621346</v>
      </c>
    </row>
    <row r="22" spans="1:9" s="682" customFormat="1">
      <c r="A22" s="754"/>
      <c r="B22" s="753"/>
      <c r="C22" s="753"/>
      <c r="D22" s="753"/>
      <c r="E22" s="753"/>
      <c r="F22" s="753"/>
      <c r="G22" s="753"/>
      <c r="H22" s="753"/>
      <c r="I22" s="752"/>
    </row>
    <row r="23" spans="1:9" s="682" customFormat="1">
      <c r="A23" s="2579" t="s">
        <v>588</v>
      </c>
      <c r="B23" s="2584" t="s">
        <v>77</v>
      </c>
      <c r="C23" s="2585"/>
      <c r="D23" s="2585"/>
      <c r="E23" s="2585"/>
      <c r="F23" s="2586"/>
      <c r="G23" s="751"/>
      <c r="H23" s="2582" t="s">
        <v>587</v>
      </c>
      <c r="I23" s="2583"/>
    </row>
    <row r="24" spans="1:9" s="682" customFormat="1">
      <c r="A24" s="2580"/>
      <c r="B24" s="750" t="s">
        <v>586</v>
      </c>
      <c r="C24" s="686" t="s">
        <v>585</v>
      </c>
      <c r="D24" s="750" t="s">
        <v>584</v>
      </c>
      <c r="E24" s="686" t="s">
        <v>583</v>
      </c>
      <c r="F24" s="749" t="s">
        <v>465</v>
      </c>
      <c r="G24" s="748" t="s">
        <v>307</v>
      </c>
      <c r="H24" s="747" t="s">
        <v>464</v>
      </c>
      <c r="I24" s="746"/>
    </row>
    <row r="25" spans="1:9" s="682" customFormat="1" ht="13.5" thickBot="1">
      <c r="A25" s="2581"/>
      <c r="B25" s="745" t="s">
        <v>340</v>
      </c>
      <c r="C25" s="745" t="s">
        <v>340</v>
      </c>
      <c r="D25" s="745" t="s">
        <v>311</v>
      </c>
      <c r="E25" s="744" t="s">
        <v>311</v>
      </c>
      <c r="F25" s="743" t="s">
        <v>506</v>
      </c>
      <c r="G25" s="743" t="s">
        <v>506</v>
      </c>
      <c r="H25" s="742" t="s">
        <v>315</v>
      </c>
      <c r="I25" s="741" t="s">
        <v>316</v>
      </c>
    </row>
    <row r="26" spans="1:9" s="682" customFormat="1" ht="26.25" thickTop="1">
      <c r="A26" s="740" t="s">
        <v>582</v>
      </c>
      <c r="B26" s="739">
        <v>46640</v>
      </c>
      <c r="C26" s="738">
        <v>132043</v>
      </c>
      <c r="D26" s="720">
        <v>133034</v>
      </c>
      <c r="E26" s="736">
        <v>129149</v>
      </c>
      <c r="F26" s="737">
        <f>SUM(B26:E26)/3</f>
        <v>146955.33333333334</v>
      </c>
      <c r="G26" s="736">
        <f>G41-G27-G30-G31-G37</f>
        <v>132367</v>
      </c>
      <c r="H26" s="735">
        <f>F26-G26</f>
        <v>14588.333333333343</v>
      </c>
      <c r="I26" s="707">
        <f>H26/G26</f>
        <v>0.11021125607842848</v>
      </c>
    </row>
    <row r="27" spans="1:9" s="730" customFormat="1">
      <c r="A27" s="734" t="s">
        <v>581</v>
      </c>
      <c r="B27" s="722">
        <f>B28+B29</f>
        <v>5502</v>
      </c>
      <c r="C27" s="733">
        <f>C28+C29</f>
        <v>11208</v>
      </c>
      <c r="D27" s="733">
        <f>D28+D29</f>
        <v>11556</v>
      </c>
      <c r="E27" s="733">
        <f>E28+E29</f>
        <v>11406</v>
      </c>
      <c r="F27" s="718">
        <f>F28+F29</f>
        <v>13224</v>
      </c>
      <c r="G27" s="732">
        <v>6200</v>
      </c>
      <c r="H27" s="731">
        <f>F27-G27</f>
        <v>7024</v>
      </c>
      <c r="I27" s="707">
        <f>H27/G27</f>
        <v>1.1329032258064515</v>
      </c>
    </row>
    <row r="28" spans="1:9" s="723" customFormat="1">
      <c r="A28" s="728" t="s">
        <v>460</v>
      </c>
      <c r="B28" s="727">
        <v>5462</v>
      </c>
      <c r="C28" s="698">
        <v>10656</v>
      </c>
      <c r="D28" s="727">
        <v>11084</v>
      </c>
      <c r="E28" s="726">
        <v>11011</v>
      </c>
      <c r="F28" s="714">
        <f>SUM(B28:E28)/3</f>
        <v>12737.666666666666</v>
      </c>
      <c r="G28" s="729"/>
      <c r="H28" s="724"/>
      <c r="I28" s="707"/>
    </row>
    <row r="29" spans="1:9" s="723" customFormat="1">
      <c r="A29" s="728" t="s">
        <v>459</v>
      </c>
      <c r="B29" s="727">
        <v>40</v>
      </c>
      <c r="C29" s="698">
        <v>552</v>
      </c>
      <c r="D29" s="727">
        <v>472</v>
      </c>
      <c r="E29" s="726">
        <v>395</v>
      </c>
      <c r="F29" s="714">
        <f>SUM(B29:E29)/3</f>
        <v>486.33333333333331</v>
      </c>
      <c r="G29" s="725"/>
      <c r="H29" s="724"/>
      <c r="I29" s="707"/>
    </row>
    <row r="30" spans="1:9" s="682" customFormat="1" ht="15.75">
      <c r="A30" s="711" t="s">
        <v>599</v>
      </c>
      <c r="B30" s="721">
        <v>29</v>
      </c>
      <c r="C30" s="718">
        <v>236</v>
      </c>
      <c r="D30" s="722">
        <v>236</v>
      </c>
      <c r="E30" s="721">
        <v>237</v>
      </c>
      <c r="F30" s="718">
        <f>SUM(B30:E30)/3</f>
        <v>246</v>
      </c>
      <c r="G30" s="720">
        <v>220</v>
      </c>
      <c r="H30" s="720">
        <f>F30-G30</f>
        <v>26</v>
      </c>
      <c r="I30" s="707">
        <f>H30/G30</f>
        <v>0.11818181818181818</v>
      </c>
    </row>
    <row r="31" spans="1:9" s="682" customFormat="1" ht="15.75">
      <c r="A31" s="719" t="s">
        <v>579</v>
      </c>
      <c r="B31" s="710">
        <f>B32+B33+B34+B35+B36</f>
        <v>42.73</v>
      </c>
      <c r="C31" s="710">
        <f>C32+C33+C34+C35+C36</f>
        <v>53.539999999999992</v>
      </c>
      <c r="D31" s="710">
        <f>D32+D33+D34+D35+D36</f>
        <v>66.33</v>
      </c>
      <c r="E31" s="710">
        <f>E32+E33+E34+E35+E36</f>
        <v>68.34</v>
      </c>
      <c r="F31" s="710">
        <f>F32+F33+F34+F35+F36</f>
        <v>76.97999999999999</v>
      </c>
      <c r="G31" s="718">
        <v>165</v>
      </c>
      <c r="H31" s="708">
        <f>F31-G31</f>
        <v>-88.02000000000001</v>
      </c>
      <c r="I31" s="707">
        <f>H31/G31</f>
        <v>-0.53345454545454551</v>
      </c>
    </row>
    <row r="32" spans="1:9" s="694" customFormat="1">
      <c r="A32" s="716" t="s">
        <v>455</v>
      </c>
      <c r="B32" s="701">
        <v>10.4</v>
      </c>
      <c r="C32" s="698">
        <v>23.47</v>
      </c>
      <c r="D32" s="706">
        <v>24.33</v>
      </c>
      <c r="E32" s="706">
        <v>24.47</v>
      </c>
      <c r="F32" s="698">
        <f>(B32+C32+D32+E32)/3</f>
        <v>27.556666666666661</v>
      </c>
      <c r="G32" s="717"/>
      <c r="H32" s="713"/>
      <c r="I32" s="712"/>
    </row>
    <row r="33" spans="1:9" s="694" customFormat="1">
      <c r="A33" s="716" t="s">
        <v>454</v>
      </c>
      <c r="B33" s="701">
        <v>23</v>
      </c>
      <c r="C33" s="698">
        <v>15.27</v>
      </c>
      <c r="D33" s="699">
        <v>25.6</v>
      </c>
      <c r="E33" s="699">
        <v>29.2</v>
      </c>
      <c r="F33" s="698">
        <f>(B33+C33+D33+E33)/3</f>
        <v>31.02333333333333</v>
      </c>
      <c r="G33" s="717"/>
      <c r="H33" s="713"/>
      <c r="I33" s="712"/>
    </row>
    <row r="34" spans="1:9" s="694" customFormat="1">
      <c r="A34" s="716" t="s">
        <v>453</v>
      </c>
      <c r="B34" s="701">
        <v>9.33</v>
      </c>
      <c r="C34" s="698">
        <v>14.8</v>
      </c>
      <c r="D34" s="699">
        <v>16.399999999999999</v>
      </c>
      <c r="E34" s="699">
        <v>14.67</v>
      </c>
      <c r="F34" s="698">
        <f>(B34+C34+D34+E34)/3</f>
        <v>18.400000000000002</v>
      </c>
      <c r="G34" s="717"/>
      <c r="H34" s="713"/>
      <c r="I34" s="712"/>
    </row>
    <row r="35" spans="1:9" s="694" customFormat="1">
      <c r="A35" s="716" t="s">
        <v>578</v>
      </c>
      <c r="B35" s="701"/>
      <c r="C35" s="715"/>
      <c r="D35" s="697"/>
      <c r="E35" s="697"/>
      <c r="F35" s="715"/>
      <c r="G35" s="714">
        <v>30</v>
      </c>
      <c r="H35" s="713"/>
      <c r="I35" s="712"/>
    </row>
    <row r="36" spans="1:9" s="694" customFormat="1">
      <c r="A36" s="716" t="s">
        <v>577</v>
      </c>
      <c r="B36" s="701"/>
      <c r="C36" s="715"/>
      <c r="D36" s="697"/>
      <c r="E36" s="697"/>
      <c r="F36" s="715"/>
      <c r="G36" s="714">
        <v>10</v>
      </c>
      <c r="H36" s="713"/>
      <c r="I36" s="712"/>
    </row>
    <row r="37" spans="1:9" s="682" customFormat="1" ht="15.75">
      <c r="A37" s="711" t="s">
        <v>576</v>
      </c>
      <c r="B37" s="710">
        <f>B38+B39+B40</f>
        <v>103.7</v>
      </c>
      <c r="C37" s="710">
        <f>C38+C39+C40</f>
        <v>249.58999999999997</v>
      </c>
      <c r="D37" s="710">
        <f>D38+D39+D40</f>
        <v>240.37</v>
      </c>
      <c r="E37" s="710">
        <f>E38+E39+E40</f>
        <v>233.67</v>
      </c>
      <c r="F37" s="710">
        <f>F38+F39+F40</f>
        <v>275.77666666666664</v>
      </c>
      <c r="G37" s="709">
        <v>285</v>
      </c>
      <c r="H37" s="708">
        <f>F37-G37</f>
        <v>-9.2233333333333576</v>
      </c>
      <c r="I37" s="707">
        <f>H37/G37</f>
        <v>-3.2362573099415287E-2</v>
      </c>
    </row>
    <row r="38" spans="1:9" s="694" customFormat="1">
      <c r="A38" s="705" t="s">
        <v>93</v>
      </c>
      <c r="B38" s="701">
        <v>10.8</v>
      </c>
      <c r="C38" s="700">
        <v>44.73</v>
      </c>
      <c r="D38" s="706">
        <v>54.1</v>
      </c>
      <c r="E38" s="706">
        <v>60.67</v>
      </c>
      <c r="F38" s="698">
        <f>(B38+C38+D38+E38)/3</f>
        <v>56.766666666666673</v>
      </c>
      <c r="G38" s="697"/>
      <c r="H38" s="704"/>
      <c r="I38" s="703"/>
    </row>
    <row r="39" spans="1:9" s="694" customFormat="1">
      <c r="A39" s="705" t="s">
        <v>96</v>
      </c>
      <c r="B39" s="701">
        <v>0</v>
      </c>
      <c r="C39" s="700">
        <v>4.7300000000000004</v>
      </c>
      <c r="D39" s="699">
        <v>4</v>
      </c>
      <c r="E39" s="699">
        <v>3.33</v>
      </c>
      <c r="F39" s="698">
        <f>(B39+C39+D39+E39)/3</f>
        <v>4.0200000000000005</v>
      </c>
      <c r="G39" s="697"/>
      <c r="H39" s="704"/>
      <c r="I39" s="703"/>
    </row>
    <row r="40" spans="1:9" s="694" customFormat="1" ht="13.5" thickBot="1">
      <c r="A40" s="702" t="s">
        <v>98</v>
      </c>
      <c r="B40" s="701">
        <v>92.9</v>
      </c>
      <c r="C40" s="700">
        <v>200.13</v>
      </c>
      <c r="D40" s="699">
        <v>182.27</v>
      </c>
      <c r="E40" s="699">
        <v>169.67</v>
      </c>
      <c r="F40" s="698">
        <f>(B40+C40+D40+E40)/3</f>
        <v>214.98999999999998</v>
      </c>
      <c r="G40" s="697"/>
      <c r="H40" s="696"/>
      <c r="I40" s="695"/>
    </row>
    <row r="41" spans="1:9" s="688" customFormat="1" ht="16.5" thickTop="1">
      <c r="A41" s="693" t="s">
        <v>575</v>
      </c>
      <c r="B41" s="692">
        <f>B26+B27+B30+B31+B37</f>
        <v>52317.43</v>
      </c>
      <c r="C41" s="692">
        <f>C26+C27+C30+C31+C37</f>
        <v>143790.13</v>
      </c>
      <c r="D41" s="692">
        <f>D26+D27+D30+D31+D37</f>
        <v>145132.69999999998</v>
      </c>
      <c r="E41" s="692">
        <f>E26+E27+E30+E31+E37</f>
        <v>141094.01</v>
      </c>
      <c r="F41" s="692">
        <f>F26+F27+F30+F31+F37</f>
        <v>160778.09000000003</v>
      </c>
      <c r="G41" s="691">
        <v>139237</v>
      </c>
      <c r="H41" s="690">
        <f>F41-G41</f>
        <v>21541.090000000026</v>
      </c>
      <c r="I41" s="689">
        <f>H41/G41</f>
        <v>0.15470808764911645</v>
      </c>
    </row>
    <row r="42" spans="1:9" s="682" customFormat="1" ht="13.5" thickBot="1">
      <c r="A42" s="687"/>
      <c r="B42" s="685"/>
      <c r="C42" s="686"/>
      <c r="D42" s="686"/>
      <c r="E42" s="686"/>
      <c r="F42" s="686"/>
      <c r="G42" s="685"/>
      <c r="H42" s="684"/>
      <c r="I42" s="683"/>
    </row>
    <row r="43" spans="1:9" s="663" customFormat="1" ht="15" thickTop="1" thickBot="1">
      <c r="A43" s="681" t="s">
        <v>448</v>
      </c>
      <c r="B43" s="680"/>
      <c r="C43" s="680"/>
      <c r="D43" s="679"/>
      <c r="E43" s="679"/>
      <c r="F43" s="678">
        <f>F41+F21</f>
        <v>261942.71666666667</v>
      </c>
      <c r="G43" s="678">
        <f>G41+G21</f>
        <v>230565</v>
      </c>
      <c r="H43" s="678">
        <f>H41+H21</f>
        <v>31377.716666666689</v>
      </c>
      <c r="I43" s="677">
        <f>H43/G43</f>
        <v>0.13609054568848997</v>
      </c>
    </row>
    <row r="44" spans="1:9" s="663" customFormat="1" ht="14.25" thickTop="1">
      <c r="A44" s="676"/>
      <c r="B44" s="667"/>
      <c r="C44" s="667"/>
      <c r="D44" s="666"/>
      <c r="E44" s="666"/>
      <c r="F44" s="666"/>
      <c r="G44" s="666"/>
      <c r="H44" s="666"/>
      <c r="I44" s="664"/>
    </row>
    <row r="45" spans="1:9" s="669" customFormat="1">
      <c r="A45" s="675" t="s">
        <v>574</v>
      </c>
      <c r="B45" s="674">
        <v>20</v>
      </c>
      <c r="C45" s="673">
        <v>12690</v>
      </c>
      <c r="D45" s="673">
        <v>12687</v>
      </c>
      <c r="E45" s="673">
        <v>11979</v>
      </c>
      <c r="F45" s="673">
        <f>SUM(B45:E45)/3</f>
        <v>12458.666666666666</v>
      </c>
      <c r="G45" s="672">
        <v>11558</v>
      </c>
      <c r="H45" s="671">
        <f>F45-G45</f>
        <v>900.66666666666606</v>
      </c>
      <c r="I45" s="670">
        <f>H45/G45</f>
        <v>7.7925823383514975E-2</v>
      </c>
    </row>
    <row r="46" spans="1:9" s="663" customFormat="1">
      <c r="A46" s="668"/>
      <c r="B46" s="667"/>
      <c r="C46" s="667"/>
      <c r="D46" s="666"/>
      <c r="E46" s="666"/>
      <c r="F46" s="666"/>
      <c r="G46" s="666"/>
      <c r="H46" s="665"/>
      <c r="I46" s="664"/>
    </row>
    <row r="47" spans="1:9" ht="56.25" customHeight="1">
      <c r="A47" s="2589" t="s">
        <v>447</v>
      </c>
      <c r="B47" s="2589"/>
      <c r="C47" s="2589"/>
      <c r="D47" s="2589"/>
      <c r="E47" s="2589"/>
      <c r="F47" s="2589"/>
      <c r="G47" s="2589"/>
      <c r="H47" s="2589"/>
      <c r="I47" s="2589"/>
    </row>
    <row r="48" spans="1:9" ht="38.25" customHeight="1">
      <c r="A48" s="2588" t="s">
        <v>573</v>
      </c>
      <c r="B48" s="2588"/>
      <c r="C48" s="2588"/>
      <c r="D48" s="2588"/>
      <c r="E48" s="2588"/>
      <c r="F48" s="2588"/>
      <c r="G48" s="2588"/>
      <c r="H48" s="2588"/>
      <c r="I48" s="2588"/>
    </row>
    <row r="49" spans="1:9" ht="27.75" customHeight="1">
      <c r="A49" s="2590" t="s">
        <v>598</v>
      </c>
      <c r="B49" s="2590"/>
      <c r="C49" s="2590"/>
      <c r="D49" s="2590"/>
      <c r="E49" s="2590"/>
      <c r="F49" s="2590"/>
      <c r="G49" s="2590"/>
      <c r="H49" s="2590"/>
      <c r="I49" s="2590"/>
    </row>
    <row r="50" spans="1:9" ht="27.75" customHeight="1">
      <c r="A50" s="2590" t="s">
        <v>572</v>
      </c>
      <c r="B50" s="2590"/>
      <c r="C50" s="2590"/>
      <c r="D50" s="2590"/>
      <c r="E50" s="2590"/>
      <c r="F50" s="2590"/>
      <c r="G50" s="2590"/>
      <c r="H50" s="2590"/>
      <c r="I50" s="2590"/>
    </row>
    <row r="51" spans="1:9" ht="15.75">
      <c r="A51" s="2588" t="s">
        <v>571</v>
      </c>
      <c r="B51" s="2588"/>
      <c r="C51" s="2588"/>
      <c r="D51" s="2588"/>
      <c r="E51" s="2588"/>
      <c r="F51" s="2588"/>
      <c r="G51" s="2588"/>
      <c r="H51" s="2588"/>
      <c r="I51" s="2588"/>
    </row>
    <row r="52" spans="1:9" ht="15.75">
      <c r="A52" s="2587"/>
      <c r="B52" s="2588"/>
      <c r="C52" s="2588"/>
      <c r="D52" s="2588"/>
      <c r="E52" s="2588"/>
      <c r="F52" s="2588"/>
      <c r="G52" s="2588"/>
      <c r="H52" s="2588"/>
      <c r="I52" s="2588"/>
    </row>
    <row r="53" spans="1:9" s="662" customFormat="1">
      <c r="A53" s="2587"/>
      <c r="B53" s="2587"/>
      <c r="C53" s="2587"/>
      <c r="D53" s="2587"/>
      <c r="E53" s="2587"/>
      <c r="F53" s="2587"/>
      <c r="G53" s="2587"/>
      <c r="H53" s="2587"/>
      <c r="I53" s="2587"/>
    </row>
  </sheetData>
  <mergeCells count="15">
    <mergeCell ref="A23:A25"/>
    <mergeCell ref="H23:I23"/>
    <mergeCell ref="B23:F23"/>
    <mergeCell ref="A52:I52"/>
    <mergeCell ref="A53:I53"/>
    <mergeCell ref="A47:I47"/>
    <mergeCell ref="A48:I48"/>
    <mergeCell ref="A49:I49"/>
    <mergeCell ref="A50:I50"/>
    <mergeCell ref="A51:I51"/>
    <mergeCell ref="A2:I2"/>
    <mergeCell ref="A3:I3"/>
    <mergeCell ref="A4:I4"/>
    <mergeCell ref="B6:F6"/>
    <mergeCell ref="H6:I6"/>
  </mergeCells>
  <pageMargins left="0.7" right="0.7" top="0.75" bottom="0.75" header="0.3" footer="0.3"/>
  <pageSetup scale="80"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G202"/>
  <sheetViews>
    <sheetView workbookViewId="0"/>
  </sheetViews>
  <sheetFormatPr defaultRowHeight="12.75"/>
  <cols>
    <col min="1" max="1" width="41.125" style="412" customWidth="1"/>
    <col min="2" max="7" width="8.875" style="412" customWidth="1"/>
    <col min="8" max="16384" width="9" style="412"/>
  </cols>
  <sheetData>
    <row r="1" spans="1:7">
      <c r="A1" s="419" t="s">
        <v>787</v>
      </c>
      <c r="B1" s="419"/>
      <c r="C1" s="419"/>
      <c r="D1" s="419"/>
      <c r="E1" s="419"/>
      <c r="F1" s="419"/>
      <c r="G1" s="419"/>
    </row>
    <row r="2" spans="1:7">
      <c r="A2" s="419" t="s">
        <v>786</v>
      </c>
      <c r="B2" s="419"/>
      <c r="C2" s="419"/>
      <c r="D2" s="419"/>
      <c r="E2" s="419"/>
      <c r="F2" s="419"/>
      <c r="G2" s="419"/>
    </row>
    <row r="3" spans="1:7">
      <c r="A3" s="420" t="s">
        <v>1</v>
      </c>
      <c r="B3" s="420"/>
      <c r="C3" s="420"/>
      <c r="D3" s="420"/>
      <c r="E3" s="420"/>
      <c r="F3" s="420"/>
      <c r="G3" s="420"/>
    </row>
    <row r="5" spans="1:7">
      <c r="B5" s="419" t="s">
        <v>785</v>
      </c>
      <c r="C5" s="419"/>
      <c r="D5" s="419"/>
      <c r="E5" s="419" t="s">
        <v>784</v>
      </c>
      <c r="F5" s="419"/>
      <c r="G5" s="419"/>
    </row>
    <row r="6" spans="1:7">
      <c r="A6" s="416"/>
      <c r="B6" s="814" t="s">
        <v>441</v>
      </c>
      <c r="C6" s="814" t="s">
        <v>440</v>
      </c>
      <c r="D6" s="814" t="s">
        <v>783</v>
      </c>
      <c r="E6" s="814" t="s">
        <v>441</v>
      </c>
      <c r="F6" s="814" t="s">
        <v>440</v>
      </c>
      <c r="G6" s="814" t="s">
        <v>783</v>
      </c>
    </row>
    <row r="7" spans="1:7">
      <c r="B7" s="812"/>
      <c r="C7" s="812"/>
      <c r="D7" s="812"/>
      <c r="E7" s="812"/>
      <c r="F7" s="812"/>
      <c r="G7" s="812"/>
    </row>
    <row r="8" spans="1:7">
      <c r="A8" s="418" t="s">
        <v>780</v>
      </c>
      <c r="B8" s="812">
        <v>76550</v>
      </c>
      <c r="C8" s="812">
        <v>73297</v>
      </c>
      <c r="D8" s="812">
        <v>149847</v>
      </c>
      <c r="E8" s="812">
        <v>0</v>
      </c>
      <c r="F8" s="812">
        <v>0</v>
      </c>
      <c r="G8" s="812">
        <v>0</v>
      </c>
    </row>
    <row r="9" spans="1:7">
      <c r="A9" s="418" t="s">
        <v>770</v>
      </c>
      <c r="B9" s="812">
        <v>114716</v>
      </c>
      <c r="C9" s="812">
        <v>109011</v>
      </c>
      <c r="D9" s="812">
        <v>223727</v>
      </c>
      <c r="E9" s="812">
        <v>0</v>
      </c>
      <c r="F9" s="812">
        <v>0</v>
      </c>
      <c r="G9" s="812">
        <v>0</v>
      </c>
    </row>
    <row r="10" spans="1:7">
      <c r="A10" s="418" t="s">
        <v>760</v>
      </c>
      <c r="B10" s="812">
        <v>237533</v>
      </c>
      <c r="C10" s="812">
        <v>211213</v>
      </c>
      <c r="D10" s="812">
        <v>448746</v>
      </c>
      <c r="E10" s="812">
        <v>0</v>
      </c>
      <c r="F10" s="812">
        <v>0</v>
      </c>
      <c r="G10" s="812">
        <v>0</v>
      </c>
    </row>
    <row r="11" spans="1:7">
      <c r="A11" s="418" t="s">
        <v>735</v>
      </c>
      <c r="B11" s="812">
        <v>1078611</v>
      </c>
      <c r="C11" s="812">
        <v>1026313</v>
      </c>
      <c r="D11" s="812">
        <v>2104924</v>
      </c>
      <c r="E11" s="812">
        <v>0</v>
      </c>
      <c r="F11" s="812">
        <v>0</v>
      </c>
      <c r="G11" s="812">
        <v>0</v>
      </c>
    </row>
    <row r="12" spans="1:7">
      <c r="A12" s="418" t="s">
        <v>721</v>
      </c>
      <c r="B12" s="812">
        <v>4302566</v>
      </c>
      <c r="C12" s="812">
        <v>4257113</v>
      </c>
      <c r="D12" s="812">
        <v>8559679</v>
      </c>
      <c r="E12" s="812">
        <v>0</v>
      </c>
      <c r="F12" s="812">
        <v>0</v>
      </c>
      <c r="G12" s="812">
        <v>0</v>
      </c>
    </row>
    <row r="13" spans="1:7">
      <c r="A13" s="418" t="s">
        <v>706</v>
      </c>
      <c r="B13" s="812">
        <v>197867</v>
      </c>
      <c r="C13" s="812">
        <v>160544</v>
      </c>
      <c r="D13" s="812">
        <v>358411</v>
      </c>
      <c r="E13" s="812">
        <v>0</v>
      </c>
      <c r="F13" s="812">
        <v>0</v>
      </c>
      <c r="G13" s="812">
        <v>0</v>
      </c>
    </row>
    <row r="14" spans="1:7">
      <c r="A14" s="418" t="s">
        <v>694</v>
      </c>
      <c r="B14" s="812">
        <v>40413</v>
      </c>
      <c r="C14" s="812">
        <v>34614</v>
      </c>
      <c r="D14" s="812">
        <v>75027</v>
      </c>
      <c r="E14" s="812">
        <v>0</v>
      </c>
      <c r="F14" s="812">
        <v>0</v>
      </c>
      <c r="G14" s="812">
        <v>0</v>
      </c>
    </row>
    <row r="15" spans="1:7">
      <c r="A15" s="418" t="s">
        <v>690</v>
      </c>
      <c r="B15" s="812">
        <v>6512293</v>
      </c>
      <c r="C15" s="812">
        <v>6467348</v>
      </c>
      <c r="D15" s="812">
        <v>12979641</v>
      </c>
      <c r="E15" s="812">
        <v>0</v>
      </c>
      <c r="F15" s="812">
        <v>0</v>
      </c>
      <c r="G15" s="812">
        <v>0</v>
      </c>
    </row>
    <row r="16" spans="1:7">
      <c r="A16" s="418" t="s">
        <v>177</v>
      </c>
      <c r="B16" s="812">
        <v>1395807</v>
      </c>
      <c r="C16" s="812">
        <v>1268640</v>
      </c>
      <c r="D16" s="812">
        <v>2664447</v>
      </c>
      <c r="E16" s="812">
        <v>882268</v>
      </c>
      <c r="F16" s="812">
        <v>976926</v>
      </c>
      <c r="G16" s="812">
        <v>1859194</v>
      </c>
    </row>
    <row r="17" spans="1:7">
      <c r="A17" s="418" t="s">
        <v>675</v>
      </c>
      <c r="B17" s="812">
        <v>82408</v>
      </c>
      <c r="C17" s="812">
        <v>39528</v>
      </c>
      <c r="D17" s="812">
        <v>121936</v>
      </c>
      <c r="E17" s="812">
        <v>0</v>
      </c>
      <c r="F17" s="812">
        <v>0</v>
      </c>
      <c r="G17" s="812">
        <v>0</v>
      </c>
    </row>
    <row r="18" spans="1:7">
      <c r="A18" s="418" t="s">
        <v>666</v>
      </c>
      <c r="B18" s="810">
        <v>996719</v>
      </c>
      <c r="C18" s="810">
        <v>1059730</v>
      </c>
      <c r="D18" s="810">
        <v>2056449</v>
      </c>
      <c r="E18" s="810">
        <v>0</v>
      </c>
      <c r="F18" s="810">
        <v>0</v>
      </c>
      <c r="G18" s="810">
        <v>0</v>
      </c>
    </row>
    <row r="19" spans="1:7">
      <c r="A19" s="417" t="s">
        <v>782</v>
      </c>
      <c r="B19" s="808">
        <v>15035483</v>
      </c>
      <c r="C19" s="808">
        <v>14707351</v>
      </c>
      <c r="D19" s="808">
        <v>29742834</v>
      </c>
      <c r="E19" s="808">
        <v>882268</v>
      </c>
      <c r="F19" s="808">
        <v>976926</v>
      </c>
      <c r="G19" s="808">
        <v>1859194</v>
      </c>
    </row>
    <row r="20" spans="1:7">
      <c r="B20" s="812"/>
      <c r="C20" s="812"/>
      <c r="D20" s="812"/>
      <c r="E20" s="812"/>
      <c r="F20" s="812"/>
      <c r="G20" s="812"/>
    </row>
    <row r="21" spans="1:7">
      <c r="A21" s="418" t="s">
        <v>781</v>
      </c>
      <c r="B21" s="812">
        <v>80</v>
      </c>
      <c r="C21" s="812">
        <v>80</v>
      </c>
      <c r="D21" s="812">
        <v>160</v>
      </c>
      <c r="E21" s="812">
        <v>0</v>
      </c>
      <c r="F21" s="812">
        <v>0</v>
      </c>
      <c r="G21" s="812">
        <v>0</v>
      </c>
    </row>
    <row r="22" spans="1:7">
      <c r="B22" s="812"/>
      <c r="C22" s="812"/>
      <c r="D22" s="812"/>
      <c r="E22" s="812"/>
      <c r="F22" s="812"/>
      <c r="G22" s="812"/>
    </row>
    <row r="23" spans="1:7">
      <c r="A23" s="417" t="s">
        <v>362</v>
      </c>
      <c r="B23" s="808">
        <v>15035563</v>
      </c>
      <c r="C23" s="808">
        <v>14707431</v>
      </c>
      <c r="D23" s="808">
        <v>29742994</v>
      </c>
      <c r="E23" s="808">
        <v>882268</v>
      </c>
      <c r="F23" s="808">
        <v>976926</v>
      </c>
      <c r="G23" s="808">
        <v>1859194</v>
      </c>
    </row>
    <row r="24" spans="1:7">
      <c r="A24" s="807"/>
      <c r="B24" s="812"/>
      <c r="C24" s="812"/>
      <c r="D24" s="812"/>
      <c r="E24" s="812"/>
      <c r="F24" s="812"/>
      <c r="G24" s="812"/>
    </row>
    <row r="25" spans="1:7">
      <c r="A25" s="807"/>
      <c r="B25" s="812"/>
      <c r="C25" s="812"/>
      <c r="D25" s="812"/>
      <c r="E25" s="812"/>
      <c r="F25" s="812"/>
      <c r="G25" s="812"/>
    </row>
    <row r="26" spans="1:7">
      <c r="A26" s="813" t="s">
        <v>780</v>
      </c>
      <c r="B26" s="812"/>
      <c r="C26" s="812"/>
      <c r="D26" s="812"/>
      <c r="E26" s="812"/>
      <c r="F26" s="812"/>
      <c r="G26" s="812"/>
    </row>
    <row r="27" spans="1:7">
      <c r="A27" s="811" t="s">
        <v>779</v>
      </c>
      <c r="B27" s="812">
        <v>33505</v>
      </c>
      <c r="C27" s="812">
        <v>30934</v>
      </c>
      <c r="D27" s="812">
        <v>64439</v>
      </c>
      <c r="E27" s="812">
        <v>0</v>
      </c>
      <c r="F27" s="812">
        <v>0</v>
      </c>
      <c r="G27" s="812">
        <v>0</v>
      </c>
    </row>
    <row r="28" spans="1:7">
      <c r="A28" s="811" t="s">
        <v>778</v>
      </c>
      <c r="B28" s="812">
        <v>24960</v>
      </c>
      <c r="C28" s="812">
        <v>24020</v>
      </c>
      <c r="D28" s="812">
        <v>48980</v>
      </c>
      <c r="E28" s="812">
        <v>0</v>
      </c>
      <c r="F28" s="812">
        <v>0</v>
      </c>
      <c r="G28" s="812">
        <v>0</v>
      </c>
    </row>
    <row r="29" spans="1:7">
      <c r="A29" s="811" t="s">
        <v>777</v>
      </c>
      <c r="B29" s="812">
        <v>2874</v>
      </c>
      <c r="C29" s="812">
        <v>2954</v>
      </c>
      <c r="D29" s="812">
        <v>5828</v>
      </c>
      <c r="E29" s="812">
        <v>0</v>
      </c>
      <c r="F29" s="812">
        <v>0</v>
      </c>
      <c r="G29" s="812">
        <v>0</v>
      </c>
    </row>
    <row r="30" spans="1:7">
      <c r="A30" s="811" t="s">
        <v>776</v>
      </c>
      <c r="B30" s="812">
        <v>1748</v>
      </c>
      <c r="C30" s="812">
        <v>1796</v>
      </c>
      <c r="D30" s="812">
        <v>3544</v>
      </c>
      <c r="E30" s="812">
        <v>0</v>
      </c>
      <c r="F30" s="812">
        <v>0</v>
      </c>
      <c r="G30" s="812">
        <v>0</v>
      </c>
    </row>
    <row r="31" spans="1:7">
      <c r="A31" s="811" t="s">
        <v>775</v>
      </c>
      <c r="B31" s="812">
        <v>200</v>
      </c>
      <c r="C31" s="812">
        <v>19</v>
      </c>
      <c r="D31" s="812">
        <v>219</v>
      </c>
      <c r="E31" s="812">
        <v>0</v>
      </c>
      <c r="F31" s="812">
        <v>0</v>
      </c>
      <c r="G31" s="812">
        <v>0</v>
      </c>
    </row>
    <row r="32" spans="1:7">
      <c r="A32" s="811" t="s">
        <v>774</v>
      </c>
      <c r="B32" s="812">
        <v>8652</v>
      </c>
      <c r="C32" s="812">
        <v>7971</v>
      </c>
      <c r="D32" s="812">
        <v>16623</v>
      </c>
      <c r="E32" s="812">
        <v>0</v>
      </c>
      <c r="F32" s="812">
        <v>0</v>
      </c>
      <c r="G32" s="812">
        <v>0</v>
      </c>
    </row>
    <row r="33" spans="1:7">
      <c r="A33" s="811" t="s">
        <v>773</v>
      </c>
      <c r="B33" s="812">
        <v>4611</v>
      </c>
      <c r="C33" s="812">
        <v>4558</v>
      </c>
      <c r="D33" s="812">
        <v>9169</v>
      </c>
      <c r="E33" s="812">
        <v>0</v>
      </c>
      <c r="F33" s="812">
        <v>0</v>
      </c>
      <c r="G33" s="812">
        <v>0</v>
      </c>
    </row>
    <row r="34" spans="1:7">
      <c r="A34" s="811" t="s">
        <v>772</v>
      </c>
      <c r="B34" s="810">
        <v>0</v>
      </c>
      <c r="C34" s="810">
        <v>1045</v>
      </c>
      <c r="D34" s="810">
        <v>1045</v>
      </c>
      <c r="E34" s="810">
        <v>0</v>
      </c>
      <c r="F34" s="810">
        <v>0</v>
      </c>
      <c r="G34" s="810">
        <v>0</v>
      </c>
    </row>
    <row r="35" spans="1:7">
      <c r="A35" s="809" t="s">
        <v>771</v>
      </c>
      <c r="B35" s="808">
        <v>76550</v>
      </c>
      <c r="C35" s="808">
        <v>73297</v>
      </c>
      <c r="D35" s="808">
        <v>149847</v>
      </c>
      <c r="E35" s="808">
        <v>0</v>
      </c>
      <c r="F35" s="808">
        <v>0</v>
      </c>
      <c r="G35" s="808">
        <v>0</v>
      </c>
    </row>
    <row r="36" spans="1:7">
      <c r="A36" s="807"/>
      <c r="B36" s="812"/>
      <c r="C36" s="812"/>
      <c r="D36" s="812"/>
      <c r="E36" s="812"/>
      <c r="F36" s="812"/>
      <c r="G36" s="812"/>
    </row>
    <row r="37" spans="1:7">
      <c r="A37" s="813" t="s">
        <v>770</v>
      </c>
      <c r="B37" s="812"/>
      <c r="C37" s="812"/>
      <c r="D37" s="812"/>
      <c r="E37" s="812"/>
      <c r="F37" s="812"/>
      <c r="G37" s="812"/>
    </row>
    <row r="38" spans="1:7">
      <c r="A38" s="811" t="s">
        <v>769</v>
      </c>
      <c r="B38" s="812">
        <v>6912</v>
      </c>
      <c r="C38" s="812">
        <v>6844</v>
      </c>
      <c r="D38" s="812">
        <v>13756</v>
      </c>
      <c r="E38" s="812">
        <v>0</v>
      </c>
      <c r="F38" s="812">
        <v>0</v>
      </c>
      <c r="G38" s="812">
        <v>0</v>
      </c>
    </row>
    <row r="39" spans="1:7">
      <c r="A39" s="811" t="s">
        <v>768</v>
      </c>
      <c r="B39" s="812">
        <v>1925</v>
      </c>
      <c r="C39" s="812">
        <v>1592</v>
      </c>
      <c r="D39" s="812">
        <v>3517</v>
      </c>
      <c r="E39" s="812">
        <v>0</v>
      </c>
      <c r="F39" s="812">
        <v>0</v>
      </c>
      <c r="G39" s="812">
        <v>0</v>
      </c>
    </row>
    <row r="40" spans="1:7">
      <c r="A40" s="811" t="s">
        <v>767</v>
      </c>
      <c r="B40" s="812">
        <v>15632</v>
      </c>
      <c r="C40" s="812">
        <v>15517</v>
      </c>
      <c r="D40" s="812">
        <v>31149</v>
      </c>
      <c r="E40" s="812">
        <v>0</v>
      </c>
      <c r="F40" s="812">
        <v>0</v>
      </c>
      <c r="G40" s="812">
        <v>0</v>
      </c>
    </row>
    <row r="41" spans="1:7">
      <c r="A41" s="811" t="s">
        <v>766</v>
      </c>
      <c r="B41" s="812">
        <v>1043</v>
      </c>
      <c r="C41" s="812">
        <v>1064</v>
      </c>
      <c r="D41" s="812">
        <v>2107</v>
      </c>
      <c r="E41" s="812">
        <v>0</v>
      </c>
      <c r="F41" s="812">
        <v>0</v>
      </c>
      <c r="G41" s="812">
        <v>0</v>
      </c>
    </row>
    <row r="42" spans="1:7">
      <c r="A42" s="811" t="s">
        <v>765</v>
      </c>
      <c r="B42" s="812">
        <v>52644</v>
      </c>
      <c r="C42" s="812">
        <v>49260</v>
      </c>
      <c r="D42" s="812">
        <v>101904</v>
      </c>
      <c r="E42" s="812">
        <v>0</v>
      </c>
      <c r="F42" s="812">
        <v>0</v>
      </c>
      <c r="G42" s="812">
        <v>0</v>
      </c>
    </row>
    <row r="43" spans="1:7">
      <c r="A43" s="811" t="s">
        <v>764</v>
      </c>
      <c r="B43" s="812">
        <v>25385</v>
      </c>
      <c r="C43" s="812">
        <v>24288</v>
      </c>
      <c r="D43" s="812">
        <v>49673</v>
      </c>
      <c r="E43" s="812">
        <v>0</v>
      </c>
      <c r="F43" s="812">
        <v>0</v>
      </c>
      <c r="G43" s="812">
        <v>0</v>
      </c>
    </row>
    <row r="44" spans="1:7">
      <c r="A44" s="811" t="s">
        <v>763</v>
      </c>
      <c r="B44" s="810">
        <v>11175</v>
      </c>
      <c r="C44" s="810">
        <v>10446</v>
      </c>
      <c r="D44" s="810">
        <v>21621</v>
      </c>
      <c r="E44" s="810">
        <v>0</v>
      </c>
      <c r="F44" s="810">
        <v>0</v>
      </c>
      <c r="G44" s="810">
        <v>0</v>
      </c>
    </row>
    <row r="45" spans="1:7">
      <c r="A45" s="809" t="s">
        <v>762</v>
      </c>
      <c r="B45" s="808">
        <v>114716</v>
      </c>
      <c r="C45" s="808">
        <v>109011</v>
      </c>
      <c r="D45" s="808">
        <v>223727</v>
      </c>
      <c r="E45" s="808">
        <v>0</v>
      </c>
      <c r="F45" s="808">
        <v>0</v>
      </c>
      <c r="G45" s="808">
        <v>0</v>
      </c>
    </row>
    <row r="46" spans="1:7">
      <c r="A46" s="807"/>
      <c r="B46" s="812"/>
      <c r="C46" s="812"/>
      <c r="D46" s="812"/>
      <c r="E46" s="812"/>
      <c r="F46" s="812"/>
      <c r="G46" s="812"/>
    </row>
    <row r="47" spans="1:7">
      <c r="A47" s="809" t="s">
        <v>761</v>
      </c>
      <c r="B47" s="808">
        <v>191266</v>
      </c>
      <c r="C47" s="808">
        <v>182308</v>
      </c>
      <c r="D47" s="808">
        <v>373574</v>
      </c>
      <c r="E47" s="808">
        <v>0</v>
      </c>
      <c r="F47" s="808">
        <v>0</v>
      </c>
      <c r="G47" s="808">
        <v>0</v>
      </c>
    </row>
    <row r="48" spans="1:7">
      <c r="A48" s="807"/>
      <c r="B48" s="812"/>
      <c r="C48" s="812"/>
      <c r="D48" s="812"/>
      <c r="E48" s="812"/>
      <c r="F48" s="812"/>
      <c r="G48" s="812"/>
    </row>
    <row r="49" spans="1:7">
      <c r="A49" s="807"/>
      <c r="B49" s="812"/>
      <c r="C49" s="812"/>
      <c r="D49" s="812"/>
      <c r="E49" s="812"/>
      <c r="F49" s="812"/>
      <c r="G49" s="812"/>
    </row>
    <row r="50" spans="1:7">
      <c r="A50" s="813" t="s">
        <v>760</v>
      </c>
      <c r="B50" s="812"/>
      <c r="C50" s="812"/>
      <c r="D50" s="812"/>
      <c r="E50" s="812"/>
      <c r="F50" s="812"/>
      <c r="G50" s="812"/>
    </row>
    <row r="51" spans="1:7">
      <c r="A51" s="811" t="s">
        <v>759</v>
      </c>
      <c r="B51" s="812">
        <v>5836</v>
      </c>
      <c r="C51" s="812">
        <v>5346</v>
      </c>
      <c r="D51" s="812">
        <v>11182</v>
      </c>
      <c r="E51" s="812">
        <v>0</v>
      </c>
      <c r="F51" s="812">
        <v>0</v>
      </c>
      <c r="G51" s="812">
        <v>0</v>
      </c>
    </row>
    <row r="52" spans="1:7">
      <c r="A52" s="811" t="s">
        <v>758</v>
      </c>
      <c r="B52" s="812">
        <v>752</v>
      </c>
      <c r="C52" s="812">
        <v>682</v>
      </c>
      <c r="D52" s="812">
        <v>1434</v>
      </c>
      <c r="E52" s="812">
        <v>0</v>
      </c>
      <c r="F52" s="812">
        <v>0</v>
      </c>
      <c r="G52" s="812">
        <v>0</v>
      </c>
    </row>
    <row r="53" spans="1:7">
      <c r="A53" s="811" t="s">
        <v>757</v>
      </c>
      <c r="B53" s="812">
        <v>2249</v>
      </c>
      <c r="C53" s="812">
        <v>1969</v>
      </c>
      <c r="D53" s="812">
        <v>4218</v>
      </c>
      <c r="E53" s="812">
        <v>0</v>
      </c>
      <c r="F53" s="812">
        <v>0</v>
      </c>
      <c r="G53" s="812">
        <v>0</v>
      </c>
    </row>
    <row r="54" spans="1:7">
      <c r="A54" s="811" t="s">
        <v>756</v>
      </c>
      <c r="B54" s="812">
        <v>21105</v>
      </c>
      <c r="C54" s="812">
        <v>13612</v>
      </c>
      <c r="D54" s="812">
        <v>34717</v>
      </c>
      <c r="E54" s="812">
        <v>0</v>
      </c>
      <c r="F54" s="812">
        <v>0</v>
      </c>
      <c r="G54" s="812">
        <v>0</v>
      </c>
    </row>
    <row r="55" spans="1:7">
      <c r="A55" s="811" t="s">
        <v>755</v>
      </c>
      <c r="B55" s="812">
        <v>275</v>
      </c>
      <c r="C55" s="812">
        <v>233</v>
      </c>
      <c r="D55" s="812">
        <v>508</v>
      </c>
      <c r="E55" s="812">
        <v>0</v>
      </c>
      <c r="F55" s="812">
        <v>0</v>
      </c>
      <c r="G55" s="812">
        <v>0</v>
      </c>
    </row>
    <row r="56" spans="1:7">
      <c r="A56" s="811" t="s">
        <v>754</v>
      </c>
      <c r="B56" s="812">
        <v>216</v>
      </c>
      <c r="C56" s="812">
        <v>221</v>
      </c>
      <c r="D56" s="812">
        <v>437</v>
      </c>
      <c r="E56" s="812">
        <v>0</v>
      </c>
      <c r="F56" s="812">
        <v>0</v>
      </c>
      <c r="G56" s="812">
        <v>0</v>
      </c>
    </row>
    <row r="57" spans="1:7">
      <c r="A57" s="811" t="s">
        <v>753</v>
      </c>
      <c r="B57" s="812">
        <v>722</v>
      </c>
      <c r="C57" s="812">
        <v>638</v>
      </c>
      <c r="D57" s="812">
        <v>1360</v>
      </c>
      <c r="E57" s="812">
        <v>0</v>
      </c>
      <c r="F57" s="812">
        <v>0</v>
      </c>
      <c r="G57" s="812">
        <v>0</v>
      </c>
    </row>
    <row r="58" spans="1:7">
      <c r="A58" s="811" t="s">
        <v>752</v>
      </c>
      <c r="B58" s="812">
        <v>168</v>
      </c>
      <c r="C58" s="812">
        <v>193</v>
      </c>
      <c r="D58" s="812">
        <v>361</v>
      </c>
      <c r="E58" s="812">
        <v>0</v>
      </c>
      <c r="F58" s="812">
        <v>0</v>
      </c>
      <c r="G58" s="812">
        <v>0</v>
      </c>
    </row>
    <row r="59" spans="1:7">
      <c r="A59" s="811" t="s">
        <v>751</v>
      </c>
      <c r="B59" s="812">
        <v>5732</v>
      </c>
      <c r="C59" s="812">
        <v>5272</v>
      </c>
      <c r="D59" s="812">
        <v>11004</v>
      </c>
      <c r="E59" s="812">
        <v>0</v>
      </c>
      <c r="F59" s="812">
        <v>0</v>
      </c>
      <c r="G59" s="812">
        <v>0</v>
      </c>
    </row>
    <row r="60" spans="1:7">
      <c r="A60" s="811" t="s">
        <v>750</v>
      </c>
      <c r="B60" s="812">
        <v>766</v>
      </c>
      <c r="C60" s="812">
        <v>660</v>
      </c>
      <c r="D60" s="812">
        <v>1426</v>
      </c>
      <c r="E60" s="812">
        <v>0</v>
      </c>
      <c r="F60" s="812">
        <v>0</v>
      </c>
      <c r="G60" s="812">
        <v>0</v>
      </c>
    </row>
    <row r="61" spans="1:7">
      <c r="A61" s="811" t="s">
        <v>749</v>
      </c>
      <c r="B61" s="812">
        <v>49670</v>
      </c>
      <c r="C61" s="812">
        <v>36739</v>
      </c>
      <c r="D61" s="812">
        <v>86409</v>
      </c>
      <c r="E61" s="812">
        <v>0</v>
      </c>
      <c r="F61" s="812">
        <v>0</v>
      </c>
      <c r="G61" s="812">
        <v>0</v>
      </c>
    </row>
    <row r="62" spans="1:7">
      <c r="A62" s="811" t="s">
        <v>748</v>
      </c>
      <c r="B62" s="812">
        <v>711</v>
      </c>
      <c r="C62" s="812">
        <v>723</v>
      </c>
      <c r="D62" s="812">
        <v>1434</v>
      </c>
      <c r="E62" s="812">
        <v>0</v>
      </c>
      <c r="F62" s="812">
        <v>0</v>
      </c>
      <c r="G62" s="812">
        <v>0</v>
      </c>
    </row>
    <row r="63" spans="1:7">
      <c r="A63" s="811" t="s">
        <v>747</v>
      </c>
      <c r="B63" s="812">
        <v>21089</v>
      </c>
      <c r="C63" s="812">
        <v>18285</v>
      </c>
      <c r="D63" s="812">
        <v>39374</v>
      </c>
      <c r="E63" s="812">
        <v>0</v>
      </c>
      <c r="F63" s="812">
        <v>0</v>
      </c>
      <c r="G63" s="812">
        <v>0</v>
      </c>
    </row>
    <row r="64" spans="1:7">
      <c r="A64" s="811" t="s">
        <v>746</v>
      </c>
      <c r="B64" s="812">
        <v>250</v>
      </c>
      <c r="C64" s="812">
        <v>227</v>
      </c>
      <c r="D64" s="812">
        <v>477</v>
      </c>
      <c r="E64" s="812">
        <v>0</v>
      </c>
      <c r="F64" s="812">
        <v>0</v>
      </c>
      <c r="G64" s="812">
        <v>0</v>
      </c>
    </row>
    <row r="65" spans="1:7">
      <c r="A65" s="811" t="s">
        <v>745</v>
      </c>
      <c r="B65" s="812">
        <v>243</v>
      </c>
      <c r="C65" s="812">
        <v>210</v>
      </c>
      <c r="D65" s="812">
        <v>453</v>
      </c>
      <c r="E65" s="812">
        <v>0</v>
      </c>
      <c r="F65" s="812">
        <v>0</v>
      </c>
      <c r="G65" s="812">
        <v>0</v>
      </c>
    </row>
    <row r="66" spans="1:7">
      <c r="A66" s="811" t="s">
        <v>744</v>
      </c>
      <c r="B66" s="812">
        <v>109472</v>
      </c>
      <c r="C66" s="812">
        <v>107662</v>
      </c>
      <c r="D66" s="812">
        <v>217134</v>
      </c>
      <c r="E66" s="812">
        <v>0</v>
      </c>
      <c r="F66" s="812">
        <v>0</v>
      </c>
      <c r="G66" s="812">
        <v>0</v>
      </c>
    </row>
    <row r="67" spans="1:7">
      <c r="A67" s="811" t="s">
        <v>743</v>
      </c>
      <c r="B67" s="812">
        <v>1346</v>
      </c>
      <c r="C67" s="812">
        <v>1195</v>
      </c>
      <c r="D67" s="812">
        <v>2541</v>
      </c>
      <c r="E67" s="812">
        <v>0</v>
      </c>
      <c r="F67" s="812">
        <v>0</v>
      </c>
      <c r="G67" s="812">
        <v>0</v>
      </c>
    </row>
    <row r="68" spans="1:7">
      <c r="A68" s="811" t="s">
        <v>742</v>
      </c>
      <c r="B68" s="812">
        <v>815</v>
      </c>
      <c r="C68" s="812">
        <v>3527</v>
      </c>
      <c r="D68" s="812">
        <v>4342</v>
      </c>
      <c r="E68" s="812">
        <v>0</v>
      </c>
      <c r="F68" s="812">
        <v>0</v>
      </c>
      <c r="G68" s="812">
        <v>0</v>
      </c>
    </row>
    <row r="69" spans="1:7">
      <c r="A69" s="811" t="s">
        <v>741</v>
      </c>
      <c r="B69" s="812">
        <v>1086</v>
      </c>
      <c r="C69" s="812">
        <v>1012</v>
      </c>
      <c r="D69" s="812">
        <v>2098</v>
      </c>
      <c r="E69" s="812">
        <v>0</v>
      </c>
      <c r="F69" s="812">
        <v>0</v>
      </c>
      <c r="G69" s="812">
        <v>0</v>
      </c>
    </row>
    <row r="70" spans="1:7">
      <c r="A70" s="811" t="s">
        <v>740</v>
      </c>
      <c r="B70" s="812">
        <v>9350</v>
      </c>
      <c r="C70" s="812">
        <v>7898</v>
      </c>
      <c r="D70" s="812">
        <v>17248</v>
      </c>
      <c r="E70" s="812">
        <v>0</v>
      </c>
      <c r="F70" s="812">
        <v>0</v>
      </c>
      <c r="G70" s="812">
        <v>0</v>
      </c>
    </row>
    <row r="71" spans="1:7">
      <c r="A71" s="811" t="s">
        <v>739</v>
      </c>
      <c r="B71" s="812">
        <v>2667</v>
      </c>
      <c r="C71" s="812">
        <v>2345</v>
      </c>
      <c r="D71" s="812">
        <v>5012</v>
      </c>
      <c r="E71" s="812">
        <v>0</v>
      </c>
      <c r="F71" s="812">
        <v>0</v>
      </c>
      <c r="G71" s="812">
        <v>0</v>
      </c>
    </row>
    <row r="72" spans="1:7">
      <c r="A72" s="811" t="s">
        <v>738</v>
      </c>
      <c r="B72" s="812">
        <v>1371</v>
      </c>
      <c r="C72" s="812">
        <v>1230</v>
      </c>
      <c r="D72" s="812">
        <v>2601</v>
      </c>
      <c r="E72" s="812">
        <v>0</v>
      </c>
      <c r="F72" s="812">
        <v>0</v>
      </c>
      <c r="G72" s="812">
        <v>0</v>
      </c>
    </row>
    <row r="73" spans="1:7">
      <c r="A73" s="811" t="s">
        <v>737</v>
      </c>
      <c r="B73" s="810">
        <v>1642</v>
      </c>
      <c r="C73" s="810">
        <v>1334</v>
      </c>
      <c r="D73" s="810">
        <v>2976</v>
      </c>
      <c r="E73" s="810">
        <v>0</v>
      </c>
      <c r="F73" s="810">
        <v>0</v>
      </c>
      <c r="G73" s="810">
        <v>0</v>
      </c>
    </row>
    <row r="74" spans="1:7">
      <c r="A74" s="809" t="s">
        <v>736</v>
      </c>
      <c r="B74" s="808">
        <v>237533</v>
      </c>
      <c r="C74" s="808">
        <v>211213</v>
      </c>
      <c r="D74" s="808">
        <v>448746</v>
      </c>
      <c r="E74" s="808">
        <v>0</v>
      </c>
      <c r="F74" s="808">
        <v>0</v>
      </c>
      <c r="G74" s="808">
        <v>0</v>
      </c>
    </row>
    <row r="75" spans="1:7">
      <c r="A75" s="807"/>
      <c r="B75" s="812"/>
      <c r="C75" s="812"/>
      <c r="D75" s="812"/>
      <c r="E75" s="812"/>
      <c r="F75" s="812"/>
      <c r="G75" s="812"/>
    </row>
    <row r="76" spans="1:7">
      <c r="A76" s="807"/>
      <c r="B76" s="812"/>
      <c r="C76" s="812"/>
      <c r="D76" s="812"/>
      <c r="E76" s="812"/>
      <c r="F76" s="812"/>
      <c r="G76" s="812"/>
    </row>
    <row r="77" spans="1:7">
      <c r="A77" s="813" t="s">
        <v>735</v>
      </c>
      <c r="B77" s="812"/>
      <c r="C77" s="812"/>
      <c r="D77" s="812"/>
      <c r="E77" s="812"/>
      <c r="F77" s="812"/>
      <c r="G77" s="812"/>
    </row>
    <row r="78" spans="1:7">
      <c r="A78" s="811" t="s">
        <v>734</v>
      </c>
      <c r="B78" s="812">
        <v>208258</v>
      </c>
      <c r="C78" s="812">
        <v>108749</v>
      </c>
      <c r="D78" s="812">
        <v>317007</v>
      </c>
      <c r="E78" s="812">
        <v>0</v>
      </c>
      <c r="F78" s="812">
        <v>0</v>
      </c>
      <c r="G78" s="812">
        <v>0</v>
      </c>
    </row>
    <row r="79" spans="1:7">
      <c r="A79" s="811" t="s">
        <v>733</v>
      </c>
      <c r="B79" s="812">
        <v>2638</v>
      </c>
      <c r="C79" s="812">
        <v>2353</v>
      </c>
      <c r="D79" s="812">
        <v>4991</v>
      </c>
      <c r="E79" s="812">
        <v>0</v>
      </c>
      <c r="F79" s="812">
        <v>0</v>
      </c>
      <c r="G79" s="812">
        <v>0</v>
      </c>
    </row>
    <row r="80" spans="1:7">
      <c r="A80" s="811" t="s">
        <v>732</v>
      </c>
      <c r="B80" s="812">
        <v>17273</v>
      </c>
      <c r="C80" s="812">
        <v>16721</v>
      </c>
      <c r="D80" s="812">
        <v>33994</v>
      </c>
      <c r="E80" s="812">
        <v>0</v>
      </c>
      <c r="F80" s="812">
        <v>0</v>
      </c>
      <c r="G80" s="812">
        <v>0</v>
      </c>
    </row>
    <row r="81" spans="1:7">
      <c r="A81" s="811" t="s">
        <v>731</v>
      </c>
      <c r="B81" s="812">
        <v>24975</v>
      </c>
      <c r="C81" s="812">
        <v>18120</v>
      </c>
      <c r="D81" s="812">
        <v>43095</v>
      </c>
      <c r="E81" s="812">
        <v>0</v>
      </c>
      <c r="F81" s="812">
        <v>0</v>
      </c>
      <c r="G81" s="812">
        <v>0</v>
      </c>
    </row>
    <row r="82" spans="1:7">
      <c r="A82" s="811" t="s">
        <v>730</v>
      </c>
      <c r="B82" s="812">
        <v>1882</v>
      </c>
      <c r="C82" s="812">
        <v>1659</v>
      </c>
      <c r="D82" s="812">
        <v>3541</v>
      </c>
      <c r="E82" s="812">
        <v>0</v>
      </c>
      <c r="F82" s="812">
        <v>0</v>
      </c>
      <c r="G82" s="812">
        <v>0</v>
      </c>
    </row>
    <row r="83" spans="1:7">
      <c r="A83" s="811" t="s">
        <v>729</v>
      </c>
      <c r="B83" s="812">
        <v>1229</v>
      </c>
      <c r="C83" s="812">
        <v>0</v>
      </c>
      <c r="D83" s="812">
        <v>1229</v>
      </c>
      <c r="E83" s="812">
        <v>0</v>
      </c>
      <c r="F83" s="812">
        <v>0</v>
      </c>
      <c r="G83" s="812">
        <v>0</v>
      </c>
    </row>
    <row r="84" spans="1:7">
      <c r="A84" s="811" t="s">
        <v>728</v>
      </c>
      <c r="B84" s="812">
        <v>98414</v>
      </c>
      <c r="C84" s="812">
        <v>72427</v>
      </c>
      <c r="D84" s="812">
        <v>170841</v>
      </c>
      <c r="E84" s="812">
        <v>0</v>
      </c>
      <c r="F84" s="812">
        <v>0</v>
      </c>
      <c r="G84" s="812">
        <v>0</v>
      </c>
    </row>
    <row r="85" spans="1:7">
      <c r="A85" s="811" t="s">
        <v>727</v>
      </c>
      <c r="B85" s="812">
        <v>10116</v>
      </c>
      <c r="C85" s="812">
        <v>8622</v>
      </c>
      <c r="D85" s="812">
        <v>18738</v>
      </c>
      <c r="E85" s="812">
        <v>0</v>
      </c>
      <c r="F85" s="812">
        <v>0</v>
      </c>
      <c r="G85" s="812">
        <v>0</v>
      </c>
    </row>
    <row r="86" spans="1:7">
      <c r="A86" s="811" t="s">
        <v>726</v>
      </c>
      <c r="B86" s="812">
        <v>708306</v>
      </c>
      <c r="C86" s="812">
        <v>789923</v>
      </c>
      <c r="D86" s="812">
        <v>1498229</v>
      </c>
      <c r="E86" s="812">
        <v>0</v>
      </c>
      <c r="F86" s="812">
        <v>0</v>
      </c>
      <c r="G86" s="812">
        <v>0</v>
      </c>
    </row>
    <row r="87" spans="1:7">
      <c r="A87" s="811" t="s">
        <v>725</v>
      </c>
      <c r="B87" s="812">
        <v>2504</v>
      </c>
      <c r="C87" s="812">
        <v>2160</v>
      </c>
      <c r="D87" s="812">
        <v>4664</v>
      </c>
      <c r="E87" s="812">
        <v>0</v>
      </c>
      <c r="F87" s="812">
        <v>0</v>
      </c>
      <c r="G87" s="812">
        <v>0</v>
      </c>
    </row>
    <row r="88" spans="1:7">
      <c r="A88" s="811" t="s">
        <v>724</v>
      </c>
      <c r="B88" s="812">
        <v>962</v>
      </c>
      <c r="C88" s="812">
        <v>844</v>
      </c>
      <c r="D88" s="812">
        <v>1806</v>
      </c>
      <c r="E88" s="812">
        <v>0</v>
      </c>
      <c r="F88" s="812">
        <v>0</v>
      </c>
      <c r="G88" s="812">
        <v>0</v>
      </c>
    </row>
    <row r="89" spans="1:7">
      <c r="A89" s="811" t="s">
        <v>723</v>
      </c>
      <c r="B89" s="810">
        <v>2054</v>
      </c>
      <c r="C89" s="810">
        <v>4735</v>
      </c>
      <c r="D89" s="810">
        <v>6789</v>
      </c>
      <c r="E89" s="810">
        <v>0</v>
      </c>
      <c r="F89" s="810">
        <v>0</v>
      </c>
      <c r="G89" s="810">
        <v>0</v>
      </c>
    </row>
    <row r="90" spans="1:7">
      <c r="A90" s="809" t="s">
        <v>722</v>
      </c>
      <c r="B90" s="808">
        <v>1078611</v>
      </c>
      <c r="C90" s="808">
        <v>1026313</v>
      </c>
      <c r="D90" s="808">
        <v>2104924</v>
      </c>
      <c r="E90" s="808">
        <v>0</v>
      </c>
      <c r="F90" s="808">
        <v>0</v>
      </c>
      <c r="G90" s="808">
        <v>0</v>
      </c>
    </row>
    <row r="91" spans="1:7">
      <c r="A91" s="807"/>
      <c r="B91" s="812"/>
      <c r="C91" s="812"/>
      <c r="D91" s="812"/>
      <c r="E91" s="812"/>
      <c r="F91" s="812"/>
      <c r="G91" s="812"/>
    </row>
    <row r="92" spans="1:7">
      <c r="A92" s="807"/>
      <c r="B92" s="812"/>
      <c r="C92" s="812"/>
      <c r="D92" s="812"/>
      <c r="E92" s="812"/>
      <c r="F92" s="812"/>
      <c r="G92" s="812"/>
    </row>
    <row r="93" spans="1:7">
      <c r="A93" s="813" t="s">
        <v>721</v>
      </c>
      <c r="B93" s="812"/>
      <c r="C93" s="812"/>
      <c r="D93" s="812"/>
      <c r="E93" s="812"/>
      <c r="F93" s="812"/>
      <c r="G93" s="812"/>
    </row>
    <row r="94" spans="1:7">
      <c r="A94" s="811" t="s">
        <v>720</v>
      </c>
      <c r="B94" s="812">
        <v>315002</v>
      </c>
      <c r="C94" s="812">
        <v>287643</v>
      </c>
      <c r="D94" s="812">
        <v>602645</v>
      </c>
      <c r="E94" s="812">
        <v>0</v>
      </c>
      <c r="F94" s="812">
        <v>0</v>
      </c>
      <c r="G94" s="812">
        <v>0</v>
      </c>
    </row>
    <row r="95" spans="1:7">
      <c r="A95" s="811" t="s">
        <v>719</v>
      </c>
      <c r="B95" s="812">
        <v>103437</v>
      </c>
      <c r="C95" s="812">
        <v>90240</v>
      </c>
      <c r="D95" s="812">
        <v>193677</v>
      </c>
      <c r="E95" s="812">
        <v>0</v>
      </c>
      <c r="F95" s="812">
        <v>0</v>
      </c>
      <c r="G95" s="812">
        <v>0</v>
      </c>
    </row>
    <row r="96" spans="1:7">
      <c r="A96" s="811" t="s">
        <v>718</v>
      </c>
      <c r="B96" s="812">
        <v>398968</v>
      </c>
      <c r="C96" s="812">
        <v>382190</v>
      </c>
      <c r="D96" s="812">
        <v>781158</v>
      </c>
      <c r="E96" s="812">
        <v>0</v>
      </c>
      <c r="F96" s="812">
        <v>0</v>
      </c>
      <c r="G96" s="812">
        <v>0</v>
      </c>
    </row>
    <row r="97" spans="1:7">
      <c r="A97" s="811" t="s">
        <v>717</v>
      </c>
      <c r="B97" s="812">
        <v>370177</v>
      </c>
      <c r="C97" s="812">
        <v>385644</v>
      </c>
      <c r="D97" s="812">
        <v>755821</v>
      </c>
      <c r="E97" s="812">
        <v>0</v>
      </c>
      <c r="F97" s="812">
        <v>0</v>
      </c>
      <c r="G97" s="812">
        <v>0</v>
      </c>
    </row>
    <row r="98" spans="1:7">
      <c r="A98" s="811" t="s">
        <v>716</v>
      </c>
      <c r="B98" s="812">
        <v>616837</v>
      </c>
      <c r="C98" s="812">
        <v>606962</v>
      </c>
      <c r="D98" s="812">
        <v>1223799</v>
      </c>
      <c r="E98" s="812">
        <v>0</v>
      </c>
      <c r="F98" s="812">
        <v>0</v>
      </c>
      <c r="G98" s="812">
        <v>0</v>
      </c>
    </row>
    <row r="99" spans="1:7">
      <c r="A99" s="811" t="s">
        <v>715</v>
      </c>
      <c r="B99" s="812">
        <v>564242</v>
      </c>
      <c r="C99" s="812">
        <v>540549</v>
      </c>
      <c r="D99" s="812">
        <v>1104791</v>
      </c>
      <c r="E99" s="812">
        <v>0</v>
      </c>
      <c r="F99" s="812">
        <v>0</v>
      </c>
      <c r="G99" s="812">
        <v>0</v>
      </c>
    </row>
    <row r="100" spans="1:7">
      <c r="A100" s="811" t="s">
        <v>714</v>
      </c>
      <c r="B100" s="812">
        <v>81982</v>
      </c>
      <c r="C100" s="812">
        <v>77065</v>
      </c>
      <c r="D100" s="812">
        <v>159047</v>
      </c>
      <c r="E100" s="812">
        <v>0</v>
      </c>
      <c r="F100" s="812">
        <v>0</v>
      </c>
      <c r="G100" s="812">
        <v>0</v>
      </c>
    </row>
    <row r="101" spans="1:7">
      <c r="A101" s="811" t="s">
        <v>713</v>
      </c>
      <c r="B101" s="812">
        <v>1697203</v>
      </c>
      <c r="C101" s="812">
        <v>1737303</v>
      </c>
      <c r="D101" s="812">
        <v>3434506</v>
      </c>
      <c r="E101" s="812">
        <v>0</v>
      </c>
      <c r="F101" s="812">
        <v>0</v>
      </c>
      <c r="G101" s="812">
        <v>0</v>
      </c>
    </row>
    <row r="102" spans="1:7">
      <c r="A102" s="811" t="s">
        <v>712</v>
      </c>
      <c r="B102" s="812">
        <v>10327</v>
      </c>
      <c r="C102" s="812">
        <v>9443</v>
      </c>
      <c r="D102" s="812">
        <v>19770</v>
      </c>
      <c r="E102" s="812">
        <v>0</v>
      </c>
      <c r="F102" s="812">
        <v>0</v>
      </c>
      <c r="G102" s="812">
        <v>0</v>
      </c>
    </row>
    <row r="103" spans="1:7">
      <c r="A103" s="811" t="s">
        <v>711</v>
      </c>
      <c r="B103" s="812">
        <v>33579</v>
      </c>
      <c r="C103" s="812">
        <v>27745</v>
      </c>
      <c r="D103" s="812">
        <v>61324</v>
      </c>
      <c r="E103" s="812">
        <v>0</v>
      </c>
      <c r="F103" s="812">
        <v>0</v>
      </c>
      <c r="G103" s="812">
        <v>0</v>
      </c>
    </row>
    <row r="104" spans="1:7">
      <c r="A104" s="811" t="s">
        <v>710</v>
      </c>
      <c r="B104" s="812">
        <v>48827</v>
      </c>
      <c r="C104" s="812">
        <v>48536</v>
      </c>
      <c r="D104" s="812">
        <v>97363</v>
      </c>
      <c r="E104" s="812">
        <v>0</v>
      </c>
      <c r="F104" s="812">
        <v>0</v>
      </c>
      <c r="G104" s="812">
        <v>0</v>
      </c>
    </row>
    <row r="105" spans="1:7">
      <c r="A105" s="811" t="s">
        <v>709</v>
      </c>
      <c r="B105" s="810">
        <v>61985</v>
      </c>
      <c r="C105" s="810">
        <v>63793</v>
      </c>
      <c r="D105" s="810">
        <v>125778</v>
      </c>
      <c r="E105" s="810">
        <v>0</v>
      </c>
      <c r="F105" s="810">
        <v>0</v>
      </c>
      <c r="G105" s="810">
        <v>0</v>
      </c>
    </row>
    <row r="106" spans="1:7">
      <c r="A106" s="809" t="s">
        <v>708</v>
      </c>
      <c r="B106" s="808">
        <v>4302566</v>
      </c>
      <c r="C106" s="808">
        <v>4257113</v>
      </c>
      <c r="D106" s="808">
        <v>8559679</v>
      </c>
      <c r="E106" s="808">
        <v>0</v>
      </c>
      <c r="F106" s="808">
        <v>0</v>
      </c>
      <c r="G106" s="808">
        <v>0</v>
      </c>
    </row>
    <row r="107" spans="1:7">
      <c r="A107" s="807"/>
      <c r="B107" s="812"/>
      <c r="C107" s="812"/>
      <c r="D107" s="812"/>
      <c r="E107" s="812"/>
      <c r="F107" s="812"/>
      <c r="G107" s="812"/>
    </row>
    <row r="108" spans="1:7">
      <c r="A108" s="809" t="s">
        <v>707</v>
      </c>
      <c r="B108" s="808">
        <v>5381177</v>
      </c>
      <c r="C108" s="808">
        <v>5283426</v>
      </c>
      <c r="D108" s="808">
        <v>10664603</v>
      </c>
      <c r="E108" s="808">
        <v>0</v>
      </c>
      <c r="F108" s="808">
        <v>0</v>
      </c>
      <c r="G108" s="808">
        <v>0</v>
      </c>
    </row>
    <row r="109" spans="1:7">
      <c r="A109" s="807"/>
      <c r="B109" s="812"/>
      <c r="C109" s="812"/>
      <c r="D109" s="812"/>
      <c r="E109" s="812"/>
      <c r="F109" s="812"/>
      <c r="G109" s="812"/>
    </row>
    <row r="110" spans="1:7">
      <c r="A110" s="807"/>
      <c r="B110" s="812"/>
      <c r="C110" s="812"/>
      <c r="D110" s="812"/>
      <c r="E110" s="812"/>
      <c r="F110" s="812"/>
      <c r="G110" s="812"/>
    </row>
    <row r="111" spans="1:7">
      <c r="A111" s="813" t="s">
        <v>706</v>
      </c>
      <c r="B111" s="812"/>
      <c r="C111" s="812"/>
      <c r="D111" s="812"/>
      <c r="E111" s="812"/>
      <c r="F111" s="812"/>
      <c r="G111" s="812"/>
    </row>
    <row r="112" spans="1:7">
      <c r="A112" s="811" t="s">
        <v>705</v>
      </c>
      <c r="B112" s="812">
        <v>441</v>
      </c>
      <c r="C112" s="812">
        <v>412</v>
      </c>
      <c r="D112" s="812">
        <v>853</v>
      </c>
      <c r="E112" s="812">
        <v>0</v>
      </c>
      <c r="F112" s="812">
        <v>0</v>
      </c>
      <c r="G112" s="812">
        <v>0</v>
      </c>
    </row>
    <row r="113" spans="1:7">
      <c r="A113" s="811" t="s">
        <v>704</v>
      </c>
      <c r="B113" s="812">
        <v>58552</v>
      </c>
      <c r="C113" s="812">
        <v>46925</v>
      </c>
      <c r="D113" s="812">
        <v>105477</v>
      </c>
      <c r="E113" s="812">
        <v>0</v>
      </c>
      <c r="F113" s="812">
        <v>0</v>
      </c>
      <c r="G113" s="812">
        <v>0</v>
      </c>
    </row>
    <row r="114" spans="1:7">
      <c r="A114" s="811" t="s">
        <v>703</v>
      </c>
      <c r="B114" s="812">
        <v>23176</v>
      </c>
      <c r="C114" s="812">
        <v>18309</v>
      </c>
      <c r="D114" s="812">
        <v>41485</v>
      </c>
      <c r="E114" s="812">
        <v>0</v>
      </c>
      <c r="F114" s="812">
        <v>0</v>
      </c>
      <c r="G114" s="812">
        <v>0</v>
      </c>
    </row>
    <row r="115" spans="1:7">
      <c r="A115" s="811" t="s">
        <v>702</v>
      </c>
      <c r="B115" s="812">
        <v>1486</v>
      </c>
      <c r="C115" s="812">
        <v>1312</v>
      </c>
      <c r="D115" s="812">
        <v>2798</v>
      </c>
      <c r="E115" s="812">
        <v>0</v>
      </c>
      <c r="F115" s="812">
        <v>0</v>
      </c>
      <c r="G115" s="812">
        <v>0</v>
      </c>
    </row>
    <row r="116" spans="1:7">
      <c r="A116" s="811" t="s">
        <v>701</v>
      </c>
      <c r="B116" s="812">
        <v>1108</v>
      </c>
      <c r="C116" s="812">
        <v>1035</v>
      </c>
      <c r="D116" s="812">
        <v>2143</v>
      </c>
      <c r="E116" s="812">
        <v>0</v>
      </c>
      <c r="F116" s="812">
        <v>0</v>
      </c>
      <c r="G116" s="812">
        <v>0</v>
      </c>
    </row>
    <row r="117" spans="1:7">
      <c r="A117" s="811" t="s">
        <v>700</v>
      </c>
      <c r="B117" s="812">
        <v>7556</v>
      </c>
      <c r="C117" s="812">
        <v>6751</v>
      </c>
      <c r="D117" s="812">
        <v>14307</v>
      </c>
      <c r="E117" s="812">
        <v>0</v>
      </c>
      <c r="F117" s="812">
        <v>0</v>
      </c>
      <c r="G117" s="812">
        <v>0</v>
      </c>
    </row>
    <row r="118" spans="1:7">
      <c r="A118" s="811" t="s">
        <v>699</v>
      </c>
      <c r="B118" s="812">
        <v>41263</v>
      </c>
      <c r="C118" s="812">
        <v>30560</v>
      </c>
      <c r="D118" s="812">
        <v>71823</v>
      </c>
      <c r="E118" s="812">
        <v>0</v>
      </c>
      <c r="F118" s="812">
        <v>0</v>
      </c>
      <c r="G118" s="812">
        <v>0</v>
      </c>
    </row>
    <row r="119" spans="1:7">
      <c r="A119" s="811" t="s">
        <v>698</v>
      </c>
      <c r="B119" s="812">
        <v>3143</v>
      </c>
      <c r="C119" s="812">
        <v>2528</v>
      </c>
      <c r="D119" s="812">
        <v>5671</v>
      </c>
      <c r="E119" s="812">
        <v>0</v>
      </c>
      <c r="F119" s="812">
        <v>0</v>
      </c>
      <c r="G119" s="812">
        <v>0</v>
      </c>
    </row>
    <row r="120" spans="1:7">
      <c r="A120" s="811" t="s">
        <v>697</v>
      </c>
      <c r="B120" s="812">
        <v>48822</v>
      </c>
      <c r="C120" s="812">
        <v>37321</v>
      </c>
      <c r="D120" s="812">
        <v>86143</v>
      </c>
      <c r="E120" s="812">
        <v>0</v>
      </c>
      <c r="F120" s="812">
        <v>0</v>
      </c>
      <c r="G120" s="812">
        <v>0</v>
      </c>
    </row>
    <row r="121" spans="1:7">
      <c r="A121" s="811" t="s">
        <v>696</v>
      </c>
      <c r="B121" s="810">
        <v>12320</v>
      </c>
      <c r="C121" s="810">
        <v>15391</v>
      </c>
      <c r="D121" s="810">
        <v>27711</v>
      </c>
      <c r="E121" s="810">
        <v>0</v>
      </c>
      <c r="F121" s="810">
        <v>0</v>
      </c>
      <c r="G121" s="810">
        <v>0</v>
      </c>
    </row>
    <row r="122" spans="1:7">
      <c r="A122" s="809" t="s">
        <v>695</v>
      </c>
      <c r="B122" s="808">
        <v>197867</v>
      </c>
      <c r="C122" s="808">
        <v>160544</v>
      </c>
      <c r="D122" s="808">
        <v>358411</v>
      </c>
      <c r="E122" s="808">
        <v>0</v>
      </c>
      <c r="F122" s="808">
        <v>0</v>
      </c>
      <c r="G122" s="808">
        <v>0</v>
      </c>
    </row>
    <row r="123" spans="1:7">
      <c r="A123" s="807"/>
      <c r="B123" s="812"/>
      <c r="C123" s="812"/>
      <c r="D123" s="812"/>
      <c r="E123" s="812"/>
      <c r="F123" s="812"/>
      <c r="G123" s="812"/>
    </row>
    <row r="124" spans="1:7">
      <c r="A124" s="807"/>
      <c r="B124" s="812"/>
      <c r="C124" s="812"/>
      <c r="D124" s="812"/>
      <c r="E124" s="812"/>
      <c r="F124" s="812"/>
      <c r="G124" s="812"/>
    </row>
    <row r="125" spans="1:7">
      <c r="A125" s="813" t="s">
        <v>694</v>
      </c>
      <c r="B125" s="812"/>
      <c r="C125" s="812"/>
      <c r="D125" s="812"/>
      <c r="E125" s="812"/>
      <c r="F125" s="812"/>
      <c r="G125" s="812"/>
    </row>
    <row r="126" spans="1:7">
      <c r="A126" s="811" t="s">
        <v>693</v>
      </c>
      <c r="B126" s="812">
        <v>38977</v>
      </c>
      <c r="C126" s="812">
        <v>33292</v>
      </c>
      <c r="D126" s="812">
        <v>72269</v>
      </c>
      <c r="E126" s="812">
        <v>0</v>
      </c>
      <c r="F126" s="812">
        <v>0</v>
      </c>
      <c r="G126" s="812">
        <v>0</v>
      </c>
    </row>
    <row r="127" spans="1:7">
      <c r="A127" s="811" t="s">
        <v>692</v>
      </c>
      <c r="B127" s="810">
        <v>1436</v>
      </c>
      <c r="C127" s="810">
        <v>1322</v>
      </c>
      <c r="D127" s="810">
        <v>2758</v>
      </c>
      <c r="E127" s="810">
        <v>0</v>
      </c>
      <c r="F127" s="810">
        <v>0</v>
      </c>
      <c r="G127" s="810">
        <v>0</v>
      </c>
    </row>
    <row r="128" spans="1:7">
      <c r="A128" s="809" t="s">
        <v>691</v>
      </c>
      <c r="B128" s="808">
        <v>40413</v>
      </c>
      <c r="C128" s="808">
        <v>34614</v>
      </c>
      <c r="D128" s="808">
        <v>75027</v>
      </c>
      <c r="E128" s="808">
        <v>0</v>
      </c>
      <c r="F128" s="808">
        <v>0</v>
      </c>
      <c r="G128" s="808">
        <v>0</v>
      </c>
    </row>
    <row r="129" spans="1:7">
      <c r="A129" s="807"/>
      <c r="B129" s="812"/>
      <c r="C129" s="812"/>
      <c r="D129" s="812"/>
      <c r="E129" s="812"/>
      <c r="F129" s="812"/>
      <c r="G129" s="812"/>
    </row>
    <row r="130" spans="1:7">
      <c r="A130" s="807"/>
      <c r="B130" s="812"/>
      <c r="C130" s="812"/>
      <c r="D130" s="812"/>
      <c r="E130" s="812"/>
      <c r="F130" s="812"/>
      <c r="G130" s="812"/>
    </row>
    <row r="131" spans="1:7">
      <c r="A131" s="813" t="s">
        <v>690</v>
      </c>
      <c r="B131" s="812"/>
      <c r="C131" s="812"/>
      <c r="D131" s="812"/>
      <c r="E131" s="812"/>
      <c r="F131" s="812"/>
      <c r="G131" s="812"/>
    </row>
    <row r="132" spans="1:7">
      <c r="A132" s="811" t="s">
        <v>689</v>
      </c>
      <c r="B132" s="812">
        <v>35415</v>
      </c>
      <c r="C132" s="812">
        <v>30196</v>
      </c>
      <c r="D132" s="812">
        <v>65611</v>
      </c>
      <c r="E132" s="812">
        <v>0</v>
      </c>
      <c r="F132" s="812">
        <v>0</v>
      </c>
      <c r="G132" s="812">
        <v>0</v>
      </c>
    </row>
    <row r="133" spans="1:7">
      <c r="A133" s="811" t="s">
        <v>688</v>
      </c>
      <c r="B133" s="812">
        <v>5126153</v>
      </c>
      <c r="C133" s="812">
        <v>4887369</v>
      </c>
      <c r="D133" s="812">
        <v>10013522</v>
      </c>
      <c r="E133" s="812">
        <v>0</v>
      </c>
      <c r="F133" s="812">
        <v>0</v>
      </c>
      <c r="G133" s="812">
        <v>0</v>
      </c>
    </row>
    <row r="134" spans="1:7">
      <c r="A134" s="811" t="s">
        <v>687</v>
      </c>
      <c r="B134" s="812">
        <v>317116</v>
      </c>
      <c r="C134" s="812">
        <v>296408</v>
      </c>
      <c r="D134" s="812">
        <v>613524</v>
      </c>
      <c r="E134" s="812">
        <v>0</v>
      </c>
      <c r="F134" s="812">
        <v>0</v>
      </c>
      <c r="G134" s="812">
        <v>0</v>
      </c>
    </row>
    <row r="135" spans="1:7">
      <c r="A135" s="811" t="s">
        <v>686</v>
      </c>
      <c r="B135" s="812">
        <v>3159</v>
      </c>
      <c r="C135" s="812">
        <v>7111</v>
      </c>
      <c r="D135" s="812">
        <v>10270</v>
      </c>
      <c r="E135" s="812">
        <v>0</v>
      </c>
      <c r="F135" s="812">
        <v>0</v>
      </c>
      <c r="G135" s="812">
        <v>0</v>
      </c>
    </row>
    <row r="136" spans="1:7">
      <c r="A136" s="811" t="s">
        <v>221</v>
      </c>
      <c r="B136" s="812">
        <v>632136</v>
      </c>
      <c r="C136" s="812">
        <v>626099</v>
      </c>
      <c r="D136" s="812">
        <v>1258235</v>
      </c>
      <c r="E136" s="812">
        <v>0</v>
      </c>
      <c r="F136" s="812">
        <v>0</v>
      </c>
      <c r="G136" s="812">
        <v>0</v>
      </c>
    </row>
    <row r="137" spans="1:7">
      <c r="A137" s="811" t="s">
        <v>685</v>
      </c>
      <c r="B137" s="812">
        <v>8394</v>
      </c>
      <c r="C137" s="812">
        <v>7487</v>
      </c>
      <c r="D137" s="812">
        <v>15881</v>
      </c>
      <c r="E137" s="812">
        <v>0</v>
      </c>
      <c r="F137" s="812">
        <v>0</v>
      </c>
      <c r="G137" s="812">
        <v>0</v>
      </c>
    </row>
    <row r="138" spans="1:7">
      <c r="A138" s="811" t="s">
        <v>684</v>
      </c>
      <c r="B138" s="812">
        <v>93141</v>
      </c>
      <c r="C138" s="812">
        <v>286911</v>
      </c>
      <c r="D138" s="812">
        <v>380052</v>
      </c>
      <c r="E138" s="812">
        <v>0</v>
      </c>
      <c r="F138" s="812">
        <v>0</v>
      </c>
      <c r="G138" s="812">
        <v>0</v>
      </c>
    </row>
    <row r="139" spans="1:7">
      <c r="A139" s="811" t="s">
        <v>683</v>
      </c>
      <c r="B139" s="812">
        <v>18059</v>
      </c>
      <c r="C139" s="812">
        <v>19006</v>
      </c>
      <c r="D139" s="812">
        <v>37065</v>
      </c>
      <c r="E139" s="812">
        <v>0</v>
      </c>
      <c r="F139" s="812">
        <v>0</v>
      </c>
      <c r="G139" s="812">
        <v>0</v>
      </c>
    </row>
    <row r="140" spans="1:7">
      <c r="A140" s="811" t="s">
        <v>682</v>
      </c>
      <c r="B140" s="812">
        <v>9189</v>
      </c>
      <c r="C140" s="812">
        <v>9162</v>
      </c>
      <c r="D140" s="812">
        <v>18351</v>
      </c>
      <c r="E140" s="812">
        <v>0</v>
      </c>
      <c r="F140" s="812">
        <v>0</v>
      </c>
      <c r="G140" s="812">
        <v>0</v>
      </c>
    </row>
    <row r="141" spans="1:7">
      <c r="A141" s="811" t="s">
        <v>681</v>
      </c>
      <c r="B141" s="812">
        <v>19</v>
      </c>
      <c r="C141" s="812">
        <v>25730</v>
      </c>
      <c r="D141" s="812">
        <v>25749</v>
      </c>
      <c r="E141" s="812">
        <v>0</v>
      </c>
      <c r="F141" s="812">
        <v>0</v>
      </c>
      <c r="G141" s="812">
        <v>0</v>
      </c>
    </row>
    <row r="142" spans="1:7">
      <c r="A142" s="811" t="s">
        <v>680</v>
      </c>
      <c r="B142" s="812">
        <v>93642</v>
      </c>
      <c r="C142" s="812">
        <v>85691</v>
      </c>
      <c r="D142" s="812">
        <v>179333</v>
      </c>
      <c r="E142" s="812">
        <v>0</v>
      </c>
      <c r="F142" s="812">
        <v>0</v>
      </c>
      <c r="G142" s="812">
        <v>0</v>
      </c>
    </row>
    <row r="143" spans="1:7">
      <c r="A143" s="811" t="s">
        <v>679</v>
      </c>
      <c r="B143" s="812">
        <v>76419</v>
      </c>
      <c r="C143" s="812">
        <v>77672</v>
      </c>
      <c r="D143" s="812">
        <v>154091</v>
      </c>
      <c r="E143" s="812">
        <v>0</v>
      </c>
      <c r="F143" s="812">
        <v>0</v>
      </c>
      <c r="G143" s="812">
        <v>0</v>
      </c>
    </row>
    <row r="144" spans="1:7">
      <c r="A144" s="811" t="s">
        <v>678</v>
      </c>
      <c r="B144" s="812">
        <v>103865</v>
      </c>
      <c r="C144" s="812">
        <v>110312</v>
      </c>
      <c r="D144" s="812">
        <v>214177</v>
      </c>
      <c r="E144" s="812">
        <v>0</v>
      </c>
      <c r="F144" s="812">
        <v>0</v>
      </c>
      <c r="G144" s="812">
        <v>0</v>
      </c>
    </row>
    <row r="145" spans="1:7">
      <c r="A145" s="811" t="s">
        <v>677</v>
      </c>
      <c r="B145" s="810">
        <v>-4414</v>
      </c>
      <c r="C145" s="810">
        <v>-1806</v>
      </c>
      <c r="D145" s="810">
        <v>-6220</v>
      </c>
      <c r="E145" s="810">
        <v>0</v>
      </c>
      <c r="F145" s="810">
        <v>0</v>
      </c>
      <c r="G145" s="810">
        <v>0</v>
      </c>
    </row>
    <row r="146" spans="1:7">
      <c r="A146" s="809" t="s">
        <v>676</v>
      </c>
      <c r="B146" s="808">
        <v>6512293</v>
      </c>
      <c r="C146" s="808">
        <v>6467348</v>
      </c>
      <c r="D146" s="808">
        <v>12979641</v>
      </c>
      <c r="E146" s="808">
        <v>0</v>
      </c>
      <c r="F146" s="808">
        <v>0</v>
      </c>
      <c r="G146" s="808">
        <v>0</v>
      </c>
    </row>
    <row r="147" spans="1:7">
      <c r="A147" s="807"/>
      <c r="B147" s="812"/>
      <c r="C147" s="812"/>
      <c r="D147" s="812"/>
      <c r="E147" s="812"/>
      <c r="F147" s="812"/>
      <c r="G147" s="812"/>
    </row>
    <row r="148" spans="1:7">
      <c r="A148" s="807"/>
      <c r="B148" s="812"/>
      <c r="C148" s="812"/>
      <c r="D148" s="812"/>
      <c r="E148" s="812"/>
      <c r="F148" s="812"/>
      <c r="G148" s="812"/>
    </row>
    <row r="149" spans="1:7">
      <c r="A149" s="813" t="s">
        <v>177</v>
      </c>
      <c r="B149" s="812"/>
      <c r="C149" s="812"/>
      <c r="D149" s="812"/>
      <c r="E149" s="812"/>
      <c r="F149" s="812"/>
      <c r="G149" s="812"/>
    </row>
    <row r="150" spans="1:7">
      <c r="A150" s="811" t="s">
        <v>11</v>
      </c>
      <c r="B150" s="812">
        <v>194734</v>
      </c>
      <c r="C150" s="812">
        <v>102016</v>
      </c>
      <c r="D150" s="812">
        <v>296750</v>
      </c>
      <c r="E150" s="812">
        <v>0</v>
      </c>
      <c r="F150" s="812">
        <v>0</v>
      </c>
      <c r="G150" s="812">
        <v>0</v>
      </c>
    </row>
    <row r="151" spans="1:7">
      <c r="A151" s="811" t="s">
        <v>2</v>
      </c>
      <c r="B151" s="812">
        <v>269571</v>
      </c>
      <c r="C151" s="812">
        <v>259706</v>
      </c>
      <c r="D151" s="812">
        <v>529277</v>
      </c>
      <c r="E151" s="812">
        <v>320843</v>
      </c>
      <c r="F151" s="812">
        <v>359556</v>
      </c>
      <c r="G151" s="812">
        <v>680399</v>
      </c>
    </row>
    <row r="152" spans="1:7">
      <c r="A152" s="811" t="s">
        <v>3</v>
      </c>
      <c r="B152" s="812">
        <v>169462</v>
      </c>
      <c r="C152" s="812">
        <v>170699</v>
      </c>
      <c r="D152" s="812">
        <v>340161</v>
      </c>
      <c r="E152" s="812">
        <v>141472</v>
      </c>
      <c r="F152" s="812">
        <v>155422</v>
      </c>
      <c r="G152" s="812">
        <v>296894</v>
      </c>
    </row>
    <row r="153" spans="1:7">
      <c r="A153" s="811" t="s">
        <v>4</v>
      </c>
      <c r="B153" s="812">
        <v>34689</v>
      </c>
      <c r="C153" s="812">
        <v>35126</v>
      </c>
      <c r="D153" s="812">
        <v>69815</v>
      </c>
      <c r="E153" s="812">
        <v>41164</v>
      </c>
      <c r="F153" s="812">
        <v>46096</v>
      </c>
      <c r="G153" s="812">
        <v>87260</v>
      </c>
    </row>
    <row r="154" spans="1:7">
      <c r="A154" s="811" t="s">
        <v>5</v>
      </c>
      <c r="B154" s="812">
        <v>30289</v>
      </c>
      <c r="C154" s="812">
        <v>32383</v>
      </c>
      <c r="D154" s="812">
        <v>62672</v>
      </c>
      <c r="E154" s="812">
        <v>40144</v>
      </c>
      <c r="F154" s="812">
        <v>48591</v>
      </c>
      <c r="G154" s="812">
        <v>88735</v>
      </c>
    </row>
    <row r="155" spans="1:7">
      <c r="A155" s="811" t="s">
        <v>6</v>
      </c>
      <c r="B155" s="812">
        <v>20514</v>
      </c>
      <c r="C155" s="812">
        <v>17728</v>
      </c>
      <c r="D155" s="812">
        <v>38242</v>
      </c>
      <c r="E155" s="812">
        <v>24682</v>
      </c>
      <c r="F155" s="812">
        <v>26896</v>
      </c>
      <c r="G155" s="812">
        <v>51578</v>
      </c>
    </row>
    <row r="156" spans="1:7">
      <c r="A156" s="811" t="s">
        <v>70</v>
      </c>
      <c r="B156" s="812">
        <v>1598</v>
      </c>
      <c r="C156" s="812">
        <v>1327</v>
      </c>
      <c r="D156" s="812">
        <v>2925</v>
      </c>
      <c r="E156" s="812">
        <v>0</v>
      </c>
      <c r="F156" s="812">
        <v>0</v>
      </c>
      <c r="G156" s="812">
        <v>0</v>
      </c>
    </row>
    <row r="157" spans="1:7">
      <c r="A157" s="811" t="s">
        <v>7</v>
      </c>
      <c r="B157" s="812">
        <v>43146</v>
      </c>
      <c r="C157" s="812">
        <v>46359</v>
      </c>
      <c r="D157" s="812">
        <v>89505</v>
      </c>
      <c r="E157" s="812">
        <v>56540</v>
      </c>
      <c r="F157" s="812">
        <v>64652</v>
      </c>
      <c r="G157" s="812">
        <v>121192</v>
      </c>
    </row>
    <row r="158" spans="1:7">
      <c r="A158" s="811" t="s">
        <v>276</v>
      </c>
      <c r="B158" s="810">
        <v>631804</v>
      </c>
      <c r="C158" s="810">
        <v>603296</v>
      </c>
      <c r="D158" s="810">
        <v>1235100</v>
      </c>
      <c r="E158" s="810">
        <v>257423</v>
      </c>
      <c r="F158" s="810">
        <v>275713</v>
      </c>
      <c r="G158" s="810">
        <v>533136</v>
      </c>
    </row>
    <row r="159" spans="1:7">
      <c r="A159" s="809" t="s">
        <v>9</v>
      </c>
      <c r="B159" s="808">
        <v>1395807</v>
      </c>
      <c r="C159" s="808">
        <v>1268640</v>
      </c>
      <c r="D159" s="808">
        <v>2664447</v>
      </c>
      <c r="E159" s="808">
        <v>882268</v>
      </c>
      <c r="F159" s="808">
        <v>976926</v>
      </c>
      <c r="G159" s="808">
        <v>1859194</v>
      </c>
    </row>
    <row r="160" spans="1:7">
      <c r="A160" s="807"/>
      <c r="B160" s="812"/>
      <c r="C160" s="812"/>
      <c r="D160" s="812"/>
      <c r="E160" s="812"/>
      <c r="F160" s="812"/>
      <c r="G160" s="812"/>
    </row>
    <row r="161" spans="1:7">
      <c r="A161" s="813" t="s">
        <v>675</v>
      </c>
      <c r="B161" s="812"/>
      <c r="C161" s="812"/>
      <c r="D161" s="812"/>
      <c r="E161" s="812"/>
      <c r="F161" s="812"/>
      <c r="G161" s="812"/>
    </row>
    <row r="162" spans="1:7">
      <c r="A162" s="811" t="s">
        <v>674</v>
      </c>
      <c r="B162" s="812">
        <v>5902</v>
      </c>
      <c r="C162" s="812">
        <v>5509</v>
      </c>
      <c r="D162" s="812">
        <v>11411</v>
      </c>
      <c r="E162" s="812">
        <v>0</v>
      </c>
      <c r="F162" s="812">
        <v>0</v>
      </c>
      <c r="G162" s="812">
        <v>0</v>
      </c>
    </row>
    <row r="163" spans="1:7">
      <c r="A163" s="811" t="s">
        <v>673</v>
      </c>
      <c r="B163" s="812">
        <v>8593</v>
      </c>
      <c r="C163" s="812">
        <v>8230</v>
      </c>
      <c r="D163" s="812">
        <v>16823</v>
      </c>
      <c r="E163" s="812">
        <v>0</v>
      </c>
      <c r="F163" s="812">
        <v>0</v>
      </c>
      <c r="G163" s="812">
        <v>0</v>
      </c>
    </row>
    <row r="164" spans="1:7">
      <c r="A164" s="811" t="s">
        <v>672</v>
      </c>
      <c r="B164" s="812">
        <v>1465</v>
      </c>
      <c r="C164" s="812">
        <v>1353</v>
      </c>
      <c r="D164" s="812">
        <v>2818</v>
      </c>
      <c r="E164" s="812">
        <v>0</v>
      </c>
      <c r="F164" s="812">
        <v>0</v>
      </c>
      <c r="G164" s="812">
        <v>0</v>
      </c>
    </row>
    <row r="165" spans="1:7">
      <c r="A165" s="811" t="s">
        <v>671</v>
      </c>
      <c r="B165" s="812">
        <v>60400</v>
      </c>
      <c r="C165" s="812">
        <v>19335</v>
      </c>
      <c r="D165" s="812">
        <v>79735</v>
      </c>
      <c r="E165" s="812">
        <v>0</v>
      </c>
      <c r="F165" s="812">
        <v>0</v>
      </c>
      <c r="G165" s="812">
        <v>0</v>
      </c>
    </row>
    <row r="166" spans="1:7">
      <c r="A166" s="811" t="s">
        <v>670</v>
      </c>
      <c r="B166" s="812">
        <v>1844</v>
      </c>
      <c r="C166" s="812">
        <v>1230</v>
      </c>
      <c r="D166" s="812">
        <v>3074</v>
      </c>
      <c r="E166" s="812">
        <v>0</v>
      </c>
      <c r="F166" s="812">
        <v>0</v>
      </c>
      <c r="G166" s="812">
        <v>0</v>
      </c>
    </row>
    <row r="167" spans="1:7">
      <c r="A167" s="811" t="s">
        <v>669</v>
      </c>
      <c r="B167" s="812">
        <v>2592</v>
      </c>
      <c r="C167" s="812">
        <v>2381</v>
      </c>
      <c r="D167" s="812">
        <v>4973</v>
      </c>
      <c r="E167" s="812">
        <v>0</v>
      </c>
      <c r="F167" s="812">
        <v>0</v>
      </c>
      <c r="G167" s="812">
        <v>0</v>
      </c>
    </row>
    <row r="168" spans="1:7">
      <c r="A168" s="811" t="s">
        <v>668</v>
      </c>
      <c r="B168" s="810">
        <v>1612</v>
      </c>
      <c r="C168" s="810">
        <v>1490</v>
      </c>
      <c r="D168" s="810">
        <v>3102</v>
      </c>
      <c r="E168" s="810">
        <v>0</v>
      </c>
      <c r="F168" s="810">
        <v>0</v>
      </c>
      <c r="G168" s="810">
        <v>0</v>
      </c>
    </row>
    <row r="169" spans="1:7">
      <c r="A169" s="809" t="s">
        <v>667</v>
      </c>
      <c r="B169" s="808">
        <v>82408</v>
      </c>
      <c r="C169" s="808">
        <v>39528</v>
      </c>
      <c r="D169" s="808">
        <v>121936</v>
      </c>
      <c r="E169" s="808">
        <v>0</v>
      </c>
      <c r="F169" s="808">
        <v>0</v>
      </c>
      <c r="G169" s="808">
        <v>0</v>
      </c>
    </row>
    <row r="170" spans="1:7">
      <c r="A170" s="807"/>
      <c r="B170" s="812"/>
      <c r="C170" s="812"/>
      <c r="D170" s="812"/>
      <c r="E170" s="812"/>
      <c r="F170" s="812"/>
      <c r="G170" s="812"/>
    </row>
    <row r="171" spans="1:7">
      <c r="A171" s="809" t="s">
        <v>363</v>
      </c>
      <c r="B171" s="808">
        <v>7990508</v>
      </c>
      <c r="C171" s="808">
        <v>7775516</v>
      </c>
      <c r="D171" s="808">
        <v>15766024</v>
      </c>
      <c r="E171" s="808">
        <v>882268</v>
      </c>
      <c r="F171" s="808">
        <v>976926</v>
      </c>
      <c r="G171" s="808">
        <v>1859194</v>
      </c>
    </row>
    <row r="172" spans="1:7">
      <c r="A172" s="807"/>
      <c r="B172" s="812"/>
      <c r="C172" s="812"/>
      <c r="D172" s="812"/>
      <c r="E172" s="812"/>
      <c r="F172" s="812"/>
      <c r="G172" s="812"/>
    </row>
    <row r="173" spans="1:7">
      <c r="A173" s="807"/>
      <c r="B173" s="812"/>
      <c r="C173" s="812"/>
      <c r="D173" s="812"/>
      <c r="E173" s="812"/>
      <c r="F173" s="812"/>
      <c r="G173" s="812"/>
    </row>
    <row r="174" spans="1:7">
      <c r="A174" s="813" t="s">
        <v>666</v>
      </c>
      <c r="B174" s="812"/>
      <c r="C174" s="812"/>
      <c r="D174" s="812"/>
      <c r="E174" s="812"/>
      <c r="F174" s="812"/>
      <c r="G174" s="812"/>
    </row>
    <row r="175" spans="1:7">
      <c r="A175" s="811" t="s">
        <v>665</v>
      </c>
      <c r="B175" s="812">
        <v>870383</v>
      </c>
      <c r="C175" s="812">
        <v>923414</v>
      </c>
      <c r="D175" s="812">
        <v>1793797</v>
      </c>
      <c r="E175" s="812">
        <v>0</v>
      </c>
      <c r="F175" s="812">
        <v>0</v>
      </c>
      <c r="G175" s="812">
        <v>0</v>
      </c>
    </row>
    <row r="176" spans="1:7">
      <c r="A176" s="811" t="s">
        <v>664</v>
      </c>
      <c r="B176" s="812">
        <v>62375</v>
      </c>
      <c r="C176" s="812">
        <v>70056</v>
      </c>
      <c r="D176" s="812">
        <v>132431</v>
      </c>
      <c r="E176" s="812">
        <v>0</v>
      </c>
      <c r="F176" s="812">
        <v>0</v>
      </c>
      <c r="G176" s="812">
        <v>0</v>
      </c>
    </row>
    <row r="177" spans="1:7">
      <c r="A177" s="811" t="s">
        <v>663</v>
      </c>
      <c r="B177" s="812">
        <v>891</v>
      </c>
      <c r="C177" s="812">
        <v>0</v>
      </c>
      <c r="D177" s="812">
        <v>891</v>
      </c>
      <c r="E177" s="812">
        <v>0</v>
      </c>
      <c r="F177" s="812">
        <v>0</v>
      </c>
      <c r="G177" s="812">
        <v>0</v>
      </c>
    </row>
    <row r="178" spans="1:7">
      <c r="A178" s="811" t="s">
        <v>662</v>
      </c>
      <c r="B178" s="810">
        <v>63070</v>
      </c>
      <c r="C178" s="810">
        <v>66260</v>
      </c>
      <c r="D178" s="810">
        <v>129330</v>
      </c>
      <c r="E178" s="810">
        <v>0</v>
      </c>
      <c r="F178" s="810">
        <v>0</v>
      </c>
      <c r="G178" s="810">
        <v>0</v>
      </c>
    </row>
    <row r="179" spans="1:7">
      <c r="A179" s="809" t="s">
        <v>661</v>
      </c>
      <c r="B179" s="808">
        <v>996719</v>
      </c>
      <c r="C179" s="808">
        <v>1059730</v>
      </c>
      <c r="D179" s="808">
        <v>2056449</v>
      </c>
      <c r="E179" s="808">
        <v>0</v>
      </c>
      <c r="F179" s="808">
        <v>0</v>
      </c>
      <c r="G179" s="808">
        <v>0</v>
      </c>
    </row>
    <row r="180" spans="1:7">
      <c r="A180" s="807"/>
    </row>
    <row r="181" spans="1:7">
      <c r="A181" s="807"/>
    </row>
    <row r="182" spans="1:7">
      <c r="A182" s="807"/>
    </row>
    <row r="183" spans="1:7">
      <c r="A183" s="807"/>
    </row>
    <row r="184" spans="1:7">
      <c r="A184" s="807"/>
    </row>
    <row r="185" spans="1:7">
      <c r="A185" s="807"/>
    </row>
    <row r="186" spans="1:7">
      <c r="A186" s="807"/>
    </row>
    <row r="187" spans="1:7">
      <c r="A187" s="807"/>
    </row>
    <row r="188" spans="1:7">
      <c r="A188" s="807"/>
    </row>
    <row r="189" spans="1:7">
      <c r="A189" s="807"/>
    </row>
    <row r="190" spans="1:7">
      <c r="A190" s="807"/>
    </row>
    <row r="191" spans="1:7">
      <c r="A191" s="807"/>
    </row>
    <row r="192" spans="1:7">
      <c r="A192" s="807"/>
    </row>
    <row r="193" spans="1:1">
      <c r="A193" s="807"/>
    </row>
    <row r="194" spans="1:1">
      <c r="A194" s="807"/>
    </row>
    <row r="195" spans="1:1">
      <c r="A195" s="807"/>
    </row>
    <row r="196" spans="1:1">
      <c r="A196" s="807"/>
    </row>
    <row r="197" spans="1:1">
      <c r="A197" s="807"/>
    </row>
    <row r="198" spans="1:1">
      <c r="A198" s="807"/>
    </row>
    <row r="199" spans="1:1">
      <c r="A199" s="807"/>
    </row>
    <row r="200" spans="1:1">
      <c r="A200" s="807"/>
    </row>
    <row r="201" spans="1:1">
      <c r="A201" s="807"/>
    </row>
    <row r="202" spans="1:1">
      <c r="A202" s="807"/>
    </row>
  </sheetData>
  <printOptions horizontalCentered="1"/>
  <pageMargins left="0.75" right="0.75" top="1.25" bottom="1" header="0.5" footer="0.5"/>
  <pageSetup fitToWidth="0" fitToHeight="0" orientation="landscape" r:id="rId1"/>
  <headerFooter>
    <oddHeader>&amp;C&amp;"Times New Roman,Bold"&amp;12 2009-11 Revised Omnibus Operating Budget (2011 Supp)
ESHB 1086 Enacted (Feb 2011)
&amp;"Times New Roman,Regular"&amp;10(Dollars in Thousands)</oddHeader>
    <oddFooter>&amp;RMarch 7, 2011     11:24 am  &amp;LHouse Office of Program Research–Fiscal Committees</oddFooter>
  </headerFooter>
  <rowBreaks count="9" manualBreakCount="9">
    <brk id="25" max="16383" man="1"/>
    <brk id="49" max="16383" man="1"/>
    <brk id="76" max="16383" man="1"/>
    <brk id="92" max="16383" man="1"/>
    <brk id="110" max="16383" man="1"/>
    <brk id="124" max="16383" man="1"/>
    <brk id="130" max="16383" man="1"/>
    <brk id="148" max="16383" man="1"/>
    <brk id="17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FFFF00"/>
  </sheetPr>
  <dimension ref="A1:U46"/>
  <sheetViews>
    <sheetView workbookViewId="0">
      <selection sqref="A1:Q1"/>
    </sheetView>
  </sheetViews>
  <sheetFormatPr defaultRowHeight="12.75"/>
  <cols>
    <col min="1" max="1" width="2.375" style="355" customWidth="1"/>
    <col min="2" max="2" width="5.875" style="355" customWidth="1"/>
    <col min="3" max="4" width="8.625" style="355" customWidth="1"/>
    <col min="5" max="5" width="7.5" style="355" customWidth="1"/>
    <col min="6" max="6" width="7.5" style="372" customWidth="1"/>
    <col min="7" max="7" width="7.625" style="372" customWidth="1"/>
    <col min="8" max="10" width="7.25" style="355" customWidth="1"/>
    <col min="11" max="11" width="0.5" style="355" customWidth="1"/>
    <col min="12" max="12" width="7.25" style="355" customWidth="1"/>
    <col min="13" max="13" width="0.5" style="355" customWidth="1"/>
    <col min="14" max="15" width="7.25" style="355" customWidth="1"/>
    <col min="16" max="16384" width="9" style="355"/>
  </cols>
  <sheetData>
    <row r="1" spans="1:21" s="562" customFormat="1" ht="20.100000000000001" customHeight="1">
      <c r="A1" s="2591" t="s">
        <v>177</v>
      </c>
      <c r="B1" s="2591"/>
      <c r="C1" s="2591"/>
      <c r="D1" s="2591"/>
      <c r="E1" s="2591"/>
      <c r="F1" s="2591"/>
      <c r="G1" s="2591"/>
      <c r="H1" s="2591"/>
      <c r="I1" s="2591"/>
      <c r="J1" s="2591"/>
      <c r="K1" s="2591"/>
      <c r="L1" s="2591"/>
      <c r="M1" s="2591"/>
      <c r="N1" s="2591"/>
      <c r="O1" s="2591"/>
      <c r="P1" s="2591"/>
      <c r="Q1" s="2591"/>
    </row>
    <row r="2" spans="1:21" s="562" customFormat="1" ht="18" customHeight="1">
      <c r="A2" s="2592" t="s">
        <v>364</v>
      </c>
      <c r="B2" s="2592"/>
      <c r="C2" s="2592"/>
      <c r="D2" s="2592"/>
      <c r="E2" s="2592"/>
      <c r="F2" s="2592"/>
      <c r="G2" s="2592"/>
      <c r="H2" s="2592"/>
      <c r="I2" s="2592"/>
      <c r="J2" s="2592"/>
      <c r="K2" s="2592"/>
      <c r="L2" s="2592"/>
      <c r="M2" s="2592"/>
      <c r="N2" s="2592"/>
      <c r="O2" s="2592"/>
      <c r="P2" s="2592"/>
      <c r="Q2" s="2592"/>
    </row>
    <row r="3" spans="1:21" s="562" customFormat="1" ht="15" customHeight="1">
      <c r="A3" s="580" t="s">
        <v>365</v>
      </c>
      <c r="B3" s="580"/>
      <c r="C3" s="580"/>
      <c r="D3" s="580"/>
      <c r="E3" s="580"/>
      <c r="F3" s="580"/>
      <c r="G3" s="580"/>
      <c r="H3" s="580"/>
      <c r="I3" s="580"/>
      <c r="J3" s="580"/>
      <c r="K3" s="580"/>
      <c r="L3" s="579"/>
      <c r="M3" s="580"/>
      <c r="N3" s="579"/>
      <c r="O3" s="579"/>
    </row>
    <row r="4" spans="1:21" s="562" customFormat="1" ht="24.75" customHeight="1">
      <c r="A4" s="2593"/>
      <c r="B4" s="2593"/>
      <c r="C4" s="2593"/>
      <c r="D4" s="2593"/>
      <c r="E4" s="2593"/>
      <c r="F4" s="2593"/>
      <c r="G4" s="2593"/>
      <c r="H4" s="2593"/>
      <c r="I4" s="2593"/>
      <c r="J4" s="2593"/>
      <c r="K4" s="2593"/>
      <c r="L4" s="2593"/>
      <c r="M4" s="2593"/>
      <c r="N4" s="2593"/>
      <c r="O4" s="2593"/>
      <c r="P4" s="2593"/>
      <c r="Q4" s="2593"/>
    </row>
    <row r="5" spans="1:21" s="566" customFormat="1" ht="17.25" customHeight="1">
      <c r="B5" s="824"/>
      <c r="C5" s="824"/>
      <c r="D5" s="824"/>
      <c r="E5" s="2534" t="s">
        <v>366</v>
      </c>
      <c r="F5" s="2535"/>
      <c r="G5" s="2535"/>
      <c r="H5" s="2535"/>
      <c r="I5" s="2535"/>
      <c r="J5" s="2536"/>
      <c r="K5" s="824"/>
      <c r="L5" s="825" t="s">
        <v>587</v>
      </c>
      <c r="M5" s="824"/>
      <c r="N5" s="2534" t="s">
        <v>188</v>
      </c>
      <c r="O5" s="2536"/>
      <c r="P5" s="824"/>
      <c r="Q5" s="824"/>
    </row>
    <row r="6" spans="1:21" s="566" customFormat="1" ht="6" customHeight="1">
      <c r="A6" s="348"/>
      <c r="B6" s="348"/>
      <c r="C6" s="348"/>
      <c r="D6" s="348"/>
      <c r="E6" s="353"/>
      <c r="F6" s="354"/>
      <c r="G6" s="354"/>
      <c r="H6" s="349"/>
      <c r="I6" s="349"/>
      <c r="J6" s="349"/>
      <c r="K6" s="349"/>
      <c r="M6" s="349"/>
    </row>
    <row r="7" spans="1:21" s="562" customFormat="1" ht="20.25" customHeight="1">
      <c r="A7" s="345"/>
      <c r="B7" s="345"/>
      <c r="C7" s="345"/>
      <c r="D7" s="345"/>
      <c r="E7" s="576" t="s">
        <v>511</v>
      </c>
      <c r="F7" s="576" t="s">
        <v>510</v>
      </c>
      <c r="G7" s="576" t="s">
        <v>509</v>
      </c>
      <c r="H7" s="575" t="s">
        <v>508</v>
      </c>
      <c r="I7" s="576" t="s">
        <v>507</v>
      </c>
      <c r="J7" s="575" t="s">
        <v>791</v>
      </c>
      <c r="K7" s="576"/>
      <c r="L7" s="575" t="s">
        <v>505</v>
      </c>
      <c r="M7" s="576"/>
      <c r="N7" s="575" t="s">
        <v>790</v>
      </c>
      <c r="O7" s="575" t="s">
        <v>789</v>
      </c>
      <c r="Q7" s="823" t="s">
        <v>788</v>
      </c>
      <c r="R7" s="822"/>
      <c r="S7" s="822"/>
      <c r="T7" s="822"/>
      <c r="U7" s="822"/>
    </row>
    <row r="8" spans="1:21" s="562" customFormat="1" ht="15" customHeight="1">
      <c r="A8" s="345"/>
      <c r="B8" s="345"/>
      <c r="C8" s="345"/>
      <c r="D8" s="345"/>
      <c r="E8" s="346"/>
      <c r="F8" s="345"/>
      <c r="H8" s="355"/>
      <c r="I8" s="355"/>
      <c r="J8" s="355"/>
      <c r="K8" s="355"/>
      <c r="M8" s="355"/>
    </row>
    <row r="9" spans="1:21" s="562" customFormat="1" ht="18" customHeight="1">
      <c r="A9" s="356" t="s">
        <v>8</v>
      </c>
      <c r="B9" s="356"/>
      <c r="C9" s="357"/>
      <c r="D9" s="357"/>
      <c r="E9" s="358">
        <f t="shared" ref="E9:J9" si="0">E10+E11</f>
        <v>141283</v>
      </c>
      <c r="F9" s="358">
        <f t="shared" si="0"/>
        <v>141217</v>
      </c>
      <c r="G9" s="358">
        <f t="shared" si="0"/>
        <v>143019</v>
      </c>
      <c r="H9" s="358">
        <f t="shared" si="0"/>
        <v>147908</v>
      </c>
      <c r="I9" s="358">
        <f t="shared" si="0"/>
        <v>159845</v>
      </c>
      <c r="J9" s="358">
        <f t="shared" si="0"/>
        <v>173237</v>
      </c>
      <c r="K9" s="358"/>
      <c r="L9" s="358">
        <f>L10+L11</f>
        <v>154604</v>
      </c>
      <c r="M9" s="358"/>
      <c r="N9" s="358">
        <f>N10+N11</f>
        <v>150795</v>
      </c>
      <c r="O9" s="358">
        <f>O10+O11</f>
        <v>150795</v>
      </c>
    </row>
    <row r="10" spans="1:21" s="562" customFormat="1" ht="18" customHeight="1">
      <c r="A10" s="360" t="s">
        <v>504</v>
      </c>
      <c r="B10" s="356"/>
      <c r="C10" s="357"/>
      <c r="D10" s="357"/>
      <c r="E10" s="34">
        <v>131489</v>
      </c>
      <c r="F10" s="34">
        <v>130933</v>
      </c>
      <c r="G10" s="34">
        <v>132176</v>
      </c>
      <c r="H10" s="34">
        <f>136512+94521-94310</f>
        <v>136723</v>
      </c>
      <c r="I10" s="34">
        <v>148000</v>
      </c>
      <c r="J10" s="34">
        <v>160778</v>
      </c>
      <c r="K10" s="34"/>
      <c r="L10" s="34">
        <v>143046</v>
      </c>
      <c r="M10" s="34"/>
      <c r="N10" s="34">
        <v>139237</v>
      </c>
      <c r="O10" s="34">
        <v>139237</v>
      </c>
    </row>
    <row r="11" spans="1:21" s="562" customFormat="1" ht="18" customHeight="1">
      <c r="A11" s="360" t="s">
        <v>503</v>
      </c>
      <c r="B11" s="355"/>
      <c r="C11" s="355"/>
      <c r="D11" s="355"/>
      <c r="E11" s="34">
        <v>9794</v>
      </c>
      <c r="F11" s="34">
        <v>10284</v>
      </c>
      <c r="G11" s="34">
        <v>10843</v>
      </c>
      <c r="H11" s="34">
        <v>11185</v>
      </c>
      <c r="I11" s="34">
        <v>11845</v>
      </c>
      <c r="J11" s="34">
        <v>12459</v>
      </c>
      <c r="K11" s="34"/>
      <c r="L11" s="34">
        <v>11558</v>
      </c>
      <c r="M11" s="34"/>
      <c r="N11" s="34">
        <v>11558</v>
      </c>
      <c r="O11" s="34">
        <v>11558</v>
      </c>
    </row>
    <row r="12" spans="1:21" s="562" customFormat="1" ht="18" customHeight="1">
      <c r="A12" s="360"/>
      <c r="B12" s="355"/>
      <c r="C12" s="355"/>
      <c r="D12" s="355"/>
      <c r="E12" s="359"/>
      <c r="F12" s="574"/>
      <c r="G12" s="572"/>
      <c r="H12" s="34"/>
      <c r="I12" s="34"/>
      <c r="J12" s="34"/>
      <c r="K12" s="34"/>
      <c r="M12" s="34"/>
    </row>
    <row r="13" spans="1:21" s="562" customFormat="1" ht="18" customHeight="1">
      <c r="A13" s="357" t="s">
        <v>370</v>
      </c>
      <c r="B13" s="357"/>
      <c r="C13" s="357"/>
      <c r="D13" s="357"/>
      <c r="E13" s="358">
        <f t="shared" ref="E13:J13" si="1">SUM(E14:E20)</f>
        <v>91358</v>
      </c>
      <c r="F13" s="358">
        <f t="shared" si="1"/>
        <v>91547</v>
      </c>
      <c r="G13" s="358">
        <f t="shared" si="1"/>
        <v>92182</v>
      </c>
      <c r="H13" s="358">
        <f t="shared" si="1"/>
        <v>94310</v>
      </c>
      <c r="I13" s="358">
        <f t="shared" si="1"/>
        <v>98292</v>
      </c>
      <c r="J13" s="358">
        <f t="shared" si="1"/>
        <v>101165</v>
      </c>
      <c r="K13" s="358"/>
      <c r="L13" s="358">
        <f>SUM(L14:L20)</f>
        <v>92929</v>
      </c>
      <c r="M13" s="358"/>
      <c r="N13" s="358">
        <f>SUM(N14:N20)</f>
        <v>92907</v>
      </c>
      <c r="O13" s="358">
        <f>SUM(O14:O20)</f>
        <v>92907</v>
      </c>
    </row>
    <row r="14" spans="1:21" s="562" customFormat="1" ht="18" customHeight="1">
      <c r="A14" s="360" t="s">
        <v>502</v>
      </c>
      <c r="B14" s="360"/>
      <c r="C14" s="355"/>
      <c r="D14" s="355"/>
      <c r="E14" s="34">
        <v>36357</v>
      </c>
      <c r="F14" s="34">
        <v>36022</v>
      </c>
      <c r="G14" s="34">
        <v>36647</v>
      </c>
      <c r="H14" s="34">
        <f>33857+1565+2103</f>
        <v>37525</v>
      </c>
      <c r="I14" s="34">
        <f>35326+1922+2481</f>
        <v>39729</v>
      </c>
      <c r="J14" s="34">
        <v>40943</v>
      </c>
      <c r="K14" s="34"/>
      <c r="L14" s="34">
        <v>37162</v>
      </c>
      <c r="M14" s="34"/>
      <c r="N14" s="34">
        <v>37162</v>
      </c>
      <c r="O14" s="34">
        <v>37162</v>
      </c>
    </row>
    <row r="15" spans="1:21" s="562" customFormat="1" ht="18" customHeight="1">
      <c r="A15" s="362" t="s">
        <v>371</v>
      </c>
      <c r="B15" s="360"/>
      <c r="C15" s="355"/>
      <c r="D15" s="355"/>
      <c r="E15" s="34">
        <v>21157</v>
      </c>
      <c r="F15" s="34">
        <v>21301</v>
      </c>
      <c r="G15" s="34">
        <v>21244</v>
      </c>
      <c r="H15" s="34">
        <v>22334</v>
      </c>
      <c r="I15" s="34">
        <f>20198+957+2161</f>
        <v>23316</v>
      </c>
      <c r="J15" s="34">
        <v>23992</v>
      </c>
      <c r="K15" s="34"/>
      <c r="L15" s="34">
        <v>22250</v>
      </c>
      <c r="M15" s="34"/>
      <c r="N15" s="34">
        <v>22228</v>
      </c>
      <c r="O15" s="34">
        <v>22228</v>
      </c>
    </row>
    <row r="16" spans="1:21" s="562" customFormat="1" ht="18" customHeight="1">
      <c r="A16" s="360" t="s">
        <v>372</v>
      </c>
      <c r="B16" s="360"/>
      <c r="C16" s="355"/>
      <c r="D16" s="355"/>
      <c r="E16" s="34">
        <v>9126</v>
      </c>
      <c r="F16" s="34">
        <v>9281</v>
      </c>
      <c r="G16" s="34">
        <v>9189</v>
      </c>
      <c r="H16" s="34">
        <v>9111</v>
      </c>
      <c r="I16" s="34">
        <v>9287</v>
      </c>
      <c r="J16" s="34">
        <v>9486</v>
      </c>
      <c r="K16" s="34"/>
      <c r="L16" s="34">
        <v>8734</v>
      </c>
      <c r="M16" s="34"/>
      <c r="N16" s="34">
        <v>8734</v>
      </c>
      <c r="O16" s="34">
        <v>8734</v>
      </c>
    </row>
    <row r="17" spans="1:15" s="562" customFormat="1" ht="18" customHeight="1">
      <c r="A17" s="360" t="s">
        <v>373</v>
      </c>
      <c r="B17" s="360"/>
      <c r="C17" s="355"/>
      <c r="D17" s="355"/>
      <c r="E17" s="34">
        <v>8885</v>
      </c>
      <c r="F17" s="34">
        <v>9057</v>
      </c>
      <c r="G17" s="34">
        <v>9204</v>
      </c>
      <c r="H17" s="34">
        <v>8931</v>
      </c>
      <c r="I17" s="34">
        <v>9082</v>
      </c>
      <c r="J17" s="34">
        <v>9673</v>
      </c>
      <c r="K17" s="34"/>
      <c r="L17" s="34">
        <v>8808</v>
      </c>
      <c r="M17" s="34"/>
      <c r="N17" s="34">
        <v>8808</v>
      </c>
      <c r="O17" s="34">
        <v>8808</v>
      </c>
    </row>
    <row r="18" spans="1:15" s="562" customFormat="1" ht="18" customHeight="1">
      <c r="A18" s="360" t="s">
        <v>374</v>
      </c>
      <c r="B18" s="360"/>
      <c r="C18" s="355"/>
      <c r="D18" s="355"/>
      <c r="E18" s="34">
        <v>4120</v>
      </c>
      <c r="F18" s="34">
        <v>4131</v>
      </c>
      <c r="G18" s="34">
        <v>4114</v>
      </c>
      <c r="H18" s="34">
        <v>4269</v>
      </c>
      <c r="I18" s="34">
        <v>4470</v>
      </c>
      <c r="J18" s="34">
        <v>4596</v>
      </c>
      <c r="K18" s="34"/>
      <c r="L18" s="34">
        <v>4213</v>
      </c>
      <c r="M18" s="34"/>
      <c r="N18" s="34">
        <v>4213</v>
      </c>
      <c r="O18" s="34">
        <v>4213</v>
      </c>
    </row>
    <row r="19" spans="1:15" s="562" customFormat="1" ht="18" customHeight="1">
      <c r="A19" s="362" t="s">
        <v>375</v>
      </c>
      <c r="B19" s="360"/>
      <c r="C19" s="355"/>
      <c r="D19" s="355"/>
      <c r="E19" s="34">
        <v>11713</v>
      </c>
      <c r="F19" s="34">
        <v>11755</v>
      </c>
      <c r="G19" s="34">
        <v>11784</v>
      </c>
      <c r="H19" s="34">
        <v>12140</v>
      </c>
      <c r="I19" s="34">
        <v>12408</v>
      </c>
      <c r="J19" s="34">
        <v>12475</v>
      </c>
      <c r="K19" s="34"/>
      <c r="L19" s="34">
        <v>11762</v>
      </c>
      <c r="M19" s="34"/>
      <c r="N19" s="34">
        <v>11762</v>
      </c>
      <c r="O19" s="34">
        <v>11762</v>
      </c>
    </row>
    <row r="20" spans="1:15" s="562" customFormat="1" ht="18" customHeight="1">
      <c r="A20" s="355"/>
      <c r="B20" s="355"/>
      <c r="C20" s="355"/>
      <c r="D20" s="355"/>
      <c r="E20" s="359"/>
      <c r="F20" s="574"/>
      <c r="G20" s="572"/>
      <c r="H20" s="34"/>
      <c r="I20" s="34"/>
      <c r="J20" s="34"/>
      <c r="K20" s="34"/>
      <c r="L20" s="34" t="s">
        <v>386</v>
      </c>
      <c r="M20" s="34"/>
      <c r="N20" s="34" t="s">
        <v>386</v>
      </c>
      <c r="O20" s="34" t="s">
        <v>386</v>
      </c>
    </row>
    <row r="21" spans="1:15" s="562" customFormat="1" ht="18" customHeight="1">
      <c r="A21" s="357" t="s">
        <v>501</v>
      </c>
      <c r="B21" s="357"/>
      <c r="C21" s="355"/>
      <c r="D21" s="355"/>
      <c r="E21" s="358">
        <f t="shared" ref="E21:J21" si="2">E10+E13</f>
        <v>222847</v>
      </c>
      <c r="F21" s="358">
        <f t="shared" si="2"/>
        <v>222480</v>
      </c>
      <c r="G21" s="358">
        <f t="shared" si="2"/>
        <v>224358</v>
      </c>
      <c r="H21" s="358">
        <f t="shared" si="2"/>
        <v>231033</v>
      </c>
      <c r="I21" s="358">
        <f t="shared" si="2"/>
        <v>246292</v>
      </c>
      <c r="J21" s="358">
        <f t="shared" si="2"/>
        <v>261943</v>
      </c>
      <c r="K21" s="358"/>
      <c r="L21" s="358">
        <f>L10+L13</f>
        <v>235975</v>
      </c>
      <c r="M21" s="358"/>
      <c r="N21" s="358">
        <f>N10+N13</f>
        <v>232144</v>
      </c>
      <c r="O21" s="358">
        <f>O10+O13</f>
        <v>232144</v>
      </c>
    </row>
    <row r="22" spans="1:15" s="562" customFormat="1" ht="18" customHeight="1">
      <c r="A22" s="357"/>
      <c r="B22" s="357"/>
      <c r="C22" s="355"/>
      <c r="D22" s="355"/>
      <c r="E22" s="358"/>
      <c r="F22" s="358"/>
      <c r="G22" s="358"/>
      <c r="H22" s="358"/>
      <c r="I22" s="358"/>
      <c r="J22" s="358"/>
      <c r="K22" s="358"/>
      <c r="M22" s="358"/>
    </row>
    <row r="23" spans="1:15" s="562" customFormat="1" ht="15" customHeight="1">
      <c r="A23" s="363"/>
      <c r="B23" s="363"/>
      <c r="C23" s="364"/>
      <c r="D23" s="364"/>
      <c r="E23" s="365"/>
      <c r="F23" s="366"/>
      <c r="G23" s="366"/>
      <c r="H23" s="364"/>
      <c r="I23" s="573"/>
      <c r="J23" s="573"/>
      <c r="K23" s="573"/>
      <c r="L23" s="573"/>
      <c r="M23" s="573"/>
      <c r="N23" s="573"/>
      <c r="O23" s="573"/>
    </row>
    <row r="24" spans="1:15" s="562" customFormat="1" ht="15" customHeight="1">
      <c r="E24" s="345"/>
      <c r="F24" s="346"/>
      <c r="G24" s="346"/>
      <c r="H24" s="345"/>
      <c r="I24" s="572"/>
      <c r="J24" s="572"/>
      <c r="K24" s="572"/>
      <c r="M24" s="572"/>
    </row>
    <row r="25" spans="1:15" s="562" customFormat="1" ht="15.75" customHeight="1">
      <c r="A25" s="567" t="s">
        <v>376</v>
      </c>
      <c r="B25" s="571" t="s">
        <v>500</v>
      </c>
      <c r="C25" s="571"/>
      <c r="D25" s="571"/>
      <c r="E25" s="571"/>
      <c r="F25" s="571"/>
      <c r="G25" s="571"/>
      <c r="H25" s="571"/>
      <c r="I25" s="571"/>
      <c r="J25" s="571"/>
      <c r="K25" s="571"/>
      <c r="L25" s="571"/>
      <c r="M25" s="571"/>
      <c r="N25" s="571"/>
      <c r="O25" s="571"/>
    </row>
    <row r="26" spans="1:15" s="562" customFormat="1" ht="15.75" customHeight="1">
      <c r="A26" s="567"/>
      <c r="B26" s="569" t="s">
        <v>499</v>
      </c>
      <c r="C26" s="569"/>
      <c r="D26" s="569"/>
      <c r="E26" s="569"/>
      <c r="F26" s="569"/>
      <c r="G26" s="569"/>
      <c r="H26" s="569"/>
      <c r="I26" s="569"/>
      <c r="J26" s="569"/>
      <c r="K26" s="569"/>
      <c r="L26" s="569"/>
      <c r="M26" s="569"/>
      <c r="N26" s="569"/>
      <c r="O26" s="569"/>
    </row>
    <row r="27" spans="1:15" s="566" customFormat="1" ht="15.75" customHeight="1">
      <c r="A27" s="567" t="s">
        <v>377</v>
      </c>
      <c r="B27" s="569" t="s">
        <v>498</v>
      </c>
      <c r="C27" s="569"/>
      <c r="D27" s="569"/>
      <c r="E27" s="569"/>
      <c r="F27" s="569"/>
      <c r="G27" s="569"/>
      <c r="H27" s="569"/>
      <c r="I27" s="569"/>
      <c r="J27" s="569"/>
      <c r="K27" s="569"/>
      <c r="L27" s="569"/>
      <c r="M27" s="569"/>
      <c r="N27" s="569"/>
      <c r="O27" s="569"/>
    </row>
    <row r="28" spans="1:15" s="566" customFormat="1" ht="15.75" customHeight="1">
      <c r="A28" s="567"/>
      <c r="B28" s="569" t="s">
        <v>497</v>
      </c>
      <c r="C28" s="569"/>
      <c r="D28" s="569"/>
      <c r="E28" s="569"/>
      <c r="F28" s="569"/>
      <c r="G28" s="569"/>
      <c r="H28" s="569"/>
      <c r="I28" s="569"/>
      <c r="J28" s="569"/>
      <c r="K28" s="569"/>
      <c r="L28" s="569"/>
      <c r="M28" s="569"/>
      <c r="N28" s="569"/>
      <c r="O28" s="569"/>
    </row>
    <row r="29" spans="1:15" s="566" customFormat="1" ht="15.75" customHeight="1">
      <c r="A29" s="567" t="s">
        <v>496</v>
      </c>
      <c r="B29" s="569" t="s">
        <v>495</v>
      </c>
      <c r="C29" s="569"/>
      <c r="D29" s="569"/>
      <c r="E29" s="569"/>
      <c r="F29" s="569"/>
      <c r="G29" s="569"/>
      <c r="H29" s="569"/>
      <c r="I29" s="569"/>
      <c r="J29" s="569"/>
      <c r="K29" s="569"/>
      <c r="L29" s="569"/>
      <c r="M29" s="569"/>
      <c r="N29" s="569"/>
      <c r="O29" s="569"/>
    </row>
    <row r="30" spans="1:15" s="562" customFormat="1" ht="15.75" customHeight="1">
      <c r="A30" s="821"/>
      <c r="B30" s="820" t="s">
        <v>494</v>
      </c>
      <c r="C30" s="819"/>
      <c r="D30" s="818"/>
      <c r="E30" s="818"/>
      <c r="F30" s="818"/>
      <c r="G30" s="818"/>
      <c r="H30" s="818"/>
      <c r="I30" s="817"/>
      <c r="J30" s="817"/>
      <c r="K30" s="816"/>
      <c r="L30" s="816"/>
      <c r="M30" s="816"/>
      <c r="N30" s="816"/>
      <c r="O30" s="816"/>
    </row>
    <row r="31" spans="1:15" s="562" customFormat="1" ht="15.75" customHeight="1">
      <c r="A31" s="821"/>
      <c r="B31" s="820" t="s">
        <v>493</v>
      </c>
      <c r="C31" s="819"/>
      <c r="D31" s="818"/>
      <c r="E31" s="818"/>
      <c r="F31" s="818"/>
      <c r="G31" s="818"/>
      <c r="H31" s="818"/>
      <c r="I31" s="817"/>
      <c r="J31" s="817"/>
      <c r="K31" s="816"/>
      <c r="L31" s="816"/>
      <c r="M31" s="816"/>
      <c r="N31" s="816"/>
      <c r="O31" s="816"/>
    </row>
    <row r="32" spans="1:15" s="562" customFormat="1" ht="15" customHeight="1">
      <c r="A32" s="370"/>
      <c r="B32" s="369"/>
      <c r="C32" s="372"/>
      <c r="D32" s="346"/>
      <c r="E32" s="346"/>
      <c r="F32" s="346"/>
      <c r="G32" s="346"/>
      <c r="H32" s="346"/>
      <c r="I32" s="563"/>
      <c r="J32" s="563"/>
      <c r="K32" s="563"/>
      <c r="M32" s="563"/>
    </row>
    <row r="33" spans="1:13" s="562" customFormat="1" ht="12.75" customHeight="1">
      <c r="A33" s="355"/>
      <c r="B33" s="369"/>
      <c r="C33" s="346"/>
      <c r="D33" s="346"/>
      <c r="E33" s="346"/>
      <c r="F33" s="346"/>
      <c r="G33" s="346"/>
      <c r="H33" s="346"/>
      <c r="I33" s="563"/>
      <c r="J33" s="563"/>
      <c r="K33" s="563"/>
      <c r="M33" s="563"/>
    </row>
    <row r="34" spans="1:13" s="562" customFormat="1" ht="12.75" customHeight="1">
      <c r="A34" s="355"/>
      <c r="B34" s="369"/>
      <c r="C34" s="346"/>
      <c r="D34" s="346"/>
      <c r="E34" s="346"/>
      <c r="F34" s="346"/>
      <c r="G34" s="346"/>
      <c r="H34" s="346"/>
      <c r="I34" s="563"/>
      <c r="J34" s="563"/>
      <c r="K34" s="563"/>
      <c r="M34" s="563"/>
    </row>
    <row r="35" spans="1:13" ht="12.75" customHeight="1">
      <c r="A35" s="565"/>
      <c r="B35" s="564"/>
      <c r="F35" s="355"/>
      <c r="G35" s="355"/>
    </row>
    <row r="36" spans="1:13" ht="12.75" customHeight="1">
      <c r="B36" s="564"/>
      <c r="F36" s="355"/>
      <c r="G36" s="355"/>
    </row>
    <row r="37" spans="1:13" ht="15" customHeight="1">
      <c r="A37" s="565"/>
      <c r="B37" s="564"/>
      <c r="F37" s="355"/>
      <c r="G37" s="355"/>
      <c r="H37" s="361"/>
    </row>
    <row r="38" spans="1:13" ht="15" customHeight="1">
      <c r="B38" s="564"/>
      <c r="F38" s="355"/>
      <c r="G38" s="355"/>
    </row>
    <row r="39" spans="1:13" s="562" customFormat="1" ht="15" customHeight="1">
      <c r="A39" s="370"/>
      <c r="B39" s="369"/>
      <c r="C39" s="346"/>
      <c r="D39" s="346"/>
      <c r="E39" s="346"/>
      <c r="F39" s="346"/>
      <c r="G39" s="346"/>
      <c r="H39" s="346"/>
      <c r="I39" s="563"/>
      <c r="J39" s="563"/>
      <c r="K39" s="563"/>
      <c r="M39" s="563"/>
    </row>
    <row r="40" spans="1:13" s="562" customFormat="1" ht="15" customHeight="1">
      <c r="A40" s="355"/>
      <c r="B40" s="369"/>
      <c r="C40" s="346"/>
      <c r="D40" s="346"/>
      <c r="E40" s="346"/>
      <c r="F40" s="346"/>
      <c r="G40" s="346"/>
      <c r="H40" s="346"/>
      <c r="I40" s="563"/>
      <c r="J40" s="563"/>
      <c r="K40" s="563"/>
      <c r="M40" s="563"/>
    </row>
    <row r="41" spans="1:13" s="562" customFormat="1" ht="15" customHeight="1">
      <c r="A41" s="346"/>
      <c r="B41" s="346"/>
      <c r="C41" s="346"/>
      <c r="D41" s="346"/>
      <c r="E41" s="346"/>
      <c r="F41" s="346"/>
      <c r="G41" s="346"/>
      <c r="H41" s="346"/>
      <c r="I41" s="563"/>
      <c r="J41" s="563"/>
      <c r="K41" s="563"/>
      <c r="M41" s="563"/>
    </row>
    <row r="42" spans="1:13" s="562" customFormat="1" ht="16.5" customHeight="1">
      <c r="A42" s="346"/>
      <c r="B42" s="346"/>
      <c r="C42" s="346"/>
      <c r="D42" s="346"/>
      <c r="E42" s="346"/>
      <c r="F42" s="346"/>
      <c r="G42" s="346"/>
      <c r="H42" s="346"/>
      <c r="I42" s="563"/>
      <c r="J42" s="563"/>
      <c r="K42" s="563"/>
      <c r="M42" s="563"/>
    </row>
    <row r="43" spans="1:13" s="562" customFormat="1" ht="15">
      <c r="A43" s="373"/>
      <c r="B43" s="373"/>
      <c r="C43" s="345"/>
      <c r="D43" s="345"/>
      <c r="E43" s="345"/>
      <c r="F43" s="346"/>
      <c r="G43" s="346"/>
      <c r="H43" s="345"/>
    </row>
    <row r="44" spans="1:13">
      <c r="A44" s="374"/>
      <c r="B44" s="374"/>
      <c r="C44" s="345"/>
      <c r="D44" s="345"/>
      <c r="E44" s="345"/>
      <c r="F44" s="346"/>
      <c r="G44" s="346"/>
      <c r="H44" s="345"/>
    </row>
    <row r="45" spans="1:13">
      <c r="A45" s="374"/>
      <c r="B45" s="374"/>
    </row>
    <row r="46" spans="1:13">
      <c r="A46" s="374"/>
      <c r="B46" s="374"/>
    </row>
  </sheetData>
  <mergeCells count="5">
    <mergeCell ref="A1:Q1"/>
    <mergeCell ref="A2:Q2"/>
    <mergeCell ref="A4:Q4"/>
    <mergeCell ref="E5:J5"/>
    <mergeCell ref="N5:O5"/>
  </mergeCells>
  <printOptions horizontalCentered="1"/>
  <pageMargins left="0.4" right="0.4" top="0.7" bottom="0.7" header="0.5" footer="0.35"/>
  <pageSetup firstPageNumber="247" orientation="portrait" useFirstPageNumber="1" r:id="rId1"/>
  <headerFooter alignWithMargins="0">
    <oddFooter>&amp;C&amp;"Times New Roman,Regular"&amp;10&amp;P</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J191"/>
  <sheetViews>
    <sheetView workbookViewId="0"/>
  </sheetViews>
  <sheetFormatPr defaultRowHeight="15"/>
  <cols>
    <col min="1" max="1" width="30.75" style="826" bestFit="1" customWidth="1"/>
    <col min="2" max="10" width="10" style="826" customWidth="1"/>
    <col min="11" max="16384" width="9" style="826"/>
  </cols>
  <sheetData>
    <row r="1" spans="1:10">
      <c r="A1" s="838" t="s">
        <v>804</v>
      </c>
      <c r="B1" s="838"/>
      <c r="C1" s="838"/>
      <c r="D1" s="838"/>
      <c r="E1" s="838"/>
      <c r="F1" s="838"/>
      <c r="G1" s="838"/>
      <c r="H1" s="838"/>
      <c r="I1" s="838"/>
      <c r="J1" s="838"/>
    </row>
    <row r="2" spans="1:10">
      <c r="A2" s="838" t="s">
        <v>803</v>
      </c>
      <c r="B2" s="838"/>
      <c r="C2" s="838"/>
      <c r="D2" s="838"/>
      <c r="E2" s="838"/>
      <c r="F2" s="838"/>
      <c r="G2" s="838"/>
      <c r="H2" s="838"/>
      <c r="I2" s="838"/>
      <c r="J2" s="838"/>
    </row>
    <row r="3" spans="1:10">
      <c r="A3" s="839" t="s">
        <v>1</v>
      </c>
      <c r="B3" s="839"/>
      <c r="C3" s="839"/>
      <c r="D3" s="839"/>
      <c r="E3" s="839"/>
      <c r="F3" s="839"/>
      <c r="G3" s="839"/>
      <c r="H3" s="839"/>
      <c r="I3" s="839"/>
      <c r="J3" s="839"/>
    </row>
    <row r="5" spans="1:10">
      <c r="B5" s="838" t="s">
        <v>785</v>
      </c>
      <c r="C5" s="838"/>
      <c r="D5" s="838"/>
      <c r="E5" s="838" t="s">
        <v>784</v>
      </c>
      <c r="F5" s="838"/>
      <c r="G5" s="838"/>
      <c r="H5" s="838" t="s">
        <v>802</v>
      </c>
      <c r="I5" s="838"/>
      <c r="J5" s="838"/>
    </row>
    <row r="6" spans="1:10">
      <c r="A6" s="837"/>
      <c r="B6" s="836" t="s">
        <v>801</v>
      </c>
      <c r="C6" s="836" t="s">
        <v>800</v>
      </c>
      <c r="D6" s="836" t="s">
        <v>799</v>
      </c>
      <c r="E6" s="836" t="s">
        <v>801</v>
      </c>
      <c r="F6" s="836" t="s">
        <v>800</v>
      </c>
      <c r="G6" s="836" t="s">
        <v>799</v>
      </c>
      <c r="H6" s="836" t="s">
        <v>801</v>
      </c>
      <c r="I6" s="836" t="s">
        <v>800</v>
      </c>
      <c r="J6" s="836" t="s">
        <v>799</v>
      </c>
    </row>
    <row r="7" spans="1:10">
      <c r="B7" s="832"/>
      <c r="C7" s="832"/>
      <c r="D7" s="832"/>
      <c r="E7" s="832"/>
      <c r="F7" s="832"/>
      <c r="G7" s="832"/>
      <c r="H7" s="832"/>
      <c r="I7" s="832"/>
      <c r="J7" s="832"/>
    </row>
    <row r="8" spans="1:10">
      <c r="A8" s="835" t="s">
        <v>780</v>
      </c>
      <c r="B8" s="832">
        <v>70318</v>
      </c>
      <c r="C8" s="832">
        <v>72026</v>
      </c>
      <c r="D8" s="832">
        <v>142344</v>
      </c>
      <c r="E8" s="832">
        <v>0</v>
      </c>
      <c r="F8" s="832">
        <v>0</v>
      </c>
      <c r="G8" s="832">
        <v>0</v>
      </c>
      <c r="H8" s="832">
        <v>0</v>
      </c>
      <c r="I8" s="832">
        <v>0</v>
      </c>
      <c r="J8" s="832">
        <v>0</v>
      </c>
    </row>
    <row r="9" spans="1:10">
      <c r="A9" s="835" t="s">
        <v>770</v>
      </c>
      <c r="B9" s="832">
        <v>111154</v>
      </c>
      <c r="C9" s="832">
        <v>110654</v>
      </c>
      <c r="D9" s="832">
        <v>221808</v>
      </c>
      <c r="E9" s="832">
        <v>0</v>
      </c>
      <c r="F9" s="832">
        <v>0</v>
      </c>
      <c r="G9" s="832">
        <v>0</v>
      </c>
      <c r="H9" s="832">
        <v>0</v>
      </c>
      <c r="I9" s="832">
        <v>0</v>
      </c>
      <c r="J9" s="832">
        <v>0</v>
      </c>
    </row>
    <row r="10" spans="1:10">
      <c r="A10" s="835" t="s">
        <v>760</v>
      </c>
      <c r="B10" s="832">
        <v>230901</v>
      </c>
      <c r="C10" s="832">
        <v>243347</v>
      </c>
      <c r="D10" s="832">
        <v>474248</v>
      </c>
      <c r="E10" s="832">
        <v>0</v>
      </c>
      <c r="F10" s="832">
        <v>0</v>
      </c>
      <c r="G10" s="832">
        <v>0</v>
      </c>
      <c r="H10" s="832">
        <v>0</v>
      </c>
      <c r="I10" s="832">
        <v>0</v>
      </c>
      <c r="J10" s="832">
        <v>0</v>
      </c>
    </row>
    <row r="11" spans="1:10">
      <c r="A11" s="835" t="s">
        <v>735</v>
      </c>
      <c r="B11" s="832">
        <v>3162242</v>
      </c>
      <c r="C11" s="832">
        <v>3186795</v>
      </c>
      <c r="D11" s="832">
        <v>6349037</v>
      </c>
      <c r="E11" s="832">
        <v>0</v>
      </c>
      <c r="F11" s="832">
        <v>0</v>
      </c>
      <c r="G11" s="832">
        <v>0</v>
      </c>
      <c r="H11" s="832">
        <v>0</v>
      </c>
      <c r="I11" s="832">
        <v>0</v>
      </c>
      <c r="J11" s="832">
        <v>0</v>
      </c>
    </row>
    <row r="12" spans="1:10">
      <c r="A12" s="835" t="s">
        <v>721</v>
      </c>
      <c r="B12" s="832">
        <v>2853085</v>
      </c>
      <c r="C12" s="832">
        <v>2877690</v>
      </c>
      <c r="D12" s="832">
        <v>5730775</v>
      </c>
      <c r="E12" s="832">
        <v>0</v>
      </c>
      <c r="F12" s="832">
        <v>0</v>
      </c>
      <c r="G12" s="832">
        <v>0</v>
      </c>
      <c r="H12" s="832">
        <v>362</v>
      </c>
      <c r="I12" s="832">
        <v>363</v>
      </c>
      <c r="J12" s="832">
        <v>725</v>
      </c>
    </row>
    <row r="13" spans="1:10">
      <c r="A13" s="835" t="s">
        <v>706</v>
      </c>
      <c r="B13" s="832">
        <v>156334</v>
      </c>
      <c r="C13" s="832">
        <v>152969</v>
      </c>
      <c r="D13" s="832">
        <v>309303</v>
      </c>
      <c r="E13" s="832">
        <v>0</v>
      </c>
      <c r="F13" s="832">
        <v>0</v>
      </c>
      <c r="G13" s="832">
        <v>0</v>
      </c>
      <c r="H13" s="832">
        <v>0</v>
      </c>
      <c r="I13" s="832">
        <v>0</v>
      </c>
      <c r="J13" s="832">
        <v>0</v>
      </c>
    </row>
    <row r="14" spans="1:10">
      <c r="A14" s="835" t="s">
        <v>694</v>
      </c>
      <c r="B14" s="832">
        <v>40186</v>
      </c>
      <c r="C14" s="832">
        <v>38086</v>
      </c>
      <c r="D14" s="832">
        <v>78272</v>
      </c>
      <c r="E14" s="832">
        <v>0</v>
      </c>
      <c r="F14" s="832">
        <v>0</v>
      </c>
      <c r="G14" s="832">
        <v>0</v>
      </c>
      <c r="H14" s="832">
        <v>0</v>
      </c>
      <c r="I14" s="832">
        <v>0</v>
      </c>
      <c r="J14" s="832">
        <v>0</v>
      </c>
    </row>
    <row r="15" spans="1:10">
      <c r="A15" s="835" t="s">
        <v>690</v>
      </c>
      <c r="B15" s="832">
        <v>6839671</v>
      </c>
      <c r="C15" s="832">
        <v>6893316</v>
      </c>
      <c r="D15" s="832">
        <v>13732987</v>
      </c>
      <c r="E15" s="832">
        <v>0</v>
      </c>
      <c r="F15" s="832">
        <v>0</v>
      </c>
      <c r="G15" s="832">
        <v>0</v>
      </c>
      <c r="H15" s="832">
        <v>25166</v>
      </c>
      <c r="I15" s="832">
        <v>25168</v>
      </c>
      <c r="J15" s="832">
        <v>50334</v>
      </c>
    </row>
    <row r="16" spans="1:10">
      <c r="A16" s="835" t="s">
        <v>177</v>
      </c>
      <c r="B16" s="832">
        <v>1186782</v>
      </c>
      <c r="C16" s="832">
        <v>1214967</v>
      </c>
      <c r="D16" s="832">
        <v>2401749</v>
      </c>
      <c r="E16" s="832">
        <v>1088115</v>
      </c>
      <c r="F16" s="832">
        <v>1240234</v>
      </c>
      <c r="G16" s="832">
        <v>2328349</v>
      </c>
      <c r="H16" s="832">
        <v>101918</v>
      </c>
      <c r="I16" s="832">
        <v>98975</v>
      </c>
      <c r="J16" s="832">
        <v>200893</v>
      </c>
    </row>
    <row r="17" spans="1:10">
      <c r="A17" s="835" t="s">
        <v>675</v>
      </c>
      <c r="B17" s="832">
        <v>43183</v>
      </c>
      <c r="C17" s="832">
        <v>43140</v>
      </c>
      <c r="D17" s="832">
        <v>86323</v>
      </c>
      <c r="E17" s="832">
        <v>0</v>
      </c>
      <c r="F17" s="832">
        <v>0</v>
      </c>
      <c r="G17" s="832">
        <v>0</v>
      </c>
      <c r="H17" s="832">
        <v>0</v>
      </c>
      <c r="I17" s="832">
        <v>0</v>
      </c>
      <c r="J17" s="832">
        <v>0</v>
      </c>
    </row>
    <row r="18" spans="1:10">
      <c r="A18" s="835" t="s">
        <v>666</v>
      </c>
      <c r="B18" s="830">
        <v>1074002</v>
      </c>
      <c r="C18" s="830">
        <v>1124002</v>
      </c>
      <c r="D18" s="830">
        <v>2198004</v>
      </c>
      <c r="E18" s="830">
        <v>0</v>
      </c>
      <c r="F18" s="830">
        <v>0</v>
      </c>
      <c r="G18" s="830">
        <v>0</v>
      </c>
      <c r="H18" s="830">
        <v>0</v>
      </c>
      <c r="I18" s="830">
        <v>0</v>
      </c>
      <c r="J18" s="830">
        <v>0</v>
      </c>
    </row>
    <row r="19" spans="1:10">
      <c r="A19" s="834" t="s">
        <v>782</v>
      </c>
      <c r="B19" s="828">
        <v>15767858</v>
      </c>
      <c r="C19" s="828">
        <v>15956992</v>
      </c>
      <c r="D19" s="828">
        <v>31724850</v>
      </c>
      <c r="E19" s="828">
        <v>1088115</v>
      </c>
      <c r="F19" s="828">
        <v>1240234</v>
      </c>
      <c r="G19" s="828">
        <v>2328349</v>
      </c>
      <c r="H19" s="828">
        <v>127446</v>
      </c>
      <c r="I19" s="828">
        <v>124506</v>
      </c>
      <c r="J19" s="828">
        <v>251952</v>
      </c>
    </row>
    <row r="20" spans="1:10">
      <c r="B20" s="832"/>
      <c r="C20" s="832"/>
      <c r="D20" s="832"/>
      <c r="E20" s="832"/>
      <c r="F20" s="832"/>
      <c r="G20" s="832"/>
      <c r="H20" s="832"/>
      <c r="I20" s="832"/>
      <c r="J20" s="832"/>
    </row>
    <row r="21" spans="1:10">
      <c r="A21" s="835" t="s">
        <v>781</v>
      </c>
      <c r="B21" s="832">
        <v>-1500</v>
      </c>
      <c r="C21" s="832">
        <v>-2350</v>
      </c>
      <c r="D21" s="832">
        <v>-3850</v>
      </c>
      <c r="E21" s="832">
        <v>0</v>
      </c>
      <c r="F21" s="832">
        <v>0</v>
      </c>
      <c r="G21" s="832">
        <v>0</v>
      </c>
      <c r="H21" s="832">
        <v>0</v>
      </c>
      <c r="I21" s="832">
        <v>0</v>
      </c>
      <c r="J21" s="832">
        <v>0</v>
      </c>
    </row>
    <row r="22" spans="1:10">
      <c r="B22" s="832"/>
      <c r="C22" s="832"/>
      <c r="D22" s="832"/>
      <c r="E22" s="832"/>
      <c r="F22" s="832"/>
      <c r="G22" s="832"/>
      <c r="H22" s="832"/>
      <c r="I22" s="832"/>
      <c r="J22" s="832"/>
    </row>
    <row r="23" spans="1:10">
      <c r="A23" s="834" t="s">
        <v>362</v>
      </c>
      <c r="B23" s="828">
        <v>15766358</v>
      </c>
      <c r="C23" s="828">
        <v>15954642</v>
      </c>
      <c r="D23" s="828">
        <v>31721000</v>
      </c>
      <c r="E23" s="828">
        <v>1088115</v>
      </c>
      <c r="F23" s="828">
        <v>1240234</v>
      </c>
      <c r="G23" s="828">
        <v>2328349</v>
      </c>
      <c r="H23" s="828">
        <v>127446</v>
      </c>
      <c r="I23" s="828">
        <v>124506</v>
      </c>
      <c r="J23" s="828">
        <v>251952</v>
      </c>
    </row>
    <row r="24" spans="1:10">
      <c r="A24" s="827"/>
      <c r="B24" s="832"/>
      <c r="C24" s="832"/>
      <c r="D24" s="832"/>
      <c r="E24" s="832"/>
      <c r="F24" s="832"/>
      <c r="G24" s="832"/>
      <c r="H24" s="832"/>
      <c r="I24" s="832"/>
      <c r="J24" s="832"/>
    </row>
    <row r="25" spans="1:10">
      <c r="A25" s="827"/>
      <c r="B25" s="832"/>
      <c r="C25" s="832"/>
      <c r="D25" s="832"/>
      <c r="E25" s="832"/>
      <c r="F25" s="832"/>
      <c r="G25" s="832"/>
      <c r="H25" s="832"/>
      <c r="I25" s="832"/>
      <c r="J25" s="832"/>
    </row>
    <row r="26" spans="1:10">
      <c r="A26" s="833" t="s">
        <v>780</v>
      </c>
      <c r="B26" s="832"/>
      <c r="C26" s="832"/>
      <c r="D26" s="832"/>
      <c r="E26" s="832"/>
      <c r="F26" s="832"/>
      <c r="G26" s="832"/>
      <c r="H26" s="832"/>
      <c r="I26" s="832"/>
      <c r="J26" s="832"/>
    </row>
    <row r="27" spans="1:10">
      <c r="A27" s="831" t="s">
        <v>779</v>
      </c>
      <c r="B27" s="832">
        <v>29923</v>
      </c>
      <c r="C27" s="832">
        <v>30444</v>
      </c>
      <c r="D27" s="832">
        <v>60367</v>
      </c>
      <c r="E27" s="832">
        <v>0</v>
      </c>
      <c r="F27" s="832">
        <v>0</v>
      </c>
      <c r="G27" s="832">
        <v>0</v>
      </c>
      <c r="H27" s="832">
        <v>0</v>
      </c>
      <c r="I27" s="832">
        <v>0</v>
      </c>
      <c r="J27" s="832">
        <v>0</v>
      </c>
    </row>
    <row r="28" spans="1:10">
      <c r="A28" s="831" t="s">
        <v>778</v>
      </c>
      <c r="B28" s="832">
        <v>21772</v>
      </c>
      <c r="C28" s="832">
        <v>23868</v>
      </c>
      <c r="D28" s="832">
        <v>45640</v>
      </c>
      <c r="E28" s="832">
        <v>0</v>
      </c>
      <c r="F28" s="832">
        <v>0</v>
      </c>
      <c r="G28" s="832">
        <v>0</v>
      </c>
      <c r="H28" s="832">
        <v>0</v>
      </c>
      <c r="I28" s="832">
        <v>0</v>
      </c>
      <c r="J28" s="832">
        <v>0</v>
      </c>
    </row>
    <row r="29" spans="1:10">
      <c r="A29" s="831" t="s">
        <v>777</v>
      </c>
      <c r="B29" s="832">
        <v>2680</v>
      </c>
      <c r="C29" s="832">
        <v>2741</v>
      </c>
      <c r="D29" s="832">
        <v>5421</v>
      </c>
      <c r="E29" s="832">
        <v>0</v>
      </c>
      <c r="F29" s="832">
        <v>0</v>
      </c>
      <c r="G29" s="832">
        <v>0</v>
      </c>
      <c r="H29" s="832">
        <v>0</v>
      </c>
      <c r="I29" s="832">
        <v>0</v>
      </c>
      <c r="J29" s="832">
        <v>0</v>
      </c>
    </row>
    <row r="30" spans="1:10">
      <c r="A30" s="831" t="s">
        <v>776</v>
      </c>
      <c r="B30" s="832">
        <v>2027</v>
      </c>
      <c r="C30" s="832">
        <v>2193</v>
      </c>
      <c r="D30" s="832">
        <v>4220</v>
      </c>
      <c r="E30" s="832">
        <v>0</v>
      </c>
      <c r="F30" s="832">
        <v>0</v>
      </c>
      <c r="G30" s="832">
        <v>0</v>
      </c>
      <c r="H30" s="832">
        <v>0</v>
      </c>
      <c r="I30" s="832">
        <v>0</v>
      </c>
      <c r="J30" s="832">
        <v>0</v>
      </c>
    </row>
    <row r="31" spans="1:10">
      <c r="A31" s="831" t="s">
        <v>775</v>
      </c>
      <c r="B31" s="832">
        <v>24</v>
      </c>
      <c r="C31" s="832">
        <v>24</v>
      </c>
      <c r="D31" s="832">
        <v>48</v>
      </c>
      <c r="E31" s="832">
        <v>0</v>
      </c>
      <c r="F31" s="832">
        <v>0</v>
      </c>
      <c r="G31" s="832">
        <v>0</v>
      </c>
      <c r="H31" s="832">
        <v>0</v>
      </c>
      <c r="I31" s="832">
        <v>0</v>
      </c>
      <c r="J31" s="832">
        <v>0</v>
      </c>
    </row>
    <row r="32" spans="1:10">
      <c r="A32" s="831" t="s">
        <v>774</v>
      </c>
      <c r="B32" s="832">
        <v>8016</v>
      </c>
      <c r="C32" s="832">
        <v>7911</v>
      </c>
      <c r="D32" s="832">
        <v>15927</v>
      </c>
      <c r="E32" s="832">
        <v>0</v>
      </c>
      <c r="F32" s="832">
        <v>0</v>
      </c>
      <c r="G32" s="832">
        <v>0</v>
      </c>
      <c r="H32" s="832">
        <v>0</v>
      </c>
      <c r="I32" s="832">
        <v>0</v>
      </c>
      <c r="J32" s="832">
        <v>0</v>
      </c>
    </row>
    <row r="33" spans="1:10">
      <c r="A33" s="831" t="s">
        <v>773</v>
      </c>
      <c r="B33" s="832">
        <v>4249</v>
      </c>
      <c r="C33" s="832">
        <v>4691</v>
      </c>
      <c r="D33" s="832">
        <v>8940</v>
      </c>
      <c r="E33" s="832">
        <v>0</v>
      </c>
      <c r="F33" s="832">
        <v>0</v>
      </c>
      <c r="G33" s="832">
        <v>0</v>
      </c>
      <c r="H33" s="832">
        <v>0</v>
      </c>
      <c r="I33" s="832">
        <v>0</v>
      </c>
      <c r="J33" s="832">
        <v>0</v>
      </c>
    </row>
    <row r="34" spans="1:10">
      <c r="A34" s="831" t="s">
        <v>772</v>
      </c>
      <c r="B34" s="830">
        <v>1627</v>
      </c>
      <c r="C34" s="830">
        <v>154</v>
      </c>
      <c r="D34" s="830">
        <v>1781</v>
      </c>
      <c r="E34" s="830">
        <v>0</v>
      </c>
      <c r="F34" s="830">
        <v>0</v>
      </c>
      <c r="G34" s="830">
        <v>0</v>
      </c>
      <c r="H34" s="830">
        <v>0</v>
      </c>
      <c r="I34" s="830">
        <v>0</v>
      </c>
      <c r="J34" s="830">
        <v>0</v>
      </c>
    </row>
    <row r="35" spans="1:10">
      <c r="A35" s="829" t="s">
        <v>771</v>
      </c>
      <c r="B35" s="828">
        <v>70318</v>
      </c>
      <c r="C35" s="828">
        <v>72026</v>
      </c>
      <c r="D35" s="828">
        <v>142344</v>
      </c>
      <c r="E35" s="828">
        <v>0</v>
      </c>
      <c r="F35" s="828">
        <v>0</v>
      </c>
      <c r="G35" s="828">
        <v>0</v>
      </c>
      <c r="H35" s="828">
        <v>0</v>
      </c>
      <c r="I35" s="828">
        <v>0</v>
      </c>
      <c r="J35" s="828">
        <v>0</v>
      </c>
    </row>
    <row r="36" spans="1:10">
      <c r="A36" s="827"/>
      <c r="B36" s="832"/>
      <c r="C36" s="832"/>
      <c r="D36" s="832"/>
      <c r="E36" s="832"/>
      <c r="F36" s="832"/>
      <c r="G36" s="832"/>
      <c r="H36" s="832"/>
      <c r="I36" s="832"/>
      <c r="J36" s="832"/>
    </row>
    <row r="37" spans="1:10">
      <c r="A37" s="833" t="s">
        <v>770</v>
      </c>
      <c r="B37" s="832"/>
      <c r="C37" s="832"/>
      <c r="D37" s="832"/>
      <c r="E37" s="832"/>
      <c r="F37" s="832"/>
      <c r="G37" s="832"/>
      <c r="H37" s="832"/>
      <c r="I37" s="832"/>
      <c r="J37" s="832"/>
    </row>
    <row r="38" spans="1:10">
      <c r="A38" s="831" t="s">
        <v>769</v>
      </c>
      <c r="B38" s="832">
        <v>6714</v>
      </c>
      <c r="C38" s="832">
        <v>6729</v>
      </c>
      <c r="D38" s="832">
        <v>13443</v>
      </c>
      <c r="E38" s="832">
        <v>0</v>
      </c>
      <c r="F38" s="832">
        <v>0</v>
      </c>
      <c r="G38" s="832">
        <v>0</v>
      </c>
      <c r="H38" s="832">
        <v>0</v>
      </c>
      <c r="I38" s="832">
        <v>0</v>
      </c>
      <c r="J38" s="832">
        <v>0</v>
      </c>
    </row>
    <row r="39" spans="1:10">
      <c r="A39" s="831" t="s">
        <v>768</v>
      </c>
      <c r="B39" s="832">
        <v>1472</v>
      </c>
      <c r="C39" s="832">
        <v>1466</v>
      </c>
      <c r="D39" s="832">
        <v>2938</v>
      </c>
      <c r="E39" s="832">
        <v>0</v>
      </c>
      <c r="F39" s="832">
        <v>0</v>
      </c>
      <c r="G39" s="832">
        <v>0</v>
      </c>
      <c r="H39" s="832">
        <v>0</v>
      </c>
      <c r="I39" s="832">
        <v>0</v>
      </c>
      <c r="J39" s="832">
        <v>0</v>
      </c>
    </row>
    <row r="40" spans="1:10">
      <c r="A40" s="831" t="s">
        <v>767</v>
      </c>
      <c r="B40" s="832">
        <v>15227</v>
      </c>
      <c r="C40" s="832">
        <v>15280</v>
      </c>
      <c r="D40" s="832">
        <v>30507</v>
      </c>
      <c r="E40" s="832">
        <v>0</v>
      </c>
      <c r="F40" s="832">
        <v>0</v>
      </c>
      <c r="G40" s="832">
        <v>0</v>
      </c>
      <c r="H40" s="832">
        <v>0</v>
      </c>
      <c r="I40" s="832">
        <v>0</v>
      </c>
      <c r="J40" s="832">
        <v>0</v>
      </c>
    </row>
    <row r="41" spans="1:10">
      <c r="A41" s="831" t="s">
        <v>766</v>
      </c>
      <c r="B41" s="832">
        <v>1057</v>
      </c>
      <c r="C41" s="832">
        <v>991</v>
      </c>
      <c r="D41" s="832">
        <v>2048</v>
      </c>
      <c r="E41" s="832">
        <v>0</v>
      </c>
      <c r="F41" s="832">
        <v>0</v>
      </c>
      <c r="G41" s="832">
        <v>0</v>
      </c>
      <c r="H41" s="832">
        <v>0</v>
      </c>
      <c r="I41" s="832">
        <v>0</v>
      </c>
      <c r="J41" s="832">
        <v>0</v>
      </c>
    </row>
    <row r="42" spans="1:10">
      <c r="A42" s="831" t="s">
        <v>765</v>
      </c>
      <c r="B42" s="832">
        <v>50619</v>
      </c>
      <c r="C42" s="832">
        <v>50174</v>
      </c>
      <c r="D42" s="832">
        <v>100793</v>
      </c>
      <c r="E42" s="832">
        <v>0</v>
      </c>
      <c r="F42" s="832">
        <v>0</v>
      </c>
      <c r="G42" s="832">
        <v>0</v>
      </c>
      <c r="H42" s="832">
        <v>0</v>
      </c>
      <c r="I42" s="832">
        <v>0</v>
      </c>
      <c r="J42" s="832">
        <v>0</v>
      </c>
    </row>
    <row r="43" spans="1:10">
      <c r="A43" s="831" t="s">
        <v>764</v>
      </c>
      <c r="B43" s="832">
        <v>25027</v>
      </c>
      <c r="C43" s="832">
        <v>24966</v>
      </c>
      <c r="D43" s="832">
        <v>49993</v>
      </c>
      <c r="E43" s="832">
        <v>0</v>
      </c>
      <c r="F43" s="832">
        <v>0</v>
      </c>
      <c r="G43" s="832">
        <v>0</v>
      </c>
      <c r="H43" s="832">
        <v>0</v>
      </c>
      <c r="I43" s="832">
        <v>0</v>
      </c>
      <c r="J43" s="832">
        <v>0</v>
      </c>
    </row>
    <row r="44" spans="1:10">
      <c r="A44" s="831" t="s">
        <v>763</v>
      </c>
      <c r="B44" s="830">
        <v>11038</v>
      </c>
      <c r="C44" s="830">
        <v>11048</v>
      </c>
      <c r="D44" s="830">
        <v>22086</v>
      </c>
      <c r="E44" s="830">
        <v>0</v>
      </c>
      <c r="F44" s="830">
        <v>0</v>
      </c>
      <c r="G44" s="830">
        <v>0</v>
      </c>
      <c r="H44" s="830">
        <v>0</v>
      </c>
      <c r="I44" s="830">
        <v>0</v>
      </c>
      <c r="J44" s="830">
        <v>0</v>
      </c>
    </row>
    <row r="45" spans="1:10">
      <c r="A45" s="829" t="s">
        <v>762</v>
      </c>
      <c r="B45" s="828">
        <v>111154</v>
      </c>
      <c r="C45" s="828">
        <v>110654</v>
      </c>
      <c r="D45" s="828">
        <v>221808</v>
      </c>
      <c r="E45" s="828">
        <v>0</v>
      </c>
      <c r="F45" s="828">
        <v>0</v>
      </c>
      <c r="G45" s="828">
        <v>0</v>
      </c>
      <c r="H45" s="828">
        <v>0</v>
      </c>
      <c r="I45" s="828">
        <v>0</v>
      </c>
      <c r="J45" s="828">
        <v>0</v>
      </c>
    </row>
    <row r="46" spans="1:10">
      <c r="A46" s="827"/>
      <c r="B46" s="832"/>
      <c r="C46" s="832"/>
      <c r="D46" s="832"/>
      <c r="E46" s="832"/>
      <c r="F46" s="832"/>
      <c r="G46" s="832"/>
      <c r="H46" s="832"/>
      <c r="I46" s="832"/>
      <c r="J46" s="832"/>
    </row>
    <row r="47" spans="1:10">
      <c r="A47" s="829" t="s">
        <v>761</v>
      </c>
      <c r="B47" s="828">
        <v>181472</v>
      </c>
      <c r="C47" s="828">
        <v>182680</v>
      </c>
      <c r="D47" s="828">
        <v>364152</v>
      </c>
      <c r="E47" s="828">
        <v>0</v>
      </c>
      <c r="F47" s="828">
        <v>0</v>
      </c>
      <c r="G47" s="828">
        <v>0</v>
      </c>
      <c r="H47" s="828">
        <v>0</v>
      </c>
      <c r="I47" s="828">
        <v>0</v>
      </c>
      <c r="J47" s="828">
        <v>0</v>
      </c>
    </row>
    <row r="48" spans="1:10">
      <c r="A48" s="827"/>
      <c r="B48" s="832"/>
      <c r="C48" s="832"/>
      <c r="D48" s="832"/>
      <c r="E48" s="832"/>
      <c r="F48" s="832"/>
      <c r="G48" s="832"/>
      <c r="H48" s="832"/>
      <c r="I48" s="832"/>
      <c r="J48" s="832"/>
    </row>
    <row r="49" spans="1:10">
      <c r="A49" s="827"/>
      <c r="B49" s="832"/>
      <c r="C49" s="832"/>
      <c r="D49" s="832"/>
      <c r="E49" s="832"/>
      <c r="F49" s="832"/>
      <c r="G49" s="832"/>
      <c r="H49" s="832"/>
      <c r="I49" s="832"/>
      <c r="J49" s="832"/>
    </row>
    <row r="50" spans="1:10">
      <c r="A50" s="833" t="s">
        <v>760</v>
      </c>
      <c r="B50" s="832"/>
      <c r="C50" s="832"/>
      <c r="D50" s="832"/>
      <c r="E50" s="832"/>
      <c r="F50" s="832"/>
      <c r="G50" s="832"/>
      <c r="H50" s="832"/>
      <c r="I50" s="832"/>
      <c r="J50" s="832"/>
    </row>
    <row r="51" spans="1:10">
      <c r="A51" s="831" t="s">
        <v>759</v>
      </c>
      <c r="B51" s="832">
        <v>5312</v>
      </c>
      <c r="C51" s="832">
        <v>5293</v>
      </c>
      <c r="D51" s="832">
        <v>10605</v>
      </c>
      <c r="E51" s="832">
        <v>0</v>
      </c>
      <c r="F51" s="832">
        <v>0</v>
      </c>
      <c r="G51" s="832">
        <v>0</v>
      </c>
      <c r="H51" s="832">
        <v>0</v>
      </c>
      <c r="I51" s="832">
        <v>0</v>
      </c>
      <c r="J51" s="832">
        <v>0</v>
      </c>
    </row>
    <row r="52" spans="1:10">
      <c r="A52" s="831" t="s">
        <v>758</v>
      </c>
      <c r="B52" s="832">
        <v>687</v>
      </c>
      <c r="C52" s="832">
        <v>698</v>
      </c>
      <c r="D52" s="832">
        <v>1385</v>
      </c>
      <c r="E52" s="832">
        <v>0</v>
      </c>
      <c r="F52" s="832">
        <v>0</v>
      </c>
      <c r="G52" s="832">
        <v>0</v>
      </c>
      <c r="H52" s="832">
        <v>0</v>
      </c>
      <c r="I52" s="832">
        <v>0</v>
      </c>
      <c r="J52" s="832">
        <v>0</v>
      </c>
    </row>
    <row r="53" spans="1:10">
      <c r="A53" s="831" t="s">
        <v>757</v>
      </c>
      <c r="B53" s="832">
        <v>2107</v>
      </c>
      <c r="C53" s="832">
        <v>2130</v>
      </c>
      <c r="D53" s="832">
        <v>4237</v>
      </c>
      <c r="E53" s="832">
        <v>0</v>
      </c>
      <c r="F53" s="832">
        <v>0</v>
      </c>
      <c r="G53" s="832">
        <v>0</v>
      </c>
      <c r="H53" s="832">
        <v>0</v>
      </c>
      <c r="I53" s="832">
        <v>0</v>
      </c>
      <c r="J53" s="832">
        <v>0</v>
      </c>
    </row>
    <row r="54" spans="1:10">
      <c r="A54" s="831" t="s">
        <v>756</v>
      </c>
      <c r="B54" s="832">
        <v>16710</v>
      </c>
      <c r="C54" s="832">
        <v>14135</v>
      </c>
      <c r="D54" s="832">
        <v>30845</v>
      </c>
      <c r="E54" s="832">
        <v>0</v>
      </c>
      <c r="F54" s="832">
        <v>0</v>
      </c>
      <c r="G54" s="832">
        <v>0</v>
      </c>
      <c r="H54" s="832">
        <v>0</v>
      </c>
      <c r="I54" s="832">
        <v>0</v>
      </c>
      <c r="J54" s="832">
        <v>0</v>
      </c>
    </row>
    <row r="55" spans="1:10">
      <c r="A55" s="831" t="s">
        <v>755</v>
      </c>
      <c r="B55" s="832">
        <v>259</v>
      </c>
      <c r="C55" s="832">
        <v>267</v>
      </c>
      <c r="D55" s="832">
        <v>526</v>
      </c>
      <c r="E55" s="832">
        <v>0</v>
      </c>
      <c r="F55" s="832">
        <v>0</v>
      </c>
      <c r="G55" s="832">
        <v>0</v>
      </c>
      <c r="H55" s="832">
        <v>0</v>
      </c>
      <c r="I55" s="832">
        <v>0</v>
      </c>
      <c r="J55" s="832">
        <v>0</v>
      </c>
    </row>
    <row r="56" spans="1:10">
      <c r="A56" s="831" t="s">
        <v>754</v>
      </c>
      <c r="B56" s="832">
        <v>232</v>
      </c>
      <c r="C56" s="832">
        <v>219</v>
      </c>
      <c r="D56" s="832">
        <v>451</v>
      </c>
      <c r="E56" s="832">
        <v>0</v>
      </c>
      <c r="F56" s="832">
        <v>0</v>
      </c>
      <c r="G56" s="832">
        <v>0</v>
      </c>
      <c r="H56" s="832">
        <v>0</v>
      </c>
      <c r="I56" s="832">
        <v>0</v>
      </c>
      <c r="J56" s="832">
        <v>0</v>
      </c>
    </row>
    <row r="57" spans="1:10">
      <c r="A57" s="831" t="s">
        <v>752</v>
      </c>
      <c r="B57" s="832">
        <v>158</v>
      </c>
      <c r="C57" s="832">
        <v>195</v>
      </c>
      <c r="D57" s="832">
        <v>353</v>
      </c>
      <c r="E57" s="832">
        <v>0</v>
      </c>
      <c r="F57" s="832">
        <v>0</v>
      </c>
      <c r="G57" s="832">
        <v>0</v>
      </c>
      <c r="H57" s="832">
        <v>0</v>
      </c>
      <c r="I57" s="832">
        <v>0</v>
      </c>
      <c r="J57" s="832">
        <v>0</v>
      </c>
    </row>
    <row r="58" spans="1:10">
      <c r="A58" s="831" t="s">
        <v>751</v>
      </c>
      <c r="B58" s="832">
        <v>4028</v>
      </c>
      <c r="C58" s="832">
        <v>3997</v>
      </c>
      <c r="D58" s="832">
        <v>8025</v>
      </c>
      <c r="E58" s="832">
        <v>0</v>
      </c>
      <c r="F58" s="832">
        <v>0</v>
      </c>
      <c r="G58" s="832">
        <v>0</v>
      </c>
      <c r="H58" s="832">
        <v>0</v>
      </c>
      <c r="I58" s="832">
        <v>0</v>
      </c>
      <c r="J58" s="832">
        <v>0</v>
      </c>
    </row>
    <row r="59" spans="1:10">
      <c r="A59" s="831" t="s">
        <v>750</v>
      </c>
      <c r="B59" s="832">
        <v>1308</v>
      </c>
      <c r="C59" s="832">
        <v>1305</v>
      </c>
      <c r="D59" s="832">
        <v>2613</v>
      </c>
      <c r="E59" s="832">
        <v>0</v>
      </c>
      <c r="F59" s="832">
        <v>0</v>
      </c>
      <c r="G59" s="832">
        <v>0</v>
      </c>
      <c r="H59" s="832">
        <v>0</v>
      </c>
      <c r="I59" s="832">
        <v>0</v>
      </c>
      <c r="J59" s="832">
        <v>0</v>
      </c>
    </row>
    <row r="60" spans="1:10">
      <c r="A60" s="831" t="s">
        <v>749</v>
      </c>
      <c r="B60" s="832">
        <v>57271</v>
      </c>
      <c r="C60" s="832">
        <v>72479</v>
      </c>
      <c r="D60" s="832">
        <v>129750</v>
      </c>
      <c r="E60" s="832">
        <v>0</v>
      </c>
      <c r="F60" s="832">
        <v>0</v>
      </c>
      <c r="G60" s="832">
        <v>0</v>
      </c>
      <c r="H60" s="832">
        <v>0</v>
      </c>
      <c r="I60" s="832">
        <v>0</v>
      </c>
      <c r="J60" s="832">
        <v>0</v>
      </c>
    </row>
    <row r="61" spans="1:10">
      <c r="A61" s="831" t="s">
        <v>748</v>
      </c>
      <c r="B61" s="832">
        <v>674</v>
      </c>
      <c r="C61" s="832">
        <v>728</v>
      </c>
      <c r="D61" s="832">
        <v>1402</v>
      </c>
      <c r="E61" s="832">
        <v>0</v>
      </c>
      <c r="F61" s="832">
        <v>0</v>
      </c>
      <c r="G61" s="832">
        <v>0</v>
      </c>
      <c r="H61" s="832">
        <v>0</v>
      </c>
      <c r="I61" s="832">
        <v>0</v>
      </c>
      <c r="J61" s="832">
        <v>0</v>
      </c>
    </row>
    <row r="62" spans="1:10">
      <c r="A62" s="831" t="s">
        <v>747</v>
      </c>
      <c r="B62" s="832">
        <v>18638</v>
      </c>
      <c r="C62" s="832">
        <v>18497</v>
      </c>
      <c r="D62" s="832">
        <v>37135</v>
      </c>
      <c r="E62" s="832">
        <v>0</v>
      </c>
      <c r="F62" s="832">
        <v>0</v>
      </c>
      <c r="G62" s="832">
        <v>0</v>
      </c>
      <c r="H62" s="832">
        <v>0</v>
      </c>
      <c r="I62" s="832">
        <v>0</v>
      </c>
      <c r="J62" s="832">
        <v>0</v>
      </c>
    </row>
    <row r="63" spans="1:10">
      <c r="A63" s="831" t="s">
        <v>746</v>
      </c>
      <c r="B63" s="832">
        <v>246</v>
      </c>
      <c r="C63" s="832">
        <v>250</v>
      </c>
      <c r="D63" s="832">
        <v>496</v>
      </c>
      <c r="E63" s="832">
        <v>0</v>
      </c>
      <c r="F63" s="832">
        <v>0</v>
      </c>
      <c r="G63" s="832">
        <v>0</v>
      </c>
      <c r="H63" s="832">
        <v>0</v>
      </c>
      <c r="I63" s="832">
        <v>0</v>
      </c>
      <c r="J63" s="832">
        <v>0</v>
      </c>
    </row>
    <row r="64" spans="1:10">
      <c r="A64" s="831" t="s">
        <v>745</v>
      </c>
      <c r="B64" s="832">
        <v>239</v>
      </c>
      <c r="C64" s="832">
        <v>238</v>
      </c>
      <c r="D64" s="832">
        <v>477</v>
      </c>
      <c r="E64" s="832">
        <v>0</v>
      </c>
      <c r="F64" s="832">
        <v>0</v>
      </c>
      <c r="G64" s="832">
        <v>0</v>
      </c>
      <c r="H64" s="832">
        <v>0</v>
      </c>
      <c r="I64" s="832">
        <v>0</v>
      </c>
      <c r="J64" s="832">
        <v>0</v>
      </c>
    </row>
    <row r="65" spans="1:10">
      <c r="A65" s="831" t="s">
        <v>798</v>
      </c>
      <c r="B65" s="832">
        <v>2999</v>
      </c>
      <c r="C65" s="832">
        <v>3011</v>
      </c>
      <c r="D65" s="832">
        <v>6010</v>
      </c>
      <c r="E65" s="832">
        <v>0</v>
      </c>
      <c r="F65" s="832">
        <v>0</v>
      </c>
      <c r="G65" s="832">
        <v>0</v>
      </c>
      <c r="H65" s="832">
        <v>0</v>
      </c>
      <c r="I65" s="832">
        <v>0</v>
      </c>
      <c r="J65" s="832">
        <v>0</v>
      </c>
    </row>
    <row r="66" spans="1:10">
      <c r="A66" s="831" t="s">
        <v>744</v>
      </c>
      <c r="B66" s="832">
        <v>104380</v>
      </c>
      <c r="C66" s="832">
        <v>104232</v>
      </c>
      <c r="D66" s="832">
        <v>208612</v>
      </c>
      <c r="E66" s="832">
        <v>0</v>
      </c>
      <c r="F66" s="832">
        <v>0</v>
      </c>
      <c r="G66" s="832">
        <v>0</v>
      </c>
      <c r="H66" s="832">
        <v>0</v>
      </c>
      <c r="I66" s="832">
        <v>0</v>
      </c>
      <c r="J66" s="832">
        <v>0</v>
      </c>
    </row>
    <row r="67" spans="1:10">
      <c r="A67" s="831" t="s">
        <v>743</v>
      </c>
      <c r="B67" s="832">
        <v>1241</v>
      </c>
      <c r="C67" s="832">
        <v>1219</v>
      </c>
      <c r="D67" s="832">
        <v>2460</v>
      </c>
      <c r="E67" s="832">
        <v>0</v>
      </c>
      <c r="F67" s="832">
        <v>0</v>
      </c>
      <c r="G67" s="832">
        <v>0</v>
      </c>
      <c r="H67" s="832">
        <v>0</v>
      </c>
      <c r="I67" s="832">
        <v>0</v>
      </c>
      <c r="J67" s="832">
        <v>0</v>
      </c>
    </row>
    <row r="68" spans="1:10">
      <c r="A68" s="831" t="s">
        <v>797</v>
      </c>
      <c r="B68" s="832">
        <v>3</v>
      </c>
      <c r="C68" s="832">
        <v>4</v>
      </c>
      <c r="D68" s="832">
        <v>7</v>
      </c>
      <c r="E68" s="832">
        <v>0</v>
      </c>
      <c r="F68" s="832">
        <v>0</v>
      </c>
      <c r="G68" s="832">
        <v>0</v>
      </c>
      <c r="H68" s="832">
        <v>0</v>
      </c>
      <c r="I68" s="832">
        <v>0</v>
      </c>
      <c r="J68" s="832">
        <v>0</v>
      </c>
    </row>
    <row r="69" spans="1:10">
      <c r="A69" s="831" t="s">
        <v>796</v>
      </c>
      <c r="B69" s="832">
        <v>4052</v>
      </c>
      <c r="C69" s="832">
        <v>4047</v>
      </c>
      <c r="D69" s="832">
        <v>8099</v>
      </c>
      <c r="E69" s="832">
        <v>0</v>
      </c>
      <c r="F69" s="832">
        <v>0</v>
      </c>
      <c r="G69" s="832">
        <v>0</v>
      </c>
      <c r="H69" s="832">
        <v>0</v>
      </c>
      <c r="I69" s="832">
        <v>0</v>
      </c>
      <c r="J69" s="832">
        <v>0</v>
      </c>
    </row>
    <row r="70" spans="1:10">
      <c r="A70" s="831" t="s">
        <v>740</v>
      </c>
      <c r="B70" s="832">
        <v>8010</v>
      </c>
      <c r="C70" s="832">
        <v>8001</v>
      </c>
      <c r="D70" s="832">
        <v>16011</v>
      </c>
      <c r="E70" s="832">
        <v>0</v>
      </c>
      <c r="F70" s="832">
        <v>0</v>
      </c>
      <c r="G70" s="832">
        <v>0</v>
      </c>
      <c r="H70" s="832">
        <v>0</v>
      </c>
      <c r="I70" s="832">
        <v>0</v>
      </c>
      <c r="J70" s="832">
        <v>0</v>
      </c>
    </row>
    <row r="71" spans="1:10">
      <c r="A71" s="831" t="s">
        <v>739</v>
      </c>
      <c r="B71" s="830">
        <v>2347</v>
      </c>
      <c r="C71" s="830">
        <v>2402</v>
      </c>
      <c r="D71" s="830">
        <v>4749</v>
      </c>
      <c r="E71" s="830">
        <v>0</v>
      </c>
      <c r="F71" s="830">
        <v>0</v>
      </c>
      <c r="G71" s="830">
        <v>0</v>
      </c>
      <c r="H71" s="830">
        <v>0</v>
      </c>
      <c r="I71" s="830">
        <v>0</v>
      </c>
      <c r="J71" s="830">
        <v>0</v>
      </c>
    </row>
    <row r="72" spans="1:10">
      <c r="A72" s="829" t="s">
        <v>736</v>
      </c>
      <c r="B72" s="828">
        <v>230901</v>
      </c>
      <c r="C72" s="828">
        <v>243347</v>
      </c>
      <c r="D72" s="828">
        <v>474248</v>
      </c>
      <c r="E72" s="828">
        <v>0</v>
      </c>
      <c r="F72" s="828">
        <v>0</v>
      </c>
      <c r="G72" s="828">
        <v>0</v>
      </c>
      <c r="H72" s="828">
        <v>0</v>
      </c>
      <c r="I72" s="828">
        <v>0</v>
      </c>
      <c r="J72" s="828">
        <v>0</v>
      </c>
    </row>
    <row r="73" spans="1:10">
      <c r="A73" s="827"/>
      <c r="B73" s="832"/>
      <c r="C73" s="832"/>
      <c r="D73" s="832"/>
      <c r="E73" s="832"/>
      <c r="F73" s="832"/>
      <c r="G73" s="832"/>
      <c r="H73" s="832"/>
      <c r="I73" s="832"/>
      <c r="J73" s="832"/>
    </row>
    <row r="74" spans="1:10">
      <c r="A74" s="827"/>
      <c r="B74" s="832"/>
      <c r="C74" s="832"/>
      <c r="D74" s="832"/>
      <c r="E74" s="832"/>
      <c r="F74" s="832"/>
      <c r="G74" s="832"/>
      <c r="H74" s="832"/>
      <c r="I74" s="832"/>
      <c r="J74" s="832"/>
    </row>
    <row r="75" spans="1:10">
      <c r="A75" s="833" t="s">
        <v>735</v>
      </c>
      <c r="B75" s="832"/>
      <c r="C75" s="832"/>
      <c r="D75" s="832"/>
      <c r="E75" s="832"/>
      <c r="F75" s="832"/>
      <c r="G75" s="832"/>
      <c r="H75" s="832"/>
      <c r="I75" s="832"/>
      <c r="J75" s="832"/>
    </row>
    <row r="76" spans="1:10">
      <c r="A76" s="831" t="s">
        <v>734</v>
      </c>
      <c r="B76" s="832">
        <v>2195580</v>
      </c>
      <c r="C76" s="832">
        <v>2263679</v>
      </c>
      <c r="D76" s="832">
        <v>4459259</v>
      </c>
      <c r="E76" s="832">
        <v>0</v>
      </c>
      <c r="F76" s="832">
        <v>0</v>
      </c>
      <c r="G76" s="832">
        <v>0</v>
      </c>
      <c r="H76" s="832">
        <v>0</v>
      </c>
      <c r="I76" s="832">
        <v>0</v>
      </c>
      <c r="J76" s="832">
        <v>0</v>
      </c>
    </row>
    <row r="77" spans="1:10">
      <c r="A77" s="831" t="s">
        <v>733</v>
      </c>
      <c r="B77" s="832">
        <v>2240</v>
      </c>
      <c r="C77" s="832">
        <v>2242</v>
      </c>
      <c r="D77" s="832">
        <v>4482</v>
      </c>
      <c r="E77" s="832">
        <v>0</v>
      </c>
      <c r="F77" s="832">
        <v>0</v>
      </c>
      <c r="G77" s="832">
        <v>0</v>
      </c>
      <c r="H77" s="832">
        <v>0</v>
      </c>
      <c r="I77" s="832">
        <v>0</v>
      </c>
      <c r="J77" s="832">
        <v>0</v>
      </c>
    </row>
    <row r="78" spans="1:10">
      <c r="A78" s="831" t="s">
        <v>732</v>
      </c>
      <c r="B78" s="832">
        <v>15165</v>
      </c>
      <c r="C78" s="832">
        <v>15140</v>
      </c>
      <c r="D78" s="832">
        <v>30305</v>
      </c>
      <c r="E78" s="832">
        <v>0</v>
      </c>
      <c r="F78" s="832">
        <v>0</v>
      </c>
      <c r="G78" s="832">
        <v>0</v>
      </c>
      <c r="H78" s="832">
        <v>0</v>
      </c>
      <c r="I78" s="832">
        <v>0</v>
      </c>
      <c r="J78" s="832">
        <v>0</v>
      </c>
    </row>
    <row r="79" spans="1:10">
      <c r="A79" s="831" t="s">
        <v>731</v>
      </c>
      <c r="B79" s="832">
        <v>18571</v>
      </c>
      <c r="C79" s="832">
        <v>19513</v>
      </c>
      <c r="D79" s="832">
        <v>38084</v>
      </c>
      <c r="E79" s="832">
        <v>0</v>
      </c>
      <c r="F79" s="832">
        <v>0</v>
      </c>
      <c r="G79" s="832">
        <v>0</v>
      </c>
      <c r="H79" s="832">
        <v>0</v>
      </c>
      <c r="I79" s="832">
        <v>0</v>
      </c>
      <c r="J79" s="832">
        <v>0</v>
      </c>
    </row>
    <row r="80" spans="1:10">
      <c r="A80" s="831" t="s">
        <v>728</v>
      </c>
      <c r="B80" s="832">
        <v>80370</v>
      </c>
      <c r="C80" s="832">
        <v>80177</v>
      </c>
      <c r="D80" s="832">
        <v>160547</v>
      </c>
      <c r="E80" s="832">
        <v>0</v>
      </c>
      <c r="F80" s="832">
        <v>0</v>
      </c>
      <c r="G80" s="832">
        <v>0</v>
      </c>
      <c r="H80" s="832">
        <v>0</v>
      </c>
      <c r="I80" s="832">
        <v>0</v>
      </c>
      <c r="J80" s="832">
        <v>0</v>
      </c>
    </row>
    <row r="81" spans="1:10">
      <c r="A81" s="831" t="s">
        <v>727</v>
      </c>
      <c r="B81" s="832">
        <v>8531</v>
      </c>
      <c r="C81" s="832">
        <v>7730</v>
      </c>
      <c r="D81" s="832">
        <v>16261</v>
      </c>
      <c r="E81" s="832">
        <v>0</v>
      </c>
      <c r="F81" s="832">
        <v>0</v>
      </c>
      <c r="G81" s="832">
        <v>0</v>
      </c>
      <c r="H81" s="832">
        <v>0</v>
      </c>
      <c r="I81" s="832">
        <v>0</v>
      </c>
      <c r="J81" s="832">
        <v>0</v>
      </c>
    </row>
    <row r="82" spans="1:10">
      <c r="A82" s="831" t="s">
        <v>726</v>
      </c>
      <c r="B82" s="832">
        <v>839464</v>
      </c>
      <c r="C82" s="832">
        <v>796024</v>
      </c>
      <c r="D82" s="832">
        <v>1635488</v>
      </c>
      <c r="E82" s="832">
        <v>0</v>
      </c>
      <c r="F82" s="832">
        <v>0</v>
      </c>
      <c r="G82" s="832">
        <v>0</v>
      </c>
      <c r="H82" s="832">
        <v>0</v>
      </c>
      <c r="I82" s="832">
        <v>0</v>
      </c>
      <c r="J82" s="832">
        <v>0</v>
      </c>
    </row>
    <row r="83" spans="1:10">
      <c r="A83" s="831" t="s">
        <v>725</v>
      </c>
      <c r="B83" s="832">
        <v>2278</v>
      </c>
      <c r="C83" s="832">
        <v>2264</v>
      </c>
      <c r="D83" s="832">
        <v>4542</v>
      </c>
      <c r="E83" s="832">
        <v>0</v>
      </c>
      <c r="F83" s="832">
        <v>0</v>
      </c>
      <c r="G83" s="832">
        <v>0</v>
      </c>
      <c r="H83" s="832">
        <v>0</v>
      </c>
      <c r="I83" s="832">
        <v>0</v>
      </c>
      <c r="J83" s="832">
        <v>0</v>
      </c>
    </row>
    <row r="84" spans="1:10">
      <c r="A84" s="831" t="s">
        <v>723</v>
      </c>
      <c r="B84" s="830">
        <v>43</v>
      </c>
      <c r="C84" s="830">
        <v>26</v>
      </c>
      <c r="D84" s="830">
        <v>69</v>
      </c>
      <c r="E84" s="830">
        <v>0</v>
      </c>
      <c r="F84" s="830">
        <v>0</v>
      </c>
      <c r="G84" s="830">
        <v>0</v>
      </c>
      <c r="H84" s="830">
        <v>0</v>
      </c>
      <c r="I84" s="830">
        <v>0</v>
      </c>
      <c r="J84" s="830">
        <v>0</v>
      </c>
    </row>
    <row r="85" spans="1:10">
      <c r="A85" s="829" t="s">
        <v>722</v>
      </c>
      <c r="B85" s="828">
        <v>3162242</v>
      </c>
      <c r="C85" s="828">
        <v>3186795</v>
      </c>
      <c r="D85" s="828">
        <v>6349037</v>
      </c>
      <c r="E85" s="828">
        <v>0</v>
      </c>
      <c r="F85" s="828">
        <v>0</v>
      </c>
      <c r="G85" s="828">
        <v>0</v>
      </c>
      <c r="H85" s="828">
        <v>0</v>
      </c>
      <c r="I85" s="828">
        <v>0</v>
      </c>
      <c r="J85" s="828">
        <v>0</v>
      </c>
    </row>
    <row r="86" spans="1:10">
      <c r="A86" s="827"/>
      <c r="B86" s="832"/>
      <c r="C86" s="832"/>
      <c r="D86" s="832"/>
      <c r="E86" s="832"/>
      <c r="F86" s="832"/>
      <c r="G86" s="832"/>
      <c r="H86" s="832"/>
      <c r="I86" s="832"/>
      <c r="J86" s="832"/>
    </row>
    <row r="87" spans="1:10">
      <c r="A87" s="827"/>
      <c r="B87" s="832"/>
      <c r="C87" s="832"/>
      <c r="D87" s="832"/>
      <c r="E87" s="832"/>
      <c r="F87" s="832"/>
      <c r="G87" s="832"/>
      <c r="H87" s="832"/>
      <c r="I87" s="832"/>
      <c r="J87" s="832"/>
    </row>
    <row r="88" spans="1:10">
      <c r="A88" s="833" t="s">
        <v>721</v>
      </c>
      <c r="B88" s="832"/>
      <c r="C88" s="832"/>
      <c r="D88" s="832"/>
      <c r="E88" s="832"/>
      <c r="F88" s="832"/>
      <c r="G88" s="832"/>
      <c r="H88" s="832"/>
      <c r="I88" s="832"/>
      <c r="J88" s="832"/>
    </row>
    <row r="89" spans="1:10">
      <c r="A89" s="831" t="s">
        <v>720</v>
      </c>
      <c r="B89" s="832">
        <v>301565</v>
      </c>
      <c r="C89" s="832">
        <v>302895</v>
      </c>
      <c r="D89" s="832">
        <v>604460</v>
      </c>
      <c r="E89" s="832">
        <v>0</v>
      </c>
      <c r="F89" s="832">
        <v>0</v>
      </c>
      <c r="G89" s="832">
        <v>0</v>
      </c>
      <c r="H89" s="832">
        <v>362</v>
      </c>
      <c r="I89" s="832">
        <v>363</v>
      </c>
      <c r="J89" s="832">
        <v>725</v>
      </c>
    </row>
    <row r="90" spans="1:10">
      <c r="A90" s="831" t="s">
        <v>719</v>
      </c>
      <c r="B90" s="832">
        <v>87025</v>
      </c>
      <c r="C90" s="832">
        <v>86803</v>
      </c>
      <c r="D90" s="832">
        <v>173828</v>
      </c>
      <c r="E90" s="832">
        <v>0</v>
      </c>
      <c r="F90" s="832">
        <v>0</v>
      </c>
      <c r="G90" s="832">
        <v>0</v>
      </c>
      <c r="H90" s="832">
        <v>0</v>
      </c>
      <c r="I90" s="832">
        <v>0</v>
      </c>
      <c r="J90" s="832">
        <v>0</v>
      </c>
    </row>
    <row r="91" spans="1:10">
      <c r="A91" s="831" t="s">
        <v>718</v>
      </c>
      <c r="B91" s="832">
        <v>443123</v>
      </c>
      <c r="C91" s="832">
        <v>446945</v>
      </c>
      <c r="D91" s="832">
        <v>890068</v>
      </c>
      <c r="E91" s="832">
        <v>0</v>
      </c>
      <c r="F91" s="832">
        <v>0</v>
      </c>
      <c r="G91" s="832">
        <v>0</v>
      </c>
      <c r="H91" s="832">
        <v>0</v>
      </c>
      <c r="I91" s="832">
        <v>0</v>
      </c>
      <c r="J91" s="832">
        <v>0</v>
      </c>
    </row>
    <row r="92" spans="1:10">
      <c r="A92" s="831" t="s">
        <v>717</v>
      </c>
      <c r="B92" s="832">
        <v>504962</v>
      </c>
      <c r="C92" s="832">
        <v>507716</v>
      </c>
      <c r="D92" s="832">
        <v>1012678</v>
      </c>
      <c r="E92" s="832">
        <v>0</v>
      </c>
      <c r="F92" s="832">
        <v>0</v>
      </c>
      <c r="G92" s="832">
        <v>0</v>
      </c>
      <c r="H92" s="832">
        <v>0</v>
      </c>
      <c r="I92" s="832">
        <v>0</v>
      </c>
      <c r="J92" s="832">
        <v>0</v>
      </c>
    </row>
    <row r="93" spans="1:10">
      <c r="A93" s="831" t="s">
        <v>716</v>
      </c>
      <c r="B93" s="832">
        <v>783275</v>
      </c>
      <c r="C93" s="832">
        <v>811670</v>
      </c>
      <c r="D93" s="832">
        <v>1594945</v>
      </c>
      <c r="E93" s="832">
        <v>0</v>
      </c>
      <c r="F93" s="832">
        <v>0</v>
      </c>
      <c r="G93" s="832">
        <v>0</v>
      </c>
      <c r="H93" s="832">
        <v>0</v>
      </c>
      <c r="I93" s="832">
        <v>0</v>
      </c>
      <c r="J93" s="832">
        <v>0</v>
      </c>
    </row>
    <row r="94" spans="1:10">
      <c r="A94" s="831" t="s">
        <v>715</v>
      </c>
      <c r="B94" s="832">
        <v>506611</v>
      </c>
      <c r="C94" s="832">
        <v>500003</v>
      </c>
      <c r="D94" s="832">
        <v>1006614</v>
      </c>
      <c r="E94" s="832">
        <v>0</v>
      </c>
      <c r="F94" s="832">
        <v>0</v>
      </c>
      <c r="G94" s="832">
        <v>0</v>
      </c>
      <c r="H94" s="832">
        <v>0</v>
      </c>
      <c r="I94" s="832">
        <v>0</v>
      </c>
      <c r="J94" s="832">
        <v>0</v>
      </c>
    </row>
    <row r="95" spans="1:10">
      <c r="A95" s="831" t="s">
        <v>714</v>
      </c>
      <c r="B95" s="832">
        <v>75785</v>
      </c>
      <c r="C95" s="832">
        <v>75924</v>
      </c>
      <c r="D95" s="832">
        <v>151709</v>
      </c>
      <c r="E95" s="832">
        <v>0</v>
      </c>
      <c r="F95" s="832">
        <v>0</v>
      </c>
      <c r="G95" s="832">
        <v>0</v>
      </c>
      <c r="H95" s="832">
        <v>0</v>
      </c>
      <c r="I95" s="832">
        <v>0</v>
      </c>
      <c r="J95" s="832">
        <v>0</v>
      </c>
    </row>
    <row r="96" spans="1:10">
      <c r="A96" s="831" t="s">
        <v>712</v>
      </c>
      <c r="B96" s="832">
        <v>10852</v>
      </c>
      <c r="C96" s="832">
        <v>10861</v>
      </c>
      <c r="D96" s="832">
        <v>21713</v>
      </c>
      <c r="E96" s="832">
        <v>0</v>
      </c>
      <c r="F96" s="832">
        <v>0</v>
      </c>
      <c r="G96" s="832">
        <v>0</v>
      </c>
      <c r="H96" s="832">
        <v>0</v>
      </c>
      <c r="I96" s="832">
        <v>0</v>
      </c>
      <c r="J96" s="832">
        <v>0</v>
      </c>
    </row>
    <row r="97" spans="1:10">
      <c r="A97" s="831" t="s">
        <v>711</v>
      </c>
      <c r="B97" s="832">
        <v>25698</v>
      </c>
      <c r="C97" s="832">
        <v>23960</v>
      </c>
      <c r="D97" s="832">
        <v>49658</v>
      </c>
      <c r="E97" s="832">
        <v>0</v>
      </c>
      <c r="F97" s="832">
        <v>0</v>
      </c>
      <c r="G97" s="832">
        <v>0</v>
      </c>
      <c r="H97" s="832">
        <v>0</v>
      </c>
      <c r="I97" s="832">
        <v>0</v>
      </c>
      <c r="J97" s="832">
        <v>0</v>
      </c>
    </row>
    <row r="98" spans="1:10">
      <c r="A98" s="831" t="s">
        <v>710</v>
      </c>
      <c r="B98" s="832">
        <v>47779</v>
      </c>
      <c r="C98" s="832">
        <v>47609</v>
      </c>
      <c r="D98" s="832">
        <v>95388</v>
      </c>
      <c r="E98" s="832">
        <v>0</v>
      </c>
      <c r="F98" s="832">
        <v>0</v>
      </c>
      <c r="G98" s="832">
        <v>0</v>
      </c>
      <c r="H98" s="832">
        <v>0</v>
      </c>
      <c r="I98" s="832">
        <v>0</v>
      </c>
      <c r="J98" s="832">
        <v>0</v>
      </c>
    </row>
    <row r="99" spans="1:10">
      <c r="A99" s="831" t="s">
        <v>709</v>
      </c>
      <c r="B99" s="830">
        <v>66410</v>
      </c>
      <c r="C99" s="830">
        <v>63304</v>
      </c>
      <c r="D99" s="830">
        <v>129714</v>
      </c>
      <c r="E99" s="830">
        <v>0</v>
      </c>
      <c r="F99" s="830">
        <v>0</v>
      </c>
      <c r="G99" s="830">
        <v>0</v>
      </c>
      <c r="H99" s="830">
        <v>0</v>
      </c>
      <c r="I99" s="830">
        <v>0</v>
      </c>
      <c r="J99" s="830">
        <v>0</v>
      </c>
    </row>
    <row r="100" spans="1:10">
      <c r="A100" s="829" t="s">
        <v>708</v>
      </c>
      <c r="B100" s="828">
        <v>2853085</v>
      </c>
      <c r="C100" s="828">
        <v>2877690</v>
      </c>
      <c r="D100" s="828">
        <v>5730775</v>
      </c>
      <c r="E100" s="828">
        <v>0</v>
      </c>
      <c r="F100" s="828">
        <v>0</v>
      </c>
      <c r="G100" s="828">
        <v>0</v>
      </c>
      <c r="H100" s="828">
        <v>362</v>
      </c>
      <c r="I100" s="828">
        <v>363</v>
      </c>
      <c r="J100" s="828">
        <v>725</v>
      </c>
    </row>
    <row r="101" spans="1:10">
      <c r="A101" s="827"/>
      <c r="B101" s="832"/>
      <c r="C101" s="832"/>
      <c r="D101" s="832"/>
      <c r="E101" s="832"/>
      <c r="F101" s="832"/>
      <c r="G101" s="832"/>
      <c r="H101" s="832"/>
      <c r="I101" s="832"/>
      <c r="J101" s="832"/>
    </row>
    <row r="102" spans="1:10">
      <c r="A102" s="829" t="s">
        <v>707</v>
      </c>
      <c r="B102" s="828">
        <v>6015327</v>
      </c>
      <c r="C102" s="828">
        <v>6064485</v>
      </c>
      <c r="D102" s="828">
        <v>12079812</v>
      </c>
      <c r="E102" s="828">
        <v>0</v>
      </c>
      <c r="F102" s="828">
        <v>0</v>
      </c>
      <c r="G102" s="828">
        <v>0</v>
      </c>
      <c r="H102" s="828">
        <v>362</v>
      </c>
      <c r="I102" s="828">
        <v>363</v>
      </c>
      <c r="J102" s="828">
        <v>725</v>
      </c>
    </row>
    <row r="103" spans="1:10">
      <c r="A103" s="827"/>
      <c r="B103" s="832"/>
      <c r="C103" s="832"/>
      <c r="D103" s="832"/>
      <c r="E103" s="832"/>
      <c r="F103" s="832"/>
      <c r="G103" s="832"/>
      <c r="H103" s="832"/>
      <c r="I103" s="832"/>
      <c r="J103" s="832"/>
    </row>
    <row r="104" spans="1:10">
      <c r="A104" s="827"/>
      <c r="B104" s="832"/>
      <c r="C104" s="832"/>
      <c r="D104" s="832"/>
      <c r="E104" s="832"/>
      <c r="F104" s="832"/>
      <c r="G104" s="832"/>
      <c r="H104" s="832"/>
      <c r="I104" s="832"/>
      <c r="J104" s="832"/>
    </row>
    <row r="105" spans="1:10">
      <c r="A105" s="833" t="s">
        <v>706</v>
      </c>
      <c r="B105" s="832"/>
      <c r="C105" s="832"/>
      <c r="D105" s="832"/>
      <c r="E105" s="832"/>
      <c r="F105" s="832"/>
      <c r="G105" s="832"/>
      <c r="H105" s="832"/>
      <c r="I105" s="832"/>
      <c r="J105" s="832"/>
    </row>
    <row r="106" spans="1:10">
      <c r="A106" s="831" t="s">
        <v>705</v>
      </c>
      <c r="B106" s="832">
        <v>364</v>
      </c>
      <c r="C106" s="832">
        <v>0</v>
      </c>
      <c r="D106" s="832">
        <v>364</v>
      </c>
      <c r="E106" s="832">
        <v>0</v>
      </c>
      <c r="F106" s="832">
        <v>0</v>
      </c>
      <c r="G106" s="832">
        <v>0</v>
      </c>
      <c r="H106" s="832">
        <v>0</v>
      </c>
      <c r="I106" s="832">
        <v>0</v>
      </c>
      <c r="J106" s="832">
        <v>0</v>
      </c>
    </row>
    <row r="107" spans="1:10">
      <c r="A107" s="831" t="s">
        <v>704</v>
      </c>
      <c r="B107" s="832">
        <v>49002</v>
      </c>
      <c r="C107" s="832">
        <v>47789</v>
      </c>
      <c r="D107" s="832">
        <v>96791</v>
      </c>
      <c r="E107" s="832">
        <v>0</v>
      </c>
      <c r="F107" s="832">
        <v>0</v>
      </c>
      <c r="G107" s="832">
        <v>0</v>
      </c>
      <c r="H107" s="832">
        <v>0</v>
      </c>
      <c r="I107" s="832">
        <v>0</v>
      </c>
      <c r="J107" s="832">
        <v>0</v>
      </c>
    </row>
    <row r="108" spans="1:10">
      <c r="A108" s="831" t="s">
        <v>703</v>
      </c>
      <c r="B108" s="832">
        <v>8955</v>
      </c>
      <c r="C108" s="832">
        <v>8379</v>
      </c>
      <c r="D108" s="832">
        <v>17334</v>
      </c>
      <c r="E108" s="832">
        <v>0</v>
      </c>
      <c r="F108" s="832">
        <v>0</v>
      </c>
      <c r="G108" s="832">
        <v>0</v>
      </c>
      <c r="H108" s="832">
        <v>0</v>
      </c>
      <c r="I108" s="832">
        <v>0</v>
      </c>
      <c r="J108" s="832">
        <v>0</v>
      </c>
    </row>
    <row r="109" spans="1:10">
      <c r="A109" s="831" t="s">
        <v>702</v>
      </c>
      <c r="B109" s="832">
        <v>953</v>
      </c>
      <c r="C109" s="832">
        <v>972</v>
      </c>
      <c r="D109" s="832">
        <v>1925</v>
      </c>
      <c r="E109" s="832">
        <v>0</v>
      </c>
      <c r="F109" s="832">
        <v>0</v>
      </c>
      <c r="G109" s="832">
        <v>0</v>
      </c>
      <c r="H109" s="832">
        <v>0</v>
      </c>
      <c r="I109" s="832">
        <v>0</v>
      </c>
      <c r="J109" s="832">
        <v>0</v>
      </c>
    </row>
    <row r="110" spans="1:10">
      <c r="A110" s="831" t="s">
        <v>795</v>
      </c>
      <c r="B110" s="832">
        <v>2419</v>
      </c>
      <c r="C110" s="832">
        <v>2422</v>
      </c>
      <c r="D110" s="832">
        <v>4841</v>
      </c>
      <c r="E110" s="832">
        <v>0</v>
      </c>
      <c r="F110" s="832">
        <v>0</v>
      </c>
      <c r="G110" s="832">
        <v>0</v>
      </c>
      <c r="H110" s="832">
        <v>0</v>
      </c>
      <c r="I110" s="832">
        <v>0</v>
      </c>
      <c r="J110" s="832">
        <v>0</v>
      </c>
    </row>
    <row r="111" spans="1:10">
      <c r="A111" s="831" t="s">
        <v>700</v>
      </c>
      <c r="B111" s="832">
        <v>6790</v>
      </c>
      <c r="C111" s="832">
        <v>6793</v>
      </c>
      <c r="D111" s="832">
        <v>13583</v>
      </c>
      <c r="E111" s="832">
        <v>0</v>
      </c>
      <c r="F111" s="832">
        <v>0</v>
      </c>
      <c r="G111" s="832">
        <v>0</v>
      </c>
      <c r="H111" s="832">
        <v>0</v>
      </c>
      <c r="I111" s="832">
        <v>0</v>
      </c>
      <c r="J111" s="832">
        <v>0</v>
      </c>
    </row>
    <row r="112" spans="1:10">
      <c r="A112" s="831" t="s">
        <v>699</v>
      </c>
      <c r="B112" s="832">
        <v>35721</v>
      </c>
      <c r="C112" s="832">
        <v>33666</v>
      </c>
      <c r="D112" s="832">
        <v>69387</v>
      </c>
      <c r="E112" s="832">
        <v>0</v>
      </c>
      <c r="F112" s="832">
        <v>0</v>
      </c>
      <c r="G112" s="832">
        <v>0</v>
      </c>
      <c r="H112" s="832">
        <v>0</v>
      </c>
      <c r="I112" s="832">
        <v>0</v>
      </c>
      <c r="J112" s="832">
        <v>0</v>
      </c>
    </row>
    <row r="113" spans="1:10">
      <c r="A113" s="831" t="s">
        <v>698</v>
      </c>
      <c r="B113" s="832">
        <v>2545</v>
      </c>
      <c r="C113" s="832">
        <v>2520</v>
      </c>
      <c r="D113" s="832">
        <v>5065</v>
      </c>
      <c r="E113" s="832">
        <v>0</v>
      </c>
      <c r="F113" s="832">
        <v>0</v>
      </c>
      <c r="G113" s="832">
        <v>0</v>
      </c>
      <c r="H113" s="832">
        <v>0</v>
      </c>
      <c r="I113" s="832">
        <v>0</v>
      </c>
      <c r="J113" s="832">
        <v>0</v>
      </c>
    </row>
    <row r="114" spans="1:10">
      <c r="A114" s="831" t="s">
        <v>697</v>
      </c>
      <c r="B114" s="832">
        <v>33856</v>
      </c>
      <c r="C114" s="832">
        <v>35057</v>
      </c>
      <c r="D114" s="832">
        <v>68913</v>
      </c>
      <c r="E114" s="832">
        <v>0</v>
      </c>
      <c r="F114" s="832">
        <v>0</v>
      </c>
      <c r="G114" s="832">
        <v>0</v>
      </c>
      <c r="H114" s="832">
        <v>0</v>
      </c>
      <c r="I114" s="832">
        <v>0</v>
      </c>
      <c r="J114" s="832">
        <v>0</v>
      </c>
    </row>
    <row r="115" spans="1:10">
      <c r="A115" s="831" t="s">
        <v>696</v>
      </c>
      <c r="B115" s="830">
        <v>15729</v>
      </c>
      <c r="C115" s="830">
        <v>15371</v>
      </c>
      <c r="D115" s="830">
        <v>31100</v>
      </c>
      <c r="E115" s="830">
        <v>0</v>
      </c>
      <c r="F115" s="830">
        <v>0</v>
      </c>
      <c r="G115" s="830">
        <v>0</v>
      </c>
      <c r="H115" s="830">
        <v>0</v>
      </c>
      <c r="I115" s="830">
        <v>0</v>
      </c>
      <c r="J115" s="830">
        <v>0</v>
      </c>
    </row>
    <row r="116" spans="1:10">
      <c r="A116" s="829" t="s">
        <v>695</v>
      </c>
      <c r="B116" s="828">
        <v>156334</v>
      </c>
      <c r="C116" s="828">
        <v>152969</v>
      </c>
      <c r="D116" s="828">
        <v>309303</v>
      </c>
      <c r="E116" s="828">
        <v>0</v>
      </c>
      <c r="F116" s="828">
        <v>0</v>
      </c>
      <c r="G116" s="828">
        <v>0</v>
      </c>
      <c r="H116" s="828">
        <v>0</v>
      </c>
      <c r="I116" s="828">
        <v>0</v>
      </c>
      <c r="J116" s="828">
        <v>0</v>
      </c>
    </row>
    <row r="117" spans="1:10">
      <c r="A117" s="827"/>
      <c r="B117" s="832"/>
      <c r="C117" s="832"/>
      <c r="D117" s="832"/>
      <c r="E117" s="832"/>
      <c r="F117" s="832"/>
      <c r="G117" s="832"/>
      <c r="H117" s="832"/>
      <c r="I117" s="832"/>
      <c r="J117" s="832"/>
    </row>
    <row r="118" spans="1:10">
      <c r="A118" s="827"/>
      <c r="B118" s="832"/>
      <c r="C118" s="832"/>
      <c r="D118" s="832"/>
      <c r="E118" s="832"/>
      <c r="F118" s="832"/>
      <c r="G118" s="832"/>
      <c r="H118" s="832"/>
      <c r="I118" s="832"/>
      <c r="J118" s="832"/>
    </row>
    <row r="119" spans="1:10">
      <c r="A119" s="833" t="s">
        <v>694</v>
      </c>
      <c r="B119" s="832"/>
      <c r="C119" s="832"/>
      <c r="D119" s="832"/>
      <c r="E119" s="832"/>
      <c r="F119" s="832"/>
      <c r="G119" s="832"/>
      <c r="H119" s="832"/>
      <c r="I119" s="832"/>
      <c r="J119" s="832"/>
    </row>
    <row r="120" spans="1:10">
      <c r="A120" s="831" t="s">
        <v>693</v>
      </c>
      <c r="B120" s="832">
        <v>38921</v>
      </c>
      <c r="C120" s="832">
        <v>36578</v>
      </c>
      <c r="D120" s="832">
        <v>75499</v>
      </c>
      <c r="E120" s="832">
        <v>0</v>
      </c>
      <c r="F120" s="832">
        <v>0</v>
      </c>
      <c r="G120" s="832">
        <v>0</v>
      </c>
      <c r="H120" s="832">
        <v>0</v>
      </c>
      <c r="I120" s="832">
        <v>0</v>
      </c>
      <c r="J120" s="832">
        <v>0</v>
      </c>
    </row>
    <row r="121" spans="1:10">
      <c r="A121" s="831" t="s">
        <v>692</v>
      </c>
      <c r="B121" s="830">
        <v>1265</v>
      </c>
      <c r="C121" s="830">
        <v>1508</v>
      </c>
      <c r="D121" s="830">
        <v>2773</v>
      </c>
      <c r="E121" s="830">
        <v>0</v>
      </c>
      <c r="F121" s="830">
        <v>0</v>
      </c>
      <c r="G121" s="830">
        <v>0</v>
      </c>
      <c r="H121" s="830">
        <v>0</v>
      </c>
      <c r="I121" s="830">
        <v>0</v>
      </c>
      <c r="J121" s="830">
        <v>0</v>
      </c>
    </row>
    <row r="122" spans="1:10">
      <c r="A122" s="829" t="s">
        <v>691</v>
      </c>
      <c r="B122" s="828">
        <v>40186</v>
      </c>
      <c r="C122" s="828">
        <v>38086</v>
      </c>
      <c r="D122" s="828">
        <v>78272</v>
      </c>
      <c r="E122" s="828">
        <v>0</v>
      </c>
      <c r="F122" s="828">
        <v>0</v>
      </c>
      <c r="G122" s="828">
        <v>0</v>
      </c>
      <c r="H122" s="828">
        <v>0</v>
      </c>
      <c r="I122" s="828">
        <v>0</v>
      </c>
      <c r="J122" s="828">
        <v>0</v>
      </c>
    </row>
    <row r="123" spans="1:10">
      <c r="A123" s="827"/>
      <c r="B123" s="832"/>
      <c r="C123" s="832"/>
      <c r="D123" s="832"/>
      <c r="E123" s="832"/>
      <c r="F123" s="832"/>
      <c r="G123" s="832"/>
      <c r="H123" s="832"/>
      <c r="I123" s="832"/>
      <c r="J123" s="832"/>
    </row>
    <row r="124" spans="1:10">
      <c r="A124" s="827"/>
      <c r="B124" s="832"/>
      <c r="C124" s="832"/>
      <c r="D124" s="832"/>
      <c r="E124" s="832"/>
      <c r="F124" s="832"/>
      <c r="G124" s="832"/>
      <c r="H124" s="832"/>
      <c r="I124" s="832"/>
      <c r="J124" s="832"/>
    </row>
    <row r="125" spans="1:10">
      <c r="A125" s="833" t="s">
        <v>690</v>
      </c>
      <c r="B125" s="832"/>
      <c r="C125" s="832"/>
      <c r="D125" s="832"/>
      <c r="E125" s="832"/>
      <c r="F125" s="832"/>
      <c r="G125" s="832"/>
      <c r="H125" s="832"/>
      <c r="I125" s="832"/>
      <c r="J125" s="832"/>
    </row>
    <row r="126" spans="1:10">
      <c r="A126" s="831" t="s">
        <v>689</v>
      </c>
      <c r="B126" s="832">
        <v>25610</v>
      </c>
      <c r="C126" s="832">
        <v>23047</v>
      </c>
      <c r="D126" s="832">
        <v>48657</v>
      </c>
      <c r="E126" s="832">
        <v>0</v>
      </c>
      <c r="F126" s="832">
        <v>0</v>
      </c>
      <c r="G126" s="832">
        <v>0</v>
      </c>
      <c r="H126" s="832">
        <v>0</v>
      </c>
      <c r="I126" s="832">
        <v>0</v>
      </c>
      <c r="J126" s="832">
        <v>0</v>
      </c>
    </row>
    <row r="127" spans="1:10">
      <c r="A127" s="831" t="s">
        <v>688</v>
      </c>
      <c r="B127" s="832">
        <v>5242704</v>
      </c>
      <c r="C127" s="832">
        <v>5217070</v>
      </c>
      <c r="D127" s="832">
        <v>10459774</v>
      </c>
      <c r="E127" s="832">
        <v>0</v>
      </c>
      <c r="F127" s="832">
        <v>0</v>
      </c>
      <c r="G127" s="832">
        <v>0</v>
      </c>
      <c r="H127" s="832">
        <v>0</v>
      </c>
      <c r="I127" s="832">
        <v>0</v>
      </c>
      <c r="J127" s="832">
        <v>0</v>
      </c>
    </row>
    <row r="128" spans="1:10">
      <c r="A128" s="831" t="s">
        <v>687</v>
      </c>
      <c r="B128" s="832">
        <v>323759</v>
      </c>
      <c r="C128" s="832">
        <v>326054</v>
      </c>
      <c r="D128" s="832">
        <v>649813</v>
      </c>
      <c r="E128" s="832">
        <v>0</v>
      </c>
      <c r="F128" s="832">
        <v>0</v>
      </c>
      <c r="G128" s="832">
        <v>0</v>
      </c>
      <c r="H128" s="832">
        <v>0</v>
      </c>
      <c r="I128" s="832">
        <v>0</v>
      </c>
      <c r="J128" s="832">
        <v>0</v>
      </c>
    </row>
    <row r="129" spans="1:10">
      <c r="A129" s="831" t="s">
        <v>686</v>
      </c>
      <c r="B129" s="832">
        <v>7111</v>
      </c>
      <c r="C129" s="832">
        <v>7111</v>
      </c>
      <c r="D129" s="832">
        <v>14222</v>
      </c>
      <c r="E129" s="832">
        <v>0</v>
      </c>
      <c r="F129" s="832">
        <v>0</v>
      </c>
      <c r="G129" s="832">
        <v>0</v>
      </c>
      <c r="H129" s="832">
        <v>0</v>
      </c>
      <c r="I129" s="832">
        <v>0</v>
      </c>
      <c r="J129" s="832">
        <v>0</v>
      </c>
    </row>
    <row r="130" spans="1:10">
      <c r="A130" s="831" t="s">
        <v>221</v>
      </c>
      <c r="B130" s="832">
        <v>659950</v>
      </c>
      <c r="C130" s="832">
        <v>689480</v>
      </c>
      <c r="D130" s="832">
        <v>1349430</v>
      </c>
      <c r="E130" s="832">
        <v>0</v>
      </c>
      <c r="F130" s="832">
        <v>0</v>
      </c>
      <c r="G130" s="832">
        <v>0</v>
      </c>
      <c r="H130" s="832">
        <v>378</v>
      </c>
      <c r="I130" s="832">
        <v>378</v>
      </c>
      <c r="J130" s="832">
        <v>756</v>
      </c>
    </row>
    <row r="131" spans="1:10">
      <c r="A131" s="831" t="s">
        <v>685</v>
      </c>
      <c r="B131" s="832">
        <v>7898</v>
      </c>
      <c r="C131" s="832">
        <v>7917</v>
      </c>
      <c r="D131" s="832">
        <v>15815</v>
      </c>
      <c r="E131" s="832">
        <v>0</v>
      </c>
      <c r="F131" s="832">
        <v>0</v>
      </c>
      <c r="G131" s="832">
        <v>0</v>
      </c>
      <c r="H131" s="832">
        <v>0</v>
      </c>
      <c r="I131" s="832">
        <v>0</v>
      </c>
      <c r="J131" s="832">
        <v>0</v>
      </c>
    </row>
    <row r="132" spans="1:10">
      <c r="A132" s="831" t="s">
        <v>684</v>
      </c>
      <c r="B132" s="832">
        <v>303337</v>
      </c>
      <c r="C132" s="832">
        <v>308445</v>
      </c>
      <c r="D132" s="832">
        <v>611782</v>
      </c>
      <c r="E132" s="832">
        <v>0</v>
      </c>
      <c r="F132" s="832">
        <v>0</v>
      </c>
      <c r="G132" s="832">
        <v>0</v>
      </c>
      <c r="H132" s="832">
        <v>0</v>
      </c>
      <c r="I132" s="832">
        <v>0</v>
      </c>
      <c r="J132" s="832">
        <v>0</v>
      </c>
    </row>
    <row r="133" spans="1:10">
      <c r="A133" s="831" t="s">
        <v>683</v>
      </c>
      <c r="B133" s="832">
        <v>16420</v>
      </c>
      <c r="C133" s="832">
        <v>16190</v>
      </c>
      <c r="D133" s="832">
        <v>32610</v>
      </c>
      <c r="E133" s="832">
        <v>0</v>
      </c>
      <c r="F133" s="832">
        <v>0</v>
      </c>
      <c r="G133" s="832">
        <v>0</v>
      </c>
      <c r="H133" s="832">
        <v>0</v>
      </c>
      <c r="I133" s="832">
        <v>0</v>
      </c>
      <c r="J133" s="832">
        <v>0</v>
      </c>
    </row>
    <row r="134" spans="1:10">
      <c r="A134" s="831" t="s">
        <v>682</v>
      </c>
      <c r="B134" s="832">
        <v>8741</v>
      </c>
      <c r="C134" s="832">
        <v>8794</v>
      </c>
      <c r="D134" s="832">
        <v>17535</v>
      </c>
      <c r="E134" s="832">
        <v>0</v>
      </c>
      <c r="F134" s="832">
        <v>0</v>
      </c>
      <c r="G134" s="832">
        <v>0</v>
      </c>
      <c r="H134" s="832">
        <v>0</v>
      </c>
      <c r="I134" s="832">
        <v>0</v>
      </c>
      <c r="J134" s="832">
        <v>0</v>
      </c>
    </row>
    <row r="135" spans="1:10">
      <c r="A135" s="831" t="s">
        <v>680</v>
      </c>
      <c r="B135" s="832">
        <v>58078</v>
      </c>
      <c r="C135" s="832">
        <v>98491</v>
      </c>
      <c r="D135" s="832">
        <v>156569</v>
      </c>
      <c r="E135" s="832">
        <v>0</v>
      </c>
      <c r="F135" s="832">
        <v>0</v>
      </c>
      <c r="G135" s="832">
        <v>0</v>
      </c>
      <c r="H135" s="832">
        <v>798</v>
      </c>
      <c r="I135" s="832">
        <v>800</v>
      </c>
      <c r="J135" s="832">
        <v>1598</v>
      </c>
    </row>
    <row r="136" spans="1:10">
      <c r="A136" s="831" t="s">
        <v>679</v>
      </c>
      <c r="B136" s="832">
        <v>83959</v>
      </c>
      <c r="C136" s="832">
        <v>88580</v>
      </c>
      <c r="D136" s="832">
        <v>172539</v>
      </c>
      <c r="E136" s="832">
        <v>0</v>
      </c>
      <c r="F136" s="832">
        <v>0</v>
      </c>
      <c r="G136" s="832">
        <v>0</v>
      </c>
      <c r="H136" s="832">
        <v>0</v>
      </c>
      <c r="I136" s="832">
        <v>0</v>
      </c>
      <c r="J136" s="832">
        <v>0</v>
      </c>
    </row>
    <row r="137" spans="1:10">
      <c r="A137" s="831" t="s">
        <v>678</v>
      </c>
      <c r="B137" s="830">
        <v>102104</v>
      </c>
      <c r="C137" s="830">
        <v>102137</v>
      </c>
      <c r="D137" s="830">
        <v>204241</v>
      </c>
      <c r="E137" s="830">
        <v>0</v>
      </c>
      <c r="F137" s="830">
        <v>0</v>
      </c>
      <c r="G137" s="830">
        <v>0</v>
      </c>
      <c r="H137" s="830">
        <v>23990</v>
      </c>
      <c r="I137" s="830">
        <v>23990</v>
      </c>
      <c r="J137" s="830">
        <v>47980</v>
      </c>
    </row>
    <row r="138" spans="1:10">
      <c r="A138" s="829" t="s">
        <v>676</v>
      </c>
      <c r="B138" s="828">
        <v>6839671</v>
      </c>
      <c r="C138" s="828">
        <v>6893316</v>
      </c>
      <c r="D138" s="828">
        <v>13732987</v>
      </c>
      <c r="E138" s="828">
        <v>0</v>
      </c>
      <c r="F138" s="828">
        <v>0</v>
      </c>
      <c r="G138" s="828">
        <v>0</v>
      </c>
      <c r="H138" s="828">
        <v>25166</v>
      </c>
      <c r="I138" s="828">
        <v>25168</v>
      </c>
      <c r="J138" s="828">
        <v>50334</v>
      </c>
    </row>
    <row r="139" spans="1:10">
      <c r="A139" s="827"/>
      <c r="B139" s="832"/>
      <c r="C139" s="832"/>
      <c r="D139" s="832"/>
      <c r="E139" s="832"/>
      <c r="F139" s="832"/>
      <c r="G139" s="832"/>
      <c r="H139" s="832"/>
      <c r="I139" s="832"/>
      <c r="J139" s="832"/>
    </row>
    <row r="140" spans="1:10">
      <c r="A140" s="827"/>
      <c r="B140" s="832"/>
      <c r="C140" s="832"/>
      <c r="D140" s="832"/>
      <c r="E140" s="832"/>
      <c r="F140" s="832"/>
      <c r="G140" s="832"/>
      <c r="H140" s="832"/>
      <c r="I140" s="832"/>
      <c r="J140" s="832"/>
    </row>
    <row r="141" spans="1:10">
      <c r="A141" s="833" t="s">
        <v>177</v>
      </c>
      <c r="B141" s="832"/>
      <c r="C141" s="832"/>
      <c r="D141" s="832"/>
      <c r="E141" s="832"/>
      <c r="F141" s="832"/>
      <c r="G141" s="832"/>
      <c r="H141" s="832"/>
      <c r="I141" s="832"/>
      <c r="J141" s="832"/>
    </row>
    <row r="142" spans="1:10">
      <c r="A142" s="831" t="s">
        <v>794</v>
      </c>
      <c r="B142" s="832">
        <v>0</v>
      </c>
      <c r="C142" s="832">
        <v>997</v>
      </c>
      <c r="D142" s="832">
        <v>997</v>
      </c>
      <c r="E142" s="832">
        <v>0</v>
      </c>
      <c r="F142" s="832">
        <v>0</v>
      </c>
      <c r="G142" s="832">
        <v>0</v>
      </c>
      <c r="H142" s="832">
        <v>0</v>
      </c>
      <c r="I142" s="832">
        <v>0</v>
      </c>
      <c r="J142" s="832">
        <v>0</v>
      </c>
    </row>
    <row r="143" spans="1:10">
      <c r="A143" s="831" t="s">
        <v>11</v>
      </c>
      <c r="B143" s="832">
        <v>218980</v>
      </c>
      <c r="C143" s="832">
        <v>0</v>
      </c>
      <c r="D143" s="832">
        <v>218980</v>
      </c>
      <c r="E143" s="832">
        <v>0</v>
      </c>
      <c r="F143" s="832">
        <v>0</v>
      </c>
      <c r="G143" s="832">
        <v>0</v>
      </c>
      <c r="H143" s="832">
        <v>0</v>
      </c>
      <c r="I143" s="832">
        <v>0</v>
      </c>
      <c r="J143" s="832">
        <v>0</v>
      </c>
    </row>
    <row r="144" spans="1:10">
      <c r="A144" s="831" t="s">
        <v>2</v>
      </c>
      <c r="B144" s="832">
        <v>201471</v>
      </c>
      <c r="C144" s="832">
        <v>206523</v>
      </c>
      <c r="D144" s="832">
        <v>407994</v>
      </c>
      <c r="E144" s="832">
        <v>394276</v>
      </c>
      <c r="F144" s="832">
        <v>447904</v>
      </c>
      <c r="G144" s="832">
        <v>842180</v>
      </c>
      <c r="H144" s="832">
        <v>10726</v>
      </c>
      <c r="I144" s="832">
        <v>7853</v>
      </c>
      <c r="J144" s="832">
        <v>18579</v>
      </c>
    </row>
    <row r="145" spans="1:10">
      <c r="A145" s="831" t="s">
        <v>3</v>
      </c>
      <c r="B145" s="832">
        <v>134912</v>
      </c>
      <c r="C145" s="832">
        <v>135389</v>
      </c>
      <c r="D145" s="832">
        <v>270301</v>
      </c>
      <c r="E145" s="832">
        <v>190963</v>
      </c>
      <c r="F145" s="832">
        <v>216072</v>
      </c>
      <c r="G145" s="832">
        <v>407035</v>
      </c>
      <c r="H145" s="832">
        <v>16533</v>
      </c>
      <c r="I145" s="832">
        <v>16532</v>
      </c>
      <c r="J145" s="832">
        <v>33065</v>
      </c>
    </row>
    <row r="146" spans="1:10">
      <c r="A146" s="831" t="s">
        <v>4</v>
      </c>
      <c r="B146" s="832">
        <v>26281</v>
      </c>
      <c r="C146" s="832">
        <v>26589</v>
      </c>
      <c r="D146" s="832">
        <v>52870</v>
      </c>
      <c r="E146" s="832">
        <v>51441</v>
      </c>
      <c r="F146" s="832">
        <v>57342</v>
      </c>
      <c r="G146" s="832">
        <v>108783</v>
      </c>
      <c r="H146" s="832">
        <v>8046</v>
      </c>
      <c r="I146" s="832">
        <v>8041</v>
      </c>
      <c r="J146" s="832">
        <v>16087</v>
      </c>
    </row>
    <row r="147" spans="1:10">
      <c r="A147" s="831" t="s">
        <v>5</v>
      </c>
      <c r="B147" s="832">
        <v>22492</v>
      </c>
      <c r="C147" s="832">
        <v>22573</v>
      </c>
      <c r="D147" s="832">
        <v>45065</v>
      </c>
      <c r="E147" s="832">
        <v>52856</v>
      </c>
      <c r="F147" s="832">
        <v>62794</v>
      </c>
      <c r="G147" s="832">
        <v>115650</v>
      </c>
      <c r="H147" s="832">
        <v>9538</v>
      </c>
      <c r="I147" s="832">
        <v>9538</v>
      </c>
      <c r="J147" s="832">
        <v>19076</v>
      </c>
    </row>
    <row r="148" spans="1:10">
      <c r="A148" s="831" t="s">
        <v>6</v>
      </c>
      <c r="B148" s="832">
        <v>15582</v>
      </c>
      <c r="C148" s="832">
        <v>15312</v>
      </c>
      <c r="D148" s="832">
        <v>30894</v>
      </c>
      <c r="E148" s="832">
        <v>30034</v>
      </c>
      <c r="F148" s="832">
        <v>33254</v>
      </c>
      <c r="G148" s="832">
        <v>63288</v>
      </c>
      <c r="H148" s="832">
        <v>2725</v>
      </c>
      <c r="I148" s="832">
        <v>2725</v>
      </c>
      <c r="J148" s="832">
        <v>5450</v>
      </c>
    </row>
    <row r="149" spans="1:10">
      <c r="A149" s="831" t="s">
        <v>7</v>
      </c>
      <c r="B149" s="832">
        <v>33709</v>
      </c>
      <c r="C149" s="832">
        <v>33654</v>
      </c>
      <c r="D149" s="832">
        <v>67363</v>
      </c>
      <c r="E149" s="832">
        <v>72767</v>
      </c>
      <c r="F149" s="832">
        <v>85242</v>
      </c>
      <c r="G149" s="832">
        <v>158009</v>
      </c>
      <c r="H149" s="832">
        <v>6647</v>
      </c>
      <c r="I149" s="832">
        <v>6619</v>
      </c>
      <c r="J149" s="832">
        <v>13266</v>
      </c>
    </row>
    <row r="150" spans="1:10">
      <c r="A150" s="831" t="s">
        <v>793</v>
      </c>
      <c r="B150" s="832">
        <v>0</v>
      </c>
      <c r="C150" s="832">
        <v>247932</v>
      </c>
      <c r="D150" s="832">
        <v>247932</v>
      </c>
      <c r="E150" s="832">
        <v>0</v>
      </c>
      <c r="F150" s="832">
        <v>0</v>
      </c>
      <c r="G150" s="832">
        <v>0</v>
      </c>
      <c r="H150" s="832">
        <v>0</v>
      </c>
      <c r="I150" s="832">
        <v>0</v>
      </c>
      <c r="J150" s="832">
        <v>0</v>
      </c>
    </row>
    <row r="151" spans="1:10">
      <c r="A151" s="831" t="s">
        <v>276</v>
      </c>
      <c r="B151" s="830">
        <v>533355</v>
      </c>
      <c r="C151" s="830">
        <v>525998</v>
      </c>
      <c r="D151" s="830">
        <v>1059353</v>
      </c>
      <c r="E151" s="830">
        <v>295778</v>
      </c>
      <c r="F151" s="830">
        <v>337626</v>
      </c>
      <c r="G151" s="830">
        <v>633404</v>
      </c>
      <c r="H151" s="830">
        <v>47703</v>
      </c>
      <c r="I151" s="830">
        <v>47667</v>
      </c>
      <c r="J151" s="830">
        <v>95370</v>
      </c>
    </row>
    <row r="152" spans="1:10">
      <c r="A152" s="829" t="s">
        <v>9</v>
      </c>
      <c r="B152" s="828">
        <v>1186782</v>
      </c>
      <c r="C152" s="828">
        <v>1214967</v>
      </c>
      <c r="D152" s="828">
        <v>2401749</v>
      </c>
      <c r="E152" s="828">
        <v>1088115</v>
      </c>
      <c r="F152" s="828">
        <v>1240234</v>
      </c>
      <c r="G152" s="828">
        <v>2328349</v>
      </c>
      <c r="H152" s="828">
        <v>101918</v>
      </c>
      <c r="I152" s="828">
        <v>98975</v>
      </c>
      <c r="J152" s="828">
        <v>200893</v>
      </c>
    </row>
    <row r="153" spans="1:10">
      <c r="A153" s="827"/>
      <c r="B153" s="832"/>
      <c r="C153" s="832"/>
      <c r="D153" s="832"/>
      <c r="E153" s="832"/>
      <c r="F153" s="832"/>
      <c r="G153" s="832"/>
      <c r="H153" s="832"/>
      <c r="I153" s="832"/>
      <c r="J153" s="832"/>
    </row>
    <row r="154" spans="1:10">
      <c r="A154" s="833" t="s">
        <v>675</v>
      </c>
      <c r="B154" s="832"/>
      <c r="C154" s="832"/>
      <c r="D154" s="832"/>
      <c r="E154" s="832"/>
      <c r="F154" s="832"/>
      <c r="G154" s="832"/>
      <c r="H154" s="832"/>
      <c r="I154" s="832"/>
      <c r="J154" s="832"/>
    </row>
    <row r="155" spans="1:10">
      <c r="A155" s="831" t="s">
        <v>674</v>
      </c>
      <c r="B155" s="832">
        <v>5780</v>
      </c>
      <c r="C155" s="832">
        <v>5746</v>
      </c>
      <c r="D155" s="832">
        <v>11526</v>
      </c>
      <c r="E155" s="832">
        <v>0</v>
      </c>
      <c r="F155" s="832">
        <v>0</v>
      </c>
      <c r="G155" s="832">
        <v>0</v>
      </c>
      <c r="H155" s="832">
        <v>0</v>
      </c>
      <c r="I155" s="832">
        <v>0</v>
      </c>
      <c r="J155" s="832">
        <v>0</v>
      </c>
    </row>
    <row r="156" spans="1:10">
      <c r="A156" s="831" t="s">
        <v>673</v>
      </c>
      <c r="B156" s="832">
        <v>8451</v>
      </c>
      <c r="C156" s="832">
        <v>8449</v>
      </c>
      <c r="D156" s="832">
        <v>16900</v>
      </c>
      <c r="E156" s="832">
        <v>0</v>
      </c>
      <c r="F156" s="832">
        <v>0</v>
      </c>
      <c r="G156" s="832">
        <v>0</v>
      </c>
      <c r="H156" s="832">
        <v>0</v>
      </c>
      <c r="I156" s="832">
        <v>0</v>
      </c>
      <c r="J156" s="832">
        <v>0</v>
      </c>
    </row>
    <row r="157" spans="1:10">
      <c r="A157" s="831" t="s">
        <v>672</v>
      </c>
      <c r="B157" s="832">
        <v>1382</v>
      </c>
      <c r="C157" s="832">
        <v>1388</v>
      </c>
      <c r="D157" s="832">
        <v>2770</v>
      </c>
      <c r="E157" s="832">
        <v>0</v>
      </c>
      <c r="F157" s="832">
        <v>0</v>
      </c>
      <c r="G157" s="832">
        <v>0</v>
      </c>
      <c r="H157" s="832">
        <v>0</v>
      </c>
      <c r="I157" s="832">
        <v>0</v>
      </c>
      <c r="J157" s="832">
        <v>0</v>
      </c>
    </row>
    <row r="158" spans="1:10">
      <c r="A158" s="831" t="s">
        <v>671</v>
      </c>
      <c r="B158" s="830">
        <v>27570</v>
      </c>
      <c r="C158" s="830">
        <v>27557</v>
      </c>
      <c r="D158" s="830">
        <v>55127</v>
      </c>
      <c r="E158" s="830">
        <v>0</v>
      </c>
      <c r="F158" s="830">
        <v>0</v>
      </c>
      <c r="G158" s="830">
        <v>0</v>
      </c>
      <c r="H158" s="830">
        <v>0</v>
      </c>
      <c r="I158" s="830">
        <v>0</v>
      </c>
      <c r="J158" s="830">
        <v>0</v>
      </c>
    </row>
    <row r="159" spans="1:10">
      <c r="A159" s="829" t="s">
        <v>667</v>
      </c>
      <c r="B159" s="828">
        <v>43183</v>
      </c>
      <c r="C159" s="828">
        <v>43140</v>
      </c>
      <c r="D159" s="828">
        <v>86323</v>
      </c>
      <c r="E159" s="828">
        <v>0</v>
      </c>
      <c r="F159" s="828">
        <v>0</v>
      </c>
      <c r="G159" s="828">
        <v>0</v>
      </c>
      <c r="H159" s="828">
        <v>0</v>
      </c>
      <c r="I159" s="828">
        <v>0</v>
      </c>
      <c r="J159" s="828">
        <v>0</v>
      </c>
    </row>
    <row r="160" spans="1:10">
      <c r="A160" s="827"/>
      <c r="B160" s="832"/>
      <c r="C160" s="832"/>
      <c r="D160" s="832"/>
      <c r="E160" s="832"/>
      <c r="F160" s="832"/>
      <c r="G160" s="832"/>
      <c r="H160" s="832"/>
      <c r="I160" s="832"/>
      <c r="J160" s="832"/>
    </row>
    <row r="161" spans="1:10">
      <c r="A161" s="829" t="s">
        <v>363</v>
      </c>
      <c r="B161" s="828">
        <v>8069636</v>
      </c>
      <c r="C161" s="828">
        <v>8151423</v>
      </c>
      <c r="D161" s="828">
        <v>16221059</v>
      </c>
      <c r="E161" s="828">
        <v>1088115</v>
      </c>
      <c r="F161" s="828">
        <v>1240234</v>
      </c>
      <c r="G161" s="828">
        <v>2328349</v>
      </c>
      <c r="H161" s="828">
        <v>127084</v>
      </c>
      <c r="I161" s="828">
        <v>124143</v>
      </c>
      <c r="J161" s="828">
        <v>251227</v>
      </c>
    </row>
    <row r="162" spans="1:10">
      <c r="A162" s="827"/>
      <c r="B162" s="832"/>
      <c r="C162" s="832"/>
      <c r="D162" s="832"/>
      <c r="E162" s="832"/>
      <c r="F162" s="832"/>
      <c r="G162" s="832"/>
      <c r="H162" s="832"/>
      <c r="I162" s="832"/>
      <c r="J162" s="832"/>
    </row>
    <row r="163" spans="1:10">
      <c r="A163" s="827"/>
      <c r="B163" s="832"/>
      <c r="C163" s="832"/>
      <c r="D163" s="832"/>
      <c r="E163" s="832"/>
      <c r="F163" s="832"/>
      <c r="G163" s="832"/>
      <c r="H163" s="832"/>
      <c r="I163" s="832"/>
      <c r="J163" s="832"/>
    </row>
    <row r="164" spans="1:10">
      <c r="A164" s="833" t="s">
        <v>666</v>
      </c>
      <c r="B164" s="832"/>
      <c r="C164" s="832"/>
      <c r="D164" s="832"/>
      <c r="E164" s="832"/>
      <c r="F164" s="832"/>
      <c r="G164" s="832"/>
      <c r="H164" s="832"/>
      <c r="I164" s="832"/>
      <c r="J164" s="832"/>
    </row>
    <row r="165" spans="1:10">
      <c r="A165" s="831" t="s">
        <v>665</v>
      </c>
      <c r="B165" s="832">
        <v>952920</v>
      </c>
      <c r="C165" s="832">
        <v>1013601</v>
      </c>
      <c r="D165" s="832">
        <v>1966521</v>
      </c>
      <c r="E165" s="832">
        <v>0</v>
      </c>
      <c r="F165" s="832">
        <v>0</v>
      </c>
      <c r="G165" s="832">
        <v>0</v>
      </c>
      <c r="H165" s="832">
        <v>0</v>
      </c>
      <c r="I165" s="832">
        <v>0</v>
      </c>
      <c r="J165" s="832">
        <v>0</v>
      </c>
    </row>
    <row r="166" spans="1:10">
      <c r="A166" s="831" t="s">
        <v>664</v>
      </c>
      <c r="B166" s="832">
        <v>57435</v>
      </c>
      <c r="C166" s="832">
        <v>40572</v>
      </c>
      <c r="D166" s="832">
        <v>98007</v>
      </c>
      <c r="E166" s="832">
        <v>0</v>
      </c>
      <c r="F166" s="832">
        <v>0</v>
      </c>
      <c r="G166" s="832">
        <v>0</v>
      </c>
      <c r="H166" s="832">
        <v>0</v>
      </c>
      <c r="I166" s="832">
        <v>0</v>
      </c>
      <c r="J166" s="832">
        <v>0</v>
      </c>
    </row>
    <row r="167" spans="1:10">
      <c r="A167" s="831" t="s">
        <v>662</v>
      </c>
      <c r="B167" s="830">
        <v>63647</v>
      </c>
      <c r="C167" s="830">
        <v>69829</v>
      </c>
      <c r="D167" s="830">
        <v>133476</v>
      </c>
      <c r="E167" s="830">
        <v>0</v>
      </c>
      <c r="F167" s="830">
        <v>0</v>
      </c>
      <c r="G167" s="830">
        <v>0</v>
      </c>
      <c r="H167" s="830">
        <v>0</v>
      </c>
      <c r="I167" s="830">
        <v>0</v>
      </c>
      <c r="J167" s="830">
        <v>0</v>
      </c>
    </row>
    <row r="168" spans="1:10">
      <c r="A168" s="829" t="s">
        <v>661</v>
      </c>
      <c r="B168" s="828">
        <v>1074002</v>
      </c>
      <c r="C168" s="828">
        <v>1124002</v>
      </c>
      <c r="D168" s="828">
        <v>2198004</v>
      </c>
      <c r="E168" s="828">
        <v>0</v>
      </c>
      <c r="F168" s="828">
        <v>0</v>
      </c>
      <c r="G168" s="828">
        <v>0</v>
      </c>
      <c r="H168" s="828">
        <v>0</v>
      </c>
      <c r="I168" s="828">
        <v>0</v>
      </c>
      <c r="J168" s="828">
        <v>0</v>
      </c>
    </row>
    <row r="169" spans="1:10">
      <c r="A169" s="827"/>
    </row>
    <row r="170" spans="1:10">
      <c r="A170" s="827"/>
    </row>
    <row r="171" spans="1:10">
      <c r="A171" s="827"/>
    </row>
    <row r="172" spans="1:10">
      <c r="A172" s="827"/>
    </row>
    <row r="173" spans="1:10">
      <c r="A173" s="827"/>
    </row>
    <row r="174" spans="1:10">
      <c r="A174" s="827"/>
    </row>
    <row r="175" spans="1:10">
      <c r="A175" s="827"/>
    </row>
    <row r="176" spans="1:10">
      <c r="A176" s="827"/>
    </row>
    <row r="177" spans="1:1">
      <c r="A177" s="827"/>
    </row>
    <row r="178" spans="1:1">
      <c r="A178" s="827"/>
    </row>
    <row r="179" spans="1:1">
      <c r="A179" s="827"/>
    </row>
    <row r="180" spans="1:1">
      <c r="A180" s="827"/>
    </row>
    <row r="181" spans="1:1">
      <c r="A181" s="827"/>
    </row>
    <row r="182" spans="1:1">
      <c r="A182" s="827"/>
    </row>
    <row r="183" spans="1:1">
      <c r="A183" s="827"/>
    </row>
    <row r="184" spans="1:1">
      <c r="A184" s="827"/>
    </row>
    <row r="185" spans="1:1">
      <c r="A185" s="827"/>
    </row>
    <row r="186" spans="1:1">
      <c r="A186" s="827"/>
    </row>
    <row r="187" spans="1:1">
      <c r="A187" s="827"/>
    </row>
    <row r="188" spans="1:1">
      <c r="A188" s="827"/>
    </row>
    <row r="189" spans="1:1">
      <c r="A189" s="827"/>
    </row>
    <row r="190" spans="1:1">
      <c r="A190" s="827"/>
    </row>
    <row r="191" spans="1:1">
      <c r="A191" s="827"/>
    </row>
  </sheetData>
  <printOptions horizontalCentered="1"/>
  <pageMargins left="0.75" right="0.75" top="1.25" bottom="1" header="0.5" footer="0.5"/>
  <pageSetup scale="89" fitToWidth="0" fitToHeight="0" orientation="landscape" horizontalDpi="1200" verticalDpi="1200" r:id="rId1"/>
  <headerFooter>
    <oddHeader>&amp;C&amp;"Times New Roman,Bold"&amp;12 2011-13 Omnibus Operating Budget
House Working Version
&amp;"Times New Roman,Regular"&amp;10(Dollars in Thousands)</oddHeader>
    <oddFooter>&amp;RAugust 24, 2011     12:02 pm  &amp;LHouse Office of Program Research–Fiscal Committees</oddFooter>
  </headerFooter>
  <rowBreaks count="9" manualBreakCount="9">
    <brk id="25" max="16383" man="1"/>
    <brk id="49" max="16383" man="1"/>
    <brk id="74" max="16383" man="1"/>
    <brk id="87" max="16383" man="1"/>
    <brk id="104" max="16383" man="1"/>
    <brk id="118" max="16383" man="1"/>
    <brk id="124" max="16383" man="1"/>
    <brk id="140" max="16383" man="1"/>
    <brk id="1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K73"/>
  <sheetViews>
    <sheetView workbookViewId="0"/>
  </sheetViews>
  <sheetFormatPr defaultRowHeight="12.75"/>
  <cols>
    <col min="1" max="1" width="35.625" style="1" customWidth="1"/>
    <col min="2" max="11" width="9.625" style="1" customWidth="1"/>
    <col min="12" max="16384" width="9" style="1"/>
  </cols>
  <sheetData>
    <row r="1" spans="1:11">
      <c r="A1" s="1" t="str">
        <f>+OperatingFunds!B1</f>
        <v>Last updated: 18 December 2024</v>
      </c>
    </row>
    <row r="2" spans="1:11">
      <c r="A2" s="4" t="s">
        <v>10</v>
      </c>
      <c r="K2" s="8">
        <f ca="1">NOW()</f>
        <v>45644.513693865738</v>
      </c>
    </row>
    <row r="3" spans="1:11">
      <c r="A3" s="5" t="s">
        <v>127</v>
      </c>
      <c r="B3" s="5"/>
      <c r="C3" s="5"/>
      <c r="D3" s="5"/>
      <c r="E3" s="5"/>
      <c r="F3" s="5"/>
      <c r="G3" s="5"/>
      <c r="H3" s="5"/>
      <c r="I3" s="5"/>
      <c r="J3" s="5"/>
      <c r="K3" s="5"/>
    </row>
    <row r="4" spans="1:11">
      <c r="A4" s="5" t="s">
        <v>0</v>
      </c>
      <c r="B4" s="5"/>
      <c r="C4" s="5"/>
      <c r="D4" s="5"/>
      <c r="E4" s="5"/>
      <c r="F4" s="5"/>
      <c r="G4" s="5"/>
      <c r="H4" s="5"/>
      <c r="I4" s="5"/>
      <c r="J4" s="5"/>
      <c r="K4" s="5"/>
    </row>
    <row r="5" spans="1:11">
      <c r="A5" s="5" t="s">
        <v>1</v>
      </c>
      <c r="B5" s="5"/>
      <c r="C5" s="5"/>
      <c r="D5" s="5"/>
      <c r="E5" s="5"/>
      <c r="F5" s="5"/>
      <c r="G5" s="5"/>
      <c r="H5" s="5"/>
      <c r="I5" s="5"/>
      <c r="J5" s="5"/>
      <c r="K5" s="5"/>
    </row>
    <row r="8" spans="1:11">
      <c r="B8" s="2" t="s">
        <v>51</v>
      </c>
      <c r="C8" s="2" t="s">
        <v>42</v>
      </c>
      <c r="D8" s="2" t="s">
        <v>43</v>
      </c>
      <c r="E8" s="2" t="s">
        <v>44</v>
      </c>
      <c r="F8" s="2" t="s">
        <v>45</v>
      </c>
      <c r="G8" s="2" t="s">
        <v>46</v>
      </c>
      <c r="H8" s="2" t="s">
        <v>47</v>
      </c>
      <c r="I8" s="2" t="s">
        <v>48</v>
      </c>
      <c r="J8" s="2" t="s">
        <v>49</v>
      </c>
      <c r="K8" s="2" t="s">
        <v>50</v>
      </c>
    </row>
    <row r="10" spans="1:11">
      <c r="A10" s="1" t="s">
        <v>2</v>
      </c>
      <c r="B10" s="3">
        <v>20167</v>
      </c>
      <c r="C10" s="3">
        <v>18552</v>
      </c>
      <c r="D10" s="3">
        <v>30862</v>
      </c>
      <c r="E10" s="3">
        <v>38942</v>
      </c>
      <c r="F10" s="3">
        <v>42104</v>
      </c>
      <c r="G10" s="3">
        <v>45256</v>
      </c>
      <c r="H10" s="3">
        <v>47375</v>
      </c>
      <c r="I10" s="3">
        <v>46530</v>
      </c>
      <c r="J10" s="3">
        <v>50439</v>
      </c>
      <c r="K10" s="3">
        <v>52214</v>
      </c>
    </row>
    <row r="11" spans="1:11">
      <c r="A11" s="1" t="s">
        <v>3</v>
      </c>
      <c r="B11" s="3">
        <v>8780</v>
      </c>
      <c r="C11" s="3">
        <v>9404</v>
      </c>
      <c r="D11" s="3">
        <v>15071</v>
      </c>
      <c r="E11" s="3">
        <v>17135</v>
      </c>
      <c r="F11" s="3">
        <v>18935</v>
      </c>
      <c r="G11" s="3">
        <v>18860</v>
      </c>
      <c r="H11" s="3">
        <v>20739</v>
      </c>
      <c r="I11" s="3">
        <v>20871</v>
      </c>
      <c r="J11" s="3">
        <v>22356</v>
      </c>
      <c r="K11" s="3">
        <v>23605</v>
      </c>
    </row>
    <row r="12" spans="1:11">
      <c r="A12" s="1" t="s">
        <v>4</v>
      </c>
      <c r="B12" s="3">
        <v>2861</v>
      </c>
      <c r="C12" s="3">
        <v>3448</v>
      </c>
      <c r="D12" s="3">
        <v>5269</v>
      </c>
      <c r="E12" s="3">
        <v>5687</v>
      </c>
      <c r="F12" s="3">
        <v>6415</v>
      </c>
      <c r="G12" s="3">
        <v>6425</v>
      </c>
      <c r="H12" s="3">
        <v>7460</v>
      </c>
      <c r="I12" s="3">
        <v>6713</v>
      </c>
      <c r="J12" s="3">
        <v>8410</v>
      </c>
      <c r="K12" s="3">
        <v>8687</v>
      </c>
    </row>
    <row r="13" spans="1:11">
      <c r="A13" s="1" t="s">
        <v>5</v>
      </c>
      <c r="B13" s="3">
        <v>2743</v>
      </c>
      <c r="C13" s="3">
        <v>3098</v>
      </c>
      <c r="D13" s="3">
        <v>4169</v>
      </c>
      <c r="E13" s="3">
        <v>4880</v>
      </c>
      <c r="F13" s="3">
        <v>5345</v>
      </c>
      <c r="G13" s="3">
        <v>5383</v>
      </c>
      <c r="H13" s="3">
        <v>6586</v>
      </c>
      <c r="I13" s="3">
        <v>6597</v>
      </c>
      <c r="J13" s="3">
        <v>7013</v>
      </c>
      <c r="K13" s="3">
        <v>6475</v>
      </c>
    </row>
    <row r="14" spans="1:11">
      <c r="A14" s="1" t="s">
        <v>6</v>
      </c>
      <c r="B14" s="3">
        <v>1386</v>
      </c>
      <c r="C14" s="3">
        <v>1497</v>
      </c>
      <c r="D14" s="3">
        <v>2243</v>
      </c>
      <c r="E14" s="3">
        <v>2188</v>
      </c>
      <c r="F14" s="3">
        <v>2417</v>
      </c>
      <c r="G14" s="3">
        <v>2515</v>
      </c>
      <c r="H14" s="3">
        <v>3145</v>
      </c>
      <c r="I14" s="3">
        <v>3140</v>
      </c>
      <c r="J14" s="3">
        <v>3511</v>
      </c>
      <c r="K14" s="3">
        <v>4052</v>
      </c>
    </row>
    <row r="15" spans="1:11">
      <c r="A15" s="1" t="s">
        <v>7</v>
      </c>
      <c r="B15" s="3">
        <v>4182</v>
      </c>
      <c r="C15" s="3">
        <v>4359</v>
      </c>
      <c r="D15" s="3">
        <v>6890</v>
      </c>
      <c r="E15" s="3">
        <v>6912</v>
      </c>
      <c r="F15" s="3">
        <v>7714</v>
      </c>
      <c r="G15" s="3">
        <v>7364</v>
      </c>
      <c r="H15" s="3">
        <v>8773</v>
      </c>
      <c r="I15" s="3">
        <v>8246</v>
      </c>
      <c r="J15" s="3">
        <v>9349</v>
      </c>
      <c r="K15" s="3">
        <v>9835</v>
      </c>
    </row>
    <row r="16" spans="1:11">
      <c r="A16" s="1" t="s">
        <v>146</v>
      </c>
      <c r="B16" s="42">
        <f t="shared" ref="B16:K16" si="0">SUM(B10:B15)</f>
        <v>40119</v>
      </c>
      <c r="C16" s="42">
        <f t="shared" si="0"/>
        <v>40358</v>
      </c>
      <c r="D16" s="42">
        <f t="shared" si="0"/>
        <v>64504</v>
      </c>
      <c r="E16" s="42">
        <f t="shared" si="0"/>
        <v>75744</v>
      </c>
      <c r="F16" s="42">
        <f t="shared" si="0"/>
        <v>82930</v>
      </c>
      <c r="G16" s="42">
        <f t="shared" si="0"/>
        <v>85803</v>
      </c>
      <c r="H16" s="42">
        <f t="shared" si="0"/>
        <v>94078</v>
      </c>
      <c r="I16" s="42">
        <f t="shared" si="0"/>
        <v>92097</v>
      </c>
      <c r="J16" s="42">
        <f t="shared" si="0"/>
        <v>101078</v>
      </c>
      <c r="K16" s="42">
        <f t="shared" si="0"/>
        <v>104868</v>
      </c>
    </row>
    <row r="17" spans="1:11">
      <c r="B17" s="41"/>
      <c r="C17" s="41"/>
      <c r="D17" s="41"/>
      <c r="E17" s="41"/>
      <c r="F17" s="41"/>
      <c r="G17" s="41"/>
      <c r="H17" s="41"/>
      <c r="I17" s="41"/>
      <c r="J17" s="41"/>
      <c r="K17" s="41"/>
    </row>
    <row r="18" spans="1:11">
      <c r="A18" s="1" t="s">
        <v>8</v>
      </c>
      <c r="B18" s="3">
        <v>21986</v>
      </c>
      <c r="C18" s="3">
        <v>24018</v>
      </c>
      <c r="D18" s="3">
        <v>33487</v>
      </c>
      <c r="E18" s="3">
        <v>27065</v>
      </c>
      <c r="F18" s="3">
        <v>30561</v>
      </c>
      <c r="G18" s="3">
        <v>30939</v>
      </c>
      <c r="H18" s="3">
        <v>27816</v>
      </c>
      <c r="I18" s="3">
        <v>49111</v>
      </c>
      <c r="J18" s="3">
        <v>40417</v>
      </c>
      <c r="K18" s="3">
        <v>42433</v>
      </c>
    </row>
    <row r="19" spans="1:11" ht="13.5" thickBot="1">
      <c r="C19" s="3"/>
      <c r="D19" s="3"/>
      <c r="E19" s="3"/>
      <c r="F19" s="3"/>
      <c r="G19" s="3"/>
      <c r="H19" s="3"/>
      <c r="I19" s="3"/>
      <c r="J19" s="3"/>
      <c r="K19" s="3"/>
    </row>
    <row r="20" spans="1:11" ht="13.5" thickTop="1">
      <c r="A20" s="1" t="s">
        <v>9</v>
      </c>
      <c r="B20" s="39">
        <f t="shared" ref="B20:K20" si="1">+B18+B16</f>
        <v>62105</v>
      </c>
      <c r="C20" s="39">
        <f t="shared" si="1"/>
        <v>64376</v>
      </c>
      <c r="D20" s="39">
        <f t="shared" si="1"/>
        <v>97991</v>
      </c>
      <c r="E20" s="39">
        <f t="shared" si="1"/>
        <v>102809</v>
      </c>
      <c r="F20" s="39">
        <f t="shared" si="1"/>
        <v>113491</v>
      </c>
      <c r="G20" s="39">
        <f t="shared" si="1"/>
        <v>116742</v>
      </c>
      <c r="H20" s="39">
        <f t="shared" si="1"/>
        <v>121894</v>
      </c>
      <c r="I20" s="39">
        <f t="shared" si="1"/>
        <v>141208</v>
      </c>
      <c r="J20" s="39">
        <f t="shared" si="1"/>
        <v>141495</v>
      </c>
      <c r="K20" s="39">
        <f t="shared" si="1"/>
        <v>147301</v>
      </c>
    </row>
    <row r="21" spans="1:11">
      <c r="A21" s="1" t="s">
        <v>12</v>
      </c>
      <c r="C21" s="3">
        <f>+C20+B20</f>
        <v>126481</v>
      </c>
      <c r="E21" s="3">
        <f>+E20+D20</f>
        <v>200800</v>
      </c>
      <c r="G21" s="3">
        <f>+G20+F20</f>
        <v>230233</v>
      </c>
      <c r="I21" s="3">
        <f>+I20+H20</f>
        <v>263102</v>
      </c>
      <c r="K21" s="3">
        <f>+K20+J20</f>
        <v>288796</v>
      </c>
    </row>
    <row r="24" spans="1:11">
      <c r="A24" s="5" t="s">
        <v>127</v>
      </c>
      <c r="B24" s="5"/>
      <c r="C24" s="5"/>
      <c r="D24" s="5"/>
      <c r="E24" s="5"/>
      <c r="F24" s="5"/>
      <c r="G24" s="5"/>
      <c r="H24" s="5"/>
      <c r="I24" s="5"/>
      <c r="J24" s="5"/>
      <c r="K24" s="5"/>
    </row>
    <row r="25" spans="1:11">
      <c r="A25" s="5" t="s">
        <v>126</v>
      </c>
      <c r="B25" s="5"/>
      <c r="C25" s="5"/>
      <c r="D25" s="5"/>
      <c r="E25" s="5"/>
      <c r="F25" s="5"/>
      <c r="G25" s="5"/>
      <c r="H25" s="5"/>
      <c r="I25" s="5"/>
      <c r="J25" s="5"/>
      <c r="K25" s="5"/>
    </row>
    <row r="26" spans="1:11">
      <c r="A26" s="5" t="s">
        <v>1</v>
      </c>
      <c r="B26" s="5"/>
      <c r="C26" s="5"/>
      <c r="D26" s="5"/>
      <c r="E26" s="5"/>
      <c r="F26" s="5"/>
      <c r="G26" s="5"/>
      <c r="H26" s="5"/>
      <c r="I26" s="5"/>
      <c r="J26" s="5"/>
      <c r="K26" s="5"/>
    </row>
    <row r="29" spans="1:11">
      <c r="B29" s="2" t="s">
        <v>51</v>
      </c>
      <c r="C29" s="2" t="s">
        <v>42</v>
      </c>
      <c r="D29" s="2" t="s">
        <v>43</v>
      </c>
      <c r="E29" s="2" t="s">
        <v>44</v>
      </c>
      <c r="F29" s="2" t="s">
        <v>45</v>
      </c>
      <c r="G29" s="2" t="s">
        <v>46</v>
      </c>
      <c r="H29" s="2" t="s">
        <v>47</v>
      </c>
      <c r="I29" s="2" t="s">
        <v>48</v>
      </c>
      <c r="J29" s="2" t="s">
        <v>49</v>
      </c>
      <c r="K29" s="2" t="s">
        <v>50</v>
      </c>
    </row>
    <row r="31" spans="1:11">
      <c r="A31" s="1" t="s">
        <v>11</v>
      </c>
      <c r="B31" s="3">
        <v>6314.1589999999997</v>
      </c>
      <c r="C31" s="3">
        <v>7282.1009999999997</v>
      </c>
      <c r="D31" s="3">
        <v>9068.7909999999993</v>
      </c>
      <c r="E31" s="3">
        <v>10818.75</v>
      </c>
      <c r="F31" s="3">
        <v>14202.286</v>
      </c>
      <c r="G31" s="3">
        <v>13546.707</v>
      </c>
      <c r="H31" s="3">
        <v>16745.523000000001</v>
      </c>
      <c r="I31" s="3">
        <v>18562.483</v>
      </c>
      <c r="J31" s="3">
        <v>24696.188999999998</v>
      </c>
      <c r="K31" s="3">
        <v>26965.435000000001</v>
      </c>
    </row>
    <row r="32" spans="1:11">
      <c r="B32" s="990">
        <f>+B31/B43</f>
        <v>1.3965338535445028E-2</v>
      </c>
      <c r="C32" s="990">
        <f t="shared" ref="C32:K32" si="2">+C31/C43</f>
        <v>1.5296067206920382E-2</v>
      </c>
      <c r="D32" s="990">
        <f t="shared" si="2"/>
        <v>2.0269700831945001E-2</v>
      </c>
      <c r="E32" s="990">
        <f t="shared" si="2"/>
        <v>2.3671909649398772E-2</v>
      </c>
      <c r="F32" s="990">
        <f t="shared" si="2"/>
        <v>2.4774969715424873E-2</v>
      </c>
      <c r="G32" s="990">
        <f t="shared" si="2"/>
        <v>2.2209737406727822E-2</v>
      </c>
      <c r="H32" s="990">
        <f t="shared" si="2"/>
        <v>2.6435193293487421E-2</v>
      </c>
      <c r="I32" s="990">
        <f t="shared" si="2"/>
        <v>2.8446922808526516E-2</v>
      </c>
      <c r="J32" s="990">
        <f t="shared" si="2"/>
        <v>3.5383036085629545E-2</v>
      </c>
      <c r="K32" s="990">
        <f t="shared" si="2"/>
        <v>3.4645804043952073E-2</v>
      </c>
    </row>
    <row r="33" spans="1:11">
      <c r="A33" s="1" t="s">
        <v>2</v>
      </c>
      <c r="B33" s="3">
        <v>129218.67</v>
      </c>
      <c r="C33" s="3">
        <v>134001.69099999999</v>
      </c>
      <c r="D33" s="3">
        <v>115369.45299999999</v>
      </c>
      <c r="E33" s="3">
        <v>111277.696</v>
      </c>
      <c r="F33" s="3">
        <v>160812.182</v>
      </c>
      <c r="G33" s="3">
        <v>165388.11600000001</v>
      </c>
      <c r="H33" s="3">
        <v>172154.03200000001</v>
      </c>
      <c r="I33" s="3">
        <v>182361.541</v>
      </c>
      <c r="J33" s="3">
        <v>194675.65599999999</v>
      </c>
      <c r="K33" s="3">
        <v>229861.67</v>
      </c>
    </row>
    <row r="34" spans="1:11">
      <c r="A34" s="1" t="s">
        <v>3</v>
      </c>
      <c r="B34" s="3">
        <v>78205.816999999995</v>
      </c>
      <c r="C34" s="3">
        <v>81862.076000000001</v>
      </c>
      <c r="D34" s="3">
        <v>71848.606</v>
      </c>
      <c r="E34" s="3">
        <v>72424.745999999999</v>
      </c>
      <c r="F34" s="3">
        <v>95761.202000000005</v>
      </c>
      <c r="G34" s="3">
        <v>103525.45</v>
      </c>
      <c r="H34" s="3">
        <v>105517.58100000001</v>
      </c>
      <c r="I34" s="3">
        <v>110577.253</v>
      </c>
      <c r="J34" s="3">
        <v>118539.932</v>
      </c>
      <c r="K34" s="3">
        <v>126695.798</v>
      </c>
    </row>
    <row r="35" spans="1:11">
      <c r="A35" s="1" t="s">
        <v>4</v>
      </c>
      <c r="B35" s="3">
        <v>21630.466</v>
      </c>
      <c r="C35" s="3">
        <v>22851.366999999998</v>
      </c>
      <c r="D35" s="3">
        <v>22939.546999999999</v>
      </c>
      <c r="E35" s="3">
        <v>21145.278999999999</v>
      </c>
      <c r="F35" s="3">
        <v>27534.598000000002</v>
      </c>
      <c r="G35" s="3">
        <v>28447.795999999998</v>
      </c>
      <c r="H35" s="3">
        <v>28755.698</v>
      </c>
      <c r="I35" s="3">
        <v>30552.228999999999</v>
      </c>
      <c r="J35" s="3">
        <v>31731.210999999999</v>
      </c>
      <c r="K35" s="3">
        <v>33602.822999999997</v>
      </c>
    </row>
    <row r="36" spans="1:11">
      <c r="A36" s="1" t="s">
        <v>5</v>
      </c>
      <c r="B36" s="3">
        <v>19248.334999999999</v>
      </c>
      <c r="C36" s="3">
        <v>21818.643</v>
      </c>
      <c r="D36" s="3">
        <v>20062.649000000001</v>
      </c>
      <c r="E36" s="3">
        <v>19772.929</v>
      </c>
      <c r="F36" s="3">
        <v>21721.111000000001</v>
      </c>
      <c r="G36" s="3">
        <v>25594.194</v>
      </c>
      <c r="H36" s="3">
        <v>24138.713</v>
      </c>
      <c r="I36" s="3">
        <v>25877.194</v>
      </c>
      <c r="J36" s="3">
        <v>25835.554</v>
      </c>
      <c r="K36" s="3">
        <v>30314.359</v>
      </c>
    </row>
    <row r="37" spans="1:11">
      <c r="A37" s="1" t="s">
        <v>6</v>
      </c>
      <c r="B37" s="3">
        <v>8920.5120000000006</v>
      </c>
      <c r="C37" s="3">
        <v>10160.388999999999</v>
      </c>
      <c r="D37" s="3">
        <v>10398.880999999999</v>
      </c>
      <c r="E37" s="3">
        <v>10608.587</v>
      </c>
      <c r="F37" s="3">
        <v>12187.962</v>
      </c>
      <c r="G37" s="3">
        <v>13218.699000000001</v>
      </c>
      <c r="H37" s="3">
        <v>13291.173000000001</v>
      </c>
      <c r="I37" s="3">
        <v>15466.852000000001</v>
      </c>
      <c r="J37" s="3">
        <v>15407.938</v>
      </c>
      <c r="K37" s="3">
        <v>17736.606</v>
      </c>
    </row>
    <row r="38" spans="1:11">
      <c r="A38" s="1" t="s">
        <v>7</v>
      </c>
      <c r="B38" s="3">
        <v>23624.383000000002</v>
      </c>
      <c r="C38" s="3">
        <v>26344.530999999999</v>
      </c>
      <c r="D38" s="3">
        <v>23383.691999999999</v>
      </c>
      <c r="E38" s="3">
        <v>22186.066999999999</v>
      </c>
      <c r="F38" s="3">
        <v>27816.642</v>
      </c>
      <c r="G38" s="3">
        <v>28431.272000000001</v>
      </c>
      <c r="H38" s="3">
        <v>29248.488000000001</v>
      </c>
      <c r="I38" s="3">
        <v>32381.163</v>
      </c>
      <c r="J38" s="3">
        <v>32502.27</v>
      </c>
      <c r="K38" s="3">
        <v>36758.68</v>
      </c>
    </row>
    <row r="39" spans="1:11">
      <c r="A39" s="1" t="s">
        <v>146</v>
      </c>
      <c r="B39" s="42">
        <f t="shared" ref="B39:K39" si="3">SUM(B33:B38)</f>
        <v>280848.18299999996</v>
      </c>
      <c r="C39" s="42">
        <f t="shared" si="3"/>
        <v>297038.69700000004</v>
      </c>
      <c r="D39" s="42">
        <f t="shared" si="3"/>
        <v>264002.82799999998</v>
      </c>
      <c r="E39" s="42">
        <f t="shared" si="3"/>
        <v>257415.304</v>
      </c>
      <c r="F39" s="42">
        <f t="shared" si="3"/>
        <v>345833.69699999999</v>
      </c>
      <c r="G39" s="42">
        <f t="shared" si="3"/>
        <v>364605.527</v>
      </c>
      <c r="H39" s="42">
        <f t="shared" si="3"/>
        <v>373105.685</v>
      </c>
      <c r="I39" s="42">
        <f t="shared" si="3"/>
        <v>397216.23200000002</v>
      </c>
      <c r="J39" s="42">
        <f t="shared" si="3"/>
        <v>418692.56100000005</v>
      </c>
      <c r="K39" s="42">
        <f t="shared" si="3"/>
        <v>474969.93599999993</v>
      </c>
    </row>
    <row r="40" spans="1:11">
      <c r="B40" s="41"/>
      <c r="C40" s="41"/>
      <c r="D40" s="41"/>
      <c r="E40" s="41"/>
      <c r="F40" s="41"/>
      <c r="G40" s="41"/>
      <c r="H40" s="41"/>
      <c r="I40" s="41"/>
      <c r="J40" s="41"/>
      <c r="K40" s="41"/>
    </row>
    <row r="41" spans="1:11">
      <c r="A41" s="1" t="s">
        <v>8</v>
      </c>
      <c r="B41" s="3">
        <v>164968.40900000001</v>
      </c>
      <c r="C41" s="3">
        <v>171755.889</v>
      </c>
      <c r="D41" s="3">
        <v>174334.639</v>
      </c>
      <c r="E41" s="3">
        <v>188794.98</v>
      </c>
      <c r="F41" s="3">
        <v>213215.41399999999</v>
      </c>
      <c r="G41" s="3">
        <v>231792.258</v>
      </c>
      <c r="H41" s="3">
        <v>243604.459</v>
      </c>
      <c r="I41" s="3">
        <v>236751.723</v>
      </c>
      <c r="J41" s="3">
        <v>254578.17800000001</v>
      </c>
      <c r="K41" s="3">
        <v>276382.11200000002</v>
      </c>
    </row>
    <row r="42" spans="1:11" ht="13.5" thickBot="1">
      <c r="B42" s="3"/>
      <c r="C42" s="3"/>
      <c r="D42" s="3"/>
      <c r="E42" s="3"/>
      <c r="F42" s="3"/>
      <c r="G42" s="3"/>
      <c r="H42" s="3"/>
      <c r="I42" s="3"/>
      <c r="J42" s="3"/>
      <c r="K42" s="3"/>
    </row>
    <row r="43" spans="1:11" ht="13.5" thickTop="1">
      <c r="A43" s="1" t="s">
        <v>9</v>
      </c>
      <c r="B43" s="39">
        <f t="shared" ref="B43:K43" si="4">+B41+B39+B31</f>
        <v>452130.75099999993</v>
      </c>
      <c r="C43" s="39">
        <f t="shared" si="4"/>
        <v>476076.68700000003</v>
      </c>
      <c r="D43" s="39">
        <f t="shared" si="4"/>
        <v>447406.25799999997</v>
      </c>
      <c r="E43" s="39">
        <f t="shared" si="4"/>
        <v>457029.03399999999</v>
      </c>
      <c r="F43" s="39">
        <f t="shared" si="4"/>
        <v>573251.397</v>
      </c>
      <c r="G43" s="39">
        <f t="shared" si="4"/>
        <v>609944.49200000009</v>
      </c>
      <c r="H43" s="39">
        <f t="shared" si="4"/>
        <v>633455.66700000002</v>
      </c>
      <c r="I43" s="39">
        <f t="shared" si="4"/>
        <v>652530.43800000008</v>
      </c>
      <c r="J43" s="39">
        <f t="shared" si="4"/>
        <v>697966.92800000007</v>
      </c>
      <c r="K43" s="39">
        <f t="shared" si="4"/>
        <v>778317.48300000001</v>
      </c>
    </row>
    <row r="45" spans="1:11" ht="13.5">
      <c r="A45" s="1" t="s">
        <v>14</v>
      </c>
      <c r="B45" s="7">
        <v>2777.6513319999999</v>
      </c>
      <c r="C45" s="7">
        <v>2998.2499750000002</v>
      </c>
      <c r="D45" s="7">
        <v>3142.314226</v>
      </c>
      <c r="E45" s="7">
        <v>3396.5808149999998</v>
      </c>
      <c r="F45" s="7">
        <v>3850.4170880000001</v>
      </c>
      <c r="G45" s="7">
        <v>4105.839027</v>
      </c>
      <c r="H45" s="7">
        <v>4421.1101680000002</v>
      </c>
      <c r="I45" s="7">
        <v>4757.5718120000001</v>
      </c>
      <c r="J45" s="7">
        <v>4947.9526429999996</v>
      </c>
      <c r="K45" s="7">
        <v>5453.3836469999997</v>
      </c>
    </row>
    <row r="46" spans="1:11">
      <c r="A46" s="1" t="s">
        <v>12</v>
      </c>
      <c r="C46" s="7">
        <f>+C45+B45</f>
        <v>5775.9013070000001</v>
      </c>
      <c r="E46" s="7">
        <f>+E45+D45</f>
        <v>6538.8950409999998</v>
      </c>
      <c r="G46" s="7">
        <f>+G45+F45</f>
        <v>7956.2561150000001</v>
      </c>
      <c r="I46" s="7">
        <f>+I45+H45</f>
        <v>9178.6819800000012</v>
      </c>
      <c r="K46" s="7">
        <f>+K45+J45</f>
        <v>10401.336289999999</v>
      </c>
    </row>
    <row r="47" spans="1:11">
      <c r="B47" s="815"/>
      <c r="C47" s="815"/>
      <c r="D47" s="815"/>
      <c r="E47" s="815"/>
      <c r="F47" s="815"/>
      <c r="G47" s="815"/>
      <c r="H47" s="815"/>
      <c r="I47" s="815"/>
      <c r="J47" s="815"/>
      <c r="K47" s="815"/>
    </row>
    <row r="48" spans="1:11">
      <c r="B48" s="3"/>
      <c r="C48" s="3"/>
      <c r="D48" s="3"/>
      <c r="E48" s="3"/>
      <c r="F48" s="3"/>
      <c r="G48" s="3"/>
      <c r="H48" s="3"/>
      <c r="I48" s="3"/>
      <c r="J48" s="3"/>
      <c r="K48" s="3"/>
    </row>
    <row r="49" spans="1:11">
      <c r="A49" s="5" t="s">
        <v>127</v>
      </c>
      <c r="B49" s="5"/>
      <c r="C49" s="5"/>
      <c r="D49" s="5"/>
      <c r="E49" s="5"/>
      <c r="F49" s="5"/>
      <c r="G49" s="5"/>
      <c r="H49" s="5"/>
      <c r="I49" s="5"/>
      <c r="J49" s="5"/>
      <c r="K49" s="5"/>
    </row>
    <row r="50" spans="1:11">
      <c r="A50" s="5" t="s">
        <v>13</v>
      </c>
      <c r="B50" s="5"/>
      <c r="C50" s="5"/>
      <c r="D50" s="5"/>
      <c r="E50" s="5"/>
      <c r="F50" s="5"/>
      <c r="G50" s="5"/>
      <c r="H50" s="5"/>
      <c r="I50" s="5"/>
      <c r="J50" s="5"/>
      <c r="K50" s="5"/>
    </row>
    <row r="51" spans="1:11">
      <c r="A51" s="5" t="s">
        <v>1</v>
      </c>
      <c r="B51" s="5"/>
      <c r="C51" s="5"/>
      <c r="D51" s="5"/>
      <c r="E51" s="5"/>
      <c r="F51" s="5"/>
      <c r="G51" s="5"/>
      <c r="H51" s="5"/>
      <c r="I51" s="5"/>
      <c r="J51" s="5"/>
      <c r="K51" s="5"/>
    </row>
    <row r="54" spans="1:11">
      <c r="B54" s="2" t="s">
        <v>51</v>
      </c>
      <c r="C54" s="2" t="s">
        <v>42</v>
      </c>
      <c r="D54" s="2" t="s">
        <v>43</v>
      </c>
      <c r="E54" s="2" t="s">
        <v>44</v>
      </c>
      <c r="F54" s="2" t="s">
        <v>45</v>
      </c>
      <c r="G54" s="2" t="s">
        <v>46</v>
      </c>
      <c r="H54" s="2" t="s">
        <v>47</v>
      </c>
      <c r="I54" s="2" t="s">
        <v>48</v>
      </c>
      <c r="J54" s="2" t="s">
        <v>49</v>
      </c>
      <c r="K54" s="2" t="s">
        <v>50</v>
      </c>
    </row>
    <row r="56" spans="1:11">
      <c r="A56" s="1" t="s">
        <v>11</v>
      </c>
      <c r="B56" s="3">
        <f t="shared" ref="B56:K56" si="5">+B31</f>
        <v>6314.1589999999997</v>
      </c>
      <c r="C56" s="3">
        <f t="shared" si="5"/>
        <v>7282.1009999999997</v>
      </c>
      <c r="D56" s="3">
        <f t="shared" si="5"/>
        <v>9068.7909999999993</v>
      </c>
      <c r="E56" s="3">
        <f t="shared" si="5"/>
        <v>10818.75</v>
      </c>
      <c r="F56" s="3">
        <f t="shared" si="5"/>
        <v>14202.286</v>
      </c>
      <c r="G56" s="3">
        <f t="shared" si="5"/>
        <v>13546.707</v>
      </c>
      <c r="H56" s="3">
        <f t="shared" si="5"/>
        <v>16745.523000000001</v>
      </c>
      <c r="I56" s="3">
        <f t="shared" si="5"/>
        <v>18562.483</v>
      </c>
      <c r="J56" s="3">
        <f t="shared" si="5"/>
        <v>24696.188999999998</v>
      </c>
      <c r="K56" s="3">
        <f t="shared" si="5"/>
        <v>26965.435000000001</v>
      </c>
    </row>
    <row r="57" spans="1:11">
      <c r="B57" s="3"/>
      <c r="C57" s="3"/>
      <c r="D57" s="3"/>
      <c r="E57" s="3"/>
      <c r="F57" s="3"/>
      <c r="G57" s="3"/>
      <c r="H57" s="3"/>
      <c r="I57" s="3"/>
      <c r="J57" s="3"/>
      <c r="K57" s="3"/>
    </row>
    <row r="58" spans="1:11">
      <c r="A58" s="1" t="s">
        <v>2</v>
      </c>
      <c r="B58" s="3">
        <f t="shared" ref="B58:K58" si="6">+B33+B10</f>
        <v>149385.66999999998</v>
      </c>
      <c r="C58" s="3">
        <f t="shared" si="6"/>
        <v>152553.69099999999</v>
      </c>
      <c r="D58" s="3">
        <f t="shared" si="6"/>
        <v>146231.45299999998</v>
      </c>
      <c r="E58" s="3">
        <f t="shared" si="6"/>
        <v>150219.696</v>
      </c>
      <c r="F58" s="3">
        <f t="shared" si="6"/>
        <v>202916.182</v>
      </c>
      <c r="G58" s="3">
        <f t="shared" si="6"/>
        <v>210644.11600000001</v>
      </c>
      <c r="H58" s="3">
        <f t="shared" si="6"/>
        <v>219529.03200000001</v>
      </c>
      <c r="I58" s="3">
        <f t="shared" si="6"/>
        <v>228891.541</v>
      </c>
      <c r="J58" s="3">
        <f t="shared" si="6"/>
        <v>245114.65599999999</v>
      </c>
      <c r="K58" s="3">
        <f t="shared" si="6"/>
        <v>282075.67000000004</v>
      </c>
    </row>
    <row r="59" spans="1:11">
      <c r="A59" s="1" t="s">
        <v>3</v>
      </c>
      <c r="B59" s="3">
        <f t="shared" ref="B59:K59" si="7">+B34+B11</f>
        <v>86985.816999999995</v>
      </c>
      <c r="C59" s="3">
        <f t="shared" si="7"/>
        <v>91266.076000000001</v>
      </c>
      <c r="D59" s="3">
        <f t="shared" si="7"/>
        <v>86919.606</v>
      </c>
      <c r="E59" s="3">
        <f t="shared" si="7"/>
        <v>89559.745999999999</v>
      </c>
      <c r="F59" s="3">
        <f t="shared" si="7"/>
        <v>114696.202</v>
      </c>
      <c r="G59" s="3">
        <f t="shared" si="7"/>
        <v>122385.45</v>
      </c>
      <c r="H59" s="3">
        <f t="shared" si="7"/>
        <v>126256.58100000001</v>
      </c>
      <c r="I59" s="3">
        <f t="shared" si="7"/>
        <v>131448.253</v>
      </c>
      <c r="J59" s="3">
        <f t="shared" si="7"/>
        <v>140895.932</v>
      </c>
      <c r="K59" s="3">
        <f t="shared" si="7"/>
        <v>150300.79800000001</v>
      </c>
    </row>
    <row r="60" spans="1:11">
      <c r="A60" s="1" t="s">
        <v>4</v>
      </c>
      <c r="B60" s="3">
        <f t="shared" ref="B60:K60" si="8">+B35+B12</f>
        <v>24491.466</v>
      </c>
      <c r="C60" s="3">
        <f t="shared" si="8"/>
        <v>26299.366999999998</v>
      </c>
      <c r="D60" s="3">
        <f t="shared" si="8"/>
        <v>28208.546999999999</v>
      </c>
      <c r="E60" s="3">
        <f t="shared" si="8"/>
        <v>26832.278999999999</v>
      </c>
      <c r="F60" s="3">
        <f t="shared" si="8"/>
        <v>33949.597999999998</v>
      </c>
      <c r="G60" s="3">
        <f t="shared" si="8"/>
        <v>34872.796000000002</v>
      </c>
      <c r="H60" s="3">
        <f t="shared" si="8"/>
        <v>36215.698000000004</v>
      </c>
      <c r="I60" s="3">
        <f t="shared" si="8"/>
        <v>37265.228999999999</v>
      </c>
      <c r="J60" s="3">
        <f t="shared" si="8"/>
        <v>40141.210999999996</v>
      </c>
      <c r="K60" s="3">
        <f t="shared" si="8"/>
        <v>42289.822999999997</v>
      </c>
    </row>
    <row r="61" spans="1:11">
      <c r="A61" s="1" t="s">
        <v>5</v>
      </c>
      <c r="B61" s="3">
        <f t="shared" ref="B61:K61" si="9">+B36+B13</f>
        <v>21991.334999999999</v>
      </c>
      <c r="C61" s="3">
        <f t="shared" si="9"/>
        <v>24916.643</v>
      </c>
      <c r="D61" s="3">
        <f t="shared" si="9"/>
        <v>24231.649000000001</v>
      </c>
      <c r="E61" s="3">
        <f t="shared" si="9"/>
        <v>24652.929</v>
      </c>
      <c r="F61" s="3">
        <f t="shared" si="9"/>
        <v>27066.111000000001</v>
      </c>
      <c r="G61" s="3">
        <f t="shared" si="9"/>
        <v>30977.194</v>
      </c>
      <c r="H61" s="3">
        <f t="shared" si="9"/>
        <v>30724.713</v>
      </c>
      <c r="I61" s="3">
        <f t="shared" si="9"/>
        <v>32474.194</v>
      </c>
      <c r="J61" s="3">
        <f t="shared" si="9"/>
        <v>32848.554000000004</v>
      </c>
      <c r="K61" s="3">
        <f t="shared" si="9"/>
        <v>36789.358999999997</v>
      </c>
    </row>
    <row r="62" spans="1:11">
      <c r="A62" s="1" t="s">
        <v>6</v>
      </c>
      <c r="B62" s="3">
        <f t="shared" ref="B62:K62" si="10">+B37+B14</f>
        <v>10306.512000000001</v>
      </c>
      <c r="C62" s="3">
        <f t="shared" si="10"/>
        <v>11657.388999999999</v>
      </c>
      <c r="D62" s="3">
        <f t="shared" si="10"/>
        <v>12641.880999999999</v>
      </c>
      <c r="E62" s="3">
        <f t="shared" si="10"/>
        <v>12796.587</v>
      </c>
      <c r="F62" s="3">
        <f t="shared" si="10"/>
        <v>14604.962</v>
      </c>
      <c r="G62" s="3">
        <f t="shared" si="10"/>
        <v>15733.699000000001</v>
      </c>
      <c r="H62" s="3">
        <f t="shared" si="10"/>
        <v>16436.173000000003</v>
      </c>
      <c r="I62" s="3">
        <f t="shared" si="10"/>
        <v>18606.851999999999</v>
      </c>
      <c r="J62" s="3">
        <f t="shared" si="10"/>
        <v>18918.938000000002</v>
      </c>
      <c r="K62" s="3">
        <f t="shared" si="10"/>
        <v>21788.606</v>
      </c>
    </row>
    <row r="63" spans="1:11">
      <c r="A63" s="1" t="s">
        <v>7</v>
      </c>
      <c r="B63" s="3">
        <f t="shared" ref="B63:K63" si="11">+B38+B15</f>
        <v>27806.383000000002</v>
      </c>
      <c r="C63" s="3">
        <f t="shared" si="11"/>
        <v>30703.530999999999</v>
      </c>
      <c r="D63" s="3">
        <f t="shared" si="11"/>
        <v>30273.691999999999</v>
      </c>
      <c r="E63" s="3">
        <f t="shared" si="11"/>
        <v>29098.066999999999</v>
      </c>
      <c r="F63" s="3">
        <f t="shared" si="11"/>
        <v>35530.642</v>
      </c>
      <c r="G63" s="3">
        <f t="shared" si="11"/>
        <v>35795.271999999997</v>
      </c>
      <c r="H63" s="3">
        <f t="shared" si="11"/>
        <v>38021.487999999998</v>
      </c>
      <c r="I63" s="3">
        <f t="shared" si="11"/>
        <v>40627.163</v>
      </c>
      <c r="J63" s="3">
        <f t="shared" si="11"/>
        <v>41851.270000000004</v>
      </c>
      <c r="K63" s="3">
        <f t="shared" si="11"/>
        <v>46593.68</v>
      </c>
    </row>
    <row r="64" spans="1:11">
      <c r="A64" s="1" t="s">
        <v>146</v>
      </c>
      <c r="B64" s="42">
        <f t="shared" ref="B64:K64" si="12">SUM(B58:B63)</f>
        <v>320967.18299999996</v>
      </c>
      <c r="C64" s="42">
        <f t="shared" si="12"/>
        <v>337396.69699999999</v>
      </c>
      <c r="D64" s="42">
        <f t="shared" si="12"/>
        <v>328506.82799999992</v>
      </c>
      <c r="E64" s="42">
        <f t="shared" si="12"/>
        <v>333159.30399999995</v>
      </c>
      <c r="F64" s="42">
        <f t="shared" si="12"/>
        <v>428763.69699999999</v>
      </c>
      <c r="G64" s="42">
        <f t="shared" si="12"/>
        <v>450408.527</v>
      </c>
      <c r="H64" s="42">
        <f t="shared" si="12"/>
        <v>467183.685</v>
      </c>
      <c r="I64" s="42">
        <f t="shared" si="12"/>
        <v>489313.23200000002</v>
      </c>
      <c r="J64" s="42">
        <f t="shared" si="12"/>
        <v>519770.56100000005</v>
      </c>
      <c r="K64" s="42">
        <f t="shared" si="12"/>
        <v>579837.9360000001</v>
      </c>
    </row>
    <row r="65" spans="1:11">
      <c r="B65" s="41"/>
      <c r="C65" s="41"/>
      <c r="D65" s="41"/>
      <c r="E65" s="41"/>
      <c r="F65" s="41"/>
      <c r="G65" s="41"/>
      <c r="H65" s="41"/>
      <c r="I65" s="41"/>
      <c r="J65" s="41"/>
      <c r="K65" s="41"/>
    </row>
    <row r="66" spans="1:11">
      <c r="A66" s="1" t="s">
        <v>8</v>
      </c>
      <c r="B66" s="3">
        <f t="shared" ref="B66:K66" si="13">+B41+B18</f>
        <v>186954.40900000001</v>
      </c>
      <c r="C66" s="3">
        <f t="shared" si="13"/>
        <v>195773.889</v>
      </c>
      <c r="D66" s="3">
        <f t="shared" si="13"/>
        <v>207821.639</v>
      </c>
      <c r="E66" s="3">
        <f t="shared" si="13"/>
        <v>215859.98</v>
      </c>
      <c r="F66" s="3">
        <f t="shared" si="13"/>
        <v>243776.41399999999</v>
      </c>
      <c r="G66" s="3">
        <f t="shared" si="13"/>
        <v>262731.25800000003</v>
      </c>
      <c r="H66" s="3">
        <f t="shared" si="13"/>
        <v>271420.45900000003</v>
      </c>
      <c r="I66" s="3">
        <f t="shared" si="13"/>
        <v>285862.723</v>
      </c>
      <c r="J66" s="3">
        <f t="shared" si="13"/>
        <v>294995.17800000001</v>
      </c>
      <c r="K66" s="3">
        <f t="shared" si="13"/>
        <v>318815.11200000002</v>
      </c>
    </row>
    <row r="67" spans="1:11">
      <c r="B67" s="3"/>
      <c r="C67" s="3"/>
      <c r="D67" s="3"/>
      <c r="E67" s="3"/>
      <c r="F67" s="3"/>
      <c r="G67" s="3"/>
      <c r="H67" s="3"/>
      <c r="I67" s="3"/>
      <c r="J67" s="3"/>
      <c r="K67" s="3"/>
    </row>
    <row r="68" spans="1:11">
      <c r="A68" s="1" t="s">
        <v>9</v>
      </c>
      <c r="B68" s="3">
        <f t="shared" ref="B68:K68" si="14">+B66+B64+B56</f>
        <v>514235.75099999993</v>
      </c>
      <c r="C68" s="3">
        <f t="shared" si="14"/>
        <v>540452.68700000003</v>
      </c>
      <c r="D68" s="3">
        <f t="shared" si="14"/>
        <v>545397.25799999991</v>
      </c>
      <c r="E68" s="3">
        <f t="shared" si="14"/>
        <v>559838.03399999999</v>
      </c>
      <c r="F68" s="3">
        <f t="shared" si="14"/>
        <v>686742.397</v>
      </c>
      <c r="G68" s="3">
        <f t="shared" si="14"/>
        <v>726686.49200000009</v>
      </c>
      <c r="H68" s="3">
        <f t="shared" si="14"/>
        <v>755349.66700000013</v>
      </c>
      <c r="I68" s="3">
        <f t="shared" si="14"/>
        <v>793738.43800000008</v>
      </c>
      <c r="J68" s="3">
        <f t="shared" si="14"/>
        <v>839461.92800000007</v>
      </c>
      <c r="K68" s="3">
        <f t="shared" si="14"/>
        <v>925618.48300000024</v>
      </c>
    </row>
    <row r="70" spans="1:11" ht="13.5">
      <c r="A70" s="1" t="s">
        <v>14</v>
      </c>
      <c r="B70" s="7">
        <f t="shared" ref="B70:K70" si="15">+B45+B20/1000</f>
        <v>2839.7563319999999</v>
      </c>
      <c r="C70" s="7">
        <f t="shared" si="15"/>
        <v>3062.6259750000004</v>
      </c>
      <c r="D70" s="7">
        <f t="shared" si="15"/>
        <v>3240.3052259999999</v>
      </c>
      <c r="E70" s="7">
        <f t="shared" si="15"/>
        <v>3499.389815</v>
      </c>
      <c r="F70" s="7">
        <f t="shared" si="15"/>
        <v>3963.9080880000001</v>
      </c>
      <c r="G70" s="7">
        <f t="shared" si="15"/>
        <v>4222.5810270000002</v>
      </c>
      <c r="H70" s="7">
        <f t="shared" si="15"/>
        <v>4543.0041680000004</v>
      </c>
      <c r="I70" s="7">
        <f t="shared" si="15"/>
        <v>4898.7798119999998</v>
      </c>
      <c r="J70" s="7">
        <f t="shared" si="15"/>
        <v>5089.4476429999995</v>
      </c>
      <c r="K70" s="7">
        <f t="shared" si="15"/>
        <v>5600.684647</v>
      </c>
    </row>
    <row r="71" spans="1:11">
      <c r="A71" s="1" t="s">
        <v>12</v>
      </c>
      <c r="C71" s="7">
        <f>+C70+B70</f>
        <v>5902.3823069999999</v>
      </c>
      <c r="E71" s="7">
        <f>+E70+D70</f>
        <v>6739.6950409999999</v>
      </c>
      <c r="G71" s="7">
        <f>+G70+F70</f>
        <v>8186.4891150000003</v>
      </c>
      <c r="I71" s="7">
        <f>+I70+H70</f>
        <v>9441.7839800000002</v>
      </c>
      <c r="K71" s="7">
        <f>+K70+J70</f>
        <v>10690.13229</v>
      </c>
    </row>
    <row r="72" spans="1:11">
      <c r="C72" s="7"/>
      <c r="E72" s="7"/>
      <c r="G72" s="7"/>
      <c r="I72" s="7"/>
      <c r="K72" s="7"/>
    </row>
    <row r="73" spans="1:11">
      <c r="A73" s="1" t="s">
        <v>147</v>
      </c>
    </row>
  </sheetData>
  <phoneticPr fontId="0" type="noConversion"/>
  <pageMargins left="0.5" right="0.5" top="1" bottom="1" header="0.5" footer="0.5"/>
  <pageSetup scale="6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D525"/>
  <sheetViews>
    <sheetView workbookViewId="0">
      <selection sqref="A1:D1"/>
    </sheetView>
  </sheetViews>
  <sheetFormatPr defaultColWidth="12.875" defaultRowHeight="15"/>
  <cols>
    <col min="1" max="1" width="2.375" style="840" customWidth="1"/>
    <col min="2" max="2" width="53.125" style="840" customWidth="1"/>
    <col min="3" max="16384" width="12.875" style="840"/>
  </cols>
  <sheetData>
    <row r="1" spans="1:4" ht="18.75">
      <c r="A1" s="2594" t="s">
        <v>1145</v>
      </c>
      <c r="B1" s="2595"/>
      <c r="C1" s="2595"/>
      <c r="D1" s="2595"/>
    </row>
    <row r="2" spans="1:4" ht="17.25">
      <c r="A2" s="2596" t="s">
        <v>565</v>
      </c>
      <c r="B2" s="2595"/>
      <c r="C2" s="2595"/>
      <c r="D2" s="2595"/>
    </row>
    <row r="3" spans="1:4" ht="15.75">
      <c r="A3" s="2597" t="s">
        <v>1144</v>
      </c>
      <c r="B3" s="2595"/>
      <c r="C3" s="2595"/>
      <c r="D3" s="2595"/>
    </row>
    <row r="4" spans="1:4">
      <c r="A4" s="2598" t="s">
        <v>1</v>
      </c>
      <c r="B4" s="2595"/>
      <c r="C4" s="2595"/>
      <c r="D4" s="2595"/>
    </row>
    <row r="5" spans="1:4">
      <c r="A5" s="841"/>
      <c r="B5" s="841"/>
      <c r="C5" s="841"/>
      <c r="D5" s="841"/>
    </row>
    <row r="6" spans="1:4">
      <c r="A6" s="841"/>
      <c r="B6" s="841"/>
      <c r="C6" s="841"/>
      <c r="D6" s="841"/>
    </row>
    <row r="7" spans="1:4" s="845" customFormat="1">
      <c r="A7" s="847" t="s">
        <v>1143</v>
      </c>
      <c r="B7" s="847"/>
      <c r="C7" s="846" t="s">
        <v>1142</v>
      </c>
      <c r="D7" s="846" t="s">
        <v>1141</v>
      </c>
    </row>
    <row r="8" spans="1:4">
      <c r="A8" s="841"/>
      <c r="B8" s="841"/>
      <c r="C8" s="841"/>
      <c r="D8" s="841"/>
    </row>
    <row r="9" spans="1:4">
      <c r="A9" s="841"/>
      <c r="B9" s="841"/>
      <c r="C9" s="841"/>
      <c r="D9" s="841"/>
    </row>
    <row r="10" spans="1:4">
      <c r="A10" s="843" t="s">
        <v>749</v>
      </c>
      <c r="B10" s="841"/>
      <c r="C10" s="841"/>
      <c r="D10" s="841"/>
    </row>
    <row r="11" spans="1:4">
      <c r="A11" s="841"/>
      <c r="B11" s="841" t="s">
        <v>1140</v>
      </c>
      <c r="C11" s="841">
        <v>0</v>
      </c>
      <c r="D11" s="841">
        <v>4418</v>
      </c>
    </row>
    <row r="12" spans="1:4">
      <c r="A12" s="841"/>
      <c r="B12" s="841" t="s">
        <v>1139</v>
      </c>
      <c r="C12" s="841">
        <v>0</v>
      </c>
      <c r="D12" s="841">
        <v>12108</v>
      </c>
    </row>
    <row r="13" spans="1:4">
      <c r="A13" s="841"/>
      <c r="B13" s="841" t="s">
        <v>1138</v>
      </c>
      <c r="C13" s="841">
        <v>0</v>
      </c>
      <c r="D13" s="841">
        <v>10294</v>
      </c>
    </row>
    <row r="14" spans="1:4">
      <c r="A14" s="841"/>
      <c r="B14" s="841" t="s">
        <v>1137</v>
      </c>
      <c r="C14" s="841">
        <v>0</v>
      </c>
      <c r="D14" s="841">
        <v>5203</v>
      </c>
    </row>
    <row r="15" spans="1:4">
      <c r="A15" s="841"/>
      <c r="B15" s="841" t="s">
        <v>1137</v>
      </c>
      <c r="C15" s="841">
        <v>12327</v>
      </c>
      <c r="D15" s="841">
        <v>0</v>
      </c>
    </row>
    <row r="16" spans="1:4">
      <c r="A16" s="841"/>
      <c r="B16" s="841" t="s">
        <v>1136</v>
      </c>
      <c r="C16" s="841">
        <v>2462</v>
      </c>
      <c r="D16" s="841">
        <v>0</v>
      </c>
    </row>
    <row r="17" spans="1:4">
      <c r="A17" s="841"/>
      <c r="B17" s="841" t="s">
        <v>1136</v>
      </c>
      <c r="C17" s="841">
        <v>0</v>
      </c>
      <c r="D17" s="841">
        <v>6028</v>
      </c>
    </row>
    <row r="18" spans="1:4">
      <c r="A18" s="841"/>
      <c r="B18" s="841" t="s">
        <v>1135</v>
      </c>
      <c r="C18" s="841">
        <v>0</v>
      </c>
      <c r="D18" s="841">
        <v>2965</v>
      </c>
    </row>
    <row r="19" spans="1:4">
      <c r="A19" s="841"/>
      <c r="B19" s="841" t="s">
        <v>1134</v>
      </c>
      <c r="C19" s="841">
        <v>5500</v>
      </c>
      <c r="D19" s="841">
        <v>0</v>
      </c>
    </row>
    <row r="20" spans="1:4">
      <c r="A20" s="841"/>
      <c r="B20" s="841" t="s">
        <v>1133</v>
      </c>
      <c r="C20" s="841">
        <v>0</v>
      </c>
      <c r="D20" s="841">
        <v>911</v>
      </c>
    </row>
    <row r="21" spans="1:4">
      <c r="A21" s="841"/>
      <c r="B21" s="841" t="s">
        <v>1132</v>
      </c>
      <c r="C21" s="841">
        <v>0</v>
      </c>
      <c r="D21" s="841">
        <v>2507</v>
      </c>
    </row>
    <row r="22" spans="1:4">
      <c r="A22" s="841"/>
      <c r="B22" s="841" t="s">
        <v>1131</v>
      </c>
      <c r="C22" s="841">
        <v>0</v>
      </c>
      <c r="D22" s="841">
        <v>6253</v>
      </c>
    </row>
    <row r="23" spans="1:4">
      <c r="A23" s="841"/>
      <c r="B23" s="841" t="s">
        <v>1131</v>
      </c>
      <c r="C23" s="841">
        <v>0</v>
      </c>
      <c r="D23" s="841">
        <v>2165</v>
      </c>
    </row>
    <row r="24" spans="1:4">
      <c r="A24" s="841"/>
      <c r="B24" s="841" t="s">
        <v>1131</v>
      </c>
      <c r="C24" s="841">
        <v>0</v>
      </c>
      <c r="D24" s="841">
        <v>7289</v>
      </c>
    </row>
    <row r="25" spans="1:4">
      <c r="A25" s="841"/>
      <c r="B25" s="841" t="s">
        <v>1131</v>
      </c>
      <c r="C25" s="841">
        <v>5000</v>
      </c>
      <c r="D25" s="841">
        <v>0</v>
      </c>
    </row>
    <row r="26" spans="1:4">
      <c r="A26" s="841"/>
      <c r="B26" s="841" t="s">
        <v>1130</v>
      </c>
      <c r="C26" s="841">
        <v>0</v>
      </c>
      <c r="D26" s="841">
        <v>3280</v>
      </c>
    </row>
    <row r="27" spans="1:4">
      <c r="A27" s="841"/>
      <c r="B27" s="841" t="s">
        <v>1129</v>
      </c>
      <c r="C27" s="841">
        <v>0</v>
      </c>
      <c r="D27" s="841">
        <v>1116</v>
      </c>
    </row>
    <row r="28" spans="1:4">
      <c r="A28" s="841"/>
      <c r="B28" s="841" t="s">
        <v>1128</v>
      </c>
      <c r="C28" s="841">
        <v>0</v>
      </c>
      <c r="D28" s="841">
        <v>764</v>
      </c>
    </row>
    <row r="29" spans="1:4">
      <c r="A29" s="841"/>
      <c r="B29" s="841" t="s">
        <v>1067</v>
      </c>
      <c r="C29" s="841">
        <v>0</v>
      </c>
      <c r="D29" s="841">
        <v>13508</v>
      </c>
    </row>
    <row r="30" spans="1:4">
      <c r="A30" s="841"/>
      <c r="B30" s="841" t="s">
        <v>1067</v>
      </c>
      <c r="C30" s="841">
        <v>0</v>
      </c>
      <c r="D30" s="841">
        <v>25002</v>
      </c>
    </row>
    <row r="31" spans="1:4">
      <c r="A31" s="841"/>
      <c r="B31" s="841" t="s">
        <v>1127</v>
      </c>
      <c r="C31" s="841">
        <v>0</v>
      </c>
      <c r="D31" s="841">
        <v>42131</v>
      </c>
    </row>
    <row r="32" spans="1:4">
      <c r="A32" s="841"/>
      <c r="B32" s="841" t="s">
        <v>1127</v>
      </c>
      <c r="C32" s="841">
        <v>48000</v>
      </c>
      <c r="D32" s="841">
        <v>0</v>
      </c>
    </row>
    <row r="33" spans="1:4">
      <c r="A33" s="841"/>
      <c r="B33" s="841" t="s">
        <v>1126</v>
      </c>
      <c r="C33" s="841">
        <v>0</v>
      </c>
      <c r="D33" s="841">
        <v>32218</v>
      </c>
    </row>
    <row r="34" spans="1:4">
      <c r="A34" s="841"/>
      <c r="B34" s="841" t="s">
        <v>1125</v>
      </c>
      <c r="C34" s="841">
        <v>50000</v>
      </c>
      <c r="D34" s="841">
        <v>0</v>
      </c>
    </row>
    <row r="35" spans="1:4">
      <c r="A35" s="841"/>
      <c r="B35" s="841" t="s">
        <v>1124</v>
      </c>
      <c r="C35" s="841">
        <v>0</v>
      </c>
      <c r="D35" s="841">
        <v>62750</v>
      </c>
    </row>
    <row r="36" spans="1:4">
      <c r="A36" s="841"/>
      <c r="B36" s="841" t="s">
        <v>1124</v>
      </c>
      <c r="C36" s="841">
        <v>0</v>
      </c>
      <c r="D36" s="841">
        <v>12899</v>
      </c>
    </row>
    <row r="37" spans="1:4">
      <c r="A37" s="841"/>
      <c r="B37" s="841" t="s">
        <v>1123</v>
      </c>
      <c r="C37" s="841">
        <v>0</v>
      </c>
      <c r="D37" s="841">
        <v>1250</v>
      </c>
    </row>
    <row r="38" spans="1:4">
      <c r="A38" s="841"/>
      <c r="B38" s="841" t="s">
        <v>1123</v>
      </c>
      <c r="C38" s="841">
        <v>0</v>
      </c>
      <c r="D38" s="841">
        <v>1437</v>
      </c>
    </row>
    <row r="39" spans="1:4">
      <c r="A39" s="841"/>
      <c r="B39" s="841" t="s">
        <v>1122</v>
      </c>
      <c r="C39" s="841">
        <v>0</v>
      </c>
      <c r="D39" s="841">
        <v>4418</v>
      </c>
    </row>
    <row r="40" spans="1:4">
      <c r="A40" s="841"/>
      <c r="B40" s="841" t="s">
        <v>1121</v>
      </c>
      <c r="C40" s="841">
        <v>0</v>
      </c>
      <c r="D40" s="841">
        <v>7999</v>
      </c>
    </row>
    <row r="41" spans="1:4">
      <c r="A41" s="841"/>
      <c r="B41" s="841" t="s">
        <v>1120</v>
      </c>
      <c r="C41" s="841">
        <v>0</v>
      </c>
      <c r="D41" s="841">
        <v>44630</v>
      </c>
    </row>
    <row r="42" spans="1:4">
      <c r="A42" s="841"/>
      <c r="B42" s="841" t="s">
        <v>1119</v>
      </c>
      <c r="C42" s="841">
        <v>0</v>
      </c>
      <c r="D42" s="841">
        <v>1949</v>
      </c>
    </row>
    <row r="43" spans="1:4">
      <c r="A43" s="841"/>
      <c r="B43" s="841" t="s">
        <v>1118</v>
      </c>
      <c r="C43" s="841">
        <v>0</v>
      </c>
      <c r="D43" s="841">
        <v>5052</v>
      </c>
    </row>
    <row r="44" spans="1:4">
      <c r="A44" s="841"/>
      <c r="B44" s="841" t="s">
        <v>1118</v>
      </c>
      <c r="C44" s="841">
        <v>0</v>
      </c>
      <c r="D44" s="841">
        <v>18387</v>
      </c>
    </row>
    <row r="45" spans="1:4">
      <c r="A45" s="841"/>
      <c r="B45" s="841" t="s">
        <v>1118</v>
      </c>
      <c r="C45" s="841">
        <v>0</v>
      </c>
      <c r="D45" s="841">
        <v>7825</v>
      </c>
    </row>
    <row r="46" spans="1:4">
      <c r="A46" s="841"/>
      <c r="B46" s="841" t="s">
        <v>1118</v>
      </c>
      <c r="C46" s="841">
        <v>16817</v>
      </c>
      <c r="D46" s="841">
        <v>0</v>
      </c>
    </row>
    <row r="47" spans="1:4">
      <c r="A47" s="841"/>
      <c r="B47" s="841" t="s">
        <v>1117</v>
      </c>
      <c r="C47" s="841">
        <v>0</v>
      </c>
      <c r="D47" s="841">
        <v>41</v>
      </c>
    </row>
    <row r="48" spans="1:4">
      <c r="A48" s="841"/>
      <c r="B48" s="841" t="s">
        <v>1116</v>
      </c>
      <c r="C48" s="841">
        <v>324585</v>
      </c>
      <c r="D48" s="841">
        <v>0</v>
      </c>
    </row>
    <row r="49" spans="1:4">
      <c r="A49" s="841"/>
      <c r="B49" s="841" t="s">
        <v>1115</v>
      </c>
      <c r="C49" s="841">
        <v>0</v>
      </c>
      <c r="D49" s="841">
        <v>126742</v>
      </c>
    </row>
    <row r="50" spans="1:4">
      <c r="A50" s="841"/>
      <c r="B50" s="841" t="s">
        <v>1114</v>
      </c>
      <c r="C50" s="841">
        <v>0</v>
      </c>
      <c r="D50" s="841">
        <v>172</v>
      </c>
    </row>
    <row r="51" spans="1:4">
      <c r="A51" s="841"/>
      <c r="B51" s="841" t="s">
        <v>1113</v>
      </c>
      <c r="C51" s="841">
        <v>0</v>
      </c>
      <c r="D51" s="841">
        <v>209</v>
      </c>
    </row>
    <row r="52" spans="1:4">
      <c r="A52" s="841"/>
      <c r="B52" s="841" t="s">
        <v>1113</v>
      </c>
      <c r="C52" s="841">
        <v>0</v>
      </c>
      <c r="D52" s="841">
        <v>1856</v>
      </c>
    </row>
    <row r="53" spans="1:4">
      <c r="A53" s="841"/>
      <c r="B53" s="841" t="s">
        <v>1113</v>
      </c>
      <c r="C53" s="841">
        <v>0</v>
      </c>
      <c r="D53" s="841">
        <v>2658</v>
      </c>
    </row>
    <row r="54" spans="1:4">
      <c r="A54" s="841"/>
      <c r="B54" s="841" t="s">
        <v>1112</v>
      </c>
      <c r="C54" s="841">
        <v>0</v>
      </c>
      <c r="D54" s="841">
        <v>18404</v>
      </c>
    </row>
    <row r="55" spans="1:4">
      <c r="A55" s="841"/>
      <c r="B55" s="841" t="s">
        <v>1111</v>
      </c>
      <c r="C55" s="841">
        <v>0</v>
      </c>
      <c r="D55" s="841">
        <v>106</v>
      </c>
    </row>
    <row r="56" spans="1:4">
      <c r="A56" s="841"/>
      <c r="B56" s="841" t="s">
        <v>1110</v>
      </c>
      <c r="C56" s="841">
        <v>0</v>
      </c>
      <c r="D56" s="841">
        <v>17469</v>
      </c>
    </row>
    <row r="57" spans="1:4">
      <c r="A57" s="841"/>
      <c r="B57" s="841" t="s">
        <v>1109</v>
      </c>
      <c r="C57" s="841">
        <v>4253</v>
      </c>
      <c r="D57" s="841">
        <v>0</v>
      </c>
    </row>
    <row r="58" spans="1:4">
      <c r="A58" s="841"/>
      <c r="B58" s="841" t="s">
        <v>1109</v>
      </c>
      <c r="C58" s="841">
        <v>0</v>
      </c>
      <c r="D58" s="841">
        <v>2774</v>
      </c>
    </row>
    <row r="59" spans="1:4">
      <c r="A59" s="841"/>
      <c r="B59" s="841"/>
      <c r="C59" s="841"/>
      <c r="D59" s="841"/>
    </row>
    <row r="60" spans="1:4">
      <c r="A60" s="843" t="s">
        <v>747</v>
      </c>
      <c r="B60" s="841"/>
      <c r="C60" s="841"/>
      <c r="D60" s="841"/>
    </row>
    <row r="61" spans="1:4">
      <c r="A61" s="841"/>
      <c r="B61" s="841" t="s">
        <v>1108</v>
      </c>
      <c r="C61" s="841">
        <v>6500</v>
      </c>
      <c r="D61" s="841">
        <v>0</v>
      </c>
    </row>
    <row r="62" spans="1:4">
      <c r="A62" s="841"/>
      <c r="B62" s="841" t="s">
        <v>1107</v>
      </c>
      <c r="C62" s="841">
        <v>895</v>
      </c>
      <c r="D62" s="841">
        <v>2980</v>
      </c>
    </row>
    <row r="63" spans="1:4">
      <c r="A63" s="841"/>
      <c r="B63" s="841" t="s">
        <v>1106</v>
      </c>
      <c r="C63" s="841">
        <v>0</v>
      </c>
      <c r="D63" s="841">
        <v>856</v>
      </c>
    </row>
    <row r="64" spans="1:4">
      <c r="A64" s="841"/>
      <c r="B64" s="841" t="s">
        <v>1100</v>
      </c>
      <c r="C64" s="841">
        <v>8183</v>
      </c>
      <c r="D64" s="841">
        <v>0</v>
      </c>
    </row>
    <row r="65" spans="1:4">
      <c r="A65" s="841"/>
      <c r="B65" s="841" t="s">
        <v>1105</v>
      </c>
      <c r="C65" s="841">
        <v>140</v>
      </c>
      <c r="D65" s="841">
        <v>0</v>
      </c>
    </row>
    <row r="66" spans="1:4">
      <c r="A66" s="841"/>
      <c r="B66" s="841" t="s">
        <v>1104</v>
      </c>
      <c r="C66" s="841">
        <v>1400</v>
      </c>
      <c r="D66" s="841">
        <v>0</v>
      </c>
    </row>
    <row r="67" spans="1:4">
      <c r="A67" s="841"/>
      <c r="B67" s="841"/>
      <c r="C67" s="841"/>
      <c r="D67" s="841"/>
    </row>
    <row r="68" spans="1:4">
      <c r="A68" s="843" t="s">
        <v>1103</v>
      </c>
      <c r="B68" s="841"/>
      <c r="C68" s="841"/>
      <c r="D68" s="841"/>
    </row>
    <row r="69" spans="1:4">
      <c r="A69" s="841"/>
      <c r="B69" s="841" t="s">
        <v>1102</v>
      </c>
      <c r="C69" s="841">
        <v>0</v>
      </c>
      <c r="D69" s="841">
        <v>111</v>
      </c>
    </row>
    <row r="70" spans="1:4">
      <c r="A70" s="841"/>
      <c r="B70" s="841" t="s">
        <v>1101</v>
      </c>
      <c r="C70" s="841">
        <v>200</v>
      </c>
      <c r="D70" s="841">
        <v>0</v>
      </c>
    </row>
    <row r="71" spans="1:4">
      <c r="A71" s="841"/>
      <c r="B71" s="841" t="s">
        <v>1100</v>
      </c>
      <c r="C71" s="841">
        <v>0</v>
      </c>
      <c r="D71" s="841">
        <v>400</v>
      </c>
    </row>
    <row r="72" spans="1:4">
      <c r="A72" s="841"/>
      <c r="B72" s="841" t="s">
        <v>1099</v>
      </c>
      <c r="C72" s="841">
        <v>7000</v>
      </c>
      <c r="D72" s="841">
        <v>0</v>
      </c>
    </row>
    <row r="73" spans="1:4">
      <c r="A73" s="841"/>
      <c r="B73" s="841" t="s">
        <v>1098</v>
      </c>
      <c r="C73" s="841">
        <v>520</v>
      </c>
      <c r="D73" s="841">
        <v>0</v>
      </c>
    </row>
    <row r="74" spans="1:4">
      <c r="A74" s="841"/>
      <c r="B74" s="841" t="s">
        <v>1097</v>
      </c>
      <c r="C74" s="841">
        <v>956</v>
      </c>
      <c r="D74" s="841">
        <v>0</v>
      </c>
    </row>
    <row r="75" spans="1:4">
      <c r="A75" s="841"/>
      <c r="B75" s="841" t="s">
        <v>1096</v>
      </c>
      <c r="C75" s="841">
        <v>1179</v>
      </c>
      <c r="D75" s="841">
        <v>0</v>
      </c>
    </row>
    <row r="76" spans="1:4">
      <c r="A76" s="841"/>
      <c r="B76" s="841" t="s">
        <v>1095</v>
      </c>
      <c r="C76" s="841">
        <v>0</v>
      </c>
      <c r="D76" s="841">
        <v>92</v>
      </c>
    </row>
    <row r="77" spans="1:4">
      <c r="A77" s="841"/>
      <c r="B77" s="841" t="s">
        <v>539</v>
      </c>
      <c r="C77" s="841">
        <v>0</v>
      </c>
      <c r="D77" s="841">
        <v>868</v>
      </c>
    </row>
    <row r="78" spans="1:4">
      <c r="A78" s="841"/>
      <c r="B78" s="841" t="s">
        <v>539</v>
      </c>
      <c r="C78" s="841">
        <v>2334</v>
      </c>
      <c r="D78" s="841">
        <v>0</v>
      </c>
    </row>
    <row r="79" spans="1:4">
      <c r="A79" s="841"/>
      <c r="B79" s="841" t="s">
        <v>1094</v>
      </c>
      <c r="C79" s="841">
        <v>4482</v>
      </c>
      <c r="D79" s="841">
        <v>0</v>
      </c>
    </row>
    <row r="80" spans="1:4">
      <c r="A80" s="841"/>
      <c r="B80" s="841" t="s">
        <v>1093</v>
      </c>
      <c r="C80" s="841">
        <v>0</v>
      </c>
      <c r="D80" s="841">
        <v>8257</v>
      </c>
    </row>
    <row r="81" spans="1:4">
      <c r="A81" s="841"/>
      <c r="B81" s="841" t="s">
        <v>1092</v>
      </c>
      <c r="C81" s="841">
        <v>0</v>
      </c>
      <c r="D81" s="841">
        <v>815</v>
      </c>
    </row>
    <row r="82" spans="1:4">
      <c r="A82" s="841"/>
      <c r="B82" s="841" t="s">
        <v>1091</v>
      </c>
      <c r="C82" s="841">
        <v>150</v>
      </c>
      <c r="D82" s="841">
        <v>0</v>
      </c>
    </row>
    <row r="83" spans="1:4">
      <c r="A83" s="841"/>
      <c r="B83" s="841" t="s">
        <v>1090</v>
      </c>
      <c r="C83" s="841">
        <v>0</v>
      </c>
      <c r="D83" s="841">
        <v>924</v>
      </c>
    </row>
    <row r="84" spans="1:4">
      <c r="A84" s="841"/>
      <c r="B84" s="841"/>
      <c r="C84" s="841"/>
      <c r="D84" s="841"/>
    </row>
    <row r="85" spans="1:4">
      <c r="A85" s="843" t="s">
        <v>693</v>
      </c>
      <c r="B85" s="841"/>
      <c r="C85" s="841"/>
      <c r="D85" s="841"/>
    </row>
    <row r="86" spans="1:4">
      <c r="A86" s="841"/>
      <c r="B86" s="841" t="s">
        <v>1089</v>
      </c>
      <c r="C86" s="841">
        <v>100</v>
      </c>
      <c r="D86" s="841">
        <v>0</v>
      </c>
    </row>
    <row r="87" spans="1:4">
      <c r="A87" s="841"/>
      <c r="B87" s="841" t="s">
        <v>1088</v>
      </c>
      <c r="C87" s="841">
        <v>0</v>
      </c>
      <c r="D87" s="841">
        <v>300</v>
      </c>
    </row>
    <row r="88" spans="1:4">
      <c r="A88" s="841"/>
      <c r="B88" s="841" t="s">
        <v>910</v>
      </c>
      <c r="C88" s="841">
        <v>315</v>
      </c>
      <c r="D88" s="841">
        <v>0</v>
      </c>
    </row>
    <row r="89" spans="1:4">
      <c r="A89" s="841"/>
      <c r="B89" s="841"/>
      <c r="C89" s="841"/>
      <c r="D89" s="841"/>
    </row>
    <row r="90" spans="1:4">
      <c r="A90" s="843" t="s">
        <v>740</v>
      </c>
      <c r="B90" s="841"/>
      <c r="C90" s="841"/>
      <c r="D90" s="841"/>
    </row>
    <row r="91" spans="1:4">
      <c r="A91" s="841"/>
      <c r="B91" s="841" t="s">
        <v>1087</v>
      </c>
      <c r="C91" s="841">
        <v>0</v>
      </c>
      <c r="D91" s="841">
        <v>4429</v>
      </c>
    </row>
    <row r="92" spans="1:4">
      <c r="A92" s="841"/>
      <c r="B92" s="841" t="s">
        <v>1086</v>
      </c>
      <c r="C92" s="841">
        <v>20264</v>
      </c>
      <c r="D92" s="841">
        <v>4736</v>
      </c>
    </row>
    <row r="93" spans="1:4">
      <c r="A93" s="841"/>
      <c r="B93" s="841" t="s">
        <v>539</v>
      </c>
      <c r="C93" s="841">
        <v>0</v>
      </c>
      <c r="D93" s="841">
        <v>5979</v>
      </c>
    </row>
    <row r="94" spans="1:4">
      <c r="A94" s="841"/>
      <c r="B94" s="841" t="s">
        <v>539</v>
      </c>
      <c r="C94" s="841">
        <v>4799</v>
      </c>
      <c r="D94" s="841">
        <v>0</v>
      </c>
    </row>
    <row r="95" spans="1:4">
      <c r="A95" s="841"/>
      <c r="B95" s="841" t="s">
        <v>538</v>
      </c>
      <c r="C95" s="841">
        <v>9958</v>
      </c>
      <c r="D95" s="841">
        <v>0</v>
      </c>
    </row>
    <row r="96" spans="1:4">
      <c r="A96" s="841"/>
      <c r="B96" s="841" t="s">
        <v>538</v>
      </c>
      <c r="C96" s="841">
        <v>0</v>
      </c>
      <c r="D96" s="841">
        <v>2596</v>
      </c>
    </row>
    <row r="97" spans="1:4">
      <c r="A97" s="841"/>
      <c r="B97" s="841"/>
      <c r="C97" s="841"/>
      <c r="D97" s="841"/>
    </row>
    <row r="98" spans="1:4">
      <c r="A98" s="843" t="s">
        <v>1085</v>
      </c>
      <c r="B98" s="841"/>
      <c r="C98" s="841"/>
      <c r="D98" s="841"/>
    </row>
    <row r="99" spans="1:4">
      <c r="A99" s="841"/>
      <c r="B99" s="841" t="s">
        <v>1084</v>
      </c>
      <c r="C99" s="841">
        <v>0</v>
      </c>
      <c r="D99" s="841">
        <v>1963</v>
      </c>
    </row>
    <row r="100" spans="1:4">
      <c r="A100" s="841"/>
      <c r="B100" s="841" t="s">
        <v>1084</v>
      </c>
      <c r="C100" s="841">
        <v>750</v>
      </c>
      <c r="D100" s="841">
        <v>0</v>
      </c>
    </row>
    <row r="101" spans="1:4">
      <c r="A101" s="841"/>
      <c r="B101" s="841" t="s">
        <v>1083</v>
      </c>
      <c r="C101" s="841">
        <v>200</v>
      </c>
      <c r="D101" s="841">
        <v>0</v>
      </c>
    </row>
    <row r="102" spans="1:4">
      <c r="A102" s="841"/>
      <c r="B102" s="841" t="s">
        <v>1082</v>
      </c>
      <c r="C102" s="841">
        <v>0</v>
      </c>
      <c r="D102" s="841">
        <v>297</v>
      </c>
    </row>
    <row r="103" spans="1:4">
      <c r="A103" s="841"/>
      <c r="B103" s="841"/>
      <c r="C103" s="841"/>
      <c r="D103" s="841"/>
    </row>
    <row r="104" spans="1:4">
      <c r="A104" s="843" t="s">
        <v>1081</v>
      </c>
      <c r="B104" s="841"/>
      <c r="C104" s="841"/>
      <c r="D104" s="841"/>
    </row>
    <row r="105" spans="1:4">
      <c r="A105" s="841"/>
      <c r="B105" s="841" t="s">
        <v>1080</v>
      </c>
      <c r="C105" s="841">
        <v>200</v>
      </c>
      <c r="D105" s="841">
        <v>0</v>
      </c>
    </row>
    <row r="106" spans="1:4">
      <c r="A106" s="841"/>
      <c r="B106" s="841"/>
      <c r="C106" s="841"/>
      <c r="D106" s="841"/>
    </row>
    <row r="107" spans="1:4">
      <c r="A107" s="843" t="s">
        <v>731</v>
      </c>
      <c r="B107" s="841"/>
      <c r="C107" s="841"/>
      <c r="D107" s="841"/>
    </row>
    <row r="108" spans="1:4">
      <c r="A108" s="841"/>
      <c r="B108" s="841" t="s">
        <v>1079</v>
      </c>
      <c r="C108" s="841">
        <v>567</v>
      </c>
      <c r="D108" s="841">
        <v>0</v>
      </c>
    </row>
    <row r="109" spans="1:4">
      <c r="A109" s="841"/>
      <c r="B109" s="841"/>
      <c r="C109" s="841"/>
      <c r="D109" s="841"/>
    </row>
    <row r="110" spans="1:4">
      <c r="A110" s="843" t="s">
        <v>1078</v>
      </c>
      <c r="B110" s="841"/>
      <c r="C110" s="841"/>
      <c r="D110" s="841"/>
    </row>
    <row r="111" spans="1:4">
      <c r="A111" s="841"/>
      <c r="B111" s="841" t="s">
        <v>1077</v>
      </c>
      <c r="C111" s="841">
        <v>0</v>
      </c>
      <c r="D111" s="841">
        <v>1635</v>
      </c>
    </row>
    <row r="112" spans="1:4">
      <c r="A112" s="841"/>
      <c r="B112" s="841" t="s">
        <v>1076</v>
      </c>
      <c r="C112" s="841">
        <v>1035</v>
      </c>
      <c r="D112" s="841">
        <v>0</v>
      </c>
    </row>
    <row r="113" spans="1:4">
      <c r="A113" s="841"/>
      <c r="B113" s="841" t="s">
        <v>1075</v>
      </c>
      <c r="C113" s="841">
        <v>0</v>
      </c>
      <c r="D113" s="841">
        <v>751</v>
      </c>
    </row>
    <row r="114" spans="1:4">
      <c r="A114" s="841"/>
      <c r="B114" s="841" t="s">
        <v>1074</v>
      </c>
      <c r="C114" s="841">
        <v>150</v>
      </c>
      <c r="D114" s="841">
        <v>0</v>
      </c>
    </row>
    <row r="115" spans="1:4">
      <c r="A115" s="841"/>
      <c r="B115" s="841" t="s">
        <v>1073</v>
      </c>
      <c r="C115" s="841">
        <v>1000</v>
      </c>
      <c r="D115" s="841">
        <v>0</v>
      </c>
    </row>
    <row r="116" spans="1:4">
      <c r="A116" s="841"/>
      <c r="B116" s="841" t="s">
        <v>1072</v>
      </c>
      <c r="C116" s="841">
        <v>6075</v>
      </c>
      <c r="D116" s="841">
        <v>0</v>
      </c>
    </row>
    <row r="117" spans="1:4">
      <c r="A117" s="841"/>
      <c r="B117" s="841" t="s">
        <v>1072</v>
      </c>
      <c r="C117" s="841">
        <v>0</v>
      </c>
      <c r="D117" s="841">
        <v>3951</v>
      </c>
    </row>
    <row r="118" spans="1:4">
      <c r="A118" s="841"/>
      <c r="B118" s="841" t="s">
        <v>1071</v>
      </c>
      <c r="C118" s="841">
        <v>0</v>
      </c>
      <c r="D118" s="841">
        <v>2201</v>
      </c>
    </row>
    <row r="119" spans="1:4">
      <c r="A119" s="841"/>
      <c r="B119" s="841" t="s">
        <v>1071</v>
      </c>
      <c r="C119" s="841">
        <v>3500</v>
      </c>
      <c r="D119" s="841">
        <v>0</v>
      </c>
    </row>
    <row r="120" spans="1:4">
      <c r="A120" s="841"/>
      <c r="B120" s="841" t="s">
        <v>1070</v>
      </c>
      <c r="C120" s="841">
        <v>4000</v>
      </c>
      <c r="D120" s="841">
        <v>0</v>
      </c>
    </row>
    <row r="121" spans="1:4">
      <c r="A121" s="841"/>
      <c r="B121" s="841" t="s">
        <v>1070</v>
      </c>
      <c r="C121" s="841">
        <v>0</v>
      </c>
      <c r="D121" s="841">
        <v>1195</v>
      </c>
    </row>
    <row r="122" spans="1:4">
      <c r="A122" s="841"/>
      <c r="B122" s="841" t="s">
        <v>1069</v>
      </c>
      <c r="C122" s="841">
        <v>0</v>
      </c>
      <c r="D122" s="841">
        <v>4193</v>
      </c>
    </row>
    <row r="123" spans="1:4">
      <c r="A123" s="841"/>
      <c r="B123" s="841" t="s">
        <v>1068</v>
      </c>
      <c r="C123" s="841">
        <v>150</v>
      </c>
      <c r="D123" s="841">
        <v>0</v>
      </c>
    </row>
    <row r="124" spans="1:4">
      <c r="A124" s="841"/>
      <c r="B124" s="841"/>
      <c r="C124" s="841"/>
      <c r="D124" s="841"/>
    </row>
    <row r="125" spans="1:4">
      <c r="A125" s="843" t="s">
        <v>728</v>
      </c>
      <c r="B125" s="841"/>
      <c r="C125" s="841"/>
      <c r="D125" s="841"/>
    </row>
    <row r="126" spans="1:4">
      <c r="A126" s="841"/>
      <c r="B126" s="841" t="s">
        <v>1067</v>
      </c>
      <c r="C126" s="841">
        <v>0</v>
      </c>
      <c r="D126" s="841">
        <v>16652</v>
      </c>
    </row>
    <row r="127" spans="1:4">
      <c r="A127" s="841"/>
      <c r="B127" s="841" t="s">
        <v>1067</v>
      </c>
      <c r="C127" s="841">
        <v>49868</v>
      </c>
      <c r="D127" s="841">
        <v>47721</v>
      </c>
    </row>
    <row r="128" spans="1:4">
      <c r="A128" s="841"/>
      <c r="B128" s="841" t="s">
        <v>1066</v>
      </c>
      <c r="C128" s="841">
        <v>3199</v>
      </c>
      <c r="D128" s="841">
        <v>0</v>
      </c>
    </row>
    <row r="129" spans="1:4">
      <c r="A129" s="841"/>
      <c r="B129" s="841" t="s">
        <v>547</v>
      </c>
      <c r="C129" s="841">
        <v>380</v>
      </c>
      <c r="D129" s="841">
        <v>0</v>
      </c>
    </row>
    <row r="130" spans="1:4">
      <c r="A130" s="841"/>
      <c r="B130" s="841" t="s">
        <v>1065</v>
      </c>
      <c r="C130" s="841">
        <v>0</v>
      </c>
      <c r="D130" s="841">
        <v>5561</v>
      </c>
    </row>
    <row r="131" spans="1:4">
      <c r="A131" s="841"/>
      <c r="B131" s="841" t="s">
        <v>1064</v>
      </c>
      <c r="C131" s="841">
        <v>0</v>
      </c>
      <c r="D131" s="841">
        <v>4439</v>
      </c>
    </row>
    <row r="132" spans="1:4">
      <c r="A132" s="841"/>
      <c r="B132" s="841"/>
      <c r="C132" s="841"/>
      <c r="D132" s="841"/>
    </row>
    <row r="133" spans="1:4">
      <c r="A133" s="843" t="s">
        <v>727</v>
      </c>
      <c r="B133" s="841"/>
      <c r="C133" s="841"/>
      <c r="D133" s="841"/>
    </row>
    <row r="134" spans="1:4">
      <c r="A134" s="841"/>
      <c r="B134" s="841" t="s">
        <v>1063</v>
      </c>
      <c r="C134" s="841">
        <v>2722</v>
      </c>
      <c r="D134" s="841">
        <v>0</v>
      </c>
    </row>
    <row r="135" spans="1:4">
      <c r="A135" s="841"/>
      <c r="B135" s="841" t="s">
        <v>1062</v>
      </c>
      <c r="C135" s="841">
        <v>2400</v>
      </c>
      <c r="D135" s="841">
        <v>0</v>
      </c>
    </row>
    <row r="136" spans="1:4">
      <c r="A136" s="841"/>
      <c r="B136" s="841"/>
      <c r="C136" s="841"/>
      <c r="D136" s="841"/>
    </row>
    <row r="137" spans="1:4">
      <c r="A137" s="843" t="s">
        <v>726</v>
      </c>
      <c r="B137" s="841"/>
      <c r="C137" s="841"/>
      <c r="D137" s="841"/>
    </row>
    <row r="138" spans="1:4">
      <c r="A138" s="841"/>
      <c r="B138" s="841" t="s">
        <v>1061</v>
      </c>
      <c r="C138" s="841">
        <v>0</v>
      </c>
      <c r="D138" s="841">
        <v>1102</v>
      </c>
    </row>
    <row r="139" spans="1:4">
      <c r="A139" s="841"/>
      <c r="B139" s="841" t="s">
        <v>1060</v>
      </c>
      <c r="C139" s="841">
        <v>0</v>
      </c>
      <c r="D139" s="841">
        <v>881</v>
      </c>
    </row>
    <row r="140" spans="1:4">
      <c r="A140" s="841"/>
      <c r="B140" s="841" t="s">
        <v>1059</v>
      </c>
      <c r="C140" s="841">
        <v>2822</v>
      </c>
      <c r="D140" s="841">
        <v>0</v>
      </c>
    </row>
    <row r="141" spans="1:4">
      <c r="A141" s="841"/>
      <c r="B141" s="841" t="s">
        <v>1058</v>
      </c>
      <c r="C141" s="841">
        <v>0</v>
      </c>
      <c r="D141" s="841">
        <v>1338</v>
      </c>
    </row>
    <row r="142" spans="1:4">
      <c r="A142" s="841"/>
      <c r="B142" s="841" t="s">
        <v>1057</v>
      </c>
      <c r="C142" s="841">
        <v>0</v>
      </c>
      <c r="D142" s="841">
        <v>798</v>
      </c>
    </row>
    <row r="143" spans="1:4">
      <c r="A143" s="841"/>
      <c r="B143" s="841" t="s">
        <v>1056</v>
      </c>
      <c r="C143" s="841">
        <v>6200</v>
      </c>
      <c r="D143" s="841">
        <v>0</v>
      </c>
    </row>
    <row r="144" spans="1:4">
      <c r="A144" s="841"/>
      <c r="B144" s="841" t="s">
        <v>1055</v>
      </c>
      <c r="C144" s="841">
        <v>0</v>
      </c>
      <c r="D144" s="841">
        <v>1902</v>
      </c>
    </row>
    <row r="145" spans="1:4">
      <c r="A145" s="841"/>
      <c r="B145" s="841" t="s">
        <v>1054</v>
      </c>
      <c r="C145" s="841">
        <v>0</v>
      </c>
      <c r="D145" s="841">
        <v>1721</v>
      </c>
    </row>
    <row r="146" spans="1:4">
      <c r="A146" s="841"/>
      <c r="B146" s="841" t="s">
        <v>1053</v>
      </c>
      <c r="C146" s="841">
        <v>0</v>
      </c>
      <c r="D146" s="841">
        <v>456</v>
      </c>
    </row>
    <row r="147" spans="1:4">
      <c r="A147" s="841"/>
      <c r="B147" s="841" t="s">
        <v>1052</v>
      </c>
      <c r="C147" s="841">
        <v>0</v>
      </c>
      <c r="D147" s="841">
        <v>2559</v>
      </c>
    </row>
    <row r="148" spans="1:4">
      <c r="A148" s="841"/>
      <c r="B148" s="841" t="s">
        <v>1051</v>
      </c>
      <c r="C148" s="841">
        <v>2500</v>
      </c>
      <c r="D148" s="841">
        <v>0</v>
      </c>
    </row>
    <row r="149" spans="1:4">
      <c r="A149" s="841"/>
      <c r="B149" s="841" t="s">
        <v>1050</v>
      </c>
      <c r="C149" s="841">
        <v>2600</v>
      </c>
      <c r="D149" s="841">
        <v>0</v>
      </c>
    </row>
    <row r="150" spans="1:4">
      <c r="A150" s="841"/>
      <c r="B150" s="841" t="s">
        <v>1049</v>
      </c>
      <c r="C150" s="841">
        <v>2500</v>
      </c>
      <c r="D150" s="841">
        <v>0</v>
      </c>
    </row>
    <row r="151" spans="1:4">
      <c r="A151" s="841"/>
      <c r="B151" s="841" t="s">
        <v>1048</v>
      </c>
      <c r="C151" s="841">
        <v>0</v>
      </c>
      <c r="D151" s="841">
        <v>655</v>
      </c>
    </row>
    <row r="152" spans="1:4">
      <c r="A152" s="841"/>
      <c r="B152" s="841" t="s">
        <v>1047</v>
      </c>
      <c r="C152" s="841">
        <v>0</v>
      </c>
      <c r="D152" s="841">
        <v>500</v>
      </c>
    </row>
    <row r="153" spans="1:4">
      <c r="A153" s="841"/>
      <c r="B153" s="841" t="s">
        <v>1046</v>
      </c>
      <c r="C153" s="841">
        <v>42453</v>
      </c>
      <c r="D153" s="841">
        <v>6356</v>
      </c>
    </row>
    <row r="154" spans="1:4">
      <c r="A154" s="841"/>
      <c r="B154" s="841" t="s">
        <v>1045</v>
      </c>
      <c r="C154" s="841">
        <v>0</v>
      </c>
      <c r="D154" s="841">
        <v>2327</v>
      </c>
    </row>
    <row r="155" spans="1:4">
      <c r="A155" s="841"/>
      <c r="B155" s="841"/>
      <c r="C155" s="841"/>
      <c r="D155" s="841"/>
    </row>
    <row r="156" spans="1:4">
      <c r="A156" s="843" t="s">
        <v>704</v>
      </c>
      <c r="B156" s="841"/>
      <c r="C156" s="841"/>
      <c r="D156" s="841"/>
    </row>
    <row r="157" spans="1:4">
      <c r="A157" s="841"/>
      <c r="B157" s="841" t="s">
        <v>1044</v>
      </c>
      <c r="C157" s="841">
        <v>20647</v>
      </c>
      <c r="D157" s="841">
        <v>0</v>
      </c>
    </row>
    <row r="158" spans="1:4">
      <c r="A158" s="841"/>
      <c r="B158" s="841" t="s">
        <v>1043</v>
      </c>
      <c r="C158" s="841">
        <v>284</v>
      </c>
      <c r="D158" s="841">
        <v>0</v>
      </c>
    </row>
    <row r="159" spans="1:4">
      <c r="A159" s="841"/>
      <c r="B159" s="841" t="s">
        <v>1042</v>
      </c>
      <c r="C159" s="841">
        <v>0</v>
      </c>
      <c r="D159" s="841">
        <v>16545</v>
      </c>
    </row>
    <row r="160" spans="1:4">
      <c r="A160" s="841"/>
      <c r="B160" s="841" t="s">
        <v>1042</v>
      </c>
      <c r="C160" s="841">
        <v>34100</v>
      </c>
      <c r="D160" s="841">
        <v>0</v>
      </c>
    </row>
    <row r="161" spans="1:4">
      <c r="A161" s="841"/>
      <c r="B161" s="841" t="s">
        <v>1042</v>
      </c>
      <c r="C161" s="841">
        <v>0</v>
      </c>
      <c r="D161" s="841">
        <v>2765</v>
      </c>
    </row>
    <row r="162" spans="1:4">
      <c r="A162" s="841"/>
      <c r="B162" s="841" t="s">
        <v>1042</v>
      </c>
      <c r="C162" s="841">
        <v>0</v>
      </c>
      <c r="D162" s="841">
        <v>7492</v>
      </c>
    </row>
    <row r="163" spans="1:4">
      <c r="A163" s="841"/>
      <c r="B163" s="841" t="s">
        <v>1041</v>
      </c>
      <c r="C163" s="841">
        <v>0</v>
      </c>
      <c r="D163" s="841">
        <v>39306</v>
      </c>
    </row>
    <row r="164" spans="1:4">
      <c r="A164" s="841"/>
      <c r="B164" s="841" t="s">
        <v>1040</v>
      </c>
      <c r="C164" s="841">
        <v>16400</v>
      </c>
      <c r="D164" s="841">
        <v>0</v>
      </c>
    </row>
    <row r="165" spans="1:4">
      <c r="A165" s="841"/>
      <c r="B165" s="841" t="s">
        <v>1039</v>
      </c>
      <c r="C165" s="841">
        <v>0</v>
      </c>
      <c r="D165" s="841">
        <v>100</v>
      </c>
    </row>
    <row r="166" spans="1:4">
      <c r="A166" s="841"/>
      <c r="B166" s="841" t="s">
        <v>1038</v>
      </c>
      <c r="C166" s="841">
        <v>23200</v>
      </c>
      <c r="D166" s="841">
        <v>0</v>
      </c>
    </row>
    <row r="167" spans="1:4">
      <c r="A167" s="841"/>
      <c r="B167" s="841" t="s">
        <v>1037</v>
      </c>
      <c r="C167" s="841">
        <v>47000</v>
      </c>
      <c r="D167" s="841">
        <v>23987</v>
      </c>
    </row>
    <row r="168" spans="1:4">
      <c r="A168" s="841"/>
      <c r="B168" s="841" t="s">
        <v>1036</v>
      </c>
      <c r="C168" s="841">
        <v>28610</v>
      </c>
      <c r="D168" s="841">
        <v>0</v>
      </c>
    </row>
    <row r="169" spans="1:4">
      <c r="A169" s="841"/>
      <c r="B169" s="841" t="s">
        <v>1035</v>
      </c>
      <c r="C169" s="841">
        <v>7000</v>
      </c>
      <c r="D169" s="841">
        <v>0</v>
      </c>
    </row>
    <row r="170" spans="1:4">
      <c r="A170" s="841"/>
      <c r="B170" s="841" t="s">
        <v>1035</v>
      </c>
      <c r="C170" s="841">
        <v>0</v>
      </c>
      <c r="D170" s="841">
        <v>347</v>
      </c>
    </row>
    <row r="171" spans="1:4">
      <c r="A171" s="841"/>
      <c r="B171" s="841" t="s">
        <v>1035</v>
      </c>
      <c r="C171" s="841">
        <v>0</v>
      </c>
      <c r="D171" s="841">
        <v>380</v>
      </c>
    </row>
    <row r="172" spans="1:4">
      <c r="A172" s="841"/>
      <c r="B172" s="841" t="s">
        <v>1034</v>
      </c>
      <c r="C172" s="841">
        <v>6000</v>
      </c>
      <c r="D172" s="841">
        <v>0</v>
      </c>
    </row>
    <row r="173" spans="1:4">
      <c r="A173" s="841"/>
      <c r="B173" s="841" t="s">
        <v>1033</v>
      </c>
      <c r="C173" s="841">
        <v>4000</v>
      </c>
      <c r="D173" s="841">
        <v>0</v>
      </c>
    </row>
    <row r="174" spans="1:4">
      <c r="A174" s="841"/>
      <c r="B174" s="841" t="s">
        <v>1032</v>
      </c>
      <c r="C174" s="841">
        <v>0</v>
      </c>
      <c r="D174" s="841">
        <v>2900</v>
      </c>
    </row>
    <row r="175" spans="1:4">
      <c r="A175" s="841"/>
      <c r="B175" s="841" t="s">
        <v>1031</v>
      </c>
      <c r="C175" s="841">
        <v>3250</v>
      </c>
      <c r="D175" s="841">
        <v>0</v>
      </c>
    </row>
    <row r="176" spans="1:4">
      <c r="A176" s="841"/>
      <c r="B176" s="841" t="s">
        <v>1030</v>
      </c>
      <c r="C176" s="841">
        <v>0</v>
      </c>
      <c r="D176" s="841">
        <v>700</v>
      </c>
    </row>
    <row r="177" spans="1:4">
      <c r="A177" s="841"/>
      <c r="B177" s="841" t="s">
        <v>1029</v>
      </c>
      <c r="C177" s="841">
        <v>0</v>
      </c>
      <c r="D177" s="841">
        <v>1118</v>
      </c>
    </row>
    <row r="178" spans="1:4">
      <c r="A178" s="841"/>
      <c r="B178" s="841" t="s">
        <v>1028</v>
      </c>
      <c r="C178" s="841">
        <v>0</v>
      </c>
      <c r="D178" s="841">
        <v>15029</v>
      </c>
    </row>
    <row r="179" spans="1:4">
      <c r="A179" s="841"/>
      <c r="B179" s="841" t="s">
        <v>1027</v>
      </c>
      <c r="C179" s="841">
        <v>0</v>
      </c>
      <c r="D179" s="841">
        <v>12052</v>
      </c>
    </row>
    <row r="180" spans="1:4">
      <c r="A180" s="841"/>
      <c r="B180" s="841" t="s">
        <v>1026</v>
      </c>
      <c r="C180" s="841">
        <v>0</v>
      </c>
      <c r="D180" s="841">
        <v>500</v>
      </c>
    </row>
    <row r="181" spans="1:4">
      <c r="A181" s="841"/>
      <c r="B181" s="841" t="s">
        <v>1025</v>
      </c>
      <c r="C181" s="841">
        <v>0</v>
      </c>
      <c r="D181" s="841">
        <v>250</v>
      </c>
    </row>
    <row r="182" spans="1:4">
      <c r="A182" s="841"/>
      <c r="B182" s="841" t="s">
        <v>1024</v>
      </c>
      <c r="C182" s="841">
        <v>700</v>
      </c>
      <c r="D182" s="841">
        <v>0</v>
      </c>
    </row>
    <row r="183" spans="1:4">
      <c r="A183" s="841"/>
      <c r="B183" s="841" t="s">
        <v>1023</v>
      </c>
      <c r="C183" s="841">
        <v>320</v>
      </c>
      <c r="D183" s="841">
        <v>0</v>
      </c>
    </row>
    <row r="184" spans="1:4">
      <c r="A184" s="841"/>
      <c r="B184" s="841" t="s">
        <v>1022</v>
      </c>
      <c r="C184" s="841">
        <v>800</v>
      </c>
      <c r="D184" s="841">
        <v>0</v>
      </c>
    </row>
    <row r="185" spans="1:4">
      <c r="A185" s="841"/>
      <c r="B185" s="841" t="s">
        <v>1021</v>
      </c>
      <c r="C185" s="841">
        <v>0</v>
      </c>
      <c r="D185" s="841">
        <v>6475</v>
      </c>
    </row>
    <row r="186" spans="1:4">
      <c r="A186" s="841"/>
      <c r="B186" s="841" t="s">
        <v>1020</v>
      </c>
      <c r="C186" s="841">
        <v>0</v>
      </c>
      <c r="D186" s="841">
        <v>1267</v>
      </c>
    </row>
    <row r="187" spans="1:4">
      <c r="A187" s="841"/>
      <c r="B187" s="841" t="s">
        <v>1019</v>
      </c>
      <c r="C187" s="841">
        <v>0</v>
      </c>
      <c r="D187" s="841">
        <v>8949</v>
      </c>
    </row>
    <row r="188" spans="1:4">
      <c r="A188" s="841"/>
      <c r="B188" s="841" t="s">
        <v>1018</v>
      </c>
      <c r="C188" s="841">
        <v>0</v>
      </c>
      <c r="D188" s="841">
        <v>1325</v>
      </c>
    </row>
    <row r="189" spans="1:4">
      <c r="A189" s="841"/>
      <c r="B189" s="841" t="s">
        <v>1017</v>
      </c>
      <c r="C189" s="841">
        <v>0</v>
      </c>
      <c r="D189" s="841">
        <v>2960</v>
      </c>
    </row>
    <row r="190" spans="1:4">
      <c r="A190" s="841"/>
      <c r="B190" s="841" t="s">
        <v>1016</v>
      </c>
      <c r="C190" s="841">
        <v>0</v>
      </c>
      <c r="D190" s="841">
        <v>996</v>
      </c>
    </row>
    <row r="191" spans="1:4">
      <c r="A191" s="841"/>
      <c r="B191" s="841" t="s">
        <v>1015</v>
      </c>
      <c r="C191" s="841">
        <v>0</v>
      </c>
      <c r="D191" s="841">
        <v>300</v>
      </c>
    </row>
    <row r="192" spans="1:4">
      <c r="A192" s="841"/>
      <c r="B192" s="841" t="s">
        <v>1014</v>
      </c>
      <c r="C192" s="841">
        <v>0</v>
      </c>
      <c r="D192" s="841">
        <v>45510</v>
      </c>
    </row>
    <row r="193" spans="1:4">
      <c r="A193" s="841"/>
      <c r="B193" s="841" t="s">
        <v>1014</v>
      </c>
      <c r="C193" s="841">
        <v>63834</v>
      </c>
      <c r="D193" s="841">
        <v>0</v>
      </c>
    </row>
    <row r="194" spans="1:4">
      <c r="A194" s="841"/>
      <c r="B194" s="841" t="s">
        <v>1013</v>
      </c>
      <c r="C194" s="841">
        <v>0</v>
      </c>
      <c r="D194" s="841">
        <v>20251</v>
      </c>
    </row>
    <row r="195" spans="1:4">
      <c r="A195" s="841"/>
      <c r="B195" s="841" t="s">
        <v>1012</v>
      </c>
      <c r="C195" s="841">
        <v>0</v>
      </c>
      <c r="D195" s="841">
        <v>1520</v>
      </c>
    </row>
    <row r="196" spans="1:4">
      <c r="A196" s="841"/>
      <c r="B196" s="841" t="s">
        <v>1011</v>
      </c>
      <c r="C196" s="841">
        <v>3711</v>
      </c>
      <c r="D196" s="841">
        <v>0</v>
      </c>
    </row>
    <row r="197" spans="1:4">
      <c r="A197" s="841"/>
      <c r="B197" s="841" t="s">
        <v>1010</v>
      </c>
      <c r="C197" s="841">
        <v>0</v>
      </c>
      <c r="D197" s="841">
        <v>7502</v>
      </c>
    </row>
    <row r="198" spans="1:4">
      <c r="A198" s="841"/>
      <c r="B198" s="841" t="s">
        <v>1009</v>
      </c>
      <c r="C198" s="841">
        <v>0</v>
      </c>
      <c r="D198" s="841">
        <v>2232</v>
      </c>
    </row>
    <row r="199" spans="1:4">
      <c r="A199" s="841"/>
      <c r="B199" s="841" t="s">
        <v>1008</v>
      </c>
      <c r="C199" s="841">
        <v>0</v>
      </c>
      <c r="D199" s="841">
        <v>300</v>
      </c>
    </row>
    <row r="200" spans="1:4">
      <c r="A200" s="841"/>
      <c r="B200" s="841" t="s">
        <v>1007</v>
      </c>
      <c r="C200" s="841">
        <v>30000</v>
      </c>
      <c r="D200" s="841">
        <v>0</v>
      </c>
    </row>
    <row r="201" spans="1:4">
      <c r="A201" s="841"/>
      <c r="B201" s="841" t="s">
        <v>1006</v>
      </c>
      <c r="C201" s="841">
        <v>0</v>
      </c>
      <c r="D201" s="841">
        <v>467</v>
      </c>
    </row>
    <row r="202" spans="1:4">
      <c r="A202" s="841"/>
      <c r="B202" s="841" t="s">
        <v>1005</v>
      </c>
      <c r="C202" s="841">
        <v>0</v>
      </c>
      <c r="D202" s="841">
        <v>52911</v>
      </c>
    </row>
    <row r="203" spans="1:4">
      <c r="A203" s="841"/>
      <c r="B203" s="841" t="s">
        <v>1004</v>
      </c>
      <c r="C203" s="841">
        <v>0</v>
      </c>
      <c r="D203" s="841">
        <v>1968</v>
      </c>
    </row>
    <row r="204" spans="1:4">
      <c r="A204" s="841"/>
      <c r="B204" s="841" t="s">
        <v>1003</v>
      </c>
      <c r="C204" s="841">
        <v>1000</v>
      </c>
      <c r="D204" s="841">
        <v>500</v>
      </c>
    </row>
    <row r="205" spans="1:4">
      <c r="A205" s="841"/>
      <c r="B205" s="841" t="s">
        <v>1002</v>
      </c>
      <c r="C205" s="841">
        <v>0</v>
      </c>
      <c r="D205" s="841">
        <v>350</v>
      </c>
    </row>
    <row r="206" spans="1:4">
      <c r="A206" s="841"/>
      <c r="B206" s="841" t="s">
        <v>1001</v>
      </c>
      <c r="C206" s="841">
        <v>0</v>
      </c>
      <c r="D206" s="841">
        <v>343</v>
      </c>
    </row>
    <row r="207" spans="1:4">
      <c r="A207" s="841"/>
      <c r="B207" s="841" t="s">
        <v>1000</v>
      </c>
      <c r="C207" s="841">
        <v>0</v>
      </c>
      <c r="D207" s="841">
        <v>365</v>
      </c>
    </row>
    <row r="208" spans="1:4">
      <c r="A208" s="841"/>
      <c r="B208" s="841" t="s">
        <v>999</v>
      </c>
      <c r="C208" s="841">
        <v>1000</v>
      </c>
      <c r="D208" s="841">
        <v>0</v>
      </c>
    </row>
    <row r="209" spans="1:4">
      <c r="A209" s="841"/>
      <c r="B209" s="841" t="s">
        <v>998</v>
      </c>
      <c r="C209" s="841">
        <v>0</v>
      </c>
      <c r="D209" s="841">
        <v>2980</v>
      </c>
    </row>
    <row r="210" spans="1:4">
      <c r="A210" s="841"/>
      <c r="B210" s="841" t="s">
        <v>997</v>
      </c>
      <c r="C210" s="841">
        <v>0</v>
      </c>
      <c r="D210" s="841">
        <v>1569</v>
      </c>
    </row>
    <row r="211" spans="1:4">
      <c r="A211" s="841"/>
      <c r="B211" s="841" t="s">
        <v>996</v>
      </c>
      <c r="C211" s="841">
        <v>1000</v>
      </c>
      <c r="D211" s="841">
        <v>0</v>
      </c>
    </row>
    <row r="212" spans="1:4">
      <c r="A212" s="841"/>
      <c r="B212" s="841" t="s">
        <v>995</v>
      </c>
      <c r="C212" s="841">
        <v>0</v>
      </c>
      <c r="D212" s="841">
        <v>40866</v>
      </c>
    </row>
    <row r="213" spans="1:4">
      <c r="A213" s="841"/>
      <c r="B213" s="841" t="s">
        <v>994</v>
      </c>
      <c r="C213" s="841">
        <v>0</v>
      </c>
      <c r="D213" s="841">
        <v>19850</v>
      </c>
    </row>
    <row r="214" spans="1:4">
      <c r="A214" s="841"/>
      <c r="B214" s="841" t="s">
        <v>993</v>
      </c>
      <c r="C214" s="841">
        <v>0</v>
      </c>
      <c r="D214" s="841">
        <v>105867</v>
      </c>
    </row>
    <row r="215" spans="1:4">
      <c r="A215" s="841"/>
      <c r="B215" s="841" t="s">
        <v>993</v>
      </c>
      <c r="C215" s="841">
        <v>0</v>
      </c>
      <c r="D215" s="841">
        <v>35150</v>
      </c>
    </row>
    <row r="216" spans="1:4">
      <c r="A216" s="841"/>
      <c r="B216" s="841" t="s">
        <v>993</v>
      </c>
      <c r="C216" s="841">
        <v>184205</v>
      </c>
      <c r="D216" s="841">
        <v>0</v>
      </c>
    </row>
    <row r="217" spans="1:4">
      <c r="A217" s="841"/>
      <c r="B217" s="841" t="s">
        <v>992</v>
      </c>
      <c r="C217" s="841">
        <v>0</v>
      </c>
      <c r="D217" s="841">
        <v>416</v>
      </c>
    </row>
    <row r="218" spans="1:4">
      <c r="A218" s="841"/>
      <c r="B218" s="841" t="s">
        <v>992</v>
      </c>
      <c r="C218" s="841">
        <v>0</v>
      </c>
      <c r="D218" s="841">
        <v>1792</v>
      </c>
    </row>
    <row r="219" spans="1:4">
      <c r="A219" s="841"/>
      <c r="B219" s="841" t="s">
        <v>991</v>
      </c>
      <c r="C219" s="841">
        <v>0</v>
      </c>
      <c r="D219" s="841">
        <v>1196</v>
      </c>
    </row>
    <row r="220" spans="1:4">
      <c r="A220" s="841"/>
      <c r="B220" s="841" t="s">
        <v>991</v>
      </c>
      <c r="C220" s="841">
        <v>0</v>
      </c>
      <c r="D220" s="841">
        <v>4973</v>
      </c>
    </row>
    <row r="221" spans="1:4">
      <c r="A221" s="841"/>
      <c r="B221" s="841" t="s">
        <v>991</v>
      </c>
      <c r="C221" s="841">
        <v>8000</v>
      </c>
      <c r="D221" s="841">
        <v>0</v>
      </c>
    </row>
    <row r="222" spans="1:4">
      <c r="A222" s="841"/>
      <c r="B222" s="841" t="s">
        <v>991</v>
      </c>
      <c r="C222" s="841">
        <v>0</v>
      </c>
      <c r="D222" s="841">
        <v>5789</v>
      </c>
    </row>
    <row r="223" spans="1:4">
      <c r="A223" s="841"/>
      <c r="B223" s="841" t="s">
        <v>990</v>
      </c>
      <c r="C223" s="841">
        <v>3000</v>
      </c>
      <c r="D223" s="841">
        <v>0</v>
      </c>
    </row>
    <row r="224" spans="1:4">
      <c r="A224" s="841"/>
      <c r="B224" s="841" t="s">
        <v>989</v>
      </c>
      <c r="C224" s="841">
        <v>2000</v>
      </c>
      <c r="D224" s="841">
        <v>0</v>
      </c>
    </row>
    <row r="225" spans="1:4">
      <c r="A225" s="841"/>
      <c r="B225" s="841" t="s">
        <v>988</v>
      </c>
      <c r="C225" s="841">
        <v>0</v>
      </c>
      <c r="D225" s="841">
        <v>100</v>
      </c>
    </row>
    <row r="226" spans="1:4">
      <c r="A226" s="841"/>
      <c r="B226" s="841"/>
      <c r="C226" s="841"/>
      <c r="D226" s="841"/>
    </row>
    <row r="227" spans="1:4">
      <c r="A227" s="843" t="s">
        <v>987</v>
      </c>
      <c r="B227" s="841"/>
      <c r="C227" s="841"/>
      <c r="D227" s="841"/>
    </row>
    <row r="228" spans="1:4">
      <c r="A228" s="841"/>
      <c r="B228" s="841" t="s">
        <v>986</v>
      </c>
      <c r="C228" s="841">
        <v>1250</v>
      </c>
      <c r="D228" s="841">
        <v>0</v>
      </c>
    </row>
    <row r="229" spans="1:4">
      <c r="A229" s="841"/>
      <c r="B229" s="841" t="s">
        <v>985</v>
      </c>
      <c r="C229" s="841">
        <v>3300</v>
      </c>
      <c r="D229" s="841">
        <v>0</v>
      </c>
    </row>
    <row r="230" spans="1:4">
      <c r="A230" s="841"/>
      <c r="B230" s="841" t="s">
        <v>984</v>
      </c>
      <c r="C230" s="841">
        <v>0</v>
      </c>
      <c r="D230" s="841">
        <v>2327</v>
      </c>
    </row>
    <row r="231" spans="1:4">
      <c r="A231" s="841"/>
      <c r="B231" s="841" t="s">
        <v>983</v>
      </c>
      <c r="C231" s="841">
        <v>0</v>
      </c>
      <c r="D231" s="841">
        <v>262</v>
      </c>
    </row>
    <row r="232" spans="1:4">
      <c r="A232" s="841"/>
      <c r="B232" s="841" t="s">
        <v>982</v>
      </c>
      <c r="C232" s="841">
        <v>1300</v>
      </c>
      <c r="D232" s="841">
        <v>0</v>
      </c>
    </row>
    <row r="233" spans="1:4">
      <c r="A233" s="841"/>
      <c r="B233" s="841" t="s">
        <v>981</v>
      </c>
      <c r="C233" s="841">
        <v>750</v>
      </c>
      <c r="D233" s="841">
        <v>0</v>
      </c>
    </row>
    <row r="234" spans="1:4">
      <c r="A234" s="841"/>
      <c r="B234" s="841" t="s">
        <v>980</v>
      </c>
      <c r="C234" s="841">
        <v>1238</v>
      </c>
      <c r="D234" s="841">
        <v>0</v>
      </c>
    </row>
    <row r="235" spans="1:4">
      <c r="A235" s="841"/>
      <c r="B235" s="841" t="s">
        <v>979</v>
      </c>
      <c r="C235" s="841">
        <v>2377</v>
      </c>
      <c r="D235" s="841">
        <v>0</v>
      </c>
    </row>
    <row r="236" spans="1:4">
      <c r="A236" s="841"/>
      <c r="B236" s="841" t="s">
        <v>978</v>
      </c>
      <c r="C236" s="841">
        <v>0</v>
      </c>
      <c r="D236" s="841">
        <v>339</v>
      </c>
    </row>
    <row r="237" spans="1:4">
      <c r="A237" s="841"/>
      <c r="B237" s="841" t="s">
        <v>977</v>
      </c>
      <c r="C237" s="841">
        <v>0</v>
      </c>
      <c r="D237" s="841">
        <v>3130</v>
      </c>
    </row>
    <row r="238" spans="1:4">
      <c r="A238" s="841"/>
      <c r="B238" s="841" t="s">
        <v>976</v>
      </c>
      <c r="C238" s="841">
        <v>0</v>
      </c>
      <c r="D238" s="841">
        <v>500</v>
      </c>
    </row>
    <row r="239" spans="1:4">
      <c r="A239" s="841"/>
      <c r="B239" s="841" t="s">
        <v>975</v>
      </c>
      <c r="C239" s="841">
        <v>0</v>
      </c>
      <c r="D239" s="841">
        <v>704</v>
      </c>
    </row>
    <row r="240" spans="1:4">
      <c r="A240" s="841"/>
      <c r="B240" s="841" t="s">
        <v>974</v>
      </c>
      <c r="C240" s="841">
        <v>1896</v>
      </c>
      <c r="D240" s="841">
        <v>0</v>
      </c>
    </row>
    <row r="241" spans="1:4">
      <c r="A241" s="841"/>
      <c r="B241" s="841" t="s">
        <v>973</v>
      </c>
      <c r="C241" s="841">
        <v>750</v>
      </c>
      <c r="D241" s="841">
        <v>0</v>
      </c>
    </row>
    <row r="242" spans="1:4">
      <c r="A242" s="841"/>
      <c r="B242" s="841" t="s">
        <v>972</v>
      </c>
      <c r="C242" s="841">
        <v>3000</v>
      </c>
      <c r="D242" s="841">
        <v>0</v>
      </c>
    </row>
    <row r="243" spans="1:4">
      <c r="A243" s="841"/>
      <c r="B243" s="841" t="s">
        <v>971</v>
      </c>
      <c r="C243" s="841">
        <v>5000</v>
      </c>
      <c r="D243" s="841">
        <v>0</v>
      </c>
    </row>
    <row r="244" spans="1:4">
      <c r="A244" s="841"/>
      <c r="B244" s="841" t="s">
        <v>544</v>
      </c>
      <c r="C244" s="841">
        <v>0</v>
      </c>
      <c r="D244" s="841">
        <v>2870</v>
      </c>
    </row>
    <row r="245" spans="1:4">
      <c r="A245" s="841"/>
      <c r="B245" s="841" t="s">
        <v>970</v>
      </c>
      <c r="C245" s="841">
        <v>2000</v>
      </c>
      <c r="D245" s="841">
        <v>0</v>
      </c>
    </row>
    <row r="246" spans="1:4">
      <c r="A246" s="841"/>
      <c r="B246" s="841" t="s">
        <v>969</v>
      </c>
      <c r="C246" s="841">
        <v>0</v>
      </c>
      <c r="D246" s="841">
        <v>600</v>
      </c>
    </row>
    <row r="247" spans="1:4">
      <c r="A247" s="841"/>
      <c r="B247" s="841" t="s">
        <v>968</v>
      </c>
      <c r="C247" s="841">
        <v>0</v>
      </c>
      <c r="D247" s="841">
        <v>500</v>
      </c>
    </row>
    <row r="248" spans="1:4">
      <c r="A248" s="841"/>
      <c r="B248" s="841" t="s">
        <v>967</v>
      </c>
      <c r="C248" s="841">
        <v>0</v>
      </c>
      <c r="D248" s="841">
        <v>592</v>
      </c>
    </row>
    <row r="249" spans="1:4">
      <c r="A249" s="841"/>
      <c r="B249" s="841" t="s">
        <v>966</v>
      </c>
      <c r="C249" s="841">
        <v>0</v>
      </c>
      <c r="D249" s="841">
        <v>226</v>
      </c>
    </row>
    <row r="250" spans="1:4">
      <c r="A250" s="841"/>
      <c r="B250" s="841"/>
      <c r="C250" s="841"/>
      <c r="D250" s="841"/>
    </row>
    <row r="251" spans="1:4">
      <c r="A251" s="843" t="s">
        <v>965</v>
      </c>
      <c r="B251" s="841"/>
      <c r="C251" s="841"/>
      <c r="D251" s="841"/>
    </row>
    <row r="252" spans="1:4">
      <c r="A252" s="841"/>
      <c r="B252" s="841" t="s">
        <v>964</v>
      </c>
      <c r="C252" s="841">
        <v>0</v>
      </c>
      <c r="D252" s="841">
        <v>2416</v>
      </c>
    </row>
    <row r="253" spans="1:4">
      <c r="A253" s="841"/>
      <c r="B253" s="841" t="s">
        <v>964</v>
      </c>
      <c r="C253" s="841">
        <v>0</v>
      </c>
      <c r="D253" s="841">
        <v>2138</v>
      </c>
    </row>
    <row r="254" spans="1:4">
      <c r="A254" s="841"/>
      <c r="B254" s="841" t="s">
        <v>964</v>
      </c>
      <c r="C254" s="841">
        <v>6806</v>
      </c>
      <c r="D254" s="841">
        <v>0</v>
      </c>
    </row>
    <row r="255" spans="1:4">
      <c r="A255" s="841"/>
      <c r="B255" s="841" t="s">
        <v>963</v>
      </c>
      <c r="C255" s="841">
        <v>8000</v>
      </c>
      <c r="D255" s="841">
        <v>0</v>
      </c>
    </row>
    <row r="256" spans="1:4">
      <c r="A256" s="841"/>
      <c r="B256" s="841" t="s">
        <v>963</v>
      </c>
      <c r="C256" s="841">
        <v>0</v>
      </c>
      <c r="D256" s="841">
        <v>377</v>
      </c>
    </row>
    <row r="257" spans="1:4">
      <c r="A257" s="841"/>
      <c r="B257" s="841" t="s">
        <v>963</v>
      </c>
      <c r="C257" s="841">
        <v>0</v>
      </c>
      <c r="D257" s="841">
        <v>2620</v>
      </c>
    </row>
    <row r="258" spans="1:4">
      <c r="A258" s="841"/>
      <c r="B258" s="841" t="s">
        <v>962</v>
      </c>
      <c r="C258" s="841">
        <v>0</v>
      </c>
      <c r="D258" s="841">
        <v>948</v>
      </c>
    </row>
    <row r="259" spans="1:4">
      <c r="A259" s="841"/>
      <c r="B259" s="841" t="s">
        <v>962</v>
      </c>
      <c r="C259" s="841">
        <v>2100</v>
      </c>
      <c r="D259" s="841">
        <v>0</v>
      </c>
    </row>
    <row r="260" spans="1:4">
      <c r="A260" s="841"/>
      <c r="B260" s="841" t="s">
        <v>961</v>
      </c>
      <c r="C260" s="841">
        <v>0</v>
      </c>
      <c r="D260" s="841">
        <v>841</v>
      </c>
    </row>
    <row r="261" spans="1:4">
      <c r="A261" s="841"/>
      <c r="B261" s="841" t="s">
        <v>960</v>
      </c>
      <c r="C261" s="841">
        <v>17000</v>
      </c>
      <c r="D261" s="841">
        <v>0</v>
      </c>
    </row>
    <row r="262" spans="1:4">
      <c r="A262" s="841"/>
      <c r="B262" s="841" t="s">
        <v>960</v>
      </c>
      <c r="C262" s="841">
        <v>0</v>
      </c>
      <c r="D262" s="841">
        <v>3145</v>
      </c>
    </row>
    <row r="263" spans="1:4">
      <c r="A263" s="841"/>
      <c r="B263" s="841" t="s">
        <v>959</v>
      </c>
      <c r="C263" s="841">
        <v>365</v>
      </c>
      <c r="D263" s="841">
        <v>0</v>
      </c>
    </row>
    <row r="264" spans="1:4">
      <c r="A264" s="841"/>
      <c r="B264" s="841" t="s">
        <v>959</v>
      </c>
      <c r="C264" s="841">
        <v>0</v>
      </c>
      <c r="D264" s="841">
        <v>419</v>
      </c>
    </row>
    <row r="265" spans="1:4">
      <c r="A265" s="841"/>
      <c r="B265" s="841" t="s">
        <v>959</v>
      </c>
      <c r="C265" s="841">
        <v>0</v>
      </c>
      <c r="D265" s="841">
        <v>284</v>
      </c>
    </row>
    <row r="266" spans="1:4">
      <c r="A266" s="841"/>
      <c r="B266" s="841" t="s">
        <v>958</v>
      </c>
      <c r="C266" s="841">
        <v>4000</v>
      </c>
      <c r="D266" s="841">
        <v>0</v>
      </c>
    </row>
    <row r="267" spans="1:4">
      <c r="A267" s="841"/>
      <c r="B267" s="841" t="s">
        <v>958</v>
      </c>
      <c r="C267" s="841">
        <v>0</v>
      </c>
      <c r="D267" s="841">
        <v>3877</v>
      </c>
    </row>
    <row r="268" spans="1:4">
      <c r="A268" s="841"/>
      <c r="B268" s="841" t="s">
        <v>957</v>
      </c>
      <c r="C268" s="841">
        <v>0</v>
      </c>
      <c r="D268" s="841">
        <v>3045</v>
      </c>
    </row>
    <row r="269" spans="1:4">
      <c r="A269" s="841"/>
      <c r="B269" s="841" t="s">
        <v>956</v>
      </c>
      <c r="C269" s="841">
        <v>0</v>
      </c>
      <c r="D269" s="841">
        <v>986</v>
      </c>
    </row>
    <row r="270" spans="1:4">
      <c r="A270" s="841"/>
      <c r="B270" s="841" t="s">
        <v>956</v>
      </c>
      <c r="C270" s="841">
        <v>0</v>
      </c>
      <c r="D270" s="841">
        <v>3534</v>
      </c>
    </row>
    <row r="271" spans="1:4">
      <c r="A271" s="841"/>
      <c r="B271" s="841" t="s">
        <v>956</v>
      </c>
      <c r="C271" s="841">
        <v>5500</v>
      </c>
      <c r="D271" s="841">
        <v>0</v>
      </c>
    </row>
    <row r="272" spans="1:4">
      <c r="A272" s="841"/>
      <c r="B272" s="841" t="s">
        <v>955</v>
      </c>
      <c r="C272" s="841">
        <v>0</v>
      </c>
      <c r="D272" s="841">
        <v>23421</v>
      </c>
    </row>
    <row r="273" spans="1:4">
      <c r="A273" s="841"/>
      <c r="B273" s="841" t="s">
        <v>954</v>
      </c>
      <c r="C273" s="841">
        <v>0</v>
      </c>
      <c r="D273" s="841">
        <v>5095</v>
      </c>
    </row>
    <row r="274" spans="1:4">
      <c r="A274" s="841"/>
      <c r="B274" s="841" t="s">
        <v>954</v>
      </c>
      <c r="C274" s="841">
        <v>5000</v>
      </c>
      <c r="D274" s="841">
        <v>0</v>
      </c>
    </row>
    <row r="275" spans="1:4">
      <c r="A275" s="841"/>
      <c r="B275" s="841" t="s">
        <v>953</v>
      </c>
      <c r="C275" s="841">
        <v>15000</v>
      </c>
      <c r="D275" s="841">
        <v>0</v>
      </c>
    </row>
    <row r="276" spans="1:4">
      <c r="A276" s="841"/>
      <c r="B276" s="841" t="s">
        <v>952</v>
      </c>
      <c r="C276" s="841">
        <v>0</v>
      </c>
      <c r="D276" s="841">
        <v>10443</v>
      </c>
    </row>
    <row r="277" spans="1:4">
      <c r="A277" s="841"/>
      <c r="B277" s="841" t="s">
        <v>951</v>
      </c>
      <c r="C277" s="841">
        <v>5000</v>
      </c>
      <c r="D277" s="841">
        <v>0</v>
      </c>
    </row>
    <row r="278" spans="1:4">
      <c r="A278" s="841"/>
      <c r="B278" s="841" t="s">
        <v>950</v>
      </c>
      <c r="C278" s="841">
        <v>70062</v>
      </c>
      <c r="D278" s="841">
        <v>0</v>
      </c>
    </row>
    <row r="279" spans="1:4">
      <c r="A279" s="841"/>
      <c r="B279" s="841" t="s">
        <v>950</v>
      </c>
      <c r="C279" s="841">
        <v>0</v>
      </c>
      <c r="D279" s="841">
        <v>15404</v>
      </c>
    </row>
    <row r="280" spans="1:4">
      <c r="A280" s="841"/>
      <c r="B280" s="841" t="s">
        <v>950</v>
      </c>
      <c r="C280" s="841">
        <v>0</v>
      </c>
      <c r="D280" s="841">
        <v>57775</v>
      </c>
    </row>
    <row r="281" spans="1:4">
      <c r="A281" s="841"/>
      <c r="B281" s="841" t="s">
        <v>950</v>
      </c>
      <c r="C281" s="841">
        <v>0</v>
      </c>
      <c r="D281" s="841">
        <v>7812</v>
      </c>
    </row>
    <row r="282" spans="1:4">
      <c r="A282" s="841"/>
      <c r="B282" s="841" t="s">
        <v>950</v>
      </c>
      <c r="C282" s="841">
        <v>0</v>
      </c>
      <c r="D282" s="841">
        <v>13630</v>
      </c>
    </row>
    <row r="283" spans="1:4">
      <c r="A283" s="841"/>
      <c r="B283" s="841" t="s">
        <v>949</v>
      </c>
      <c r="C283" s="841">
        <v>0</v>
      </c>
      <c r="D283" s="841">
        <v>6109</v>
      </c>
    </row>
    <row r="284" spans="1:4">
      <c r="A284" s="841"/>
      <c r="B284" s="841" t="s">
        <v>949</v>
      </c>
      <c r="C284" s="841">
        <v>0</v>
      </c>
      <c r="D284" s="841">
        <v>1951</v>
      </c>
    </row>
    <row r="285" spans="1:4">
      <c r="A285" s="841"/>
      <c r="B285" s="841" t="s">
        <v>949</v>
      </c>
      <c r="C285" s="841">
        <v>0</v>
      </c>
      <c r="D285" s="841">
        <v>883</v>
      </c>
    </row>
    <row r="286" spans="1:4">
      <c r="A286" s="841"/>
      <c r="B286" s="841" t="s">
        <v>948</v>
      </c>
      <c r="C286" s="841">
        <v>0</v>
      </c>
      <c r="D286" s="841">
        <v>44744</v>
      </c>
    </row>
    <row r="287" spans="1:4">
      <c r="A287" s="841"/>
      <c r="B287" s="841" t="s">
        <v>948</v>
      </c>
      <c r="C287" s="841">
        <v>0</v>
      </c>
      <c r="D287" s="841">
        <v>31115</v>
      </c>
    </row>
    <row r="288" spans="1:4">
      <c r="A288" s="841"/>
      <c r="B288" s="841" t="s">
        <v>948</v>
      </c>
      <c r="C288" s="841">
        <v>42000</v>
      </c>
      <c r="D288" s="841">
        <v>0</v>
      </c>
    </row>
    <row r="289" spans="1:4">
      <c r="A289" s="841"/>
      <c r="B289" s="841" t="s">
        <v>947</v>
      </c>
      <c r="C289" s="841">
        <v>0</v>
      </c>
      <c r="D289" s="841">
        <v>621</v>
      </c>
    </row>
    <row r="290" spans="1:4">
      <c r="A290" s="841"/>
      <c r="B290" s="841"/>
      <c r="C290" s="841"/>
      <c r="D290" s="841"/>
    </row>
    <row r="291" spans="1:4">
      <c r="A291" s="843" t="s">
        <v>700</v>
      </c>
      <c r="B291" s="841"/>
      <c r="C291" s="841"/>
      <c r="D291" s="841"/>
    </row>
    <row r="292" spans="1:4">
      <c r="A292" s="841"/>
      <c r="B292" s="841" t="s">
        <v>946</v>
      </c>
      <c r="C292" s="841">
        <v>2000</v>
      </c>
      <c r="D292" s="841">
        <v>0</v>
      </c>
    </row>
    <row r="293" spans="1:4">
      <c r="A293" s="841"/>
      <c r="B293" s="841" t="s">
        <v>946</v>
      </c>
      <c r="C293" s="841">
        <v>0</v>
      </c>
      <c r="D293" s="841">
        <v>897</v>
      </c>
    </row>
    <row r="294" spans="1:4">
      <c r="A294" s="841"/>
      <c r="B294" s="841" t="s">
        <v>945</v>
      </c>
      <c r="C294" s="841">
        <v>150</v>
      </c>
      <c r="D294" s="841">
        <v>259</v>
      </c>
    </row>
    <row r="295" spans="1:4">
      <c r="A295" s="841"/>
      <c r="B295" s="841" t="s">
        <v>944</v>
      </c>
      <c r="C295" s="841">
        <v>0</v>
      </c>
      <c r="D295" s="841">
        <v>385</v>
      </c>
    </row>
    <row r="296" spans="1:4">
      <c r="A296" s="841"/>
      <c r="B296" s="841" t="s">
        <v>943</v>
      </c>
      <c r="C296" s="841">
        <v>0</v>
      </c>
      <c r="D296" s="841">
        <v>780</v>
      </c>
    </row>
    <row r="297" spans="1:4">
      <c r="A297" s="841"/>
      <c r="B297" s="841" t="s">
        <v>943</v>
      </c>
      <c r="C297" s="841">
        <v>1000</v>
      </c>
      <c r="D297" s="841">
        <v>0</v>
      </c>
    </row>
    <row r="298" spans="1:4">
      <c r="A298" s="841"/>
      <c r="B298" s="841"/>
      <c r="C298" s="841"/>
      <c r="D298" s="841"/>
    </row>
    <row r="299" spans="1:4">
      <c r="A299" s="843" t="s">
        <v>942</v>
      </c>
      <c r="B299" s="841"/>
      <c r="C299" s="841"/>
      <c r="D299" s="841"/>
    </row>
    <row r="300" spans="1:4">
      <c r="A300" s="841"/>
      <c r="B300" s="841" t="s">
        <v>941</v>
      </c>
      <c r="C300" s="841">
        <v>1891</v>
      </c>
      <c r="D300" s="841">
        <v>0</v>
      </c>
    </row>
    <row r="301" spans="1:4">
      <c r="A301" s="841"/>
      <c r="B301" s="841" t="s">
        <v>940</v>
      </c>
      <c r="C301" s="841">
        <v>0</v>
      </c>
      <c r="D301" s="841">
        <v>651</v>
      </c>
    </row>
    <row r="302" spans="1:4">
      <c r="A302" s="841"/>
      <c r="B302" s="841" t="s">
        <v>939</v>
      </c>
      <c r="C302" s="841">
        <v>0</v>
      </c>
      <c r="D302" s="841">
        <v>2784</v>
      </c>
    </row>
    <row r="303" spans="1:4">
      <c r="A303" s="841"/>
      <c r="B303" s="841" t="s">
        <v>938</v>
      </c>
      <c r="C303" s="841">
        <v>1451</v>
      </c>
      <c r="D303" s="841">
        <v>0</v>
      </c>
    </row>
    <row r="304" spans="1:4">
      <c r="A304" s="841"/>
      <c r="B304" s="841" t="s">
        <v>937</v>
      </c>
      <c r="C304" s="841">
        <v>0</v>
      </c>
      <c r="D304" s="841">
        <v>539</v>
      </c>
    </row>
    <row r="305" spans="1:4">
      <c r="A305" s="841"/>
      <c r="B305" s="841" t="s">
        <v>936</v>
      </c>
      <c r="C305" s="841">
        <v>0</v>
      </c>
      <c r="D305" s="841">
        <v>600</v>
      </c>
    </row>
    <row r="306" spans="1:4">
      <c r="A306" s="841"/>
      <c r="B306" s="841" t="s">
        <v>935</v>
      </c>
      <c r="C306" s="841">
        <v>600</v>
      </c>
      <c r="D306" s="841">
        <v>745</v>
      </c>
    </row>
    <row r="307" spans="1:4">
      <c r="A307" s="841"/>
      <c r="B307" s="841" t="s">
        <v>934</v>
      </c>
      <c r="C307" s="841">
        <v>0</v>
      </c>
      <c r="D307" s="841">
        <v>388</v>
      </c>
    </row>
    <row r="308" spans="1:4">
      <c r="A308" s="841"/>
      <c r="B308" s="841" t="s">
        <v>934</v>
      </c>
      <c r="C308" s="841">
        <v>1027</v>
      </c>
      <c r="D308" s="841">
        <v>0</v>
      </c>
    </row>
    <row r="309" spans="1:4">
      <c r="A309" s="841"/>
      <c r="B309" s="841" t="s">
        <v>933</v>
      </c>
      <c r="C309" s="841">
        <v>1043</v>
      </c>
      <c r="D309" s="841">
        <v>0</v>
      </c>
    </row>
    <row r="310" spans="1:4">
      <c r="A310" s="841"/>
      <c r="B310" s="841" t="s">
        <v>933</v>
      </c>
      <c r="C310" s="841">
        <v>0</v>
      </c>
      <c r="D310" s="841">
        <v>179</v>
      </c>
    </row>
    <row r="311" spans="1:4">
      <c r="A311" s="841"/>
      <c r="B311" s="841" t="s">
        <v>547</v>
      </c>
      <c r="C311" s="841">
        <v>0</v>
      </c>
      <c r="D311" s="841">
        <v>276</v>
      </c>
    </row>
    <row r="312" spans="1:4">
      <c r="A312" s="841"/>
      <c r="B312" s="841" t="s">
        <v>547</v>
      </c>
      <c r="C312" s="841">
        <v>2557</v>
      </c>
      <c r="D312" s="841">
        <v>0</v>
      </c>
    </row>
    <row r="313" spans="1:4">
      <c r="A313" s="841"/>
      <c r="B313" s="841" t="s">
        <v>932</v>
      </c>
      <c r="C313" s="841">
        <v>1280</v>
      </c>
      <c r="D313" s="841">
        <v>0</v>
      </c>
    </row>
    <row r="314" spans="1:4">
      <c r="A314" s="841"/>
      <c r="B314" s="841" t="s">
        <v>932</v>
      </c>
      <c r="C314" s="841">
        <v>0</v>
      </c>
      <c r="D314" s="841">
        <v>577</v>
      </c>
    </row>
    <row r="315" spans="1:4">
      <c r="A315" s="841"/>
      <c r="B315" s="841" t="s">
        <v>931</v>
      </c>
      <c r="C315" s="841">
        <v>1241</v>
      </c>
      <c r="D315" s="841">
        <v>0</v>
      </c>
    </row>
    <row r="316" spans="1:4">
      <c r="A316" s="841"/>
      <c r="B316" s="841" t="s">
        <v>931</v>
      </c>
      <c r="C316" s="841">
        <v>0</v>
      </c>
      <c r="D316" s="841">
        <v>384</v>
      </c>
    </row>
    <row r="317" spans="1:4">
      <c r="A317" s="841"/>
      <c r="B317" s="841" t="s">
        <v>540</v>
      </c>
      <c r="C317" s="841">
        <v>2530</v>
      </c>
      <c r="D317" s="841">
        <v>0</v>
      </c>
    </row>
    <row r="318" spans="1:4">
      <c r="A318" s="841"/>
      <c r="B318" s="841" t="s">
        <v>930</v>
      </c>
      <c r="C318" s="841">
        <v>150</v>
      </c>
      <c r="D318" s="841">
        <v>0</v>
      </c>
    </row>
    <row r="319" spans="1:4">
      <c r="A319" s="841"/>
      <c r="B319" s="841" t="s">
        <v>929</v>
      </c>
      <c r="C319" s="841">
        <v>1826</v>
      </c>
      <c r="D319" s="841">
        <v>0</v>
      </c>
    </row>
    <row r="320" spans="1:4">
      <c r="A320" s="841"/>
      <c r="B320" s="841" t="s">
        <v>929</v>
      </c>
      <c r="C320" s="841">
        <v>0</v>
      </c>
      <c r="D320" s="841">
        <v>234</v>
      </c>
    </row>
    <row r="321" spans="1:4">
      <c r="A321" s="841"/>
      <c r="B321" s="841" t="s">
        <v>928</v>
      </c>
      <c r="C321" s="841">
        <v>0</v>
      </c>
      <c r="D321" s="841">
        <v>3000</v>
      </c>
    </row>
    <row r="322" spans="1:4">
      <c r="A322" s="841"/>
      <c r="B322" s="841" t="s">
        <v>927</v>
      </c>
      <c r="C322" s="841">
        <v>35850</v>
      </c>
      <c r="D322" s="841">
        <v>32955</v>
      </c>
    </row>
    <row r="323" spans="1:4">
      <c r="A323" s="841"/>
      <c r="B323" s="841" t="s">
        <v>926</v>
      </c>
      <c r="C323" s="841">
        <v>0</v>
      </c>
      <c r="D323" s="841">
        <v>1023</v>
      </c>
    </row>
    <row r="324" spans="1:4">
      <c r="A324" s="841"/>
      <c r="B324" s="841" t="s">
        <v>925</v>
      </c>
      <c r="C324" s="841">
        <v>0</v>
      </c>
      <c r="D324" s="841">
        <v>3077</v>
      </c>
    </row>
    <row r="325" spans="1:4">
      <c r="A325" s="841"/>
      <c r="B325" s="841" t="s">
        <v>924</v>
      </c>
      <c r="C325" s="841">
        <v>3446</v>
      </c>
      <c r="D325" s="841">
        <v>500</v>
      </c>
    </row>
    <row r="326" spans="1:4">
      <c r="A326" s="841"/>
      <c r="B326" s="841" t="s">
        <v>923</v>
      </c>
      <c r="C326" s="841">
        <v>0</v>
      </c>
      <c r="D326" s="841">
        <v>200</v>
      </c>
    </row>
    <row r="327" spans="1:4">
      <c r="A327" s="841"/>
      <c r="B327" s="841" t="s">
        <v>922</v>
      </c>
      <c r="C327" s="841">
        <v>0</v>
      </c>
      <c r="D327" s="841">
        <v>200</v>
      </c>
    </row>
    <row r="328" spans="1:4">
      <c r="A328" s="841"/>
      <c r="B328" s="841" t="s">
        <v>921</v>
      </c>
      <c r="C328" s="841">
        <v>1000</v>
      </c>
      <c r="D328" s="841">
        <v>115</v>
      </c>
    </row>
    <row r="329" spans="1:4">
      <c r="A329" s="841"/>
      <c r="B329" s="841" t="s">
        <v>920</v>
      </c>
      <c r="C329" s="841">
        <v>0</v>
      </c>
      <c r="D329" s="841">
        <v>150</v>
      </c>
    </row>
    <row r="330" spans="1:4">
      <c r="A330" s="841"/>
      <c r="B330" s="841"/>
      <c r="C330" s="841"/>
      <c r="D330" s="841"/>
    </row>
    <row r="331" spans="1:4">
      <c r="A331" s="843" t="s">
        <v>698</v>
      </c>
      <c r="B331" s="841"/>
      <c r="C331" s="841"/>
      <c r="D331" s="841"/>
    </row>
    <row r="332" spans="1:4">
      <c r="A332" s="841"/>
      <c r="B332" s="841" t="s">
        <v>919</v>
      </c>
      <c r="C332" s="841">
        <v>3950</v>
      </c>
      <c r="D332" s="841">
        <v>0</v>
      </c>
    </row>
    <row r="333" spans="1:4">
      <c r="A333" s="841"/>
      <c r="B333" s="841" t="s">
        <v>919</v>
      </c>
      <c r="C333" s="841">
        <v>0</v>
      </c>
      <c r="D333" s="841">
        <v>500</v>
      </c>
    </row>
    <row r="334" spans="1:4">
      <c r="A334" s="841"/>
      <c r="B334" s="841"/>
      <c r="C334" s="841"/>
      <c r="D334" s="841"/>
    </row>
    <row r="335" spans="1:4">
      <c r="A335" s="843" t="s">
        <v>697</v>
      </c>
      <c r="B335" s="841"/>
      <c r="C335" s="841"/>
      <c r="D335" s="841"/>
    </row>
    <row r="336" spans="1:4">
      <c r="A336" s="841"/>
      <c r="B336" s="841" t="s">
        <v>918</v>
      </c>
      <c r="C336" s="841">
        <v>0</v>
      </c>
      <c r="D336" s="841">
        <v>1000</v>
      </c>
    </row>
    <row r="337" spans="1:4">
      <c r="A337" s="841"/>
      <c r="B337" s="841" t="s">
        <v>917</v>
      </c>
      <c r="C337" s="841">
        <v>2000</v>
      </c>
      <c r="D337" s="841">
        <v>0</v>
      </c>
    </row>
    <row r="338" spans="1:4">
      <c r="A338" s="841"/>
      <c r="B338" s="841" t="s">
        <v>916</v>
      </c>
      <c r="C338" s="841">
        <v>5000</v>
      </c>
      <c r="D338" s="841">
        <v>6524</v>
      </c>
    </row>
    <row r="339" spans="1:4">
      <c r="A339" s="841"/>
      <c r="B339" s="841" t="s">
        <v>915</v>
      </c>
      <c r="C339" s="841">
        <v>1000</v>
      </c>
      <c r="D339" s="841">
        <v>0</v>
      </c>
    </row>
    <row r="340" spans="1:4">
      <c r="A340" s="841"/>
      <c r="B340" s="841" t="s">
        <v>914</v>
      </c>
      <c r="C340" s="841">
        <v>0</v>
      </c>
      <c r="D340" s="841">
        <v>18994</v>
      </c>
    </row>
    <row r="341" spans="1:4">
      <c r="A341" s="841"/>
      <c r="B341" s="841" t="s">
        <v>913</v>
      </c>
      <c r="C341" s="841">
        <v>8000</v>
      </c>
      <c r="D341" s="841">
        <v>47882</v>
      </c>
    </row>
    <row r="342" spans="1:4">
      <c r="A342" s="841"/>
      <c r="B342" s="841" t="s">
        <v>912</v>
      </c>
      <c r="C342" s="841">
        <v>75500</v>
      </c>
      <c r="D342" s="841">
        <v>0</v>
      </c>
    </row>
    <row r="343" spans="1:4">
      <c r="A343" s="841"/>
      <c r="B343" s="841" t="s">
        <v>911</v>
      </c>
      <c r="C343" s="841">
        <v>0</v>
      </c>
      <c r="D343" s="841">
        <v>1061</v>
      </c>
    </row>
    <row r="344" spans="1:4">
      <c r="A344" s="841"/>
      <c r="B344" s="841" t="s">
        <v>910</v>
      </c>
      <c r="C344" s="841">
        <v>920</v>
      </c>
      <c r="D344" s="841">
        <v>0</v>
      </c>
    </row>
    <row r="345" spans="1:4">
      <c r="A345" s="841"/>
      <c r="B345" s="841" t="s">
        <v>909</v>
      </c>
      <c r="C345" s="841">
        <v>1500</v>
      </c>
      <c r="D345" s="841">
        <v>0</v>
      </c>
    </row>
    <row r="346" spans="1:4">
      <c r="A346" s="841"/>
      <c r="B346" s="841" t="s">
        <v>908</v>
      </c>
      <c r="C346" s="841">
        <v>2000</v>
      </c>
      <c r="D346" s="841">
        <v>0</v>
      </c>
    </row>
    <row r="347" spans="1:4">
      <c r="A347" s="841"/>
      <c r="B347" s="841" t="s">
        <v>907</v>
      </c>
      <c r="C347" s="841">
        <v>1500</v>
      </c>
      <c r="D347" s="841">
        <v>0</v>
      </c>
    </row>
    <row r="348" spans="1:4">
      <c r="A348" s="841"/>
      <c r="B348" s="841" t="s">
        <v>906</v>
      </c>
      <c r="C348" s="841">
        <v>60490</v>
      </c>
      <c r="D348" s="841">
        <v>0</v>
      </c>
    </row>
    <row r="349" spans="1:4">
      <c r="A349" s="841"/>
      <c r="B349" s="841"/>
      <c r="C349" s="841"/>
      <c r="D349" s="841"/>
    </row>
    <row r="350" spans="1:4">
      <c r="A350" s="843" t="s">
        <v>696</v>
      </c>
      <c r="B350" s="841"/>
      <c r="C350" s="841"/>
      <c r="D350" s="841"/>
    </row>
    <row r="351" spans="1:4">
      <c r="A351" s="841"/>
      <c r="B351" s="841" t="s">
        <v>905</v>
      </c>
      <c r="C351" s="841">
        <v>1000</v>
      </c>
      <c r="D351" s="841">
        <v>0</v>
      </c>
    </row>
    <row r="352" spans="1:4">
      <c r="A352" s="841"/>
      <c r="B352" s="841"/>
      <c r="C352" s="841"/>
      <c r="D352" s="841"/>
    </row>
    <row r="353" spans="1:4">
      <c r="A353" s="843" t="s">
        <v>2</v>
      </c>
      <c r="B353" s="841"/>
      <c r="C353" s="841"/>
      <c r="D353" s="841"/>
    </row>
    <row r="354" spans="1:4">
      <c r="A354" s="841"/>
      <c r="B354" s="841" t="s">
        <v>904</v>
      </c>
      <c r="C354" s="841">
        <v>1553</v>
      </c>
      <c r="D354" s="841">
        <v>0</v>
      </c>
    </row>
    <row r="355" spans="1:4">
      <c r="A355" s="841"/>
      <c r="B355" s="841" t="s">
        <v>903</v>
      </c>
      <c r="C355" s="841">
        <v>4365</v>
      </c>
      <c r="D355" s="841">
        <v>0</v>
      </c>
    </row>
    <row r="356" spans="1:4">
      <c r="A356" s="841"/>
      <c r="B356" s="841" t="s">
        <v>902</v>
      </c>
      <c r="C356" s="841">
        <v>2700</v>
      </c>
      <c r="D356" s="841">
        <v>53</v>
      </c>
    </row>
    <row r="357" spans="1:4">
      <c r="A357" s="841"/>
      <c r="B357" s="841" t="s">
        <v>547</v>
      </c>
      <c r="C357" s="841">
        <v>0</v>
      </c>
      <c r="D357" s="841">
        <v>19962</v>
      </c>
    </row>
    <row r="358" spans="1:4">
      <c r="A358" s="841"/>
      <c r="B358" s="841" t="s">
        <v>901</v>
      </c>
      <c r="C358" s="841">
        <v>16575</v>
      </c>
      <c r="D358" s="841">
        <v>0</v>
      </c>
    </row>
    <row r="359" spans="1:4">
      <c r="A359" s="841"/>
      <c r="B359" s="841" t="s">
        <v>855</v>
      </c>
      <c r="C359" s="841">
        <v>25825</v>
      </c>
      <c r="D359" s="841">
        <v>0</v>
      </c>
    </row>
    <row r="360" spans="1:4">
      <c r="A360" s="841"/>
      <c r="B360" s="841" t="s">
        <v>545</v>
      </c>
      <c r="C360" s="841">
        <v>0</v>
      </c>
      <c r="D360" s="841">
        <v>500</v>
      </c>
    </row>
    <row r="361" spans="1:4">
      <c r="A361" s="841"/>
      <c r="B361" s="841" t="s">
        <v>900</v>
      </c>
      <c r="C361" s="841">
        <v>0</v>
      </c>
      <c r="D361" s="841">
        <v>2934</v>
      </c>
    </row>
    <row r="362" spans="1:4">
      <c r="A362" s="841"/>
      <c r="B362" s="841" t="s">
        <v>899</v>
      </c>
      <c r="C362" s="841">
        <v>38987</v>
      </c>
      <c r="D362" s="841">
        <v>0</v>
      </c>
    </row>
    <row r="363" spans="1:4">
      <c r="A363" s="841"/>
      <c r="B363" s="841" t="s">
        <v>562</v>
      </c>
      <c r="C363" s="841">
        <v>0</v>
      </c>
      <c r="D363" s="841">
        <v>425</v>
      </c>
    </row>
    <row r="364" spans="1:4">
      <c r="A364" s="841"/>
      <c r="B364" s="841" t="s">
        <v>898</v>
      </c>
      <c r="C364" s="841">
        <v>0</v>
      </c>
      <c r="D364" s="841">
        <v>1000</v>
      </c>
    </row>
    <row r="365" spans="1:4">
      <c r="A365" s="841"/>
      <c r="B365" s="841"/>
      <c r="C365" s="841"/>
      <c r="D365" s="841"/>
    </row>
    <row r="366" spans="1:4">
      <c r="A366" s="843" t="s">
        <v>3</v>
      </c>
      <c r="B366" s="841"/>
      <c r="C366" s="841"/>
      <c r="D366" s="841"/>
    </row>
    <row r="367" spans="1:4">
      <c r="A367" s="841"/>
      <c r="B367" s="841" t="s">
        <v>897</v>
      </c>
      <c r="C367" s="841">
        <v>2500</v>
      </c>
      <c r="D367" s="841">
        <v>0</v>
      </c>
    </row>
    <row r="368" spans="1:4">
      <c r="A368" s="841"/>
      <c r="B368" s="841" t="s">
        <v>544</v>
      </c>
      <c r="C368" s="841">
        <v>0</v>
      </c>
      <c r="D368" s="841">
        <v>10787</v>
      </c>
    </row>
    <row r="369" spans="1:4">
      <c r="A369" s="841"/>
      <c r="B369" s="841" t="s">
        <v>544</v>
      </c>
      <c r="C369" s="841">
        <v>24315</v>
      </c>
      <c r="D369" s="841">
        <v>0</v>
      </c>
    </row>
    <row r="370" spans="1:4">
      <c r="A370" s="841"/>
      <c r="B370" s="841" t="s">
        <v>538</v>
      </c>
      <c r="C370" s="841">
        <v>0</v>
      </c>
      <c r="D370" s="841">
        <v>6192</v>
      </c>
    </row>
    <row r="371" spans="1:4">
      <c r="A371" s="841"/>
      <c r="B371" s="841" t="s">
        <v>855</v>
      </c>
      <c r="C371" s="841">
        <v>10115</v>
      </c>
      <c r="D371" s="841">
        <v>0</v>
      </c>
    </row>
    <row r="372" spans="1:4">
      <c r="A372" s="841"/>
      <c r="B372" s="841" t="s">
        <v>896</v>
      </c>
      <c r="C372" s="841">
        <v>250</v>
      </c>
      <c r="D372" s="841">
        <v>0</v>
      </c>
    </row>
    <row r="373" spans="1:4">
      <c r="A373" s="841"/>
      <c r="B373" s="841" t="s">
        <v>895</v>
      </c>
      <c r="C373" s="841">
        <v>35000</v>
      </c>
      <c r="D373" s="841">
        <v>4200</v>
      </c>
    </row>
    <row r="374" spans="1:4">
      <c r="A374" s="841"/>
      <c r="B374" s="841" t="s">
        <v>894</v>
      </c>
      <c r="C374" s="841">
        <v>0</v>
      </c>
      <c r="D374" s="841">
        <v>22685</v>
      </c>
    </row>
    <row r="375" spans="1:4">
      <c r="A375" s="841"/>
      <c r="B375" s="841"/>
      <c r="C375" s="841"/>
      <c r="D375" s="841"/>
    </row>
    <row r="376" spans="1:4">
      <c r="A376" s="843" t="s">
        <v>4</v>
      </c>
      <c r="B376" s="841"/>
      <c r="C376" s="841"/>
      <c r="D376" s="841"/>
    </row>
    <row r="377" spans="1:4">
      <c r="A377" s="841"/>
      <c r="B377" s="841" t="s">
        <v>547</v>
      </c>
      <c r="C377" s="841">
        <v>0</v>
      </c>
      <c r="D377" s="841">
        <v>113</v>
      </c>
    </row>
    <row r="378" spans="1:4">
      <c r="A378" s="841"/>
      <c r="B378" s="841" t="s">
        <v>893</v>
      </c>
      <c r="C378" s="841">
        <v>0</v>
      </c>
      <c r="D378" s="841">
        <v>1217</v>
      </c>
    </row>
    <row r="379" spans="1:4">
      <c r="A379" s="841"/>
      <c r="B379" s="841" t="s">
        <v>541</v>
      </c>
      <c r="C379" s="841">
        <v>0</v>
      </c>
      <c r="D379" s="841">
        <v>286</v>
      </c>
    </row>
    <row r="380" spans="1:4">
      <c r="A380" s="841"/>
      <c r="B380" s="841" t="s">
        <v>544</v>
      </c>
      <c r="C380" s="841">
        <v>14100</v>
      </c>
      <c r="D380" s="841">
        <v>0</v>
      </c>
    </row>
    <row r="381" spans="1:4">
      <c r="A381" s="841"/>
      <c r="B381" s="841" t="s">
        <v>534</v>
      </c>
      <c r="C381" s="841">
        <v>0</v>
      </c>
      <c r="D381" s="841">
        <v>1153</v>
      </c>
    </row>
    <row r="382" spans="1:4">
      <c r="A382" s="841"/>
      <c r="B382" s="841" t="s">
        <v>892</v>
      </c>
      <c r="C382" s="841">
        <v>30500</v>
      </c>
      <c r="D382" s="841">
        <v>18978</v>
      </c>
    </row>
    <row r="383" spans="1:4">
      <c r="A383" s="841"/>
      <c r="B383" s="841" t="s">
        <v>855</v>
      </c>
      <c r="C383" s="841">
        <v>2217</v>
      </c>
      <c r="D383" s="841">
        <v>0</v>
      </c>
    </row>
    <row r="384" spans="1:4">
      <c r="A384" s="841"/>
      <c r="B384" s="841"/>
      <c r="C384" s="841"/>
      <c r="D384" s="841"/>
    </row>
    <row r="385" spans="1:4">
      <c r="A385" s="843" t="s">
        <v>5</v>
      </c>
      <c r="B385" s="841"/>
      <c r="C385" s="841"/>
      <c r="D385" s="841"/>
    </row>
    <row r="386" spans="1:4">
      <c r="A386" s="841"/>
      <c r="B386" s="841" t="s">
        <v>808</v>
      </c>
      <c r="C386" s="841">
        <v>4000</v>
      </c>
      <c r="D386" s="841">
        <v>0</v>
      </c>
    </row>
    <row r="387" spans="1:4">
      <c r="A387" s="841"/>
      <c r="B387" s="841" t="s">
        <v>891</v>
      </c>
      <c r="C387" s="841">
        <v>0</v>
      </c>
      <c r="D387" s="841">
        <v>15098</v>
      </c>
    </row>
    <row r="388" spans="1:4">
      <c r="A388" s="841"/>
      <c r="B388" s="841" t="s">
        <v>547</v>
      </c>
      <c r="C388" s="841">
        <v>0</v>
      </c>
      <c r="D388" s="841">
        <v>1244</v>
      </c>
    </row>
    <row r="389" spans="1:4">
      <c r="A389" s="841"/>
      <c r="B389" s="841" t="s">
        <v>541</v>
      </c>
      <c r="C389" s="841">
        <v>0</v>
      </c>
      <c r="D389" s="841">
        <v>510</v>
      </c>
    </row>
    <row r="390" spans="1:4">
      <c r="A390" s="841"/>
      <c r="B390" s="841" t="s">
        <v>540</v>
      </c>
      <c r="C390" s="841">
        <v>0</v>
      </c>
      <c r="D390" s="841">
        <v>1353</v>
      </c>
    </row>
    <row r="391" spans="1:4">
      <c r="A391" s="841"/>
      <c r="B391" s="841" t="s">
        <v>539</v>
      </c>
      <c r="C391" s="841">
        <v>7000</v>
      </c>
      <c r="D391" s="841">
        <v>0</v>
      </c>
    </row>
    <row r="392" spans="1:4">
      <c r="A392" s="841"/>
      <c r="B392" s="841" t="s">
        <v>538</v>
      </c>
      <c r="C392" s="841">
        <v>0</v>
      </c>
      <c r="D392" s="841">
        <v>477</v>
      </c>
    </row>
    <row r="393" spans="1:4">
      <c r="A393" s="841"/>
      <c r="B393" s="841" t="s">
        <v>890</v>
      </c>
      <c r="C393" s="841">
        <v>300</v>
      </c>
      <c r="D393" s="841">
        <v>0</v>
      </c>
    </row>
    <row r="394" spans="1:4">
      <c r="A394" s="841"/>
      <c r="B394" s="841" t="s">
        <v>855</v>
      </c>
      <c r="C394" s="841">
        <v>2422</v>
      </c>
      <c r="D394" s="841">
        <v>0</v>
      </c>
    </row>
    <row r="395" spans="1:4">
      <c r="A395" s="841"/>
      <c r="B395" s="841" t="s">
        <v>889</v>
      </c>
      <c r="C395" s="841">
        <v>5000</v>
      </c>
      <c r="D395" s="841">
        <v>0</v>
      </c>
    </row>
    <row r="396" spans="1:4">
      <c r="A396" s="841"/>
      <c r="B396" s="841" t="s">
        <v>888</v>
      </c>
      <c r="C396" s="841">
        <v>2000</v>
      </c>
      <c r="D396" s="841">
        <v>202</v>
      </c>
    </row>
    <row r="397" spans="1:4">
      <c r="A397" s="841"/>
      <c r="B397" s="841"/>
      <c r="C397" s="841"/>
      <c r="D397" s="841"/>
    </row>
    <row r="398" spans="1:4">
      <c r="A398" s="843" t="s">
        <v>6</v>
      </c>
      <c r="B398" s="841"/>
      <c r="C398" s="841"/>
      <c r="D398" s="841"/>
    </row>
    <row r="399" spans="1:4">
      <c r="A399" s="841"/>
      <c r="B399" s="841" t="s">
        <v>887</v>
      </c>
      <c r="C399" s="841">
        <v>9160</v>
      </c>
      <c r="D399" s="841">
        <v>1291</v>
      </c>
    </row>
    <row r="400" spans="1:4">
      <c r="A400" s="841"/>
      <c r="B400" s="841" t="s">
        <v>561</v>
      </c>
      <c r="C400" s="841">
        <v>0</v>
      </c>
      <c r="D400" s="841">
        <v>1834</v>
      </c>
    </row>
    <row r="401" spans="1:4">
      <c r="A401" s="841"/>
      <c r="B401" s="841" t="s">
        <v>886</v>
      </c>
      <c r="C401" s="841">
        <v>300</v>
      </c>
      <c r="D401" s="841">
        <v>0</v>
      </c>
    </row>
    <row r="402" spans="1:4">
      <c r="A402" s="841"/>
      <c r="B402" s="841" t="s">
        <v>560</v>
      </c>
      <c r="C402" s="841">
        <v>0</v>
      </c>
      <c r="D402" s="841">
        <v>1351</v>
      </c>
    </row>
    <row r="403" spans="1:4">
      <c r="A403" s="841"/>
      <c r="B403" s="841" t="s">
        <v>877</v>
      </c>
      <c r="C403" s="841">
        <v>0</v>
      </c>
      <c r="D403" s="841">
        <v>398</v>
      </c>
    </row>
    <row r="404" spans="1:4">
      <c r="A404" s="841"/>
      <c r="B404" s="841" t="s">
        <v>539</v>
      </c>
      <c r="C404" s="841">
        <v>0</v>
      </c>
      <c r="D404" s="841">
        <v>1683</v>
      </c>
    </row>
    <row r="405" spans="1:4">
      <c r="A405" s="841"/>
      <c r="B405" s="841" t="s">
        <v>538</v>
      </c>
      <c r="C405" s="841">
        <v>0</v>
      </c>
      <c r="D405" s="841">
        <v>1043</v>
      </c>
    </row>
    <row r="406" spans="1:4">
      <c r="A406" s="841"/>
      <c r="B406" s="841" t="s">
        <v>885</v>
      </c>
      <c r="C406" s="841">
        <v>6935</v>
      </c>
      <c r="D406" s="841">
        <v>0</v>
      </c>
    </row>
    <row r="407" spans="1:4">
      <c r="A407" s="841"/>
      <c r="B407" s="841" t="s">
        <v>855</v>
      </c>
      <c r="C407" s="841">
        <v>760</v>
      </c>
      <c r="D407" s="841">
        <v>0</v>
      </c>
    </row>
    <row r="408" spans="1:4">
      <c r="A408" s="841"/>
      <c r="B408" s="841" t="s">
        <v>884</v>
      </c>
      <c r="C408" s="841">
        <v>4950</v>
      </c>
      <c r="D408" s="841">
        <v>0</v>
      </c>
    </row>
    <row r="409" spans="1:4">
      <c r="A409" s="841"/>
      <c r="B409" s="841"/>
      <c r="C409" s="841"/>
      <c r="D409" s="841"/>
    </row>
    <row r="410" spans="1:4">
      <c r="A410" s="843" t="s">
        <v>7</v>
      </c>
      <c r="B410" s="841"/>
      <c r="C410" s="841"/>
      <c r="D410" s="841"/>
    </row>
    <row r="411" spans="1:4">
      <c r="A411" s="841"/>
      <c r="B411" s="841" t="s">
        <v>883</v>
      </c>
      <c r="C411" s="841">
        <v>350</v>
      </c>
      <c r="D411" s="841">
        <v>0</v>
      </c>
    </row>
    <row r="412" spans="1:4">
      <c r="A412" s="841"/>
      <c r="B412" s="841" t="s">
        <v>882</v>
      </c>
      <c r="C412" s="841">
        <v>6784</v>
      </c>
      <c r="D412" s="841">
        <v>0</v>
      </c>
    </row>
    <row r="413" spans="1:4">
      <c r="A413" s="841"/>
      <c r="B413" s="841" t="s">
        <v>881</v>
      </c>
      <c r="C413" s="841">
        <v>4799</v>
      </c>
      <c r="D413" s="841">
        <v>0</v>
      </c>
    </row>
    <row r="414" spans="1:4">
      <c r="A414" s="841"/>
      <c r="B414" s="841" t="s">
        <v>880</v>
      </c>
      <c r="C414" s="841">
        <v>4480</v>
      </c>
      <c r="D414" s="841">
        <v>0</v>
      </c>
    </row>
    <row r="415" spans="1:4">
      <c r="A415" s="841"/>
      <c r="B415" s="841" t="s">
        <v>879</v>
      </c>
      <c r="C415" s="841">
        <v>0</v>
      </c>
      <c r="D415" s="841">
        <v>19075</v>
      </c>
    </row>
    <row r="416" spans="1:4">
      <c r="A416" s="841"/>
      <c r="B416" s="841" t="s">
        <v>878</v>
      </c>
      <c r="C416" s="841">
        <v>0</v>
      </c>
      <c r="D416" s="841">
        <v>1030</v>
      </c>
    </row>
    <row r="417" spans="1:4">
      <c r="A417" s="841"/>
      <c r="B417" s="841" t="s">
        <v>541</v>
      </c>
      <c r="C417" s="841">
        <v>0</v>
      </c>
      <c r="D417" s="841">
        <v>710</v>
      </c>
    </row>
    <row r="418" spans="1:4">
      <c r="A418" s="841"/>
      <c r="B418" s="841" t="s">
        <v>877</v>
      </c>
      <c r="C418" s="841">
        <v>0</v>
      </c>
      <c r="D418" s="841">
        <v>401</v>
      </c>
    </row>
    <row r="419" spans="1:4">
      <c r="A419" s="841"/>
      <c r="B419" s="841" t="s">
        <v>544</v>
      </c>
      <c r="C419" s="841">
        <v>8264</v>
      </c>
      <c r="D419" s="841">
        <v>0</v>
      </c>
    </row>
    <row r="420" spans="1:4">
      <c r="A420" s="841"/>
      <c r="B420" s="841" t="s">
        <v>534</v>
      </c>
      <c r="C420" s="841">
        <v>0</v>
      </c>
      <c r="D420" s="841">
        <v>2661</v>
      </c>
    </row>
    <row r="421" spans="1:4">
      <c r="A421" s="841"/>
      <c r="B421" s="841" t="s">
        <v>534</v>
      </c>
      <c r="C421" s="841">
        <v>0</v>
      </c>
      <c r="D421" s="841">
        <v>191</v>
      </c>
    </row>
    <row r="422" spans="1:4">
      <c r="A422" s="841"/>
      <c r="B422" s="841" t="s">
        <v>537</v>
      </c>
      <c r="C422" s="841">
        <v>0</v>
      </c>
      <c r="D422" s="841">
        <v>834</v>
      </c>
    </row>
    <row r="423" spans="1:4">
      <c r="A423" s="841"/>
      <c r="B423" s="841" t="s">
        <v>855</v>
      </c>
      <c r="C423" s="841">
        <v>3614</v>
      </c>
      <c r="D423" s="841">
        <v>0</v>
      </c>
    </row>
    <row r="424" spans="1:4">
      <c r="A424" s="841"/>
      <c r="B424" s="841"/>
      <c r="C424" s="841"/>
      <c r="D424" s="841"/>
    </row>
    <row r="425" spans="1:4">
      <c r="A425" s="843" t="s">
        <v>536</v>
      </c>
      <c r="B425" s="841"/>
      <c r="C425" s="841"/>
      <c r="D425" s="841"/>
    </row>
    <row r="426" spans="1:4">
      <c r="A426" s="841"/>
      <c r="B426" s="841" t="s">
        <v>876</v>
      </c>
      <c r="C426" s="841">
        <v>0</v>
      </c>
      <c r="D426" s="841">
        <v>1123</v>
      </c>
    </row>
    <row r="427" spans="1:4">
      <c r="A427" s="841"/>
      <c r="B427" s="841" t="s">
        <v>875</v>
      </c>
      <c r="C427" s="841">
        <v>0</v>
      </c>
      <c r="D427" s="841">
        <v>500</v>
      </c>
    </row>
    <row r="428" spans="1:4">
      <c r="A428" s="841"/>
      <c r="B428" s="841" t="s">
        <v>874</v>
      </c>
      <c r="C428" s="841">
        <v>2000</v>
      </c>
      <c r="D428" s="841">
        <v>0</v>
      </c>
    </row>
    <row r="429" spans="1:4">
      <c r="A429" s="841"/>
      <c r="B429" s="841" t="s">
        <v>873</v>
      </c>
      <c r="C429" s="841">
        <v>0</v>
      </c>
      <c r="D429" s="841">
        <v>1941</v>
      </c>
    </row>
    <row r="430" spans="1:4">
      <c r="A430" s="841"/>
      <c r="B430" s="841" t="s">
        <v>872</v>
      </c>
      <c r="C430" s="841">
        <v>20706</v>
      </c>
      <c r="D430" s="841">
        <v>317</v>
      </c>
    </row>
    <row r="431" spans="1:4">
      <c r="A431" s="841"/>
      <c r="B431" s="841" t="s">
        <v>871</v>
      </c>
      <c r="C431" s="841">
        <v>0</v>
      </c>
      <c r="D431" s="841">
        <v>900</v>
      </c>
    </row>
    <row r="432" spans="1:4">
      <c r="A432" s="841"/>
      <c r="B432" s="841" t="s">
        <v>870</v>
      </c>
      <c r="C432" s="841">
        <v>31988</v>
      </c>
      <c r="D432" s="841">
        <v>1468</v>
      </c>
    </row>
    <row r="433" spans="1:4">
      <c r="A433" s="841"/>
      <c r="B433" s="841" t="s">
        <v>535</v>
      </c>
      <c r="C433" s="841">
        <v>0</v>
      </c>
      <c r="D433" s="841">
        <v>13417</v>
      </c>
    </row>
    <row r="434" spans="1:4">
      <c r="A434" s="841"/>
      <c r="B434" s="841" t="s">
        <v>535</v>
      </c>
      <c r="C434" s="841">
        <v>15829</v>
      </c>
      <c r="D434" s="841">
        <v>0</v>
      </c>
    </row>
    <row r="435" spans="1:4">
      <c r="A435" s="841"/>
      <c r="B435" s="841" t="s">
        <v>869</v>
      </c>
      <c r="C435" s="841">
        <v>0</v>
      </c>
      <c r="D435" s="841">
        <v>1863</v>
      </c>
    </row>
    <row r="436" spans="1:4">
      <c r="A436" s="841"/>
      <c r="B436" s="841" t="s">
        <v>868</v>
      </c>
      <c r="C436" s="841">
        <v>18562</v>
      </c>
      <c r="D436" s="841">
        <v>942</v>
      </c>
    </row>
    <row r="437" spans="1:4">
      <c r="A437" s="841"/>
      <c r="B437" s="841" t="s">
        <v>867</v>
      </c>
      <c r="C437" s="841">
        <v>0</v>
      </c>
      <c r="D437" s="841">
        <v>1127</v>
      </c>
    </row>
    <row r="438" spans="1:4">
      <c r="A438" s="841"/>
      <c r="B438" s="841" t="s">
        <v>866</v>
      </c>
      <c r="C438" s="841">
        <v>0</v>
      </c>
      <c r="D438" s="841">
        <v>1000</v>
      </c>
    </row>
    <row r="439" spans="1:4">
      <c r="A439" s="841"/>
      <c r="B439" s="841" t="s">
        <v>865</v>
      </c>
      <c r="C439" s="841">
        <v>0</v>
      </c>
      <c r="D439" s="841">
        <v>3462</v>
      </c>
    </row>
    <row r="440" spans="1:4">
      <c r="A440" s="841"/>
      <c r="B440" s="841" t="s">
        <v>864</v>
      </c>
      <c r="C440" s="841">
        <v>0</v>
      </c>
      <c r="D440" s="841">
        <v>760</v>
      </c>
    </row>
    <row r="441" spans="1:4">
      <c r="A441" s="841"/>
      <c r="B441" s="841" t="s">
        <v>863</v>
      </c>
      <c r="C441" s="841">
        <v>2000</v>
      </c>
      <c r="D441" s="841">
        <v>0</v>
      </c>
    </row>
    <row r="442" spans="1:4">
      <c r="A442" s="841"/>
      <c r="B442" s="841" t="s">
        <v>544</v>
      </c>
      <c r="C442" s="841">
        <v>0</v>
      </c>
      <c r="D442" s="841">
        <v>10937</v>
      </c>
    </row>
    <row r="443" spans="1:4">
      <c r="A443" s="841"/>
      <c r="B443" s="841" t="s">
        <v>544</v>
      </c>
      <c r="C443" s="841">
        <v>16001</v>
      </c>
      <c r="D443" s="841">
        <v>0</v>
      </c>
    </row>
    <row r="444" spans="1:4">
      <c r="A444" s="841"/>
      <c r="B444" s="841" t="s">
        <v>534</v>
      </c>
      <c r="C444" s="841">
        <v>20000</v>
      </c>
      <c r="D444" s="841">
        <v>0</v>
      </c>
    </row>
    <row r="445" spans="1:4">
      <c r="A445" s="841"/>
      <c r="B445" s="841" t="s">
        <v>534</v>
      </c>
      <c r="C445" s="841">
        <v>0</v>
      </c>
      <c r="D445" s="841">
        <v>9289</v>
      </c>
    </row>
    <row r="446" spans="1:4">
      <c r="A446" s="841"/>
      <c r="B446" s="841" t="s">
        <v>862</v>
      </c>
      <c r="C446" s="841">
        <v>0</v>
      </c>
      <c r="D446" s="841">
        <v>1478</v>
      </c>
    </row>
    <row r="447" spans="1:4">
      <c r="A447" s="841"/>
      <c r="B447" s="841" t="s">
        <v>861</v>
      </c>
      <c r="C447" s="841">
        <v>0</v>
      </c>
      <c r="D447" s="841">
        <v>500</v>
      </c>
    </row>
    <row r="448" spans="1:4">
      <c r="A448" s="841"/>
      <c r="B448" s="841" t="s">
        <v>860</v>
      </c>
      <c r="C448" s="841">
        <v>0</v>
      </c>
      <c r="D448" s="841">
        <v>8957</v>
      </c>
    </row>
    <row r="449" spans="1:4">
      <c r="A449" s="841"/>
      <c r="B449" s="841" t="s">
        <v>859</v>
      </c>
      <c r="C449" s="841">
        <v>2000</v>
      </c>
      <c r="D449" s="841">
        <v>0</v>
      </c>
    </row>
    <row r="450" spans="1:4">
      <c r="A450" s="841"/>
      <c r="B450" s="841" t="s">
        <v>858</v>
      </c>
      <c r="C450" s="841">
        <v>0</v>
      </c>
      <c r="D450" s="841">
        <v>834</v>
      </c>
    </row>
    <row r="451" spans="1:4">
      <c r="A451" s="841"/>
      <c r="B451" s="841" t="s">
        <v>857</v>
      </c>
      <c r="C451" s="841">
        <v>0</v>
      </c>
      <c r="D451" s="841">
        <v>503</v>
      </c>
    </row>
    <row r="452" spans="1:4">
      <c r="A452" s="841"/>
      <c r="B452" s="841" t="s">
        <v>557</v>
      </c>
      <c r="C452" s="841">
        <v>0</v>
      </c>
      <c r="D452" s="841">
        <v>12709</v>
      </c>
    </row>
    <row r="453" spans="1:4">
      <c r="A453" s="841"/>
      <c r="B453" s="841" t="s">
        <v>856</v>
      </c>
      <c r="C453" s="841">
        <v>0</v>
      </c>
      <c r="D453" s="841">
        <v>559</v>
      </c>
    </row>
    <row r="454" spans="1:4">
      <c r="A454" s="841"/>
      <c r="B454" s="841" t="s">
        <v>855</v>
      </c>
      <c r="C454" s="841">
        <v>22800</v>
      </c>
      <c r="D454" s="841">
        <v>0</v>
      </c>
    </row>
    <row r="455" spans="1:4">
      <c r="A455" s="841"/>
      <c r="B455" s="841" t="s">
        <v>556</v>
      </c>
      <c r="C455" s="841">
        <v>9125</v>
      </c>
      <c r="D455" s="841">
        <v>0</v>
      </c>
    </row>
    <row r="456" spans="1:4">
      <c r="A456" s="841"/>
      <c r="B456" s="841" t="s">
        <v>556</v>
      </c>
      <c r="C456" s="841">
        <v>0</v>
      </c>
      <c r="D456" s="841">
        <v>4112</v>
      </c>
    </row>
    <row r="457" spans="1:4">
      <c r="A457" s="841"/>
      <c r="B457" s="841" t="s">
        <v>854</v>
      </c>
      <c r="C457" s="841">
        <v>0</v>
      </c>
      <c r="D457" s="841">
        <v>1160</v>
      </c>
    </row>
    <row r="458" spans="1:4">
      <c r="A458" s="841"/>
      <c r="B458" s="841" t="s">
        <v>853</v>
      </c>
      <c r="C458" s="841">
        <v>0</v>
      </c>
      <c r="D458" s="841">
        <v>15922</v>
      </c>
    </row>
    <row r="459" spans="1:4">
      <c r="A459" s="841"/>
      <c r="B459" s="841" t="s">
        <v>532</v>
      </c>
      <c r="C459" s="841">
        <v>0</v>
      </c>
      <c r="D459" s="841">
        <v>1835</v>
      </c>
    </row>
    <row r="460" spans="1:4">
      <c r="A460" s="841"/>
      <c r="B460" s="841" t="s">
        <v>532</v>
      </c>
      <c r="C460" s="841">
        <v>5045</v>
      </c>
      <c r="D460" s="841">
        <v>0</v>
      </c>
    </row>
    <row r="461" spans="1:4">
      <c r="A461" s="841"/>
      <c r="B461" s="841" t="s">
        <v>852</v>
      </c>
      <c r="C461" s="841">
        <v>0</v>
      </c>
      <c r="D461" s="841">
        <v>890</v>
      </c>
    </row>
    <row r="462" spans="1:4">
      <c r="A462" s="841"/>
      <c r="B462" s="841" t="s">
        <v>851</v>
      </c>
      <c r="C462" s="841">
        <v>30196</v>
      </c>
      <c r="D462" s="841">
        <v>2130</v>
      </c>
    </row>
    <row r="463" spans="1:4">
      <c r="A463" s="841"/>
      <c r="B463" s="841" t="s">
        <v>850</v>
      </c>
      <c r="C463" s="841">
        <v>0</v>
      </c>
      <c r="D463" s="841">
        <v>732</v>
      </c>
    </row>
    <row r="464" spans="1:4">
      <c r="A464" s="841"/>
      <c r="B464" s="841" t="s">
        <v>849</v>
      </c>
      <c r="C464" s="841">
        <v>0</v>
      </c>
      <c r="D464" s="841">
        <v>14095</v>
      </c>
    </row>
    <row r="465" spans="1:4">
      <c r="A465" s="841"/>
      <c r="B465" s="841" t="s">
        <v>848</v>
      </c>
      <c r="C465" s="841">
        <v>758</v>
      </c>
      <c r="D465" s="841">
        <v>0</v>
      </c>
    </row>
    <row r="466" spans="1:4">
      <c r="A466" s="841"/>
      <c r="B466" s="841" t="s">
        <v>847</v>
      </c>
      <c r="C466" s="841">
        <v>0</v>
      </c>
      <c r="D466" s="841">
        <v>400</v>
      </c>
    </row>
    <row r="467" spans="1:4">
      <c r="A467" s="841"/>
      <c r="B467" s="841" t="s">
        <v>846</v>
      </c>
      <c r="C467" s="841">
        <v>17647</v>
      </c>
      <c r="D467" s="841">
        <v>0</v>
      </c>
    </row>
    <row r="468" spans="1:4">
      <c r="A468" s="841"/>
      <c r="B468" s="841" t="s">
        <v>845</v>
      </c>
      <c r="C468" s="841">
        <v>0</v>
      </c>
      <c r="D468" s="841">
        <v>4696</v>
      </c>
    </row>
    <row r="469" spans="1:4">
      <c r="A469" s="841"/>
      <c r="B469" s="841" t="s">
        <v>844</v>
      </c>
      <c r="C469" s="841">
        <v>0</v>
      </c>
      <c r="D469" s="841">
        <v>634</v>
      </c>
    </row>
    <row r="470" spans="1:4">
      <c r="A470" s="841"/>
      <c r="B470" s="841" t="s">
        <v>843</v>
      </c>
      <c r="C470" s="841">
        <v>0</v>
      </c>
      <c r="D470" s="841">
        <v>906</v>
      </c>
    </row>
    <row r="471" spans="1:4">
      <c r="A471" s="841"/>
      <c r="B471" s="841" t="s">
        <v>842</v>
      </c>
      <c r="C471" s="841">
        <v>0</v>
      </c>
      <c r="D471" s="841">
        <v>143</v>
      </c>
    </row>
    <row r="472" spans="1:4">
      <c r="A472" s="841"/>
      <c r="B472" s="841" t="s">
        <v>841</v>
      </c>
      <c r="C472" s="841">
        <v>1689</v>
      </c>
      <c r="D472" s="841">
        <v>0</v>
      </c>
    </row>
    <row r="473" spans="1:4">
      <c r="A473" s="841"/>
      <c r="B473" s="841" t="s">
        <v>840</v>
      </c>
      <c r="C473" s="841">
        <v>0</v>
      </c>
      <c r="D473" s="841">
        <v>1752</v>
      </c>
    </row>
    <row r="474" spans="1:4">
      <c r="A474" s="841"/>
      <c r="B474" s="841" t="s">
        <v>839</v>
      </c>
      <c r="C474" s="841">
        <v>0</v>
      </c>
      <c r="D474" s="841">
        <v>736</v>
      </c>
    </row>
    <row r="475" spans="1:4">
      <c r="A475" s="841"/>
      <c r="B475" s="841"/>
      <c r="C475" s="841"/>
      <c r="D475" s="841"/>
    </row>
    <row r="476" spans="1:4">
      <c r="A476" s="843" t="s">
        <v>690</v>
      </c>
      <c r="B476" s="841"/>
      <c r="C476" s="841"/>
      <c r="D476" s="841"/>
    </row>
    <row r="477" spans="1:4">
      <c r="A477" s="841"/>
      <c r="B477" s="841" t="s">
        <v>838</v>
      </c>
      <c r="C477" s="841">
        <v>0</v>
      </c>
      <c r="D477" s="841">
        <v>15260</v>
      </c>
    </row>
    <row r="478" spans="1:4">
      <c r="A478" s="841"/>
      <c r="B478" s="841" t="s">
        <v>837</v>
      </c>
      <c r="C478" s="841">
        <v>0</v>
      </c>
      <c r="D478" s="841">
        <v>255566</v>
      </c>
    </row>
    <row r="479" spans="1:4">
      <c r="A479" s="841"/>
      <c r="B479" s="841" t="s">
        <v>836</v>
      </c>
      <c r="C479" s="841">
        <v>661314</v>
      </c>
      <c r="D479" s="841">
        <v>0</v>
      </c>
    </row>
    <row r="480" spans="1:4">
      <c r="A480" s="841"/>
      <c r="B480" s="841" t="s">
        <v>835</v>
      </c>
      <c r="C480" s="841">
        <v>1000</v>
      </c>
      <c r="D480" s="841">
        <v>0</v>
      </c>
    </row>
    <row r="481" spans="1:4">
      <c r="A481" s="841"/>
      <c r="B481" s="841" t="s">
        <v>834</v>
      </c>
      <c r="C481" s="841">
        <v>3851</v>
      </c>
      <c r="D481" s="841">
        <v>0</v>
      </c>
    </row>
    <row r="482" spans="1:4">
      <c r="A482" s="841"/>
      <c r="B482" s="841" t="s">
        <v>833</v>
      </c>
      <c r="C482" s="841">
        <v>100</v>
      </c>
      <c r="D482" s="841">
        <v>0</v>
      </c>
    </row>
    <row r="483" spans="1:4">
      <c r="A483" s="841"/>
      <c r="B483" s="841" t="s">
        <v>832</v>
      </c>
      <c r="C483" s="841">
        <v>0</v>
      </c>
      <c r="D483" s="841">
        <v>52844</v>
      </c>
    </row>
    <row r="484" spans="1:4">
      <c r="A484" s="841"/>
      <c r="B484" s="841" t="s">
        <v>831</v>
      </c>
      <c r="C484" s="841">
        <v>20000</v>
      </c>
      <c r="D484" s="841">
        <v>0</v>
      </c>
    </row>
    <row r="485" spans="1:4">
      <c r="A485" s="841"/>
      <c r="B485" s="841" t="s">
        <v>830</v>
      </c>
      <c r="C485" s="841">
        <v>0</v>
      </c>
      <c r="D485" s="841">
        <v>3343</v>
      </c>
    </row>
    <row r="486" spans="1:4">
      <c r="A486" s="841"/>
      <c r="B486" s="841" t="s">
        <v>829</v>
      </c>
      <c r="C486" s="841">
        <v>7100</v>
      </c>
      <c r="D486" s="841">
        <v>2087</v>
      </c>
    </row>
    <row r="487" spans="1:4">
      <c r="A487" s="841"/>
      <c r="B487" s="841" t="s">
        <v>828</v>
      </c>
      <c r="C487" s="841">
        <v>800</v>
      </c>
      <c r="D487" s="841">
        <v>0</v>
      </c>
    </row>
    <row r="488" spans="1:4">
      <c r="A488" s="841"/>
      <c r="B488" s="841" t="s">
        <v>827</v>
      </c>
      <c r="C488" s="841">
        <v>1169</v>
      </c>
      <c r="D488" s="841">
        <v>0</v>
      </c>
    </row>
    <row r="489" spans="1:4">
      <c r="A489" s="841"/>
      <c r="B489" s="841" t="s">
        <v>826</v>
      </c>
      <c r="C489" s="841">
        <v>3000</v>
      </c>
      <c r="D489" s="841">
        <v>0</v>
      </c>
    </row>
    <row r="490" spans="1:4">
      <c r="A490" s="841"/>
      <c r="B490" s="841" t="s">
        <v>825</v>
      </c>
      <c r="C490" s="841">
        <v>5000</v>
      </c>
      <c r="D490" s="841">
        <v>0</v>
      </c>
    </row>
    <row r="491" spans="1:4">
      <c r="A491" s="841"/>
      <c r="B491" s="841" t="s">
        <v>824</v>
      </c>
      <c r="C491" s="841">
        <v>0</v>
      </c>
      <c r="D491" s="841">
        <v>3306</v>
      </c>
    </row>
    <row r="492" spans="1:4">
      <c r="A492" s="841"/>
      <c r="B492" s="841" t="s">
        <v>823</v>
      </c>
      <c r="C492" s="841">
        <v>28461</v>
      </c>
      <c r="D492" s="841">
        <v>0</v>
      </c>
    </row>
    <row r="493" spans="1:4">
      <c r="A493" s="841"/>
      <c r="B493" s="841"/>
      <c r="C493" s="841"/>
      <c r="D493" s="841"/>
    </row>
    <row r="494" spans="1:4">
      <c r="A494" s="843" t="s">
        <v>674</v>
      </c>
      <c r="B494" s="841"/>
      <c r="C494" s="841"/>
      <c r="D494" s="841"/>
    </row>
    <row r="495" spans="1:4">
      <c r="A495" s="841"/>
      <c r="B495" s="841" t="s">
        <v>822</v>
      </c>
      <c r="C495" s="841">
        <v>550</v>
      </c>
      <c r="D495" s="841">
        <v>0</v>
      </c>
    </row>
    <row r="496" spans="1:4">
      <c r="A496" s="841"/>
      <c r="B496" s="841" t="s">
        <v>544</v>
      </c>
      <c r="C496" s="841">
        <v>0</v>
      </c>
      <c r="D496" s="841">
        <v>188</v>
      </c>
    </row>
    <row r="497" spans="1:4">
      <c r="A497" s="841"/>
      <c r="B497" s="841"/>
      <c r="C497" s="841"/>
      <c r="D497" s="841"/>
    </row>
    <row r="498" spans="1:4">
      <c r="A498" s="843" t="s">
        <v>821</v>
      </c>
      <c r="B498" s="841"/>
      <c r="C498" s="841"/>
      <c r="D498" s="841"/>
    </row>
    <row r="499" spans="1:4">
      <c r="A499" s="841"/>
      <c r="B499" s="841" t="s">
        <v>820</v>
      </c>
      <c r="C499" s="841">
        <v>536</v>
      </c>
      <c r="D499" s="841">
        <v>0</v>
      </c>
    </row>
    <row r="500" spans="1:4">
      <c r="A500" s="841"/>
      <c r="B500" s="841" t="s">
        <v>819</v>
      </c>
      <c r="C500" s="841">
        <v>0</v>
      </c>
      <c r="D500" s="841">
        <v>264</v>
      </c>
    </row>
    <row r="501" spans="1:4">
      <c r="A501" s="841"/>
      <c r="B501" s="841"/>
      <c r="C501" s="841"/>
      <c r="D501" s="841"/>
    </row>
    <row r="502" spans="1:4">
      <c r="A502" s="843" t="s">
        <v>669</v>
      </c>
      <c r="B502" s="841"/>
      <c r="C502" s="841"/>
      <c r="D502" s="841"/>
    </row>
    <row r="503" spans="1:4">
      <c r="A503" s="841"/>
      <c r="B503" s="841" t="s">
        <v>818</v>
      </c>
      <c r="C503" s="841">
        <v>800</v>
      </c>
      <c r="D503" s="841">
        <v>0</v>
      </c>
    </row>
    <row r="504" spans="1:4">
      <c r="A504" s="841"/>
      <c r="B504" s="841" t="s">
        <v>817</v>
      </c>
      <c r="C504" s="841">
        <v>0</v>
      </c>
      <c r="D504" s="841">
        <v>319</v>
      </c>
    </row>
    <row r="505" spans="1:4">
      <c r="A505" s="841"/>
      <c r="B505" s="841" t="s">
        <v>544</v>
      </c>
      <c r="C505" s="841">
        <v>0</v>
      </c>
      <c r="D505" s="841">
        <v>572</v>
      </c>
    </row>
    <row r="506" spans="1:4">
      <c r="A506" s="841"/>
      <c r="B506" s="841" t="s">
        <v>816</v>
      </c>
      <c r="C506" s="841">
        <v>0</v>
      </c>
      <c r="D506" s="841">
        <v>2368</v>
      </c>
    </row>
    <row r="507" spans="1:4">
      <c r="A507" s="841"/>
      <c r="B507" s="841" t="s">
        <v>815</v>
      </c>
      <c r="C507" s="841">
        <v>0</v>
      </c>
      <c r="D507" s="841">
        <v>964</v>
      </c>
    </row>
    <row r="508" spans="1:4">
      <c r="A508" s="841"/>
      <c r="B508" s="841" t="s">
        <v>814</v>
      </c>
      <c r="C508" s="841">
        <v>0</v>
      </c>
      <c r="D508" s="841">
        <v>1000</v>
      </c>
    </row>
    <row r="509" spans="1:4">
      <c r="A509" s="841"/>
      <c r="B509" s="841" t="s">
        <v>813</v>
      </c>
      <c r="C509" s="841">
        <v>1168</v>
      </c>
      <c r="D509" s="841">
        <v>0</v>
      </c>
    </row>
    <row r="510" spans="1:4">
      <c r="A510" s="841"/>
      <c r="B510" s="841" t="s">
        <v>813</v>
      </c>
      <c r="C510" s="841">
        <v>0</v>
      </c>
      <c r="D510" s="841">
        <v>3146</v>
      </c>
    </row>
    <row r="511" spans="1:4">
      <c r="A511" s="841"/>
      <c r="B511" s="841" t="s">
        <v>812</v>
      </c>
      <c r="C511" s="841">
        <v>0</v>
      </c>
      <c r="D511" s="841">
        <v>5637</v>
      </c>
    </row>
    <row r="512" spans="1:4">
      <c r="A512" s="841"/>
      <c r="B512" s="841"/>
      <c r="C512" s="841"/>
      <c r="D512" s="841"/>
    </row>
    <row r="513" spans="1:4">
      <c r="A513" s="843" t="s">
        <v>811</v>
      </c>
      <c r="B513" s="841"/>
      <c r="C513" s="841"/>
      <c r="D513" s="841"/>
    </row>
    <row r="514" spans="1:4">
      <c r="A514" s="841"/>
      <c r="B514" s="841" t="s">
        <v>547</v>
      </c>
      <c r="C514" s="841">
        <v>100</v>
      </c>
      <c r="D514" s="841">
        <v>0</v>
      </c>
    </row>
    <row r="515" spans="1:4">
      <c r="A515" s="841"/>
      <c r="B515" s="841" t="s">
        <v>810</v>
      </c>
      <c r="C515" s="841">
        <v>0</v>
      </c>
      <c r="D515" s="841">
        <v>1264</v>
      </c>
    </row>
    <row r="516" spans="1:4" ht="15.75">
      <c r="A516" s="844" t="s">
        <v>809</v>
      </c>
      <c r="B516" s="841"/>
      <c r="C516" s="841"/>
      <c r="D516" s="841"/>
    </row>
    <row r="517" spans="1:4">
      <c r="A517" s="841"/>
      <c r="B517" s="841"/>
      <c r="C517" s="841"/>
      <c r="D517" s="841"/>
    </row>
    <row r="518" spans="1:4">
      <c r="A518" s="843" t="s">
        <v>5</v>
      </c>
      <c r="B518" s="841"/>
      <c r="C518" s="841"/>
      <c r="D518" s="841"/>
    </row>
    <row r="519" spans="1:4">
      <c r="A519" s="841"/>
      <c r="B519" s="841" t="s">
        <v>808</v>
      </c>
      <c r="C519" s="841">
        <v>-273</v>
      </c>
      <c r="D519" s="841">
        <v>0</v>
      </c>
    </row>
    <row r="520" spans="1:4">
      <c r="A520" s="841"/>
      <c r="B520" s="841" t="s">
        <v>806</v>
      </c>
      <c r="C520" s="841">
        <f>SUBTOTAL(9,C516:C519)</f>
        <v>-273</v>
      </c>
      <c r="D520" s="841">
        <f>SUBTOTAL(9,D516:D519)</f>
        <v>0</v>
      </c>
    </row>
    <row r="521" spans="1:4" ht="15.75">
      <c r="A521" s="844" t="s">
        <v>807</v>
      </c>
      <c r="B521" s="841"/>
      <c r="C521" s="841"/>
      <c r="D521" s="841"/>
    </row>
    <row r="522" spans="1:4">
      <c r="A522" s="841"/>
      <c r="B522" s="841" t="s">
        <v>806</v>
      </c>
      <c r="C522" s="841">
        <f>SUBTOTAL(9,C520:C521)</f>
        <v>0</v>
      </c>
      <c r="D522" s="841">
        <f>SUBTOTAL(9,D520:D521)</f>
        <v>0</v>
      </c>
    </row>
    <row r="523" spans="1:4">
      <c r="A523" s="841"/>
      <c r="B523" s="841"/>
      <c r="C523" s="841"/>
      <c r="D523" s="841"/>
    </row>
    <row r="524" spans="1:4" ht="15.75" thickBot="1">
      <c r="A524" s="841"/>
      <c r="B524" s="843" t="s">
        <v>362</v>
      </c>
      <c r="C524" s="842">
        <f>SUBTOTAL(9,C10:C523)</f>
        <v>2820389</v>
      </c>
      <c r="D524" s="842">
        <f>SUBTOTAL(9,D10:D523)</f>
        <v>2159464</v>
      </c>
    </row>
    <row r="525" spans="1:4" ht="15.75" thickTop="1">
      <c r="A525" s="841"/>
      <c r="B525" s="841"/>
      <c r="C525" s="841"/>
      <c r="D525" s="841"/>
    </row>
  </sheetData>
  <mergeCells count="4">
    <mergeCell ref="A1:D1"/>
    <mergeCell ref="A2:D2"/>
    <mergeCell ref="A3:D3"/>
    <mergeCell ref="A4:D4"/>
  </mergeCells>
  <printOptions horizontalCentered="1"/>
  <pageMargins left="0.7" right="0.7" top="0.75" bottom="0.75" header="0.3" footer="0.3"/>
  <pageSetup scale="98" fitToHeight="300" orientation="portrait" horizontalDpi="1200" verticalDpi="1200" r:id="rId1"/>
  <headerFooter>
    <oddFooter>&amp;LHouse Office of Program Research–Fiscal Committees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J53"/>
  <sheetViews>
    <sheetView workbookViewId="0"/>
  </sheetViews>
  <sheetFormatPr defaultColWidth="15.125" defaultRowHeight="12.75"/>
  <cols>
    <col min="1" max="1" width="27.375" style="848" customWidth="1"/>
    <col min="2" max="2" width="9.75" style="848" bestFit="1" customWidth="1"/>
    <col min="3" max="3" width="8" style="848" customWidth="1"/>
    <col min="4" max="4" width="9.25" style="848" bestFit="1" customWidth="1"/>
    <col min="5" max="5" width="9.375" style="848" bestFit="1" customWidth="1"/>
    <col min="6" max="6" width="9.875" style="848" bestFit="1" customWidth="1"/>
    <col min="7" max="7" width="9.5" style="848" bestFit="1" customWidth="1"/>
    <col min="8" max="8" width="9.25" style="848" bestFit="1" customWidth="1"/>
    <col min="9" max="9" width="8.75" style="848" bestFit="1" customWidth="1"/>
    <col min="10" max="256" width="15.125" style="848"/>
    <col min="257" max="257" width="27.375" style="848" customWidth="1"/>
    <col min="258" max="258" width="9.625" style="848" bestFit="1" customWidth="1"/>
    <col min="259" max="259" width="8" style="848" customWidth="1"/>
    <col min="260" max="260" width="9.125" style="848" bestFit="1" customWidth="1"/>
    <col min="261" max="261" width="9.25" style="848" bestFit="1" customWidth="1"/>
    <col min="262" max="262" width="9.75" style="848" bestFit="1" customWidth="1"/>
    <col min="263" max="264" width="9.125" style="848" bestFit="1" customWidth="1"/>
    <col min="265" max="265" width="8.625" style="848" bestFit="1" customWidth="1"/>
    <col min="266" max="512" width="15.125" style="848"/>
    <col min="513" max="513" width="27.375" style="848" customWidth="1"/>
    <col min="514" max="514" width="9.625" style="848" bestFit="1" customWidth="1"/>
    <col min="515" max="515" width="8" style="848" customWidth="1"/>
    <col min="516" max="516" width="9.125" style="848" bestFit="1" customWidth="1"/>
    <col min="517" max="517" width="9.25" style="848" bestFit="1" customWidth="1"/>
    <col min="518" max="518" width="9.75" style="848" bestFit="1" customWidth="1"/>
    <col min="519" max="520" width="9.125" style="848" bestFit="1" customWidth="1"/>
    <col min="521" max="521" width="8.625" style="848" bestFit="1" customWidth="1"/>
    <col min="522" max="768" width="15.125" style="848"/>
    <col min="769" max="769" width="27.375" style="848" customWidth="1"/>
    <col min="770" max="770" width="9.625" style="848" bestFit="1" customWidth="1"/>
    <col min="771" max="771" width="8" style="848" customWidth="1"/>
    <col min="772" max="772" width="9.125" style="848" bestFit="1" customWidth="1"/>
    <col min="773" max="773" width="9.25" style="848" bestFit="1" customWidth="1"/>
    <col min="774" max="774" width="9.75" style="848" bestFit="1" customWidth="1"/>
    <col min="775" max="776" width="9.125" style="848" bestFit="1" customWidth="1"/>
    <col min="777" max="777" width="8.625" style="848" bestFit="1" customWidth="1"/>
    <col min="778" max="1024" width="15.125" style="848"/>
    <col min="1025" max="1025" width="27.375" style="848" customWidth="1"/>
    <col min="1026" max="1026" width="9.625" style="848" bestFit="1" customWidth="1"/>
    <col min="1027" max="1027" width="8" style="848" customWidth="1"/>
    <col min="1028" max="1028" width="9.125" style="848" bestFit="1" customWidth="1"/>
    <col min="1029" max="1029" width="9.25" style="848" bestFit="1" customWidth="1"/>
    <col min="1030" max="1030" width="9.75" style="848" bestFit="1" customWidth="1"/>
    <col min="1031" max="1032" width="9.125" style="848" bestFit="1" customWidth="1"/>
    <col min="1033" max="1033" width="8.625" style="848" bestFit="1" customWidth="1"/>
    <col min="1034" max="1280" width="15.125" style="848"/>
    <col min="1281" max="1281" width="27.375" style="848" customWidth="1"/>
    <col min="1282" max="1282" width="9.625" style="848" bestFit="1" customWidth="1"/>
    <col min="1283" max="1283" width="8" style="848" customWidth="1"/>
    <col min="1284" max="1284" width="9.125" style="848" bestFit="1" customWidth="1"/>
    <col min="1285" max="1285" width="9.25" style="848" bestFit="1" customWidth="1"/>
    <col min="1286" max="1286" width="9.75" style="848" bestFit="1" customWidth="1"/>
    <col min="1287" max="1288" width="9.125" style="848" bestFit="1" customWidth="1"/>
    <col min="1289" max="1289" width="8.625" style="848" bestFit="1" customWidth="1"/>
    <col min="1290" max="1536" width="15.125" style="848"/>
    <col min="1537" max="1537" width="27.375" style="848" customWidth="1"/>
    <col min="1538" max="1538" width="9.625" style="848" bestFit="1" customWidth="1"/>
    <col min="1539" max="1539" width="8" style="848" customWidth="1"/>
    <col min="1540" max="1540" width="9.125" style="848" bestFit="1" customWidth="1"/>
    <col min="1541" max="1541" width="9.25" style="848" bestFit="1" customWidth="1"/>
    <col min="1542" max="1542" width="9.75" style="848" bestFit="1" customWidth="1"/>
    <col min="1543" max="1544" width="9.125" style="848" bestFit="1" customWidth="1"/>
    <col min="1545" max="1545" width="8.625" style="848" bestFit="1" customWidth="1"/>
    <col min="1546" max="1792" width="15.125" style="848"/>
    <col min="1793" max="1793" width="27.375" style="848" customWidth="1"/>
    <col min="1794" max="1794" width="9.625" style="848" bestFit="1" customWidth="1"/>
    <col min="1795" max="1795" width="8" style="848" customWidth="1"/>
    <col min="1796" max="1796" width="9.125" style="848" bestFit="1" customWidth="1"/>
    <col min="1797" max="1797" width="9.25" style="848" bestFit="1" customWidth="1"/>
    <col min="1798" max="1798" width="9.75" style="848" bestFit="1" customWidth="1"/>
    <col min="1799" max="1800" width="9.125" style="848" bestFit="1" customWidth="1"/>
    <col min="1801" max="1801" width="8.625" style="848" bestFit="1" customWidth="1"/>
    <col min="1802" max="2048" width="15.125" style="848"/>
    <col min="2049" max="2049" width="27.375" style="848" customWidth="1"/>
    <col min="2050" max="2050" width="9.625" style="848" bestFit="1" customWidth="1"/>
    <col min="2051" max="2051" width="8" style="848" customWidth="1"/>
    <col min="2052" max="2052" width="9.125" style="848" bestFit="1" customWidth="1"/>
    <col min="2053" max="2053" width="9.25" style="848" bestFit="1" customWidth="1"/>
    <col min="2054" max="2054" width="9.75" style="848" bestFit="1" customWidth="1"/>
    <col min="2055" max="2056" width="9.125" style="848" bestFit="1" customWidth="1"/>
    <col min="2057" max="2057" width="8.625" style="848" bestFit="1" customWidth="1"/>
    <col min="2058" max="2304" width="15.125" style="848"/>
    <col min="2305" max="2305" width="27.375" style="848" customWidth="1"/>
    <col min="2306" max="2306" width="9.625" style="848" bestFit="1" customWidth="1"/>
    <col min="2307" max="2307" width="8" style="848" customWidth="1"/>
    <col min="2308" max="2308" width="9.125" style="848" bestFit="1" customWidth="1"/>
    <col min="2309" max="2309" width="9.25" style="848" bestFit="1" customWidth="1"/>
    <col min="2310" max="2310" width="9.75" style="848" bestFit="1" customWidth="1"/>
    <col min="2311" max="2312" width="9.125" style="848" bestFit="1" customWidth="1"/>
    <col min="2313" max="2313" width="8.625" style="848" bestFit="1" customWidth="1"/>
    <col min="2314" max="2560" width="15.125" style="848"/>
    <col min="2561" max="2561" width="27.375" style="848" customWidth="1"/>
    <col min="2562" max="2562" width="9.625" style="848" bestFit="1" customWidth="1"/>
    <col min="2563" max="2563" width="8" style="848" customWidth="1"/>
    <col min="2564" max="2564" width="9.125" style="848" bestFit="1" customWidth="1"/>
    <col min="2565" max="2565" width="9.25" style="848" bestFit="1" customWidth="1"/>
    <col min="2566" max="2566" width="9.75" style="848" bestFit="1" customWidth="1"/>
    <col min="2567" max="2568" width="9.125" style="848" bestFit="1" customWidth="1"/>
    <col min="2569" max="2569" width="8.625" style="848" bestFit="1" customWidth="1"/>
    <col min="2570" max="2816" width="15.125" style="848"/>
    <col min="2817" max="2817" width="27.375" style="848" customWidth="1"/>
    <col min="2818" max="2818" width="9.625" style="848" bestFit="1" customWidth="1"/>
    <col min="2819" max="2819" width="8" style="848" customWidth="1"/>
    <col min="2820" max="2820" width="9.125" style="848" bestFit="1" customWidth="1"/>
    <col min="2821" max="2821" width="9.25" style="848" bestFit="1" customWidth="1"/>
    <col min="2822" max="2822" width="9.75" style="848" bestFit="1" customWidth="1"/>
    <col min="2823" max="2824" width="9.125" style="848" bestFit="1" customWidth="1"/>
    <col min="2825" max="2825" width="8.625" style="848" bestFit="1" customWidth="1"/>
    <col min="2826" max="3072" width="15.125" style="848"/>
    <col min="3073" max="3073" width="27.375" style="848" customWidth="1"/>
    <col min="3074" max="3074" width="9.625" style="848" bestFit="1" customWidth="1"/>
    <col min="3075" max="3075" width="8" style="848" customWidth="1"/>
    <col min="3076" max="3076" width="9.125" style="848" bestFit="1" customWidth="1"/>
    <col min="3077" max="3077" width="9.25" style="848" bestFit="1" customWidth="1"/>
    <col min="3078" max="3078" width="9.75" style="848" bestFit="1" customWidth="1"/>
    <col min="3079" max="3080" width="9.125" style="848" bestFit="1" customWidth="1"/>
    <col min="3081" max="3081" width="8.625" style="848" bestFit="1" customWidth="1"/>
    <col min="3082" max="3328" width="15.125" style="848"/>
    <col min="3329" max="3329" width="27.375" style="848" customWidth="1"/>
    <col min="3330" max="3330" width="9.625" style="848" bestFit="1" customWidth="1"/>
    <col min="3331" max="3331" width="8" style="848" customWidth="1"/>
    <col min="3332" max="3332" width="9.125" style="848" bestFit="1" customWidth="1"/>
    <col min="3333" max="3333" width="9.25" style="848" bestFit="1" customWidth="1"/>
    <col min="3334" max="3334" width="9.75" style="848" bestFit="1" customWidth="1"/>
    <col min="3335" max="3336" width="9.125" style="848" bestFit="1" customWidth="1"/>
    <col min="3337" max="3337" width="8.625" style="848" bestFit="1" customWidth="1"/>
    <col min="3338" max="3584" width="15.125" style="848"/>
    <col min="3585" max="3585" width="27.375" style="848" customWidth="1"/>
    <col min="3586" max="3586" width="9.625" style="848" bestFit="1" customWidth="1"/>
    <col min="3587" max="3587" width="8" style="848" customWidth="1"/>
    <col min="3588" max="3588" width="9.125" style="848" bestFit="1" customWidth="1"/>
    <col min="3589" max="3589" width="9.25" style="848" bestFit="1" customWidth="1"/>
    <col min="3590" max="3590" width="9.75" style="848" bestFit="1" customWidth="1"/>
    <col min="3591" max="3592" width="9.125" style="848" bestFit="1" customWidth="1"/>
    <col min="3593" max="3593" width="8.625" style="848" bestFit="1" customWidth="1"/>
    <col min="3594" max="3840" width="15.125" style="848"/>
    <col min="3841" max="3841" width="27.375" style="848" customWidth="1"/>
    <col min="3842" max="3842" width="9.625" style="848" bestFit="1" customWidth="1"/>
    <col min="3843" max="3843" width="8" style="848" customWidth="1"/>
    <col min="3844" max="3844" width="9.125" style="848" bestFit="1" customWidth="1"/>
    <col min="3845" max="3845" width="9.25" style="848" bestFit="1" customWidth="1"/>
    <col min="3846" max="3846" width="9.75" style="848" bestFit="1" customWidth="1"/>
    <col min="3847" max="3848" width="9.125" style="848" bestFit="1" customWidth="1"/>
    <col min="3849" max="3849" width="8.625" style="848" bestFit="1" customWidth="1"/>
    <col min="3850" max="4096" width="15.125" style="848"/>
    <col min="4097" max="4097" width="27.375" style="848" customWidth="1"/>
    <col min="4098" max="4098" width="9.625" style="848" bestFit="1" customWidth="1"/>
    <col min="4099" max="4099" width="8" style="848" customWidth="1"/>
    <col min="4100" max="4100" width="9.125" style="848" bestFit="1" customWidth="1"/>
    <col min="4101" max="4101" width="9.25" style="848" bestFit="1" customWidth="1"/>
    <col min="4102" max="4102" width="9.75" style="848" bestFit="1" customWidth="1"/>
    <col min="4103" max="4104" width="9.125" style="848" bestFit="1" customWidth="1"/>
    <col min="4105" max="4105" width="8.625" style="848" bestFit="1" customWidth="1"/>
    <col min="4106" max="4352" width="15.125" style="848"/>
    <col min="4353" max="4353" width="27.375" style="848" customWidth="1"/>
    <col min="4354" max="4354" width="9.625" style="848" bestFit="1" customWidth="1"/>
    <col min="4355" max="4355" width="8" style="848" customWidth="1"/>
    <col min="4356" max="4356" width="9.125" style="848" bestFit="1" customWidth="1"/>
    <col min="4357" max="4357" width="9.25" style="848" bestFit="1" customWidth="1"/>
    <col min="4358" max="4358" width="9.75" style="848" bestFit="1" customWidth="1"/>
    <col min="4359" max="4360" width="9.125" style="848" bestFit="1" customWidth="1"/>
    <col min="4361" max="4361" width="8.625" style="848" bestFit="1" customWidth="1"/>
    <col min="4362" max="4608" width="15.125" style="848"/>
    <col min="4609" max="4609" width="27.375" style="848" customWidth="1"/>
    <col min="4610" max="4610" width="9.625" style="848" bestFit="1" customWidth="1"/>
    <col min="4611" max="4611" width="8" style="848" customWidth="1"/>
    <col min="4612" max="4612" width="9.125" style="848" bestFit="1" customWidth="1"/>
    <col min="4613" max="4613" width="9.25" style="848" bestFit="1" customWidth="1"/>
    <col min="4614" max="4614" width="9.75" style="848" bestFit="1" customWidth="1"/>
    <col min="4615" max="4616" width="9.125" style="848" bestFit="1" customWidth="1"/>
    <col min="4617" max="4617" width="8.625" style="848" bestFit="1" customWidth="1"/>
    <col min="4618" max="4864" width="15.125" style="848"/>
    <col min="4865" max="4865" width="27.375" style="848" customWidth="1"/>
    <col min="4866" max="4866" width="9.625" style="848" bestFit="1" customWidth="1"/>
    <col min="4867" max="4867" width="8" style="848" customWidth="1"/>
    <col min="4868" max="4868" width="9.125" style="848" bestFit="1" customWidth="1"/>
    <col min="4869" max="4869" width="9.25" style="848" bestFit="1" customWidth="1"/>
    <col min="4870" max="4870" width="9.75" style="848" bestFit="1" customWidth="1"/>
    <col min="4871" max="4872" width="9.125" style="848" bestFit="1" customWidth="1"/>
    <col min="4873" max="4873" width="8.625" style="848" bestFit="1" customWidth="1"/>
    <col min="4874" max="5120" width="15.125" style="848"/>
    <col min="5121" max="5121" width="27.375" style="848" customWidth="1"/>
    <col min="5122" max="5122" width="9.625" style="848" bestFit="1" customWidth="1"/>
    <col min="5123" max="5123" width="8" style="848" customWidth="1"/>
    <col min="5124" max="5124" width="9.125" style="848" bestFit="1" customWidth="1"/>
    <col min="5125" max="5125" width="9.25" style="848" bestFit="1" customWidth="1"/>
    <col min="5126" max="5126" width="9.75" style="848" bestFit="1" customWidth="1"/>
    <col min="5127" max="5128" width="9.125" style="848" bestFit="1" customWidth="1"/>
    <col min="5129" max="5129" width="8.625" style="848" bestFit="1" customWidth="1"/>
    <col min="5130" max="5376" width="15.125" style="848"/>
    <col min="5377" max="5377" width="27.375" style="848" customWidth="1"/>
    <col min="5378" max="5378" width="9.625" style="848" bestFit="1" customWidth="1"/>
    <col min="5379" max="5379" width="8" style="848" customWidth="1"/>
    <col min="5380" max="5380" width="9.125" style="848" bestFit="1" customWidth="1"/>
    <col min="5381" max="5381" width="9.25" style="848" bestFit="1" customWidth="1"/>
    <col min="5382" max="5382" width="9.75" style="848" bestFit="1" customWidth="1"/>
    <col min="5383" max="5384" width="9.125" style="848" bestFit="1" customWidth="1"/>
    <col min="5385" max="5385" width="8.625" style="848" bestFit="1" customWidth="1"/>
    <col min="5386" max="5632" width="15.125" style="848"/>
    <col min="5633" max="5633" width="27.375" style="848" customWidth="1"/>
    <col min="5634" max="5634" width="9.625" style="848" bestFit="1" customWidth="1"/>
    <col min="5635" max="5635" width="8" style="848" customWidth="1"/>
    <col min="5636" max="5636" width="9.125" style="848" bestFit="1" customWidth="1"/>
    <col min="5637" max="5637" width="9.25" style="848" bestFit="1" customWidth="1"/>
    <col min="5638" max="5638" width="9.75" style="848" bestFit="1" customWidth="1"/>
    <col min="5639" max="5640" width="9.125" style="848" bestFit="1" customWidth="1"/>
    <col min="5641" max="5641" width="8.625" style="848" bestFit="1" customWidth="1"/>
    <col min="5642" max="5888" width="15.125" style="848"/>
    <col min="5889" max="5889" width="27.375" style="848" customWidth="1"/>
    <col min="5890" max="5890" width="9.625" style="848" bestFit="1" customWidth="1"/>
    <col min="5891" max="5891" width="8" style="848" customWidth="1"/>
    <col min="5892" max="5892" width="9.125" style="848" bestFit="1" customWidth="1"/>
    <col min="5893" max="5893" width="9.25" style="848" bestFit="1" customWidth="1"/>
    <col min="5894" max="5894" width="9.75" style="848" bestFit="1" customWidth="1"/>
    <col min="5895" max="5896" width="9.125" style="848" bestFit="1" customWidth="1"/>
    <col min="5897" max="5897" width="8.625" style="848" bestFit="1" customWidth="1"/>
    <col min="5898" max="6144" width="15.125" style="848"/>
    <col min="6145" max="6145" width="27.375" style="848" customWidth="1"/>
    <col min="6146" max="6146" width="9.625" style="848" bestFit="1" customWidth="1"/>
    <col min="6147" max="6147" width="8" style="848" customWidth="1"/>
    <col min="6148" max="6148" width="9.125" style="848" bestFit="1" customWidth="1"/>
    <col min="6149" max="6149" width="9.25" style="848" bestFit="1" customWidth="1"/>
    <col min="6150" max="6150" width="9.75" style="848" bestFit="1" customWidth="1"/>
    <col min="6151" max="6152" width="9.125" style="848" bestFit="1" customWidth="1"/>
    <col min="6153" max="6153" width="8.625" style="848" bestFit="1" customWidth="1"/>
    <col min="6154" max="6400" width="15.125" style="848"/>
    <col min="6401" max="6401" width="27.375" style="848" customWidth="1"/>
    <col min="6402" max="6402" width="9.625" style="848" bestFit="1" customWidth="1"/>
    <col min="6403" max="6403" width="8" style="848" customWidth="1"/>
    <col min="6404" max="6404" width="9.125" style="848" bestFit="1" customWidth="1"/>
    <col min="6405" max="6405" width="9.25" style="848" bestFit="1" customWidth="1"/>
    <col min="6406" max="6406" width="9.75" style="848" bestFit="1" customWidth="1"/>
    <col min="6407" max="6408" width="9.125" style="848" bestFit="1" customWidth="1"/>
    <col min="6409" max="6409" width="8.625" style="848" bestFit="1" customWidth="1"/>
    <col min="6410" max="6656" width="15.125" style="848"/>
    <col min="6657" max="6657" width="27.375" style="848" customWidth="1"/>
    <col min="6658" max="6658" width="9.625" style="848" bestFit="1" customWidth="1"/>
    <col min="6659" max="6659" width="8" style="848" customWidth="1"/>
    <col min="6660" max="6660" width="9.125" style="848" bestFit="1" customWidth="1"/>
    <col min="6661" max="6661" width="9.25" style="848" bestFit="1" customWidth="1"/>
    <col min="6662" max="6662" width="9.75" style="848" bestFit="1" customWidth="1"/>
    <col min="6663" max="6664" width="9.125" style="848" bestFit="1" customWidth="1"/>
    <col min="6665" max="6665" width="8.625" style="848" bestFit="1" customWidth="1"/>
    <col min="6666" max="6912" width="15.125" style="848"/>
    <col min="6913" max="6913" width="27.375" style="848" customWidth="1"/>
    <col min="6914" max="6914" width="9.625" style="848" bestFit="1" customWidth="1"/>
    <col min="6915" max="6915" width="8" style="848" customWidth="1"/>
    <col min="6916" max="6916" width="9.125" style="848" bestFit="1" customWidth="1"/>
    <col min="6917" max="6917" width="9.25" style="848" bestFit="1" customWidth="1"/>
    <col min="6918" max="6918" width="9.75" style="848" bestFit="1" customWidth="1"/>
    <col min="6919" max="6920" width="9.125" style="848" bestFit="1" customWidth="1"/>
    <col min="6921" max="6921" width="8.625" style="848" bestFit="1" customWidth="1"/>
    <col min="6922" max="7168" width="15.125" style="848"/>
    <col min="7169" max="7169" width="27.375" style="848" customWidth="1"/>
    <col min="7170" max="7170" width="9.625" style="848" bestFit="1" customWidth="1"/>
    <col min="7171" max="7171" width="8" style="848" customWidth="1"/>
    <col min="7172" max="7172" width="9.125" style="848" bestFit="1" customWidth="1"/>
    <col min="7173" max="7173" width="9.25" style="848" bestFit="1" customWidth="1"/>
    <col min="7174" max="7174" width="9.75" style="848" bestFit="1" customWidth="1"/>
    <col min="7175" max="7176" width="9.125" style="848" bestFit="1" customWidth="1"/>
    <col min="7177" max="7177" width="8.625" style="848" bestFit="1" customWidth="1"/>
    <col min="7178" max="7424" width="15.125" style="848"/>
    <col min="7425" max="7425" width="27.375" style="848" customWidth="1"/>
    <col min="7426" max="7426" width="9.625" style="848" bestFit="1" customWidth="1"/>
    <col min="7427" max="7427" width="8" style="848" customWidth="1"/>
    <col min="7428" max="7428" width="9.125" style="848" bestFit="1" customWidth="1"/>
    <col min="7429" max="7429" width="9.25" style="848" bestFit="1" customWidth="1"/>
    <col min="7430" max="7430" width="9.75" style="848" bestFit="1" customWidth="1"/>
    <col min="7431" max="7432" width="9.125" style="848" bestFit="1" customWidth="1"/>
    <col min="7433" max="7433" width="8.625" style="848" bestFit="1" customWidth="1"/>
    <col min="7434" max="7680" width="15.125" style="848"/>
    <col min="7681" max="7681" width="27.375" style="848" customWidth="1"/>
    <col min="7682" max="7682" width="9.625" style="848" bestFit="1" customWidth="1"/>
    <col min="7683" max="7683" width="8" style="848" customWidth="1"/>
    <col min="7684" max="7684" width="9.125" style="848" bestFit="1" customWidth="1"/>
    <col min="7685" max="7685" width="9.25" style="848" bestFit="1" customWidth="1"/>
    <col min="7686" max="7686" width="9.75" style="848" bestFit="1" customWidth="1"/>
    <col min="7687" max="7688" width="9.125" style="848" bestFit="1" customWidth="1"/>
    <col min="7689" max="7689" width="8.625" style="848" bestFit="1" customWidth="1"/>
    <col min="7690" max="7936" width="15.125" style="848"/>
    <col min="7937" max="7937" width="27.375" style="848" customWidth="1"/>
    <col min="7938" max="7938" width="9.625" style="848" bestFit="1" customWidth="1"/>
    <col min="7939" max="7939" width="8" style="848" customWidth="1"/>
    <col min="7940" max="7940" width="9.125" style="848" bestFit="1" customWidth="1"/>
    <col min="7941" max="7941" width="9.25" style="848" bestFit="1" customWidth="1"/>
    <col min="7942" max="7942" width="9.75" style="848" bestFit="1" customWidth="1"/>
    <col min="7943" max="7944" width="9.125" style="848" bestFit="1" customWidth="1"/>
    <col min="7945" max="7945" width="8.625" style="848" bestFit="1" customWidth="1"/>
    <col min="7946" max="8192" width="15.125" style="848"/>
    <col min="8193" max="8193" width="27.375" style="848" customWidth="1"/>
    <col min="8194" max="8194" width="9.625" style="848" bestFit="1" customWidth="1"/>
    <col min="8195" max="8195" width="8" style="848" customWidth="1"/>
    <col min="8196" max="8196" width="9.125" style="848" bestFit="1" customWidth="1"/>
    <col min="8197" max="8197" width="9.25" style="848" bestFit="1" customWidth="1"/>
    <col min="8198" max="8198" width="9.75" style="848" bestFit="1" customWidth="1"/>
    <col min="8199" max="8200" width="9.125" style="848" bestFit="1" customWidth="1"/>
    <col min="8201" max="8201" width="8.625" style="848" bestFit="1" customWidth="1"/>
    <col min="8202" max="8448" width="15.125" style="848"/>
    <col min="8449" max="8449" width="27.375" style="848" customWidth="1"/>
    <col min="8450" max="8450" width="9.625" style="848" bestFit="1" customWidth="1"/>
    <col min="8451" max="8451" width="8" style="848" customWidth="1"/>
    <col min="8452" max="8452" width="9.125" style="848" bestFit="1" customWidth="1"/>
    <col min="8453" max="8453" width="9.25" style="848" bestFit="1" customWidth="1"/>
    <col min="8454" max="8454" width="9.75" style="848" bestFit="1" customWidth="1"/>
    <col min="8455" max="8456" width="9.125" style="848" bestFit="1" customWidth="1"/>
    <col min="8457" max="8457" width="8.625" style="848" bestFit="1" customWidth="1"/>
    <col min="8458" max="8704" width="15.125" style="848"/>
    <col min="8705" max="8705" width="27.375" style="848" customWidth="1"/>
    <col min="8706" max="8706" width="9.625" style="848" bestFit="1" customWidth="1"/>
    <col min="8707" max="8707" width="8" style="848" customWidth="1"/>
    <col min="8708" max="8708" width="9.125" style="848" bestFit="1" customWidth="1"/>
    <col min="8709" max="8709" width="9.25" style="848" bestFit="1" customWidth="1"/>
    <col min="8710" max="8710" width="9.75" style="848" bestFit="1" customWidth="1"/>
    <col min="8711" max="8712" width="9.125" style="848" bestFit="1" customWidth="1"/>
    <col min="8713" max="8713" width="8.625" style="848" bestFit="1" customWidth="1"/>
    <col min="8714" max="8960" width="15.125" style="848"/>
    <col min="8961" max="8961" width="27.375" style="848" customWidth="1"/>
    <col min="8962" max="8962" width="9.625" style="848" bestFit="1" customWidth="1"/>
    <col min="8963" max="8963" width="8" style="848" customWidth="1"/>
    <col min="8964" max="8964" width="9.125" style="848" bestFit="1" customWidth="1"/>
    <col min="8965" max="8965" width="9.25" style="848" bestFit="1" customWidth="1"/>
    <col min="8966" max="8966" width="9.75" style="848" bestFit="1" customWidth="1"/>
    <col min="8967" max="8968" width="9.125" style="848" bestFit="1" customWidth="1"/>
    <col min="8969" max="8969" width="8.625" style="848" bestFit="1" customWidth="1"/>
    <col min="8970" max="9216" width="15.125" style="848"/>
    <col min="9217" max="9217" width="27.375" style="848" customWidth="1"/>
    <col min="9218" max="9218" width="9.625" style="848" bestFit="1" customWidth="1"/>
    <col min="9219" max="9219" width="8" style="848" customWidth="1"/>
    <col min="9220" max="9220" width="9.125" style="848" bestFit="1" customWidth="1"/>
    <col min="9221" max="9221" width="9.25" style="848" bestFit="1" customWidth="1"/>
    <col min="9222" max="9222" width="9.75" style="848" bestFit="1" customWidth="1"/>
    <col min="9223" max="9224" width="9.125" style="848" bestFit="1" customWidth="1"/>
    <col min="9225" max="9225" width="8.625" style="848" bestFit="1" customWidth="1"/>
    <col min="9226" max="9472" width="15.125" style="848"/>
    <col min="9473" max="9473" width="27.375" style="848" customWidth="1"/>
    <col min="9474" max="9474" width="9.625" style="848" bestFit="1" customWidth="1"/>
    <col min="9475" max="9475" width="8" style="848" customWidth="1"/>
    <col min="9476" max="9476" width="9.125" style="848" bestFit="1" customWidth="1"/>
    <col min="9477" max="9477" width="9.25" style="848" bestFit="1" customWidth="1"/>
    <col min="9478" max="9478" width="9.75" style="848" bestFit="1" customWidth="1"/>
    <col min="9479" max="9480" width="9.125" style="848" bestFit="1" customWidth="1"/>
    <col min="9481" max="9481" width="8.625" style="848" bestFit="1" customWidth="1"/>
    <col min="9482" max="9728" width="15.125" style="848"/>
    <col min="9729" max="9729" width="27.375" style="848" customWidth="1"/>
    <col min="9730" max="9730" width="9.625" style="848" bestFit="1" customWidth="1"/>
    <col min="9731" max="9731" width="8" style="848" customWidth="1"/>
    <col min="9732" max="9732" width="9.125" style="848" bestFit="1" customWidth="1"/>
    <col min="9733" max="9733" width="9.25" style="848" bestFit="1" customWidth="1"/>
    <col min="9734" max="9734" width="9.75" style="848" bestFit="1" customWidth="1"/>
    <col min="9735" max="9736" width="9.125" style="848" bestFit="1" customWidth="1"/>
    <col min="9737" max="9737" width="8.625" style="848" bestFit="1" customWidth="1"/>
    <col min="9738" max="9984" width="15.125" style="848"/>
    <col min="9985" max="9985" width="27.375" style="848" customWidth="1"/>
    <col min="9986" max="9986" width="9.625" style="848" bestFit="1" customWidth="1"/>
    <col min="9987" max="9987" width="8" style="848" customWidth="1"/>
    <col min="9988" max="9988" width="9.125" style="848" bestFit="1" customWidth="1"/>
    <col min="9989" max="9989" width="9.25" style="848" bestFit="1" customWidth="1"/>
    <col min="9990" max="9990" width="9.75" style="848" bestFit="1" customWidth="1"/>
    <col min="9991" max="9992" width="9.125" style="848" bestFit="1" customWidth="1"/>
    <col min="9993" max="9993" width="8.625" style="848" bestFit="1" customWidth="1"/>
    <col min="9994" max="10240" width="15.125" style="848"/>
    <col min="10241" max="10241" width="27.375" style="848" customWidth="1"/>
    <col min="10242" max="10242" width="9.625" style="848" bestFit="1" customWidth="1"/>
    <col min="10243" max="10243" width="8" style="848" customWidth="1"/>
    <col min="10244" max="10244" width="9.125" style="848" bestFit="1" customWidth="1"/>
    <col min="10245" max="10245" width="9.25" style="848" bestFit="1" customWidth="1"/>
    <col min="10246" max="10246" width="9.75" style="848" bestFit="1" customWidth="1"/>
    <col min="10247" max="10248" width="9.125" style="848" bestFit="1" customWidth="1"/>
    <col min="10249" max="10249" width="8.625" style="848" bestFit="1" customWidth="1"/>
    <col min="10250" max="10496" width="15.125" style="848"/>
    <col min="10497" max="10497" width="27.375" style="848" customWidth="1"/>
    <col min="10498" max="10498" width="9.625" style="848" bestFit="1" customWidth="1"/>
    <col min="10499" max="10499" width="8" style="848" customWidth="1"/>
    <col min="10500" max="10500" width="9.125" style="848" bestFit="1" customWidth="1"/>
    <col min="10501" max="10501" width="9.25" style="848" bestFit="1" customWidth="1"/>
    <col min="10502" max="10502" width="9.75" style="848" bestFit="1" customWidth="1"/>
    <col min="10503" max="10504" width="9.125" style="848" bestFit="1" customWidth="1"/>
    <col min="10505" max="10505" width="8.625" style="848" bestFit="1" customWidth="1"/>
    <col min="10506" max="10752" width="15.125" style="848"/>
    <col min="10753" max="10753" width="27.375" style="848" customWidth="1"/>
    <col min="10754" max="10754" width="9.625" style="848" bestFit="1" customWidth="1"/>
    <col min="10755" max="10755" width="8" style="848" customWidth="1"/>
    <col min="10756" max="10756" width="9.125" style="848" bestFit="1" customWidth="1"/>
    <col min="10757" max="10757" width="9.25" style="848" bestFit="1" customWidth="1"/>
    <col min="10758" max="10758" width="9.75" style="848" bestFit="1" customWidth="1"/>
    <col min="10759" max="10760" width="9.125" style="848" bestFit="1" customWidth="1"/>
    <col min="10761" max="10761" width="8.625" style="848" bestFit="1" customWidth="1"/>
    <col min="10762" max="11008" width="15.125" style="848"/>
    <col min="11009" max="11009" width="27.375" style="848" customWidth="1"/>
    <col min="11010" max="11010" width="9.625" style="848" bestFit="1" customWidth="1"/>
    <col min="11011" max="11011" width="8" style="848" customWidth="1"/>
    <col min="11012" max="11012" width="9.125" style="848" bestFit="1" customWidth="1"/>
    <col min="11013" max="11013" width="9.25" style="848" bestFit="1" customWidth="1"/>
    <col min="11014" max="11014" width="9.75" style="848" bestFit="1" customWidth="1"/>
    <col min="11015" max="11016" width="9.125" style="848" bestFit="1" customWidth="1"/>
    <col min="11017" max="11017" width="8.625" style="848" bestFit="1" customWidth="1"/>
    <col min="11018" max="11264" width="15.125" style="848"/>
    <col min="11265" max="11265" width="27.375" style="848" customWidth="1"/>
    <col min="11266" max="11266" width="9.625" style="848" bestFit="1" customWidth="1"/>
    <col min="11267" max="11267" width="8" style="848" customWidth="1"/>
    <col min="11268" max="11268" width="9.125" style="848" bestFit="1" customWidth="1"/>
    <col min="11269" max="11269" width="9.25" style="848" bestFit="1" customWidth="1"/>
    <col min="11270" max="11270" width="9.75" style="848" bestFit="1" customWidth="1"/>
    <col min="11271" max="11272" width="9.125" style="848" bestFit="1" customWidth="1"/>
    <col min="11273" max="11273" width="8.625" style="848" bestFit="1" customWidth="1"/>
    <col min="11274" max="11520" width="15.125" style="848"/>
    <col min="11521" max="11521" width="27.375" style="848" customWidth="1"/>
    <col min="11522" max="11522" width="9.625" style="848" bestFit="1" customWidth="1"/>
    <col min="11523" max="11523" width="8" style="848" customWidth="1"/>
    <col min="11524" max="11524" width="9.125" style="848" bestFit="1" customWidth="1"/>
    <col min="11525" max="11525" width="9.25" style="848" bestFit="1" customWidth="1"/>
    <col min="11526" max="11526" width="9.75" style="848" bestFit="1" customWidth="1"/>
    <col min="11527" max="11528" width="9.125" style="848" bestFit="1" customWidth="1"/>
    <col min="11529" max="11529" width="8.625" style="848" bestFit="1" customWidth="1"/>
    <col min="11530" max="11776" width="15.125" style="848"/>
    <col min="11777" max="11777" width="27.375" style="848" customWidth="1"/>
    <col min="11778" max="11778" width="9.625" style="848" bestFit="1" customWidth="1"/>
    <col min="11779" max="11779" width="8" style="848" customWidth="1"/>
    <col min="11780" max="11780" width="9.125" style="848" bestFit="1" customWidth="1"/>
    <col min="11781" max="11781" width="9.25" style="848" bestFit="1" customWidth="1"/>
    <col min="11782" max="11782" width="9.75" style="848" bestFit="1" customWidth="1"/>
    <col min="11783" max="11784" width="9.125" style="848" bestFit="1" customWidth="1"/>
    <col min="11785" max="11785" width="8.625" style="848" bestFit="1" customWidth="1"/>
    <col min="11786" max="12032" width="15.125" style="848"/>
    <col min="12033" max="12033" width="27.375" style="848" customWidth="1"/>
    <col min="12034" max="12034" width="9.625" style="848" bestFit="1" customWidth="1"/>
    <col min="12035" max="12035" width="8" style="848" customWidth="1"/>
    <col min="12036" max="12036" width="9.125" style="848" bestFit="1" customWidth="1"/>
    <col min="12037" max="12037" width="9.25" style="848" bestFit="1" customWidth="1"/>
    <col min="12038" max="12038" width="9.75" style="848" bestFit="1" customWidth="1"/>
    <col min="12039" max="12040" width="9.125" style="848" bestFit="1" customWidth="1"/>
    <col min="12041" max="12041" width="8.625" style="848" bestFit="1" customWidth="1"/>
    <col min="12042" max="12288" width="15.125" style="848"/>
    <col min="12289" max="12289" width="27.375" style="848" customWidth="1"/>
    <col min="12290" max="12290" width="9.625" style="848" bestFit="1" customWidth="1"/>
    <col min="12291" max="12291" width="8" style="848" customWidth="1"/>
    <col min="12292" max="12292" width="9.125" style="848" bestFit="1" customWidth="1"/>
    <col min="12293" max="12293" width="9.25" style="848" bestFit="1" customWidth="1"/>
    <col min="12294" max="12294" width="9.75" style="848" bestFit="1" customWidth="1"/>
    <col min="12295" max="12296" width="9.125" style="848" bestFit="1" customWidth="1"/>
    <col min="12297" max="12297" width="8.625" style="848" bestFit="1" customWidth="1"/>
    <col min="12298" max="12544" width="15.125" style="848"/>
    <col min="12545" max="12545" width="27.375" style="848" customWidth="1"/>
    <col min="12546" max="12546" width="9.625" style="848" bestFit="1" customWidth="1"/>
    <col min="12547" max="12547" width="8" style="848" customWidth="1"/>
    <col min="12548" max="12548" width="9.125" style="848" bestFit="1" customWidth="1"/>
    <col min="12549" max="12549" width="9.25" style="848" bestFit="1" customWidth="1"/>
    <col min="12550" max="12550" width="9.75" style="848" bestFit="1" customWidth="1"/>
    <col min="12551" max="12552" width="9.125" style="848" bestFit="1" customWidth="1"/>
    <col min="12553" max="12553" width="8.625" style="848" bestFit="1" customWidth="1"/>
    <col min="12554" max="12800" width="15.125" style="848"/>
    <col min="12801" max="12801" width="27.375" style="848" customWidth="1"/>
    <col min="12802" max="12802" width="9.625" style="848" bestFit="1" customWidth="1"/>
    <col min="12803" max="12803" width="8" style="848" customWidth="1"/>
    <col min="12804" max="12804" width="9.125" style="848" bestFit="1" customWidth="1"/>
    <col min="12805" max="12805" width="9.25" style="848" bestFit="1" customWidth="1"/>
    <col min="12806" max="12806" width="9.75" style="848" bestFit="1" customWidth="1"/>
    <col min="12807" max="12808" width="9.125" style="848" bestFit="1" customWidth="1"/>
    <col min="12809" max="12809" width="8.625" style="848" bestFit="1" customWidth="1"/>
    <col min="12810" max="13056" width="15.125" style="848"/>
    <col min="13057" max="13057" width="27.375" style="848" customWidth="1"/>
    <col min="13058" max="13058" width="9.625" style="848" bestFit="1" customWidth="1"/>
    <col min="13059" max="13059" width="8" style="848" customWidth="1"/>
    <col min="13060" max="13060" width="9.125" style="848" bestFit="1" customWidth="1"/>
    <col min="13061" max="13061" width="9.25" style="848" bestFit="1" customWidth="1"/>
    <col min="13062" max="13062" width="9.75" style="848" bestFit="1" customWidth="1"/>
    <col min="13063" max="13064" width="9.125" style="848" bestFit="1" customWidth="1"/>
    <col min="13065" max="13065" width="8.625" style="848" bestFit="1" customWidth="1"/>
    <col min="13066" max="13312" width="15.125" style="848"/>
    <col min="13313" max="13313" width="27.375" style="848" customWidth="1"/>
    <col min="13314" max="13314" width="9.625" style="848" bestFit="1" customWidth="1"/>
    <col min="13315" max="13315" width="8" style="848" customWidth="1"/>
    <col min="13316" max="13316" width="9.125" style="848" bestFit="1" customWidth="1"/>
    <col min="13317" max="13317" width="9.25" style="848" bestFit="1" customWidth="1"/>
    <col min="13318" max="13318" width="9.75" style="848" bestFit="1" customWidth="1"/>
    <col min="13319" max="13320" width="9.125" style="848" bestFit="1" customWidth="1"/>
    <col min="13321" max="13321" width="8.625" style="848" bestFit="1" customWidth="1"/>
    <col min="13322" max="13568" width="15.125" style="848"/>
    <col min="13569" max="13569" width="27.375" style="848" customWidth="1"/>
    <col min="13570" max="13570" width="9.625" style="848" bestFit="1" customWidth="1"/>
    <col min="13571" max="13571" width="8" style="848" customWidth="1"/>
    <col min="13572" max="13572" width="9.125" style="848" bestFit="1" customWidth="1"/>
    <col min="13573" max="13573" width="9.25" style="848" bestFit="1" customWidth="1"/>
    <col min="13574" max="13574" width="9.75" style="848" bestFit="1" customWidth="1"/>
    <col min="13575" max="13576" width="9.125" style="848" bestFit="1" customWidth="1"/>
    <col min="13577" max="13577" width="8.625" style="848" bestFit="1" customWidth="1"/>
    <col min="13578" max="13824" width="15.125" style="848"/>
    <col min="13825" max="13825" width="27.375" style="848" customWidth="1"/>
    <col min="13826" max="13826" width="9.625" style="848" bestFit="1" customWidth="1"/>
    <col min="13827" max="13827" width="8" style="848" customWidth="1"/>
    <col min="13828" max="13828" width="9.125" style="848" bestFit="1" customWidth="1"/>
    <col min="13829" max="13829" width="9.25" style="848" bestFit="1" customWidth="1"/>
    <col min="13830" max="13830" width="9.75" style="848" bestFit="1" customWidth="1"/>
    <col min="13831" max="13832" width="9.125" style="848" bestFit="1" customWidth="1"/>
    <col min="13833" max="13833" width="8.625" style="848" bestFit="1" customWidth="1"/>
    <col min="13834" max="14080" width="15.125" style="848"/>
    <col min="14081" max="14081" width="27.375" style="848" customWidth="1"/>
    <col min="14082" max="14082" width="9.625" style="848" bestFit="1" customWidth="1"/>
    <col min="14083" max="14083" width="8" style="848" customWidth="1"/>
    <col min="14084" max="14084" width="9.125" style="848" bestFit="1" customWidth="1"/>
    <col min="14085" max="14085" width="9.25" style="848" bestFit="1" customWidth="1"/>
    <col min="14086" max="14086" width="9.75" style="848" bestFit="1" customWidth="1"/>
    <col min="14087" max="14088" width="9.125" style="848" bestFit="1" customWidth="1"/>
    <col min="14089" max="14089" width="8.625" style="848" bestFit="1" customWidth="1"/>
    <col min="14090" max="14336" width="15.125" style="848"/>
    <col min="14337" max="14337" width="27.375" style="848" customWidth="1"/>
    <col min="14338" max="14338" width="9.625" style="848" bestFit="1" customWidth="1"/>
    <col min="14339" max="14339" width="8" style="848" customWidth="1"/>
    <col min="14340" max="14340" width="9.125" style="848" bestFit="1" customWidth="1"/>
    <col min="14341" max="14341" width="9.25" style="848" bestFit="1" customWidth="1"/>
    <col min="14342" max="14342" width="9.75" style="848" bestFit="1" customWidth="1"/>
    <col min="14343" max="14344" width="9.125" style="848" bestFit="1" customWidth="1"/>
    <col min="14345" max="14345" width="8.625" style="848" bestFit="1" customWidth="1"/>
    <col min="14346" max="14592" width="15.125" style="848"/>
    <col min="14593" max="14593" width="27.375" style="848" customWidth="1"/>
    <col min="14594" max="14594" width="9.625" style="848" bestFit="1" customWidth="1"/>
    <col min="14595" max="14595" width="8" style="848" customWidth="1"/>
    <col min="14596" max="14596" width="9.125" style="848" bestFit="1" customWidth="1"/>
    <col min="14597" max="14597" width="9.25" style="848" bestFit="1" customWidth="1"/>
    <col min="14598" max="14598" width="9.75" style="848" bestFit="1" customWidth="1"/>
    <col min="14599" max="14600" width="9.125" style="848" bestFit="1" customWidth="1"/>
    <col min="14601" max="14601" width="8.625" style="848" bestFit="1" customWidth="1"/>
    <col min="14602" max="14848" width="15.125" style="848"/>
    <col min="14849" max="14849" width="27.375" style="848" customWidth="1"/>
    <col min="14850" max="14850" width="9.625" style="848" bestFit="1" customWidth="1"/>
    <col min="14851" max="14851" width="8" style="848" customWidth="1"/>
    <col min="14852" max="14852" width="9.125" style="848" bestFit="1" customWidth="1"/>
    <col min="14853" max="14853" width="9.25" style="848" bestFit="1" customWidth="1"/>
    <col min="14854" max="14854" width="9.75" style="848" bestFit="1" customWidth="1"/>
    <col min="14855" max="14856" width="9.125" style="848" bestFit="1" customWidth="1"/>
    <col min="14857" max="14857" width="8.625" style="848" bestFit="1" customWidth="1"/>
    <col min="14858" max="15104" width="15.125" style="848"/>
    <col min="15105" max="15105" width="27.375" style="848" customWidth="1"/>
    <col min="15106" max="15106" width="9.625" style="848" bestFit="1" customWidth="1"/>
    <col min="15107" max="15107" width="8" style="848" customWidth="1"/>
    <col min="15108" max="15108" width="9.125" style="848" bestFit="1" customWidth="1"/>
    <col min="15109" max="15109" width="9.25" style="848" bestFit="1" customWidth="1"/>
    <col min="15110" max="15110" width="9.75" style="848" bestFit="1" customWidth="1"/>
    <col min="15111" max="15112" width="9.125" style="848" bestFit="1" customWidth="1"/>
    <col min="15113" max="15113" width="8.625" style="848" bestFit="1" customWidth="1"/>
    <col min="15114" max="15360" width="15.125" style="848"/>
    <col min="15361" max="15361" width="27.375" style="848" customWidth="1"/>
    <col min="15362" max="15362" width="9.625" style="848" bestFit="1" customWidth="1"/>
    <col min="15363" max="15363" width="8" style="848" customWidth="1"/>
    <col min="15364" max="15364" width="9.125" style="848" bestFit="1" customWidth="1"/>
    <col min="15365" max="15365" width="9.25" style="848" bestFit="1" customWidth="1"/>
    <col min="15366" max="15366" width="9.75" style="848" bestFit="1" customWidth="1"/>
    <col min="15367" max="15368" width="9.125" style="848" bestFit="1" customWidth="1"/>
    <col min="15369" max="15369" width="8.625" style="848" bestFit="1" customWidth="1"/>
    <col min="15370" max="15616" width="15.125" style="848"/>
    <col min="15617" max="15617" width="27.375" style="848" customWidth="1"/>
    <col min="15618" max="15618" width="9.625" style="848" bestFit="1" customWidth="1"/>
    <col min="15619" max="15619" width="8" style="848" customWidth="1"/>
    <col min="15620" max="15620" width="9.125" style="848" bestFit="1" customWidth="1"/>
    <col min="15621" max="15621" width="9.25" style="848" bestFit="1" customWidth="1"/>
    <col min="15622" max="15622" width="9.75" style="848" bestFit="1" customWidth="1"/>
    <col min="15623" max="15624" width="9.125" style="848" bestFit="1" customWidth="1"/>
    <col min="15625" max="15625" width="8.625" style="848" bestFit="1" customWidth="1"/>
    <col min="15626" max="15872" width="15.125" style="848"/>
    <col min="15873" max="15873" width="27.375" style="848" customWidth="1"/>
    <col min="15874" max="15874" width="9.625" style="848" bestFit="1" customWidth="1"/>
    <col min="15875" max="15875" width="8" style="848" customWidth="1"/>
    <col min="15876" max="15876" width="9.125" style="848" bestFit="1" customWidth="1"/>
    <col min="15877" max="15877" width="9.25" style="848" bestFit="1" customWidth="1"/>
    <col min="15878" max="15878" width="9.75" style="848" bestFit="1" customWidth="1"/>
    <col min="15879" max="15880" width="9.125" style="848" bestFit="1" customWidth="1"/>
    <col min="15881" max="15881" width="8.625" style="848" bestFit="1" customWidth="1"/>
    <col min="15882" max="16128" width="15.125" style="848"/>
    <col min="16129" max="16129" width="27.375" style="848" customWidth="1"/>
    <col min="16130" max="16130" width="9.625" style="848" bestFit="1" customWidth="1"/>
    <col min="16131" max="16131" width="8" style="848" customWidth="1"/>
    <col min="16132" max="16132" width="9.125" style="848" bestFit="1" customWidth="1"/>
    <col min="16133" max="16133" width="9.25" style="848" bestFit="1" customWidth="1"/>
    <col min="16134" max="16134" width="9.75" style="848" bestFit="1" customWidth="1"/>
    <col min="16135" max="16136" width="9.125" style="848" bestFit="1" customWidth="1"/>
    <col min="16137" max="16137" width="8.625" style="848" bestFit="1" customWidth="1"/>
    <col min="16138" max="16384" width="15.125" style="848"/>
  </cols>
  <sheetData>
    <row r="1" spans="1:9" ht="41.25" customHeight="1"/>
    <row r="2" spans="1:9" s="869" customFormat="1">
      <c r="A2" s="2611" t="s">
        <v>297</v>
      </c>
      <c r="B2" s="2611"/>
      <c r="C2" s="2611"/>
      <c r="D2" s="2611"/>
      <c r="E2" s="2611"/>
      <c r="F2" s="2611"/>
      <c r="G2" s="2611"/>
      <c r="H2" s="2611"/>
      <c r="I2" s="2611"/>
    </row>
    <row r="3" spans="1:9" s="850" customFormat="1">
      <c r="A3" s="2612" t="s">
        <v>1161</v>
      </c>
      <c r="B3" s="2612"/>
      <c r="C3" s="2612"/>
      <c r="D3" s="2612"/>
      <c r="E3" s="2612"/>
      <c r="F3" s="2612"/>
      <c r="G3" s="2612"/>
      <c r="H3" s="2612"/>
      <c r="I3" s="2612"/>
    </row>
    <row r="4" spans="1:9" s="869" customFormat="1" ht="15.75">
      <c r="A4" s="2611" t="s">
        <v>1160</v>
      </c>
      <c r="B4" s="2611"/>
      <c r="C4" s="2611"/>
      <c r="D4" s="2611"/>
      <c r="E4" s="2611"/>
      <c r="F4" s="2611"/>
      <c r="G4" s="2611"/>
      <c r="H4" s="2611"/>
      <c r="I4" s="2611"/>
    </row>
    <row r="5" spans="1:9" s="850" customFormat="1">
      <c r="A5" s="988"/>
      <c r="B5" s="988"/>
      <c r="C5" s="988"/>
      <c r="D5" s="988"/>
      <c r="E5" s="988"/>
      <c r="F5" s="988"/>
      <c r="G5" s="988"/>
      <c r="I5" s="988"/>
    </row>
    <row r="6" spans="1:9" s="869" customFormat="1" ht="15.75">
      <c r="A6" s="987"/>
      <c r="B6" s="2613" t="s">
        <v>592</v>
      </c>
      <c r="C6" s="2614"/>
      <c r="D6" s="2614"/>
      <c r="E6" s="2614"/>
      <c r="F6" s="2615"/>
      <c r="G6" s="986"/>
      <c r="H6" s="2616" t="s">
        <v>77</v>
      </c>
      <c r="I6" s="2617"/>
    </row>
    <row r="7" spans="1:9" s="869" customFormat="1">
      <c r="A7" s="985" t="s">
        <v>485</v>
      </c>
      <c r="B7" s="943" t="s">
        <v>1158</v>
      </c>
      <c r="C7" s="942" t="s">
        <v>1157</v>
      </c>
      <c r="D7" s="943" t="s">
        <v>1156</v>
      </c>
      <c r="E7" s="942" t="s">
        <v>1155</v>
      </c>
      <c r="F7" s="941" t="s">
        <v>465</v>
      </c>
      <c r="G7" s="940" t="s">
        <v>188</v>
      </c>
      <c r="H7" s="984" t="s">
        <v>464</v>
      </c>
      <c r="I7" s="983"/>
    </row>
    <row r="8" spans="1:9" s="869" customFormat="1" ht="13.5" thickBot="1">
      <c r="A8" s="982" t="s">
        <v>310</v>
      </c>
      <c r="B8" s="943" t="s">
        <v>311</v>
      </c>
      <c r="C8" s="981" t="s">
        <v>484</v>
      </c>
      <c r="D8" s="980" t="s">
        <v>311</v>
      </c>
      <c r="E8" s="981" t="s">
        <v>483</v>
      </c>
      <c r="F8" s="980" t="s">
        <v>505</v>
      </c>
      <c r="G8" s="979" t="s">
        <v>505</v>
      </c>
      <c r="H8" s="978" t="s">
        <v>315</v>
      </c>
      <c r="I8" s="977" t="s">
        <v>316</v>
      </c>
    </row>
    <row r="9" spans="1:9" s="869" customFormat="1" ht="13.5" thickTop="1">
      <c r="A9" s="976" t="s">
        <v>2</v>
      </c>
      <c r="B9" s="975"/>
      <c r="C9" s="974">
        <f>C10+C11+C12</f>
        <v>43827.199999999997</v>
      </c>
      <c r="D9" s="974">
        <f>D10+D11+D12</f>
        <v>43025</v>
      </c>
      <c r="E9" s="974">
        <f>E10+E11+E12</f>
        <v>40056.400000000001</v>
      </c>
      <c r="F9" s="974">
        <f>F10+F11+F12</f>
        <v>42302.866666666661</v>
      </c>
      <c r="G9" s="973">
        <v>37162</v>
      </c>
      <c r="H9" s="972">
        <f t="shared" ref="H9:H21" si="0">F9-G9</f>
        <v>5140.8666666666613</v>
      </c>
      <c r="I9" s="971">
        <f>H9/G9</f>
        <v>0.13833665213569402</v>
      </c>
    </row>
    <row r="10" spans="1:9" s="882" customFormat="1">
      <c r="A10" s="970" t="s">
        <v>1159</v>
      </c>
      <c r="B10" s="961"/>
      <c r="C10" s="887">
        <v>38138.9</v>
      </c>
      <c r="D10" s="887">
        <v>37421</v>
      </c>
      <c r="E10" s="887">
        <v>34575.9</v>
      </c>
      <c r="F10" s="887">
        <f>(C10+D10+E10)/3</f>
        <v>36711.933333333327</v>
      </c>
      <c r="G10" s="969"/>
      <c r="H10" s="902">
        <f t="shared" si="0"/>
        <v>36711.933333333327</v>
      </c>
      <c r="I10" s="959"/>
    </row>
    <row r="11" spans="1:9" s="882" customFormat="1">
      <c r="A11" s="970" t="s">
        <v>479</v>
      </c>
      <c r="B11" s="961"/>
      <c r="C11" s="887">
        <v>2804.6</v>
      </c>
      <c r="D11" s="887">
        <v>2674</v>
      </c>
      <c r="E11" s="887">
        <v>2643.7</v>
      </c>
      <c r="F11" s="887">
        <f>(C11+D11+E11)/3</f>
        <v>2707.4333333333334</v>
      </c>
      <c r="G11" s="969"/>
      <c r="H11" s="902">
        <f t="shared" si="0"/>
        <v>2707.4333333333334</v>
      </c>
      <c r="I11" s="959"/>
    </row>
    <row r="12" spans="1:9" s="882" customFormat="1">
      <c r="A12" s="970" t="s">
        <v>478</v>
      </c>
      <c r="B12" s="961"/>
      <c r="C12" s="887">
        <v>2883.7</v>
      </c>
      <c r="D12" s="887">
        <v>2930</v>
      </c>
      <c r="E12" s="887">
        <v>2836.8</v>
      </c>
      <c r="F12" s="887">
        <f>(C12+D12+E12)/3</f>
        <v>2883.5</v>
      </c>
      <c r="G12" s="969"/>
      <c r="H12" s="902">
        <f t="shared" si="0"/>
        <v>2883.5</v>
      </c>
      <c r="I12" s="959"/>
    </row>
    <row r="13" spans="1:9" s="869" customFormat="1">
      <c r="A13" s="955" t="s">
        <v>590</v>
      </c>
      <c r="B13" s="954"/>
      <c r="C13" s="967">
        <f>C14+C15+C16</f>
        <v>24951.5</v>
      </c>
      <c r="D13" s="954"/>
      <c r="E13" s="968">
        <f>E14+E15+E16</f>
        <v>23514.7</v>
      </c>
      <c r="F13" s="967">
        <f>F14+F15+F16</f>
        <v>24233.100000000002</v>
      </c>
      <c r="G13" s="966">
        <f>G14+G15+G16</f>
        <v>22250</v>
      </c>
      <c r="H13" s="965">
        <f t="shared" si="0"/>
        <v>1983.1000000000022</v>
      </c>
      <c r="I13" s="895">
        <f t="shared" ref="I13:I21" si="1">H13/G13</f>
        <v>8.9128089887640552E-2</v>
      </c>
    </row>
    <row r="14" spans="1:9" s="882" customFormat="1">
      <c r="A14" s="962" t="s">
        <v>589</v>
      </c>
      <c r="B14" s="961"/>
      <c r="C14" s="887">
        <v>21385.200000000001</v>
      </c>
      <c r="D14" s="961"/>
      <c r="E14" s="887">
        <v>19996.7</v>
      </c>
      <c r="F14" s="905">
        <f>(C14+E14)/2</f>
        <v>20690.95</v>
      </c>
      <c r="G14" s="963">
        <v>19272</v>
      </c>
      <c r="H14" s="888">
        <f t="shared" si="0"/>
        <v>1418.9500000000007</v>
      </c>
      <c r="I14" s="959">
        <f t="shared" si="1"/>
        <v>7.362754254877546E-2</v>
      </c>
    </row>
    <row r="15" spans="1:9" s="882" customFormat="1">
      <c r="A15" s="964" t="s">
        <v>474</v>
      </c>
      <c r="B15" s="961"/>
      <c r="C15" s="887">
        <v>1140.2</v>
      </c>
      <c r="D15" s="961"/>
      <c r="E15" s="887">
        <v>1116.0999999999999</v>
      </c>
      <c r="F15" s="905">
        <f>(C15+E15)/2</f>
        <v>1128.1500000000001</v>
      </c>
      <c r="G15" s="963">
        <v>865</v>
      </c>
      <c r="H15" s="888">
        <f t="shared" si="0"/>
        <v>263.15000000000009</v>
      </c>
      <c r="I15" s="959">
        <f t="shared" si="1"/>
        <v>0.30421965317919086</v>
      </c>
    </row>
    <row r="16" spans="1:9" s="882" customFormat="1">
      <c r="A16" s="962" t="s">
        <v>473</v>
      </c>
      <c r="B16" s="961"/>
      <c r="C16" s="887">
        <v>2426.1</v>
      </c>
      <c r="D16" s="961"/>
      <c r="E16" s="887">
        <v>2401.9</v>
      </c>
      <c r="F16" s="905">
        <f>(C16+E16)/2</f>
        <v>2414</v>
      </c>
      <c r="G16" s="960">
        <v>2113</v>
      </c>
      <c r="H16" s="888">
        <f t="shared" si="0"/>
        <v>301</v>
      </c>
      <c r="I16" s="959">
        <f t="shared" si="1"/>
        <v>0.14245149077141506</v>
      </c>
    </row>
    <row r="17" spans="1:10" s="869" customFormat="1" ht="17.25" customHeight="1">
      <c r="A17" s="957" t="s">
        <v>5</v>
      </c>
      <c r="B17" s="954"/>
      <c r="C17" s="909">
        <v>10286.799999999999</v>
      </c>
      <c r="D17" s="958">
        <v>9865.2999999999993</v>
      </c>
      <c r="E17" s="958">
        <v>9344.6</v>
      </c>
      <c r="F17" s="956">
        <f>SUM(C17+D17+E17)/3</f>
        <v>9832.2333333333318</v>
      </c>
      <c r="G17" s="952">
        <v>8808</v>
      </c>
      <c r="H17" s="896">
        <f t="shared" si="0"/>
        <v>1024.2333333333318</v>
      </c>
      <c r="I17" s="895">
        <f t="shared" si="1"/>
        <v>0.11628443838934284</v>
      </c>
    </row>
    <row r="18" spans="1:10" s="869" customFormat="1">
      <c r="A18" s="957" t="s">
        <v>4</v>
      </c>
      <c r="B18" s="954"/>
      <c r="C18" s="909">
        <v>10155.700000000001</v>
      </c>
      <c r="D18" s="953">
        <v>9602</v>
      </c>
      <c r="E18" s="953">
        <v>9161.2999999999993</v>
      </c>
      <c r="F18" s="956">
        <f>SUM(C18+D18+E18)/3</f>
        <v>9639.6666666666661</v>
      </c>
      <c r="G18" s="952">
        <v>8734</v>
      </c>
      <c r="H18" s="896">
        <f t="shared" si="0"/>
        <v>905.66666666666606</v>
      </c>
      <c r="I18" s="895">
        <f t="shared" si="1"/>
        <v>0.10369437447523083</v>
      </c>
    </row>
    <row r="19" spans="1:10" s="869" customFormat="1">
      <c r="A19" s="957" t="s">
        <v>6</v>
      </c>
      <c r="B19" s="898">
        <v>23.8</v>
      </c>
      <c r="C19" s="909">
        <f>4779+23.28</f>
        <v>4802.28</v>
      </c>
      <c r="D19" s="953">
        <f>4497.4+16.76</f>
        <v>4514.16</v>
      </c>
      <c r="E19" s="953">
        <f>4315.47+22.06</f>
        <v>4337.5300000000007</v>
      </c>
      <c r="F19" s="956">
        <f>SUM(B19+C19+D19+E19)/3</f>
        <v>4559.2566666666671</v>
      </c>
      <c r="G19" s="952">
        <v>4213</v>
      </c>
      <c r="H19" s="896">
        <f t="shared" si="0"/>
        <v>346.25666666666712</v>
      </c>
      <c r="I19" s="895">
        <f t="shared" si="1"/>
        <v>8.2187673075401646E-2</v>
      </c>
    </row>
    <row r="20" spans="1:10" s="869" customFormat="1" ht="13.5" thickBot="1">
      <c r="A20" s="955" t="s">
        <v>7</v>
      </c>
      <c r="B20" s="954"/>
      <c r="C20" s="909">
        <v>13176.2</v>
      </c>
      <c r="D20" s="953">
        <v>12655.3</v>
      </c>
      <c r="E20" s="953">
        <v>12110.6</v>
      </c>
      <c r="F20" s="953">
        <f>SUM(C20+D20+E20)/3</f>
        <v>12647.366666666667</v>
      </c>
      <c r="G20" s="952">
        <v>11762</v>
      </c>
      <c r="H20" s="896">
        <f t="shared" si="0"/>
        <v>885.36666666666679</v>
      </c>
      <c r="I20" s="951">
        <f t="shared" si="1"/>
        <v>7.5273479566967075E-2</v>
      </c>
    </row>
    <row r="21" spans="1:10" s="869" customFormat="1" ht="13.5" thickTop="1">
      <c r="A21" s="950" t="s">
        <v>472</v>
      </c>
      <c r="B21" s="949">
        <f>B19</f>
        <v>23.8</v>
      </c>
      <c r="C21" s="949">
        <f>C9+C13+C17+C18+C19+C20</f>
        <v>107199.67999999999</v>
      </c>
      <c r="D21" s="949">
        <f>D9+D13+D17+D18+D19+D20</f>
        <v>79661.760000000009</v>
      </c>
      <c r="E21" s="949">
        <f>E9+E13+E17+E18+E19+E20</f>
        <v>98525.130000000019</v>
      </c>
      <c r="F21" s="949">
        <f>F9+F13+F17+F18+F19+F20</f>
        <v>103214.49</v>
      </c>
      <c r="G21" s="949">
        <f>G9+G13+G17+G18+G19+G20</f>
        <v>92929</v>
      </c>
      <c r="H21" s="949">
        <f t="shared" si="0"/>
        <v>10285.490000000005</v>
      </c>
      <c r="I21" s="948">
        <f t="shared" si="1"/>
        <v>0.11068116519062945</v>
      </c>
    </row>
    <row r="22" spans="1:10" s="869" customFormat="1">
      <c r="A22" s="947"/>
      <c r="B22" s="946"/>
      <c r="C22" s="946"/>
      <c r="D22" s="946"/>
      <c r="E22" s="946"/>
      <c r="F22" s="946"/>
      <c r="G22" s="946"/>
      <c r="H22" s="946"/>
      <c r="I22" s="945"/>
    </row>
    <row r="23" spans="1:10" s="869" customFormat="1">
      <c r="A23" s="2602" t="s">
        <v>588</v>
      </c>
      <c r="B23" s="2605" t="s">
        <v>77</v>
      </c>
      <c r="C23" s="2606"/>
      <c r="D23" s="2606"/>
      <c r="E23" s="2606"/>
      <c r="F23" s="2607"/>
      <c r="G23" s="944"/>
      <c r="H23" s="2608" t="s">
        <v>587</v>
      </c>
      <c r="I23" s="2609"/>
    </row>
    <row r="24" spans="1:10" s="869" customFormat="1">
      <c r="A24" s="2603"/>
      <c r="B24" s="943" t="s">
        <v>1158</v>
      </c>
      <c r="C24" s="942" t="s">
        <v>1157</v>
      </c>
      <c r="D24" s="943" t="s">
        <v>1156</v>
      </c>
      <c r="E24" s="942" t="s">
        <v>1155</v>
      </c>
      <c r="F24" s="941" t="s">
        <v>465</v>
      </c>
      <c r="G24" s="940" t="s">
        <v>307</v>
      </c>
      <c r="H24" s="939" t="s">
        <v>464</v>
      </c>
      <c r="I24" s="938"/>
    </row>
    <row r="25" spans="1:10" s="869" customFormat="1" ht="13.5" thickBot="1">
      <c r="A25" s="2604"/>
      <c r="B25" s="937" t="s">
        <v>340</v>
      </c>
      <c r="C25" s="937" t="s">
        <v>340</v>
      </c>
      <c r="D25" s="937" t="s">
        <v>311</v>
      </c>
      <c r="E25" s="936" t="s">
        <v>311</v>
      </c>
      <c r="F25" s="935" t="s">
        <v>505</v>
      </c>
      <c r="G25" s="935" t="s">
        <v>505</v>
      </c>
      <c r="H25" s="934" t="s">
        <v>315</v>
      </c>
      <c r="I25" s="933" t="s">
        <v>316</v>
      </c>
    </row>
    <row r="26" spans="1:10" s="869" customFormat="1" ht="26.25" thickTop="1">
      <c r="A26" s="932" t="s">
        <v>582</v>
      </c>
      <c r="B26" s="931">
        <v>51620.3</v>
      </c>
      <c r="C26" s="930">
        <v>132620.4</v>
      </c>
      <c r="D26" s="909">
        <v>131017.4</v>
      </c>
      <c r="E26" s="928">
        <v>126805.4</v>
      </c>
      <c r="F26" s="929">
        <f>SUM(B26:E26)/3</f>
        <v>147354.5</v>
      </c>
      <c r="G26" s="928">
        <f>G42-G27-G30-G31-G37</f>
        <v>132367</v>
      </c>
      <c r="H26" s="927">
        <f>F26-G26</f>
        <v>14987.5</v>
      </c>
      <c r="I26" s="895">
        <f>H26/G26</f>
        <v>0.11322686168002599</v>
      </c>
    </row>
    <row r="27" spans="1:10" s="921" customFormat="1">
      <c r="A27" s="926" t="s">
        <v>581</v>
      </c>
      <c r="B27" s="911">
        <f>B28+B29</f>
        <v>6407</v>
      </c>
      <c r="C27" s="925">
        <f>C28+C29</f>
        <v>11739</v>
      </c>
      <c r="D27" s="925">
        <f>D28+D29</f>
        <v>12243</v>
      </c>
      <c r="E27" s="925">
        <f>E28+E29</f>
        <v>12134</v>
      </c>
      <c r="F27" s="907">
        <f>F28+F29</f>
        <v>14174.333333333334</v>
      </c>
      <c r="G27" s="924">
        <v>9984</v>
      </c>
      <c r="H27" s="923">
        <f>F27-G27</f>
        <v>4190.3333333333339</v>
      </c>
      <c r="I27" s="895">
        <f>H27/G27</f>
        <v>0.41970486111111116</v>
      </c>
      <c r="J27" s="922"/>
    </row>
    <row r="28" spans="1:10" s="913" customFormat="1">
      <c r="A28" s="919" t="s">
        <v>460</v>
      </c>
      <c r="B28" s="918">
        <v>6353</v>
      </c>
      <c r="C28" s="886">
        <v>11191</v>
      </c>
      <c r="D28" s="918">
        <v>11666</v>
      </c>
      <c r="E28" s="917">
        <v>11000</v>
      </c>
      <c r="F28" s="902">
        <f>SUM(B28:E28)/3</f>
        <v>13403.333333333334</v>
      </c>
      <c r="G28" s="920"/>
      <c r="H28" s="915"/>
      <c r="I28" s="895"/>
      <c r="J28" s="914"/>
    </row>
    <row r="29" spans="1:10" s="913" customFormat="1">
      <c r="A29" s="919" t="s">
        <v>459</v>
      </c>
      <c r="B29" s="918">
        <v>54</v>
      </c>
      <c r="C29" s="886">
        <v>548</v>
      </c>
      <c r="D29" s="918">
        <v>577</v>
      </c>
      <c r="E29" s="917">
        <v>1134</v>
      </c>
      <c r="F29" s="902">
        <f>SUM(B29:E29)/3</f>
        <v>771</v>
      </c>
      <c r="G29" s="916"/>
      <c r="H29" s="915"/>
      <c r="I29" s="895"/>
      <c r="J29" s="914"/>
    </row>
    <row r="30" spans="1:10" s="869" customFormat="1" ht="15.75">
      <c r="A30" s="912" t="s">
        <v>1154</v>
      </c>
      <c r="B30" s="910">
        <v>79</v>
      </c>
      <c r="C30" s="907">
        <v>303</v>
      </c>
      <c r="D30" s="911">
        <v>304</v>
      </c>
      <c r="E30" s="910">
        <v>284</v>
      </c>
      <c r="F30" s="907">
        <f>SUM(B30:E30)/3</f>
        <v>323.33333333333331</v>
      </c>
      <c r="G30" s="909">
        <v>220</v>
      </c>
      <c r="H30" s="909">
        <f>F30-G30</f>
        <v>103.33333333333331</v>
      </c>
      <c r="I30" s="895">
        <f>H30/G30</f>
        <v>0.46969696969696961</v>
      </c>
    </row>
    <row r="31" spans="1:10" s="869" customFormat="1" ht="15.75">
      <c r="A31" s="908" t="s">
        <v>1153</v>
      </c>
      <c r="B31" s="898">
        <f>B32+B33+B34+B35+B36</f>
        <v>47.8</v>
      </c>
      <c r="C31" s="898">
        <f>C32+C33+C34+C35+C36</f>
        <v>121</v>
      </c>
      <c r="D31" s="898">
        <f>D32+D33+D34+D35+D36</f>
        <v>117.39999999999999</v>
      </c>
      <c r="E31" s="898">
        <f>E32+E33+E34+E35+E36</f>
        <v>130.39999999999998</v>
      </c>
      <c r="F31" s="898">
        <f>F32+F33+F34+F35+F36</f>
        <v>142.38333333333335</v>
      </c>
      <c r="G31" s="907">
        <v>165</v>
      </c>
      <c r="H31" s="896">
        <f>F31-G31</f>
        <v>-22.616666666666646</v>
      </c>
      <c r="I31" s="895">
        <f>H31/G31</f>
        <v>-0.13707070707070695</v>
      </c>
    </row>
    <row r="32" spans="1:10" s="882" customFormat="1">
      <c r="A32" s="904" t="s">
        <v>455</v>
      </c>
      <c r="B32" s="889">
        <v>30.8</v>
      </c>
      <c r="C32" s="886">
        <v>59.8</v>
      </c>
      <c r="D32" s="894">
        <v>58.4</v>
      </c>
      <c r="E32" s="894">
        <v>58.6</v>
      </c>
      <c r="F32" s="886">
        <f>(B32+C32+D32+E32)/3</f>
        <v>69.2</v>
      </c>
      <c r="G32" s="906"/>
      <c r="H32" s="901"/>
      <c r="I32" s="900"/>
    </row>
    <row r="33" spans="1:10" s="882" customFormat="1">
      <c r="A33" s="904" t="s">
        <v>454</v>
      </c>
      <c r="B33" s="889">
        <v>17</v>
      </c>
      <c r="C33" s="886">
        <v>43.3</v>
      </c>
      <c r="D33" s="887">
        <v>46.3</v>
      </c>
      <c r="E33" s="887">
        <v>49.5</v>
      </c>
      <c r="F33" s="886">
        <f>(B33+C33+D33+E33)/3</f>
        <v>52.033333333333331</v>
      </c>
      <c r="G33" s="906"/>
      <c r="H33" s="901"/>
      <c r="I33" s="900"/>
    </row>
    <row r="34" spans="1:10" s="882" customFormat="1">
      <c r="A34" s="904" t="s">
        <v>453</v>
      </c>
      <c r="B34" s="889"/>
      <c r="C34" s="886">
        <v>8</v>
      </c>
      <c r="D34" s="887">
        <v>12.7</v>
      </c>
      <c r="E34" s="887">
        <v>11.1</v>
      </c>
      <c r="F34" s="886">
        <f>(B34+C34+D34+E34)/3</f>
        <v>10.6</v>
      </c>
      <c r="G34" s="906"/>
      <c r="H34" s="901"/>
      <c r="I34" s="900"/>
    </row>
    <row r="35" spans="1:10" s="882" customFormat="1">
      <c r="A35" s="904" t="s">
        <v>1152</v>
      </c>
      <c r="B35" s="889"/>
      <c r="C35" s="886">
        <v>9.9</v>
      </c>
      <c r="D35" s="885"/>
      <c r="E35" s="887">
        <v>11.2</v>
      </c>
      <c r="F35" s="905">
        <f>(C35+E35)/2</f>
        <v>10.55</v>
      </c>
      <c r="G35" s="902">
        <v>30</v>
      </c>
      <c r="H35" s="901"/>
      <c r="I35" s="900"/>
    </row>
    <row r="36" spans="1:10" s="882" customFormat="1">
      <c r="A36" s="904" t="s">
        <v>577</v>
      </c>
      <c r="B36" s="889"/>
      <c r="C36" s="903"/>
      <c r="D36" s="885"/>
      <c r="E36" s="885"/>
      <c r="F36" s="903"/>
      <c r="G36" s="902">
        <v>10</v>
      </c>
      <c r="H36" s="901"/>
      <c r="I36" s="900"/>
    </row>
    <row r="37" spans="1:10" s="869" customFormat="1" ht="15.75">
      <c r="A37" s="899" t="s">
        <v>1151</v>
      </c>
      <c r="B37" s="898">
        <f>B38+B39+B40+B41</f>
        <v>147.5</v>
      </c>
      <c r="C37" s="898">
        <f>C38+C39+C40+C41</f>
        <v>292.89999999999998</v>
      </c>
      <c r="D37" s="898">
        <f>D38+D39+D40+D41</f>
        <v>287.7</v>
      </c>
      <c r="E37" s="898">
        <f>E38+E39+E40+E41</f>
        <v>273</v>
      </c>
      <c r="F37" s="898">
        <f>F38+F39+F40+F41</f>
        <v>333.7</v>
      </c>
      <c r="G37" s="897">
        <v>310</v>
      </c>
      <c r="H37" s="896">
        <f>F37-G37</f>
        <v>23.699999999999989</v>
      </c>
      <c r="I37" s="895">
        <f>H37/G37</f>
        <v>7.6451612903225774E-2</v>
      </c>
    </row>
    <row r="38" spans="1:10" s="882" customFormat="1">
      <c r="A38" s="893" t="s">
        <v>93</v>
      </c>
      <c r="B38" s="889">
        <v>16.899999999999999</v>
      </c>
      <c r="C38" s="888">
        <v>40.299999999999997</v>
      </c>
      <c r="D38" s="894">
        <v>44.9</v>
      </c>
      <c r="E38" s="894">
        <v>48.2</v>
      </c>
      <c r="F38" s="886">
        <f>(B38+C38+D38+E38)/3</f>
        <v>50.1</v>
      </c>
      <c r="G38" s="885"/>
      <c r="H38" s="892"/>
      <c r="I38" s="891"/>
    </row>
    <row r="39" spans="1:10" s="882" customFormat="1">
      <c r="A39" s="893" t="s">
        <v>96</v>
      </c>
      <c r="B39" s="889"/>
      <c r="C39" s="888">
        <v>6</v>
      </c>
      <c r="D39" s="887">
        <v>4.3</v>
      </c>
      <c r="E39" s="887">
        <v>6.3</v>
      </c>
      <c r="F39" s="886">
        <f>(B39+C39+D39+E39)/3</f>
        <v>5.5333333333333341</v>
      </c>
      <c r="G39" s="885"/>
      <c r="H39" s="892"/>
      <c r="I39" s="891"/>
    </row>
    <row r="40" spans="1:10" s="882" customFormat="1">
      <c r="A40" s="893" t="s">
        <v>98</v>
      </c>
      <c r="B40" s="889">
        <v>130.6</v>
      </c>
      <c r="C40" s="888">
        <v>223.2</v>
      </c>
      <c r="D40" s="887">
        <v>211.5</v>
      </c>
      <c r="E40" s="887">
        <v>192.8</v>
      </c>
      <c r="F40" s="886">
        <f>(B40+C40+D40+E40)/3</f>
        <v>252.69999999999996</v>
      </c>
      <c r="G40" s="885"/>
      <c r="H40" s="892"/>
      <c r="I40" s="891"/>
    </row>
    <row r="41" spans="1:10" s="882" customFormat="1" ht="13.5" thickBot="1">
      <c r="A41" s="890" t="s">
        <v>1150</v>
      </c>
      <c r="B41" s="889"/>
      <c r="C41" s="888">
        <v>23.4</v>
      </c>
      <c r="D41" s="887">
        <v>27</v>
      </c>
      <c r="E41" s="887">
        <v>25.7</v>
      </c>
      <c r="F41" s="886">
        <f>(B41+C41+D41+E41)/3</f>
        <v>25.366666666666664</v>
      </c>
      <c r="G41" s="885"/>
      <c r="H41" s="884"/>
      <c r="I41" s="883"/>
    </row>
    <row r="42" spans="1:10" s="875" customFormat="1" ht="16.5" thickTop="1">
      <c r="A42" s="881" t="s">
        <v>1149</v>
      </c>
      <c r="B42" s="880">
        <f>B26+B27+B30+B31+B37</f>
        <v>58301.600000000006</v>
      </c>
      <c r="C42" s="880">
        <f>C26+C27+C30+C31+C37</f>
        <v>145076.29999999999</v>
      </c>
      <c r="D42" s="880">
        <f>D26+D27+D30+D31+D37</f>
        <v>143969.5</v>
      </c>
      <c r="E42" s="880">
        <f>E26+E27+E30+E31+E37</f>
        <v>139626.79999999999</v>
      </c>
      <c r="F42" s="880">
        <f>F26+F27+F30+F31+F37</f>
        <v>162328.25000000003</v>
      </c>
      <c r="G42" s="879">
        <v>143046</v>
      </c>
      <c r="H42" s="878">
        <f>F42-G42</f>
        <v>19282.250000000029</v>
      </c>
      <c r="I42" s="877">
        <f>H42/G42</f>
        <v>0.13479754764201746</v>
      </c>
      <c r="J42" s="876"/>
    </row>
    <row r="43" spans="1:10" s="869" customFormat="1" ht="13.5" thickBot="1">
      <c r="A43" s="874"/>
      <c r="B43" s="872"/>
      <c r="C43" s="873"/>
      <c r="D43" s="873"/>
      <c r="E43" s="873"/>
      <c r="F43" s="873"/>
      <c r="G43" s="872"/>
      <c r="H43" s="871"/>
      <c r="I43" s="870"/>
    </row>
    <row r="44" spans="1:10" s="850" customFormat="1" ht="15" thickTop="1" thickBot="1">
      <c r="A44" s="868" t="s">
        <v>448</v>
      </c>
      <c r="B44" s="867"/>
      <c r="C44" s="867"/>
      <c r="D44" s="866"/>
      <c r="E44" s="866"/>
      <c r="F44" s="865">
        <f>F42+F21</f>
        <v>265542.74000000005</v>
      </c>
      <c r="G44" s="865">
        <f>G42+G21</f>
        <v>235975</v>
      </c>
      <c r="H44" s="865">
        <f>H42+H21</f>
        <v>29567.740000000034</v>
      </c>
      <c r="I44" s="864">
        <f>H44/G44</f>
        <v>0.12530030723593616</v>
      </c>
    </row>
    <row r="45" spans="1:10" s="850" customFormat="1" ht="14.25" thickTop="1">
      <c r="A45" s="863"/>
      <c r="B45" s="854"/>
      <c r="C45" s="854"/>
      <c r="D45" s="853"/>
      <c r="E45" s="853"/>
      <c r="F45" s="853"/>
      <c r="G45" s="853"/>
      <c r="H45" s="853"/>
      <c r="I45" s="851"/>
    </row>
    <row r="46" spans="1:10" s="856" customFormat="1">
      <c r="A46" s="862" t="s">
        <v>574</v>
      </c>
      <c r="B46" s="861">
        <v>0</v>
      </c>
      <c r="C46" s="860">
        <v>13055</v>
      </c>
      <c r="D46" s="860">
        <v>12878</v>
      </c>
      <c r="E46" s="860">
        <v>12112</v>
      </c>
      <c r="F46" s="860">
        <f>SUM(B46:E46)/3</f>
        <v>12681.666666666666</v>
      </c>
      <c r="G46" s="859">
        <v>11558</v>
      </c>
      <c r="H46" s="858">
        <f>F46-G46</f>
        <v>1123.6666666666661</v>
      </c>
      <c r="I46" s="857">
        <f>H46/G46</f>
        <v>9.7219818884466694E-2</v>
      </c>
    </row>
    <row r="47" spans="1:10" s="850" customFormat="1">
      <c r="A47" s="855"/>
      <c r="B47" s="854"/>
      <c r="C47" s="854"/>
      <c r="D47" s="853"/>
      <c r="E47" s="853"/>
      <c r="F47" s="853"/>
      <c r="G47" s="853"/>
      <c r="H47" s="852"/>
      <c r="I47" s="851"/>
    </row>
    <row r="48" spans="1:10" ht="56.25" customHeight="1">
      <c r="A48" s="2610" t="s">
        <v>447</v>
      </c>
      <c r="B48" s="2610"/>
      <c r="C48" s="2610"/>
      <c r="D48" s="2610"/>
      <c r="E48" s="2610"/>
      <c r="F48" s="2610"/>
      <c r="G48" s="2610"/>
      <c r="H48" s="2610"/>
      <c r="I48" s="2610"/>
    </row>
    <row r="49" spans="1:9" ht="27.75" customHeight="1">
      <c r="A49" s="2599" t="s">
        <v>1148</v>
      </c>
      <c r="B49" s="2599"/>
      <c r="C49" s="2599"/>
      <c r="D49" s="2599"/>
      <c r="E49" s="2599"/>
      <c r="F49" s="2599"/>
      <c r="G49" s="2599"/>
      <c r="H49" s="2599"/>
      <c r="I49" s="2599"/>
    </row>
    <row r="50" spans="1:9" ht="27.75" customHeight="1">
      <c r="A50" s="2599" t="s">
        <v>1147</v>
      </c>
      <c r="B50" s="2599"/>
      <c r="C50" s="2599"/>
      <c r="D50" s="2599"/>
      <c r="E50" s="2599"/>
      <c r="F50" s="2599"/>
      <c r="G50" s="2599"/>
      <c r="H50" s="2599"/>
      <c r="I50" s="2599"/>
    </row>
    <row r="51" spans="1:9" ht="15.75">
      <c r="A51" s="2600" t="s">
        <v>1146</v>
      </c>
      <c r="B51" s="2600"/>
      <c r="C51" s="2600"/>
      <c r="D51" s="2600"/>
      <c r="E51" s="2600"/>
      <c r="F51" s="2600"/>
      <c r="G51" s="2600"/>
      <c r="H51" s="2600"/>
      <c r="I51" s="2600"/>
    </row>
    <row r="52" spans="1:9" ht="15.75">
      <c r="A52" s="2601"/>
      <c r="B52" s="2600"/>
      <c r="C52" s="2600"/>
      <c r="D52" s="2600"/>
      <c r="E52" s="2600"/>
      <c r="F52" s="2600"/>
      <c r="G52" s="2600"/>
      <c r="H52" s="2600"/>
      <c r="I52" s="2600"/>
    </row>
    <row r="53" spans="1:9" s="849" customFormat="1">
      <c r="A53" s="2601"/>
      <c r="B53" s="2601"/>
      <c r="C53" s="2601"/>
      <c r="D53" s="2601"/>
      <c r="E53" s="2601"/>
      <c r="F53" s="2601"/>
      <c r="G53" s="2601"/>
      <c r="H53" s="2601"/>
      <c r="I53" s="2601"/>
    </row>
  </sheetData>
  <mergeCells count="14">
    <mergeCell ref="A23:A25"/>
    <mergeCell ref="B23:F23"/>
    <mergeCell ref="H23:I23"/>
    <mergeCell ref="A48:I48"/>
    <mergeCell ref="A2:I2"/>
    <mergeCell ref="A3:I3"/>
    <mergeCell ref="A4:I4"/>
    <mergeCell ref="B6:F6"/>
    <mergeCell ref="H6:I6"/>
    <mergeCell ref="A49:I49"/>
    <mergeCell ref="A50:I50"/>
    <mergeCell ref="A51:I51"/>
    <mergeCell ref="A52:I52"/>
    <mergeCell ref="A53:I53"/>
  </mergeCells>
  <pageMargins left="0.7" right="0.7" top="0.75" bottom="0.75" header="0.3" footer="0.3"/>
  <pageSetup scale="77"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J187"/>
  <sheetViews>
    <sheetView workbookViewId="0"/>
  </sheetViews>
  <sheetFormatPr defaultRowHeight="15"/>
  <cols>
    <col min="1" max="1" width="30.75" style="826" bestFit="1" customWidth="1"/>
    <col min="2" max="10" width="10" style="826" customWidth="1"/>
    <col min="11" max="16384" width="9" style="826"/>
  </cols>
  <sheetData>
    <row r="1" spans="1:10">
      <c r="A1" s="838" t="s">
        <v>1169</v>
      </c>
      <c r="B1" s="838"/>
      <c r="C1" s="838"/>
      <c r="D1" s="838"/>
      <c r="E1" s="838"/>
      <c r="F1" s="838"/>
      <c r="G1" s="838"/>
      <c r="H1" s="838"/>
      <c r="I1" s="838"/>
      <c r="J1" s="838"/>
    </row>
    <row r="2" spans="1:10">
      <c r="A2" s="838" t="s">
        <v>1168</v>
      </c>
      <c r="B2" s="838"/>
      <c r="C2" s="838"/>
      <c r="D2" s="838"/>
      <c r="E2" s="838"/>
      <c r="F2" s="838"/>
      <c r="G2" s="838"/>
      <c r="H2" s="838"/>
      <c r="I2" s="838"/>
      <c r="J2" s="838"/>
    </row>
    <row r="3" spans="1:10">
      <c r="A3" s="839" t="s">
        <v>1</v>
      </c>
      <c r="B3" s="839"/>
      <c r="C3" s="839"/>
      <c r="D3" s="839"/>
      <c r="E3" s="839"/>
      <c r="F3" s="839"/>
      <c r="G3" s="839"/>
      <c r="H3" s="839"/>
      <c r="I3" s="839"/>
      <c r="J3" s="839"/>
    </row>
    <row r="5" spans="1:10">
      <c r="B5" s="838" t="s">
        <v>785</v>
      </c>
      <c r="C5" s="838"/>
      <c r="D5" s="838"/>
      <c r="E5" s="838" t="s">
        <v>784</v>
      </c>
      <c r="F5" s="838"/>
      <c r="G5" s="838"/>
      <c r="H5" s="838" t="s">
        <v>802</v>
      </c>
      <c r="I5" s="838"/>
      <c r="J5" s="838"/>
    </row>
    <row r="6" spans="1:10">
      <c r="A6" s="837"/>
      <c r="B6" s="836" t="s">
        <v>801</v>
      </c>
      <c r="C6" s="836" t="s">
        <v>800</v>
      </c>
      <c r="D6" s="836" t="s">
        <v>799</v>
      </c>
      <c r="E6" s="836" t="s">
        <v>801</v>
      </c>
      <c r="F6" s="836" t="s">
        <v>800</v>
      </c>
      <c r="G6" s="836" t="s">
        <v>799</v>
      </c>
      <c r="H6" s="836" t="s">
        <v>801</v>
      </c>
      <c r="I6" s="836" t="s">
        <v>800</v>
      </c>
      <c r="J6" s="836" t="s">
        <v>799</v>
      </c>
    </row>
    <row r="7" spans="1:10">
      <c r="B7" s="832"/>
      <c r="C7" s="832"/>
      <c r="D7" s="832"/>
      <c r="E7" s="832"/>
      <c r="F7" s="832"/>
      <c r="G7" s="832"/>
      <c r="H7" s="832"/>
      <c r="I7" s="832"/>
      <c r="J7" s="832"/>
    </row>
    <row r="8" spans="1:10">
      <c r="A8" s="835" t="s">
        <v>780</v>
      </c>
      <c r="B8" s="832">
        <v>69688</v>
      </c>
      <c r="C8" s="832">
        <v>69606</v>
      </c>
      <c r="D8" s="832">
        <v>139294</v>
      </c>
      <c r="E8" s="832">
        <v>0</v>
      </c>
      <c r="F8" s="832">
        <v>0</v>
      </c>
      <c r="G8" s="832">
        <v>0</v>
      </c>
      <c r="H8" s="832">
        <v>0</v>
      </c>
      <c r="I8" s="832">
        <v>0</v>
      </c>
      <c r="J8" s="832">
        <v>0</v>
      </c>
    </row>
    <row r="9" spans="1:10">
      <c r="A9" s="835" t="s">
        <v>770</v>
      </c>
      <c r="B9" s="832">
        <v>111376</v>
      </c>
      <c r="C9" s="832">
        <v>110826</v>
      </c>
      <c r="D9" s="832">
        <v>222202</v>
      </c>
      <c r="E9" s="832">
        <v>0</v>
      </c>
      <c r="F9" s="832">
        <v>0</v>
      </c>
      <c r="G9" s="832">
        <v>0</v>
      </c>
      <c r="H9" s="832">
        <v>0</v>
      </c>
      <c r="I9" s="832">
        <v>0</v>
      </c>
      <c r="J9" s="832">
        <v>0</v>
      </c>
    </row>
    <row r="10" spans="1:10">
      <c r="A10" s="835" t="s">
        <v>760</v>
      </c>
      <c r="B10" s="832">
        <v>219162</v>
      </c>
      <c r="C10" s="832">
        <v>234737</v>
      </c>
      <c r="D10" s="832">
        <v>453899</v>
      </c>
      <c r="E10" s="832">
        <v>0</v>
      </c>
      <c r="F10" s="832">
        <v>0</v>
      </c>
      <c r="G10" s="832">
        <v>0</v>
      </c>
      <c r="H10" s="832">
        <v>0</v>
      </c>
      <c r="I10" s="832">
        <v>0</v>
      </c>
      <c r="J10" s="832">
        <v>0</v>
      </c>
    </row>
    <row r="11" spans="1:10">
      <c r="A11" s="835" t="s">
        <v>735</v>
      </c>
      <c r="B11" s="832">
        <v>2974138</v>
      </c>
      <c r="C11" s="832">
        <v>2938829</v>
      </c>
      <c r="D11" s="832">
        <v>5912967</v>
      </c>
      <c r="E11" s="832">
        <v>0</v>
      </c>
      <c r="F11" s="832">
        <v>0</v>
      </c>
      <c r="G11" s="832">
        <v>0</v>
      </c>
      <c r="H11" s="832">
        <v>0</v>
      </c>
      <c r="I11" s="832">
        <v>0</v>
      </c>
      <c r="J11" s="832">
        <v>0</v>
      </c>
    </row>
    <row r="12" spans="1:10">
      <c r="A12" s="835" t="s">
        <v>721</v>
      </c>
      <c r="B12" s="832">
        <v>2726000</v>
      </c>
      <c r="C12" s="832">
        <v>2755668</v>
      </c>
      <c r="D12" s="832">
        <v>5481668</v>
      </c>
      <c r="E12" s="832">
        <v>0</v>
      </c>
      <c r="F12" s="832">
        <v>0</v>
      </c>
      <c r="G12" s="832">
        <v>0</v>
      </c>
      <c r="H12" s="832">
        <v>362</v>
      </c>
      <c r="I12" s="832">
        <v>363</v>
      </c>
      <c r="J12" s="832">
        <v>725</v>
      </c>
    </row>
    <row r="13" spans="1:10">
      <c r="A13" s="835" t="s">
        <v>706</v>
      </c>
      <c r="B13" s="832">
        <v>139047</v>
      </c>
      <c r="C13" s="832">
        <v>123757</v>
      </c>
      <c r="D13" s="832">
        <v>262804</v>
      </c>
      <c r="E13" s="832">
        <v>0</v>
      </c>
      <c r="F13" s="832">
        <v>0</v>
      </c>
      <c r="G13" s="832">
        <v>0</v>
      </c>
      <c r="H13" s="832">
        <v>0</v>
      </c>
      <c r="I13" s="832">
        <v>0</v>
      </c>
      <c r="J13" s="832">
        <v>0</v>
      </c>
    </row>
    <row r="14" spans="1:10">
      <c r="A14" s="835" t="s">
        <v>694</v>
      </c>
      <c r="B14" s="832">
        <v>36558</v>
      </c>
      <c r="C14" s="832">
        <v>33602</v>
      </c>
      <c r="D14" s="832">
        <v>70160</v>
      </c>
      <c r="E14" s="832">
        <v>0</v>
      </c>
      <c r="F14" s="832">
        <v>0</v>
      </c>
      <c r="G14" s="832">
        <v>0</v>
      </c>
      <c r="H14" s="832">
        <v>0</v>
      </c>
      <c r="I14" s="832">
        <v>0</v>
      </c>
      <c r="J14" s="832">
        <v>0</v>
      </c>
    </row>
    <row r="15" spans="1:10">
      <c r="A15" s="835" t="s">
        <v>690</v>
      </c>
      <c r="B15" s="832">
        <v>6818651</v>
      </c>
      <c r="C15" s="832">
        <v>6802405</v>
      </c>
      <c r="D15" s="832">
        <v>13621056</v>
      </c>
      <c r="E15" s="832">
        <v>0</v>
      </c>
      <c r="F15" s="832">
        <v>0</v>
      </c>
      <c r="G15" s="832">
        <v>0</v>
      </c>
      <c r="H15" s="832">
        <v>25166</v>
      </c>
      <c r="I15" s="832">
        <v>1176</v>
      </c>
      <c r="J15" s="832">
        <v>26342</v>
      </c>
    </row>
    <row r="16" spans="1:10">
      <c r="A16" s="835" t="s">
        <v>177</v>
      </c>
      <c r="B16" s="832">
        <v>1186364</v>
      </c>
      <c r="C16" s="832">
        <v>1200559</v>
      </c>
      <c r="D16" s="832">
        <v>2386923</v>
      </c>
      <c r="E16" s="832">
        <v>1087857</v>
      </c>
      <c r="F16" s="832">
        <v>1239135</v>
      </c>
      <c r="G16" s="832">
        <v>2326992</v>
      </c>
      <c r="H16" s="832">
        <v>101918</v>
      </c>
      <c r="I16" s="832">
        <v>98799</v>
      </c>
      <c r="J16" s="832">
        <v>200717</v>
      </c>
    </row>
    <row r="17" spans="1:10">
      <c r="A17" s="835" t="s">
        <v>675</v>
      </c>
      <c r="B17" s="832">
        <v>41022</v>
      </c>
      <c r="C17" s="832">
        <v>42541</v>
      </c>
      <c r="D17" s="832">
        <v>83563</v>
      </c>
      <c r="E17" s="832">
        <v>0</v>
      </c>
      <c r="F17" s="832">
        <v>0</v>
      </c>
      <c r="G17" s="832">
        <v>0</v>
      </c>
      <c r="H17" s="832">
        <v>0</v>
      </c>
      <c r="I17" s="832">
        <v>0</v>
      </c>
      <c r="J17" s="832">
        <v>0</v>
      </c>
    </row>
    <row r="18" spans="1:10">
      <c r="A18" s="835" t="s">
        <v>666</v>
      </c>
      <c r="B18" s="830">
        <v>1064609</v>
      </c>
      <c r="C18" s="830">
        <v>1093267</v>
      </c>
      <c r="D18" s="830">
        <v>2157876</v>
      </c>
      <c r="E18" s="830">
        <v>37</v>
      </c>
      <c r="F18" s="830">
        <v>76</v>
      </c>
      <c r="G18" s="830">
        <v>113</v>
      </c>
      <c r="H18" s="830">
        <v>0</v>
      </c>
      <c r="I18" s="830">
        <v>0</v>
      </c>
      <c r="J18" s="830">
        <v>0</v>
      </c>
    </row>
    <row r="19" spans="1:10">
      <c r="A19" s="835"/>
      <c r="B19" s="989"/>
      <c r="C19" s="989"/>
      <c r="D19" s="989"/>
      <c r="E19" s="989"/>
      <c r="F19" s="989"/>
      <c r="G19" s="989"/>
      <c r="H19" s="989"/>
      <c r="I19" s="989"/>
      <c r="J19" s="989"/>
    </row>
    <row r="20" spans="1:10">
      <c r="A20" s="835"/>
      <c r="B20" s="989"/>
      <c r="C20" s="989"/>
      <c r="D20" s="989"/>
      <c r="E20" s="989"/>
      <c r="F20" s="989"/>
      <c r="G20" s="989"/>
      <c r="H20" s="989"/>
      <c r="I20" s="989"/>
      <c r="J20" s="989"/>
    </row>
    <row r="21" spans="1:10">
      <c r="A21" s="835"/>
      <c r="B21" s="989"/>
      <c r="C21" s="989"/>
      <c r="D21" s="989"/>
      <c r="E21" s="989"/>
      <c r="F21" s="989"/>
      <c r="G21" s="989"/>
      <c r="H21" s="989"/>
      <c r="I21" s="989"/>
      <c r="J21" s="989"/>
    </row>
    <row r="22" spans="1:10">
      <c r="A22" s="835"/>
      <c r="B22" s="989"/>
      <c r="C22" s="989"/>
      <c r="D22" s="989"/>
      <c r="E22" s="989"/>
      <c r="F22" s="989"/>
      <c r="G22" s="989"/>
      <c r="H22" s="989"/>
      <c r="I22" s="989"/>
      <c r="J22" s="989"/>
    </row>
    <row r="23" spans="1:10">
      <c r="A23" s="834" t="s">
        <v>362</v>
      </c>
      <c r="B23" s="828">
        <v>15386615</v>
      </c>
      <c r="C23" s="828">
        <v>15405797</v>
      </c>
      <c r="D23" s="828">
        <v>30792412</v>
      </c>
      <c r="E23" s="828">
        <v>1087894</v>
      </c>
      <c r="F23" s="828">
        <v>1239211</v>
      </c>
      <c r="G23" s="828">
        <v>2327105</v>
      </c>
      <c r="H23" s="828">
        <v>127446</v>
      </c>
      <c r="I23" s="828">
        <v>100338</v>
      </c>
      <c r="J23" s="828">
        <v>227784</v>
      </c>
    </row>
    <row r="24" spans="1:10">
      <c r="A24" s="827"/>
      <c r="B24" s="832"/>
      <c r="C24" s="832"/>
      <c r="D24" s="832"/>
      <c r="E24" s="832"/>
      <c r="F24" s="832"/>
      <c r="G24" s="832"/>
      <c r="H24" s="832"/>
      <c r="I24" s="832"/>
      <c r="J24" s="832"/>
    </row>
    <row r="25" spans="1:10">
      <c r="A25" s="827"/>
      <c r="B25" s="832"/>
      <c r="C25" s="832"/>
      <c r="D25" s="832"/>
      <c r="E25" s="832"/>
      <c r="F25" s="832"/>
      <c r="G25" s="832"/>
      <c r="H25" s="832"/>
      <c r="I25" s="832"/>
      <c r="J25" s="832"/>
    </row>
    <row r="26" spans="1:10">
      <c r="A26" s="833" t="s">
        <v>780</v>
      </c>
      <c r="B26" s="832"/>
      <c r="C26" s="832"/>
      <c r="D26" s="832"/>
      <c r="E26" s="832"/>
      <c r="F26" s="832"/>
      <c r="G26" s="832"/>
      <c r="H26" s="832"/>
      <c r="I26" s="832"/>
      <c r="J26" s="832"/>
    </row>
    <row r="27" spans="1:10">
      <c r="A27" s="831" t="s">
        <v>779</v>
      </c>
      <c r="B27" s="832">
        <v>29734</v>
      </c>
      <c r="C27" s="832">
        <v>28205</v>
      </c>
      <c r="D27" s="832">
        <v>57939</v>
      </c>
      <c r="E27" s="832">
        <v>0</v>
      </c>
      <c r="F27" s="832">
        <v>0</v>
      </c>
      <c r="G27" s="832">
        <v>0</v>
      </c>
      <c r="H27" s="832">
        <v>0</v>
      </c>
      <c r="I27" s="832">
        <v>0</v>
      </c>
      <c r="J27" s="832">
        <v>0</v>
      </c>
    </row>
    <row r="28" spans="1:10">
      <c r="A28" s="831" t="s">
        <v>778</v>
      </c>
      <c r="B28" s="832">
        <v>21455</v>
      </c>
      <c r="C28" s="832">
        <v>21791</v>
      </c>
      <c r="D28" s="832">
        <v>43246</v>
      </c>
      <c r="E28" s="832">
        <v>0</v>
      </c>
      <c r="F28" s="832">
        <v>0</v>
      </c>
      <c r="G28" s="832">
        <v>0</v>
      </c>
      <c r="H28" s="832">
        <v>0</v>
      </c>
      <c r="I28" s="832">
        <v>0</v>
      </c>
      <c r="J28" s="832">
        <v>0</v>
      </c>
    </row>
    <row r="29" spans="1:10">
      <c r="A29" s="831" t="s">
        <v>777</v>
      </c>
      <c r="B29" s="832">
        <v>2589</v>
      </c>
      <c r="C29" s="832">
        <v>2531</v>
      </c>
      <c r="D29" s="832">
        <v>5120</v>
      </c>
      <c r="E29" s="832">
        <v>0</v>
      </c>
      <c r="F29" s="832">
        <v>0</v>
      </c>
      <c r="G29" s="832">
        <v>0</v>
      </c>
      <c r="H29" s="832">
        <v>0</v>
      </c>
      <c r="I29" s="832">
        <v>0</v>
      </c>
      <c r="J29" s="832">
        <v>0</v>
      </c>
    </row>
    <row r="30" spans="1:10">
      <c r="A30" s="831" t="s">
        <v>776</v>
      </c>
      <c r="B30" s="832">
        <v>2025</v>
      </c>
      <c r="C30" s="832">
        <v>1720</v>
      </c>
      <c r="D30" s="832">
        <v>3745</v>
      </c>
      <c r="E30" s="832">
        <v>0</v>
      </c>
      <c r="F30" s="832">
        <v>0</v>
      </c>
      <c r="G30" s="832">
        <v>0</v>
      </c>
      <c r="H30" s="832">
        <v>0</v>
      </c>
      <c r="I30" s="832">
        <v>0</v>
      </c>
      <c r="J30" s="832">
        <v>0</v>
      </c>
    </row>
    <row r="31" spans="1:10">
      <c r="A31" s="831" t="s">
        <v>1167</v>
      </c>
      <c r="B31" s="832">
        <v>0</v>
      </c>
      <c r="C31" s="832">
        <v>3016</v>
      </c>
      <c r="D31" s="832">
        <v>3016</v>
      </c>
      <c r="E31" s="832">
        <v>0</v>
      </c>
      <c r="F31" s="832">
        <v>0</v>
      </c>
      <c r="G31" s="832">
        <v>0</v>
      </c>
      <c r="H31" s="832">
        <v>0</v>
      </c>
      <c r="I31" s="832">
        <v>0</v>
      </c>
      <c r="J31" s="832">
        <v>0</v>
      </c>
    </row>
    <row r="32" spans="1:10">
      <c r="A32" s="831" t="s">
        <v>774</v>
      </c>
      <c r="B32" s="832">
        <v>8013</v>
      </c>
      <c r="C32" s="832">
        <v>7666</v>
      </c>
      <c r="D32" s="832">
        <v>15679</v>
      </c>
      <c r="E32" s="832">
        <v>0</v>
      </c>
      <c r="F32" s="832">
        <v>0</v>
      </c>
      <c r="G32" s="832">
        <v>0</v>
      </c>
      <c r="H32" s="832">
        <v>0</v>
      </c>
      <c r="I32" s="832">
        <v>0</v>
      </c>
      <c r="J32" s="832">
        <v>0</v>
      </c>
    </row>
    <row r="33" spans="1:10">
      <c r="A33" s="831" t="s">
        <v>773</v>
      </c>
      <c r="B33" s="832">
        <v>4245</v>
      </c>
      <c r="C33" s="832">
        <v>4523</v>
      </c>
      <c r="D33" s="832">
        <v>8768</v>
      </c>
      <c r="E33" s="832">
        <v>0</v>
      </c>
      <c r="F33" s="832">
        <v>0</v>
      </c>
      <c r="G33" s="832">
        <v>0</v>
      </c>
      <c r="H33" s="832">
        <v>0</v>
      </c>
      <c r="I33" s="832">
        <v>0</v>
      </c>
      <c r="J33" s="832">
        <v>0</v>
      </c>
    </row>
    <row r="34" spans="1:10">
      <c r="A34" s="831" t="s">
        <v>772</v>
      </c>
      <c r="B34" s="830">
        <v>1627</v>
      </c>
      <c r="C34" s="830">
        <v>154</v>
      </c>
      <c r="D34" s="830">
        <v>1781</v>
      </c>
      <c r="E34" s="830">
        <v>0</v>
      </c>
      <c r="F34" s="830">
        <v>0</v>
      </c>
      <c r="G34" s="830">
        <v>0</v>
      </c>
      <c r="H34" s="830">
        <v>0</v>
      </c>
      <c r="I34" s="830">
        <v>0</v>
      </c>
      <c r="J34" s="830">
        <v>0</v>
      </c>
    </row>
    <row r="35" spans="1:10">
      <c r="A35" s="829" t="s">
        <v>771</v>
      </c>
      <c r="B35" s="828">
        <v>69688</v>
      </c>
      <c r="C35" s="828">
        <v>69606</v>
      </c>
      <c r="D35" s="828">
        <v>139294</v>
      </c>
      <c r="E35" s="828">
        <v>0</v>
      </c>
      <c r="F35" s="828">
        <v>0</v>
      </c>
      <c r="G35" s="828">
        <v>0</v>
      </c>
      <c r="H35" s="828">
        <v>0</v>
      </c>
      <c r="I35" s="828">
        <v>0</v>
      </c>
      <c r="J35" s="828">
        <v>0</v>
      </c>
    </row>
    <row r="36" spans="1:10">
      <c r="A36" s="827"/>
      <c r="B36" s="832"/>
      <c r="C36" s="832"/>
      <c r="D36" s="832"/>
      <c r="E36" s="832"/>
      <c r="F36" s="832"/>
      <c r="G36" s="832"/>
      <c r="H36" s="832"/>
      <c r="I36" s="832"/>
      <c r="J36" s="832"/>
    </row>
    <row r="37" spans="1:10">
      <c r="A37" s="833" t="s">
        <v>770</v>
      </c>
      <c r="B37" s="832"/>
      <c r="C37" s="832"/>
      <c r="D37" s="832"/>
      <c r="E37" s="832"/>
      <c r="F37" s="832"/>
      <c r="G37" s="832"/>
      <c r="H37" s="832"/>
      <c r="I37" s="832"/>
      <c r="J37" s="832"/>
    </row>
    <row r="38" spans="1:10">
      <c r="A38" s="831" t="s">
        <v>769</v>
      </c>
      <c r="B38" s="832">
        <v>6757</v>
      </c>
      <c r="C38" s="832">
        <v>6561</v>
      </c>
      <c r="D38" s="832">
        <v>13318</v>
      </c>
      <c r="E38" s="832">
        <v>0</v>
      </c>
      <c r="F38" s="832">
        <v>0</v>
      </c>
      <c r="G38" s="832">
        <v>0</v>
      </c>
      <c r="H38" s="832">
        <v>0</v>
      </c>
      <c r="I38" s="832">
        <v>0</v>
      </c>
      <c r="J38" s="832">
        <v>0</v>
      </c>
    </row>
    <row r="39" spans="1:10">
      <c r="A39" s="831" t="s">
        <v>768</v>
      </c>
      <c r="B39" s="832">
        <v>1504</v>
      </c>
      <c r="C39" s="832">
        <v>0</v>
      </c>
      <c r="D39" s="832">
        <v>1504</v>
      </c>
      <c r="E39" s="832">
        <v>0</v>
      </c>
      <c r="F39" s="832">
        <v>0</v>
      </c>
      <c r="G39" s="832">
        <v>0</v>
      </c>
      <c r="H39" s="832">
        <v>0</v>
      </c>
      <c r="I39" s="832">
        <v>0</v>
      </c>
      <c r="J39" s="832">
        <v>0</v>
      </c>
    </row>
    <row r="40" spans="1:10">
      <c r="A40" s="831" t="s">
        <v>767</v>
      </c>
      <c r="B40" s="832">
        <v>15275</v>
      </c>
      <c r="C40" s="832">
        <v>15168</v>
      </c>
      <c r="D40" s="832">
        <v>30443</v>
      </c>
      <c r="E40" s="832">
        <v>0</v>
      </c>
      <c r="F40" s="832">
        <v>0</v>
      </c>
      <c r="G40" s="832">
        <v>0</v>
      </c>
      <c r="H40" s="832">
        <v>0</v>
      </c>
      <c r="I40" s="832">
        <v>0</v>
      </c>
      <c r="J40" s="832">
        <v>0</v>
      </c>
    </row>
    <row r="41" spans="1:10">
      <c r="A41" s="831" t="s">
        <v>766</v>
      </c>
      <c r="B41" s="832">
        <v>1053</v>
      </c>
      <c r="C41" s="832">
        <v>975</v>
      </c>
      <c r="D41" s="832">
        <v>2028</v>
      </c>
      <c r="E41" s="832">
        <v>0</v>
      </c>
      <c r="F41" s="832">
        <v>0</v>
      </c>
      <c r="G41" s="832">
        <v>0</v>
      </c>
      <c r="H41" s="832">
        <v>0</v>
      </c>
      <c r="I41" s="832">
        <v>0</v>
      </c>
      <c r="J41" s="832">
        <v>0</v>
      </c>
    </row>
    <row r="42" spans="1:10">
      <c r="A42" s="831" t="s">
        <v>765</v>
      </c>
      <c r="B42" s="832">
        <v>50725</v>
      </c>
      <c r="C42" s="832">
        <v>48429</v>
      </c>
      <c r="D42" s="832">
        <v>99154</v>
      </c>
      <c r="E42" s="832">
        <v>0</v>
      </c>
      <c r="F42" s="832">
        <v>0</v>
      </c>
      <c r="G42" s="832">
        <v>0</v>
      </c>
      <c r="H42" s="832">
        <v>0</v>
      </c>
      <c r="I42" s="832">
        <v>0</v>
      </c>
      <c r="J42" s="832">
        <v>0</v>
      </c>
    </row>
    <row r="43" spans="1:10">
      <c r="A43" s="831" t="s">
        <v>764</v>
      </c>
      <c r="B43" s="832">
        <v>25025</v>
      </c>
      <c r="C43" s="832">
        <v>29138</v>
      </c>
      <c r="D43" s="832">
        <v>54163</v>
      </c>
      <c r="E43" s="832">
        <v>0</v>
      </c>
      <c r="F43" s="832">
        <v>0</v>
      </c>
      <c r="G43" s="832">
        <v>0</v>
      </c>
      <c r="H43" s="832">
        <v>0</v>
      </c>
      <c r="I43" s="832">
        <v>0</v>
      </c>
      <c r="J43" s="832">
        <v>0</v>
      </c>
    </row>
    <row r="44" spans="1:10">
      <c r="A44" s="831" t="s">
        <v>763</v>
      </c>
      <c r="B44" s="830">
        <v>11037</v>
      </c>
      <c r="C44" s="830">
        <v>10555</v>
      </c>
      <c r="D44" s="830">
        <v>21592</v>
      </c>
      <c r="E44" s="830">
        <v>0</v>
      </c>
      <c r="F44" s="830">
        <v>0</v>
      </c>
      <c r="G44" s="830">
        <v>0</v>
      </c>
      <c r="H44" s="830">
        <v>0</v>
      </c>
      <c r="I44" s="830">
        <v>0</v>
      </c>
      <c r="J44" s="830">
        <v>0</v>
      </c>
    </row>
    <row r="45" spans="1:10">
      <c r="A45" s="829" t="s">
        <v>762</v>
      </c>
      <c r="B45" s="828">
        <v>111376</v>
      </c>
      <c r="C45" s="828">
        <v>110826</v>
      </c>
      <c r="D45" s="828">
        <v>222202</v>
      </c>
      <c r="E45" s="828">
        <v>0</v>
      </c>
      <c r="F45" s="828">
        <v>0</v>
      </c>
      <c r="G45" s="828">
        <v>0</v>
      </c>
      <c r="H45" s="828">
        <v>0</v>
      </c>
      <c r="I45" s="828">
        <v>0</v>
      </c>
      <c r="J45" s="828">
        <v>0</v>
      </c>
    </row>
    <row r="46" spans="1:10">
      <c r="A46" s="827"/>
      <c r="B46" s="832"/>
      <c r="C46" s="832"/>
      <c r="D46" s="832"/>
      <c r="E46" s="832"/>
      <c r="F46" s="832"/>
      <c r="G46" s="832"/>
      <c r="H46" s="832"/>
      <c r="I46" s="832"/>
      <c r="J46" s="832"/>
    </row>
    <row r="47" spans="1:10">
      <c r="A47" s="829" t="s">
        <v>761</v>
      </c>
      <c r="B47" s="828">
        <v>181064</v>
      </c>
      <c r="C47" s="828">
        <v>180432</v>
      </c>
      <c r="D47" s="828">
        <v>361496</v>
      </c>
      <c r="E47" s="828">
        <v>0</v>
      </c>
      <c r="F47" s="828">
        <v>0</v>
      </c>
      <c r="G47" s="828">
        <v>0</v>
      </c>
      <c r="H47" s="828">
        <v>0</v>
      </c>
      <c r="I47" s="828">
        <v>0</v>
      </c>
      <c r="J47" s="828">
        <v>0</v>
      </c>
    </row>
    <row r="48" spans="1:10">
      <c r="A48" s="827"/>
      <c r="B48" s="832"/>
      <c r="C48" s="832"/>
      <c r="D48" s="832"/>
      <c r="E48" s="832"/>
      <c r="F48" s="832"/>
      <c r="G48" s="832"/>
      <c r="H48" s="832"/>
      <c r="I48" s="832"/>
      <c r="J48" s="832"/>
    </row>
    <row r="49" spans="1:10">
      <c r="A49" s="827"/>
      <c r="B49" s="832"/>
      <c r="C49" s="832"/>
      <c r="D49" s="832"/>
      <c r="E49" s="832"/>
      <c r="F49" s="832"/>
      <c r="G49" s="832"/>
      <c r="H49" s="832"/>
      <c r="I49" s="832"/>
      <c r="J49" s="832"/>
    </row>
    <row r="50" spans="1:10">
      <c r="A50" s="833" t="s">
        <v>760</v>
      </c>
      <c r="B50" s="832"/>
      <c r="C50" s="832"/>
      <c r="D50" s="832"/>
      <c r="E50" s="832"/>
      <c r="F50" s="832"/>
      <c r="G50" s="832"/>
      <c r="H50" s="832"/>
      <c r="I50" s="832"/>
      <c r="J50" s="832"/>
    </row>
    <row r="51" spans="1:10">
      <c r="A51" s="831" t="s">
        <v>759</v>
      </c>
      <c r="B51" s="832">
        <v>5102</v>
      </c>
      <c r="C51" s="832">
        <v>5247</v>
      </c>
      <c r="D51" s="832">
        <v>10349</v>
      </c>
      <c r="E51" s="832">
        <v>0</v>
      </c>
      <c r="F51" s="832">
        <v>0</v>
      </c>
      <c r="G51" s="832">
        <v>0</v>
      </c>
      <c r="H51" s="832">
        <v>0</v>
      </c>
      <c r="I51" s="832">
        <v>0</v>
      </c>
      <c r="J51" s="832">
        <v>0</v>
      </c>
    </row>
    <row r="52" spans="1:10">
      <c r="A52" s="831" t="s">
        <v>758</v>
      </c>
      <c r="B52" s="832">
        <v>650</v>
      </c>
      <c r="C52" s="832">
        <v>651</v>
      </c>
      <c r="D52" s="832">
        <v>1301</v>
      </c>
      <c r="E52" s="832">
        <v>0</v>
      </c>
      <c r="F52" s="832">
        <v>0</v>
      </c>
      <c r="G52" s="832">
        <v>0</v>
      </c>
      <c r="H52" s="832">
        <v>0</v>
      </c>
      <c r="I52" s="832">
        <v>0</v>
      </c>
      <c r="J52" s="832">
        <v>0</v>
      </c>
    </row>
    <row r="53" spans="1:10">
      <c r="A53" s="831" t="s">
        <v>757</v>
      </c>
      <c r="B53" s="832">
        <v>2019</v>
      </c>
      <c r="C53" s="832">
        <v>1938</v>
      </c>
      <c r="D53" s="832">
        <v>3957</v>
      </c>
      <c r="E53" s="832">
        <v>0</v>
      </c>
      <c r="F53" s="832">
        <v>0</v>
      </c>
      <c r="G53" s="832">
        <v>0</v>
      </c>
      <c r="H53" s="832">
        <v>0</v>
      </c>
      <c r="I53" s="832">
        <v>0</v>
      </c>
      <c r="J53" s="832">
        <v>0</v>
      </c>
    </row>
    <row r="54" spans="1:10">
      <c r="A54" s="831" t="s">
        <v>756</v>
      </c>
      <c r="B54" s="832">
        <v>16047</v>
      </c>
      <c r="C54" s="832">
        <v>8612</v>
      </c>
      <c r="D54" s="832">
        <v>24659</v>
      </c>
      <c r="E54" s="832">
        <v>0</v>
      </c>
      <c r="F54" s="832">
        <v>0</v>
      </c>
      <c r="G54" s="832">
        <v>0</v>
      </c>
      <c r="H54" s="832">
        <v>0</v>
      </c>
      <c r="I54" s="832">
        <v>0</v>
      </c>
      <c r="J54" s="832">
        <v>0</v>
      </c>
    </row>
    <row r="55" spans="1:10">
      <c r="A55" s="831" t="s">
        <v>755</v>
      </c>
      <c r="B55" s="832">
        <v>257</v>
      </c>
      <c r="C55" s="832">
        <v>260</v>
      </c>
      <c r="D55" s="832">
        <v>517</v>
      </c>
      <c r="E55" s="832">
        <v>0</v>
      </c>
      <c r="F55" s="832">
        <v>0</v>
      </c>
      <c r="G55" s="832">
        <v>0</v>
      </c>
      <c r="H55" s="832">
        <v>0</v>
      </c>
      <c r="I55" s="832">
        <v>0</v>
      </c>
      <c r="J55" s="832">
        <v>0</v>
      </c>
    </row>
    <row r="56" spans="1:10">
      <c r="A56" s="831" t="s">
        <v>754</v>
      </c>
      <c r="B56" s="832">
        <v>234</v>
      </c>
      <c r="C56" s="832">
        <v>212</v>
      </c>
      <c r="D56" s="832">
        <v>446</v>
      </c>
      <c r="E56" s="832">
        <v>0</v>
      </c>
      <c r="F56" s="832">
        <v>0</v>
      </c>
      <c r="G56" s="832">
        <v>0</v>
      </c>
      <c r="H56" s="832">
        <v>0</v>
      </c>
      <c r="I56" s="832">
        <v>0</v>
      </c>
      <c r="J56" s="832">
        <v>0</v>
      </c>
    </row>
    <row r="57" spans="1:10">
      <c r="A57" s="831" t="s">
        <v>752</v>
      </c>
      <c r="B57" s="832">
        <v>141</v>
      </c>
      <c r="C57" s="832">
        <v>186</v>
      </c>
      <c r="D57" s="832">
        <v>327</v>
      </c>
      <c r="E57" s="832">
        <v>0</v>
      </c>
      <c r="F57" s="832">
        <v>0</v>
      </c>
      <c r="G57" s="832">
        <v>0</v>
      </c>
      <c r="H57" s="832">
        <v>0</v>
      </c>
      <c r="I57" s="832">
        <v>0</v>
      </c>
      <c r="J57" s="832">
        <v>0</v>
      </c>
    </row>
    <row r="58" spans="1:10">
      <c r="A58" s="831" t="s">
        <v>751</v>
      </c>
      <c r="B58" s="832">
        <v>4758</v>
      </c>
      <c r="C58" s="832">
        <v>7690</v>
      </c>
      <c r="D58" s="832">
        <v>12448</v>
      </c>
      <c r="E58" s="832">
        <v>0</v>
      </c>
      <c r="F58" s="832">
        <v>0</v>
      </c>
      <c r="G58" s="832">
        <v>0</v>
      </c>
      <c r="H58" s="832">
        <v>0</v>
      </c>
      <c r="I58" s="832">
        <v>0</v>
      </c>
      <c r="J58" s="832">
        <v>0</v>
      </c>
    </row>
    <row r="59" spans="1:10">
      <c r="A59" s="831" t="s">
        <v>750</v>
      </c>
      <c r="B59" s="832">
        <v>1277</v>
      </c>
      <c r="C59" s="832">
        <v>1180</v>
      </c>
      <c r="D59" s="832">
        <v>2457</v>
      </c>
      <c r="E59" s="832">
        <v>0</v>
      </c>
      <c r="F59" s="832">
        <v>0</v>
      </c>
      <c r="G59" s="832">
        <v>0</v>
      </c>
      <c r="H59" s="832">
        <v>0</v>
      </c>
      <c r="I59" s="832">
        <v>0</v>
      </c>
      <c r="J59" s="832">
        <v>0</v>
      </c>
    </row>
    <row r="60" spans="1:10">
      <c r="A60" s="831" t="s">
        <v>749</v>
      </c>
      <c r="B60" s="832">
        <v>51799</v>
      </c>
      <c r="C60" s="832">
        <v>72839</v>
      </c>
      <c r="D60" s="832">
        <v>124638</v>
      </c>
      <c r="E60" s="832">
        <v>0</v>
      </c>
      <c r="F60" s="832">
        <v>0</v>
      </c>
      <c r="G60" s="832">
        <v>0</v>
      </c>
      <c r="H60" s="832">
        <v>0</v>
      </c>
      <c r="I60" s="832">
        <v>0</v>
      </c>
      <c r="J60" s="832">
        <v>0</v>
      </c>
    </row>
    <row r="61" spans="1:10">
      <c r="A61" s="831" t="s">
        <v>748</v>
      </c>
      <c r="B61" s="832">
        <v>648</v>
      </c>
      <c r="C61" s="832">
        <v>789</v>
      </c>
      <c r="D61" s="832">
        <v>1437</v>
      </c>
      <c r="E61" s="832">
        <v>0</v>
      </c>
      <c r="F61" s="832">
        <v>0</v>
      </c>
      <c r="G61" s="832">
        <v>0</v>
      </c>
      <c r="H61" s="832">
        <v>0</v>
      </c>
      <c r="I61" s="832">
        <v>0</v>
      </c>
      <c r="J61" s="832">
        <v>0</v>
      </c>
    </row>
    <row r="62" spans="1:10">
      <c r="A62" s="831" t="s">
        <v>747</v>
      </c>
      <c r="B62" s="832">
        <v>18369</v>
      </c>
      <c r="C62" s="832">
        <v>18584</v>
      </c>
      <c r="D62" s="832">
        <v>36953</v>
      </c>
      <c r="E62" s="832">
        <v>0</v>
      </c>
      <c r="F62" s="832">
        <v>0</v>
      </c>
      <c r="G62" s="832">
        <v>0</v>
      </c>
      <c r="H62" s="832">
        <v>0</v>
      </c>
      <c r="I62" s="832">
        <v>0</v>
      </c>
      <c r="J62" s="832">
        <v>0</v>
      </c>
    </row>
    <row r="63" spans="1:10">
      <c r="A63" s="831" t="s">
        <v>746</v>
      </c>
      <c r="B63" s="832">
        <v>244</v>
      </c>
      <c r="C63" s="832">
        <v>244</v>
      </c>
      <c r="D63" s="832">
        <v>488</v>
      </c>
      <c r="E63" s="832">
        <v>0</v>
      </c>
      <c r="F63" s="832">
        <v>0</v>
      </c>
      <c r="G63" s="832">
        <v>0</v>
      </c>
      <c r="H63" s="832">
        <v>0</v>
      </c>
      <c r="I63" s="832">
        <v>0</v>
      </c>
      <c r="J63" s="832">
        <v>0</v>
      </c>
    </row>
    <row r="64" spans="1:10">
      <c r="A64" s="831" t="s">
        <v>745</v>
      </c>
      <c r="B64" s="832">
        <v>237</v>
      </c>
      <c r="C64" s="832">
        <v>232</v>
      </c>
      <c r="D64" s="832">
        <v>469</v>
      </c>
      <c r="E64" s="832">
        <v>0</v>
      </c>
      <c r="F64" s="832">
        <v>0</v>
      </c>
      <c r="G64" s="832">
        <v>0</v>
      </c>
      <c r="H64" s="832">
        <v>0</v>
      </c>
      <c r="I64" s="832">
        <v>0</v>
      </c>
      <c r="J64" s="832">
        <v>0</v>
      </c>
    </row>
    <row r="65" spans="1:10">
      <c r="A65" s="831" t="s">
        <v>798</v>
      </c>
      <c r="B65" s="832">
        <v>2879</v>
      </c>
      <c r="C65" s="832">
        <v>2755</v>
      </c>
      <c r="D65" s="832">
        <v>5634</v>
      </c>
      <c r="E65" s="832">
        <v>0</v>
      </c>
      <c r="F65" s="832">
        <v>0</v>
      </c>
      <c r="G65" s="832">
        <v>0</v>
      </c>
      <c r="H65" s="832">
        <v>0</v>
      </c>
      <c r="I65" s="832">
        <v>0</v>
      </c>
      <c r="J65" s="832">
        <v>0</v>
      </c>
    </row>
    <row r="66" spans="1:10">
      <c r="A66" s="831" t="s">
        <v>744</v>
      </c>
      <c r="B66" s="832">
        <v>100691</v>
      </c>
      <c r="C66" s="832">
        <v>99207</v>
      </c>
      <c r="D66" s="832">
        <v>199898</v>
      </c>
      <c r="E66" s="832">
        <v>0</v>
      </c>
      <c r="F66" s="832">
        <v>0</v>
      </c>
      <c r="G66" s="832">
        <v>0</v>
      </c>
      <c r="H66" s="832">
        <v>0</v>
      </c>
      <c r="I66" s="832">
        <v>0</v>
      </c>
      <c r="J66" s="832">
        <v>0</v>
      </c>
    </row>
    <row r="67" spans="1:10">
      <c r="A67" s="831" t="s">
        <v>743</v>
      </c>
      <c r="B67" s="832">
        <v>1189</v>
      </c>
      <c r="C67" s="832">
        <v>1150</v>
      </c>
      <c r="D67" s="832">
        <v>2339</v>
      </c>
      <c r="E67" s="832">
        <v>0</v>
      </c>
      <c r="F67" s="832">
        <v>0</v>
      </c>
      <c r="G67" s="832">
        <v>0</v>
      </c>
      <c r="H67" s="832">
        <v>0</v>
      </c>
      <c r="I67" s="832">
        <v>0</v>
      </c>
      <c r="J67" s="832">
        <v>0</v>
      </c>
    </row>
    <row r="68" spans="1:10">
      <c r="A68" s="831" t="s">
        <v>1166</v>
      </c>
      <c r="B68" s="832">
        <v>0</v>
      </c>
      <c r="C68" s="832">
        <v>650</v>
      </c>
      <c r="D68" s="832">
        <v>650</v>
      </c>
      <c r="E68" s="832">
        <v>0</v>
      </c>
      <c r="F68" s="832">
        <v>0</v>
      </c>
      <c r="G68" s="832">
        <v>0</v>
      </c>
      <c r="H68" s="832">
        <v>0</v>
      </c>
      <c r="I68" s="832">
        <v>0</v>
      </c>
      <c r="J68" s="832">
        <v>0</v>
      </c>
    </row>
    <row r="69" spans="1:10">
      <c r="A69" s="831" t="s">
        <v>796</v>
      </c>
      <c r="B69" s="832">
        <v>3401</v>
      </c>
      <c r="C69" s="832">
        <v>3309</v>
      </c>
      <c r="D69" s="832">
        <v>6710</v>
      </c>
      <c r="E69" s="832">
        <v>0</v>
      </c>
      <c r="F69" s="832">
        <v>0</v>
      </c>
      <c r="G69" s="832">
        <v>0</v>
      </c>
      <c r="H69" s="832">
        <v>0</v>
      </c>
      <c r="I69" s="832">
        <v>0</v>
      </c>
      <c r="J69" s="832">
        <v>0</v>
      </c>
    </row>
    <row r="70" spans="1:10">
      <c r="A70" s="831" t="s">
        <v>740</v>
      </c>
      <c r="B70" s="832">
        <v>7116</v>
      </c>
      <c r="C70" s="832">
        <v>6872</v>
      </c>
      <c r="D70" s="832">
        <v>13988</v>
      </c>
      <c r="E70" s="832">
        <v>0</v>
      </c>
      <c r="F70" s="832">
        <v>0</v>
      </c>
      <c r="G70" s="832">
        <v>0</v>
      </c>
      <c r="H70" s="832">
        <v>0</v>
      </c>
      <c r="I70" s="832">
        <v>0</v>
      </c>
      <c r="J70" s="832">
        <v>0</v>
      </c>
    </row>
    <row r="71" spans="1:10">
      <c r="A71" s="831" t="s">
        <v>739</v>
      </c>
      <c r="B71" s="830">
        <v>2104</v>
      </c>
      <c r="C71" s="830">
        <v>2130</v>
      </c>
      <c r="D71" s="830">
        <v>4234</v>
      </c>
      <c r="E71" s="830">
        <v>0</v>
      </c>
      <c r="F71" s="830">
        <v>0</v>
      </c>
      <c r="G71" s="830">
        <v>0</v>
      </c>
      <c r="H71" s="830">
        <v>0</v>
      </c>
      <c r="I71" s="830">
        <v>0</v>
      </c>
      <c r="J71" s="830">
        <v>0</v>
      </c>
    </row>
    <row r="72" spans="1:10">
      <c r="A72" s="829" t="s">
        <v>736</v>
      </c>
      <c r="B72" s="828">
        <v>219162</v>
      </c>
      <c r="C72" s="828">
        <v>234737</v>
      </c>
      <c r="D72" s="828">
        <v>453899</v>
      </c>
      <c r="E72" s="828">
        <v>0</v>
      </c>
      <c r="F72" s="828">
        <v>0</v>
      </c>
      <c r="G72" s="828">
        <v>0</v>
      </c>
      <c r="H72" s="828">
        <v>0</v>
      </c>
      <c r="I72" s="828">
        <v>0</v>
      </c>
      <c r="J72" s="828">
        <v>0</v>
      </c>
    </row>
    <row r="73" spans="1:10">
      <c r="A73" s="827"/>
      <c r="B73" s="832"/>
      <c r="C73" s="832"/>
      <c r="D73" s="832"/>
      <c r="E73" s="832"/>
      <c r="F73" s="832"/>
      <c r="G73" s="832"/>
      <c r="H73" s="832"/>
      <c r="I73" s="832"/>
      <c r="J73" s="832"/>
    </row>
    <row r="74" spans="1:10">
      <c r="A74" s="827"/>
      <c r="B74" s="832"/>
      <c r="C74" s="832"/>
      <c r="D74" s="832"/>
      <c r="E74" s="832"/>
      <c r="F74" s="832"/>
      <c r="G74" s="832"/>
      <c r="H74" s="832"/>
      <c r="I74" s="832"/>
      <c r="J74" s="832"/>
    </row>
    <row r="75" spans="1:10">
      <c r="A75" s="833" t="s">
        <v>735</v>
      </c>
      <c r="B75" s="832"/>
      <c r="C75" s="832"/>
      <c r="D75" s="832"/>
      <c r="E75" s="832"/>
      <c r="F75" s="832"/>
      <c r="G75" s="832"/>
      <c r="H75" s="832"/>
      <c r="I75" s="832"/>
      <c r="J75" s="832"/>
    </row>
    <row r="76" spans="1:10">
      <c r="A76" s="831" t="s">
        <v>734</v>
      </c>
      <c r="B76" s="832">
        <v>2034296</v>
      </c>
      <c r="C76" s="832">
        <v>2031185</v>
      </c>
      <c r="D76" s="832">
        <v>4065481</v>
      </c>
      <c r="E76" s="832">
        <v>0</v>
      </c>
      <c r="F76" s="832">
        <v>0</v>
      </c>
      <c r="G76" s="832">
        <v>0</v>
      </c>
      <c r="H76" s="832">
        <v>0</v>
      </c>
      <c r="I76" s="832">
        <v>0</v>
      </c>
      <c r="J76" s="832">
        <v>0</v>
      </c>
    </row>
    <row r="77" spans="1:10">
      <c r="A77" s="831" t="s">
        <v>733</v>
      </c>
      <c r="B77" s="832">
        <v>1993</v>
      </c>
      <c r="C77" s="832">
        <v>1954</v>
      </c>
      <c r="D77" s="832">
        <v>3947</v>
      </c>
      <c r="E77" s="832">
        <v>0</v>
      </c>
      <c r="F77" s="832">
        <v>0</v>
      </c>
      <c r="G77" s="832">
        <v>0</v>
      </c>
      <c r="H77" s="832">
        <v>0</v>
      </c>
      <c r="I77" s="832">
        <v>0</v>
      </c>
      <c r="J77" s="832">
        <v>0</v>
      </c>
    </row>
    <row r="78" spans="1:10">
      <c r="A78" s="831" t="s">
        <v>732</v>
      </c>
      <c r="B78" s="832">
        <v>14589</v>
      </c>
      <c r="C78" s="832">
        <v>14147</v>
      </c>
      <c r="D78" s="832">
        <v>28736</v>
      </c>
      <c r="E78" s="832">
        <v>0</v>
      </c>
      <c r="F78" s="832">
        <v>0</v>
      </c>
      <c r="G78" s="832">
        <v>0</v>
      </c>
      <c r="H78" s="832">
        <v>0</v>
      </c>
      <c r="I78" s="832">
        <v>0</v>
      </c>
      <c r="J78" s="832">
        <v>0</v>
      </c>
    </row>
    <row r="79" spans="1:10">
      <c r="A79" s="831" t="s">
        <v>731</v>
      </c>
      <c r="B79" s="832">
        <v>17406</v>
      </c>
      <c r="C79" s="832">
        <v>17906</v>
      </c>
      <c r="D79" s="832">
        <v>35312</v>
      </c>
      <c r="E79" s="832">
        <v>0</v>
      </c>
      <c r="F79" s="832">
        <v>0</v>
      </c>
      <c r="G79" s="832">
        <v>0</v>
      </c>
      <c r="H79" s="832">
        <v>0</v>
      </c>
      <c r="I79" s="832">
        <v>0</v>
      </c>
      <c r="J79" s="832">
        <v>0</v>
      </c>
    </row>
    <row r="80" spans="1:10">
      <c r="A80" s="831" t="s">
        <v>728</v>
      </c>
      <c r="B80" s="832">
        <v>79404</v>
      </c>
      <c r="C80" s="832">
        <v>78114</v>
      </c>
      <c r="D80" s="832">
        <v>157518</v>
      </c>
      <c r="E80" s="832">
        <v>0</v>
      </c>
      <c r="F80" s="832">
        <v>0</v>
      </c>
      <c r="G80" s="832">
        <v>0</v>
      </c>
      <c r="H80" s="832">
        <v>0</v>
      </c>
      <c r="I80" s="832">
        <v>0</v>
      </c>
      <c r="J80" s="832">
        <v>0</v>
      </c>
    </row>
    <row r="81" spans="1:10">
      <c r="A81" s="831" t="s">
        <v>727</v>
      </c>
      <c r="B81" s="832">
        <v>8574</v>
      </c>
      <c r="C81" s="832">
        <v>6765</v>
      </c>
      <c r="D81" s="832">
        <v>15339</v>
      </c>
      <c r="E81" s="832">
        <v>0</v>
      </c>
      <c r="F81" s="832">
        <v>0</v>
      </c>
      <c r="G81" s="832">
        <v>0</v>
      </c>
      <c r="H81" s="832">
        <v>0</v>
      </c>
      <c r="I81" s="832">
        <v>0</v>
      </c>
      <c r="J81" s="832">
        <v>0</v>
      </c>
    </row>
    <row r="82" spans="1:10">
      <c r="A82" s="831" t="s">
        <v>726</v>
      </c>
      <c r="B82" s="832">
        <v>815717</v>
      </c>
      <c r="C82" s="832">
        <v>786627</v>
      </c>
      <c r="D82" s="832">
        <v>1602344</v>
      </c>
      <c r="E82" s="832">
        <v>0</v>
      </c>
      <c r="F82" s="832">
        <v>0</v>
      </c>
      <c r="G82" s="832">
        <v>0</v>
      </c>
      <c r="H82" s="832">
        <v>0</v>
      </c>
      <c r="I82" s="832">
        <v>0</v>
      </c>
      <c r="J82" s="832">
        <v>0</v>
      </c>
    </row>
    <row r="83" spans="1:10">
      <c r="A83" s="831" t="s">
        <v>725</v>
      </c>
      <c r="B83" s="830">
        <v>2159</v>
      </c>
      <c r="C83" s="830">
        <v>2131</v>
      </c>
      <c r="D83" s="830">
        <v>4290</v>
      </c>
      <c r="E83" s="830">
        <v>0</v>
      </c>
      <c r="F83" s="830">
        <v>0</v>
      </c>
      <c r="G83" s="830">
        <v>0</v>
      </c>
      <c r="H83" s="830">
        <v>0</v>
      </c>
      <c r="I83" s="830">
        <v>0</v>
      </c>
      <c r="J83" s="830">
        <v>0</v>
      </c>
    </row>
    <row r="84" spans="1:10">
      <c r="A84" s="831"/>
      <c r="B84" s="989"/>
      <c r="C84" s="989"/>
      <c r="D84" s="989"/>
      <c r="E84" s="989"/>
      <c r="F84" s="989"/>
      <c r="G84" s="989"/>
      <c r="H84" s="989"/>
      <c r="I84" s="989"/>
      <c r="J84" s="989"/>
    </row>
    <row r="85" spans="1:10">
      <c r="A85" s="829" t="s">
        <v>722</v>
      </c>
      <c r="B85" s="828">
        <v>2974138</v>
      </c>
      <c r="C85" s="828">
        <v>2938829</v>
      </c>
      <c r="D85" s="828">
        <v>5912967</v>
      </c>
      <c r="E85" s="828">
        <v>0</v>
      </c>
      <c r="F85" s="828">
        <v>0</v>
      </c>
      <c r="G85" s="828">
        <v>0</v>
      </c>
      <c r="H85" s="828">
        <v>0</v>
      </c>
      <c r="I85" s="828">
        <v>0</v>
      </c>
      <c r="J85" s="828">
        <v>0</v>
      </c>
    </row>
    <row r="86" spans="1:10">
      <c r="A86" s="827"/>
      <c r="B86" s="832"/>
      <c r="C86" s="832"/>
      <c r="D86" s="832"/>
      <c r="E86" s="832"/>
      <c r="F86" s="832"/>
      <c r="G86" s="832"/>
      <c r="H86" s="832"/>
      <c r="I86" s="832"/>
      <c r="J86" s="832"/>
    </row>
    <row r="87" spans="1:10">
      <c r="A87" s="827"/>
      <c r="B87" s="832"/>
      <c r="C87" s="832"/>
      <c r="D87" s="832"/>
      <c r="E87" s="832"/>
      <c r="F87" s="832"/>
      <c r="G87" s="832"/>
      <c r="H87" s="832"/>
      <c r="I87" s="832"/>
      <c r="J87" s="832"/>
    </row>
    <row r="88" spans="1:10">
      <c r="A88" s="833" t="s">
        <v>721</v>
      </c>
      <c r="B88" s="832"/>
      <c r="C88" s="832"/>
      <c r="D88" s="832"/>
      <c r="E88" s="832"/>
      <c r="F88" s="832"/>
      <c r="G88" s="832"/>
      <c r="H88" s="832"/>
      <c r="I88" s="832"/>
      <c r="J88" s="832"/>
    </row>
    <row r="89" spans="1:10">
      <c r="A89" s="831" t="s">
        <v>720</v>
      </c>
      <c r="B89" s="832">
        <v>287014</v>
      </c>
      <c r="C89" s="832">
        <v>285018</v>
      </c>
      <c r="D89" s="832">
        <v>572032</v>
      </c>
      <c r="E89" s="832">
        <v>0</v>
      </c>
      <c r="F89" s="832">
        <v>0</v>
      </c>
      <c r="G89" s="832">
        <v>0</v>
      </c>
      <c r="H89" s="832">
        <v>362</v>
      </c>
      <c r="I89" s="832">
        <v>363</v>
      </c>
      <c r="J89" s="832">
        <v>725</v>
      </c>
    </row>
    <row r="90" spans="1:10">
      <c r="A90" s="831" t="s">
        <v>719</v>
      </c>
      <c r="B90" s="832">
        <v>85723</v>
      </c>
      <c r="C90" s="832">
        <v>85258</v>
      </c>
      <c r="D90" s="832">
        <v>170981</v>
      </c>
      <c r="E90" s="832">
        <v>0</v>
      </c>
      <c r="F90" s="832">
        <v>0</v>
      </c>
      <c r="G90" s="832">
        <v>0</v>
      </c>
      <c r="H90" s="832">
        <v>0</v>
      </c>
      <c r="I90" s="832">
        <v>0</v>
      </c>
      <c r="J90" s="832">
        <v>0</v>
      </c>
    </row>
    <row r="91" spans="1:10">
      <c r="A91" s="831" t="s">
        <v>718</v>
      </c>
      <c r="B91" s="832">
        <v>438381</v>
      </c>
      <c r="C91" s="832">
        <v>442445</v>
      </c>
      <c r="D91" s="832">
        <v>880826</v>
      </c>
      <c r="E91" s="832">
        <v>0</v>
      </c>
      <c r="F91" s="832">
        <v>0</v>
      </c>
      <c r="G91" s="832">
        <v>0</v>
      </c>
      <c r="H91" s="832">
        <v>0</v>
      </c>
      <c r="I91" s="832">
        <v>0</v>
      </c>
      <c r="J91" s="832">
        <v>0</v>
      </c>
    </row>
    <row r="92" spans="1:10">
      <c r="A92" s="831" t="s">
        <v>717</v>
      </c>
      <c r="B92" s="832">
        <v>486864</v>
      </c>
      <c r="C92" s="832">
        <v>506602</v>
      </c>
      <c r="D92" s="832">
        <v>993466</v>
      </c>
      <c r="E92" s="832">
        <v>0</v>
      </c>
      <c r="F92" s="832">
        <v>0</v>
      </c>
      <c r="G92" s="832">
        <v>0</v>
      </c>
      <c r="H92" s="832">
        <v>0</v>
      </c>
      <c r="I92" s="832">
        <v>0</v>
      </c>
      <c r="J92" s="832">
        <v>0</v>
      </c>
    </row>
    <row r="93" spans="1:10">
      <c r="A93" s="831" t="s">
        <v>716</v>
      </c>
      <c r="B93" s="832">
        <v>791493</v>
      </c>
      <c r="C93" s="832">
        <v>809338</v>
      </c>
      <c r="D93" s="832">
        <v>1600831</v>
      </c>
      <c r="E93" s="832">
        <v>0</v>
      </c>
      <c r="F93" s="832">
        <v>0</v>
      </c>
      <c r="G93" s="832">
        <v>0</v>
      </c>
      <c r="H93" s="832">
        <v>0</v>
      </c>
      <c r="I93" s="832">
        <v>0</v>
      </c>
      <c r="J93" s="832">
        <v>0</v>
      </c>
    </row>
    <row r="94" spans="1:10">
      <c r="A94" s="831" t="s">
        <v>715</v>
      </c>
      <c r="B94" s="832">
        <v>415553</v>
      </c>
      <c r="C94" s="832">
        <v>438483</v>
      </c>
      <c r="D94" s="832">
        <v>854036</v>
      </c>
      <c r="E94" s="832">
        <v>0</v>
      </c>
      <c r="F94" s="832">
        <v>0</v>
      </c>
      <c r="G94" s="832">
        <v>0</v>
      </c>
      <c r="H94" s="832">
        <v>0</v>
      </c>
      <c r="I94" s="832">
        <v>0</v>
      </c>
      <c r="J94" s="832">
        <v>0</v>
      </c>
    </row>
    <row r="95" spans="1:10">
      <c r="A95" s="831" t="s">
        <v>714</v>
      </c>
      <c r="B95" s="832">
        <v>73742</v>
      </c>
      <c r="C95" s="832">
        <v>71218</v>
      </c>
      <c r="D95" s="832">
        <v>144960</v>
      </c>
      <c r="E95" s="832">
        <v>0</v>
      </c>
      <c r="F95" s="832">
        <v>0</v>
      </c>
      <c r="G95" s="832">
        <v>0</v>
      </c>
      <c r="H95" s="832">
        <v>0</v>
      </c>
      <c r="I95" s="832">
        <v>0</v>
      </c>
      <c r="J95" s="832">
        <v>0</v>
      </c>
    </row>
    <row r="96" spans="1:10">
      <c r="A96" s="831" t="s">
        <v>712</v>
      </c>
      <c r="B96" s="832">
        <v>10854</v>
      </c>
      <c r="C96" s="832">
        <v>10401</v>
      </c>
      <c r="D96" s="832">
        <v>21255</v>
      </c>
      <c r="E96" s="832">
        <v>0</v>
      </c>
      <c r="F96" s="832">
        <v>0</v>
      </c>
      <c r="G96" s="832">
        <v>0</v>
      </c>
      <c r="H96" s="832">
        <v>0</v>
      </c>
      <c r="I96" s="832">
        <v>0</v>
      </c>
      <c r="J96" s="832">
        <v>0</v>
      </c>
    </row>
    <row r="97" spans="1:10">
      <c r="A97" s="831" t="s">
        <v>711</v>
      </c>
      <c r="B97" s="832">
        <v>26069</v>
      </c>
      <c r="C97" s="832">
        <v>24474</v>
      </c>
      <c r="D97" s="832">
        <v>50543</v>
      </c>
      <c r="E97" s="832">
        <v>0</v>
      </c>
      <c r="F97" s="832">
        <v>0</v>
      </c>
      <c r="G97" s="832">
        <v>0</v>
      </c>
      <c r="H97" s="832">
        <v>0</v>
      </c>
      <c r="I97" s="832">
        <v>0</v>
      </c>
      <c r="J97" s="832">
        <v>0</v>
      </c>
    </row>
    <row r="98" spans="1:10">
      <c r="A98" s="831" t="s">
        <v>710</v>
      </c>
      <c r="B98" s="832">
        <v>48167</v>
      </c>
      <c r="C98" s="832">
        <v>36128</v>
      </c>
      <c r="D98" s="832">
        <v>84295</v>
      </c>
      <c r="E98" s="832">
        <v>0</v>
      </c>
      <c r="F98" s="832">
        <v>0</v>
      </c>
      <c r="G98" s="832">
        <v>0</v>
      </c>
      <c r="H98" s="832">
        <v>0</v>
      </c>
      <c r="I98" s="832">
        <v>0</v>
      </c>
      <c r="J98" s="832">
        <v>0</v>
      </c>
    </row>
    <row r="99" spans="1:10">
      <c r="A99" s="831" t="s">
        <v>709</v>
      </c>
      <c r="B99" s="830">
        <v>62140</v>
      </c>
      <c r="C99" s="830">
        <v>46303</v>
      </c>
      <c r="D99" s="830">
        <v>108443</v>
      </c>
      <c r="E99" s="830">
        <v>0</v>
      </c>
      <c r="F99" s="830">
        <v>0</v>
      </c>
      <c r="G99" s="830">
        <v>0</v>
      </c>
      <c r="H99" s="830">
        <v>0</v>
      </c>
      <c r="I99" s="830">
        <v>0</v>
      </c>
      <c r="J99" s="830">
        <v>0</v>
      </c>
    </row>
    <row r="100" spans="1:10">
      <c r="A100" s="829" t="s">
        <v>708</v>
      </c>
      <c r="B100" s="828">
        <v>2726000</v>
      </c>
      <c r="C100" s="828">
        <v>2755668</v>
      </c>
      <c r="D100" s="828">
        <v>5481668</v>
      </c>
      <c r="E100" s="828">
        <v>0</v>
      </c>
      <c r="F100" s="828">
        <v>0</v>
      </c>
      <c r="G100" s="828">
        <v>0</v>
      </c>
      <c r="H100" s="828">
        <v>362</v>
      </c>
      <c r="I100" s="828">
        <v>363</v>
      </c>
      <c r="J100" s="828">
        <v>725</v>
      </c>
    </row>
    <row r="101" spans="1:10">
      <c r="A101" s="827"/>
      <c r="B101" s="832"/>
      <c r="C101" s="832"/>
      <c r="D101" s="832"/>
      <c r="E101" s="832"/>
      <c r="F101" s="832"/>
      <c r="G101" s="832"/>
      <c r="H101" s="832"/>
      <c r="I101" s="832"/>
      <c r="J101" s="832"/>
    </row>
    <row r="102" spans="1:10">
      <c r="A102" s="829" t="s">
        <v>707</v>
      </c>
      <c r="B102" s="828">
        <v>5700138</v>
      </c>
      <c r="C102" s="828">
        <v>5694497</v>
      </c>
      <c r="D102" s="828">
        <v>11394635</v>
      </c>
      <c r="E102" s="828">
        <v>0</v>
      </c>
      <c r="F102" s="828">
        <v>0</v>
      </c>
      <c r="G102" s="828">
        <v>0</v>
      </c>
      <c r="H102" s="828">
        <v>362</v>
      </c>
      <c r="I102" s="828">
        <v>363</v>
      </c>
      <c r="J102" s="828">
        <v>725</v>
      </c>
    </row>
    <row r="103" spans="1:10">
      <c r="A103" s="827"/>
      <c r="B103" s="832"/>
      <c r="C103" s="832"/>
      <c r="D103" s="832"/>
      <c r="E103" s="832"/>
      <c r="F103" s="832"/>
      <c r="G103" s="832"/>
      <c r="H103" s="832"/>
      <c r="I103" s="832"/>
      <c r="J103" s="832"/>
    </row>
    <row r="104" spans="1:10">
      <c r="A104" s="827"/>
      <c r="B104" s="832"/>
      <c r="C104" s="832"/>
      <c r="D104" s="832"/>
      <c r="E104" s="832"/>
      <c r="F104" s="832"/>
      <c r="G104" s="832"/>
      <c r="H104" s="832"/>
      <c r="I104" s="832"/>
      <c r="J104" s="832"/>
    </row>
    <row r="105" spans="1:10">
      <c r="A105" s="833" t="s">
        <v>706</v>
      </c>
      <c r="B105" s="832"/>
      <c r="C105" s="832"/>
      <c r="D105" s="832"/>
      <c r="E105" s="832"/>
      <c r="F105" s="832"/>
      <c r="G105" s="832"/>
      <c r="H105" s="832"/>
      <c r="I105" s="832"/>
      <c r="J105" s="832"/>
    </row>
    <row r="106" spans="1:10">
      <c r="A106" s="831" t="s">
        <v>705</v>
      </c>
      <c r="B106" s="832">
        <v>401</v>
      </c>
      <c r="C106" s="832">
        <v>404</v>
      </c>
      <c r="D106" s="832">
        <v>805</v>
      </c>
      <c r="E106" s="832">
        <v>0</v>
      </c>
      <c r="F106" s="832">
        <v>0</v>
      </c>
      <c r="G106" s="832">
        <v>0</v>
      </c>
      <c r="H106" s="832">
        <v>0</v>
      </c>
      <c r="I106" s="832">
        <v>0</v>
      </c>
      <c r="J106" s="832">
        <v>0</v>
      </c>
    </row>
    <row r="107" spans="1:10">
      <c r="A107" s="831" t="s">
        <v>704</v>
      </c>
      <c r="B107" s="832">
        <v>37143</v>
      </c>
      <c r="C107" s="832">
        <v>33481</v>
      </c>
      <c r="D107" s="832">
        <v>70624</v>
      </c>
      <c r="E107" s="832">
        <v>0</v>
      </c>
      <c r="F107" s="832">
        <v>0</v>
      </c>
      <c r="G107" s="832">
        <v>0</v>
      </c>
      <c r="H107" s="832">
        <v>0</v>
      </c>
      <c r="I107" s="832">
        <v>0</v>
      </c>
      <c r="J107" s="832">
        <v>0</v>
      </c>
    </row>
    <row r="108" spans="1:10">
      <c r="A108" s="831" t="s">
        <v>703</v>
      </c>
      <c r="B108" s="832">
        <v>8955</v>
      </c>
      <c r="C108" s="832">
        <v>8379</v>
      </c>
      <c r="D108" s="832">
        <v>17334</v>
      </c>
      <c r="E108" s="832">
        <v>0</v>
      </c>
      <c r="F108" s="832">
        <v>0</v>
      </c>
      <c r="G108" s="832">
        <v>0</v>
      </c>
      <c r="H108" s="832">
        <v>0</v>
      </c>
      <c r="I108" s="832">
        <v>0</v>
      </c>
      <c r="J108" s="832">
        <v>0</v>
      </c>
    </row>
    <row r="109" spans="1:10">
      <c r="A109" s="831" t="s">
        <v>702</v>
      </c>
      <c r="B109" s="832">
        <v>898</v>
      </c>
      <c r="C109" s="832">
        <v>823</v>
      </c>
      <c r="D109" s="832">
        <v>1721</v>
      </c>
      <c r="E109" s="832">
        <v>0</v>
      </c>
      <c r="F109" s="832">
        <v>0</v>
      </c>
      <c r="G109" s="832">
        <v>0</v>
      </c>
      <c r="H109" s="832">
        <v>0</v>
      </c>
      <c r="I109" s="832">
        <v>0</v>
      </c>
      <c r="J109" s="832">
        <v>0</v>
      </c>
    </row>
    <row r="110" spans="1:10">
      <c r="A110" s="831" t="s">
        <v>795</v>
      </c>
      <c r="B110" s="832">
        <v>2153</v>
      </c>
      <c r="C110" s="832">
        <v>2020</v>
      </c>
      <c r="D110" s="832">
        <v>4173</v>
      </c>
      <c r="E110" s="832">
        <v>0</v>
      </c>
      <c r="F110" s="832">
        <v>0</v>
      </c>
      <c r="G110" s="832">
        <v>0</v>
      </c>
      <c r="H110" s="832">
        <v>0</v>
      </c>
      <c r="I110" s="832">
        <v>0</v>
      </c>
      <c r="J110" s="832">
        <v>0</v>
      </c>
    </row>
    <row r="111" spans="1:10">
      <c r="A111" s="831" t="s">
        <v>700</v>
      </c>
      <c r="B111" s="832">
        <v>6785</v>
      </c>
      <c r="C111" s="832">
        <v>6424</v>
      </c>
      <c r="D111" s="832">
        <v>13209</v>
      </c>
      <c r="E111" s="832">
        <v>0</v>
      </c>
      <c r="F111" s="832">
        <v>0</v>
      </c>
      <c r="G111" s="832">
        <v>0</v>
      </c>
      <c r="H111" s="832">
        <v>0</v>
      </c>
      <c r="I111" s="832">
        <v>0</v>
      </c>
      <c r="J111" s="832">
        <v>0</v>
      </c>
    </row>
    <row r="112" spans="1:10">
      <c r="A112" s="831" t="s">
        <v>699</v>
      </c>
      <c r="B112" s="832">
        <v>34098</v>
      </c>
      <c r="C112" s="832">
        <v>23618</v>
      </c>
      <c r="D112" s="832">
        <v>57716</v>
      </c>
      <c r="E112" s="832">
        <v>0</v>
      </c>
      <c r="F112" s="832">
        <v>0</v>
      </c>
      <c r="G112" s="832">
        <v>0</v>
      </c>
      <c r="H112" s="832">
        <v>0</v>
      </c>
      <c r="I112" s="832">
        <v>0</v>
      </c>
      <c r="J112" s="832">
        <v>0</v>
      </c>
    </row>
    <row r="113" spans="1:10">
      <c r="A113" s="831" t="s">
        <v>698</v>
      </c>
      <c r="B113" s="832">
        <v>2273</v>
      </c>
      <c r="C113" s="832">
        <v>2253</v>
      </c>
      <c r="D113" s="832">
        <v>4526</v>
      </c>
      <c r="E113" s="832">
        <v>0</v>
      </c>
      <c r="F113" s="832">
        <v>0</v>
      </c>
      <c r="G113" s="832">
        <v>0</v>
      </c>
      <c r="H113" s="832">
        <v>0</v>
      </c>
      <c r="I113" s="832">
        <v>0</v>
      </c>
      <c r="J113" s="832">
        <v>0</v>
      </c>
    </row>
    <row r="114" spans="1:10">
      <c r="A114" s="831" t="s">
        <v>697</v>
      </c>
      <c r="B114" s="832">
        <v>30907</v>
      </c>
      <c r="C114" s="832">
        <v>31818</v>
      </c>
      <c r="D114" s="832">
        <v>62725</v>
      </c>
      <c r="E114" s="832">
        <v>0</v>
      </c>
      <c r="F114" s="832">
        <v>0</v>
      </c>
      <c r="G114" s="832">
        <v>0</v>
      </c>
      <c r="H114" s="832">
        <v>0</v>
      </c>
      <c r="I114" s="832">
        <v>0</v>
      </c>
      <c r="J114" s="832">
        <v>0</v>
      </c>
    </row>
    <row r="115" spans="1:10">
      <c r="A115" s="831" t="s">
        <v>696</v>
      </c>
      <c r="B115" s="830">
        <v>15434</v>
      </c>
      <c r="C115" s="830">
        <v>14537</v>
      </c>
      <c r="D115" s="830">
        <v>29971</v>
      </c>
      <c r="E115" s="830">
        <v>0</v>
      </c>
      <c r="F115" s="830">
        <v>0</v>
      </c>
      <c r="G115" s="830">
        <v>0</v>
      </c>
      <c r="H115" s="830">
        <v>0</v>
      </c>
      <c r="I115" s="830">
        <v>0</v>
      </c>
      <c r="J115" s="830">
        <v>0</v>
      </c>
    </row>
    <row r="116" spans="1:10">
      <c r="A116" s="829" t="s">
        <v>695</v>
      </c>
      <c r="B116" s="828">
        <v>139047</v>
      </c>
      <c r="C116" s="828">
        <v>123757</v>
      </c>
      <c r="D116" s="828">
        <v>262804</v>
      </c>
      <c r="E116" s="828">
        <v>0</v>
      </c>
      <c r="F116" s="828">
        <v>0</v>
      </c>
      <c r="G116" s="828">
        <v>0</v>
      </c>
      <c r="H116" s="828">
        <v>0</v>
      </c>
      <c r="I116" s="828">
        <v>0</v>
      </c>
      <c r="J116" s="828">
        <v>0</v>
      </c>
    </row>
    <row r="117" spans="1:10">
      <c r="A117" s="827"/>
      <c r="B117" s="832"/>
      <c r="C117" s="832"/>
      <c r="D117" s="832"/>
      <c r="E117" s="832"/>
      <c r="F117" s="832"/>
      <c r="G117" s="832"/>
      <c r="H117" s="832"/>
      <c r="I117" s="832"/>
      <c r="J117" s="832"/>
    </row>
    <row r="118" spans="1:10">
      <c r="A118" s="827"/>
      <c r="B118" s="832"/>
      <c r="C118" s="832"/>
      <c r="D118" s="832"/>
      <c r="E118" s="832"/>
      <c r="F118" s="832"/>
      <c r="G118" s="832"/>
      <c r="H118" s="832"/>
      <c r="I118" s="832"/>
      <c r="J118" s="832"/>
    </row>
    <row r="119" spans="1:10">
      <c r="A119" s="833" t="s">
        <v>694</v>
      </c>
      <c r="B119" s="832"/>
      <c r="C119" s="832"/>
      <c r="D119" s="832"/>
      <c r="E119" s="832"/>
      <c r="F119" s="832"/>
      <c r="G119" s="832"/>
      <c r="H119" s="832"/>
      <c r="I119" s="832"/>
      <c r="J119" s="832"/>
    </row>
    <row r="120" spans="1:10">
      <c r="A120" s="831" t="s">
        <v>693</v>
      </c>
      <c r="B120" s="832">
        <v>35395</v>
      </c>
      <c r="C120" s="832">
        <v>32323</v>
      </c>
      <c r="D120" s="832">
        <v>67718</v>
      </c>
      <c r="E120" s="832">
        <v>0</v>
      </c>
      <c r="F120" s="832">
        <v>0</v>
      </c>
      <c r="G120" s="832">
        <v>0</v>
      </c>
      <c r="H120" s="832">
        <v>0</v>
      </c>
      <c r="I120" s="832">
        <v>0</v>
      </c>
      <c r="J120" s="832">
        <v>0</v>
      </c>
    </row>
    <row r="121" spans="1:10">
      <c r="A121" s="831" t="s">
        <v>692</v>
      </c>
      <c r="B121" s="830">
        <v>1163</v>
      </c>
      <c r="C121" s="830">
        <v>1279</v>
      </c>
      <c r="D121" s="830">
        <v>2442</v>
      </c>
      <c r="E121" s="830">
        <v>0</v>
      </c>
      <c r="F121" s="830">
        <v>0</v>
      </c>
      <c r="G121" s="830">
        <v>0</v>
      </c>
      <c r="H121" s="830">
        <v>0</v>
      </c>
      <c r="I121" s="830">
        <v>0</v>
      </c>
      <c r="J121" s="830">
        <v>0</v>
      </c>
    </row>
    <row r="122" spans="1:10">
      <c r="A122" s="829" t="s">
        <v>691</v>
      </c>
      <c r="B122" s="828">
        <v>36558</v>
      </c>
      <c r="C122" s="828">
        <v>33602</v>
      </c>
      <c r="D122" s="828">
        <v>70160</v>
      </c>
      <c r="E122" s="828">
        <v>0</v>
      </c>
      <c r="F122" s="828">
        <v>0</v>
      </c>
      <c r="G122" s="828">
        <v>0</v>
      </c>
      <c r="H122" s="828">
        <v>0</v>
      </c>
      <c r="I122" s="828">
        <v>0</v>
      </c>
      <c r="J122" s="828">
        <v>0</v>
      </c>
    </row>
    <row r="123" spans="1:10">
      <c r="A123" s="827"/>
      <c r="B123" s="832"/>
      <c r="C123" s="832"/>
      <c r="D123" s="832"/>
      <c r="E123" s="832"/>
      <c r="F123" s="832"/>
      <c r="G123" s="832"/>
      <c r="H123" s="832"/>
      <c r="I123" s="832"/>
      <c r="J123" s="832"/>
    </row>
    <row r="124" spans="1:10">
      <c r="A124" s="827"/>
      <c r="B124" s="832"/>
      <c r="C124" s="832"/>
      <c r="D124" s="832"/>
      <c r="E124" s="832"/>
      <c r="F124" s="832"/>
      <c r="G124" s="832"/>
      <c r="H124" s="832"/>
      <c r="I124" s="832"/>
      <c r="J124" s="832"/>
    </row>
    <row r="125" spans="1:10">
      <c r="A125" s="833" t="s">
        <v>690</v>
      </c>
      <c r="B125" s="832"/>
      <c r="C125" s="832"/>
      <c r="D125" s="832"/>
      <c r="E125" s="832"/>
      <c r="F125" s="832"/>
      <c r="G125" s="832"/>
      <c r="H125" s="832"/>
      <c r="I125" s="832"/>
      <c r="J125" s="832"/>
    </row>
    <row r="126" spans="1:10">
      <c r="A126" s="831" t="s">
        <v>689</v>
      </c>
      <c r="B126" s="832">
        <v>25322</v>
      </c>
      <c r="C126" s="832">
        <v>27133</v>
      </c>
      <c r="D126" s="832">
        <v>52455</v>
      </c>
      <c r="E126" s="832">
        <v>0</v>
      </c>
      <c r="F126" s="832">
        <v>0</v>
      </c>
      <c r="G126" s="832">
        <v>0</v>
      </c>
      <c r="H126" s="832">
        <v>0</v>
      </c>
      <c r="I126" s="832">
        <v>0</v>
      </c>
      <c r="J126" s="832">
        <v>0</v>
      </c>
    </row>
    <row r="127" spans="1:10">
      <c r="A127" s="831" t="s">
        <v>688</v>
      </c>
      <c r="B127" s="832">
        <v>5241233</v>
      </c>
      <c r="C127" s="832">
        <v>5170854</v>
      </c>
      <c r="D127" s="832">
        <v>10412087</v>
      </c>
      <c r="E127" s="832">
        <v>0</v>
      </c>
      <c r="F127" s="832">
        <v>0</v>
      </c>
      <c r="G127" s="832">
        <v>0</v>
      </c>
      <c r="H127" s="832">
        <v>0</v>
      </c>
      <c r="I127" s="832">
        <v>0</v>
      </c>
      <c r="J127" s="832">
        <v>0</v>
      </c>
    </row>
    <row r="128" spans="1:10">
      <c r="A128" s="831" t="s">
        <v>687</v>
      </c>
      <c r="B128" s="832">
        <v>322243</v>
      </c>
      <c r="C128" s="832">
        <v>273642</v>
      </c>
      <c r="D128" s="832">
        <v>595885</v>
      </c>
      <c r="E128" s="832">
        <v>0</v>
      </c>
      <c r="F128" s="832">
        <v>0</v>
      </c>
      <c r="G128" s="832">
        <v>0</v>
      </c>
      <c r="H128" s="832">
        <v>0</v>
      </c>
      <c r="I128" s="832">
        <v>0</v>
      </c>
      <c r="J128" s="832">
        <v>0</v>
      </c>
    </row>
    <row r="129" spans="1:10">
      <c r="A129" s="831" t="s">
        <v>686</v>
      </c>
      <c r="B129" s="832">
        <v>7111</v>
      </c>
      <c r="C129" s="832">
        <v>7111</v>
      </c>
      <c r="D129" s="832">
        <v>14222</v>
      </c>
      <c r="E129" s="832">
        <v>0</v>
      </c>
      <c r="F129" s="832">
        <v>0</v>
      </c>
      <c r="G129" s="832">
        <v>0</v>
      </c>
      <c r="H129" s="832">
        <v>0</v>
      </c>
      <c r="I129" s="832">
        <v>0</v>
      </c>
      <c r="J129" s="832">
        <v>0</v>
      </c>
    </row>
    <row r="130" spans="1:10">
      <c r="A130" s="831" t="s">
        <v>221</v>
      </c>
      <c r="B130" s="832">
        <v>648369</v>
      </c>
      <c r="C130" s="832">
        <v>679832</v>
      </c>
      <c r="D130" s="832">
        <v>1328201</v>
      </c>
      <c r="E130" s="832">
        <v>0</v>
      </c>
      <c r="F130" s="832">
        <v>0</v>
      </c>
      <c r="G130" s="832">
        <v>0</v>
      </c>
      <c r="H130" s="832">
        <v>378</v>
      </c>
      <c r="I130" s="832">
        <v>378</v>
      </c>
      <c r="J130" s="832">
        <v>756</v>
      </c>
    </row>
    <row r="131" spans="1:10">
      <c r="A131" s="831" t="s">
        <v>685</v>
      </c>
      <c r="B131" s="832">
        <v>7894</v>
      </c>
      <c r="C131" s="832">
        <v>7912</v>
      </c>
      <c r="D131" s="832">
        <v>15806</v>
      </c>
      <c r="E131" s="832">
        <v>0</v>
      </c>
      <c r="F131" s="832">
        <v>0</v>
      </c>
      <c r="G131" s="832">
        <v>0</v>
      </c>
      <c r="H131" s="832">
        <v>0</v>
      </c>
      <c r="I131" s="832">
        <v>0</v>
      </c>
      <c r="J131" s="832">
        <v>0</v>
      </c>
    </row>
    <row r="132" spans="1:10">
      <c r="A132" s="831" t="s">
        <v>684</v>
      </c>
      <c r="B132" s="832">
        <v>300768</v>
      </c>
      <c r="C132" s="832">
        <v>298166</v>
      </c>
      <c r="D132" s="832">
        <v>598934</v>
      </c>
      <c r="E132" s="832">
        <v>0</v>
      </c>
      <c r="F132" s="832">
        <v>0</v>
      </c>
      <c r="G132" s="832">
        <v>0</v>
      </c>
      <c r="H132" s="832">
        <v>0</v>
      </c>
      <c r="I132" s="832">
        <v>0</v>
      </c>
      <c r="J132" s="832">
        <v>0</v>
      </c>
    </row>
    <row r="133" spans="1:10">
      <c r="A133" s="831" t="s">
        <v>683</v>
      </c>
      <c r="B133" s="832">
        <v>16694</v>
      </c>
      <c r="C133" s="832">
        <v>15867</v>
      </c>
      <c r="D133" s="832">
        <v>32561</v>
      </c>
      <c r="E133" s="832">
        <v>0</v>
      </c>
      <c r="F133" s="832">
        <v>0</v>
      </c>
      <c r="G133" s="832">
        <v>0</v>
      </c>
      <c r="H133" s="832">
        <v>0</v>
      </c>
      <c r="I133" s="832">
        <v>0</v>
      </c>
      <c r="J133" s="832">
        <v>0</v>
      </c>
    </row>
    <row r="134" spans="1:10">
      <c r="A134" s="831" t="s">
        <v>682</v>
      </c>
      <c r="B134" s="832">
        <v>8745</v>
      </c>
      <c r="C134" s="832">
        <v>8788</v>
      </c>
      <c r="D134" s="832">
        <v>17533</v>
      </c>
      <c r="E134" s="832">
        <v>0</v>
      </c>
      <c r="F134" s="832">
        <v>0</v>
      </c>
      <c r="G134" s="832">
        <v>0</v>
      </c>
      <c r="H134" s="832">
        <v>0</v>
      </c>
      <c r="I134" s="832">
        <v>0</v>
      </c>
      <c r="J134" s="832">
        <v>0</v>
      </c>
    </row>
    <row r="135" spans="1:10">
      <c r="A135" s="831" t="s">
        <v>680</v>
      </c>
      <c r="B135" s="832">
        <v>58078</v>
      </c>
      <c r="C135" s="832">
        <v>103655</v>
      </c>
      <c r="D135" s="832">
        <v>161733</v>
      </c>
      <c r="E135" s="832">
        <v>0</v>
      </c>
      <c r="F135" s="832">
        <v>0</v>
      </c>
      <c r="G135" s="832">
        <v>0</v>
      </c>
      <c r="H135" s="832">
        <v>798</v>
      </c>
      <c r="I135" s="832">
        <v>798</v>
      </c>
      <c r="J135" s="832">
        <v>1596</v>
      </c>
    </row>
    <row r="136" spans="1:10">
      <c r="A136" s="831" t="s">
        <v>679</v>
      </c>
      <c r="B136" s="832">
        <v>79575</v>
      </c>
      <c r="C136" s="832">
        <v>80666</v>
      </c>
      <c r="D136" s="832">
        <v>160241</v>
      </c>
      <c r="E136" s="832">
        <v>0</v>
      </c>
      <c r="F136" s="832">
        <v>0</v>
      </c>
      <c r="G136" s="832">
        <v>0</v>
      </c>
      <c r="H136" s="832">
        <v>0</v>
      </c>
      <c r="I136" s="832">
        <v>0</v>
      </c>
      <c r="J136" s="832">
        <v>0</v>
      </c>
    </row>
    <row r="137" spans="1:10">
      <c r="A137" s="831" t="s">
        <v>678</v>
      </c>
      <c r="B137" s="830">
        <v>102619</v>
      </c>
      <c r="C137" s="830">
        <v>128779</v>
      </c>
      <c r="D137" s="830">
        <v>231398</v>
      </c>
      <c r="E137" s="830">
        <v>0</v>
      </c>
      <c r="F137" s="830">
        <v>0</v>
      </c>
      <c r="G137" s="830">
        <v>0</v>
      </c>
      <c r="H137" s="830">
        <v>23990</v>
      </c>
      <c r="I137" s="830">
        <v>0</v>
      </c>
      <c r="J137" s="830">
        <v>23990</v>
      </c>
    </row>
    <row r="138" spans="1:10">
      <c r="A138" s="829" t="s">
        <v>676</v>
      </c>
      <c r="B138" s="828">
        <v>6818651</v>
      </c>
      <c r="C138" s="828">
        <v>6802405</v>
      </c>
      <c r="D138" s="828">
        <v>13621056</v>
      </c>
      <c r="E138" s="828">
        <v>0</v>
      </c>
      <c r="F138" s="828">
        <v>0</v>
      </c>
      <c r="G138" s="828">
        <v>0</v>
      </c>
      <c r="H138" s="828">
        <v>25166</v>
      </c>
      <c r="I138" s="828">
        <v>1176</v>
      </c>
      <c r="J138" s="828">
        <v>26342</v>
      </c>
    </row>
    <row r="139" spans="1:10">
      <c r="A139" s="827"/>
      <c r="B139" s="832"/>
      <c r="C139" s="832"/>
      <c r="D139" s="832"/>
      <c r="E139" s="832"/>
      <c r="F139" s="832"/>
      <c r="G139" s="832"/>
      <c r="H139" s="832"/>
      <c r="I139" s="832"/>
      <c r="J139" s="832"/>
    </row>
    <row r="140" spans="1:10">
      <c r="A140" s="827"/>
      <c r="B140" s="832"/>
      <c r="C140" s="832"/>
      <c r="D140" s="832"/>
      <c r="E140" s="832"/>
      <c r="F140" s="832"/>
      <c r="G140" s="832"/>
      <c r="H140" s="832"/>
      <c r="I140" s="832"/>
      <c r="J140" s="832"/>
    </row>
    <row r="141" spans="1:10">
      <c r="A141" s="833" t="s">
        <v>177</v>
      </c>
      <c r="B141" s="832"/>
      <c r="C141" s="832"/>
      <c r="D141" s="832"/>
      <c r="E141" s="832"/>
      <c r="F141" s="832"/>
      <c r="G141" s="832"/>
      <c r="H141" s="832"/>
      <c r="I141" s="832"/>
      <c r="J141" s="832"/>
    </row>
    <row r="142" spans="1:10">
      <c r="A142" s="831" t="s">
        <v>1165</v>
      </c>
      <c r="B142" s="832">
        <v>0</v>
      </c>
      <c r="C142" s="832">
        <v>251968</v>
      </c>
      <c r="D142" s="832">
        <v>251968</v>
      </c>
      <c r="E142" s="832">
        <v>0</v>
      </c>
      <c r="F142" s="832">
        <v>0</v>
      </c>
      <c r="G142" s="832">
        <v>0</v>
      </c>
      <c r="H142" s="832">
        <v>0</v>
      </c>
      <c r="I142" s="832">
        <v>0</v>
      </c>
      <c r="J142" s="832">
        <v>0</v>
      </c>
    </row>
    <row r="143" spans="1:10">
      <c r="A143" s="831" t="s">
        <v>11</v>
      </c>
      <c r="B143" s="832">
        <v>218980</v>
      </c>
      <c r="C143" s="832">
        <v>0</v>
      </c>
      <c r="D143" s="832">
        <v>218980</v>
      </c>
      <c r="E143" s="832">
        <v>0</v>
      </c>
      <c r="F143" s="832">
        <v>0</v>
      </c>
      <c r="G143" s="832">
        <v>0</v>
      </c>
      <c r="H143" s="832">
        <v>0</v>
      </c>
      <c r="I143" s="832">
        <v>0</v>
      </c>
      <c r="J143" s="832">
        <v>0</v>
      </c>
    </row>
    <row r="144" spans="1:10">
      <c r="A144" s="831" t="s">
        <v>2</v>
      </c>
      <c r="B144" s="832">
        <v>201226</v>
      </c>
      <c r="C144" s="832">
        <v>201612</v>
      </c>
      <c r="D144" s="832">
        <v>402838</v>
      </c>
      <c r="E144" s="832">
        <v>394140</v>
      </c>
      <c r="F144" s="832">
        <v>447549</v>
      </c>
      <c r="G144" s="832">
        <v>841689</v>
      </c>
      <c r="H144" s="832">
        <v>10726</v>
      </c>
      <c r="I144" s="832">
        <v>7853</v>
      </c>
      <c r="J144" s="832">
        <v>18579</v>
      </c>
    </row>
    <row r="145" spans="1:10">
      <c r="A145" s="831" t="s">
        <v>3</v>
      </c>
      <c r="B145" s="832">
        <v>134454</v>
      </c>
      <c r="C145" s="832">
        <v>133692</v>
      </c>
      <c r="D145" s="832">
        <v>268146</v>
      </c>
      <c r="E145" s="832">
        <v>190913</v>
      </c>
      <c r="F145" s="832">
        <v>215771</v>
      </c>
      <c r="G145" s="832">
        <v>406684</v>
      </c>
      <c r="H145" s="832">
        <v>16533</v>
      </c>
      <c r="I145" s="832">
        <v>16532</v>
      </c>
      <c r="J145" s="832">
        <v>33065</v>
      </c>
    </row>
    <row r="146" spans="1:10">
      <c r="A146" s="831" t="s">
        <v>4</v>
      </c>
      <c r="B146" s="832">
        <v>26239</v>
      </c>
      <c r="C146" s="832">
        <v>25759</v>
      </c>
      <c r="D146" s="832">
        <v>51998</v>
      </c>
      <c r="E146" s="832">
        <v>51425</v>
      </c>
      <c r="F146" s="832">
        <v>57157</v>
      </c>
      <c r="G146" s="832">
        <v>108582</v>
      </c>
      <c r="H146" s="832">
        <v>8046</v>
      </c>
      <c r="I146" s="832">
        <v>8041</v>
      </c>
      <c r="J146" s="832">
        <v>16087</v>
      </c>
    </row>
    <row r="147" spans="1:10">
      <c r="A147" s="831" t="s">
        <v>5</v>
      </c>
      <c r="B147" s="832">
        <v>23262</v>
      </c>
      <c r="C147" s="832">
        <v>22720</v>
      </c>
      <c r="D147" s="832">
        <v>45982</v>
      </c>
      <c r="E147" s="832">
        <v>52839</v>
      </c>
      <c r="F147" s="832">
        <v>62717</v>
      </c>
      <c r="G147" s="832">
        <v>115556</v>
      </c>
      <c r="H147" s="832">
        <v>9538</v>
      </c>
      <c r="I147" s="832">
        <v>9538</v>
      </c>
      <c r="J147" s="832">
        <v>19076</v>
      </c>
    </row>
    <row r="148" spans="1:10">
      <c r="A148" s="831" t="s">
        <v>6</v>
      </c>
      <c r="B148" s="832">
        <v>15634</v>
      </c>
      <c r="C148" s="832">
        <v>15164</v>
      </c>
      <c r="D148" s="832">
        <v>30798</v>
      </c>
      <c r="E148" s="832">
        <v>30019</v>
      </c>
      <c r="F148" s="832">
        <v>33202</v>
      </c>
      <c r="G148" s="832">
        <v>63221</v>
      </c>
      <c r="H148" s="832">
        <v>2725</v>
      </c>
      <c r="I148" s="832">
        <v>2725</v>
      </c>
      <c r="J148" s="832">
        <v>5450</v>
      </c>
    </row>
    <row r="149" spans="1:10">
      <c r="A149" s="831" t="s">
        <v>7</v>
      </c>
      <c r="B149" s="832">
        <v>33728</v>
      </c>
      <c r="C149" s="832">
        <v>32783</v>
      </c>
      <c r="D149" s="832">
        <v>66511</v>
      </c>
      <c r="E149" s="832">
        <v>72745</v>
      </c>
      <c r="F149" s="832">
        <v>85116</v>
      </c>
      <c r="G149" s="832">
        <v>157861</v>
      </c>
      <c r="H149" s="832">
        <v>6647</v>
      </c>
      <c r="I149" s="832">
        <v>6557</v>
      </c>
      <c r="J149" s="832">
        <v>13204</v>
      </c>
    </row>
    <row r="150" spans="1:10">
      <c r="A150" s="831" t="s">
        <v>276</v>
      </c>
      <c r="B150" s="830">
        <v>532841</v>
      </c>
      <c r="C150" s="830">
        <v>516861</v>
      </c>
      <c r="D150" s="830">
        <v>1049702</v>
      </c>
      <c r="E150" s="830">
        <v>295776</v>
      </c>
      <c r="F150" s="830">
        <v>337623</v>
      </c>
      <c r="G150" s="830">
        <v>633399</v>
      </c>
      <c r="H150" s="830">
        <v>47703</v>
      </c>
      <c r="I150" s="830">
        <v>47553</v>
      </c>
      <c r="J150" s="830">
        <v>95256</v>
      </c>
    </row>
    <row r="151" spans="1:10">
      <c r="A151" s="829" t="s">
        <v>9</v>
      </c>
      <c r="B151" s="828">
        <v>1186364</v>
      </c>
      <c r="C151" s="828">
        <v>1200559</v>
      </c>
      <c r="D151" s="828">
        <v>2386923</v>
      </c>
      <c r="E151" s="828">
        <v>1087857</v>
      </c>
      <c r="F151" s="828">
        <v>1239135</v>
      </c>
      <c r="G151" s="828">
        <v>2326992</v>
      </c>
      <c r="H151" s="828">
        <v>101918</v>
      </c>
      <c r="I151" s="828">
        <v>98799</v>
      </c>
      <c r="J151" s="828">
        <v>200717</v>
      </c>
    </row>
    <row r="152" spans="1:10">
      <c r="A152" s="827"/>
      <c r="B152" s="832"/>
      <c r="C152" s="832"/>
      <c r="D152" s="832"/>
      <c r="E152" s="832"/>
      <c r="F152" s="832"/>
      <c r="G152" s="832"/>
      <c r="H152" s="832"/>
      <c r="I152" s="832"/>
      <c r="J152" s="832"/>
    </row>
    <row r="153" spans="1:10">
      <c r="A153" s="833" t="s">
        <v>675</v>
      </c>
      <c r="B153" s="832"/>
      <c r="C153" s="832"/>
      <c r="D153" s="832"/>
      <c r="E153" s="832"/>
      <c r="F153" s="832"/>
      <c r="G153" s="832"/>
      <c r="H153" s="832"/>
      <c r="I153" s="832"/>
      <c r="J153" s="832"/>
    </row>
    <row r="154" spans="1:10">
      <c r="A154" s="831" t="s">
        <v>674</v>
      </c>
      <c r="B154" s="832">
        <v>5776</v>
      </c>
      <c r="C154" s="832">
        <v>5671</v>
      </c>
      <c r="D154" s="832">
        <v>11447</v>
      </c>
      <c r="E154" s="832">
        <v>0</v>
      </c>
      <c r="F154" s="832">
        <v>0</v>
      </c>
      <c r="G154" s="832">
        <v>0</v>
      </c>
      <c r="H154" s="832">
        <v>0</v>
      </c>
      <c r="I154" s="832">
        <v>0</v>
      </c>
      <c r="J154" s="832">
        <v>0</v>
      </c>
    </row>
    <row r="155" spans="1:10">
      <c r="A155" s="831" t="s">
        <v>673</v>
      </c>
      <c r="B155" s="832">
        <v>8439</v>
      </c>
      <c r="C155" s="832">
        <v>8335</v>
      </c>
      <c r="D155" s="832">
        <v>16774</v>
      </c>
      <c r="E155" s="832">
        <v>0</v>
      </c>
      <c r="F155" s="832">
        <v>0</v>
      </c>
      <c r="G155" s="832">
        <v>0</v>
      </c>
      <c r="H155" s="832">
        <v>0</v>
      </c>
      <c r="I155" s="832">
        <v>0</v>
      </c>
      <c r="J155" s="832">
        <v>0</v>
      </c>
    </row>
    <row r="156" spans="1:10">
      <c r="A156" s="831" t="s">
        <v>672</v>
      </c>
      <c r="B156" s="832">
        <v>1310</v>
      </c>
      <c r="C156" s="832">
        <v>1345</v>
      </c>
      <c r="D156" s="832">
        <v>2655</v>
      </c>
      <c r="E156" s="832">
        <v>0</v>
      </c>
      <c r="F156" s="832">
        <v>0</v>
      </c>
      <c r="G156" s="832">
        <v>0</v>
      </c>
      <c r="H156" s="832">
        <v>0</v>
      </c>
      <c r="I156" s="832">
        <v>0</v>
      </c>
      <c r="J156" s="832">
        <v>0</v>
      </c>
    </row>
    <row r="157" spans="1:10">
      <c r="A157" s="831" t="s">
        <v>671</v>
      </c>
      <c r="B157" s="830">
        <v>25497</v>
      </c>
      <c r="C157" s="830">
        <v>27190</v>
      </c>
      <c r="D157" s="830">
        <v>52687</v>
      </c>
      <c r="E157" s="830">
        <v>0</v>
      </c>
      <c r="F157" s="830">
        <v>0</v>
      </c>
      <c r="G157" s="830">
        <v>0</v>
      </c>
      <c r="H157" s="830">
        <v>0</v>
      </c>
      <c r="I157" s="830">
        <v>0</v>
      </c>
      <c r="J157" s="830">
        <v>0</v>
      </c>
    </row>
    <row r="158" spans="1:10">
      <c r="A158" s="829" t="s">
        <v>667</v>
      </c>
      <c r="B158" s="828">
        <v>41022</v>
      </c>
      <c r="C158" s="828">
        <v>42541</v>
      </c>
      <c r="D158" s="828">
        <v>83563</v>
      </c>
      <c r="E158" s="828">
        <v>0</v>
      </c>
      <c r="F158" s="828">
        <v>0</v>
      </c>
      <c r="G158" s="828">
        <v>0</v>
      </c>
      <c r="H158" s="828">
        <v>0</v>
      </c>
      <c r="I158" s="828">
        <v>0</v>
      </c>
      <c r="J158" s="828">
        <v>0</v>
      </c>
    </row>
    <row r="159" spans="1:10">
      <c r="A159" s="827"/>
      <c r="B159" s="832"/>
      <c r="C159" s="832"/>
      <c r="D159" s="832"/>
      <c r="E159" s="832"/>
      <c r="F159" s="832"/>
      <c r="G159" s="832"/>
      <c r="H159" s="832"/>
      <c r="I159" s="832"/>
      <c r="J159" s="832"/>
    </row>
    <row r="160" spans="1:10">
      <c r="A160" s="829" t="s">
        <v>363</v>
      </c>
      <c r="B160" s="828">
        <v>8046037</v>
      </c>
      <c r="C160" s="828">
        <v>8045505</v>
      </c>
      <c r="D160" s="828">
        <v>16091542</v>
      </c>
      <c r="E160" s="828">
        <v>1087857</v>
      </c>
      <c r="F160" s="828">
        <v>1239135</v>
      </c>
      <c r="G160" s="828">
        <v>2326992</v>
      </c>
      <c r="H160" s="828">
        <v>127084</v>
      </c>
      <c r="I160" s="828">
        <v>99975</v>
      </c>
      <c r="J160" s="828">
        <v>227059</v>
      </c>
    </row>
    <row r="161" spans="1:10">
      <c r="A161" s="827"/>
      <c r="B161" s="832"/>
      <c r="C161" s="832"/>
      <c r="D161" s="832"/>
      <c r="E161" s="832"/>
      <c r="F161" s="832"/>
      <c r="G161" s="832"/>
      <c r="H161" s="832"/>
      <c r="I161" s="832"/>
      <c r="J161" s="832"/>
    </row>
    <row r="162" spans="1:10">
      <c r="A162" s="827"/>
      <c r="B162" s="832"/>
      <c r="C162" s="832"/>
      <c r="D162" s="832"/>
      <c r="E162" s="832"/>
      <c r="F162" s="832"/>
      <c r="G162" s="832"/>
      <c r="H162" s="832"/>
      <c r="I162" s="832"/>
      <c r="J162" s="832"/>
    </row>
    <row r="163" spans="1:10">
      <c r="A163" s="833" t="s">
        <v>666</v>
      </c>
      <c r="B163" s="832"/>
      <c r="C163" s="832"/>
      <c r="D163" s="832"/>
      <c r="E163" s="832"/>
      <c r="F163" s="832"/>
      <c r="G163" s="832"/>
      <c r="H163" s="832"/>
      <c r="I163" s="832"/>
      <c r="J163" s="832"/>
    </row>
    <row r="164" spans="1:10">
      <c r="A164" s="831" t="s">
        <v>665</v>
      </c>
      <c r="B164" s="832">
        <v>940400</v>
      </c>
      <c r="C164" s="832">
        <v>981278</v>
      </c>
      <c r="D164" s="832">
        <v>1921678</v>
      </c>
      <c r="E164" s="832">
        <v>0</v>
      </c>
      <c r="F164" s="832">
        <v>0</v>
      </c>
      <c r="G164" s="832">
        <v>0</v>
      </c>
      <c r="H164" s="832">
        <v>0</v>
      </c>
      <c r="I164" s="832">
        <v>0</v>
      </c>
      <c r="J164" s="832">
        <v>0</v>
      </c>
    </row>
    <row r="165" spans="1:10">
      <c r="A165" s="831" t="s">
        <v>664</v>
      </c>
      <c r="B165" s="832">
        <v>61284</v>
      </c>
      <c r="C165" s="832">
        <v>45160</v>
      </c>
      <c r="D165" s="832">
        <v>106444</v>
      </c>
      <c r="E165" s="832">
        <v>37</v>
      </c>
      <c r="F165" s="832">
        <v>76</v>
      </c>
      <c r="G165" s="832">
        <v>113</v>
      </c>
      <c r="H165" s="832">
        <v>0</v>
      </c>
      <c r="I165" s="832">
        <v>0</v>
      </c>
      <c r="J165" s="832">
        <v>0</v>
      </c>
    </row>
    <row r="166" spans="1:10">
      <c r="A166" s="831" t="s">
        <v>663</v>
      </c>
      <c r="B166" s="832">
        <v>278</v>
      </c>
      <c r="C166" s="832">
        <v>0</v>
      </c>
      <c r="D166" s="832">
        <v>278</v>
      </c>
      <c r="E166" s="832">
        <v>0</v>
      </c>
      <c r="F166" s="832">
        <v>0</v>
      </c>
      <c r="G166" s="832">
        <v>0</v>
      </c>
      <c r="H166" s="832">
        <v>0</v>
      </c>
      <c r="I166" s="832">
        <v>0</v>
      </c>
      <c r="J166" s="832">
        <v>0</v>
      </c>
    </row>
    <row r="167" spans="1:10">
      <c r="A167" s="831" t="s">
        <v>662</v>
      </c>
      <c r="B167" s="830">
        <v>62647</v>
      </c>
      <c r="C167" s="830">
        <v>66829</v>
      </c>
      <c r="D167" s="830">
        <v>129476</v>
      </c>
      <c r="E167" s="830">
        <v>0</v>
      </c>
      <c r="F167" s="830">
        <v>0</v>
      </c>
      <c r="G167" s="830">
        <v>0</v>
      </c>
      <c r="H167" s="830">
        <v>0</v>
      </c>
      <c r="I167" s="830">
        <v>0</v>
      </c>
      <c r="J167" s="830">
        <v>0</v>
      </c>
    </row>
    <row r="168" spans="1:10">
      <c r="A168" s="829" t="s">
        <v>661</v>
      </c>
      <c r="B168" s="828">
        <v>1064609</v>
      </c>
      <c r="C168" s="828">
        <v>1093267</v>
      </c>
      <c r="D168" s="828">
        <v>2157876</v>
      </c>
      <c r="E168" s="828">
        <v>37</v>
      </c>
      <c r="F168" s="828">
        <v>76</v>
      </c>
      <c r="G168" s="828">
        <v>113</v>
      </c>
      <c r="H168" s="828">
        <v>0</v>
      </c>
      <c r="I168" s="828">
        <v>0</v>
      </c>
      <c r="J168" s="828">
        <v>0</v>
      </c>
    </row>
    <row r="169" spans="1:10">
      <c r="A169" s="827"/>
    </row>
    <row r="170" spans="1:10">
      <c r="A170" s="827"/>
    </row>
    <row r="171" spans="1:10">
      <c r="A171" s="827"/>
    </row>
    <row r="172" spans="1:10">
      <c r="A172" s="827"/>
    </row>
    <row r="173" spans="1:10">
      <c r="A173" s="827"/>
    </row>
    <row r="174" spans="1:10">
      <c r="A174" s="827"/>
    </row>
    <row r="175" spans="1:10">
      <c r="A175" s="827"/>
    </row>
    <row r="176" spans="1:10">
      <c r="A176" s="827"/>
    </row>
    <row r="177" spans="1:1">
      <c r="A177" s="827"/>
    </row>
    <row r="178" spans="1:1">
      <c r="A178" s="827"/>
    </row>
    <row r="179" spans="1:1">
      <c r="A179" s="827"/>
    </row>
    <row r="180" spans="1:1">
      <c r="A180" s="827"/>
    </row>
    <row r="181" spans="1:1">
      <c r="A181" s="827"/>
    </row>
    <row r="182" spans="1:1">
      <c r="A182" s="827"/>
    </row>
    <row r="183" spans="1:1">
      <c r="A183" s="827"/>
    </row>
    <row r="184" spans="1:1">
      <c r="A184" s="827"/>
    </row>
    <row r="185" spans="1:1">
      <c r="A185" s="827"/>
    </row>
    <row r="186" spans="1:1">
      <c r="A186" s="827"/>
    </row>
    <row r="187" spans="1:1">
      <c r="A187" s="827"/>
    </row>
  </sheetData>
  <printOptions horizontalCentered="1"/>
  <pageMargins left="0.75" right="0.75" top="1.25" bottom="1" header="0.5" footer="0.5"/>
  <pageSetup scale="89" fitToWidth="0" fitToHeight="0" orientation="landscape" r:id="rId1"/>
  <headerFooter>
    <oddHeader>&amp;C&amp;"Times New Roman,Bold"&amp;12 2011-13 Revised Omnibus Operating Budget (2012 Supp)
As Passed Legislature
&amp;"Times New Roman,Regular"&amp;10(Dollars in Thousands)</oddHeader>
    <oddFooter>&amp;RJuly 27, 2012     2:50 pm  &amp;LLEAP as House Fiscal Committees</oddFooter>
  </headerFooter>
  <rowBreaks count="9" manualBreakCount="9">
    <brk id="25" max="16383" man="1"/>
    <brk id="49" max="16383" man="1"/>
    <brk id="74" max="16383" man="1"/>
    <brk id="87" max="16383" man="1"/>
    <brk id="104" max="16383" man="1"/>
    <brk id="118" max="16383" man="1"/>
    <brk id="124" max="16383" man="1"/>
    <brk id="140" max="16383" man="1"/>
    <brk id="162"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A1:J53"/>
  <sheetViews>
    <sheetView workbookViewId="0"/>
  </sheetViews>
  <sheetFormatPr defaultColWidth="15.125" defaultRowHeight="12.75"/>
  <cols>
    <col min="1" max="1" width="27.375" style="991" customWidth="1"/>
    <col min="2" max="2" width="9.75" style="991" bestFit="1" customWidth="1"/>
    <col min="3" max="3" width="8" style="991" customWidth="1"/>
    <col min="4" max="4" width="9.25" style="991" bestFit="1" customWidth="1"/>
    <col min="5" max="5" width="9.375" style="991" bestFit="1" customWidth="1"/>
    <col min="6" max="6" width="10.125" style="991" bestFit="1" customWidth="1"/>
    <col min="7" max="8" width="9.25" style="991" bestFit="1" customWidth="1"/>
    <col min="9" max="9" width="8.75" style="991" bestFit="1" customWidth="1"/>
    <col min="10" max="256" width="15.125" style="991"/>
    <col min="257" max="257" width="27.375" style="991" customWidth="1"/>
    <col min="258" max="258" width="9.625" style="991" bestFit="1" customWidth="1"/>
    <col min="259" max="259" width="8" style="991" customWidth="1"/>
    <col min="260" max="260" width="9.125" style="991" bestFit="1" customWidth="1"/>
    <col min="261" max="261" width="9.25" style="991" bestFit="1" customWidth="1"/>
    <col min="262" max="262" width="9.75" style="991" bestFit="1" customWidth="1"/>
    <col min="263" max="264" width="9.125" style="991" bestFit="1" customWidth="1"/>
    <col min="265" max="265" width="8.625" style="991" bestFit="1" customWidth="1"/>
    <col min="266" max="512" width="15.125" style="991"/>
    <col min="513" max="513" width="27.375" style="991" customWidth="1"/>
    <col min="514" max="514" width="9.625" style="991" bestFit="1" customWidth="1"/>
    <col min="515" max="515" width="8" style="991" customWidth="1"/>
    <col min="516" max="516" width="9.125" style="991" bestFit="1" customWidth="1"/>
    <col min="517" max="517" width="9.25" style="991" bestFit="1" customWidth="1"/>
    <col min="518" max="518" width="9.75" style="991" bestFit="1" customWidth="1"/>
    <col min="519" max="520" width="9.125" style="991" bestFit="1" customWidth="1"/>
    <col min="521" max="521" width="8.625" style="991" bestFit="1" customWidth="1"/>
    <col min="522" max="768" width="15.125" style="991"/>
    <col min="769" max="769" width="27.375" style="991" customWidth="1"/>
    <col min="770" max="770" width="9.625" style="991" bestFit="1" customWidth="1"/>
    <col min="771" max="771" width="8" style="991" customWidth="1"/>
    <col min="772" max="772" width="9.125" style="991" bestFit="1" customWidth="1"/>
    <col min="773" max="773" width="9.25" style="991" bestFit="1" customWidth="1"/>
    <col min="774" max="774" width="9.75" style="991" bestFit="1" customWidth="1"/>
    <col min="775" max="776" width="9.125" style="991" bestFit="1" customWidth="1"/>
    <col min="777" max="777" width="8.625" style="991" bestFit="1" customWidth="1"/>
    <col min="778" max="1024" width="15.125" style="991"/>
    <col min="1025" max="1025" width="27.375" style="991" customWidth="1"/>
    <col min="1026" max="1026" width="9.625" style="991" bestFit="1" customWidth="1"/>
    <col min="1027" max="1027" width="8" style="991" customWidth="1"/>
    <col min="1028" max="1028" width="9.125" style="991" bestFit="1" customWidth="1"/>
    <col min="1029" max="1029" width="9.25" style="991" bestFit="1" customWidth="1"/>
    <col min="1030" max="1030" width="9.75" style="991" bestFit="1" customWidth="1"/>
    <col min="1031" max="1032" width="9.125" style="991" bestFit="1" customWidth="1"/>
    <col min="1033" max="1033" width="8.625" style="991" bestFit="1" customWidth="1"/>
    <col min="1034" max="1280" width="15.125" style="991"/>
    <col min="1281" max="1281" width="27.375" style="991" customWidth="1"/>
    <col min="1282" max="1282" width="9.625" style="991" bestFit="1" customWidth="1"/>
    <col min="1283" max="1283" width="8" style="991" customWidth="1"/>
    <col min="1284" max="1284" width="9.125" style="991" bestFit="1" customWidth="1"/>
    <col min="1285" max="1285" width="9.25" style="991" bestFit="1" customWidth="1"/>
    <col min="1286" max="1286" width="9.75" style="991" bestFit="1" customWidth="1"/>
    <col min="1287" max="1288" width="9.125" style="991" bestFit="1" customWidth="1"/>
    <col min="1289" max="1289" width="8.625" style="991" bestFit="1" customWidth="1"/>
    <col min="1290" max="1536" width="15.125" style="991"/>
    <col min="1537" max="1537" width="27.375" style="991" customWidth="1"/>
    <col min="1538" max="1538" width="9.625" style="991" bestFit="1" customWidth="1"/>
    <col min="1539" max="1539" width="8" style="991" customWidth="1"/>
    <col min="1540" max="1540" width="9.125" style="991" bestFit="1" customWidth="1"/>
    <col min="1541" max="1541" width="9.25" style="991" bestFit="1" customWidth="1"/>
    <col min="1542" max="1542" width="9.75" style="991" bestFit="1" customWidth="1"/>
    <col min="1543" max="1544" width="9.125" style="991" bestFit="1" customWidth="1"/>
    <col min="1545" max="1545" width="8.625" style="991" bestFit="1" customWidth="1"/>
    <col min="1546" max="1792" width="15.125" style="991"/>
    <col min="1793" max="1793" width="27.375" style="991" customWidth="1"/>
    <col min="1794" max="1794" width="9.625" style="991" bestFit="1" customWidth="1"/>
    <col min="1795" max="1795" width="8" style="991" customWidth="1"/>
    <col min="1796" max="1796" width="9.125" style="991" bestFit="1" customWidth="1"/>
    <col min="1797" max="1797" width="9.25" style="991" bestFit="1" customWidth="1"/>
    <col min="1798" max="1798" width="9.75" style="991" bestFit="1" customWidth="1"/>
    <col min="1799" max="1800" width="9.125" style="991" bestFit="1" customWidth="1"/>
    <col min="1801" max="1801" width="8.625" style="991" bestFit="1" customWidth="1"/>
    <col min="1802" max="2048" width="15.125" style="991"/>
    <col min="2049" max="2049" width="27.375" style="991" customWidth="1"/>
    <col min="2050" max="2050" width="9.625" style="991" bestFit="1" customWidth="1"/>
    <col min="2051" max="2051" width="8" style="991" customWidth="1"/>
    <col min="2052" max="2052" width="9.125" style="991" bestFit="1" customWidth="1"/>
    <col min="2053" max="2053" width="9.25" style="991" bestFit="1" customWidth="1"/>
    <col min="2054" max="2054" width="9.75" style="991" bestFit="1" customWidth="1"/>
    <col min="2055" max="2056" width="9.125" style="991" bestFit="1" customWidth="1"/>
    <col min="2057" max="2057" width="8.625" style="991" bestFit="1" customWidth="1"/>
    <col min="2058" max="2304" width="15.125" style="991"/>
    <col min="2305" max="2305" width="27.375" style="991" customWidth="1"/>
    <col min="2306" max="2306" width="9.625" style="991" bestFit="1" customWidth="1"/>
    <col min="2307" max="2307" width="8" style="991" customWidth="1"/>
    <col min="2308" max="2308" width="9.125" style="991" bestFit="1" customWidth="1"/>
    <col min="2309" max="2309" width="9.25" style="991" bestFit="1" customWidth="1"/>
    <col min="2310" max="2310" width="9.75" style="991" bestFit="1" customWidth="1"/>
    <col min="2311" max="2312" width="9.125" style="991" bestFit="1" customWidth="1"/>
    <col min="2313" max="2313" width="8.625" style="991" bestFit="1" customWidth="1"/>
    <col min="2314" max="2560" width="15.125" style="991"/>
    <col min="2561" max="2561" width="27.375" style="991" customWidth="1"/>
    <col min="2562" max="2562" width="9.625" style="991" bestFit="1" customWidth="1"/>
    <col min="2563" max="2563" width="8" style="991" customWidth="1"/>
    <col min="2564" max="2564" width="9.125" style="991" bestFit="1" customWidth="1"/>
    <col min="2565" max="2565" width="9.25" style="991" bestFit="1" customWidth="1"/>
    <col min="2566" max="2566" width="9.75" style="991" bestFit="1" customWidth="1"/>
    <col min="2567" max="2568" width="9.125" style="991" bestFit="1" customWidth="1"/>
    <col min="2569" max="2569" width="8.625" style="991" bestFit="1" customWidth="1"/>
    <col min="2570" max="2816" width="15.125" style="991"/>
    <col min="2817" max="2817" width="27.375" style="991" customWidth="1"/>
    <col min="2818" max="2818" width="9.625" style="991" bestFit="1" customWidth="1"/>
    <col min="2819" max="2819" width="8" style="991" customWidth="1"/>
    <col min="2820" max="2820" width="9.125" style="991" bestFit="1" customWidth="1"/>
    <col min="2821" max="2821" width="9.25" style="991" bestFit="1" customWidth="1"/>
    <col min="2822" max="2822" width="9.75" style="991" bestFit="1" customWidth="1"/>
    <col min="2823" max="2824" width="9.125" style="991" bestFit="1" customWidth="1"/>
    <col min="2825" max="2825" width="8.625" style="991" bestFit="1" customWidth="1"/>
    <col min="2826" max="3072" width="15.125" style="991"/>
    <col min="3073" max="3073" width="27.375" style="991" customWidth="1"/>
    <col min="3074" max="3074" width="9.625" style="991" bestFit="1" customWidth="1"/>
    <col min="3075" max="3075" width="8" style="991" customWidth="1"/>
    <col min="3076" max="3076" width="9.125" style="991" bestFit="1" customWidth="1"/>
    <col min="3077" max="3077" width="9.25" style="991" bestFit="1" customWidth="1"/>
    <col min="3078" max="3078" width="9.75" style="991" bestFit="1" customWidth="1"/>
    <col min="3079" max="3080" width="9.125" style="991" bestFit="1" customWidth="1"/>
    <col min="3081" max="3081" width="8.625" style="991" bestFit="1" customWidth="1"/>
    <col min="3082" max="3328" width="15.125" style="991"/>
    <col min="3329" max="3329" width="27.375" style="991" customWidth="1"/>
    <col min="3330" max="3330" width="9.625" style="991" bestFit="1" customWidth="1"/>
    <col min="3331" max="3331" width="8" style="991" customWidth="1"/>
    <col min="3332" max="3332" width="9.125" style="991" bestFit="1" customWidth="1"/>
    <col min="3333" max="3333" width="9.25" style="991" bestFit="1" customWidth="1"/>
    <col min="3334" max="3334" width="9.75" style="991" bestFit="1" customWidth="1"/>
    <col min="3335" max="3336" width="9.125" style="991" bestFit="1" customWidth="1"/>
    <col min="3337" max="3337" width="8.625" style="991" bestFit="1" customWidth="1"/>
    <col min="3338" max="3584" width="15.125" style="991"/>
    <col min="3585" max="3585" width="27.375" style="991" customWidth="1"/>
    <col min="3586" max="3586" width="9.625" style="991" bestFit="1" customWidth="1"/>
    <col min="3587" max="3587" width="8" style="991" customWidth="1"/>
    <col min="3588" max="3588" width="9.125" style="991" bestFit="1" customWidth="1"/>
    <col min="3589" max="3589" width="9.25" style="991" bestFit="1" customWidth="1"/>
    <col min="3590" max="3590" width="9.75" style="991" bestFit="1" customWidth="1"/>
    <col min="3591" max="3592" width="9.125" style="991" bestFit="1" customWidth="1"/>
    <col min="3593" max="3593" width="8.625" style="991" bestFit="1" customWidth="1"/>
    <col min="3594" max="3840" width="15.125" style="991"/>
    <col min="3841" max="3841" width="27.375" style="991" customWidth="1"/>
    <col min="3842" max="3842" width="9.625" style="991" bestFit="1" customWidth="1"/>
    <col min="3843" max="3843" width="8" style="991" customWidth="1"/>
    <col min="3844" max="3844" width="9.125" style="991" bestFit="1" customWidth="1"/>
    <col min="3845" max="3845" width="9.25" style="991" bestFit="1" customWidth="1"/>
    <col min="3846" max="3846" width="9.75" style="991" bestFit="1" customWidth="1"/>
    <col min="3847" max="3848" width="9.125" style="991" bestFit="1" customWidth="1"/>
    <col min="3849" max="3849" width="8.625" style="991" bestFit="1" customWidth="1"/>
    <col min="3850" max="4096" width="15.125" style="991"/>
    <col min="4097" max="4097" width="27.375" style="991" customWidth="1"/>
    <col min="4098" max="4098" width="9.625" style="991" bestFit="1" customWidth="1"/>
    <col min="4099" max="4099" width="8" style="991" customWidth="1"/>
    <col min="4100" max="4100" width="9.125" style="991" bestFit="1" customWidth="1"/>
    <col min="4101" max="4101" width="9.25" style="991" bestFit="1" customWidth="1"/>
    <col min="4102" max="4102" width="9.75" style="991" bestFit="1" customWidth="1"/>
    <col min="4103" max="4104" width="9.125" style="991" bestFit="1" customWidth="1"/>
    <col min="4105" max="4105" width="8.625" style="991" bestFit="1" customWidth="1"/>
    <col min="4106" max="4352" width="15.125" style="991"/>
    <col min="4353" max="4353" width="27.375" style="991" customWidth="1"/>
    <col min="4354" max="4354" width="9.625" style="991" bestFit="1" customWidth="1"/>
    <col min="4355" max="4355" width="8" style="991" customWidth="1"/>
    <col min="4356" max="4356" width="9.125" style="991" bestFit="1" customWidth="1"/>
    <col min="4357" max="4357" width="9.25" style="991" bestFit="1" customWidth="1"/>
    <col min="4358" max="4358" width="9.75" style="991" bestFit="1" customWidth="1"/>
    <col min="4359" max="4360" width="9.125" style="991" bestFit="1" customWidth="1"/>
    <col min="4361" max="4361" width="8.625" style="991" bestFit="1" customWidth="1"/>
    <col min="4362" max="4608" width="15.125" style="991"/>
    <col min="4609" max="4609" width="27.375" style="991" customWidth="1"/>
    <col min="4610" max="4610" width="9.625" style="991" bestFit="1" customWidth="1"/>
    <col min="4611" max="4611" width="8" style="991" customWidth="1"/>
    <col min="4612" max="4612" width="9.125" style="991" bestFit="1" customWidth="1"/>
    <col min="4613" max="4613" width="9.25" style="991" bestFit="1" customWidth="1"/>
    <col min="4614" max="4614" width="9.75" style="991" bestFit="1" customWidth="1"/>
    <col min="4615" max="4616" width="9.125" style="991" bestFit="1" customWidth="1"/>
    <col min="4617" max="4617" width="8.625" style="991" bestFit="1" customWidth="1"/>
    <col min="4618" max="4864" width="15.125" style="991"/>
    <col min="4865" max="4865" width="27.375" style="991" customWidth="1"/>
    <col min="4866" max="4866" width="9.625" style="991" bestFit="1" customWidth="1"/>
    <col min="4867" max="4867" width="8" style="991" customWidth="1"/>
    <col min="4868" max="4868" width="9.125" style="991" bestFit="1" customWidth="1"/>
    <col min="4869" max="4869" width="9.25" style="991" bestFit="1" customWidth="1"/>
    <col min="4870" max="4870" width="9.75" style="991" bestFit="1" customWidth="1"/>
    <col min="4871" max="4872" width="9.125" style="991" bestFit="1" customWidth="1"/>
    <col min="4873" max="4873" width="8.625" style="991" bestFit="1" customWidth="1"/>
    <col min="4874" max="5120" width="15.125" style="991"/>
    <col min="5121" max="5121" width="27.375" style="991" customWidth="1"/>
    <col min="5122" max="5122" width="9.625" style="991" bestFit="1" customWidth="1"/>
    <col min="5123" max="5123" width="8" style="991" customWidth="1"/>
    <col min="5124" max="5124" width="9.125" style="991" bestFit="1" customWidth="1"/>
    <col min="5125" max="5125" width="9.25" style="991" bestFit="1" customWidth="1"/>
    <col min="5126" max="5126" width="9.75" style="991" bestFit="1" customWidth="1"/>
    <col min="5127" max="5128" width="9.125" style="991" bestFit="1" customWidth="1"/>
    <col min="5129" max="5129" width="8.625" style="991" bestFit="1" customWidth="1"/>
    <col min="5130" max="5376" width="15.125" style="991"/>
    <col min="5377" max="5377" width="27.375" style="991" customWidth="1"/>
    <col min="5378" max="5378" width="9.625" style="991" bestFit="1" customWidth="1"/>
    <col min="5379" max="5379" width="8" style="991" customWidth="1"/>
    <col min="5380" max="5380" width="9.125" style="991" bestFit="1" customWidth="1"/>
    <col min="5381" max="5381" width="9.25" style="991" bestFit="1" customWidth="1"/>
    <col min="5382" max="5382" width="9.75" style="991" bestFit="1" customWidth="1"/>
    <col min="5383" max="5384" width="9.125" style="991" bestFit="1" customWidth="1"/>
    <col min="5385" max="5385" width="8.625" style="991" bestFit="1" customWidth="1"/>
    <col min="5386" max="5632" width="15.125" style="991"/>
    <col min="5633" max="5633" width="27.375" style="991" customWidth="1"/>
    <col min="5634" max="5634" width="9.625" style="991" bestFit="1" customWidth="1"/>
    <col min="5635" max="5635" width="8" style="991" customWidth="1"/>
    <col min="5636" max="5636" width="9.125" style="991" bestFit="1" customWidth="1"/>
    <col min="5637" max="5637" width="9.25" style="991" bestFit="1" customWidth="1"/>
    <col min="5638" max="5638" width="9.75" style="991" bestFit="1" customWidth="1"/>
    <col min="5639" max="5640" width="9.125" style="991" bestFit="1" customWidth="1"/>
    <col min="5641" max="5641" width="8.625" style="991" bestFit="1" customWidth="1"/>
    <col min="5642" max="5888" width="15.125" style="991"/>
    <col min="5889" max="5889" width="27.375" style="991" customWidth="1"/>
    <col min="5890" max="5890" width="9.625" style="991" bestFit="1" customWidth="1"/>
    <col min="5891" max="5891" width="8" style="991" customWidth="1"/>
    <col min="5892" max="5892" width="9.125" style="991" bestFit="1" customWidth="1"/>
    <col min="5893" max="5893" width="9.25" style="991" bestFit="1" customWidth="1"/>
    <col min="5894" max="5894" width="9.75" style="991" bestFit="1" customWidth="1"/>
    <col min="5895" max="5896" width="9.125" style="991" bestFit="1" customWidth="1"/>
    <col min="5897" max="5897" width="8.625" style="991" bestFit="1" customWidth="1"/>
    <col min="5898" max="6144" width="15.125" style="991"/>
    <col min="6145" max="6145" width="27.375" style="991" customWidth="1"/>
    <col min="6146" max="6146" width="9.625" style="991" bestFit="1" customWidth="1"/>
    <col min="6147" max="6147" width="8" style="991" customWidth="1"/>
    <col min="6148" max="6148" width="9.125" style="991" bestFit="1" customWidth="1"/>
    <col min="6149" max="6149" width="9.25" style="991" bestFit="1" customWidth="1"/>
    <col min="6150" max="6150" width="9.75" style="991" bestFit="1" customWidth="1"/>
    <col min="6151" max="6152" width="9.125" style="991" bestFit="1" customWidth="1"/>
    <col min="6153" max="6153" width="8.625" style="991" bestFit="1" customWidth="1"/>
    <col min="6154" max="6400" width="15.125" style="991"/>
    <col min="6401" max="6401" width="27.375" style="991" customWidth="1"/>
    <col min="6402" max="6402" width="9.625" style="991" bestFit="1" customWidth="1"/>
    <col min="6403" max="6403" width="8" style="991" customWidth="1"/>
    <col min="6404" max="6404" width="9.125" style="991" bestFit="1" customWidth="1"/>
    <col min="6405" max="6405" width="9.25" style="991" bestFit="1" customWidth="1"/>
    <col min="6406" max="6406" width="9.75" style="991" bestFit="1" customWidth="1"/>
    <col min="6407" max="6408" width="9.125" style="991" bestFit="1" customWidth="1"/>
    <col min="6409" max="6409" width="8.625" style="991" bestFit="1" customWidth="1"/>
    <col min="6410" max="6656" width="15.125" style="991"/>
    <col min="6657" max="6657" width="27.375" style="991" customWidth="1"/>
    <col min="6658" max="6658" width="9.625" style="991" bestFit="1" customWidth="1"/>
    <col min="6659" max="6659" width="8" style="991" customWidth="1"/>
    <col min="6660" max="6660" width="9.125" style="991" bestFit="1" customWidth="1"/>
    <col min="6661" max="6661" width="9.25" style="991" bestFit="1" customWidth="1"/>
    <col min="6662" max="6662" width="9.75" style="991" bestFit="1" customWidth="1"/>
    <col min="6663" max="6664" width="9.125" style="991" bestFit="1" customWidth="1"/>
    <col min="6665" max="6665" width="8.625" style="991" bestFit="1" customWidth="1"/>
    <col min="6666" max="6912" width="15.125" style="991"/>
    <col min="6913" max="6913" width="27.375" style="991" customWidth="1"/>
    <col min="6914" max="6914" width="9.625" style="991" bestFit="1" customWidth="1"/>
    <col min="6915" max="6915" width="8" style="991" customWidth="1"/>
    <col min="6916" max="6916" width="9.125" style="991" bestFit="1" customWidth="1"/>
    <col min="6917" max="6917" width="9.25" style="991" bestFit="1" customWidth="1"/>
    <col min="6918" max="6918" width="9.75" style="991" bestFit="1" customWidth="1"/>
    <col min="6919" max="6920" width="9.125" style="991" bestFit="1" customWidth="1"/>
    <col min="6921" max="6921" width="8.625" style="991" bestFit="1" customWidth="1"/>
    <col min="6922" max="7168" width="15.125" style="991"/>
    <col min="7169" max="7169" width="27.375" style="991" customWidth="1"/>
    <col min="7170" max="7170" width="9.625" style="991" bestFit="1" customWidth="1"/>
    <col min="7171" max="7171" width="8" style="991" customWidth="1"/>
    <col min="7172" max="7172" width="9.125" style="991" bestFit="1" customWidth="1"/>
    <col min="7173" max="7173" width="9.25" style="991" bestFit="1" customWidth="1"/>
    <col min="7174" max="7174" width="9.75" style="991" bestFit="1" customWidth="1"/>
    <col min="7175" max="7176" width="9.125" style="991" bestFit="1" customWidth="1"/>
    <col min="7177" max="7177" width="8.625" style="991" bestFit="1" customWidth="1"/>
    <col min="7178" max="7424" width="15.125" style="991"/>
    <col min="7425" max="7425" width="27.375" style="991" customWidth="1"/>
    <col min="7426" max="7426" width="9.625" style="991" bestFit="1" customWidth="1"/>
    <col min="7427" max="7427" width="8" style="991" customWidth="1"/>
    <col min="7428" max="7428" width="9.125" style="991" bestFit="1" customWidth="1"/>
    <col min="7429" max="7429" width="9.25" style="991" bestFit="1" customWidth="1"/>
    <col min="7430" max="7430" width="9.75" style="991" bestFit="1" customWidth="1"/>
    <col min="7431" max="7432" width="9.125" style="991" bestFit="1" customWidth="1"/>
    <col min="7433" max="7433" width="8.625" style="991" bestFit="1" customWidth="1"/>
    <col min="7434" max="7680" width="15.125" style="991"/>
    <col min="7681" max="7681" width="27.375" style="991" customWidth="1"/>
    <col min="7682" max="7682" width="9.625" style="991" bestFit="1" customWidth="1"/>
    <col min="7683" max="7683" width="8" style="991" customWidth="1"/>
    <col min="7684" max="7684" width="9.125" style="991" bestFit="1" customWidth="1"/>
    <col min="7685" max="7685" width="9.25" style="991" bestFit="1" customWidth="1"/>
    <col min="7686" max="7686" width="9.75" style="991" bestFit="1" customWidth="1"/>
    <col min="7687" max="7688" width="9.125" style="991" bestFit="1" customWidth="1"/>
    <col min="7689" max="7689" width="8.625" style="991" bestFit="1" customWidth="1"/>
    <col min="7690" max="7936" width="15.125" style="991"/>
    <col min="7937" max="7937" width="27.375" style="991" customWidth="1"/>
    <col min="7938" max="7938" width="9.625" style="991" bestFit="1" customWidth="1"/>
    <col min="7939" max="7939" width="8" style="991" customWidth="1"/>
    <col min="7940" max="7940" width="9.125" style="991" bestFit="1" customWidth="1"/>
    <col min="7941" max="7941" width="9.25" style="991" bestFit="1" customWidth="1"/>
    <col min="7942" max="7942" width="9.75" style="991" bestFit="1" customWidth="1"/>
    <col min="7943" max="7944" width="9.125" style="991" bestFit="1" customWidth="1"/>
    <col min="7945" max="7945" width="8.625" style="991" bestFit="1" customWidth="1"/>
    <col min="7946" max="8192" width="15.125" style="991"/>
    <col min="8193" max="8193" width="27.375" style="991" customWidth="1"/>
    <col min="8194" max="8194" width="9.625" style="991" bestFit="1" customWidth="1"/>
    <col min="8195" max="8195" width="8" style="991" customWidth="1"/>
    <col min="8196" max="8196" width="9.125" style="991" bestFit="1" customWidth="1"/>
    <col min="8197" max="8197" width="9.25" style="991" bestFit="1" customWidth="1"/>
    <col min="8198" max="8198" width="9.75" style="991" bestFit="1" customWidth="1"/>
    <col min="8199" max="8200" width="9.125" style="991" bestFit="1" customWidth="1"/>
    <col min="8201" max="8201" width="8.625" style="991" bestFit="1" customWidth="1"/>
    <col min="8202" max="8448" width="15.125" style="991"/>
    <col min="8449" max="8449" width="27.375" style="991" customWidth="1"/>
    <col min="8450" max="8450" width="9.625" style="991" bestFit="1" customWidth="1"/>
    <col min="8451" max="8451" width="8" style="991" customWidth="1"/>
    <col min="8452" max="8452" width="9.125" style="991" bestFit="1" customWidth="1"/>
    <col min="8453" max="8453" width="9.25" style="991" bestFit="1" customWidth="1"/>
    <col min="8454" max="8454" width="9.75" style="991" bestFit="1" customWidth="1"/>
    <col min="8455" max="8456" width="9.125" style="991" bestFit="1" customWidth="1"/>
    <col min="8457" max="8457" width="8.625" style="991" bestFit="1" customWidth="1"/>
    <col min="8458" max="8704" width="15.125" style="991"/>
    <col min="8705" max="8705" width="27.375" style="991" customWidth="1"/>
    <col min="8706" max="8706" width="9.625" style="991" bestFit="1" customWidth="1"/>
    <col min="8707" max="8707" width="8" style="991" customWidth="1"/>
    <col min="8708" max="8708" width="9.125" style="991" bestFit="1" customWidth="1"/>
    <col min="8709" max="8709" width="9.25" style="991" bestFit="1" customWidth="1"/>
    <col min="8710" max="8710" width="9.75" style="991" bestFit="1" customWidth="1"/>
    <col min="8711" max="8712" width="9.125" style="991" bestFit="1" customWidth="1"/>
    <col min="8713" max="8713" width="8.625" style="991" bestFit="1" customWidth="1"/>
    <col min="8714" max="8960" width="15.125" style="991"/>
    <col min="8961" max="8961" width="27.375" style="991" customWidth="1"/>
    <col min="8962" max="8962" width="9.625" style="991" bestFit="1" customWidth="1"/>
    <col min="8963" max="8963" width="8" style="991" customWidth="1"/>
    <col min="8964" max="8964" width="9.125" style="991" bestFit="1" customWidth="1"/>
    <col min="8965" max="8965" width="9.25" style="991" bestFit="1" customWidth="1"/>
    <col min="8966" max="8966" width="9.75" style="991" bestFit="1" customWidth="1"/>
    <col min="8967" max="8968" width="9.125" style="991" bestFit="1" customWidth="1"/>
    <col min="8969" max="8969" width="8.625" style="991" bestFit="1" customWidth="1"/>
    <col min="8970" max="9216" width="15.125" style="991"/>
    <col min="9217" max="9217" width="27.375" style="991" customWidth="1"/>
    <col min="9218" max="9218" width="9.625" style="991" bestFit="1" customWidth="1"/>
    <col min="9219" max="9219" width="8" style="991" customWidth="1"/>
    <col min="9220" max="9220" width="9.125" style="991" bestFit="1" customWidth="1"/>
    <col min="9221" max="9221" width="9.25" style="991" bestFit="1" customWidth="1"/>
    <col min="9222" max="9222" width="9.75" style="991" bestFit="1" customWidth="1"/>
    <col min="9223" max="9224" width="9.125" style="991" bestFit="1" customWidth="1"/>
    <col min="9225" max="9225" width="8.625" style="991" bestFit="1" customWidth="1"/>
    <col min="9226" max="9472" width="15.125" style="991"/>
    <col min="9473" max="9473" width="27.375" style="991" customWidth="1"/>
    <col min="9474" max="9474" width="9.625" style="991" bestFit="1" customWidth="1"/>
    <col min="9475" max="9475" width="8" style="991" customWidth="1"/>
    <col min="9476" max="9476" width="9.125" style="991" bestFit="1" customWidth="1"/>
    <col min="9477" max="9477" width="9.25" style="991" bestFit="1" customWidth="1"/>
    <col min="9478" max="9478" width="9.75" style="991" bestFit="1" customWidth="1"/>
    <col min="9479" max="9480" width="9.125" style="991" bestFit="1" customWidth="1"/>
    <col min="9481" max="9481" width="8.625" style="991" bestFit="1" customWidth="1"/>
    <col min="9482" max="9728" width="15.125" style="991"/>
    <col min="9729" max="9729" width="27.375" style="991" customWidth="1"/>
    <col min="9730" max="9730" width="9.625" style="991" bestFit="1" customWidth="1"/>
    <col min="9731" max="9731" width="8" style="991" customWidth="1"/>
    <col min="9732" max="9732" width="9.125" style="991" bestFit="1" customWidth="1"/>
    <col min="9733" max="9733" width="9.25" style="991" bestFit="1" customWidth="1"/>
    <col min="9734" max="9734" width="9.75" style="991" bestFit="1" customWidth="1"/>
    <col min="9735" max="9736" width="9.125" style="991" bestFit="1" customWidth="1"/>
    <col min="9737" max="9737" width="8.625" style="991" bestFit="1" customWidth="1"/>
    <col min="9738" max="9984" width="15.125" style="991"/>
    <col min="9985" max="9985" width="27.375" style="991" customWidth="1"/>
    <col min="9986" max="9986" width="9.625" style="991" bestFit="1" customWidth="1"/>
    <col min="9987" max="9987" width="8" style="991" customWidth="1"/>
    <col min="9988" max="9988" width="9.125" style="991" bestFit="1" customWidth="1"/>
    <col min="9989" max="9989" width="9.25" style="991" bestFit="1" customWidth="1"/>
    <col min="9990" max="9990" width="9.75" style="991" bestFit="1" customWidth="1"/>
    <col min="9991" max="9992" width="9.125" style="991" bestFit="1" customWidth="1"/>
    <col min="9993" max="9993" width="8.625" style="991" bestFit="1" customWidth="1"/>
    <col min="9994" max="10240" width="15.125" style="991"/>
    <col min="10241" max="10241" width="27.375" style="991" customWidth="1"/>
    <col min="10242" max="10242" width="9.625" style="991" bestFit="1" customWidth="1"/>
    <col min="10243" max="10243" width="8" style="991" customWidth="1"/>
    <col min="10244" max="10244" width="9.125" style="991" bestFit="1" customWidth="1"/>
    <col min="10245" max="10245" width="9.25" style="991" bestFit="1" customWidth="1"/>
    <col min="10246" max="10246" width="9.75" style="991" bestFit="1" customWidth="1"/>
    <col min="10247" max="10248" width="9.125" style="991" bestFit="1" customWidth="1"/>
    <col min="10249" max="10249" width="8.625" style="991" bestFit="1" customWidth="1"/>
    <col min="10250" max="10496" width="15.125" style="991"/>
    <col min="10497" max="10497" width="27.375" style="991" customWidth="1"/>
    <col min="10498" max="10498" width="9.625" style="991" bestFit="1" customWidth="1"/>
    <col min="10499" max="10499" width="8" style="991" customWidth="1"/>
    <col min="10500" max="10500" width="9.125" style="991" bestFit="1" customWidth="1"/>
    <col min="10501" max="10501" width="9.25" style="991" bestFit="1" customWidth="1"/>
    <col min="10502" max="10502" width="9.75" style="991" bestFit="1" customWidth="1"/>
    <col min="10503" max="10504" width="9.125" style="991" bestFit="1" customWidth="1"/>
    <col min="10505" max="10505" width="8.625" style="991" bestFit="1" customWidth="1"/>
    <col min="10506" max="10752" width="15.125" style="991"/>
    <col min="10753" max="10753" width="27.375" style="991" customWidth="1"/>
    <col min="10754" max="10754" width="9.625" style="991" bestFit="1" customWidth="1"/>
    <col min="10755" max="10755" width="8" style="991" customWidth="1"/>
    <col min="10756" max="10756" width="9.125" style="991" bestFit="1" customWidth="1"/>
    <col min="10757" max="10757" width="9.25" style="991" bestFit="1" customWidth="1"/>
    <col min="10758" max="10758" width="9.75" style="991" bestFit="1" customWidth="1"/>
    <col min="10759" max="10760" width="9.125" style="991" bestFit="1" customWidth="1"/>
    <col min="10761" max="10761" width="8.625" style="991" bestFit="1" customWidth="1"/>
    <col min="10762" max="11008" width="15.125" style="991"/>
    <col min="11009" max="11009" width="27.375" style="991" customWidth="1"/>
    <col min="11010" max="11010" width="9.625" style="991" bestFit="1" customWidth="1"/>
    <col min="11011" max="11011" width="8" style="991" customWidth="1"/>
    <col min="11012" max="11012" width="9.125" style="991" bestFit="1" customWidth="1"/>
    <col min="11013" max="11013" width="9.25" style="991" bestFit="1" customWidth="1"/>
    <col min="11014" max="11014" width="9.75" style="991" bestFit="1" customWidth="1"/>
    <col min="11015" max="11016" width="9.125" style="991" bestFit="1" customWidth="1"/>
    <col min="11017" max="11017" width="8.625" style="991" bestFit="1" customWidth="1"/>
    <col min="11018" max="11264" width="15.125" style="991"/>
    <col min="11265" max="11265" width="27.375" style="991" customWidth="1"/>
    <col min="11266" max="11266" width="9.625" style="991" bestFit="1" customWidth="1"/>
    <col min="11267" max="11267" width="8" style="991" customWidth="1"/>
    <col min="11268" max="11268" width="9.125" style="991" bestFit="1" customWidth="1"/>
    <col min="11269" max="11269" width="9.25" style="991" bestFit="1" customWidth="1"/>
    <col min="11270" max="11270" width="9.75" style="991" bestFit="1" customWidth="1"/>
    <col min="11271" max="11272" width="9.125" style="991" bestFit="1" customWidth="1"/>
    <col min="11273" max="11273" width="8.625" style="991" bestFit="1" customWidth="1"/>
    <col min="11274" max="11520" width="15.125" style="991"/>
    <col min="11521" max="11521" width="27.375" style="991" customWidth="1"/>
    <col min="11522" max="11522" width="9.625" style="991" bestFit="1" customWidth="1"/>
    <col min="11523" max="11523" width="8" style="991" customWidth="1"/>
    <col min="11524" max="11524" width="9.125" style="991" bestFit="1" customWidth="1"/>
    <col min="11525" max="11525" width="9.25" style="991" bestFit="1" customWidth="1"/>
    <col min="11526" max="11526" width="9.75" style="991" bestFit="1" customWidth="1"/>
    <col min="11527" max="11528" width="9.125" style="991" bestFit="1" customWidth="1"/>
    <col min="11529" max="11529" width="8.625" style="991" bestFit="1" customWidth="1"/>
    <col min="11530" max="11776" width="15.125" style="991"/>
    <col min="11777" max="11777" width="27.375" style="991" customWidth="1"/>
    <col min="11778" max="11778" width="9.625" style="991" bestFit="1" customWidth="1"/>
    <col min="11779" max="11779" width="8" style="991" customWidth="1"/>
    <col min="11780" max="11780" width="9.125" style="991" bestFit="1" customWidth="1"/>
    <col min="11781" max="11781" width="9.25" style="991" bestFit="1" customWidth="1"/>
    <col min="11782" max="11782" width="9.75" style="991" bestFit="1" customWidth="1"/>
    <col min="11783" max="11784" width="9.125" style="991" bestFit="1" customWidth="1"/>
    <col min="11785" max="11785" width="8.625" style="991" bestFit="1" customWidth="1"/>
    <col min="11786" max="12032" width="15.125" style="991"/>
    <col min="12033" max="12033" width="27.375" style="991" customWidth="1"/>
    <col min="12034" max="12034" width="9.625" style="991" bestFit="1" customWidth="1"/>
    <col min="12035" max="12035" width="8" style="991" customWidth="1"/>
    <col min="12036" max="12036" width="9.125" style="991" bestFit="1" customWidth="1"/>
    <col min="12037" max="12037" width="9.25" style="991" bestFit="1" customWidth="1"/>
    <col min="12038" max="12038" width="9.75" style="991" bestFit="1" customWidth="1"/>
    <col min="12039" max="12040" width="9.125" style="991" bestFit="1" customWidth="1"/>
    <col min="12041" max="12041" width="8.625" style="991" bestFit="1" customWidth="1"/>
    <col min="12042" max="12288" width="15.125" style="991"/>
    <col min="12289" max="12289" width="27.375" style="991" customWidth="1"/>
    <col min="12290" max="12290" width="9.625" style="991" bestFit="1" customWidth="1"/>
    <col min="12291" max="12291" width="8" style="991" customWidth="1"/>
    <col min="12292" max="12292" width="9.125" style="991" bestFit="1" customWidth="1"/>
    <col min="12293" max="12293" width="9.25" style="991" bestFit="1" customWidth="1"/>
    <col min="12294" max="12294" width="9.75" style="991" bestFit="1" customWidth="1"/>
    <col min="12295" max="12296" width="9.125" style="991" bestFit="1" customWidth="1"/>
    <col min="12297" max="12297" width="8.625" style="991" bestFit="1" customWidth="1"/>
    <col min="12298" max="12544" width="15.125" style="991"/>
    <col min="12545" max="12545" width="27.375" style="991" customWidth="1"/>
    <col min="12546" max="12546" width="9.625" style="991" bestFit="1" customWidth="1"/>
    <col min="12547" max="12547" width="8" style="991" customWidth="1"/>
    <col min="12548" max="12548" width="9.125" style="991" bestFit="1" customWidth="1"/>
    <col min="12549" max="12549" width="9.25" style="991" bestFit="1" customWidth="1"/>
    <col min="12550" max="12550" width="9.75" style="991" bestFit="1" customWidth="1"/>
    <col min="12551" max="12552" width="9.125" style="991" bestFit="1" customWidth="1"/>
    <col min="12553" max="12553" width="8.625" style="991" bestFit="1" customWidth="1"/>
    <col min="12554" max="12800" width="15.125" style="991"/>
    <col min="12801" max="12801" width="27.375" style="991" customWidth="1"/>
    <col min="12802" max="12802" width="9.625" style="991" bestFit="1" customWidth="1"/>
    <col min="12803" max="12803" width="8" style="991" customWidth="1"/>
    <col min="12804" max="12804" width="9.125" style="991" bestFit="1" customWidth="1"/>
    <col min="12805" max="12805" width="9.25" style="991" bestFit="1" customWidth="1"/>
    <col min="12806" max="12806" width="9.75" style="991" bestFit="1" customWidth="1"/>
    <col min="12807" max="12808" width="9.125" style="991" bestFit="1" customWidth="1"/>
    <col min="12809" max="12809" width="8.625" style="991" bestFit="1" customWidth="1"/>
    <col min="12810" max="13056" width="15.125" style="991"/>
    <col min="13057" max="13057" width="27.375" style="991" customWidth="1"/>
    <col min="13058" max="13058" width="9.625" style="991" bestFit="1" customWidth="1"/>
    <col min="13059" max="13059" width="8" style="991" customWidth="1"/>
    <col min="13060" max="13060" width="9.125" style="991" bestFit="1" customWidth="1"/>
    <col min="13061" max="13061" width="9.25" style="991" bestFit="1" customWidth="1"/>
    <col min="13062" max="13062" width="9.75" style="991" bestFit="1" customWidth="1"/>
    <col min="13063" max="13064" width="9.125" style="991" bestFit="1" customWidth="1"/>
    <col min="13065" max="13065" width="8.625" style="991" bestFit="1" customWidth="1"/>
    <col min="13066" max="13312" width="15.125" style="991"/>
    <col min="13313" max="13313" width="27.375" style="991" customWidth="1"/>
    <col min="13314" max="13314" width="9.625" style="991" bestFit="1" customWidth="1"/>
    <col min="13315" max="13315" width="8" style="991" customWidth="1"/>
    <col min="13316" max="13316" width="9.125" style="991" bestFit="1" customWidth="1"/>
    <col min="13317" max="13317" width="9.25" style="991" bestFit="1" customWidth="1"/>
    <col min="13318" max="13318" width="9.75" style="991" bestFit="1" customWidth="1"/>
    <col min="13319" max="13320" width="9.125" style="991" bestFit="1" customWidth="1"/>
    <col min="13321" max="13321" width="8.625" style="991" bestFit="1" customWidth="1"/>
    <col min="13322" max="13568" width="15.125" style="991"/>
    <col min="13569" max="13569" width="27.375" style="991" customWidth="1"/>
    <col min="13570" max="13570" width="9.625" style="991" bestFit="1" customWidth="1"/>
    <col min="13571" max="13571" width="8" style="991" customWidth="1"/>
    <col min="13572" max="13572" width="9.125" style="991" bestFit="1" customWidth="1"/>
    <col min="13573" max="13573" width="9.25" style="991" bestFit="1" customWidth="1"/>
    <col min="13574" max="13574" width="9.75" style="991" bestFit="1" customWidth="1"/>
    <col min="13575" max="13576" width="9.125" style="991" bestFit="1" customWidth="1"/>
    <col min="13577" max="13577" width="8.625" style="991" bestFit="1" customWidth="1"/>
    <col min="13578" max="13824" width="15.125" style="991"/>
    <col min="13825" max="13825" width="27.375" style="991" customWidth="1"/>
    <col min="13826" max="13826" width="9.625" style="991" bestFit="1" customWidth="1"/>
    <col min="13827" max="13827" width="8" style="991" customWidth="1"/>
    <col min="13828" max="13828" width="9.125" style="991" bestFit="1" customWidth="1"/>
    <col min="13829" max="13829" width="9.25" style="991" bestFit="1" customWidth="1"/>
    <col min="13830" max="13830" width="9.75" style="991" bestFit="1" customWidth="1"/>
    <col min="13831" max="13832" width="9.125" style="991" bestFit="1" customWidth="1"/>
    <col min="13833" max="13833" width="8.625" style="991" bestFit="1" customWidth="1"/>
    <col min="13834" max="14080" width="15.125" style="991"/>
    <col min="14081" max="14081" width="27.375" style="991" customWidth="1"/>
    <col min="14082" max="14082" width="9.625" style="991" bestFit="1" customWidth="1"/>
    <col min="14083" max="14083" width="8" style="991" customWidth="1"/>
    <col min="14084" max="14084" width="9.125" style="991" bestFit="1" customWidth="1"/>
    <col min="14085" max="14085" width="9.25" style="991" bestFit="1" customWidth="1"/>
    <col min="14086" max="14086" width="9.75" style="991" bestFit="1" customWidth="1"/>
    <col min="14087" max="14088" width="9.125" style="991" bestFit="1" customWidth="1"/>
    <col min="14089" max="14089" width="8.625" style="991" bestFit="1" customWidth="1"/>
    <col min="14090" max="14336" width="15.125" style="991"/>
    <col min="14337" max="14337" width="27.375" style="991" customWidth="1"/>
    <col min="14338" max="14338" width="9.625" style="991" bestFit="1" customWidth="1"/>
    <col min="14339" max="14339" width="8" style="991" customWidth="1"/>
    <col min="14340" max="14340" width="9.125" style="991" bestFit="1" customWidth="1"/>
    <col min="14341" max="14341" width="9.25" style="991" bestFit="1" customWidth="1"/>
    <col min="14342" max="14342" width="9.75" style="991" bestFit="1" customWidth="1"/>
    <col min="14343" max="14344" width="9.125" style="991" bestFit="1" customWidth="1"/>
    <col min="14345" max="14345" width="8.625" style="991" bestFit="1" customWidth="1"/>
    <col min="14346" max="14592" width="15.125" style="991"/>
    <col min="14593" max="14593" width="27.375" style="991" customWidth="1"/>
    <col min="14594" max="14594" width="9.625" style="991" bestFit="1" customWidth="1"/>
    <col min="14595" max="14595" width="8" style="991" customWidth="1"/>
    <col min="14596" max="14596" width="9.125" style="991" bestFit="1" customWidth="1"/>
    <col min="14597" max="14597" width="9.25" style="991" bestFit="1" customWidth="1"/>
    <col min="14598" max="14598" width="9.75" style="991" bestFit="1" customWidth="1"/>
    <col min="14599" max="14600" width="9.125" style="991" bestFit="1" customWidth="1"/>
    <col min="14601" max="14601" width="8.625" style="991" bestFit="1" customWidth="1"/>
    <col min="14602" max="14848" width="15.125" style="991"/>
    <col min="14849" max="14849" width="27.375" style="991" customWidth="1"/>
    <col min="14850" max="14850" width="9.625" style="991" bestFit="1" customWidth="1"/>
    <col min="14851" max="14851" width="8" style="991" customWidth="1"/>
    <col min="14852" max="14852" width="9.125" style="991" bestFit="1" customWidth="1"/>
    <col min="14853" max="14853" width="9.25" style="991" bestFit="1" customWidth="1"/>
    <col min="14854" max="14854" width="9.75" style="991" bestFit="1" customWidth="1"/>
    <col min="14855" max="14856" width="9.125" style="991" bestFit="1" customWidth="1"/>
    <col min="14857" max="14857" width="8.625" style="991" bestFit="1" customWidth="1"/>
    <col min="14858" max="15104" width="15.125" style="991"/>
    <col min="15105" max="15105" width="27.375" style="991" customWidth="1"/>
    <col min="15106" max="15106" width="9.625" style="991" bestFit="1" customWidth="1"/>
    <col min="15107" max="15107" width="8" style="991" customWidth="1"/>
    <col min="15108" max="15108" width="9.125" style="991" bestFit="1" customWidth="1"/>
    <col min="15109" max="15109" width="9.25" style="991" bestFit="1" customWidth="1"/>
    <col min="15110" max="15110" width="9.75" style="991" bestFit="1" customWidth="1"/>
    <col min="15111" max="15112" width="9.125" style="991" bestFit="1" customWidth="1"/>
    <col min="15113" max="15113" width="8.625" style="991" bestFit="1" customWidth="1"/>
    <col min="15114" max="15360" width="15.125" style="991"/>
    <col min="15361" max="15361" width="27.375" style="991" customWidth="1"/>
    <col min="15362" max="15362" width="9.625" style="991" bestFit="1" customWidth="1"/>
    <col min="15363" max="15363" width="8" style="991" customWidth="1"/>
    <col min="15364" max="15364" width="9.125" style="991" bestFit="1" customWidth="1"/>
    <col min="15365" max="15365" width="9.25" style="991" bestFit="1" customWidth="1"/>
    <col min="15366" max="15366" width="9.75" style="991" bestFit="1" customWidth="1"/>
    <col min="15367" max="15368" width="9.125" style="991" bestFit="1" customWidth="1"/>
    <col min="15369" max="15369" width="8.625" style="991" bestFit="1" customWidth="1"/>
    <col min="15370" max="15616" width="15.125" style="991"/>
    <col min="15617" max="15617" width="27.375" style="991" customWidth="1"/>
    <col min="15618" max="15618" width="9.625" style="991" bestFit="1" customWidth="1"/>
    <col min="15619" max="15619" width="8" style="991" customWidth="1"/>
    <col min="15620" max="15620" width="9.125" style="991" bestFit="1" customWidth="1"/>
    <col min="15621" max="15621" width="9.25" style="991" bestFit="1" customWidth="1"/>
    <col min="15622" max="15622" width="9.75" style="991" bestFit="1" customWidth="1"/>
    <col min="15623" max="15624" width="9.125" style="991" bestFit="1" customWidth="1"/>
    <col min="15625" max="15625" width="8.625" style="991" bestFit="1" customWidth="1"/>
    <col min="15626" max="15872" width="15.125" style="991"/>
    <col min="15873" max="15873" width="27.375" style="991" customWidth="1"/>
    <col min="15874" max="15874" width="9.625" style="991" bestFit="1" customWidth="1"/>
    <col min="15875" max="15875" width="8" style="991" customWidth="1"/>
    <col min="15876" max="15876" width="9.125" style="991" bestFit="1" customWidth="1"/>
    <col min="15877" max="15877" width="9.25" style="991" bestFit="1" customWidth="1"/>
    <col min="15878" max="15878" width="9.75" style="991" bestFit="1" customWidth="1"/>
    <col min="15879" max="15880" width="9.125" style="991" bestFit="1" customWidth="1"/>
    <col min="15881" max="15881" width="8.625" style="991" bestFit="1" customWidth="1"/>
    <col min="15882" max="16128" width="15.125" style="991"/>
    <col min="16129" max="16129" width="27.375" style="991" customWidth="1"/>
    <col min="16130" max="16130" width="9.625" style="991" bestFit="1" customWidth="1"/>
    <col min="16131" max="16131" width="8" style="991" customWidth="1"/>
    <col min="16132" max="16132" width="9.125" style="991" bestFit="1" customWidth="1"/>
    <col min="16133" max="16133" width="9.25" style="991" bestFit="1" customWidth="1"/>
    <col min="16134" max="16134" width="9.75" style="991" bestFit="1" customWidth="1"/>
    <col min="16135" max="16136" width="9.125" style="991" bestFit="1" customWidth="1"/>
    <col min="16137" max="16137" width="8.625" style="991" bestFit="1" customWidth="1"/>
    <col min="16138" max="16384" width="15.125" style="991"/>
  </cols>
  <sheetData>
    <row r="1" spans="1:10" ht="41.25" customHeight="1"/>
    <row r="2" spans="1:10" s="992" customFormat="1">
      <c r="A2" s="2619" t="s">
        <v>297</v>
      </c>
      <c r="B2" s="2619"/>
      <c r="C2" s="2619"/>
      <c r="D2" s="2619"/>
      <c r="E2" s="2619"/>
      <c r="F2" s="2619"/>
      <c r="G2" s="2619"/>
      <c r="H2" s="2619"/>
      <c r="I2" s="2619"/>
    </row>
    <row r="3" spans="1:10" s="994" customFormat="1" ht="15.75">
      <c r="A3" s="2620" t="s">
        <v>1171</v>
      </c>
      <c r="B3" s="2620"/>
      <c r="C3" s="2620"/>
      <c r="D3" s="2620"/>
      <c r="E3" s="2620"/>
      <c r="F3" s="2620"/>
      <c r="G3" s="2620"/>
      <c r="H3" s="2620"/>
      <c r="I3" s="2620"/>
      <c r="J3" s="993"/>
    </row>
    <row r="4" spans="1:10" s="994" customFormat="1">
      <c r="A4" s="993"/>
      <c r="B4" s="993"/>
      <c r="C4" s="2620" t="s">
        <v>1172</v>
      </c>
      <c r="D4" s="2620"/>
      <c r="E4" s="2620"/>
      <c r="F4" s="993"/>
      <c r="G4" s="993"/>
      <c r="H4" s="993"/>
      <c r="I4" s="993"/>
      <c r="J4" s="993"/>
    </row>
    <row r="5" spans="1:10" s="994" customFormat="1">
      <c r="A5" s="995"/>
      <c r="B5" s="995"/>
      <c r="C5" s="995"/>
      <c r="D5" s="995"/>
      <c r="E5" s="995"/>
      <c r="F5" s="995"/>
      <c r="G5" s="995"/>
      <c r="I5" s="995"/>
    </row>
    <row r="6" spans="1:10" s="992" customFormat="1" ht="15.75">
      <c r="A6" s="996"/>
      <c r="B6" s="2621" t="s">
        <v>592</v>
      </c>
      <c r="C6" s="2622"/>
      <c r="D6" s="2622"/>
      <c r="E6" s="2622"/>
      <c r="F6" s="2623"/>
      <c r="G6" s="997"/>
      <c r="H6" s="2624" t="s">
        <v>77</v>
      </c>
      <c r="I6" s="2625"/>
    </row>
    <row r="7" spans="1:10" s="992" customFormat="1">
      <c r="A7" s="998" t="s">
        <v>485</v>
      </c>
      <c r="B7" s="999" t="s">
        <v>1173</v>
      </c>
      <c r="C7" s="1000" t="s">
        <v>1174</v>
      </c>
      <c r="D7" s="999" t="s">
        <v>1175</v>
      </c>
      <c r="E7" s="1000" t="s">
        <v>1176</v>
      </c>
      <c r="F7" s="1001" t="s">
        <v>465</v>
      </c>
      <c r="G7" s="1002" t="s">
        <v>188</v>
      </c>
      <c r="H7" s="1003" t="s">
        <v>464</v>
      </c>
      <c r="I7" s="1004"/>
    </row>
    <row r="8" spans="1:10" s="992" customFormat="1" ht="13.5" thickBot="1">
      <c r="A8" s="1005" t="s">
        <v>310</v>
      </c>
      <c r="B8" s="999" t="s">
        <v>311</v>
      </c>
      <c r="C8" s="1006" t="s">
        <v>484</v>
      </c>
      <c r="D8" s="1007" t="s">
        <v>311</v>
      </c>
      <c r="E8" s="1006" t="s">
        <v>483</v>
      </c>
      <c r="F8" s="1007" t="s">
        <v>790</v>
      </c>
      <c r="G8" s="1007" t="s">
        <v>790</v>
      </c>
      <c r="H8" s="1008" t="s">
        <v>315</v>
      </c>
      <c r="I8" s="1009" t="s">
        <v>316</v>
      </c>
    </row>
    <row r="9" spans="1:10" s="992" customFormat="1" ht="13.5" thickTop="1">
      <c r="A9" s="1010" t="s">
        <v>2</v>
      </c>
      <c r="B9" s="1011"/>
      <c r="C9" s="1012">
        <f>C10+C11+C12</f>
        <v>44253</v>
      </c>
      <c r="D9" s="1012">
        <f>D10+D11+D12</f>
        <v>43373</v>
      </c>
      <c r="E9" s="1012">
        <f>E10+E11+E12</f>
        <v>40528</v>
      </c>
      <c r="F9" s="1012">
        <f>F10+F11+F12</f>
        <v>42717.999999999993</v>
      </c>
      <c r="G9" s="1013">
        <v>37162</v>
      </c>
      <c r="H9" s="1014">
        <f t="shared" ref="H9:H21" si="0">F9-G9</f>
        <v>5555.9999999999927</v>
      </c>
      <c r="I9" s="1015">
        <f t="shared" ref="I9:I21" si="1">H9/G9</f>
        <v>0.14950756148754085</v>
      </c>
    </row>
    <row r="10" spans="1:10" s="1023" customFormat="1">
      <c r="A10" s="1016" t="s">
        <v>1159</v>
      </c>
      <c r="B10" s="1017"/>
      <c r="C10" s="1018">
        <v>37777</v>
      </c>
      <c r="D10" s="1019">
        <v>36956</v>
      </c>
      <c r="E10" s="1019">
        <v>34346</v>
      </c>
      <c r="F10" s="1018">
        <f>(C10+D10+E10)/3</f>
        <v>36359.666666666664</v>
      </c>
      <c r="G10" s="1020"/>
      <c r="H10" s="1021">
        <f t="shared" si="0"/>
        <v>36359.666666666664</v>
      </c>
      <c r="I10" s="1022"/>
    </row>
    <row r="11" spans="1:10" s="1023" customFormat="1">
      <c r="A11" s="1016" t="s">
        <v>479</v>
      </c>
      <c r="B11" s="1017"/>
      <c r="C11" s="1019">
        <v>3245</v>
      </c>
      <c r="D11" s="1019">
        <v>3169</v>
      </c>
      <c r="E11" s="1019">
        <v>3095</v>
      </c>
      <c r="F11" s="1018">
        <f>(C11+D11+E11)/3</f>
        <v>3169.6666666666665</v>
      </c>
      <c r="G11" s="1020"/>
      <c r="H11" s="1021">
        <f t="shared" si="0"/>
        <v>3169.6666666666665</v>
      </c>
      <c r="I11" s="1022"/>
    </row>
    <row r="12" spans="1:10" s="1023" customFormat="1">
      <c r="A12" s="1016" t="s">
        <v>478</v>
      </c>
      <c r="B12" s="1017"/>
      <c r="C12" s="1018">
        <v>3231</v>
      </c>
      <c r="D12" s="1019">
        <v>3248</v>
      </c>
      <c r="E12" s="1019">
        <v>3087</v>
      </c>
      <c r="F12" s="1018">
        <f>(C12+D12+E12)/3</f>
        <v>3188.6666666666665</v>
      </c>
      <c r="G12" s="1020"/>
      <c r="H12" s="1021">
        <f t="shared" si="0"/>
        <v>3188.6666666666665</v>
      </c>
      <c r="I12" s="1022"/>
    </row>
    <row r="13" spans="1:10" s="992" customFormat="1">
      <c r="A13" s="1024" t="s">
        <v>590</v>
      </c>
      <c r="B13" s="1025"/>
      <c r="C13" s="1026">
        <f>C14+C15+C16</f>
        <v>26036.9</v>
      </c>
      <c r="D13" s="1025"/>
      <c r="E13" s="1027">
        <f>E14+E15+E16</f>
        <v>24531.1</v>
      </c>
      <c r="F13" s="1028">
        <f>F14+F15+F16</f>
        <v>25284</v>
      </c>
      <c r="G13" s="1029">
        <f>G14+G15+G16</f>
        <v>22228</v>
      </c>
      <c r="H13" s="1030">
        <f t="shared" si="0"/>
        <v>3056</v>
      </c>
      <c r="I13" s="1031">
        <f t="shared" si="1"/>
        <v>0.13748425409393558</v>
      </c>
    </row>
    <row r="14" spans="1:10" s="1023" customFormat="1">
      <c r="A14" s="1032" t="s">
        <v>589</v>
      </c>
      <c r="B14" s="1017"/>
      <c r="C14" s="1019">
        <v>22419.5</v>
      </c>
      <c r="D14" s="1017"/>
      <c r="E14" s="1018">
        <v>21036.9</v>
      </c>
      <c r="F14" s="1033">
        <f>(C14+E14)/2</f>
        <v>21728.2</v>
      </c>
      <c r="G14" s="1034">
        <v>19250</v>
      </c>
      <c r="H14" s="1035">
        <f t="shared" si="0"/>
        <v>2478.2000000000007</v>
      </c>
      <c r="I14" s="1022">
        <f t="shared" si="1"/>
        <v>0.12873766233766237</v>
      </c>
    </row>
    <row r="15" spans="1:10" s="1023" customFormat="1">
      <c r="A15" s="1036" t="s">
        <v>474</v>
      </c>
      <c r="B15" s="1017"/>
      <c r="C15" s="1019">
        <v>1142.5</v>
      </c>
      <c r="D15" s="1017"/>
      <c r="E15" s="1018">
        <v>1103.0999999999999</v>
      </c>
      <c r="F15" s="1033">
        <f>(C15+E15)/2</f>
        <v>1122.8</v>
      </c>
      <c r="G15" s="1034">
        <v>865</v>
      </c>
      <c r="H15" s="1035">
        <f t="shared" si="0"/>
        <v>257.79999999999995</v>
      </c>
      <c r="I15" s="1022">
        <f t="shared" si="1"/>
        <v>0.29803468208092482</v>
      </c>
    </row>
    <row r="16" spans="1:10" s="1023" customFormat="1">
      <c r="A16" s="1032" t="s">
        <v>473</v>
      </c>
      <c r="B16" s="1017"/>
      <c r="C16" s="1019">
        <v>2474.9</v>
      </c>
      <c r="D16" s="1017"/>
      <c r="E16" s="1018">
        <v>2391.1</v>
      </c>
      <c r="F16" s="1033">
        <f>(C16+E16)/2</f>
        <v>2433</v>
      </c>
      <c r="G16" s="1037">
        <v>2113</v>
      </c>
      <c r="H16" s="1035">
        <f t="shared" si="0"/>
        <v>320</v>
      </c>
      <c r="I16" s="1022">
        <f t="shared" si="1"/>
        <v>0.15144344533838144</v>
      </c>
    </row>
    <row r="17" spans="1:10" s="992" customFormat="1" ht="17.25" customHeight="1">
      <c r="A17" s="1038" t="s">
        <v>5</v>
      </c>
      <c r="B17" s="1025"/>
      <c r="C17" s="1039">
        <v>9911</v>
      </c>
      <c r="D17" s="1040">
        <v>9649.5</v>
      </c>
      <c r="E17" s="1040">
        <v>9182.2000000000007</v>
      </c>
      <c r="F17" s="1041">
        <f>SUM(C17+D17+E17)/3</f>
        <v>9580.9</v>
      </c>
      <c r="G17" s="1042">
        <v>8808</v>
      </c>
      <c r="H17" s="1043">
        <f t="shared" si="0"/>
        <v>772.89999999999964</v>
      </c>
      <c r="I17" s="1031">
        <f t="shared" si="1"/>
        <v>8.7749772933696596E-2</v>
      </c>
    </row>
    <row r="18" spans="1:10" s="992" customFormat="1">
      <c r="A18" s="1038" t="s">
        <v>4</v>
      </c>
      <c r="B18" s="1025"/>
      <c r="C18" s="1039">
        <v>10329.700000000001</v>
      </c>
      <c r="D18" s="1044">
        <v>10042.6</v>
      </c>
      <c r="E18" s="1044">
        <v>9370.4</v>
      </c>
      <c r="F18" s="1041">
        <f>SUM(C18+D18+E18)/3</f>
        <v>9914.2333333333354</v>
      </c>
      <c r="G18" s="1042">
        <v>8734</v>
      </c>
      <c r="H18" s="1043">
        <f t="shared" si="0"/>
        <v>1180.2333333333354</v>
      </c>
      <c r="I18" s="1031">
        <f t="shared" si="1"/>
        <v>0.13513090603770728</v>
      </c>
    </row>
    <row r="19" spans="1:10" s="992" customFormat="1">
      <c r="A19" s="1038" t="s">
        <v>6</v>
      </c>
      <c r="B19" s="1045">
        <v>8</v>
      </c>
      <c r="C19" s="1039">
        <f>4810.9+24</f>
        <v>4834.8999999999996</v>
      </c>
      <c r="D19" s="1044">
        <f>4509.5+13.98</f>
        <v>4523.4799999999996</v>
      </c>
      <c r="E19" s="1044">
        <f>4287.8+20</f>
        <v>4307.8</v>
      </c>
      <c r="F19" s="1044">
        <f>SUM(B19:E19)/3</f>
        <v>4558.0600000000004</v>
      </c>
      <c r="G19" s="1042">
        <v>4213</v>
      </c>
      <c r="H19" s="1043">
        <f t="shared" si="0"/>
        <v>345.0600000000004</v>
      </c>
      <c r="I19" s="1031">
        <f t="shared" si="1"/>
        <v>8.1903631616425443E-2</v>
      </c>
    </row>
    <row r="20" spans="1:10" s="992" customFormat="1" ht="13.5" thickBot="1">
      <c r="A20" s="1024" t="s">
        <v>7</v>
      </c>
      <c r="B20" s="1025"/>
      <c r="C20" s="1039">
        <v>13188.9</v>
      </c>
      <c r="D20" s="1044">
        <v>12689.3</v>
      </c>
      <c r="E20" s="1044">
        <v>12061.3</v>
      </c>
      <c r="F20" s="1044">
        <f>SUM(C20+D20+E20)/3</f>
        <v>12646.5</v>
      </c>
      <c r="G20" s="1042">
        <v>11762</v>
      </c>
      <c r="H20" s="1043">
        <f t="shared" si="0"/>
        <v>884.5</v>
      </c>
      <c r="I20" s="1046">
        <f t="shared" si="1"/>
        <v>7.5199795953069207E-2</v>
      </c>
    </row>
    <row r="21" spans="1:10" s="992" customFormat="1" ht="13.5" thickTop="1">
      <c r="A21" s="1047" t="s">
        <v>472</v>
      </c>
      <c r="B21" s="1048">
        <f>B19</f>
        <v>8</v>
      </c>
      <c r="C21" s="1048">
        <f>C9+C13+C17+C18+C19+C20</f>
        <v>108554.39999999998</v>
      </c>
      <c r="D21" s="1048">
        <f>D9+D13+D17+D18+D19+D20</f>
        <v>80277.88</v>
      </c>
      <c r="E21" s="1048">
        <f>E9+E13+E17+E18+E19+E20</f>
        <v>99980.800000000003</v>
      </c>
      <c r="F21" s="1048">
        <f>F9+F13+F17+F18+F19+F20</f>
        <v>104701.69333333333</v>
      </c>
      <c r="G21" s="1048">
        <f>G9+G13+G17+G18+G19+G20</f>
        <v>92907</v>
      </c>
      <c r="H21" s="1048">
        <f t="shared" si="0"/>
        <v>11794.693333333329</v>
      </c>
      <c r="I21" s="1049">
        <f t="shared" si="1"/>
        <v>0.12695161110931716</v>
      </c>
    </row>
    <row r="22" spans="1:10" s="992" customFormat="1">
      <c r="A22" s="1050"/>
      <c r="B22" s="1051"/>
      <c r="C22" s="1051"/>
      <c r="D22" s="1051"/>
      <c r="E22" s="1051"/>
      <c r="F22" s="1051"/>
      <c r="G22" s="1051"/>
      <c r="H22" s="1051"/>
      <c r="I22" s="1052"/>
    </row>
    <row r="23" spans="1:10" s="992" customFormat="1">
      <c r="A23" s="2626" t="s">
        <v>588</v>
      </c>
      <c r="B23" s="2629" t="s">
        <v>77</v>
      </c>
      <c r="C23" s="2630"/>
      <c r="D23" s="2630"/>
      <c r="E23" s="2630"/>
      <c r="F23" s="2631"/>
      <c r="G23" s="1053"/>
      <c r="H23" s="2632" t="s">
        <v>77</v>
      </c>
      <c r="I23" s="2633"/>
    </row>
    <row r="24" spans="1:10" s="992" customFormat="1">
      <c r="A24" s="2627"/>
      <c r="B24" s="1054" t="s">
        <v>1173</v>
      </c>
      <c r="C24" s="1000" t="s">
        <v>1174</v>
      </c>
      <c r="D24" s="1054" t="s">
        <v>1175</v>
      </c>
      <c r="E24" s="1000" t="s">
        <v>1176</v>
      </c>
      <c r="F24" s="1001" t="s">
        <v>465</v>
      </c>
      <c r="G24" s="1002" t="s">
        <v>188</v>
      </c>
      <c r="H24" s="1055" t="s">
        <v>464</v>
      </c>
      <c r="I24" s="1056"/>
    </row>
    <row r="25" spans="1:10" s="992" customFormat="1" ht="13.5" thickBot="1">
      <c r="A25" s="2628"/>
      <c r="B25" s="1057" t="s">
        <v>311</v>
      </c>
      <c r="C25" s="1058" t="s">
        <v>484</v>
      </c>
      <c r="D25" s="1057" t="s">
        <v>311</v>
      </c>
      <c r="E25" s="1006" t="s">
        <v>483</v>
      </c>
      <c r="F25" s="1007" t="s">
        <v>790</v>
      </c>
      <c r="G25" s="1007" t="s">
        <v>790</v>
      </c>
      <c r="H25" s="1059" t="s">
        <v>315</v>
      </c>
      <c r="I25" s="1060" t="s">
        <v>316</v>
      </c>
    </row>
    <row r="26" spans="1:10" s="992" customFormat="1" ht="26.25" thickTop="1">
      <c r="A26" s="1061" t="s">
        <v>582</v>
      </c>
      <c r="B26" s="1039">
        <v>49019</v>
      </c>
      <c r="C26" s="1062">
        <v>127465</v>
      </c>
      <c r="D26" s="1063">
        <v>125594</v>
      </c>
      <c r="E26" s="1064">
        <v>120471</v>
      </c>
      <c r="F26" s="1065">
        <f>SUM(B26:E26)/3</f>
        <v>140849.66666666666</v>
      </c>
      <c r="G26" s="1066">
        <f>G42-G27-G30-G31-G37</f>
        <v>132367</v>
      </c>
      <c r="H26" s="1067">
        <f>F26-G26</f>
        <v>8482.666666666657</v>
      </c>
      <c r="I26" s="1031">
        <f>H26/G26</f>
        <v>6.40844520663508E-2</v>
      </c>
    </row>
    <row r="27" spans="1:10" s="1076" customFormat="1">
      <c r="A27" s="1068" t="s">
        <v>581</v>
      </c>
      <c r="B27" s="1069">
        <f>B28+B29</f>
        <v>5841</v>
      </c>
      <c r="C27" s="1070">
        <f>C28+C29</f>
        <v>9873</v>
      </c>
      <c r="D27" s="1070">
        <f>D28+D29</f>
        <v>9932</v>
      </c>
      <c r="E27" s="1071">
        <f>E28+E29</f>
        <v>9395</v>
      </c>
      <c r="F27" s="1072">
        <f>F28+F29</f>
        <v>11680.333333333334</v>
      </c>
      <c r="G27" s="1073">
        <v>9984</v>
      </c>
      <c r="H27" s="1074">
        <f>F27-G27</f>
        <v>1696.3333333333339</v>
      </c>
      <c r="I27" s="1031">
        <f>H27/G27</f>
        <v>0.16990518162393167</v>
      </c>
      <c r="J27" s="1075"/>
    </row>
    <row r="28" spans="1:10" s="1084" customFormat="1">
      <c r="A28" s="1077" t="s">
        <v>460</v>
      </c>
      <c r="B28" s="1078">
        <v>5806</v>
      </c>
      <c r="C28" s="1079">
        <v>9381</v>
      </c>
      <c r="D28" s="1078">
        <v>9411</v>
      </c>
      <c r="E28" s="1080">
        <v>8858</v>
      </c>
      <c r="F28" s="1021">
        <f>SUM(B28:E28)/3</f>
        <v>11152</v>
      </c>
      <c r="G28" s="1081"/>
      <c r="H28" s="1082"/>
      <c r="I28" s="1031"/>
      <c r="J28" s="1083"/>
    </row>
    <row r="29" spans="1:10" s="1084" customFormat="1">
      <c r="A29" s="1077" t="s">
        <v>459</v>
      </c>
      <c r="B29" s="1078">
        <v>35</v>
      </c>
      <c r="C29" s="1079">
        <v>492</v>
      </c>
      <c r="D29" s="1078">
        <v>521</v>
      </c>
      <c r="E29" s="1080">
        <v>537</v>
      </c>
      <c r="F29" s="1021">
        <f>SUM(B29:E29)/3</f>
        <v>528.33333333333337</v>
      </c>
      <c r="G29" s="1085"/>
      <c r="H29" s="1082"/>
      <c r="I29" s="1031"/>
      <c r="J29" s="1083"/>
    </row>
    <row r="30" spans="1:10" s="992" customFormat="1" ht="15.75">
      <c r="A30" s="1086" t="s">
        <v>1154</v>
      </c>
      <c r="B30" s="1087">
        <v>92</v>
      </c>
      <c r="C30" s="1072">
        <v>355</v>
      </c>
      <c r="D30" s="1069">
        <v>346</v>
      </c>
      <c r="E30" s="1088">
        <v>337</v>
      </c>
      <c r="F30" s="1072">
        <f>SUM(B30:E30)/3</f>
        <v>376.66666666666669</v>
      </c>
      <c r="G30" s="1063">
        <v>220</v>
      </c>
      <c r="H30" s="1063">
        <f>F30-G30</f>
        <v>156.66666666666669</v>
      </c>
      <c r="I30" s="1031">
        <f>H30/G30</f>
        <v>0.71212121212121215</v>
      </c>
    </row>
    <row r="31" spans="1:10" s="992" customFormat="1" ht="15.75">
      <c r="A31" s="1089" t="s">
        <v>1153</v>
      </c>
      <c r="B31" s="1090">
        <f>B32+B33+B34+B35+B36</f>
        <v>34.900000000000006</v>
      </c>
      <c r="C31" s="1090">
        <f>C32+C33+C34+C35+C36</f>
        <v>113.4</v>
      </c>
      <c r="D31" s="1090">
        <f>D32+D33+D34+D35+D36</f>
        <v>109.4</v>
      </c>
      <c r="E31" s="1090">
        <f>E32+E33+E34+E35+E36</f>
        <v>124.5</v>
      </c>
      <c r="F31" s="1090">
        <f>F32+F33+F34+F35+F36</f>
        <v>132.23333333333332</v>
      </c>
      <c r="G31" s="1072">
        <v>165</v>
      </c>
      <c r="H31" s="1043">
        <f>F31-G31</f>
        <v>-32.76666666666668</v>
      </c>
      <c r="I31" s="1031">
        <f>H31/G31</f>
        <v>-0.19858585858585867</v>
      </c>
    </row>
    <row r="32" spans="1:10" s="1023" customFormat="1">
      <c r="A32" s="1091" t="s">
        <v>455</v>
      </c>
      <c r="B32" s="1092">
        <v>11.8</v>
      </c>
      <c r="C32" s="1079">
        <v>39</v>
      </c>
      <c r="D32" s="1019">
        <v>39.4</v>
      </c>
      <c r="E32" s="1019">
        <v>38.200000000000003</v>
      </c>
      <c r="F32" s="1079">
        <f>(B32+C32+D32+E32)/3</f>
        <v>42.79999999999999</v>
      </c>
      <c r="G32" s="1093"/>
      <c r="H32" s="1094"/>
      <c r="I32" s="1095"/>
    </row>
    <row r="33" spans="1:10" s="1023" customFormat="1">
      <c r="A33" s="1091" t="s">
        <v>454</v>
      </c>
      <c r="B33" s="1092">
        <v>23.1</v>
      </c>
      <c r="C33" s="1079">
        <v>55</v>
      </c>
      <c r="D33" s="1018">
        <v>60.1</v>
      </c>
      <c r="E33" s="1018">
        <v>54.9</v>
      </c>
      <c r="F33" s="1079">
        <f>(B33+C33+D33+E33)/3</f>
        <v>64.36666666666666</v>
      </c>
      <c r="G33" s="1093"/>
      <c r="H33" s="1094"/>
      <c r="I33" s="1095"/>
    </row>
    <row r="34" spans="1:10" s="1023" customFormat="1">
      <c r="A34" s="1091" t="s">
        <v>453</v>
      </c>
      <c r="B34" s="1092"/>
      <c r="C34" s="1079">
        <v>9.5</v>
      </c>
      <c r="D34" s="1018">
        <v>9.9</v>
      </c>
      <c r="E34" s="1018">
        <v>12.3</v>
      </c>
      <c r="F34" s="1079">
        <f>(B34+C34+D34+E34)/3</f>
        <v>10.566666666666666</v>
      </c>
      <c r="G34" s="1093"/>
      <c r="H34" s="1094"/>
      <c r="I34" s="1095"/>
    </row>
    <row r="35" spans="1:10" s="1023" customFormat="1">
      <c r="A35" s="1091" t="s">
        <v>1152</v>
      </c>
      <c r="B35" s="1092"/>
      <c r="C35" s="1079">
        <v>9.9</v>
      </c>
      <c r="D35" s="1096"/>
      <c r="E35" s="1018">
        <v>19.100000000000001</v>
      </c>
      <c r="F35" s="1033">
        <f>(C35+E35)/2</f>
        <v>14.5</v>
      </c>
      <c r="G35" s="1021">
        <v>30</v>
      </c>
      <c r="H35" s="1094"/>
      <c r="I35" s="1095"/>
    </row>
    <row r="36" spans="1:10" s="1023" customFormat="1">
      <c r="A36" s="1091" t="s">
        <v>577</v>
      </c>
      <c r="B36" s="1092"/>
      <c r="C36" s="1097"/>
      <c r="D36" s="1096"/>
      <c r="E36" s="1096"/>
      <c r="F36" s="1097"/>
      <c r="G36" s="1021">
        <v>10</v>
      </c>
      <c r="H36" s="1094"/>
      <c r="I36" s="1095"/>
    </row>
    <row r="37" spans="1:10" s="992" customFormat="1" ht="15.75">
      <c r="A37" s="1098" t="s">
        <v>1151</v>
      </c>
      <c r="B37" s="1090">
        <f>B38+B39+B40+B41</f>
        <v>143.22999999999999</v>
      </c>
      <c r="C37" s="1090">
        <f>C38+C39+C40+C41</f>
        <v>332.7</v>
      </c>
      <c r="D37" s="1090">
        <f>D38+D39+D40+D41</f>
        <v>305.89999999999998</v>
      </c>
      <c r="E37" s="1090">
        <f>E38+E39+E40+E41</f>
        <v>281.60000000000002</v>
      </c>
      <c r="F37" s="1090">
        <f>F38+F39+F40+F41</f>
        <v>354.47666666666669</v>
      </c>
      <c r="G37" s="1099">
        <v>310</v>
      </c>
      <c r="H37" s="1043">
        <f>F37-G37</f>
        <v>44.476666666666688</v>
      </c>
      <c r="I37" s="1031">
        <f>H37/G37</f>
        <v>0.14347311827956996</v>
      </c>
    </row>
    <row r="38" spans="1:10" s="1023" customFormat="1">
      <c r="A38" s="1100" t="s">
        <v>93</v>
      </c>
      <c r="B38" s="1092">
        <v>29.4</v>
      </c>
      <c r="C38" s="1035">
        <v>61</v>
      </c>
      <c r="D38" s="1019">
        <v>60.3</v>
      </c>
      <c r="E38" s="1019">
        <v>59.4</v>
      </c>
      <c r="F38" s="1079">
        <f>(B38+C38+D38+E38)/3</f>
        <v>70.033333333333331</v>
      </c>
      <c r="G38" s="1096"/>
      <c r="H38" s="1101"/>
      <c r="I38" s="1102"/>
    </row>
    <row r="39" spans="1:10" s="1023" customFormat="1">
      <c r="A39" s="1100" t="s">
        <v>96</v>
      </c>
      <c r="B39" s="1103"/>
      <c r="C39" s="1035">
        <v>6</v>
      </c>
      <c r="D39" s="1018">
        <v>5.7</v>
      </c>
      <c r="E39" s="1018">
        <v>7.9</v>
      </c>
      <c r="F39" s="1079">
        <f>(B39+C39+D39+E39)/3</f>
        <v>6.5333333333333341</v>
      </c>
      <c r="G39" s="1096"/>
      <c r="H39" s="1101"/>
      <c r="I39" s="1102"/>
    </row>
    <row r="40" spans="1:10" s="1023" customFormat="1">
      <c r="A40" s="1100" t="s">
        <v>98</v>
      </c>
      <c r="B40" s="1104">
        <v>113.83</v>
      </c>
      <c r="C40" s="1035">
        <v>236.7</v>
      </c>
      <c r="D40" s="1018">
        <v>214.9</v>
      </c>
      <c r="E40" s="1018">
        <v>191.3</v>
      </c>
      <c r="F40" s="1079">
        <f>(B40+C40+D40+E40)/3</f>
        <v>252.24333333333334</v>
      </c>
      <c r="G40" s="1096"/>
      <c r="H40" s="1101"/>
      <c r="I40" s="1102"/>
    </row>
    <row r="41" spans="1:10" s="1023" customFormat="1" ht="13.5" thickBot="1">
      <c r="A41" s="1105" t="s">
        <v>1150</v>
      </c>
      <c r="B41" s="1106"/>
      <c r="C41" s="1035">
        <v>29</v>
      </c>
      <c r="D41" s="1019">
        <v>25</v>
      </c>
      <c r="E41" s="1019">
        <v>23</v>
      </c>
      <c r="F41" s="1079">
        <f>(B41+C41+D41+E41)/3</f>
        <v>25.666666666666668</v>
      </c>
      <c r="G41" s="1096"/>
      <c r="H41" s="1107"/>
      <c r="I41" s="1108"/>
    </row>
    <row r="42" spans="1:10" s="1115" customFormat="1" ht="16.5" thickTop="1">
      <c r="A42" s="1109" t="s">
        <v>1149</v>
      </c>
      <c r="B42" s="1110">
        <f>B26+B27+B30+B31+B37</f>
        <v>55130.130000000005</v>
      </c>
      <c r="C42" s="1110">
        <f>C26+C27+C30+C31+C37</f>
        <v>138139.1</v>
      </c>
      <c r="D42" s="1110">
        <f>D26+D27+D30+D31+D37</f>
        <v>136287.29999999999</v>
      </c>
      <c r="E42" s="1110">
        <f>E26+E27+E30+E31+E37</f>
        <v>130609.1</v>
      </c>
      <c r="F42" s="1110">
        <f>F26+F27+F30+F31+F37</f>
        <v>153393.37666666665</v>
      </c>
      <c r="G42" s="1111">
        <v>143046</v>
      </c>
      <c r="H42" s="1112">
        <f>F42-G42</f>
        <v>10347.376666666649</v>
      </c>
      <c r="I42" s="1113">
        <f>H42/G42</f>
        <v>7.2336008463477819E-2</v>
      </c>
      <c r="J42" s="1114"/>
    </row>
    <row r="43" spans="1:10" s="992" customFormat="1" ht="13.5" thickBot="1">
      <c r="A43" s="1116"/>
      <c r="B43" s="1117"/>
      <c r="C43" s="1118"/>
      <c r="D43" s="1118"/>
      <c r="E43" s="1118"/>
      <c r="F43" s="1118"/>
      <c r="G43" s="1117"/>
      <c r="H43" s="1119"/>
      <c r="I43" s="1120"/>
    </row>
    <row r="44" spans="1:10" s="994" customFormat="1" ht="15" thickTop="1" thickBot="1">
      <c r="A44" s="1121" t="s">
        <v>448</v>
      </c>
      <c r="B44" s="1122"/>
      <c r="C44" s="1122"/>
      <c r="D44" s="1123"/>
      <c r="E44" s="1123"/>
      <c r="F44" s="1124">
        <f>F42+F21</f>
        <v>258095.06999999998</v>
      </c>
      <c r="G44" s="1124">
        <f>G42+G21</f>
        <v>235953</v>
      </c>
      <c r="H44" s="1124">
        <f>H42+H21</f>
        <v>22142.069999999978</v>
      </c>
      <c r="I44" s="1125">
        <f>H44/G44</f>
        <v>9.3841019186024235E-2</v>
      </c>
    </row>
    <row r="45" spans="1:10" s="994" customFormat="1" ht="14.25" thickTop="1">
      <c r="A45" s="1126"/>
      <c r="B45" s="1127"/>
      <c r="C45" s="1127"/>
      <c r="D45" s="1128"/>
      <c r="E45" s="1128"/>
      <c r="F45" s="1128"/>
      <c r="G45" s="1128"/>
      <c r="H45" s="1128"/>
      <c r="I45" s="1129"/>
    </row>
    <row r="46" spans="1:10" s="1137" customFormat="1">
      <c r="A46" s="1130" t="s">
        <v>574</v>
      </c>
      <c r="B46" s="1131">
        <v>0</v>
      </c>
      <c r="C46" s="1132">
        <v>13086</v>
      </c>
      <c r="D46" s="1132">
        <v>12851</v>
      </c>
      <c r="E46" s="1133">
        <v>12214</v>
      </c>
      <c r="F46" s="1132">
        <f>SUM(B46:E46)/3</f>
        <v>12717</v>
      </c>
      <c r="G46" s="1134">
        <v>11558</v>
      </c>
      <c r="H46" s="1135">
        <f>F46-G46</f>
        <v>1159</v>
      </c>
      <c r="I46" s="1136">
        <f>H46/G46</f>
        <v>0.1002768645094307</v>
      </c>
    </row>
    <row r="47" spans="1:10" s="994" customFormat="1">
      <c r="A47" s="1138"/>
      <c r="B47" s="1127"/>
      <c r="C47" s="1127"/>
      <c r="D47" s="1128"/>
      <c r="E47" s="1128"/>
      <c r="F47" s="1128"/>
      <c r="G47" s="1128"/>
      <c r="H47" s="1139"/>
      <c r="I47" s="1129"/>
    </row>
    <row r="48" spans="1:10" ht="56.25" customHeight="1">
      <c r="A48" s="2634" t="s">
        <v>447</v>
      </c>
      <c r="B48" s="2634"/>
      <c r="C48" s="2634"/>
      <c r="D48" s="2634"/>
      <c r="E48" s="2634"/>
      <c r="F48" s="2634"/>
      <c r="G48" s="2634"/>
      <c r="H48" s="2634"/>
      <c r="I48" s="2634"/>
    </row>
    <row r="49" spans="1:9" ht="27.75" customHeight="1">
      <c r="A49" s="2635" t="s">
        <v>1148</v>
      </c>
      <c r="B49" s="2635"/>
      <c r="C49" s="2635"/>
      <c r="D49" s="2635"/>
      <c r="E49" s="2635"/>
      <c r="F49" s="2635"/>
      <c r="G49" s="2635"/>
      <c r="H49" s="2635"/>
      <c r="I49" s="2635"/>
    </row>
    <row r="50" spans="1:9" ht="27.75" customHeight="1">
      <c r="A50" s="2635" t="s">
        <v>1147</v>
      </c>
      <c r="B50" s="2635"/>
      <c r="C50" s="2635"/>
      <c r="D50" s="2635"/>
      <c r="E50" s="2635"/>
      <c r="F50" s="2635"/>
      <c r="G50" s="2635"/>
      <c r="H50" s="2635"/>
      <c r="I50" s="2635"/>
    </row>
    <row r="51" spans="1:9" ht="15.75">
      <c r="A51" s="2636" t="s">
        <v>1146</v>
      </c>
      <c r="B51" s="2636"/>
      <c r="C51" s="2636"/>
      <c r="D51" s="2636"/>
      <c r="E51" s="2636"/>
      <c r="F51" s="2636"/>
      <c r="G51" s="2636"/>
      <c r="H51" s="2636"/>
      <c r="I51" s="2636"/>
    </row>
    <row r="52" spans="1:9" ht="15.75">
      <c r="A52" s="2618"/>
      <c r="B52" s="2636"/>
      <c r="C52" s="2636"/>
      <c r="D52" s="2636"/>
      <c r="E52" s="2636"/>
      <c r="F52" s="2636"/>
      <c r="G52" s="2636"/>
      <c r="H52" s="2636"/>
      <c r="I52" s="2636"/>
    </row>
    <row r="53" spans="1:9" s="1140" customFormat="1">
      <c r="A53" s="2618"/>
      <c r="B53" s="2618"/>
      <c r="C53" s="2618"/>
      <c r="D53" s="2618"/>
      <c r="E53" s="2618"/>
      <c r="F53" s="2618"/>
      <c r="G53" s="2618"/>
      <c r="H53" s="2618"/>
      <c r="I53" s="2618"/>
    </row>
  </sheetData>
  <mergeCells count="14">
    <mergeCell ref="A53:I53"/>
    <mergeCell ref="A2:I2"/>
    <mergeCell ref="A3:I3"/>
    <mergeCell ref="C4:E4"/>
    <mergeCell ref="B6:F6"/>
    <mergeCell ref="H6:I6"/>
    <mergeCell ref="A23:A25"/>
    <mergeCell ref="B23:F23"/>
    <mergeCell ref="H23:I23"/>
    <mergeCell ref="A48:I48"/>
    <mergeCell ref="A49:I49"/>
    <mergeCell ref="A50:I50"/>
    <mergeCell ref="A51:I51"/>
    <mergeCell ref="A52:I52"/>
  </mergeCells>
  <pageMargins left="0.5" right="0.5" top="0.5" bottom="0.5" header="0.3" footer="0.3"/>
  <pageSetup scale="82" orientation="portrait" r:id="rId1"/>
  <colBreaks count="1" manualBreakCount="1">
    <brk id="9"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J53"/>
  <sheetViews>
    <sheetView workbookViewId="0"/>
  </sheetViews>
  <sheetFormatPr defaultColWidth="15.125" defaultRowHeight="12.75"/>
  <cols>
    <col min="1" max="1" width="27.375" style="1141" customWidth="1"/>
    <col min="2" max="2" width="9.625" style="1141" bestFit="1" customWidth="1"/>
    <col min="3" max="3" width="8" style="1141" customWidth="1"/>
    <col min="4" max="4" width="9.125" style="1141" bestFit="1" customWidth="1"/>
    <col min="5" max="5" width="9.25" style="1141" bestFit="1" customWidth="1"/>
    <col min="6" max="6" width="9.75" style="1141" bestFit="1" customWidth="1"/>
    <col min="7" max="8" width="9.125" style="1141" bestFit="1" customWidth="1"/>
    <col min="9" max="9" width="8.625" style="1141" bestFit="1" customWidth="1"/>
    <col min="10" max="256" width="15.125" style="1141"/>
    <col min="257" max="257" width="27.375" style="1141" customWidth="1"/>
    <col min="258" max="258" width="9.625" style="1141" bestFit="1" customWidth="1"/>
    <col min="259" max="259" width="8" style="1141" customWidth="1"/>
    <col min="260" max="260" width="9.125" style="1141" bestFit="1" customWidth="1"/>
    <col min="261" max="261" width="9.25" style="1141" bestFit="1" customWidth="1"/>
    <col min="262" max="262" width="9.75" style="1141" bestFit="1" customWidth="1"/>
    <col min="263" max="264" width="9.125" style="1141" bestFit="1" customWidth="1"/>
    <col min="265" max="265" width="8.625" style="1141" bestFit="1" customWidth="1"/>
    <col min="266" max="512" width="15.125" style="1141"/>
    <col min="513" max="513" width="27.375" style="1141" customWidth="1"/>
    <col min="514" max="514" width="9.625" style="1141" bestFit="1" customWidth="1"/>
    <col min="515" max="515" width="8" style="1141" customWidth="1"/>
    <col min="516" max="516" width="9.125" style="1141" bestFit="1" customWidth="1"/>
    <col min="517" max="517" width="9.25" style="1141" bestFit="1" customWidth="1"/>
    <col min="518" max="518" width="9.75" style="1141" bestFit="1" customWidth="1"/>
    <col min="519" max="520" width="9.125" style="1141" bestFit="1" customWidth="1"/>
    <col min="521" max="521" width="8.625" style="1141" bestFit="1" customWidth="1"/>
    <col min="522" max="768" width="15.125" style="1141"/>
    <col min="769" max="769" width="27.375" style="1141" customWidth="1"/>
    <col min="770" max="770" width="9.625" style="1141" bestFit="1" customWidth="1"/>
    <col min="771" max="771" width="8" style="1141" customWidth="1"/>
    <col min="772" max="772" width="9.125" style="1141" bestFit="1" customWidth="1"/>
    <col min="773" max="773" width="9.25" style="1141" bestFit="1" customWidth="1"/>
    <col min="774" max="774" width="9.75" style="1141" bestFit="1" customWidth="1"/>
    <col min="775" max="776" width="9.125" style="1141" bestFit="1" customWidth="1"/>
    <col min="777" max="777" width="8.625" style="1141" bestFit="1" customWidth="1"/>
    <col min="778" max="1024" width="15.125" style="1141"/>
    <col min="1025" max="1025" width="27.375" style="1141" customWidth="1"/>
    <col min="1026" max="1026" width="9.625" style="1141" bestFit="1" customWidth="1"/>
    <col min="1027" max="1027" width="8" style="1141" customWidth="1"/>
    <col min="1028" max="1028" width="9.125" style="1141" bestFit="1" customWidth="1"/>
    <col min="1029" max="1029" width="9.25" style="1141" bestFit="1" customWidth="1"/>
    <col min="1030" max="1030" width="9.75" style="1141" bestFit="1" customWidth="1"/>
    <col min="1031" max="1032" width="9.125" style="1141" bestFit="1" customWidth="1"/>
    <col min="1033" max="1033" width="8.625" style="1141" bestFit="1" customWidth="1"/>
    <col min="1034" max="1280" width="15.125" style="1141"/>
    <col min="1281" max="1281" width="27.375" style="1141" customWidth="1"/>
    <col min="1282" max="1282" width="9.625" style="1141" bestFit="1" customWidth="1"/>
    <col min="1283" max="1283" width="8" style="1141" customWidth="1"/>
    <col min="1284" max="1284" width="9.125" style="1141" bestFit="1" customWidth="1"/>
    <col min="1285" max="1285" width="9.25" style="1141" bestFit="1" customWidth="1"/>
    <col min="1286" max="1286" width="9.75" style="1141" bestFit="1" customWidth="1"/>
    <col min="1287" max="1288" width="9.125" style="1141" bestFit="1" customWidth="1"/>
    <col min="1289" max="1289" width="8.625" style="1141" bestFit="1" customWidth="1"/>
    <col min="1290" max="1536" width="15.125" style="1141"/>
    <col min="1537" max="1537" width="27.375" style="1141" customWidth="1"/>
    <col min="1538" max="1538" width="9.625" style="1141" bestFit="1" customWidth="1"/>
    <col min="1539" max="1539" width="8" style="1141" customWidth="1"/>
    <col min="1540" max="1540" width="9.125" style="1141" bestFit="1" customWidth="1"/>
    <col min="1541" max="1541" width="9.25" style="1141" bestFit="1" customWidth="1"/>
    <col min="1542" max="1542" width="9.75" style="1141" bestFit="1" customWidth="1"/>
    <col min="1543" max="1544" width="9.125" style="1141" bestFit="1" customWidth="1"/>
    <col min="1545" max="1545" width="8.625" style="1141" bestFit="1" customWidth="1"/>
    <col min="1546" max="1792" width="15.125" style="1141"/>
    <col min="1793" max="1793" width="27.375" style="1141" customWidth="1"/>
    <col min="1794" max="1794" width="9.625" style="1141" bestFit="1" customWidth="1"/>
    <col min="1795" max="1795" width="8" style="1141" customWidth="1"/>
    <col min="1796" max="1796" width="9.125" style="1141" bestFit="1" customWidth="1"/>
    <col min="1797" max="1797" width="9.25" style="1141" bestFit="1" customWidth="1"/>
    <col min="1798" max="1798" width="9.75" style="1141" bestFit="1" customWidth="1"/>
    <col min="1799" max="1800" width="9.125" style="1141" bestFit="1" customWidth="1"/>
    <col min="1801" max="1801" width="8.625" style="1141" bestFit="1" customWidth="1"/>
    <col min="1802" max="2048" width="15.125" style="1141"/>
    <col min="2049" max="2049" width="27.375" style="1141" customWidth="1"/>
    <col min="2050" max="2050" width="9.625" style="1141" bestFit="1" customWidth="1"/>
    <col min="2051" max="2051" width="8" style="1141" customWidth="1"/>
    <col min="2052" max="2052" width="9.125" style="1141" bestFit="1" customWidth="1"/>
    <col min="2053" max="2053" width="9.25" style="1141" bestFit="1" customWidth="1"/>
    <col min="2054" max="2054" width="9.75" style="1141" bestFit="1" customWidth="1"/>
    <col min="2055" max="2056" width="9.125" style="1141" bestFit="1" customWidth="1"/>
    <col min="2057" max="2057" width="8.625" style="1141" bestFit="1" customWidth="1"/>
    <col min="2058" max="2304" width="15.125" style="1141"/>
    <col min="2305" max="2305" width="27.375" style="1141" customWidth="1"/>
    <col min="2306" max="2306" width="9.625" style="1141" bestFit="1" customWidth="1"/>
    <col min="2307" max="2307" width="8" style="1141" customWidth="1"/>
    <col min="2308" max="2308" width="9.125" style="1141" bestFit="1" customWidth="1"/>
    <col min="2309" max="2309" width="9.25" style="1141" bestFit="1" customWidth="1"/>
    <col min="2310" max="2310" width="9.75" style="1141" bestFit="1" customWidth="1"/>
    <col min="2311" max="2312" width="9.125" style="1141" bestFit="1" customWidth="1"/>
    <col min="2313" max="2313" width="8.625" style="1141" bestFit="1" customWidth="1"/>
    <col min="2314" max="2560" width="15.125" style="1141"/>
    <col min="2561" max="2561" width="27.375" style="1141" customWidth="1"/>
    <col min="2562" max="2562" width="9.625" style="1141" bestFit="1" customWidth="1"/>
    <col min="2563" max="2563" width="8" style="1141" customWidth="1"/>
    <col min="2564" max="2564" width="9.125" style="1141" bestFit="1" customWidth="1"/>
    <col min="2565" max="2565" width="9.25" style="1141" bestFit="1" customWidth="1"/>
    <col min="2566" max="2566" width="9.75" style="1141" bestFit="1" customWidth="1"/>
    <col min="2567" max="2568" width="9.125" style="1141" bestFit="1" customWidth="1"/>
    <col min="2569" max="2569" width="8.625" style="1141" bestFit="1" customWidth="1"/>
    <col min="2570" max="2816" width="15.125" style="1141"/>
    <col min="2817" max="2817" width="27.375" style="1141" customWidth="1"/>
    <col min="2818" max="2818" width="9.625" style="1141" bestFit="1" customWidth="1"/>
    <col min="2819" max="2819" width="8" style="1141" customWidth="1"/>
    <col min="2820" max="2820" width="9.125" style="1141" bestFit="1" customWidth="1"/>
    <col min="2821" max="2821" width="9.25" style="1141" bestFit="1" customWidth="1"/>
    <col min="2822" max="2822" width="9.75" style="1141" bestFit="1" customWidth="1"/>
    <col min="2823" max="2824" width="9.125" style="1141" bestFit="1" customWidth="1"/>
    <col min="2825" max="2825" width="8.625" style="1141" bestFit="1" customWidth="1"/>
    <col min="2826" max="3072" width="15.125" style="1141"/>
    <col min="3073" max="3073" width="27.375" style="1141" customWidth="1"/>
    <col min="3074" max="3074" width="9.625" style="1141" bestFit="1" customWidth="1"/>
    <col min="3075" max="3075" width="8" style="1141" customWidth="1"/>
    <col min="3076" max="3076" width="9.125" style="1141" bestFit="1" customWidth="1"/>
    <col min="3077" max="3077" width="9.25" style="1141" bestFit="1" customWidth="1"/>
    <col min="3078" max="3078" width="9.75" style="1141" bestFit="1" customWidth="1"/>
    <col min="3079" max="3080" width="9.125" style="1141" bestFit="1" customWidth="1"/>
    <col min="3081" max="3081" width="8.625" style="1141" bestFit="1" customWidth="1"/>
    <col min="3082" max="3328" width="15.125" style="1141"/>
    <col min="3329" max="3329" width="27.375" style="1141" customWidth="1"/>
    <col min="3330" max="3330" width="9.625" style="1141" bestFit="1" customWidth="1"/>
    <col min="3331" max="3331" width="8" style="1141" customWidth="1"/>
    <col min="3332" max="3332" width="9.125" style="1141" bestFit="1" customWidth="1"/>
    <col min="3333" max="3333" width="9.25" style="1141" bestFit="1" customWidth="1"/>
    <col min="3334" max="3334" width="9.75" style="1141" bestFit="1" customWidth="1"/>
    <col min="3335" max="3336" width="9.125" style="1141" bestFit="1" customWidth="1"/>
    <col min="3337" max="3337" width="8.625" style="1141" bestFit="1" customWidth="1"/>
    <col min="3338" max="3584" width="15.125" style="1141"/>
    <col min="3585" max="3585" width="27.375" style="1141" customWidth="1"/>
    <col min="3586" max="3586" width="9.625" style="1141" bestFit="1" customWidth="1"/>
    <col min="3587" max="3587" width="8" style="1141" customWidth="1"/>
    <col min="3588" max="3588" width="9.125" style="1141" bestFit="1" customWidth="1"/>
    <col min="3589" max="3589" width="9.25" style="1141" bestFit="1" customWidth="1"/>
    <col min="3590" max="3590" width="9.75" style="1141" bestFit="1" customWidth="1"/>
    <col min="3591" max="3592" width="9.125" style="1141" bestFit="1" customWidth="1"/>
    <col min="3593" max="3593" width="8.625" style="1141" bestFit="1" customWidth="1"/>
    <col min="3594" max="3840" width="15.125" style="1141"/>
    <col min="3841" max="3841" width="27.375" style="1141" customWidth="1"/>
    <col min="3842" max="3842" width="9.625" style="1141" bestFit="1" customWidth="1"/>
    <col min="3843" max="3843" width="8" style="1141" customWidth="1"/>
    <col min="3844" max="3844" width="9.125" style="1141" bestFit="1" customWidth="1"/>
    <col min="3845" max="3845" width="9.25" style="1141" bestFit="1" customWidth="1"/>
    <col min="3846" max="3846" width="9.75" style="1141" bestFit="1" customWidth="1"/>
    <col min="3847" max="3848" width="9.125" style="1141" bestFit="1" customWidth="1"/>
    <col min="3849" max="3849" width="8.625" style="1141" bestFit="1" customWidth="1"/>
    <col min="3850" max="4096" width="15.125" style="1141"/>
    <col min="4097" max="4097" width="27.375" style="1141" customWidth="1"/>
    <col min="4098" max="4098" width="9.625" style="1141" bestFit="1" customWidth="1"/>
    <col min="4099" max="4099" width="8" style="1141" customWidth="1"/>
    <col min="4100" max="4100" width="9.125" style="1141" bestFit="1" customWidth="1"/>
    <col min="4101" max="4101" width="9.25" style="1141" bestFit="1" customWidth="1"/>
    <col min="4102" max="4102" width="9.75" style="1141" bestFit="1" customWidth="1"/>
    <col min="4103" max="4104" width="9.125" style="1141" bestFit="1" customWidth="1"/>
    <col min="4105" max="4105" width="8.625" style="1141" bestFit="1" customWidth="1"/>
    <col min="4106" max="4352" width="15.125" style="1141"/>
    <col min="4353" max="4353" width="27.375" style="1141" customWidth="1"/>
    <col min="4354" max="4354" width="9.625" style="1141" bestFit="1" customWidth="1"/>
    <col min="4355" max="4355" width="8" style="1141" customWidth="1"/>
    <col min="4356" max="4356" width="9.125" style="1141" bestFit="1" customWidth="1"/>
    <col min="4357" max="4357" width="9.25" style="1141" bestFit="1" customWidth="1"/>
    <col min="4358" max="4358" width="9.75" style="1141" bestFit="1" customWidth="1"/>
    <col min="4359" max="4360" width="9.125" style="1141" bestFit="1" customWidth="1"/>
    <col min="4361" max="4361" width="8.625" style="1141" bestFit="1" customWidth="1"/>
    <col min="4362" max="4608" width="15.125" style="1141"/>
    <col min="4609" max="4609" width="27.375" style="1141" customWidth="1"/>
    <col min="4610" max="4610" width="9.625" style="1141" bestFit="1" customWidth="1"/>
    <col min="4611" max="4611" width="8" style="1141" customWidth="1"/>
    <col min="4612" max="4612" width="9.125" style="1141" bestFit="1" customWidth="1"/>
    <col min="4613" max="4613" width="9.25" style="1141" bestFit="1" customWidth="1"/>
    <col min="4614" max="4614" width="9.75" style="1141" bestFit="1" customWidth="1"/>
    <col min="4615" max="4616" width="9.125" style="1141" bestFit="1" customWidth="1"/>
    <col min="4617" max="4617" width="8.625" style="1141" bestFit="1" customWidth="1"/>
    <col min="4618" max="4864" width="15.125" style="1141"/>
    <col min="4865" max="4865" width="27.375" style="1141" customWidth="1"/>
    <col min="4866" max="4866" width="9.625" style="1141" bestFit="1" customWidth="1"/>
    <col min="4867" max="4867" width="8" style="1141" customWidth="1"/>
    <col min="4868" max="4868" width="9.125" style="1141" bestFit="1" customWidth="1"/>
    <col min="4869" max="4869" width="9.25" style="1141" bestFit="1" customWidth="1"/>
    <col min="4870" max="4870" width="9.75" style="1141" bestFit="1" customWidth="1"/>
    <col min="4871" max="4872" width="9.125" style="1141" bestFit="1" customWidth="1"/>
    <col min="4873" max="4873" width="8.625" style="1141" bestFit="1" customWidth="1"/>
    <col min="4874" max="5120" width="15.125" style="1141"/>
    <col min="5121" max="5121" width="27.375" style="1141" customWidth="1"/>
    <col min="5122" max="5122" width="9.625" style="1141" bestFit="1" customWidth="1"/>
    <col min="5123" max="5123" width="8" style="1141" customWidth="1"/>
    <col min="5124" max="5124" width="9.125" style="1141" bestFit="1" customWidth="1"/>
    <col min="5125" max="5125" width="9.25" style="1141" bestFit="1" customWidth="1"/>
    <col min="5126" max="5126" width="9.75" style="1141" bestFit="1" customWidth="1"/>
    <col min="5127" max="5128" width="9.125" style="1141" bestFit="1" customWidth="1"/>
    <col min="5129" max="5129" width="8.625" style="1141" bestFit="1" customWidth="1"/>
    <col min="5130" max="5376" width="15.125" style="1141"/>
    <col min="5377" max="5377" width="27.375" style="1141" customWidth="1"/>
    <col min="5378" max="5378" width="9.625" style="1141" bestFit="1" customWidth="1"/>
    <col min="5379" max="5379" width="8" style="1141" customWidth="1"/>
    <col min="5380" max="5380" width="9.125" style="1141" bestFit="1" customWidth="1"/>
    <col min="5381" max="5381" width="9.25" style="1141" bestFit="1" customWidth="1"/>
    <col min="5382" max="5382" width="9.75" style="1141" bestFit="1" customWidth="1"/>
    <col min="5383" max="5384" width="9.125" style="1141" bestFit="1" customWidth="1"/>
    <col min="5385" max="5385" width="8.625" style="1141" bestFit="1" customWidth="1"/>
    <col min="5386" max="5632" width="15.125" style="1141"/>
    <col min="5633" max="5633" width="27.375" style="1141" customWidth="1"/>
    <col min="5634" max="5634" width="9.625" style="1141" bestFit="1" customWidth="1"/>
    <col min="5635" max="5635" width="8" style="1141" customWidth="1"/>
    <col min="5636" max="5636" width="9.125" style="1141" bestFit="1" customWidth="1"/>
    <col min="5637" max="5637" width="9.25" style="1141" bestFit="1" customWidth="1"/>
    <col min="5638" max="5638" width="9.75" style="1141" bestFit="1" customWidth="1"/>
    <col min="5639" max="5640" width="9.125" style="1141" bestFit="1" customWidth="1"/>
    <col min="5641" max="5641" width="8.625" style="1141" bestFit="1" customWidth="1"/>
    <col min="5642" max="5888" width="15.125" style="1141"/>
    <col min="5889" max="5889" width="27.375" style="1141" customWidth="1"/>
    <col min="5890" max="5890" width="9.625" style="1141" bestFit="1" customWidth="1"/>
    <col min="5891" max="5891" width="8" style="1141" customWidth="1"/>
    <col min="5892" max="5892" width="9.125" style="1141" bestFit="1" customWidth="1"/>
    <col min="5893" max="5893" width="9.25" style="1141" bestFit="1" customWidth="1"/>
    <col min="5894" max="5894" width="9.75" style="1141" bestFit="1" customWidth="1"/>
    <col min="5895" max="5896" width="9.125" style="1141" bestFit="1" customWidth="1"/>
    <col min="5897" max="5897" width="8.625" style="1141" bestFit="1" customWidth="1"/>
    <col min="5898" max="6144" width="15.125" style="1141"/>
    <col min="6145" max="6145" width="27.375" style="1141" customWidth="1"/>
    <col min="6146" max="6146" width="9.625" style="1141" bestFit="1" customWidth="1"/>
    <col min="6147" max="6147" width="8" style="1141" customWidth="1"/>
    <col min="6148" max="6148" width="9.125" style="1141" bestFit="1" customWidth="1"/>
    <col min="6149" max="6149" width="9.25" style="1141" bestFit="1" customWidth="1"/>
    <col min="6150" max="6150" width="9.75" style="1141" bestFit="1" customWidth="1"/>
    <col min="6151" max="6152" width="9.125" style="1141" bestFit="1" customWidth="1"/>
    <col min="6153" max="6153" width="8.625" style="1141" bestFit="1" customWidth="1"/>
    <col min="6154" max="6400" width="15.125" style="1141"/>
    <col min="6401" max="6401" width="27.375" style="1141" customWidth="1"/>
    <col min="6402" max="6402" width="9.625" style="1141" bestFit="1" customWidth="1"/>
    <col min="6403" max="6403" width="8" style="1141" customWidth="1"/>
    <col min="6404" max="6404" width="9.125" style="1141" bestFit="1" customWidth="1"/>
    <col min="6405" max="6405" width="9.25" style="1141" bestFit="1" customWidth="1"/>
    <col min="6406" max="6406" width="9.75" style="1141" bestFit="1" customWidth="1"/>
    <col min="6407" max="6408" width="9.125" style="1141" bestFit="1" customWidth="1"/>
    <col min="6409" max="6409" width="8.625" style="1141" bestFit="1" customWidth="1"/>
    <col min="6410" max="6656" width="15.125" style="1141"/>
    <col min="6657" max="6657" width="27.375" style="1141" customWidth="1"/>
    <col min="6658" max="6658" width="9.625" style="1141" bestFit="1" customWidth="1"/>
    <col min="6659" max="6659" width="8" style="1141" customWidth="1"/>
    <col min="6660" max="6660" width="9.125" style="1141" bestFit="1" customWidth="1"/>
    <col min="6661" max="6661" width="9.25" style="1141" bestFit="1" customWidth="1"/>
    <col min="6662" max="6662" width="9.75" style="1141" bestFit="1" customWidth="1"/>
    <col min="6663" max="6664" width="9.125" style="1141" bestFit="1" customWidth="1"/>
    <col min="6665" max="6665" width="8.625" style="1141" bestFit="1" customWidth="1"/>
    <col min="6666" max="6912" width="15.125" style="1141"/>
    <col min="6913" max="6913" width="27.375" style="1141" customWidth="1"/>
    <col min="6914" max="6914" width="9.625" style="1141" bestFit="1" customWidth="1"/>
    <col min="6915" max="6915" width="8" style="1141" customWidth="1"/>
    <col min="6916" max="6916" width="9.125" style="1141" bestFit="1" customWidth="1"/>
    <col min="6917" max="6917" width="9.25" style="1141" bestFit="1" customWidth="1"/>
    <col min="6918" max="6918" width="9.75" style="1141" bestFit="1" customWidth="1"/>
    <col min="6919" max="6920" width="9.125" style="1141" bestFit="1" customWidth="1"/>
    <col min="6921" max="6921" width="8.625" style="1141" bestFit="1" customWidth="1"/>
    <col min="6922" max="7168" width="15.125" style="1141"/>
    <col min="7169" max="7169" width="27.375" style="1141" customWidth="1"/>
    <col min="7170" max="7170" width="9.625" style="1141" bestFit="1" customWidth="1"/>
    <col min="7171" max="7171" width="8" style="1141" customWidth="1"/>
    <col min="7172" max="7172" width="9.125" style="1141" bestFit="1" customWidth="1"/>
    <col min="7173" max="7173" width="9.25" style="1141" bestFit="1" customWidth="1"/>
    <col min="7174" max="7174" width="9.75" style="1141" bestFit="1" customWidth="1"/>
    <col min="7175" max="7176" width="9.125" style="1141" bestFit="1" customWidth="1"/>
    <col min="7177" max="7177" width="8.625" style="1141" bestFit="1" customWidth="1"/>
    <col min="7178" max="7424" width="15.125" style="1141"/>
    <col min="7425" max="7425" width="27.375" style="1141" customWidth="1"/>
    <col min="7426" max="7426" width="9.625" style="1141" bestFit="1" customWidth="1"/>
    <col min="7427" max="7427" width="8" style="1141" customWidth="1"/>
    <col min="7428" max="7428" width="9.125" style="1141" bestFit="1" customWidth="1"/>
    <col min="7429" max="7429" width="9.25" style="1141" bestFit="1" customWidth="1"/>
    <col min="7430" max="7430" width="9.75" style="1141" bestFit="1" customWidth="1"/>
    <col min="7431" max="7432" width="9.125" style="1141" bestFit="1" customWidth="1"/>
    <col min="7433" max="7433" width="8.625" style="1141" bestFit="1" customWidth="1"/>
    <col min="7434" max="7680" width="15.125" style="1141"/>
    <col min="7681" max="7681" width="27.375" style="1141" customWidth="1"/>
    <col min="7682" max="7682" width="9.625" style="1141" bestFit="1" customWidth="1"/>
    <col min="7683" max="7683" width="8" style="1141" customWidth="1"/>
    <col min="7684" max="7684" width="9.125" style="1141" bestFit="1" customWidth="1"/>
    <col min="7685" max="7685" width="9.25" style="1141" bestFit="1" customWidth="1"/>
    <col min="7686" max="7686" width="9.75" style="1141" bestFit="1" customWidth="1"/>
    <col min="7687" max="7688" width="9.125" style="1141" bestFit="1" customWidth="1"/>
    <col min="7689" max="7689" width="8.625" style="1141" bestFit="1" customWidth="1"/>
    <col min="7690" max="7936" width="15.125" style="1141"/>
    <col min="7937" max="7937" width="27.375" style="1141" customWidth="1"/>
    <col min="7938" max="7938" width="9.625" style="1141" bestFit="1" customWidth="1"/>
    <col min="7939" max="7939" width="8" style="1141" customWidth="1"/>
    <col min="7940" max="7940" width="9.125" style="1141" bestFit="1" customWidth="1"/>
    <col min="7941" max="7941" width="9.25" style="1141" bestFit="1" customWidth="1"/>
    <col min="7942" max="7942" width="9.75" style="1141" bestFit="1" customWidth="1"/>
    <col min="7943" max="7944" width="9.125" style="1141" bestFit="1" customWidth="1"/>
    <col min="7945" max="7945" width="8.625" style="1141" bestFit="1" customWidth="1"/>
    <col min="7946" max="8192" width="15.125" style="1141"/>
    <col min="8193" max="8193" width="27.375" style="1141" customWidth="1"/>
    <col min="8194" max="8194" width="9.625" style="1141" bestFit="1" customWidth="1"/>
    <col min="8195" max="8195" width="8" style="1141" customWidth="1"/>
    <col min="8196" max="8196" width="9.125" style="1141" bestFit="1" customWidth="1"/>
    <col min="8197" max="8197" width="9.25" style="1141" bestFit="1" customWidth="1"/>
    <col min="8198" max="8198" width="9.75" style="1141" bestFit="1" customWidth="1"/>
    <col min="8199" max="8200" width="9.125" style="1141" bestFit="1" customWidth="1"/>
    <col min="8201" max="8201" width="8.625" style="1141" bestFit="1" customWidth="1"/>
    <col min="8202" max="8448" width="15.125" style="1141"/>
    <col min="8449" max="8449" width="27.375" style="1141" customWidth="1"/>
    <col min="8450" max="8450" width="9.625" style="1141" bestFit="1" customWidth="1"/>
    <col min="8451" max="8451" width="8" style="1141" customWidth="1"/>
    <col min="8452" max="8452" width="9.125" style="1141" bestFit="1" customWidth="1"/>
    <col min="8453" max="8453" width="9.25" style="1141" bestFit="1" customWidth="1"/>
    <col min="8454" max="8454" width="9.75" style="1141" bestFit="1" customWidth="1"/>
    <col min="8455" max="8456" width="9.125" style="1141" bestFit="1" customWidth="1"/>
    <col min="8457" max="8457" width="8.625" style="1141" bestFit="1" customWidth="1"/>
    <col min="8458" max="8704" width="15.125" style="1141"/>
    <col min="8705" max="8705" width="27.375" style="1141" customWidth="1"/>
    <col min="8706" max="8706" width="9.625" style="1141" bestFit="1" customWidth="1"/>
    <col min="8707" max="8707" width="8" style="1141" customWidth="1"/>
    <col min="8708" max="8708" width="9.125" style="1141" bestFit="1" customWidth="1"/>
    <col min="8709" max="8709" width="9.25" style="1141" bestFit="1" customWidth="1"/>
    <col min="8710" max="8710" width="9.75" style="1141" bestFit="1" customWidth="1"/>
    <col min="8711" max="8712" width="9.125" style="1141" bestFit="1" customWidth="1"/>
    <col min="8713" max="8713" width="8.625" style="1141" bestFit="1" customWidth="1"/>
    <col min="8714" max="8960" width="15.125" style="1141"/>
    <col min="8961" max="8961" width="27.375" style="1141" customWidth="1"/>
    <col min="8962" max="8962" width="9.625" style="1141" bestFit="1" customWidth="1"/>
    <col min="8963" max="8963" width="8" style="1141" customWidth="1"/>
    <col min="8964" max="8964" width="9.125" style="1141" bestFit="1" customWidth="1"/>
    <col min="8965" max="8965" width="9.25" style="1141" bestFit="1" customWidth="1"/>
    <col min="8966" max="8966" width="9.75" style="1141" bestFit="1" customWidth="1"/>
    <col min="8967" max="8968" width="9.125" style="1141" bestFit="1" customWidth="1"/>
    <col min="8969" max="8969" width="8.625" style="1141" bestFit="1" customWidth="1"/>
    <col min="8970" max="9216" width="15.125" style="1141"/>
    <col min="9217" max="9217" width="27.375" style="1141" customWidth="1"/>
    <col min="9218" max="9218" width="9.625" style="1141" bestFit="1" customWidth="1"/>
    <col min="9219" max="9219" width="8" style="1141" customWidth="1"/>
    <col min="9220" max="9220" width="9.125" style="1141" bestFit="1" customWidth="1"/>
    <col min="9221" max="9221" width="9.25" style="1141" bestFit="1" customWidth="1"/>
    <col min="9222" max="9222" width="9.75" style="1141" bestFit="1" customWidth="1"/>
    <col min="9223" max="9224" width="9.125" style="1141" bestFit="1" customWidth="1"/>
    <col min="9225" max="9225" width="8.625" style="1141" bestFit="1" customWidth="1"/>
    <col min="9226" max="9472" width="15.125" style="1141"/>
    <col min="9473" max="9473" width="27.375" style="1141" customWidth="1"/>
    <col min="9474" max="9474" width="9.625" style="1141" bestFit="1" customWidth="1"/>
    <col min="9475" max="9475" width="8" style="1141" customWidth="1"/>
    <col min="9476" max="9476" width="9.125" style="1141" bestFit="1" customWidth="1"/>
    <col min="9477" max="9477" width="9.25" style="1141" bestFit="1" customWidth="1"/>
    <col min="9478" max="9478" width="9.75" style="1141" bestFit="1" customWidth="1"/>
    <col min="9479" max="9480" width="9.125" style="1141" bestFit="1" customWidth="1"/>
    <col min="9481" max="9481" width="8.625" style="1141" bestFit="1" customWidth="1"/>
    <col min="9482" max="9728" width="15.125" style="1141"/>
    <col min="9729" max="9729" width="27.375" style="1141" customWidth="1"/>
    <col min="9730" max="9730" width="9.625" style="1141" bestFit="1" customWidth="1"/>
    <col min="9731" max="9731" width="8" style="1141" customWidth="1"/>
    <col min="9732" max="9732" width="9.125" style="1141" bestFit="1" customWidth="1"/>
    <col min="9733" max="9733" width="9.25" style="1141" bestFit="1" customWidth="1"/>
    <col min="9734" max="9734" width="9.75" style="1141" bestFit="1" customWidth="1"/>
    <col min="9735" max="9736" width="9.125" style="1141" bestFit="1" customWidth="1"/>
    <col min="9737" max="9737" width="8.625" style="1141" bestFit="1" customWidth="1"/>
    <col min="9738" max="9984" width="15.125" style="1141"/>
    <col min="9985" max="9985" width="27.375" style="1141" customWidth="1"/>
    <col min="9986" max="9986" width="9.625" style="1141" bestFit="1" customWidth="1"/>
    <col min="9987" max="9987" width="8" style="1141" customWidth="1"/>
    <col min="9988" max="9988" width="9.125" style="1141" bestFit="1" customWidth="1"/>
    <col min="9989" max="9989" width="9.25" style="1141" bestFit="1" customWidth="1"/>
    <col min="9990" max="9990" width="9.75" style="1141" bestFit="1" customWidth="1"/>
    <col min="9991" max="9992" width="9.125" style="1141" bestFit="1" customWidth="1"/>
    <col min="9993" max="9993" width="8.625" style="1141" bestFit="1" customWidth="1"/>
    <col min="9994" max="10240" width="15.125" style="1141"/>
    <col min="10241" max="10241" width="27.375" style="1141" customWidth="1"/>
    <col min="10242" max="10242" width="9.625" style="1141" bestFit="1" customWidth="1"/>
    <col min="10243" max="10243" width="8" style="1141" customWidth="1"/>
    <col min="10244" max="10244" width="9.125" style="1141" bestFit="1" customWidth="1"/>
    <col min="10245" max="10245" width="9.25" style="1141" bestFit="1" customWidth="1"/>
    <col min="10246" max="10246" width="9.75" style="1141" bestFit="1" customWidth="1"/>
    <col min="10247" max="10248" width="9.125" style="1141" bestFit="1" customWidth="1"/>
    <col min="10249" max="10249" width="8.625" style="1141" bestFit="1" customWidth="1"/>
    <col min="10250" max="10496" width="15.125" style="1141"/>
    <col min="10497" max="10497" width="27.375" style="1141" customWidth="1"/>
    <col min="10498" max="10498" width="9.625" style="1141" bestFit="1" customWidth="1"/>
    <col min="10499" max="10499" width="8" style="1141" customWidth="1"/>
    <col min="10500" max="10500" width="9.125" style="1141" bestFit="1" customWidth="1"/>
    <col min="10501" max="10501" width="9.25" style="1141" bestFit="1" customWidth="1"/>
    <col min="10502" max="10502" width="9.75" style="1141" bestFit="1" customWidth="1"/>
    <col min="10503" max="10504" width="9.125" style="1141" bestFit="1" customWidth="1"/>
    <col min="10505" max="10505" width="8.625" style="1141" bestFit="1" customWidth="1"/>
    <col min="10506" max="10752" width="15.125" style="1141"/>
    <col min="10753" max="10753" width="27.375" style="1141" customWidth="1"/>
    <col min="10754" max="10754" width="9.625" style="1141" bestFit="1" customWidth="1"/>
    <col min="10755" max="10755" width="8" style="1141" customWidth="1"/>
    <col min="10756" max="10756" width="9.125" style="1141" bestFit="1" customWidth="1"/>
    <col min="10757" max="10757" width="9.25" style="1141" bestFit="1" customWidth="1"/>
    <col min="10758" max="10758" width="9.75" style="1141" bestFit="1" customWidth="1"/>
    <col min="10759" max="10760" width="9.125" style="1141" bestFit="1" customWidth="1"/>
    <col min="10761" max="10761" width="8.625" style="1141" bestFit="1" customWidth="1"/>
    <col min="10762" max="11008" width="15.125" style="1141"/>
    <col min="11009" max="11009" width="27.375" style="1141" customWidth="1"/>
    <col min="11010" max="11010" width="9.625" style="1141" bestFit="1" customWidth="1"/>
    <col min="11011" max="11011" width="8" style="1141" customWidth="1"/>
    <col min="11012" max="11012" width="9.125" style="1141" bestFit="1" customWidth="1"/>
    <col min="11013" max="11013" width="9.25" style="1141" bestFit="1" customWidth="1"/>
    <col min="11014" max="11014" width="9.75" style="1141" bestFit="1" customWidth="1"/>
    <col min="11015" max="11016" width="9.125" style="1141" bestFit="1" customWidth="1"/>
    <col min="11017" max="11017" width="8.625" style="1141" bestFit="1" customWidth="1"/>
    <col min="11018" max="11264" width="15.125" style="1141"/>
    <col min="11265" max="11265" width="27.375" style="1141" customWidth="1"/>
    <col min="11266" max="11266" width="9.625" style="1141" bestFit="1" customWidth="1"/>
    <col min="11267" max="11267" width="8" style="1141" customWidth="1"/>
    <col min="11268" max="11268" width="9.125" style="1141" bestFit="1" customWidth="1"/>
    <col min="11269" max="11269" width="9.25" style="1141" bestFit="1" customWidth="1"/>
    <col min="11270" max="11270" width="9.75" style="1141" bestFit="1" customWidth="1"/>
    <col min="11271" max="11272" width="9.125" style="1141" bestFit="1" customWidth="1"/>
    <col min="11273" max="11273" width="8.625" style="1141" bestFit="1" customWidth="1"/>
    <col min="11274" max="11520" width="15.125" style="1141"/>
    <col min="11521" max="11521" width="27.375" style="1141" customWidth="1"/>
    <col min="11522" max="11522" width="9.625" style="1141" bestFit="1" customWidth="1"/>
    <col min="11523" max="11523" width="8" style="1141" customWidth="1"/>
    <col min="11524" max="11524" width="9.125" style="1141" bestFit="1" customWidth="1"/>
    <col min="11525" max="11525" width="9.25" style="1141" bestFit="1" customWidth="1"/>
    <col min="11526" max="11526" width="9.75" style="1141" bestFit="1" customWidth="1"/>
    <col min="11527" max="11528" width="9.125" style="1141" bestFit="1" customWidth="1"/>
    <col min="11529" max="11529" width="8.625" style="1141" bestFit="1" customWidth="1"/>
    <col min="11530" max="11776" width="15.125" style="1141"/>
    <col min="11777" max="11777" width="27.375" style="1141" customWidth="1"/>
    <col min="11778" max="11778" width="9.625" style="1141" bestFit="1" customWidth="1"/>
    <col min="11779" max="11779" width="8" style="1141" customWidth="1"/>
    <col min="11780" max="11780" width="9.125" style="1141" bestFit="1" customWidth="1"/>
    <col min="11781" max="11781" width="9.25" style="1141" bestFit="1" customWidth="1"/>
    <col min="11782" max="11782" width="9.75" style="1141" bestFit="1" customWidth="1"/>
    <col min="11783" max="11784" width="9.125" style="1141" bestFit="1" customWidth="1"/>
    <col min="11785" max="11785" width="8.625" style="1141" bestFit="1" customWidth="1"/>
    <col min="11786" max="12032" width="15.125" style="1141"/>
    <col min="12033" max="12033" width="27.375" style="1141" customWidth="1"/>
    <col min="12034" max="12034" width="9.625" style="1141" bestFit="1" customWidth="1"/>
    <col min="12035" max="12035" width="8" style="1141" customWidth="1"/>
    <col min="12036" max="12036" width="9.125" style="1141" bestFit="1" customWidth="1"/>
    <col min="12037" max="12037" width="9.25" style="1141" bestFit="1" customWidth="1"/>
    <col min="12038" max="12038" width="9.75" style="1141" bestFit="1" customWidth="1"/>
    <col min="12039" max="12040" width="9.125" style="1141" bestFit="1" customWidth="1"/>
    <col min="12041" max="12041" width="8.625" style="1141" bestFit="1" customWidth="1"/>
    <col min="12042" max="12288" width="15.125" style="1141"/>
    <col min="12289" max="12289" width="27.375" style="1141" customWidth="1"/>
    <col min="12290" max="12290" width="9.625" style="1141" bestFit="1" customWidth="1"/>
    <col min="12291" max="12291" width="8" style="1141" customWidth="1"/>
    <col min="12292" max="12292" width="9.125" style="1141" bestFit="1" customWidth="1"/>
    <col min="12293" max="12293" width="9.25" style="1141" bestFit="1" customWidth="1"/>
    <col min="12294" max="12294" width="9.75" style="1141" bestFit="1" customWidth="1"/>
    <col min="12295" max="12296" width="9.125" style="1141" bestFit="1" customWidth="1"/>
    <col min="12297" max="12297" width="8.625" style="1141" bestFit="1" customWidth="1"/>
    <col min="12298" max="12544" width="15.125" style="1141"/>
    <col min="12545" max="12545" width="27.375" style="1141" customWidth="1"/>
    <col min="12546" max="12546" width="9.625" style="1141" bestFit="1" customWidth="1"/>
    <col min="12547" max="12547" width="8" style="1141" customWidth="1"/>
    <col min="12548" max="12548" width="9.125" style="1141" bestFit="1" customWidth="1"/>
    <col min="12549" max="12549" width="9.25" style="1141" bestFit="1" customWidth="1"/>
    <col min="12550" max="12550" width="9.75" style="1141" bestFit="1" customWidth="1"/>
    <col min="12551" max="12552" width="9.125" style="1141" bestFit="1" customWidth="1"/>
    <col min="12553" max="12553" width="8.625" style="1141" bestFit="1" customWidth="1"/>
    <col min="12554" max="12800" width="15.125" style="1141"/>
    <col min="12801" max="12801" width="27.375" style="1141" customWidth="1"/>
    <col min="12802" max="12802" width="9.625" style="1141" bestFit="1" customWidth="1"/>
    <col min="12803" max="12803" width="8" style="1141" customWidth="1"/>
    <col min="12804" max="12804" width="9.125" style="1141" bestFit="1" customWidth="1"/>
    <col min="12805" max="12805" width="9.25" style="1141" bestFit="1" customWidth="1"/>
    <col min="12806" max="12806" width="9.75" style="1141" bestFit="1" customWidth="1"/>
    <col min="12807" max="12808" width="9.125" style="1141" bestFit="1" customWidth="1"/>
    <col min="12809" max="12809" width="8.625" style="1141" bestFit="1" customWidth="1"/>
    <col min="12810" max="13056" width="15.125" style="1141"/>
    <col min="13057" max="13057" width="27.375" style="1141" customWidth="1"/>
    <col min="13058" max="13058" width="9.625" style="1141" bestFit="1" customWidth="1"/>
    <col min="13059" max="13059" width="8" style="1141" customWidth="1"/>
    <col min="13060" max="13060" width="9.125" style="1141" bestFit="1" customWidth="1"/>
    <col min="13061" max="13061" width="9.25" style="1141" bestFit="1" customWidth="1"/>
    <col min="13062" max="13062" width="9.75" style="1141" bestFit="1" customWidth="1"/>
    <col min="13063" max="13064" width="9.125" style="1141" bestFit="1" customWidth="1"/>
    <col min="13065" max="13065" width="8.625" style="1141" bestFit="1" customWidth="1"/>
    <col min="13066" max="13312" width="15.125" style="1141"/>
    <col min="13313" max="13313" width="27.375" style="1141" customWidth="1"/>
    <col min="13314" max="13314" width="9.625" style="1141" bestFit="1" customWidth="1"/>
    <col min="13315" max="13315" width="8" style="1141" customWidth="1"/>
    <col min="13316" max="13316" width="9.125" style="1141" bestFit="1" customWidth="1"/>
    <col min="13317" max="13317" width="9.25" style="1141" bestFit="1" customWidth="1"/>
    <col min="13318" max="13318" width="9.75" style="1141" bestFit="1" customWidth="1"/>
    <col min="13319" max="13320" width="9.125" style="1141" bestFit="1" customWidth="1"/>
    <col min="13321" max="13321" width="8.625" style="1141" bestFit="1" customWidth="1"/>
    <col min="13322" max="13568" width="15.125" style="1141"/>
    <col min="13569" max="13569" width="27.375" style="1141" customWidth="1"/>
    <col min="13570" max="13570" width="9.625" style="1141" bestFit="1" customWidth="1"/>
    <col min="13571" max="13571" width="8" style="1141" customWidth="1"/>
    <col min="13572" max="13572" width="9.125" style="1141" bestFit="1" customWidth="1"/>
    <col min="13573" max="13573" width="9.25" style="1141" bestFit="1" customWidth="1"/>
    <col min="13574" max="13574" width="9.75" style="1141" bestFit="1" customWidth="1"/>
    <col min="13575" max="13576" width="9.125" style="1141" bestFit="1" customWidth="1"/>
    <col min="13577" max="13577" width="8.625" style="1141" bestFit="1" customWidth="1"/>
    <col min="13578" max="13824" width="15.125" style="1141"/>
    <col min="13825" max="13825" width="27.375" style="1141" customWidth="1"/>
    <col min="13826" max="13826" width="9.625" style="1141" bestFit="1" customWidth="1"/>
    <col min="13827" max="13827" width="8" style="1141" customWidth="1"/>
    <col min="13828" max="13828" width="9.125" style="1141" bestFit="1" customWidth="1"/>
    <col min="13829" max="13829" width="9.25" style="1141" bestFit="1" customWidth="1"/>
    <col min="13830" max="13830" width="9.75" style="1141" bestFit="1" customWidth="1"/>
    <col min="13831" max="13832" width="9.125" style="1141" bestFit="1" customWidth="1"/>
    <col min="13833" max="13833" width="8.625" style="1141" bestFit="1" customWidth="1"/>
    <col min="13834" max="14080" width="15.125" style="1141"/>
    <col min="14081" max="14081" width="27.375" style="1141" customWidth="1"/>
    <col min="14082" max="14082" width="9.625" style="1141" bestFit="1" customWidth="1"/>
    <col min="14083" max="14083" width="8" style="1141" customWidth="1"/>
    <col min="14084" max="14084" width="9.125" style="1141" bestFit="1" customWidth="1"/>
    <col min="14085" max="14085" width="9.25" style="1141" bestFit="1" customWidth="1"/>
    <col min="14086" max="14086" width="9.75" style="1141" bestFit="1" customWidth="1"/>
    <col min="14087" max="14088" width="9.125" style="1141" bestFit="1" customWidth="1"/>
    <col min="14089" max="14089" width="8.625" style="1141" bestFit="1" customWidth="1"/>
    <col min="14090" max="14336" width="15.125" style="1141"/>
    <col min="14337" max="14337" width="27.375" style="1141" customWidth="1"/>
    <col min="14338" max="14338" width="9.625" style="1141" bestFit="1" customWidth="1"/>
    <col min="14339" max="14339" width="8" style="1141" customWidth="1"/>
    <col min="14340" max="14340" width="9.125" style="1141" bestFit="1" customWidth="1"/>
    <col min="14341" max="14341" width="9.25" style="1141" bestFit="1" customWidth="1"/>
    <col min="14342" max="14342" width="9.75" style="1141" bestFit="1" customWidth="1"/>
    <col min="14343" max="14344" width="9.125" style="1141" bestFit="1" customWidth="1"/>
    <col min="14345" max="14345" width="8.625" style="1141" bestFit="1" customWidth="1"/>
    <col min="14346" max="14592" width="15.125" style="1141"/>
    <col min="14593" max="14593" width="27.375" style="1141" customWidth="1"/>
    <col min="14594" max="14594" width="9.625" style="1141" bestFit="1" customWidth="1"/>
    <col min="14595" max="14595" width="8" style="1141" customWidth="1"/>
    <col min="14596" max="14596" width="9.125" style="1141" bestFit="1" customWidth="1"/>
    <col min="14597" max="14597" width="9.25" style="1141" bestFit="1" customWidth="1"/>
    <col min="14598" max="14598" width="9.75" style="1141" bestFit="1" customWidth="1"/>
    <col min="14599" max="14600" width="9.125" style="1141" bestFit="1" customWidth="1"/>
    <col min="14601" max="14601" width="8.625" style="1141" bestFit="1" customWidth="1"/>
    <col min="14602" max="14848" width="15.125" style="1141"/>
    <col min="14849" max="14849" width="27.375" style="1141" customWidth="1"/>
    <col min="14850" max="14850" width="9.625" style="1141" bestFit="1" customWidth="1"/>
    <col min="14851" max="14851" width="8" style="1141" customWidth="1"/>
    <col min="14852" max="14852" width="9.125" style="1141" bestFit="1" customWidth="1"/>
    <col min="14853" max="14853" width="9.25" style="1141" bestFit="1" customWidth="1"/>
    <col min="14854" max="14854" width="9.75" style="1141" bestFit="1" customWidth="1"/>
    <col min="14855" max="14856" width="9.125" style="1141" bestFit="1" customWidth="1"/>
    <col min="14857" max="14857" width="8.625" style="1141" bestFit="1" customWidth="1"/>
    <col min="14858" max="15104" width="15.125" style="1141"/>
    <col min="15105" max="15105" width="27.375" style="1141" customWidth="1"/>
    <col min="15106" max="15106" width="9.625" style="1141" bestFit="1" customWidth="1"/>
    <col min="15107" max="15107" width="8" style="1141" customWidth="1"/>
    <col min="15108" max="15108" width="9.125" style="1141" bestFit="1" customWidth="1"/>
    <col min="15109" max="15109" width="9.25" style="1141" bestFit="1" customWidth="1"/>
    <col min="15110" max="15110" width="9.75" style="1141" bestFit="1" customWidth="1"/>
    <col min="15111" max="15112" width="9.125" style="1141" bestFit="1" customWidth="1"/>
    <col min="15113" max="15113" width="8.625" style="1141" bestFit="1" customWidth="1"/>
    <col min="15114" max="15360" width="15.125" style="1141"/>
    <col min="15361" max="15361" width="27.375" style="1141" customWidth="1"/>
    <col min="15362" max="15362" width="9.625" style="1141" bestFit="1" customWidth="1"/>
    <col min="15363" max="15363" width="8" style="1141" customWidth="1"/>
    <col min="15364" max="15364" width="9.125" style="1141" bestFit="1" customWidth="1"/>
    <col min="15365" max="15365" width="9.25" style="1141" bestFit="1" customWidth="1"/>
    <col min="15366" max="15366" width="9.75" style="1141" bestFit="1" customWidth="1"/>
    <col min="15367" max="15368" width="9.125" style="1141" bestFit="1" customWidth="1"/>
    <col min="15369" max="15369" width="8.625" style="1141" bestFit="1" customWidth="1"/>
    <col min="15370" max="15616" width="15.125" style="1141"/>
    <col min="15617" max="15617" width="27.375" style="1141" customWidth="1"/>
    <col min="15618" max="15618" width="9.625" style="1141" bestFit="1" customWidth="1"/>
    <col min="15619" max="15619" width="8" style="1141" customWidth="1"/>
    <col min="15620" max="15620" width="9.125" style="1141" bestFit="1" customWidth="1"/>
    <col min="15621" max="15621" width="9.25" style="1141" bestFit="1" customWidth="1"/>
    <col min="15622" max="15622" width="9.75" style="1141" bestFit="1" customWidth="1"/>
    <col min="15623" max="15624" width="9.125" style="1141" bestFit="1" customWidth="1"/>
    <col min="15625" max="15625" width="8.625" style="1141" bestFit="1" customWidth="1"/>
    <col min="15626" max="15872" width="15.125" style="1141"/>
    <col min="15873" max="15873" width="27.375" style="1141" customWidth="1"/>
    <col min="15874" max="15874" width="9.625" style="1141" bestFit="1" customWidth="1"/>
    <col min="15875" max="15875" width="8" style="1141" customWidth="1"/>
    <col min="15876" max="15876" width="9.125" style="1141" bestFit="1" customWidth="1"/>
    <col min="15877" max="15877" width="9.25" style="1141" bestFit="1" customWidth="1"/>
    <col min="15878" max="15878" width="9.75" style="1141" bestFit="1" customWidth="1"/>
    <col min="15879" max="15880" width="9.125" style="1141" bestFit="1" customWidth="1"/>
    <col min="15881" max="15881" width="8.625" style="1141" bestFit="1" customWidth="1"/>
    <col min="15882" max="16128" width="15.125" style="1141"/>
    <col min="16129" max="16129" width="27.375" style="1141" customWidth="1"/>
    <col min="16130" max="16130" width="9.625" style="1141" bestFit="1" customWidth="1"/>
    <col min="16131" max="16131" width="8" style="1141" customWidth="1"/>
    <col min="16132" max="16132" width="9.125" style="1141" bestFit="1" customWidth="1"/>
    <col min="16133" max="16133" width="9.25" style="1141" bestFit="1" customWidth="1"/>
    <col min="16134" max="16134" width="9.75" style="1141" bestFit="1" customWidth="1"/>
    <col min="16135" max="16136" width="9.125" style="1141" bestFit="1" customWidth="1"/>
    <col min="16137" max="16137" width="8.625" style="1141" bestFit="1" customWidth="1"/>
    <col min="16138" max="16384" width="15.125" style="1141"/>
  </cols>
  <sheetData>
    <row r="1" spans="1:10" ht="41.25" customHeight="1"/>
    <row r="2" spans="1:10" s="1163" customFormat="1">
      <c r="A2" s="2646" t="s">
        <v>297</v>
      </c>
      <c r="B2" s="2646"/>
      <c r="C2" s="2646"/>
      <c r="D2" s="2646"/>
      <c r="E2" s="2646"/>
      <c r="F2" s="2646"/>
      <c r="G2" s="2646"/>
      <c r="H2" s="2646"/>
      <c r="I2" s="2646"/>
    </row>
    <row r="3" spans="1:10" s="1143" customFormat="1" ht="15.75">
      <c r="A3" s="2647" t="s">
        <v>1171</v>
      </c>
      <c r="B3" s="2647"/>
      <c r="C3" s="2647"/>
      <c r="D3" s="2647"/>
      <c r="E3" s="2647"/>
      <c r="F3" s="2647"/>
      <c r="G3" s="2647"/>
      <c r="H3" s="2647"/>
      <c r="I3" s="2647"/>
      <c r="J3" s="1290"/>
    </row>
    <row r="4" spans="1:10" s="1143" customFormat="1">
      <c r="A4" s="1290"/>
      <c r="B4" s="1290"/>
      <c r="C4" s="2647" t="s">
        <v>1172</v>
      </c>
      <c r="D4" s="2647"/>
      <c r="E4" s="2647"/>
      <c r="F4" s="1290"/>
      <c r="G4" s="1290"/>
      <c r="H4" s="1290"/>
      <c r="I4" s="1290"/>
      <c r="J4" s="1290"/>
    </row>
    <row r="5" spans="1:10" s="1143" customFormat="1">
      <c r="A5" s="1289"/>
      <c r="B5" s="1289"/>
      <c r="C5" s="1289"/>
      <c r="D5" s="1289"/>
      <c r="E5" s="1289"/>
      <c r="F5" s="1289"/>
      <c r="G5" s="1289"/>
      <c r="I5" s="1289"/>
    </row>
    <row r="6" spans="1:10" s="1163" customFormat="1" ht="15.75">
      <c r="A6" s="1288"/>
      <c r="B6" s="2648" t="s">
        <v>592</v>
      </c>
      <c r="C6" s="2649"/>
      <c r="D6" s="2649"/>
      <c r="E6" s="2649"/>
      <c r="F6" s="2650"/>
      <c r="G6" s="1287"/>
      <c r="H6" s="2651" t="s">
        <v>77</v>
      </c>
      <c r="I6" s="2652"/>
    </row>
    <row r="7" spans="1:10" s="1163" customFormat="1">
      <c r="A7" s="1286" t="s">
        <v>485</v>
      </c>
      <c r="B7" s="1282" t="s">
        <v>1173</v>
      </c>
      <c r="C7" s="1243" t="s">
        <v>1174</v>
      </c>
      <c r="D7" s="1282" t="s">
        <v>1175</v>
      </c>
      <c r="E7" s="1243" t="s">
        <v>1176</v>
      </c>
      <c r="F7" s="1242" t="s">
        <v>465</v>
      </c>
      <c r="G7" s="1241" t="s">
        <v>188</v>
      </c>
      <c r="H7" s="1285" t="s">
        <v>464</v>
      </c>
      <c r="I7" s="1284"/>
    </row>
    <row r="8" spans="1:10" s="1163" customFormat="1" ht="13.5" thickBot="1">
      <c r="A8" s="1283" t="s">
        <v>310</v>
      </c>
      <c r="B8" s="1282" t="s">
        <v>311</v>
      </c>
      <c r="C8" s="1236" t="s">
        <v>484</v>
      </c>
      <c r="D8" s="1235" t="s">
        <v>311</v>
      </c>
      <c r="E8" s="1236" t="s">
        <v>483</v>
      </c>
      <c r="F8" s="1235" t="s">
        <v>790</v>
      </c>
      <c r="G8" s="1235" t="s">
        <v>790</v>
      </c>
      <c r="H8" s="1281" t="s">
        <v>315</v>
      </c>
      <c r="I8" s="1280" t="s">
        <v>316</v>
      </c>
    </row>
    <row r="9" spans="1:10" s="1163" customFormat="1" ht="13.5" thickTop="1">
      <c r="A9" s="1279" t="s">
        <v>2</v>
      </c>
      <c r="B9" s="1278"/>
      <c r="C9" s="1277">
        <f>C10+C11+C12</f>
        <v>44253</v>
      </c>
      <c r="D9" s="1277">
        <f>D10+D11+D12</f>
        <v>43373</v>
      </c>
      <c r="E9" s="1277">
        <f>E10+E11+E12</f>
        <v>40528</v>
      </c>
      <c r="F9" s="1277">
        <f>F10+F11+F12</f>
        <v>42717.999999999993</v>
      </c>
      <c r="G9" s="1276">
        <v>37162</v>
      </c>
      <c r="H9" s="1275">
        <f t="shared" ref="H9:H21" si="0">F9-G9</f>
        <v>5555.9999999999927</v>
      </c>
      <c r="I9" s="1274">
        <f>H9/G9</f>
        <v>0.14950756148754085</v>
      </c>
    </row>
    <row r="10" spans="1:10" s="1176" customFormat="1">
      <c r="A10" s="1273" t="s">
        <v>1159</v>
      </c>
      <c r="B10" s="1263"/>
      <c r="C10" s="1187">
        <v>37777</v>
      </c>
      <c r="D10" s="1181">
        <v>36956</v>
      </c>
      <c r="E10" s="1181">
        <v>34346</v>
      </c>
      <c r="F10" s="1187">
        <f>(C10+D10+E10)/3</f>
        <v>36359.666666666664</v>
      </c>
      <c r="G10" s="1272"/>
      <c r="H10" s="1199">
        <f t="shared" si="0"/>
        <v>36359.666666666664</v>
      </c>
      <c r="I10" s="1261"/>
    </row>
    <row r="11" spans="1:10" s="1176" customFormat="1">
      <c r="A11" s="1273" t="s">
        <v>479</v>
      </c>
      <c r="B11" s="1263"/>
      <c r="C11" s="1181">
        <v>3245</v>
      </c>
      <c r="D11" s="1181">
        <v>3169</v>
      </c>
      <c r="E11" s="1181">
        <v>3095</v>
      </c>
      <c r="F11" s="1187">
        <f>(C11+D11+E11)/3</f>
        <v>3169.6666666666665</v>
      </c>
      <c r="G11" s="1272"/>
      <c r="H11" s="1199">
        <f t="shared" si="0"/>
        <v>3169.6666666666665</v>
      </c>
      <c r="I11" s="1261"/>
    </row>
    <row r="12" spans="1:10" s="1176" customFormat="1">
      <c r="A12" s="1273" t="s">
        <v>478</v>
      </c>
      <c r="B12" s="1263"/>
      <c r="C12" s="1187">
        <v>3231</v>
      </c>
      <c r="D12" s="1181">
        <v>3248</v>
      </c>
      <c r="E12" s="1181">
        <v>3087</v>
      </c>
      <c r="F12" s="1187">
        <f>(C12+D12+E12)/3</f>
        <v>3188.6666666666665</v>
      </c>
      <c r="G12" s="1272"/>
      <c r="H12" s="1199">
        <f t="shared" si="0"/>
        <v>3188.6666666666665</v>
      </c>
      <c r="I12" s="1261"/>
    </row>
    <row r="13" spans="1:10" s="1163" customFormat="1">
      <c r="A13" s="1256" t="s">
        <v>590</v>
      </c>
      <c r="B13" s="1255"/>
      <c r="C13" s="1271">
        <f>C14+C15+C16</f>
        <v>26036.9</v>
      </c>
      <c r="D13" s="1255"/>
      <c r="E13" s="1270">
        <f>E14+E15+E16</f>
        <v>24531.1</v>
      </c>
      <c r="F13" s="1269">
        <f>F14+F15+F16</f>
        <v>25284</v>
      </c>
      <c r="G13" s="1268">
        <f>G14+G15+G16</f>
        <v>22228</v>
      </c>
      <c r="H13" s="1267">
        <f t="shared" si="0"/>
        <v>3056</v>
      </c>
      <c r="I13" s="1192">
        <f t="shared" ref="I13:I21" si="1">H13/G13</f>
        <v>0.13748425409393558</v>
      </c>
    </row>
    <row r="14" spans="1:10" s="1176" customFormat="1">
      <c r="A14" s="1264" t="s">
        <v>589</v>
      </c>
      <c r="B14" s="1263"/>
      <c r="C14" s="1181">
        <v>22419.5</v>
      </c>
      <c r="D14" s="1263"/>
      <c r="E14" s="1187">
        <v>21036.9</v>
      </c>
      <c r="F14" s="1202">
        <f>(C14+E14)/2</f>
        <v>21728.2</v>
      </c>
      <c r="G14" s="1265">
        <v>19250</v>
      </c>
      <c r="H14" s="1182">
        <f t="shared" si="0"/>
        <v>2478.2000000000007</v>
      </c>
      <c r="I14" s="1261">
        <f t="shared" si="1"/>
        <v>0.12873766233766237</v>
      </c>
    </row>
    <row r="15" spans="1:10" s="1176" customFormat="1">
      <c r="A15" s="1266" t="s">
        <v>474</v>
      </c>
      <c r="B15" s="1263"/>
      <c r="C15" s="1181">
        <v>1142.5</v>
      </c>
      <c r="D15" s="1263"/>
      <c r="E15" s="1187">
        <v>1103.0999999999999</v>
      </c>
      <c r="F15" s="1202">
        <f>(C15+E15)/2</f>
        <v>1122.8</v>
      </c>
      <c r="G15" s="1265">
        <v>865</v>
      </c>
      <c r="H15" s="1182">
        <f t="shared" si="0"/>
        <v>257.79999999999995</v>
      </c>
      <c r="I15" s="1261">
        <f t="shared" si="1"/>
        <v>0.29803468208092482</v>
      </c>
    </row>
    <row r="16" spans="1:10" s="1176" customFormat="1">
      <c r="A16" s="1264" t="s">
        <v>473</v>
      </c>
      <c r="B16" s="1263"/>
      <c r="C16" s="1181">
        <v>2474.9</v>
      </c>
      <c r="D16" s="1263"/>
      <c r="E16" s="1187">
        <v>2391.1</v>
      </c>
      <c r="F16" s="1202">
        <f>(C16+E16)/2</f>
        <v>2433</v>
      </c>
      <c r="G16" s="1262">
        <v>2113</v>
      </c>
      <c r="H16" s="1182">
        <f t="shared" si="0"/>
        <v>320</v>
      </c>
      <c r="I16" s="1261">
        <f t="shared" si="1"/>
        <v>0.15144344533838144</v>
      </c>
    </row>
    <row r="17" spans="1:10" s="1163" customFormat="1" ht="17.25" customHeight="1">
      <c r="A17" s="1258" t="s">
        <v>5</v>
      </c>
      <c r="B17" s="1255"/>
      <c r="C17" s="1231">
        <v>9911</v>
      </c>
      <c r="D17" s="1260">
        <v>9649.5</v>
      </c>
      <c r="E17" s="1260">
        <v>9182.2000000000007</v>
      </c>
      <c r="F17" s="1259">
        <f>SUM(C17+D17+E17)/3</f>
        <v>9580.9</v>
      </c>
      <c r="G17" s="1253">
        <v>8808</v>
      </c>
      <c r="H17" s="1193">
        <f t="shared" si="0"/>
        <v>772.89999999999964</v>
      </c>
      <c r="I17" s="1192">
        <f t="shared" si="1"/>
        <v>8.7749772933696596E-2</v>
      </c>
    </row>
    <row r="18" spans="1:10" s="1163" customFormat="1">
      <c r="A18" s="1258" t="s">
        <v>4</v>
      </c>
      <c r="B18" s="1255"/>
      <c r="C18" s="1231">
        <v>10329.700000000001</v>
      </c>
      <c r="D18" s="1254">
        <v>10042.6</v>
      </c>
      <c r="E18" s="1254">
        <v>9370.4</v>
      </c>
      <c r="F18" s="1259">
        <f>SUM(C18+D18+E18)/3</f>
        <v>9914.2333333333354</v>
      </c>
      <c r="G18" s="1253">
        <v>8734</v>
      </c>
      <c r="H18" s="1193">
        <f t="shared" si="0"/>
        <v>1180.2333333333354</v>
      </c>
      <c r="I18" s="1192">
        <f t="shared" si="1"/>
        <v>0.13513090603770728</v>
      </c>
    </row>
    <row r="19" spans="1:10" s="1163" customFormat="1">
      <c r="A19" s="1258" t="s">
        <v>6</v>
      </c>
      <c r="B19" s="1257">
        <v>8</v>
      </c>
      <c r="C19" s="1231">
        <f>4810.9+24</f>
        <v>4834.8999999999996</v>
      </c>
      <c r="D19" s="1254">
        <f>4509.5+13.98</f>
        <v>4523.4799999999996</v>
      </c>
      <c r="E19" s="1254">
        <f>4287.8+20</f>
        <v>4307.8</v>
      </c>
      <c r="F19" s="1254">
        <f>SUM(B19:E19)/3</f>
        <v>4558.0600000000004</v>
      </c>
      <c r="G19" s="1253">
        <v>4213</v>
      </c>
      <c r="H19" s="1193">
        <f t="shared" si="0"/>
        <v>345.0600000000004</v>
      </c>
      <c r="I19" s="1192">
        <f t="shared" si="1"/>
        <v>8.1903631616425443E-2</v>
      </c>
    </row>
    <row r="20" spans="1:10" s="1163" customFormat="1" ht="13.5" thickBot="1">
      <c r="A20" s="1256" t="s">
        <v>7</v>
      </c>
      <c r="B20" s="1255"/>
      <c r="C20" s="1231">
        <v>13188.9</v>
      </c>
      <c r="D20" s="1254">
        <v>12689.3</v>
      </c>
      <c r="E20" s="1254">
        <v>12061.3</v>
      </c>
      <c r="F20" s="1254">
        <f>SUM(C20+D20+E20)/3</f>
        <v>12646.5</v>
      </c>
      <c r="G20" s="1253">
        <v>11762</v>
      </c>
      <c r="H20" s="1193">
        <f t="shared" si="0"/>
        <v>884.5</v>
      </c>
      <c r="I20" s="1252">
        <f t="shared" si="1"/>
        <v>7.5199795953069207E-2</v>
      </c>
    </row>
    <row r="21" spans="1:10" s="1163" customFormat="1" ht="13.5" thickTop="1">
      <c r="A21" s="1251" t="s">
        <v>472</v>
      </c>
      <c r="B21" s="1250">
        <f>B19</f>
        <v>8</v>
      </c>
      <c r="C21" s="1250">
        <f>C9+C13+C17+C18+C19+C20</f>
        <v>108554.39999999998</v>
      </c>
      <c r="D21" s="1250">
        <f>D9+D13+D17+D18+D19+D20</f>
        <v>80277.88</v>
      </c>
      <c r="E21" s="1250">
        <f>E9+E13+E17+E18+E19+E20</f>
        <v>99980.800000000003</v>
      </c>
      <c r="F21" s="1250">
        <f>F9+F13+F17+F18+F19+F20</f>
        <v>104701.69333333333</v>
      </c>
      <c r="G21" s="1250">
        <f>G9+G13+G17+G18+G19+G20</f>
        <v>92907</v>
      </c>
      <c r="H21" s="1250">
        <f t="shared" si="0"/>
        <v>11794.693333333329</v>
      </c>
      <c r="I21" s="1249">
        <f t="shared" si="1"/>
        <v>0.12695161110931716</v>
      </c>
    </row>
    <row r="22" spans="1:10" s="1163" customFormat="1">
      <c r="A22" s="1248"/>
      <c r="B22" s="1247"/>
      <c r="C22" s="1247"/>
      <c r="D22" s="1247"/>
      <c r="E22" s="1247"/>
      <c r="F22" s="1247"/>
      <c r="G22" s="1247"/>
      <c r="H22" s="1247"/>
      <c r="I22" s="1246"/>
    </row>
    <row r="23" spans="1:10" s="1163" customFormat="1">
      <c r="A23" s="2637" t="s">
        <v>588</v>
      </c>
      <c r="B23" s="2640" t="s">
        <v>77</v>
      </c>
      <c r="C23" s="2641"/>
      <c r="D23" s="2641"/>
      <c r="E23" s="2641"/>
      <c r="F23" s="2642"/>
      <c r="G23" s="1245"/>
      <c r="H23" s="2643" t="s">
        <v>77</v>
      </c>
      <c r="I23" s="2644"/>
    </row>
    <row r="24" spans="1:10" s="1163" customFormat="1">
      <c r="A24" s="2638"/>
      <c r="B24" s="1244" t="s">
        <v>1173</v>
      </c>
      <c r="C24" s="1243" t="s">
        <v>1174</v>
      </c>
      <c r="D24" s="1244" t="s">
        <v>1175</v>
      </c>
      <c r="E24" s="1243" t="s">
        <v>1176</v>
      </c>
      <c r="F24" s="1242" t="s">
        <v>465</v>
      </c>
      <c r="G24" s="1241" t="s">
        <v>188</v>
      </c>
      <c r="H24" s="1240" t="s">
        <v>464</v>
      </c>
      <c r="I24" s="1239"/>
    </row>
    <row r="25" spans="1:10" s="1163" customFormat="1" ht="13.5" thickBot="1">
      <c r="A25" s="2639"/>
      <c r="B25" s="1237" t="s">
        <v>311</v>
      </c>
      <c r="C25" s="1238" t="s">
        <v>484</v>
      </c>
      <c r="D25" s="1237" t="s">
        <v>311</v>
      </c>
      <c r="E25" s="1236" t="s">
        <v>483</v>
      </c>
      <c r="F25" s="1235" t="s">
        <v>790</v>
      </c>
      <c r="G25" s="1235" t="s">
        <v>790</v>
      </c>
      <c r="H25" s="1234" t="s">
        <v>315</v>
      </c>
      <c r="I25" s="1233" t="s">
        <v>316</v>
      </c>
    </row>
    <row r="26" spans="1:10" s="1163" customFormat="1" ht="26.25" thickTop="1">
      <c r="A26" s="1232" t="s">
        <v>582</v>
      </c>
      <c r="B26" s="1231">
        <v>49019</v>
      </c>
      <c r="C26" s="1230">
        <v>127465</v>
      </c>
      <c r="D26" s="1206">
        <v>125594</v>
      </c>
      <c r="E26" s="1229">
        <v>120471</v>
      </c>
      <c r="F26" s="1228">
        <f>SUM(B26:E26)/3</f>
        <v>140849.66666666666</v>
      </c>
      <c r="G26" s="1227">
        <f>G42-G27-G30-G31-G37</f>
        <v>132367</v>
      </c>
      <c r="H26" s="1226">
        <f>F26-G26</f>
        <v>8482.666666666657</v>
      </c>
      <c r="I26" s="1192">
        <f>H26/G26</f>
        <v>6.40844520663508E-2</v>
      </c>
    </row>
    <row r="27" spans="1:10" s="1219" customFormat="1">
      <c r="A27" s="1225" t="s">
        <v>581</v>
      </c>
      <c r="B27" s="1208">
        <f>B28+B29</f>
        <v>5841</v>
      </c>
      <c r="C27" s="1224">
        <f>C28+C29</f>
        <v>9873</v>
      </c>
      <c r="D27" s="1224">
        <f>D28+D29</f>
        <v>9932</v>
      </c>
      <c r="E27" s="1223">
        <f>E28+E29</f>
        <v>9395</v>
      </c>
      <c r="F27" s="1204">
        <f>F28+F29</f>
        <v>11680.333333333334</v>
      </c>
      <c r="G27" s="1222">
        <v>9984</v>
      </c>
      <c r="H27" s="1221">
        <f>F27-G27</f>
        <v>1696.3333333333339</v>
      </c>
      <c r="I27" s="1192">
        <f>H27/G27</f>
        <v>0.16990518162393167</v>
      </c>
      <c r="J27" s="1220"/>
    </row>
    <row r="28" spans="1:10" s="1211" customFormat="1">
      <c r="A28" s="1217" t="s">
        <v>460</v>
      </c>
      <c r="B28" s="1216">
        <v>5806</v>
      </c>
      <c r="C28" s="1180">
        <v>9381</v>
      </c>
      <c r="D28" s="1216">
        <v>9411</v>
      </c>
      <c r="E28" s="1215">
        <v>8858</v>
      </c>
      <c r="F28" s="1199">
        <f>SUM(B28:E28)/3</f>
        <v>11152</v>
      </c>
      <c r="G28" s="1218"/>
      <c r="H28" s="1213"/>
      <c r="I28" s="1192"/>
      <c r="J28" s="1212"/>
    </row>
    <row r="29" spans="1:10" s="1211" customFormat="1">
      <c r="A29" s="1217" t="s">
        <v>459</v>
      </c>
      <c r="B29" s="1216">
        <v>35</v>
      </c>
      <c r="C29" s="1180">
        <v>492</v>
      </c>
      <c r="D29" s="1216">
        <v>521</v>
      </c>
      <c r="E29" s="1215">
        <v>537</v>
      </c>
      <c r="F29" s="1199">
        <f>SUM(B29:E29)/3</f>
        <v>528.33333333333337</v>
      </c>
      <c r="G29" s="1214"/>
      <c r="H29" s="1213"/>
      <c r="I29" s="1192"/>
      <c r="J29" s="1212"/>
    </row>
    <row r="30" spans="1:10" s="1163" customFormat="1" ht="15.75">
      <c r="A30" s="1210" t="s">
        <v>1154</v>
      </c>
      <c r="B30" s="1209">
        <v>92</v>
      </c>
      <c r="C30" s="1204">
        <v>355</v>
      </c>
      <c r="D30" s="1208">
        <v>346</v>
      </c>
      <c r="E30" s="1207">
        <v>337</v>
      </c>
      <c r="F30" s="1204">
        <f>SUM(B30:E30)/3</f>
        <v>376.66666666666669</v>
      </c>
      <c r="G30" s="1206">
        <v>220</v>
      </c>
      <c r="H30" s="1206">
        <f>F30-G30</f>
        <v>156.66666666666669</v>
      </c>
      <c r="I30" s="1192">
        <f>H30/G30</f>
        <v>0.71212121212121215</v>
      </c>
    </row>
    <row r="31" spans="1:10" s="1163" customFormat="1" ht="15.75">
      <c r="A31" s="1205" t="s">
        <v>1153</v>
      </c>
      <c r="B31" s="1195">
        <f>B32+B33+B34+B35+B36</f>
        <v>34.900000000000006</v>
      </c>
      <c r="C31" s="1195">
        <f>C32+C33+C34+C35+C36</f>
        <v>115.4</v>
      </c>
      <c r="D31" s="1195">
        <f>D32+D33+D34+D35+D36</f>
        <v>111.30000000000001</v>
      </c>
      <c r="E31" s="1195">
        <f>E32+E33+E34+E35+E36</f>
        <v>125.6</v>
      </c>
      <c r="F31" s="1195">
        <f>F32+F33+F34+F35+F36</f>
        <v>133.89999999999998</v>
      </c>
      <c r="G31" s="1204">
        <v>165</v>
      </c>
      <c r="H31" s="1193">
        <f>F31-G31</f>
        <v>-31.100000000000023</v>
      </c>
      <c r="I31" s="1192">
        <f>H31/G31</f>
        <v>-0.18848484848484862</v>
      </c>
    </row>
    <row r="32" spans="1:10" s="1176" customFormat="1">
      <c r="A32" s="1201" t="s">
        <v>455</v>
      </c>
      <c r="B32" s="1191">
        <v>11.8</v>
      </c>
      <c r="C32" s="1180">
        <v>39</v>
      </c>
      <c r="D32" s="1181">
        <v>39.4</v>
      </c>
      <c r="E32" s="1181">
        <v>38.200000000000003</v>
      </c>
      <c r="F32" s="1180">
        <f>(B32+C32+D32+E32)/3</f>
        <v>42.79999999999999</v>
      </c>
      <c r="G32" s="1203"/>
      <c r="H32" s="1198"/>
      <c r="I32" s="1197"/>
    </row>
    <row r="33" spans="1:10" s="1176" customFormat="1">
      <c r="A33" s="1201" t="s">
        <v>454</v>
      </c>
      <c r="B33" s="1191">
        <v>23.1</v>
      </c>
      <c r="C33" s="1180">
        <v>57</v>
      </c>
      <c r="D33" s="1187">
        <v>62</v>
      </c>
      <c r="E33" s="1187">
        <v>56</v>
      </c>
      <c r="F33" s="1180">
        <f>(B33+C33+D33+E33)/3</f>
        <v>66.033333333333331</v>
      </c>
      <c r="G33" s="1203"/>
      <c r="H33" s="1198"/>
      <c r="I33" s="1197"/>
    </row>
    <row r="34" spans="1:10" s="1176" customFormat="1">
      <c r="A34" s="1201" t="s">
        <v>453</v>
      </c>
      <c r="B34" s="1191"/>
      <c r="C34" s="1180">
        <v>9.5</v>
      </c>
      <c r="D34" s="1187">
        <v>9.9</v>
      </c>
      <c r="E34" s="1187">
        <v>12.3</v>
      </c>
      <c r="F34" s="1180">
        <f>(B34+C34+D34+E34)/3</f>
        <v>10.566666666666666</v>
      </c>
      <c r="G34" s="1203"/>
      <c r="H34" s="1198"/>
      <c r="I34" s="1197"/>
    </row>
    <row r="35" spans="1:10" s="1176" customFormat="1">
      <c r="A35" s="1201" t="s">
        <v>1152</v>
      </c>
      <c r="B35" s="1191"/>
      <c r="C35" s="1180">
        <v>9.9</v>
      </c>
      <c r="D35" s="1179"/>
      <c r="E35" s="1187">
        <v>19.100000000000001</v>
      </c>
      <c r="F35" s="1202">
        <f>(C35+E35)/2</f>
        <v>14.5</v>
      </c>
      <c r="G35" s="1199">
        <v>30</v>
      </c>
      <c r="H35" s="1198"/>
      <c r="I35" s="1197"/>
    </row>
    <row r="36" spans="1:10" s="1176" customFormat="1">
      <c r="A36" s="1201" t="s">
        <v>577</v>
      </c>
      <c r="B36" s="1191"/>
      <c r="C36" s="1200"/>
      <c r="D36" s="1179"/>
      <c r="E36" s="1179"/>
      <c r="F36" s="1200"/>
      <c r="G36" s="1199">
        <v>10</v>
      </c>
      <c r="H36" s="1198"/>
      <c r="I36" s="1197"/>
    </row>
    <row r="37" spans="1:10" s="1163" customFormat="1" ht="15.75">
      <c r="A37" s="1196" t="s">
        <v>1151</v>
      </c>
      <c r="B37" s="1195">
        <f>B38+B39+B40+B41</f>
        <v>143.22999999999999</v>
      </c>
      <c r="C37" s="1195">
        <f>C38+C39+C40+C41</f>
        <v>332.7</v>
      </c>
      <c r="D37" s="1195">
        <f>D38+D39+D40+D41</f>
        <v>305.89999999999998</v>
      </c>
      <c r="E37" s="1195">
        <f>E38+E39+E40+E41</f>
        <v>281.60000000000002</v>
      </c>
      <c r="F37" s="1195">
        <f>F38+F39+F40+F41</f>
        <v>354.47666666666669</v>
      </c>
      <c r="G37" s="1194">
        <v>310</v>
      </c>
      <c r="H37" s="1193">
        <f>F37-G37</f>
        <v>44.476666666666688</v>
      </c>
      <c r="I37" s="1192">
        <f>H37/G37</f>
        <v>0.14347311827956996</v>
      </c>
    </row>
    <row r="38" spans="1:10" s="1176" customFormat="1">
      <c r="A38" s="1189" t="s">
        <v>93</v>
      </c>
      <c r="B38" s="1191">
        <v>29.4</v>
      </c>
      <c r="C38" s="1182">
        <v>61</v>
      </c>
      <c r="D38" s="1181">
        <v>60.3</v>
      </c>
      <c r="E38" s="1181">
        <v>59.4</v>
      </c>
      <c r="F38" s="1180">
        <f>(B38+C38+D38+E38)/3</f>
        <v>70.033333333333331</v>
      </c>
      <c r="G38" s="1179"/>
      <c r="H38" s="1186"/>
      <c r="I38" s="1185"/>
    </row>
    <row r="39" spans="1:10" s="1176" customFormat="1">
      <c r="A39" s="1189" t="s">
        <v>96</v>
      </c>
      <c r="B39" s="1190"/>
      <c r="C39" s="1182">
        <v>6</v>
      </c>
      <c r="D39" s="1187">
        <v>5.7</v>
      </c>
      <c r="E39" s="1187">
        <v>7.9</v>
      </c>
      <c r="F39" s="1180">
        <f>(B39+C39+D39+E39)/3</f>
        <v>6.5333333333333341</v>
      </c>
      <c r="G39" s="1179"/>
      <c r="H39" s="1186"/>
      <c r="I39" s="1185"/>
    </row>
    <row r="40" spans="1:10" s="1176" customFormat="1">
      <c r="A40" s="1189" t="s">
        <v>98</v>
      </c>
      <c r="B40" s="1188">
        <v>113.83</v>
      </c>
      <c r="C40" s="1182">
        <v>236.7</v>
      </c>
      <c r="D40" s="1187">
        <v>214.9</v>
      </c>
      <c r="E40" s="1187">
        <v>191.3</v>
      </c>
      <c r="F40" s="1180">
        <f>(B40+C40+D40+E40)/3</f>
        <v>252.24333333333334</v>
      </c>
      <c r="G40" s="1179"/>
      <c r="H40" s="1186"/>
      <c r="I40" s="1185"/>
    </row>
    <row r="41" spans="1:10" s="1176" customFormat="1" ht="13.5" thickBot="1">
      <c r="A41" s="1184" t="s">
        <v>1150</v>
      </c>
      <c r="B41" s="1183"/>
      <c r="C41" s="1182">
        <v>29</v>
      </c>
      <c r="D41" s="1181">
        <v>25</v>
      </c>
      <c r="E41" s="1181">
        <v>23</v>
      </c>
      <c r="F41" s="1180">
        <f>(B41+C41+D41+E41)/3</f>
        <v>25.666666666666668</v>
      </c>
      <c r="G41" s="1179"/>
      <c r="H41" s="1178"/>
      <c r="I41" s="1177"/>
    </row>
    <row r="42" spans="1:10" s="1169" customFormat="1" ht="16.5" thickTop="1">
      <c r="A42" s="1175" t="s">
        <v>1149</v>
      </c>
      <c r="B42" s="1174">
        <f>B26+B27+B30+B31+B37</f>
        <v>55130.130000000005</v>
      </c>
      <c r="C42" s="1174">
        <f>C26+C27+C30+C31+C37</f>
        <v>138141.1</v>
      </c>
      <c r="D42" s="1174">
        <f>D26+D27+D30+D31+D37</f>
        <v>136289.19999999998</v>
      </c>
      <c r="E42" s="1174">
        <f>E26+E27+E30+E31+E37</f>
        <v>130610.20000000001</v>
      </c>
      <c r="F42" s="1174">
        <f>F26+F27+F30+F31+F37</f>
        <v>153395.04333333331</v>
      </c>
      <c r="G42" s="1173">
        <v>143046</v>
      </c>
      <c r="H42" s="1172">
        <f>F42-G42</f>
        <v>10349.043333333306</v>
      </c>
      <c r="I42" s="1171">
        <f>H42/G42</f>
        <v>7.2347659727173816E-2</v>
      </c>
      <c r="J42" s="1170"/>
    </row>
    <row r="43" spans="1:10" s="1163" customFormat="1" ht="13.5" thickBot="1">
      <c r="A43" s="1168"/>
      <c r="B43" s="1166"/>
      <c r="C43" s="1167"/>
      <c r="D43" s="1167"/>
      <c r="E43" s="1167"/>
      <c r="F43" s="1167"/>
      <c r="G43" s="1166"/>
      <c r="H43" s="1165"/>
      <c r="I43" s="1164"/>
    </row>
    <row r="44" spans="1:10" s="1143" customFormat="1" ht="15" thickTop="1" thickBot="1">
      <c r="A44" s="1162" t="s">
        <v>448</v>
      </c>
      <c r="B44" s="1161"/>
      <c r="C44" s="1161"/>
      <c r="D44" s="1160"/>
      <c r="E44" s="1160"/>
      <c r="F44" s="1159">
        <f>F42+F21</f>
        <v>258096.73666666663</v>
      </c>
      <c r="G44" s="1159">
        <f>G42+G21</f>
        <v>235953</v>
      </c>
      <c r="H44" s="1159">
        <f>H42+H21</f>
        <v>22143.736666666635</v>
      </c>
      <c r="I44" s="1158">
        <f>H44/G44</f>
        <v>9.3848082739641514E-2</v>
      </c>
    </row>
    <row r="45" spans="1:10" s="1143" customFormat="1" ht="14.25" thickTop="1">
      <c r="A45" s="1157"/>
      <c r="B45" s="1147"/>
      <c r="C45" s="1147"/>
      <c r="D45" s="1146"/>
      <c r="E45" s="1146"/>
      <c r="F45" s="1146"/>
      <c r="G45" s="1146"/>
      <c r="H45" s="1146"/>
      <c r="I45" s="1144"/>
    </row>
    <row r="46" spans="1:10" s="1149" customFormat="1">
      <c r="A46" s="1156" t="s">
        <v>574</v>
      </c>
      <c r="B46" s="1155">
        <v>0</v>
      </c>
      <c r="C46" s="1153">
        <v>13086</v>
      </c>
      <c r="D46" s="1153">
        <v>12851</v>
      </c>
      <c r="E46" s="1154">
        <v>12214</v>
      </c>
      <c r="F46" s="1153">
        <f>SUM(B46:E46)/3</f>
        <v>12717</v>
      </c>
      <c r="G46" s="1152">
        <v>11558</v>
      </c>
      <c r="H46" s="1151">
        <f>F46-G46</f>
        <v>1159</v>
      </c>
      <c r="I46" s="1150">
        <f>H46/G46</f>
        <v>0.1002768645094307</v>
      </c>
    </row>
    <row r="47" spans="1:10" s="1143" customFormat="1">
      <c r="A47" s="1148"/>
      <c r="B47" s="1147"/>
      <c r="C47" s="1147"/>
      <c r="D47" s="1146"/>
      <c r="E47" s="1146"/>
      <c r="F47" s="1146"/>
      <c r="G47" s="1146"/>
      <c r="H47" s="1145"/>
      <c r="I47" s="1144"/>
    </row>
    <row r="48" spans="1:10" ht="56.25" customHeight="1">
      <c r="A48" s="2645" t="s">
        <v>447</v>
      </c>
      <c r="B48" s="2645"/>
      <c r="C48" s="2645"/>
      <c r="D48" s="2645"/>
      <c r="E48" s="2645"/>
      <c r="F48" s="2645"/>
      <c r="G48" s="2645"/>
      <c r="H48" s="2645"/>
      <c r="I48" s="2645"/>
    </row>
    <row r="49" spans="1:9" ht="27.75" customHeight="1">
      <c r="A49" s="2653" t="s">
        <v>1148</v>
      </c>
      <c r="B49" s="2653"/>
      <c r="C49" s="2653"/>
      <c r="D49" s="2653"/>
      <c r="E49" s="2653"/>
      <c r="F49" s="2653"/>
      <c r="G49" s="2653"/>
      <c r="H49" s="2653"/>
      <c r="I49" s="2653"/>
    </row>
    <row r="50" spans="1:9" ht="27.75" customHeight="1">
      <c r="A50" s="2653" t="s">
        <v>1147</v>
      </c>
      <c r="B50" s="2653"/>
      <c r="C50" s="2653"/>
      <c r="D50" s="2653"/>
      <c r="E50" s="2653"/>
      <c r="F50" s="2653"/>
      <c r="G50" s="2653"/>
      <c r="H50" s="2653"/>
      <c r="I50" s="2653"/>
    </row>
    <row r="51" spans="1:9" ht="15.75">
      <c r="A51" s="2654" t="s">
        <v>1146</v>
      </c>
      <c r="B51" s="2654"/>
      <c r="C51" s="2654"/>
      <c r="D51" s="2654"/>
      <c r="E51" s="2654"/>
      <c r="F51" s="2654"/>
      <c r="G51" s="2654"/>
      <c r="H51" s="2654"/>
      <c r="I51" s="2654"/>
    </row>
    <row r="52" spans="1:9" ht="15.75">
      <c r="A52" s="2655"/>
      <c r="B52" s="2654"/>
      <c r="C52" s="2654"/>
      <c r="D52" s="2654"/>
      <c r="E52" s="2654"/>
      <c r="F52" s="2654"/>
      <c r="G52" s="2654"/>
      <c r="H52" s="2654"/>
      <c r="I52" s="2654"/>
    </row>
    <row r="53" spans="1:9" s="1142" customFormat="1">
      <c r="A53" s="2655"/>
      <c r="B53" s="2655"/>
      <c r="C53" s="2655"/>
      <c r="D53" s="2655"/>
      <c r="E53" s="2655"/>
      <c r="F53" s="2655"/>
      <c r="G53" s="2655"/>
      <c r="H53" s="2655"/>
      <c r="I53" s="2655"/>
    </row>
  </sheetData>
  <mergeCells count="14">
    <mergeCell ref="A49:I49"/>
    <mergeCell ref="A50:I50"/>
    <mergeCell ref="A51:I51"/>
    <mergeCell ref="A52:I52"/>
    <mergeCell ref="A53:I53"/>
    <mergeCell ref="A23:A25"/>
    <mergeCell ref="B23:F23"/>
    <mergeCell ref="H23:I23"/>
    <mergeCell ref="A48:I48"/>
    <mergeCell ref="A2:I2"/>
    <mergeCell ref="A3:I3"/>
    <mergeCell ref="C4:E4"/>
    <mergeCell ref="B6:F6"/>
    <mergeCell ref="H6:I6"/>
  </mergeCells>
  <pageMargins left="0.5" right="0.5" top="0.5" bottom="0.5" header="0.3" footer="0.3"/>
  <pageSetup scale="82" orientation="portrait" r:id="rId1"/>
  <colBreaks count="1" manualBreakCount="1">
    <brk id="9"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A1:I52"/>
  <sheetViews>
    <sheetView workbookViewId="0"/>
  </sheetViews>
  <sheetFormatPr defaultColWidth="15.125" defaultRowHeight="12.75"/>
  <cols>
    <col min="1" max="1" width="27.375" style="1292" customWidth="1"/>
    <col min="2" max="2" width="9.625" style="1292" bestFit="1" customWidth="1"/>
    <col min="3" max="3" width="8" style="1292" customWidth="1"/>
    <col min="4" max="4" width="9.125" style="1292" bestFit="1" customWidth="1"/>
    <col min="5" max="5" width="9.25" style="1292" bestFit="1" customWidth="1"/>
    <col min="6" max="6" width="9.75" style="1292" bestFit="1" customWidth="1"/>
    <col min="7" max="8" width="9.125" style="1292" bestFit="1" customWidth="1"/>
    <col min="9" max="9" width="8.625" style="1292" bestFit="1" customWidth="1"/>
    <col min="10" max="16384" width="15.125" style="1292"/>
  </cols>
  <sheetData>
    <row r="1" spans="1:9" ht="41.45" customHeight="1"/>
    <row r="2" spans="1:9" s="1293" customFormat="1">
      <c r="A2" s="2667" t="s">
        <v>297</v>
      </c>
      <c r="B2" s="2667"/>
      <c r="C2" s="2667"/>
      <c r="D2" s="2667"/>
      <c r="E2" s="2667"/>
      <c r="F2" s="2667"/>
      <c r="G2" s="2667"/>
      <c r="H2" s="2667"/>
      <c r="I2" s="2667"/>
    </row>
    <row r="3" spans="1:9" s="1295" customFormat="1" ht="15.75">
      <c r="A3" s="2668" t="s">
        <v>1171</v>
      </c>
      <c r="B3" s="2668"/>
      <c r="C3" s="2668"/>
      <c r="D3" s="2668"/>
      <c r="E3" s="2668"/>
      <c r="F3" s="2668"/>
      <c r="G3" s="2668"/>
      <c r="H3" s="2668"/>
      <c r="I3" s="2668"/>
    </row>
    <row r="4" spans="1:9" s="1295" customFormat="1">
      <c r="A4" s="1294"/>
      <c r="B4" s="1294"/>
      <c r="C4" s="2668" t="s">
        <v>1560</v>
      </c>
      <c r="D4" s="2668"/>
      <c r="E4" s="2668"/>
      <c r="F4" s="1294"/>
      <c r="G4" s="1294"/>
      <c r="H4" s="1294"/>
      <c r="I4" s="1294"/>
    </row>
    <row r="5" spans="1:9" s="1295" customFormat="1">
      <c r="A5" s="1296"/>
      <c r="B5" s="1296"/>
      <c r="C5" s="1296"/>
      <c r="D5" s="1296"/>
      <c r="E5" s="1296"/>
      <c r="F5" s="1296"/>
      <c r="G5" s="1296"/>
      <c r="I5" s="1296"/>
    </row>
    <row r="6" spans="1:9" s="1293" customFormat="1" ht="15.75">
      <c r="A6" s="1297"/>
      <c r="B6" s="2669" t="s">
        <v>592</v>
      </c>
      <c r="C6" s="2670"/>
      <c r="D6" s="2670"/>
      <c r="E6" s="2670"/>
      <c r="F6" s="2671"/>
      <c r="G6" s="1298"/>
      <c r="H6" s="2672" t="s">
        <v>77</v>
      </c>
      <c r="I6" s="2673"/>
    </row>
    <row r="7" spans="1:9" s="1293" customFormat="1">
      <c r="A7" s="1299" t="s">
        <v>485</v>
      </c>
      <c r="B7" s="1300" t="s">
        <v>1561</v>
      </c>
      <c r="C7" s="1301" t="s">
        <v>1562</v>
      </c>
      <c r="D7" s="1302" t="s">
        <v>1563</v>
      </c>
      <c r="E7" s="1301" t="s">
        <v>1564</v>
      </c>
      <c r="F7" s="1303" t="s">
        <v>465</v>
      </c>
      <c r="G7" s="1304" t="s">
        <v>188</v>
      </c>
      <c r="H7" s="1305" t="s">
        <v>464</v>
      </c>
      <c r="I7" s="1306"/>
    </row>
    <row r="8" spans="1:9" s="1293" customFormat="1" ht="13.5" thickBot="1">
      <c r="A8" s="1307" t="s">
        <v>310</v>
      </c>
      <c r="B8" s="1308" t="s">
        <v>311</v>
      </c>
      <c r="C8" s="1309" t="s">
        <v>484</v>
      </c>
      <c r="D8" s="1310" t="s">
        <v>311</v>
      </c>
      <c r="E8" s="1309" t="s">
        <v>483</v>
      </c>
      <c r="F8" s="1310" t="s">
        <v>789</v>
      </c>
      <c r="G8" s="1310" t="s">
        <v>789</v>
      </c>
      <c r="H8" s="1311" t="s">
        <v>315</v>
      </c>
      <c r="I8" s="1312" t="s">
        <v>316</v>
      </c>
    </row>
    <row r="9" spans="1:9" s="1293" customFormat="1" ht="13.5" thickTop="1">
      <c r="A9" s="1313" t="s">
        <v>2</v>
      </c>
      <c r="B9" s="1314" t="s">
        <v>451</v>
      </c>
      <c r="C9" s="1315">
        <v>44810.7</v>
      </c>
      <c r="D9" s="1315">
        <v>44182.5</v>
      </c>
      <c r="E9" s="1315">
        <v>41467.200000000004</v>
      </c>
      <c r="F9" s="1315">
        <v>43486.8</v>
      </c>
      <c r="G9" s="1316">
        <v>37162</v>
      </c>
      <c r="H9" s="1317">
        <v>6324.8000000000029</v>
      </c>
      <c r="I9" s="1318">
        <v>0.1701953608524838</v>
      </c>
    </row>
    <row r="10" spans="1:9" s="1324" customFormat="1">
      <c r="A10" s="1319" t="s">
        <v>1159</v>
      </c>
      <c r="B10" s="1314" t="s">
        <v>451</v>
      </c>
      <c r="C10" s="1320">
        <v>37763.699999999997</v>
      </c>
      <c r="D10" s="1320">
        <v>37102.6</v>
      </c>
      <c r="E10" s="1320">
        <v>34717.800000000003</v>
      </c>
      <c r="F10" s="1320">
        <v>36528.033333333333</v>
      </c>
      <c r="G10" s="1321">
        <v>32703</v>
      </c>
      <c r="H10" s="1322">
        <v>3825.0333333333328</v>
      </c>
      <c r="I10" s="1323"/>
    </row>
    <row r="11" spans="1:9" s="1324" customFormat="1">
      <c r="A11" s="1319" t="s">
        <v>479</v>
      </c>
      <c r="B11" s="1314" t="s">
        <v>451</v>
      </c>
      <c r="C11" s="1320">
        <v>3576.1</v>
      </c>
      <c r="D11" s="1320">
        <v>3492.3</v>
      </c>
      <c r="E11" s="1320">
        <v>3378.5</v>
      </c>
      <c r="F11" s="1320">
        <v>3482.2999999999997</v>
      </c>
      <c r="G11" s="1321">
        <v>2045</v>
      </c>
      <c r="H11" s="1322">
        <v>1437.2999999999997</v>
      </c>
      <c r="I11" s="1323"/>
    </row>
    <row r="12" spans="1:9" s="1324" customFormat="1">
      <c r="A12" s="1319" t="s">
        <v>478</v>
      </c>
      <c r="B12" s="1314" t="s">
        <v>451</v>
      </c>
      <c r="C12" s="1320">
        <v>3470.9</v>
      </c>
      <c r="D12" s="1320">
        <v>3587.6</v>
      </c>
      <c r="E12" s="1320">
        <v>3370.9</v>
      </c>
      <c r="F12" s="1320">
        <v>3476.4666666666667</v>
      </c>
      <c r="G12" s="1321">
        <v>2414</v>
      </c>
      <c r="H12" s="1322">
        <v>1062.4666666666667</v>
      </c>
      <c r="I12" s="1323"/>
    </row>
    <row r="13" spans="1:9" s="1293" customFormat="1">
      <c r="A13" s="1325" t="s">
        <v>590</v>
      </c>
      <c r="B13" s="1314" t="s">
        <v>451</v>
      </c>
      <c r="C13" s="1326">
        <v>26197.8</v>
      </c>
      <c r="D13" s="1327"/>
      <c r="E13" s="1328">
        <v>24181.1</v>
      </c>
      <c r="F13" s="1329">
        <v>25189.449999999997</v>
      </c>
      <c r="G13" s="1330">
        <v>22228</v>
      </c>
      <c r="H13" s="1331">
        <v>2961.4499999999971</v>
      </c>
      <c r="I13" s="1332">
        <v>0.13323061004138911</v>
      </c>
    </row>
    <row r="14" spans="1:9" s="1324" customFormat="1">
      <c r="A14" s="1333" t="s">
        <v>589</v>
      </c>
      <c r="B14" s="1314" t="s">
        <v>451</v>
      </c>
      <c r="C14" s="1334">
        <v>22751.3</v>
      </c>
      <c r="D14" s="1314"/>
      <c r="E14" s="1334">
        <v>20921.3</v>
      </c>
      <c r="F14" s="1335">
        <v>21836.3</v>
      </c>
      <c r="G14" s="1336">
        <v>19250</v>
      </c>
      <c r="H14" s="1337">
        <v>2586.2999999999993</v>
      </c>
      <c r="I14" s="1323">
        <v>0.13435324675324672</v>
      </c>
    </row>
    <row r="15" spans="1:9" s="1324" customFormat="1">
      <c r="A15" s="1338" t="s">
        <v>474</v>
      </c>
      <c r="B15" s="1314" t="s">
        <v>451</v>
      </c>
      <c r="C15" s="1334">
        <v>1089.0999999999999</v>
      </c>
      <c r="D15" s="1314"/>
      <c r="E15" s="1334">
        <v>1027.5</v>
      </c>
      <c r="F15" s="1335">
        <v>1058.3</v>
      </c>
      <c r="G15" s="1336">
        <v>865</v>
      </c>
      <c r="H15" s="1337">
        <v>193.29999999999995</v>
      </c>
      <c r="I15" s="1323">
        <v>0.22346820809248549</v>
      </c>
    </row>
    <row r="16" spans="1:9" s="1324" customFormat="1">
      <c r="A16" s="1333" t="s">
        <v>473</v>
      </c>
      <c r="B16" s="1314" t="s">
        <v>451</v>
      </c>
      <c r="C16" s="1334">
        <v>2357.4</v>
      </c>
      <c r="D16" s="1314"/>
      <c r="E16" s="1334">
        <v>2232.3000000000002</v>
      </c>
      <c r="F16" s="1335">
        <v>2294.8500000000004</v>
      </c>
      <c r="G16" s="1339">
        <v>2113</v>
      </c>
      <c r="H16" s="1337">
        <v>181.85000000000036</v>
      </c>
      <c r="I16" s="1323">
        <v>8.6062470421202256E-2</v>
      </c>
    </row>
    <row r="17" spans="1:9" s="1293" customFormat="1" ht="17.25" customHeight="1">
      <c r="A17" s="1340" t="s">
        <v>5</v>
      </c>
      <c r="B17" s="1314" t="s">
        <v>451</v>
      </c>
      <c r="C17" s="1341">
        <v>9718.2999999999993</v>
      </c>
      <c r="D17" s="1341">
        <v>9402</v>
      </c>
      <c r="E17" s="1341">
        <v>9006.6</v>
      </c>
      <c r="F17" s="1342">
        <v>9375.6333333333332</v>
      </c>
      <c r="G17" s="1343">
        <v>8808</v>
      </c>
      <c r="H17" s="1429">
        <v>567.63333333333321</v>
      </c>
      <c r="I17" s="1430">
        <v>6.4445201332122296E-2</v>
      </c>
    </row>
    <row r="18" spans="1:9" s="1293" customFormat="1">
      <c r="A18" s="1340" t="s">
        <v>4</v>
      </c>
      <c r="B18" s="1314" t="s">
        <v>451</v>
      </c>
      <c r="C18" s="1341">
        <v>10578.4</v>
      </c>
      <c r="D18" s="1341">
        <v>10331.5</v>
      </c>
      <c r="E18" s="1341">
        <v>9598.6</v>
      </c>
      <c r="F18" s="1342">
        <v>10169.5</v>
      </c>
      <c r="G18" s="1343">
        <v>8734</v>
      </c>
      <c r="H18" s="1344">
        <v>1435.5</v>
      </c>
      <c r="I18" s="1332">
        <v>0.16435768261964737</v>
      </c>
    </row>
    <row r="19" spans="1:9" s="1293" customFormat="1">
      <c r="A19" s="1340" t="s">
        <v>6</v>
      </c>
      <c r="B19" s="1345">
        <v>0</v>
      </c>
      <c r="C19" s="1341">
        <v>4561.0999999999995</v>
      </c>
      <c r="D19" s="1341">
        <v>4399.5999999999995</v>
      </c>
      <c r="E19" s="1341">
        <v>4102.63</v>
      </c>
      <c r="F19" s="1346">
        <v>4354.4433333333327</v>
      </c>
      <c r="G19" s="1343">
        <v>4213</v>
      </c>
      <c r="H19" s="1344">
        <v>141.4433333333327</v>
      </c>
      <c r="I19" s="1332">
        <v>3.3573067489516425E-2</v>
      </c>
    </row>
    <row r="20" spans="1:9" s="1293" customFormat="1" ht="13.5" thickBot="1">
      <c r="A20" s="1325" t="s">
        <v>7</v>
      </c>
      <c r="B20" s="1314" t="s">
        <v>451</v>
      </c>
      <c r="C20" s="1341">
        <v>13154.4</v>
      </c>
      <c r="D20" s="1341">
        <v>12544.9</v>
      </c>
      <c r="E20" s="1341">
        <v>11847.7</v>
      </c>
      <c r="F20" s="1346">
        <v>12515.666666666666</v>
      </c>
      <c r="G20" s="1343">
        <v>11762</v>
      </c>
      <c r="H20" s="1344">
        <v>753.66666666666606</v>
      </c>
      <c r="I20" s="1347">
        <v>6.4076404239641727E-2</v>
      </c>
    </row>
    <row r="21" spans="1:9" s="1293" customFormat="1" ht="13.5" thickTop="1">
      <c r="A21" s="1348" t="s">
        <v>472</v>
      </c>
      <c r="B21" s="1349">
        <v>0</v>
      </c>
      <c r="C21" s="1349">
        <v>109020.7</v>
      </c>
      <c r="D21" s="1349">
        <v>80998.7</v>
      </c>
      <c r="E21" s="1349">
        <v>100128.23000000001</v>
      </c>
      <c r="F21" s="1349">
        <v>105091.49333333333</v>
      </c>
      <c r="G21" s="1349">
        <v>92907</v>
      </c>
      <c r="H21" s="1349">
        <v>12184.493333333332</v>
      </c>
      <c r="I21" s="1350">
        <v>0.13114720455222245</v>
      </c>
    </row>
    <row r="22" spans="1:9" s="1293" customFormat="1">
      <c r="A22" s="1351"/>
      <c r="B22" s="1352"/>
      <c r="C22" s="1352"/>
      <c r="D22" s="1352"/>
      <c r="E22" s="1352"/>
      <c r="F22" s="1352"/>
      <c r="G22" s="1352"/>
      <c r="H22" s="1352"/>
      <c r="I22" s="1353"/>
    </row>
    <row r="23" spans="1:9" s="1293" customFormat="1">
      <c r="A23" s="2658" t="s">
        <v>588</v>
      </c>
      <c r="B23" s="2661" t="s">
        <v>77</v>
      </c>
      <c r="C23" s="2662"/>
      <c r="D23" s="2662"/>
      <c r="E23" s="2662"/>
      <c r="F23" s="2663"/>
      <c r="G23" s="1354"/>
      <c r="H23" s="2664" t="s">
        <v>77</v>
      </c>
      <c r="I23" s="2665"/>
    </row>
    <row r="24" spans="1:9" s="1293" customFormat="1">
      <c r="A24" s="2659"/>
      <c r="B24" s="1302" t="s">
        <v>1561</v>
      </c>
      <c r="C24" s="1301" t="s">
        <v>1562</v>
      </c>
      <c r="D24" s="1302" t="s">
        <v>1563</v>
      </c>
      <c r="E24" s="1301" t="s">
        <v>1564</v>
      </c>
      <c r="F24" s="1303" t="s">
        <v>465</v>
      </c>
      <c r="G24" s="1304" t="s">
        <v>188</v>
      </c>
      <c r="H24" s="1305" t="s">
        <v>464</v>
      </c>
      <c r="I24" s="1306"/>
    </row>
    <row r="25" spans="1:9" s="1293" customFormat="1" ht="13.5" thickBot="1">
      <c r="A25" s="2660"/>
      <c r="B25" s="1355" t="s">
        <v>311</v>
      </c>
      <c r="C25" s="1356" t="s">
        <v>484</v>
      </c>
      <c r="D25" s="1357" t="s">
        <v>311</v>
      </c>
      <c r="E25" s="1309" t="s">
        <v>483</v>
      </c>
      <c r="F25" s="1310" t="s">
        <v>789</v>
      </c>
      <c r="G25" s="1310" t="s">
        <v>789</v>
      </c>
      <c r="H25" s="1311" t="s">
        <v>315</v>
      </c>
      <c r="I25" s="1312" t="s">
        <v>316</v>
      </c>
    </row>
    <row r="26" spans="1:9" s="1293" customFormat="1" ht="26.25" thickTop="1">
      <c r="A26" s="1358" t="s">
        <v>582</v>
      </c>
      <c r="B26" s="1341">
        <v>46871</v>
      </c>
      <c r="C26" s="1341">
        <v>124268</v>
      </c>
      <c r="D26" s="1341">
        <v>122088</v>
      </c>
      <c r="E26" s="1359">
        <v>116921</v>
      </c>
      <c r="F26" s="1360">
        <v>136716</v>
      </c>
      <c r="G26" s="1361">
        <v>132342</v>
      </c>
      <c r="H26" s="1362">
        <v>4374</v>
      </c>
      <c r="I26" s="1332">
        <v>3.3050732193861357E-2</v>
      </c>
    </row>
    <row r="27" spans="1:9" s="1370" customFormat="1">
      <c r="A27" s="1363" t="s">
        <v>581</v>
      </c>
      <c r="B27" s="1364">
        <v>4493</v>
      </c>
      <c r="C27" s="1365">
        <v>8288</v>
      </c>
      <c r="D27" s="1365">
        <v>8196</v>
      </c>
      <c r="E27" s="1366">
        <v>8529</v>
      </c>
      <c r="F27" s="1367">
        <v>9835.3333333333321</v>
      </c>
      <c r="G27" s="1368">
        <v>6200</v>
      </c>
      <c r="H27" s="1369">
        <v>3635.3333333333321</v>
      </c>
      <c r="I27" s="1332">
        <v>0.58634408602150523</v>
      </c>
    </row>
    <row r="28" spans="1:9" s="1376" customFormat="1">
      <c r="A28" s="1371" t="s">
        <v>460</v>
      </c>
      <c r="B28" s="1372">
        <v>4433</v>
      </c>
      <c r="C28" s="1372">
        <v>7904</v>
      </c>
      <c r="D28" s="1372">
        <v>7866</v>
      </c>
      <c r="E28" s="1373">
        <v>7960</v>
      </c>
      <c r="F28" s="1322">
        <v>9387.6666666666661</v>
      </c>
      <c r="G28" s="1374"/>
      <c r="H28" s="1375"/>
      <c r="I28" s="1332"/>
    </row>
    <row r="29" spans="1:9" s="1376" customFormat="1">
      <c r="A29" s="1371" t="s">
        <v>459</v>
      </c>
      <c r="B29" s="1372">
        <v>60</v>
      </c>
      <c r="C29" s="1372">
        <v>384</v>
      </c>
      <c r="D29" s="1372">
        <v>330</v>
      </c>
      <c r="E29" s="1373">
        <v>569</v>
      </c>
      <c r="F29" s="1322">
        <v>447.66666666666669</v>
      </c>
      <c r="G29" s="1377"/>
      <c r="H29" s="1375"/>
      <c r="I29" s="1332"/>
    </row>
    <row r="30" spans="1:9" s="1293" customFormat="1" ht="15.75">
      <c r="A30" s="1378" t="s">
        <v>1154</v>
      </c>
      <c r="B30" s="1379">
        <v>118</v>
      </c>
      <c r="C30" s="1379">
        <v>388</v>
      </c>
      <c r="D30" s="1379">
        <v>398</v>
      </c>
      <c r="E30" s="1380">
        <v>412</v>
      </c>
      <c r="F30" s="1367">
        <v>438.66666666666669</v>
      </c>
      <c r="G30" s="1381">
        <v>220</v>
      </c>
      <c r="H30" s="1381">
        <v>218.66666666666669</v>
      </c>
      <c r="I30" s="1332">
        <v>0.99393939393939401</v>
      </c>
    </row>
    <row r="31" spans="1:9" s="1293" customFormat="1" ht="15.75">
      <c r="A31" s="1382" t="s">
        <v>1153</v>
      </c>
      <c r="B31" s="1345">
        <v>0</v>
      </c>
      <c r="C31" s="1345">
        <v>136</v>
      </c>
      <c r="D31" s="1345">
        <v>102</v>
      </c>
      <c r="E31" s="1383">
        <v>166.2</v>
      </c>
      <c r="F31" s="1345">
        <v>147.05000000000001</v>
      </c>
      <c r="G31" s="1367">
        <v>165</v>
      </c>
      <c r="H31" s="1344">
        <v>-17.949999999999989</v>
      </c>
      <c r="I31" s="1332">
        <v>-0.10878787878787873</v>
      </c>
    </row>
    <row r="32" spans="1:9" s="1324" customFormat="1">
      <c r="A32" s="1384" t="s">
        <v>455</v>
      </c>
      <c r="B32" s="1385">
        <v>0</v>
      </c>
      <c r="C32" s="1385">
        <v>39.299999999999997</v>
      </c>
      <c r="D32" s="1385">
        <v>51.6</v>
      </c>
      <c r="E32" s="1385">
        <v>47.2</v>
      </c>
      <c r="F32" s="1386">
        <v>46.033333333333339</v>
      </c>
      <c r="G32" s="1387"/>
      <c r="H32" s="1388"/>
      <c r="I32" s="1389"/>
    </row>
    <row r="33" spans="1:9" s="1324" customFormat="1">
      <c r="A33" s="1384" t="s">
        <v>454</v>
      </c>
      <c r="B33" s="1385">
        <v>0</v>
      </c>
      <c r="C33" s="1385">
        <v>43.9</v>
      </c>
      <c r="D33" s="1385">
        <v>35.5</v>
      </c>
      <c r="E33" s="1385">
        <v>68.5</v>
      </c>
      <c r="F33" s="1386">
        <v>49.300000000000004</v>
      </c>
      <c r="G33" s="1387"/>
      <c r="H33" s="1388"/>
      <c r="I33" s="1389"/>
    </row>
    <row r="34" spans="1:9" s="1324" customFormat="1">
      <c r="A34" s="1384" t="s">
        <v>453</v>
      </c>
      <c r="B34" s="1385">
        <v>0</v>
      </c>
      <c r="C34" s="1385">
        <v>13.7</v>
      </c>
      <c r="D34" s="1385">
        <v>14.9</v>
      </c>
      <c r="E34" s="1385">
        <v>15.7</v>
      </c>
      <c r="F34" s="1386">
        <v>14.766666666666666</v>
      </c>
      <c r="G34" s="1387"/>
      <c r="H34" s="1388"/>
      <c r="I34" s="1389"/>
    </row>
    <row r="35" spans="1:9" s="1324" customFormat="1">
      <c r="A35" s="1384" t="s">
        <v>1152</v>
      </c>
      <c r="B35" s="1385">
        <v>0</v>
      </c>
      <c r="C35" s="1385">
        <v>39.1</v>
      </c>
      <c r="D35" s="1385">
        <v>0</v>
      </c>
      <c r="E35" s="1385">
        <v>34.799999999999997</v>
      </c>
      <c r="F35" s="1335">
        <v>36.950000000000003</v>
      </c>
      <c r="G35" s="1322">
        <v>30</v>
      </c>
      <c r="H35" s="1388"/>
      <c r="I35" s="1389"/>
    </row>
    <row r="36" spans="1:9" s="1324" customFormat="1">
      <c r="A36" s="1384" t="s">
        <v>577</v>
      </c>
      <c r="B36" s="1385">
        <v>0</v>
      </c>
      <c r="C36" s="1385">
        <v>0</v>
      </c>
      <c r="D36" s="1385">
        <v>0</v>
      </c>
      <c r="E36" s="1385">
        <v>0</v>
      </c>
      <c r="F36" s="1390"/>
      <c r="G36" s="1322">
        <v>10</v>
      </c>
      <c r="H36" s="1388"/>
      <c r="I36" s="1389"/>
    </row>
    <row r="37" spans="1:9" s="1293" customFormat="1" ht="15.75">
      <c r="A37" s="1391" t="s">
        <v>1151</v>
      </c>
      <c r="B37" s="1345">
        <v>105.6</v>
      </c>
      <c r="C37" s="1345">
        <v>270.10000000000002</v>
      </c>
      <c r="D37" s="1345">
        <v>264.2</v>
      </c>
      <c r="E37" s="1345">
        <v>248.7</v>
      </c>
      <c r="F37" s="1345">
        <v>296.2</v>
      </c>
      <c r="G37" s="1392">
        <v>310</v>
      </c>
      <c r="H37" s="1344">
        <v>-13.800000000000011</v>
      </c>
      <c r="I37" s="1332">
        <v>-4.45161290322581E-2</v>
      </c>
    </row>
    <row r="38" spans="1:9" s="1324" customFormat="1">
      <c r="A38" s="1393" t="s">
        <v>93</v>
      </c>
      <c r="B38" s="1385">
        <v>0</v>
      </c>
      <c r="C38" s="1385">
        <v>39.299999999999997</v>
      </c>
      <c r="D38" s="1385">
        <v>51.1</v>
      </c>
      <c r="E38" s="1385">
        <v>47.3</v>
      </c>
      <c r="F38" s="1386">
        <v>45.9</v>
      </c>
      <c r="G38" s="1394"/>
      <c r="H38" s="1395"/>
      <c r="I38" s="1396"/>
    </row>
    <row r="39" spans="1:9" s="1324" customFormat="1">
      <c r="A39" s="1393" t="s">
        <v>96</v>
      </c>
      <c r="B39" s="1385">
        <v>0</v>
      </c>
      <c r="C39" s="1385">
        <v>4.8</v>
      </c>
      <c r="D39" s="1385">
        <v>5.6</v>
      </c>
      <c r="E39" s="1385">
        <v>6.8</v>
      </c>
      <c r="F39" s="1386">
        <v>5.7333333333333334</v>
      </c>
      <c r="G39" s="1394"/>
      <c r="H39" s="1395"/>
      <c r="I39" s="1396"/>
    </row>
    <row r="40" spans="1:9" s="1324" customFormat="1">
      <c r="A40" s="1393" t="s">
        <v>98</v>
      </c>
      <c r="B40" s="1385">
        <v>105.6</v>
      </c>
      <c r="C40" s="1385">
        <v>197.5</v>
      </c>
      <c r="D40" s="1385">
        <v>183.5</v>
      </c>
      <c r="E40" s="1385">
        <v>174.9</v>
      </c>
      <c r="F40" s="1386">
        <v>220.5</v>
      </c>
      <c r="G40" s="1394"/>
      <c r="H40" s="1395"/>
      <c r="I40" s="1396"/>
    </row>
    <row r="41" spans="1:9" s="1324" customFormat="1" ht="13.5" thickBot="1">
      <c r="A41" s="1397" t="s">
        <v>1150</v>
      </c>
      <c r="B41" s="1385">
        <v>0</v>
      </c>
      <c r="C41" s="1385">
        <v>28.5</v>
      </c>
      <c r="D41" s="1385">
        <v>24</v>
      </c>
      <c r="E41" s="1385">
        <v>19.7</v>
      </c>
      <c r="F41" s="1386">
        <v>24.066666666666666</v>
      </c>
      <c r="G41" s="1394"/>
      <c r="H41" s="1398"/>
      <c r="I41" s="1399"/>
    </row>
    <row r="42" spans="1:9" s="1405" customFormat="1" ht="16.5" thickTop="1">
      <c r="A42" s="1400" t="s">
        <v>1149</v>
      </c>
      <c r="B42" s="1401">
        <v>51587.6</v>
      </c>
      <c r="C42" s="1401">
        <v>133350.1</v>
      </c>
      <c r="D42" s="1401">
        <v>131048.2</v>
      </c>
      <c r="E42" s="1401">
        <v>126276.9</v>
      </c>
      <c r="F42" s="1401">
        <v>147433.25</v>
      </c>
      <c r="G42" s="1402">
        <v>139237</v>
      </c>
      <c r="H42" s="1403">
        <v>8196.25</v>
      </c>
      <c r="I42" s="1404">
        <v>5.8865459612028409E-2</v>
      </c>
    </row>
    <row r="43" spans="1:9" s="1293" customFormat="1" ht="13.5" thickBot="1">
      <c r="A43" s="1406"/>
      <c r="B43" s="1407"/>
      <c r="C43" s="1408"/>
      <c r="D43" s="1408"/>
      <c r="E43" s="1408"/>
      <c r="F43" s="1408"/>
      <c r="G43" s="1407"/>
      <c r="H43" s="1409"/>
      <c r="I43" s="1410"/>
    </row>
    <row r="44" spans="1:9" s="1295" customFormat="1" ht="15" thickTop="1" thickBot="1">
      <c r="A44" s="1411" t="s">
        <v>448</v>
      </c>
      <c r="B44" s="1412"/>
      <c r="C44" s="1412"/>
      <c r="D44" s="1413"/>
      <c r="E44" s="1413"/>
      <c r="F44" s="1414">
        <v>252524.61</v>
      </c>
      <c r="G44" s="1414">
        <v>232144</v>
      </c>
      <c r="H44" s="1431">
        <v>20380.743333333332</v>
      </c>
      <c r="I44" s="1432">
        <v>8.7793539067705095E-2</v>
      </c>
    </row>
    <row r="45" spans="1:9" s="1295" customFormat="1" ht="14.25" thickTop="1">
      <c r="A45" s="1415"/>
      <c r="B45" s="1416"/>
      <c r="C45" s="1416"/>
      <c r="D45" s="1417"/>
      <c r="E45" s="1417"/>
      <c r="F45" s="1417"/>
      <c r="G45" s="1417"/>
      <c r="H45" s="1417"/>
      <c r="I45" s="1418"/>
    </row>
    <row r="46" spans="1:9" s="1426" customFormat="1">
      <c r="A46" s="1419" t="s">
        <v>574</v>
      </c>
      <c r="B46" s="1420">
        <v>0</v>
      </c>
      <c r="C46" s="1421">
        <v>13912</v>
      </c>
      <c r="D46" s="1421">
        <v>13688</v>
      </c>
      <c r="E46" s="1421">
        <v>13031</v>
      </c>
      <c r="F46" s="1422">
        <v>13543.666666666666</v>
      </c>
      <c r="G46" s="1423">
        <v>11558</v>
      </c>
      <c r="H46" s="1424">
        <v>1985.6666666666661</v>
      </c>
      <c r="I46" s="1425">
        <v>0.1718001961123608</v>
      </c>
    </row>
    <row r="47" spans="1:9" s="1295" customFormat="1">
      <c r="A47" s="1427"/>
      <c r="B47" s="1416"/>
      <c r="C47" s="1416"/>
      <c r="D47" s="1417"/>
      <c r="E47" s="1417"/>
      <c r="F47" s="1417"/>
      <c r="G47" s="1417"/>
      <c r="H47" s="1428"/>
      <c r="I47" s="1418"/>
    </row>
    <row r="48" spans="1:9" ht="56.25" customHeight="1">
      <c r="A48" s="2666" t="s">
        <v>447</v>
      </c>
      <c r="B48" s="2666"/>
      <c r="C48" s="2666"/>
      <c r="D48" s="2666"/>
      <c r="E48" s="2666"/>
      <c r="F48" s="2666"/>
      <c r="G48" s="2666"/>
      <c r="H48" s="2666"/>
      <c r="I48" s="2666"/>
    </row>
    <row r="49" spans="1:9" ht="27.75" customHeight="1">
      <c r="A49" s="2656" t="s">
        <v>1148</v>
      </c>
      <c r="B49" s="2656"/>
      <c r="C49" s="2656"/>
      <c r="D49" s="2656"/>
      <c r="E49" s="2656"/>
      <c r="F49" s="2656"/>
      <c r="G49" s="2656"/>
      <c r="H49" s="2656"/>
      <c r="I49" s="2656"/>
    </row>
    <row r="50" spans="1:9" ht="15.75">
      <c r="A50" s="2656" t="s">
        <v>1147</v>
      </c>
      <c r="B50" s="2656"/>
      <c r="C50" s="2656"/>
      <c r="D50" s="2656"/>
      <c r="E50" s="2656"/>
      <c r="F50" s="2656"/>
      <c r="G50" s="2656"/>
      <c r="H50" s="2656"/>
      <c r="I50" s="2656"/>
    </row>
    <row r="51" spans="1:9" ht="15.75">
      <c r="A51" s="2657" t="s">
        <v>1146</v>
      </c>
      <c r="B51" s="2657"/>
      <c r="C51" s="2657"/>
      <c r="D51" s="2657"/>
      <c r="E51" s="2657"/>
      <c r="F51" s="2657"/>
      <c r="G51" s="2657"/>
      <c r="H51" s="2657"/>
      <c r="I51" s="2657"/>
    </row>
    <row r="52" spans="1:9">
      <c r="A52" s="1292" t="s">
        <v>1577</v>
      </c>
    </row>
  </sheetData>
  <mergeCells count="12">
    <mergeCell ref="A2:I2"/>
    <mergeCell ref="A3:I3"/>
    <mergeCell ref="C4:E4"/>
    <mergeCell ref="B6:F6"/>
    <mergeCell ref="H6:I6"/>
    <mergeCell ref="A50:I50"/>
    <mergeCell ref="A51:I51"/>
    <mergeCell ref="A23:A25"/>
    <mergeCell ref="B23:F23"/>
    <mergeCell ref="H23:I23"/>
    <mergeCell ref="A48:I48"/>
    <mergeCell ref="A49:I49"/>
  </mergeCells>
  <pageMargins left="0.7" right="0.7" top="0.75" bottom="0.75" header="0.3" footer="0.3"/>
  <pageSetup orientation="portrait" verticalDpi="0"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dimension ref="A1:J53"/>
  <sheetViews>
    <sheetView workbookViewId="0"/>
  </sheetViews>
  <sheetFormatPr defaultColWidth="15.125" defaultRowHeight="12.75"/>
  <cols>
    <col min="1" max="1" width="27.375" style="1437" customWidth="1"/>
    <col min="2" max="2" width="9.625" style="1437" bestFit="1" customWidth="1"/>
    <col min="3" max="3" width="8" style="1437" customWidth="1"/>
    <col min="4" max="4" width="9.125" style="1437" bestFit="1" customWidth="1"/>
    <col min="5" max="5" width="9.25" style="1437" bestFit="1" customWidth="1"/>
    <col min="6" max="6" width="9.75" style="1437" bestFit="1" customWidth="1"/>
    <col min="7" max="8" width="9.125" style="1437" bestFit="1" customWidth="1"/>
    <col min="9" max="9" width="8.625" style="1437" bestFit="1" customWidth="1"/>
    <col min="10" max="256" width="15.125" style="1437"/>
    <col min="257" max="257" width="27.375" style="1437" customWidth="1"/>
    <col min="258" max="258" width="9.625" style="1437" bestFit="1" customWidth="1"/>
    <col min="259" max="259" width="8" style="1437" customWidth="1"/>
    <col min="260" max="260" width="9.125" style="1437" bestFit="1" customWidth="1"/>
    <col min="261" max="261" width="9.25" style="1437" bestFit="1" customWidth="1"/>
    <col min="262" max="262" width="9.75" style="1437" bestFit="1" customWidth="1"/>
    <col min="263" max="264" width="9.125" style="1437" bestFit="1" customWidth="1"/>
    <col min="265" max="265" width="8.625" style="1437" bestFit="1" customWidth="1"/>
    <col min="266" max="512" width="15.125" style="1437"/>
    <col min="513" max="513" width="27.375" style="1437" customWidth="1"/>
    <col min="514" max="514" width="9.625" style="1437" bestFit="1" customWidth="1"/>
    <col min="515" max="515" width="8" style="1437" customWidth="1"/>
    <col min="516" max="516" width="9.125" style="1437" bestFit="1" customWidth="1"/>
    <col min="517" max="517" width="9.25" style="1437" bestFit="1" customWidth="1"/>
    <col min="518" max="518" width="9.75" style="1437" bestFit="1" customWidth="1"/>
    <col min="519" max="520" width="9.125" style="1437" bestFit="1" customWidth="1"/>
    <col min="521" max="521" width="8.625" style="1437" bestFit="1" customWidth="1"/>
    <col min="522" max="768" width="15.125" style="1437"/>
    <col min="769" max="769" width="27.375" style="1437" customWidth="1"/>
    <col min="770" max="770" width="9.625" style="1437" bestFit="1" customWidth="1"/>
    <col min="771" max="771" width="8" style="1437" customWidth="1"/>
    <col min="772" max="772" width="9.125" style="1437" bestFit="1" customWidth="1"/>
    <col min="773" max="773" width="9.25" style="1437" bestFit="1" customWidth="1"/>
    <col min="774" max="774" width="9.75" style="1437" bestFit="1" customWidth="1"/>
    <col min="775" max="776" width="9.125" style="1437" bestFit="1" customWidth="1"/>
    <col min="777" max="777" width="8.625" style="1437" bestFit="1" customWidth="1"/>
    <col min="778" max="1024" width="15.125" style="1437"/>
    <col min="1025" max="1025" width="27.375" style="1437" customWidth="1"/>
    <col min="1026" max="1026" width="9.625" style="1437" bestFit="1" customWidth="1"/>
    <col min="1027" max="1027" width="8" style="1437" customWidth="1"/>
    <col min="1028" max="1028" width="9.125" style="1437" bestFit="1" customWidth="1"/>
    <col min="1029" max="1029" width="9.25" style="1437" bestFit="1" customWidth="1"/>
    <col min="1030" max="1030" width="9.75" style="1437" bestFit="1" customWidth="1"/>
    <col min="1031" max="1032" width="9.125" style="1437" bestFit="1" customWidth="1"/>
    <col min="1033" max="1033" width="8.625" style="1437" bestFit="1" customWidth="1"/>
    <col min="1034" max="1280" width="15.125" style="1437"/>
    <col min="1281" max="1281" width="27.375" style="1437" customWidth="1"/>
    <col min="1282" max="1282" width="9.625" style="1437" bestFit="1" customWidth="1"/>
    <col min="1283" max="1283" width="8" style="1437" customWidth="1"/>
    <col min="1284" max="1284" width="9.125" style="1437" bestFit="1" customWidth="1"/>
    <col min="1285" max="1285" width="9.25" style="1437" bestFit="1" customWidth="1"/>
    <col min="1286" max="1286" width="9.75" style="1437" bestFit="1" customWidth="1"/>
    <col min="1287" max="1288" width="9.125" style="1437" bestFit="1" customWidth="1"/>
    <col min="1289" max="1289" width="8.625" style="1437" bestFit="1" customWidth="1"/>
    <col min="1290" max="1536" width="15.125" style="1437"/>
    <col min="1537" max="1537" width="27.375" style="1437" customWidth="1"/>
    <col min="1538" max="1538" width="9.625" style="1437" bestFit="1" customWidth="1"/>
    <col min="1539" max="1539" width="8" style="1437" customWidth="1"/>
    <col min="1540" max="1540" width="9.125" style="1437" bestFit="1" customWidth="1"/>
    <col min="1541" max="1541" width="9.25" style="1437" bestFit="1" customWidth="1"/>
    <col min="1542" max="1542" width="9.75" style="1437" bestFit="1" customWidth="1"/>
    <col min="1543" max="1544" width="9.125" style="1437" bestFit="1" customWidth="1"/>
    <col min="1545" max="1545" width="8.625" style="1437" bestFit="1" customWidth="1"/>
    <col min="1546" max="1792" width="15.125" style="1437"/>
    <col min="1793" max="1793" width="27.375" style="1437" customWidth="1"/>
    <col min="1794" max="1794" width="9.625" style="1437" bestFit="1" customWidth="1"/>
    <col min="1795" max="1795" width="8" style="1437" customWidth="1"/>
    <col min="1796" max="1796" width="9.125" style="1437" bestFit="1" customWidth="1"/>
    <col min="1797" max="1797" width="9.25" style="1437" bestFit="1" customWidth="1"/>
    <col min="1798" max="1798" width="9.75" style="1437" bestFit="1" customWidth="1"/>
    <col min="1799" max="1800" width="9.125" style="1437" bestFit="1" customWidth="1"/>
    <col min="1801" max="1801" width="8.625" style="1437" bestFit="1" customWidth="1"/>
    <col min="1802" max="2048" width="15.125" style="1437"/>
    <col min="2049" max="2049" width="27.375" style="1437" customWidth="1"/>
    <col min="2050" max="2050" width="9.625" style="1437" bestFit="1" customWidth="1"/>
    <col min="2051" max="2051" width="8" style="1437" customWidth="1"/>
    <col min="2052" max="2052" width="9.125" style="1437" bestFit="1" customWidth="1"/>
    <col min="2053" max="2053" width="9.25" style="1437" bestFit="1" customWidth="1"/>
    <col min="2054" max="2054" width="9.75" style="1437" bestFit="1" customWidth="1"/>
    <col min="2055" max="2056" width="9.125" style="1437" bestFit="1" customWidth="1"/>
    <col min="2057" max="2057" width="8.625" style="1437" bestFit="1" customWidth="1"/>
    <col min="2058" max="2304" width="15.125" style="1437"/>
    <col min="2305" max="2305" width="27.375" style="1437" customWidth="1"/>
    <col min="2306" max="2306" width="9.625" style="1437" bestFit="1" customWidth="1"/>
    <col min="2307" max="2307" width="8" style="1437" customWidth="1"/>
    <col min="2308" max="2308" width="9.125" style="1437" bestFit="1" customWidth="1"/>
    <col min="2309" max="2309" width="9.25" style="1437" bestFit="1" customWidth="1"/>
    <col min="2310" max="2310" width="9.75" style="1437" bestFit="1" customWidth="1"/>
    <col min="2311" max="2312" width="9.125" style="1437" bestFit="1" customWidth="1"/>
    <col min="2313" max="2313" width="8.625" style="1437" bestFit="1" customWidth="1"/>
    <col min="2314" max="2560" width="15.125" style="1437"/>
    <col min="2561" max="2561" width="27.375" style="1437" customWidth="1"/>
    <col min="2562" max="2562" width="9.625" style="1437" bestFit="1" customWidth="1"/>
    <col min="2563" max="2563" width="8" style="1437" customWidth="1"/>
    <col min="2564" max="2564" width="9.125" style="1437" bestFit="1" customWidth="1"/>
    <col min="2565" max="2565" width="9.25" style="1437" bestFit="1" customWidth="1"/>
    <col min="2566" max="2566" width="9.75" style="1437" bestFit="1" customWidth="1"/>
    <col min="2567" max="2568" width="9.125" style="1437" bestFit="1" customWidth="1"/>
    <col min="2569" max="2569" width="8.625" style="1437" bestFit="1" customWidth="1"/>
    <col min="2570" max="2816" width="15.125" style="1437"/>
    <col min="2817" max="2817" width="27.375" style="1437" customWidth="1"/>
    <col min="2818" max="2818" width="9.625" style="1437" bestFit="1" customWidth="1"/>
    <col min="2819" max="2819" width="8" style="1437" customWidth="1"/>
    <col min="2820" max="2820" width="9.125" style="1437" bestFit="1" customWidth="1"/>
    <col min="2821" max="2821" width="9.25" style="1437" bestFit="1" customWidth="1"/>
    <col min="2822" max="2822" width="9.75" style="1437" bestFit="1" customWidth="1"/>
    <col min="2823" max="2824" width="9.125" style="1437" bestFit="1" customWidth="1"/>
    <col min="2825" max="2825" width="8.625" style="1437" bestFit="1" customWidth="1"/>
    <col min="2826" max="3072" width="15.125" style="1437"/>
    <col min="3073" max="3073" width="27.375" style="1437" customWidth="1"/>
    <col min="3074" max="3074" width="9.625" style="1437" bestFit="1" customWidth="1"/>
    <col min="3075" max="3075" width="8" style="1437" customWidth="1"/>
    <col min="3076" max="3076" width="9.125" style="1437" bestFit="1" customWidth="1"/>
    <col min="3077" max="3077" width="9.25" style="1437" bestFit="1" customWidth="1"/>
    <col min="3078" max="3078" width="9.75" style="1437" bestFit="1" customWidth="1"/>
    <col min="3079" max="3080" width="9.125" style="1437" bestFit="1" customWidth="1"/>
    <col min="3081" max="3081" width="8.625" style="1437" bestFit="1" customWidth="1"/>
    <col min="3082" max="3328" width="15.125" style="1437"/>
    <col min="3329" max="3329" width="27.375" style="1437" customWidth="1"/>
    <col min="3330" max="3330" width="9.625" style="1437" bestFit="1" customWidth="1"/>
    <col min="3331" max="3331" width="8" style="1437" customWidth="1"/>
    <col min="3332" max="3332" width="9.125" style="1437" bestFit="1" customWidth="1"/>
    <col min="3333" max="3333" width="9.25" style="1437" bestFit="1" customWidth="1"/>
    <col min="3334" max="3334" width="9.75" style="1437" bestFit="1" customWidth="1"/>
    <col min="3335" max="3336" width="9.125" style="1437" bestFit="1" customWidth="1"/>
    <col min="3337" max="3337" width="8.625" style="1437" bestFit="1" customWidth="1"/>
    <col min="3338" max="3584" width="15.125" style="1437"/>
    <col min="3585" max="3585" width="27.375" style="1437" customWidth="1"/>
    <col min="3586" max="3586" width="9.625" style="1437" bestFit="1" customWidth="1"/>
    <col min="3587" max="3587" width="8" style="1437" customWidth="1"/>
    <col min="3588" max="3588" width="9.125" style="1437" bestFit="1" customWidth="1"/>
    <col min="3589" max="3589" width="9.25" style="1437" bestFit="1" customWidth="1"/>
    <col min="3590" max="3590" width="9.75" style="1437" bestFit="1" customWidth="1"/>
    <col min="3591" max="3592" width="9.125" style="1437" bestFit="1" customWidth="1"/>
    <col min="3593" max="3593" width="8.625" style="1437" bestFit="1" customWidth="1"/>
    <col min="3594" max="3840" width="15.125" style="1437"/>
    <col min="3841" max="3841" width="27.375" style="1437" customWidth="1"/>
    <col min="3842" max="3842" width="9.625" style="1437" bestFit="1" customWidth="1"/>
    <col min="3843" max="3843" width="8" style="1437" customWidth="1"/>
    <col min="3844" max="3844" width="9.125" style="1437" bestFit="1" customWidth="1"/>
    <col min="3845" max="3845" width="9.25" style="1437" bestFit="1" customWidth="1"/>
    <col min="3846" max="3846" width="9.75" style="1437" bestFit="1" customWidth="1"/>
    <col min="3847" max="3848" width="9.125" style="1437" bestFit="1" customWidth="1"/>
    <col min="3849" max="3849" width="8.625" style="1437" bestFit="1" customWidth="1"/>
    <col min="3850" max="4096" width="15.125" style="1437"/>
    <col min="4097" max="4097" width="27.375" style="1437" customWidth="1"/>
    <col min="4098" max="4098" width="9.625" style="1437" bestFit="1" customWidth="1"/>
    <col min="4099" max="4099" width="8" style="1437" customWidth="1"/>
    <col min="4100" max="4100" width="9.125" style="1437" bestFit="1" customWidth="1"/>
    <col min="4101" max="4101" width="9.25" style="1437" bestFit="1" customWidth="1"/>
    <col min="4102" max="4102" width="9.75" style="1437" bestFit="1" customWidth="1"/>
    <col min="4103" max="4104" width="9.125" style="1437" bestFit="1" customWidth="1"/>
    <col min="4105" max="4105" width="8.625" style="1437" bestFit="1" customWidth="1"/>
    <col min="4106" max="4352" width="15.125" style="1437"/>
    <col min="4353" max="4353" width="27.375" style="1437" customWidth="1"/>
    <col min="4354" max="4354" width="9.625" style="1437" bestFit="1" customWidth="1"/>
    <col min="4355" max="4355" width="8" style="1437" customWidth="1"/>
    <col min="4356" max="4356" width="9.125" style="1437" bestFit="1" customWidth="1"/>
    <col min="4357" max="4357" width="9.25" style="1437" bestFit="1" customWidth="1"/>
    <col min="4358" max="4358" width="9.75" style="1437" bestFit="1" customWidth="1"/>
    <col min="4359" max="4360" width="9.125" style="1437" bestFit="1" customWidth="1"/>
    <col min="4361" max="4361" width="8.625" style="1437" bestFit="1" customWidth="1"/>
    <col min="4362" max="4608" width="15.125" style="1437"/>
    <col min="4609" max="4609" width="27.375" style="1437" customWidth="1"/>
    <col min="4610" max="4610" width="9.625" style="1437" bestFit="1" customWidth="1"/>
    <col min="4611" max="4611" width="8" style="1437" customWidth="1"/>
    <col min="4612" max="4612" width="9.125" style="1437" bestFit="1" customWidth="1"/>
    <col min="4613" max="4613" width="9.25" style="1437" bestFit="1" customWidth="1"/>
    <col min="4614" max="4614" width="9.75" style="1437" bestFit="1" customWidth="1"/>
    <col min="4615" max="4616" width="9.125" style="1437" bestFit="1" customWidth="1"/>
    <col min="4617" max="4617" width="8.625" style="1437" bestFit="1" customWidth="1"/>
    <col min="4618" max="4864" width="15.125" style="1437"/>
    <col min="4865" max="4865" width="27.375" style="1437" customWidth="1"/>
    <col min="4866" max="4866" width="9.625" style="1437" bestFit="1" customWidth="1"/>
    <col min="4867" max="4867" width="8" style="1437" customWidth="1"/>
    <col min="4868" max="4868" width="9.125" style="1437" bestFit="1" customWidth="1"/>
    <col min="4869" max="4869" width="9.25" style="1437" bestFit="1" customWidth="1"/>
    <col min="4870" max="4870" width="9.75" style="1437" bestFit="1" customWidth="1"/>
    <col min="4871" max="4872" width="9.125" style="1437" bestFit="1" customWidth="1"/>
    <col min="4873" max="4873" width="8.625" style="1437" bestFit="1" customWidth="1"/>
    <col min="4874" max="5120" width="15.125" style="1437"/>
    <col min="5121" max="5121" width="27.375" style="1437" customWidth="1"/>
    <col min="5122" max="5122" width="9.625" style="1437" bestFit="1" customWidth="1"/>
    <col min="5123" max="5123" width="8" style="1437" customWidth="1"/>
    <col min="5124" max="5124" width="9.125" style="1437" bestFit="1" customWidth="1"/>
    <col min="5125" max="5125" width="9.25" style="1437" bestFit="1" customWidth="1"/>
    <col min="5126" max="5126" width="9.75" style="1437" bestFit="1" customWidth="1"/>
    <col min="5127" max="5128" width="9.125" style="1437" bestFit="1" customWidth="1"/>
    <col min="5129" max="5129" width="8.625" style="1437" bestFit="1" customWidth="1"/>
    <col min="5130" max="5376" width="15.125" style="1437"/>
    <col min="5377" max="5377" width="27.375" style="1437" customWidth="1"/>
    <col min="5378" max="5378" width="9.625" style="1437" bestFit="1" customWidth="1"/>
    <col min="5379" max="5379" width="8" style="1437" customWidth="1"/>
    <col min="5380" max="5380" width="9.125" style="1437" bestFit="1" customWidth="1"/>
    <col min="5381" max="5381" width="9.25" style="1437" bestFit="1" customWidth="1"/>
    <col min="5382" max="5382" width="9.75" style="1437" bestFit="1" customWidth="1"/>
    <col min="5383" max="5384" width="9.125" style="1437" bestFit="1" customWidth="1"/>
    <col min="5385" max="5385" width="8.625" style="1437" bestFit="1" customWidth="1"/>
    <col min="5386" max="5632" width="15.125" style="1437"/>
    <col min="5633" max="5633" width="27.375" style="1437" customWidth="1"/>
    <col min="5634" max="5634" width="9.625" style="1437" bestFit="1" customWidth="1"/>
    <col min="5635" max="5635" width="8" style="1437" customWidth="1"/>
    <col min="5636" max="5636" width="9.125" style="1437" bestFit="1" customWidth="1"/>
    <col min="5637" max="5637" width="9.25" style="1437" bestFit="1" customWidth="1"/>
    <col min="5638" max="5638" width="9.75" style="1437" bestFit="1" customWidth="1"/>
    <col min="5639" max="5640" width="9.125" style="1437" bestFit="1" customWidth="1"/>
    <col min="5641" max="5641" width="8.625" style="1437" bestFit="1" customWidth="1"/>
    <col min="5642" max="5888" width="15.125" style="1437"/>
    <col min="5889" max="5889" width="27.375" style="1437" customWidth="1"/>
    <col min="5890" max="5890" width="9.625" style="1437" bestFit="1" customWidth="1"/>
    <col min="5891" max="5891" width="8" style="1437" customWidth="1"/>
    <col min="5892" max="5892" width="9.125" style="1437" bestFit="1" customWidth="1"/>
    <col min="5893" max="5893" width="9.25" style="1437" bestFit="1" customWidth="1"/>
    <col min="5894" max="5894" width="9.75" style="1437" bestFit="1" customWidth="1"/>
    <col min="5895" max="5896" width="9.125" style="1437" bestFit="1" customWidth="1"/>
    <col min="5897" max="5897" width="8.625" style="1437" bestFit="1" customWidth="1"/>
    <col min="5898" max="6144" width="15.125" style="1437"/>
    <col min="6145" max="6145" width="27.375" style="1437" customWidth="1"/>
    <col min="6146" max="6146" width="9.625" style="1437" bestFit="1" customWidth="1"/>
    <col min="6147" max="6147" width="8" style="1437" customWidth="1"/>
    <col min="6148" max="6148" width="9.125" style="1437" bestFit="1" customWidth="1"/>
    <col min="6149" max="6149" width="9.25" style="1437" bestFit="1" customWidth="1"/>
    <col min="6150" max="6150" width="9.75" style="1437" bestFit="1" customWidth="1"/>
    <col min="6151" max="6152" width="9.125" style="1437" bestFit="1" customWidth="1"/>
    <col min="6153" max="6153" width="8.625" style="1437" bestFit="1" customWidth="1"/>
    <col min="6154" max="6400" width="15.125" style="1437"/>
    <col min="6401" max="6401" width="27.375" style="1437" customWidth="1"/>
    <col min="6402" max="6402" width="9.625" style="1437" bestFit="1" customWidth="1"/>
    <col min="6403" max="6403" width="8" style="1437" customWidth="1"/>
    <col min="6404" max="6404" width="9.125" style="1437" bestFit="1" customWidth="1"/>
    <col min="6405" max="6405" width="9.25" style="1437" bestFit="1" customWidth="1"/>
    <col min="6406" max="6406" width="9.75" style="1437" bestFit="1" customWidth="1"/>
    <col min="6407" max="6408" width="9.125" style="1437" bestFit="1" customWidth="1"/>
    <col min="6409" max="6409" width="8.625" style="1437" bestFit="1" customWidth="1"/>
    <col min="6410" max="6656" width="15.125" style="1437"/>
    <col min="6657" max="6657" width="27.375" style="1437" customWidth="1"/>
    <col min="6658" max="6658" width="9.625" style="1437" bestFit="1" customWidth="1"/>
    <col min="6659" max="6659" width="8" style="1437" customWidth="1"/>
    <col min="6660" max="6660" width="9.125" style="1437" bestFit="1" customWidth="1"/>
    <col min="6661" max="6661" width="9.25" style="1437" bestFit="1" customWidth="1"/>
    <col min="6662" max="6662" width="9.75" style="1437" bestFit="1" customWidth="1"/>
    <col min="6663" max="6664" width="9.125" style="1437" bestFit="1" customWidth="1"/>
    <col min="6665" max="6665" width="8.625" style="1437" bestFit="1" customWidth="1"/>
    <col min="6666" max="6912" width="15.125" style="1437"/>
    <col min="6913" max="6913" width="27.375" style="1437" customWidth="1"/>
    <col min="6914" max="6914" width="9.625" style="1437" bestFit="1" customWidth="1"/>
    <col min="6915" max="6915" width="8" style="1437" customWidth="1"/>
    <col min="6916" max="6916" width="9.125" style="1437" bestFit="1" customWidth="1"/>
    <col min="6917" max="6917" width="9.25" style="1437" bestFit="1" customWidth="1"/>
    <col min="6918" max="6918" width="9.75" style="1437" bestFit="1" customWidth="1"/>
    <col min="6919" max="6920" width="9.125" style="1437" bestFit="1" customWidth="1"/>
    <col min="6921" max="6921" width="8.625" style="1437" bestFit="1" customWidth="1"/>
    <col min="6922" max="7168" width="15.125" style="1437"/>
    <col min="7169" max="7169" width="27.375" style="1437" customWidth="1"/>
    <col min="7170" max="7170" width="9.625" style="1437" bestFit="1" customWidth="1"/>
    <col min="7171" max="7171" width="8" style="1437" customWidth="1"/>
    <col min="7172" max="7172" width="9.125" style="1437" bestFit="1" customWidth="1"/>
    <col min="7173" max="7173" width="9.25" style="1437" bestFit="1" customWidth="1"/>
    <col min="7174" max="7174" width="9.75" style="1437" bestFit="1" customWidth="1"/>
    <col min="7175" max="7176" width="9.125" style="1437" bestFit="1" customWidth="1"/>
    <col min="7177" max="7177" width="8.625" style="1437" bestFit="1" customWidth="1"/>
    <col min="7178" max="7424" width="15.125" style="1437"/>
    <col min="7425" max="7425" width="27.375" style="1437" customWidth="1"/>
    <col min="7426" max="7426" width="9.625" style="1437" bestFit="1" customWidth="1"/>
    <col min="7427" max="7427" width="8" style="1437" customWidth="1"/>
    <col min="7428" max="7428" width="9.125" style="1437" bestFit="1" customWidth="1"/>
    <col min="7429" max="7429" width="9.25" style="1437" bestFit="1" customWidth="1"/>
    <col min="7430" max="7430" width="9.75" style="1437" bestFit="1" customWidth="1"/>
    <col min="7431" max="7432" width="9.125" style="1437" bestFit="1" customWidth="1"/>
    <col min="7433" max="7433" width="8.625" style="1437" bestFit="1" customWidth="1"/>
    <col min="7434" max="7680" width="15.125" style="1437"/>
    <col min="7681" max="7681" width="27.375" style="1437" customWidth="1"/>
    <col min="7682" max="7682" width="9.625" style="1437" bestFit="1" customWidth="1"/>
    <col min="7683" max="7683" width="8" style="1437" customWidth="1"/>
    <col min="7684" max="7684" width="9.125" style="1437" bestFit="1" customWidth="1"/>
    <col min="7685" max="7685" width="9.25" style="1437" bestFit="1" customWidth="1"/>
    <col min="7686" max="7686" width="9.75" style="1437" bestFit="1" customWidth="1"/>
    <col min="7687" max="7688" width="9.125" style="1437" bestFit="1" customWidth="1"/>
    <col min="7689" max="7689" width="8.625" style="1437" bestFit="1" customWidth="1"/>
    <col min="7690" max="7936" width="15.125" style="1437"/>
    <col min="7937" max="7937" width="27.375" style="1437" customWidth="1"/>
    <col min="7938" max="7938" width="9.625" style="1437" bestFit="1" customWidth="1"/>
    <col min="7939" max="7939" width="8" style="1437" customWidth="1"/>
    <col min="7940" max="7940" width="9.125" style="1437" bestFit="1" customWidth="1"/>
    <col min="7941" max="7941" width="9.25" style="1437" bestFit="1" customWidth="1"/>
    <col min="7942" max="7942" width="9.75" style="1437" bestFit="1" customWidth="1"/>
    <col min="7943" max="7944" width="9.125" style="1437" bestFit="1" customWidth="1"/>
    <col min="7945" max="7945" width="8.625" style="1437" bestFit="1" customWidth="1"/>
    <col min="7946" max="8192" width="15.125" style="1437"/>
    <col min="8193" max="8193" width="27.375" style="1437" customWidth="1"/>
    <col min="8194" max="8194" width="9.625" style="1437" bestFit="1" customWidth="1"/>
    <col min="8195" max="8195" width="8" style="1437" customWidth="1"/>
    <col min="8196" max="8196" width="9.125" style="1437" bestFit="1" customWidth="1"/>
    <col min="8197" max="8197" width="9.25" style="1437" bestFit="1" customWidth="1"/>
    <col min="8198" max="8198" width="9.75" style="1437" bestFit="1" customWidth="1"/>
    <col min="8199" max="8200" width="9.125" style="1437" bestFit="1" customWidth="1"/>
    <col min="8201" max="8201" width="8.625" style="1437" bestFit="1" customWidth="1"/>
    <col min="8202" max="8448" width="15.125" style="1437"/>
    <col min="8449" max="8449" width="27.375" style="1437" customWidth="1"/>
    <col min="8450" max="8450" width="9.625" style="1437" bestFit="1" customWidth="1"/>
    <col min="8451" max="8451" width="8" style="1437" customWidth="1"/>
    <col min="8452" max="8452" width="9.125" style="1437" bestFit="1" customWidth="1"/>
    <col min="8453" max="8453" width="9.25" style="1437" bestFit="1" customWidth="1"/>
    <col min="8454" max="8454" width="9.75" style="1437" bestFit="1" customWidth="1"/>
    <col min="8455" max="8456" width="9.125" style="1437" bestFit="1" customWidth="1"/>
    <col min="8457" max="8457" width="8.625" style="1437" bestFit="1" customWidth="1"/>
    <col min="8458" max="8704" width="15.125" style="1437"/>
    <col min="8705" max="8705" width="27.375" style="1437" customWidth="1"/>
    <col min="8706" max="8706" width="9.625" style="1437" bestFit="1" customWidth="1"/>
    <col min="8707" max="8707" width="8" style="1437" customWidth="1"/>
    <col min="8708" max="8708" width="9.125" style="1437" bestFit="1" customWidth="1"/>
    <col min="8709" max="8709" width="9.25" style="1437" bestFit="1" customWidth="1"/>
    <col min="8710" max="8710" width="9.75" style="1437" bestFit="1" customWidth="1"/>
    <col min="8711" max="8712" width="9.125" style="1437" bestFit="1" customWidth="1"/>
    <col min="8713" max="8713" width="8.625" style="1437" bestFit="1" customWidth="1"/>
    <col min="8714" max="8960" width="15.125" style="1437"/>
    <col min="8961" max="8961" width="27.375" style="1437" customWidth="1"/>
    <col min="8962" max="8962" width="9.625" style="1437" bestFit="1" customWidth="1"/>
    <col min="8963" max="8963" width="8" style="1437" customWidth="1"/>
    <col min="8964" max="8964" width="9.125" style="1437" bestFit="1" customWidth="1"/>
    <col min="8965" max="8965" width="9.25" style="1437" bestFit="1" customWidth="1"/>
    <col min="8966" max="8966" width="9.75" style="1437" bestFit="1" customWidth="1"/>
    <col min="8967" max="8968" width="9.125" style="1437" bestFit="1" customWidth="1"/>
    <col min="8969" max="8969" width="8.625" style="1437" bestFit="1" customWidth="1"/>
    <col min="8970" max="9216" width="15.125" style="1437"/>
    <col min="9217" max="9217" width="27.375" style="1437" customWidth="1"/>
    <col min="9218" max="9218" width="9.625" style="1437" bestFit="1" customWidth="1"/>
    <col min="9219" max="9219" width="8" style="1437" customWidth="1"/>
    <col min="9220" max="9220" width="9.125" style="1437" bestFit="1" customWidth="1"/>
    <col min="9221" max="9221" width="9.25" style="1437" bestFit="1" customWidth="1"/>
    <col min="9222" max="9222" width="9.75" style="1437" bestFit="1" customWidth="1"/>
    <col min="9223" max="9224" width="9.125" style="1437" bestFit="1" customWidth="1"/>
    <col min="9225" max="9225" width="8.625" style="1437" bestFit="1" customWidth="1"/>
    <col min="9226" max="9472" width="15.125" style="1437"/>
    <col min="9473" max="9473" width="27.375" style="1437" customWidth="1"/>
    <col min="9474" max="9474" width="9.625" style="1437" bestFit="1" customWidth="1"/>
    <col min="9475" max="9475" width="8" style="1437" customWidth="1"/>
    <col min="9476" max="9476" width="9.125" style="1437" bestFit="1" customWidth="1"/>
    <col min="9477" max="9477" width="9.25" style="1437" bestFit="1" customWidth="1"/>
    <col min="9478" max="9478" width="9.75" style="1437" bestFit="1" customWidth="1"/>
    <col min="9479" max="9480" width="9.125" style="1437" bestFit="1" customWidth="1"/>
    <col min="9481" max="9481" width="8.625" style="1437" bestFit="1" customWidth="1"/>
    <col min="9482" max="9728" width="15.125" style="1437"/>
    <col min="9729" max="9729" width="27.375" style="1437" customWidth="1"/>
    <col min="9730" max="9730" width="9.625" style="1437" bestFit="1" customWidth="1"/>
    <col min="9731" max="9731" width="8" style="1437" customWidth="1"/>
    <col min="9732" max="9732" width="9.125" style="1437" bestFit="1" customWidth="1"/>
    <col min="9733" max="9733" width="9.25" style="1437" bestFit="1" customWidth="1"/>
    <col min="9734" max="9734" width="9.75" style="1437" bestFit="1" customWidth="1"/>
    <col min="9735" max="9736" width="9.125" style="1437" bestFit="1" customWidth="1"/>
    <col min="9737" max="9737" width="8.625" style="1437" bestFit="1" customWidth="1"/>
    <col min="9738" max="9984" width="15.125" style="1437"/>
    <col min="9985" max="9985" width="27.375" style="1437" customWidth="1"/>
    <col min="9986" max="9986" width="9.625" style="1437" bestFit="1" customWidth="1"/>
    <col min="9987" max="9987" width="8" style="1437" customWidth="1"/>
    <col min="9988" max="9988" width="9.125" style="1437" bestFit="1" customWidth="1"/>
    <col min="9989" max="9989" width="9.25" style="1437" bestFit="1" customWidth="1"/>
    <col min="9990" max="9990" width="9.75" style="1437" bestFit="1" customWidth="1"/>
    <col min="9991" max="9992" width="9.125" style="1437" bestFit="1" customWidth="1"/>
    <col min="9993" max="9993" width="8.625" style="1437" bestFit="1" customWidth="1"/>
    <col min="9994" max="10240" width="15.125" style="1437"/>
    <col min="10241" max="10241" width="27.375" style="1437" customWidth="1"/>
    <col min="10242" max="10242" width="9.625" style="1437" bestFit="1" customWidth="1"/>
    <col min="10243" max="10243" width="8" style="1437" customWidth="1"/>
    <col min="10244" max="10244" width="9.125" style="1437" bestFit="1" customWidth="1"/>
    <col min="10245" max="10245" width="9.25" style="1437" bestFit="1" customWidth="1"/>
    <col min="10246" max="10246" width="9.75" style="1437" bestFit="1" customWidth="1"/>
    <col min="10247" max="10248" width="9.125" style="1437" bestFit="1" customWidth="1"/>
    <col min="10249" max="10249" width="8.625" style="1437" bestFit="1" customWidth="1"/>
    <col min="10250" max="10496" width="15.125" style="1437"/>
    <col min="10497" max="10497" width="27.375" style="1437" customWidth="1"/>
    <col min="10498" max="10498" width="9.625" style="1437" bestFit="1" customWidth="1"/>
    <col min="10499" max="10499" width="8" style="1437" customWidth="1"/>
    <col min="10500" max="10500" width="9.125" style="1437" bestFit="1" customWidth="1"/>
    <col min="10501" max="10501" width="9.25" style="1437" bestFit="1" customWidth="1"/>
    <col min="10502" max="10502" width="9.75" style="1437" bestFit="1" customWidth="1"/>
    <col min="10503" max="10504" width="9.125" style="1437" bestFit="1" customWidth="1"/>
    <col min="10505" max="10505" width="8.625" style="1437" bestFit="1" customWidth="1"/>
    <col min="10506" max="10752" width="15.125" style="1437"/>
    <col min="10753" max="10753" width="27.375" style="1437" customWidth="1"/>
    <col min="10754" max="10754" width="9.625" style="1437" bestFit="1" customWidth="1"/>
    <col min="10755" max="10755" width="8" style="1437" customWidth="1"/>
    <col min="10756" max="10756" width="9.125" style="1437" bestFit="1" customWidth="1"/>
    <col min="10757" max="10757" width="9.25" style="1437" bestFit="1" customWidth="1"/>
    <col min="10758" max="10758" width="9.75" style="1437" bestFit="1" customWidth="1"/>
    <col min="10759" max="10760" width="9.125" style="1437" bestFit="1" customWidth="1"/>
    <col min="10761" max="10761" width="8.625" style="1437" bestFit="1" customWidth="1"/>
    <col min="10762" max="11008" width="15.125" style="1437"/>
    <col min="11009" max="11009" width="27.375" style="1437" customWidth="1"/>
    <col min="11010" max="11010" width="9.625" style="1437" bestFit="1" customWidth="1"/>
    <col min="11011" max="11011" width="8" style="1437" customWidth="1"/>
    <col min="11012" max="11012" width="9.125" style="1437" bestFit="1" customWidth="1"/>
    <col min="11013" max="11013" width="9.25" style="1437" bestFit="1" customWidth="1"/>
    <col min="11014" max="11014" width="9.75" style="1437" bestFit="1" customWidth="1"/>
    <col min="11015" max="11016" width="9.125" style="1437" bestFit="1" customWidth="1"/>
    <col min="11017" max="11017" width="8.625" style="1437" bestFit="1" customWidth="1"/>
    <col min="11018" max="11264" width="15.125" style="1437"/>
    <col min="11265" max="11265" width="27.375" style="1437" customWidth="1"/>
    <col min="11266" max="11266" width="9.625" style="1437" bestFit="1" customWidth="1"/>
    <col min="11267" max="11267" width="8" style="1437" customWidth="1"/>
    <col min="11268" max="11268" width="9.125" style="1437" bestFit="1" customWidth="1"/>
    <col min="11269" max="11269" width="9.25" style="1437" bestFit="1" customWidth="1"/>
    <col min="11270" max="11270" width="9.75" style="1437" bestFit="1" customWidth="1"/>
    <col min="11271" max="11272" width="9.125" style="1437" bestFit="1" customWidth="1"/>
    <col min="11273" max="11273" width="8.625" style="1437" bestFit="1" customWidth="1"/>
    <col min="11274" max="11520" width="15.125" style="1437"/>
    <col min="11521" max="11521" width="27.375" style="1437" customWidth="1"/>
    <col min="11522" max="11522" width="9.625" style="1437" bestFit="1" customWidth="1"/>
    <col min="11523" max="11523" width="8" style="1437" customWidth="1"/>
    <col min="11524" max="11524" width="9.125" style="1437" bestFit="1" customWidth="1"/>
    <col min="11525" max="11525" width="9.25" style="1437" bestFit="1" customWidth="1"/>
    <col min="11526" max="11526" width="9.75" style="1437" bestFit="1" customWidth="1"/>
    <col min="11527" max="11528" width="9.125" style="1437" bestFit="1" customWidth="1"/>
    <col min="11529" max="11529" width="8.625" style="1437" bestFit="1" customWidth="1"/>
    <col min="11530" max="11776" width="15.125" style="1437"/>
    <col min="11777" max="11777" width="27.375" style="1437" customWidth="1"/>
    <col min="11778" max="11778" width="9.625" style="1437" bestFit="1" customWidth="1"/>
    <col min="11779" max="11779" width="8" style="1437" customWidth="1"/>
    <col min="11780" max="11780" width="9.125" style="1437" bestFit="1" customWidth="1"/>
    <col min="11781" max="11781" width="9.25" style="1437" bestFit="1" customWidth="1"/>
    <col min="11782" max="11782" width="9.75" style="1437" bestFit="1" customWidth="1"/>
    <col min="11783" max="11784" width="9.125" style="1437" bestFit="1" customWidth="1"/>
    <col min="11785" max="11785" width="8.625" style="1437" bestFit="1" customWidth="1"/>
    <col min="11786" max="12032" width="15.125" style="1437"/>
    <col min="12033" max="12033" width="27.375" style="1437" customWidth="1"/>
    <col min="12034" max="12034" width="9.625" style="1437" bestFit="1" customWidth="1"/>
    <col min="12035" max="12035" width="8" style="1437" customWidth="1"/>
    <col min="12036" max="12036" width="9.125" style="1437" bestFit="1" customWidth="1"/>
    <col min="12037" max="12037" width="9.25" style="1437" bestFit="1" customWidth="1"/>
    <col min="12038" max="12038" width="9.75" style="1437" bestFit="1" customWidth="1"/>
    <col min="12039" max="12040" width="9.125" style="1437" bestFit="1" customWidth="1"/>
    <col min="12041" max="12041" width="8.625" style="1437" bestFit="1" customWidth="1"/>
    <col min="12042" max="12288" width="15.125" style="1437"/>
    <col min="12289" max="12289" width="27.375" style="1437" customWidth="1"/>
    <col min="12290" max="12290" width="9.625" style="1437" bestFit="1" customWidth="1"/>
    <col min="12291" max="12291" width="8" style="1437" customWidth="1"/>
    <col min="12292" max="12292" width="9.125" style="1437" bestFit="1" customWidth="1"/>
    <col min="12293" max="12293" width="9.25" style="1437" bestFit="1" customWidth="1"/>
    <col min="12294" max="12294" width="9.75" style="1437" bestFit="1" customWidth="1"/>
    <col min="12295" max="12296" width="9.125" style="1437" bestFit="1" customWidth="1"/>
    <col min="12297" max="12297" width="8.625" style="1437" bestFit="1" customWidth="1"/>
    <col min="12298" max="12544" width="15.125" style="1437"/>
    <col min="12545" max="12545" width="27.375" style="1437" customWidth="1"/>
    <col min="12546" max="12546" width="9.625" style="1437" bestFit="1" customWidth="1"/>
    <col min="12547" max="12547" width="8" style="1437" customWidth="1"/>
    <col min="12548" max="12548" width="9.125" style="1437" bestFit="1" customWidth="1"/>
    <col min="12549" max="12549" width="9.25" style="1437" bestFit="1" customWidth="1"/>
    <col min="12550" max="12550" width="9.75" style="1437" bestFit="1" customWidth="1"/>
    <col min="12551" max="12552" width="9.125" style="1437" bestFit="1" customWidth="1"/>
    <col min="12553" max="12553" width="8.625" style="1437" bestFit="1" customWidth="1"/>
    <col min="12554" max="12800" width="15.125" style="1437"/>
    <col min="12801" max="12801" width="27.375" style="1437" customWidth="1"/>
    <col min="12802" max="12802" width="9.625" style="1437" bestFit="1" customWidth="1"/>
    <col min="12803" max="12803" width="8" style="1437" customWidth="1"/>
    <col min="12804" max="12804" width="9.125" style="1437" bestFit="1" customWidth="1"/>
    <col min="12805" max="12805" width="9.25" style="1437" bestFit="1" customWidth="1"/>
    <col min="12806" max="12806" width="9.75" style="1437" bestFit="1" customWidth="1"/>
    <col min="12807" max="12808" width="9.125" style="1437" bestFit="1" customWidth="1"/>
    <col min="12809" max="12809" width="8.625" style="1437" bestFit="1" customWidth="1"/>
    <col min="12810" max="13056" width="15.125" style="1437"/>
    <col min="13057" max="13057" width="27.375" style="1437" customWidth="1"/>
    <col min="13058" max="13058" width="9.625" style="1437" bestFit="1" customWidth="1"/>
    <col min="13059" max="13059" width="8" style="1437" customWidth="1"/>
    <col min="13060" max="13060" width="9.125" style="1437" bestFit="1" customWidth="1"/>
    <col min="13061" max="13061" width="9.25" style="1437" bestFit="1" customWidth="1"/>
    <col min="13062" max="13062" width="9.75" style="1437" bestFit="1" customWidth="1"/>
    <col min="13063" max="13064" width="9.125" style="1437" bestFit="1" customWidth="1"/>
    <col min="13065" max="13065" width="8.625" style="1437" bestFit="1" customWidth="1"/>
    <col min="13066" max="13312" width="15.125" style="1437"/>
    <col min="13313" max="13313" width="27.375" style="1437" customWidth="1"/>
    <col min="13314" max="13314" width="9.625" style="1437" bestFit="1" customWidth="1"/>
    <col min="13315" max="13315" width="8" style="1437" customWidth="1"/>
    <col min="13316" max="13316" width="9.125" style="1437" bestFit="1" customWidth="1"/>
    <col min="13317" max="13317" width="9.25" style="1437" bestFit="1" customWidth="1"/>
    <col min="13318" max="13318" width="9.75" style="1437" bestFit="1" customWidth="1"/>
    <col min="13319" max="13320" width="9.125" style="1437" bestFit="1" customWidth="1"/>
    <col min="13321" max="13321" width="8.625" style="1437" bestFit="1" customWidth="1"/>
    <col min="13322" max="13568" width="15.125" style="1437"/>
    <col min="13569" max="13569" width="27.375" style="1437" customWidth="1"/>
    <col min="13570" max="13570" width="9.625" style="1437" bestFit="1" customWidth="1"/>
    <col min="13571" max="13571" width="8" style="1437" customWidth="1"/>
    <col min="13572" max="13572" width="9.125" style="1437" bestFit="1" customWidth="1"/>
    <col min="13573" max="13573" width="9.25" style="1437" bestFit="1" customWidth="1"/>
    <col min="13574" max="13574" width="9.75" style="1437" bestFit="1" customWidth="1"/>
    <col min="13575" max="13576" width="9.125" style="1437" bestFit="1" customWidth="1"/>
    <col min="13577" max="13577" width="8.625" style="1437" bestFit="1" customWidth="1"/>
    <col min="13578" max="13824" width="15.125" style="1437"/>
    <col min="13825" max="13825" width="27.375" style="1437" customWidth="1"/>
    <col min="13826" max="13826" width="9.625" style="1437" bestFit="1" customWidth="1"/>
    <col min="13827" max="13827" width="8" style="1437" customWidth="1"/>
    <col min="13828" max="13828" width="9.125" style="1437" bestFit="1" customWidth="1"/>
    <col min="13829" max="13829" width="9.25" style="1437" bestFit="1" customWidth="1"/>
    <col min="13830" max="13830" width="9.75" style="1437" bestFit="1" customWidth="1"/>
    <col min="13831" max="13832" width="9.125" style="1437" bestFit="1" customWidth="1"/>
    <col min="13833" max="13833" width="8.625" style="1437" bestFit="1" customWidth="1"/>
    <col min="13834" max="14080" width="15.125" style="1437"/>
    <col min="14081" max="14081" width="27.375" style="1437" customWidth="1"/>
    <col min="14082" max="14082" width="9.625" style="1437" bestFit="1" customWidth="1"/>
    <col min="14083" max="14083" width="8" style="1437" customWidth="1"/>
    <col min="14084" max="14084" width="9.125" style="1437" bestFit="1" customWidth="1"/>
    <col min="14085" max="14085" width="9.25" style="1437" bestFit="1" customWidth="1"/>
    <col min="14086" max="14086" width="9.75" style="1437" bestFit="1" customWidth="1"/>
    <col min="14087" max="14088" width="9.125" style="1437" bestFit="1" customWidth="1"/>
    <col min="14089" max="14089" width="8.625" style="1437" bestFit="1" customWidth="1"/>
    <col min="14090" max="14336" width="15.125" style="1437"/>
    <col min="14337" max="14337" width="27.375" style="1437" customWidth="1"/>
    <col min="14338" max="14338" width="9.625" style="1437" bestFit="1" customWidth="1"/>
    <col min="14339" max="14339" width="8" style="1437" customWidth="1"/>
    <col min="14340" max="14340" width="9.125" style="1437" bestFit="1" customWidth="1"/>
    <col min="14341" max="14341" width="9.25" style="1437" bestFit="1" customWidth="1"/>
    <col min="14342" max="14342" width="9.75" style="1437" bestFit="1" customWidth="1"/>
    <col min="14343" max="14344" width="9.125" style="1437" bestFit="1" customWidth="1"/>
    <col min="14345" max="14345" width="8.625" style="1437" bestFit="1" customWidth="1"/>
    <col min="14346" max="14592" width="15.125" style="1437"/>
    <col min="14593" max="14593" width="27.375" style="1437" customWidth="1"/>
    <col min="14594" max="14594" width="9.625" style="1437" bestFit="1" customWidth="1"/>
    <col min="14595" max="14595" width="8" style="1437" customWidth="1"/>
    <col min="14596" max="14596" width="9.125" style="1437" bestFit="1" customWidth="1"/>
    <col min="14597" max="14597" width="9.25" style="1437" bestFit="1" customWidth="1"/>
    <col min="14598" max="14598" width="9.75" style="1437" bestFit="1" customWidth="1"/>
    <col min="14599" max="14600" width="9.125" style="1437" bestFit="1" customWidth="1"/>
    <col min="14601" max="14601" width="8.625" style="1437" bestFit="1" customWidth="1"/>
    <col min="14602" max="14848" width="15.125" style="1437"/>
    <col min="14849" max="14849" width="27.375" style="1437" customWidth="1"/>
    <col min="14850" max="14850" width="9.625" style="1437" bestFit="1" customWidth="1"/>
    <col min="14851" max="14851" width="8" style="1437" customWidth="1"/>
    <col min="14852" max="14852" width="9.125" style="1437" bestFit="1" customWidth="1"/>
    <col min="14853" max="14853" width="9.25" style="1437" bestFit="1" customWidth="1"/>
    <col min="14854" max="14854" width="9.75" style="1437" bestFit="1" customWidth="1"/>
    <col min="14855" max="14856" width="9.125" style="1437" bestFit="1" customWidth="1"/>
    <col min="14857" max="14857" width="8.625" style="1437" bestFit="1" customWidth="1"/>
    <col min="14858" max="15104" width="15.125" style="1437"/>
    <col min="15105" max="15105" width="27.375" style="1437" customWidth="1"/>
    <col min="15106" max="15106" width="9.625" style="1437" bestFit="1" customWidth="1"/>
    <col min="15107" max="15107" width="8" style="1437" customWidth="1"/>
    <col min="15108" max="15108" width="9.125" style="1437" bestFit="1" customWidth="1"/>
    <col min="15109" max="15109" width="9.25" style="1437" bestFit="1" customWidth="1"/>
    <col min="15110" max="15110" width="9.75" style="1437" bestFit="1" customWidth="1"/>
    <col min="15111" max="15112" width="9.125" style="1437" bestFit="1" customWidth="1"/>
    <col min="15113" max="15113" width="8.625" style="1437" bestFit="1" customWidth="1"/>
    <col min="15114" max="15360" width="15.125" style="1437"/>
    <col min="15361" max="15361" width="27.375" style="1437" customWidth="1"/>
    <col min="15362" max="15362" width="9.625" style="1437" bestFit="1" customWidth="1"/>
    <col min="15363" max="15363" width="8" style="1437" customWidth="1"/>
    <col min="15364" max="15364" width="9.125" style="1437" bestFit="1" customWidth="1"/>
    <col min="15365" max="15365" width="9.25" style="1437" bestFit="1" customWidth="1"/>
    <col min="15366" max="15366" width="9.75" style="1437" bestFit="1" customWidth="1"/>
    <col min="15367" max="15368" width="9.125" style="1437" bestFit="1" customWidth="1"/>
    <col min="15369" max="15369" width="8.625" style="1437" bestFit="1" customWidth="1"/>
    <col min="15370" max="15616" width="15.125" style="1437"/>
    <col min="15617" max="15617" width="27.375" style="1437" customWidth="1"/>
    <col min="15618" max="15618" width="9.625" style="1437" bestFit="1" customWidth="1"/>
    <col min="15619" max="15619" width="8" style="1437" customWidth="1"/>
    <col min="15620" max="15620" width="9.125" style="1437" bestFit="1" customWidth="1"/>
    <col min="15621" max="15621" width="9.25" style="1437" bestFit="1" customWidth="1"/>
    <col min="15622" max="15622" width="9.75" style="1437" bestFit="1" customWidth="1"/>
    <col min="15623" max="15624" width="9.125" style="1437" bestFit="1" customWidth="1"/>
    <col min="15625" max="15625" width="8.625" style="1437" bestFit="1" customWidth="1"/>
    <col min="15626" max="15872" width="15.125" style="1437"/>
    <col min="15873" max="15873" width="27.375" style="1437" customWidth="1"/>
    <col min="15874" max="15874" width="9.625" style="1437" bestFit="1" customWidth="1"/>
    <col min="15875" max="15875" width="8" style="1437" customWidth="1"/>
    <col min="15876" max="15876" width="9.125" style="1437" bestFit="1" customWidth="1"/>
    <col min="15877" max="15877" width="9.25" style="1437" bestFit="1" customWidth="1"/>
    <col min="15878" max="15878" width="9.75" style="1437" bestFit="1" customWidth="1"/>
    <col min="15879" max="15880" width="9.125" style="1437" bestFit="1" customWidth="1"/>
    <col min="15881" max="15881" width="8.625" style="1437" bestFit="1" customWidth="1"/>
    <col min="15882" max="16128" width="15.125" style="1437"/>
    <col min="16129" max="16129" width="27.375" style="1437" customWidth="1"/>
    <col min="16130" max="16130" width="9.625" style="1437" bestFit="1" customWidth="1"/>
    <col min="16131" max="16131" width="8" style="1437" customWidth="1"/>
    <col min="16132" max="16132" width="9.125" style="1437" bestFit="1" customWidth="1"/>
    <col min="16133" max="16133" width="9.25" style="1437" bestFit="1" customWidth="1"/>
    <col min="16134" max="16134" width="9.75" style="1437" bestFit="1" customWidth="1"/>
    <col min="16135" max="16136" width="9.125" style="1437" bestFit="1" customWidth="1"/>
    <col min="16137" max="16137" width="8.625" style="1437" bestFit="1" customWidth="1"/>
    <col min="16138" max="16384" width="15.125" style="1437"/>
  </cols>
  <sheetData>
    <row r="1" spans="1:10" ht="41.45" customHeight="1">
      <c r="A1" s="1436"/>
    </row>
    <row r="2" spans="1:10" s="1438" customFormat="1">
      <c r="A2" s="2675" t="s">
        <v>297</v>
      </c>
      <c r="B2" s="2675"/>
      <c r="C2" s="2675"/>
      <c r="D2" s="2675"/>
      <c r="E2" s="2675"/>
      <c r="F2" s="2675"/>
      <c r="G2" s="2675"/>
      <c r="H2" s="2675"/>
      <c r="I2" s="2675"/>
    </row>
    <row r="3" spans="1:10" s="1440" customFormat="1" ht="15.75">
      <c r="A3" s="2676" t="s">
        <v>1171</v>
      </c>
      <c r="B3" s="2676"/>
      <c r="C3" s="2676"/>
      <c r="D3" s="2676"/>
      <c r="E3" s="2676"/>
      <c r="F3" s="2676"/>
      <c r="G3" s="2676"/>
      <c r="H3" s="2676"/>
      <c r="I3" s="2676"/>
      <c r="J3" s="1439"/>
    </row>
    <row r="4" spans="1:10" s="1440" customFormat="1">
      <c r="A4" s="1439"/>
      <c r="B4" s="1439"/>
      <c r="C4" s="2676" t="s">
        <v>1586</v>
      </c>
      <c r="D4" s="2676"/>
      <c r="E4" s="2676"/>
      <c r="F4" s="1439"/>
      <c r="G4" s="1439"/>
      <c r="H4" s="1439"/>
      <c r="I4" s="1439"/>
      <c r="J4" s="1439"/>
    </row>
    <row r="5" spans="1:10" s="1440" customFormat="1">
      <c r="A5" s="1441"/>
      <c r="B5" s="1441"/>
      <c r="C5" s="1441"/>
      <c r="D5" s="1441"/>
      <c r="E5" s="1441"/>
      <c r="F5" s="1441"/>
      <c r="G5" s="1441"/>
      <c r="I5" s="1441"/>
    </row>
    <row r="6" spans="1:10" s="1438" customFormat="1" ht="15.75">
      <c r="A6" s="1442"/>
      <c r="B6" s="1443" t="s">
        <v>592</v>
      </c>
      <c r="C6" s="1444"/>
      <c r="D6" s="1444"/>
      <c r="E6" s="1444"/>
      <c r="F6" s="1445"/>
      <c r="G6" s="1446"/>
      <c r="H6" s="2677" t="s">
        <v>77</v>
      </c>
      <c r="I6" s="2678"/>
    </row>
    <row r="7" spans="1:10" s="1438" customFormat="1" ht="15.75">
      <c r="A7" s="1447" t="s">
        <v>485</v>
      </c>
      <c r="B7" s="1448" t="s">
        <v>1587</v>
      </c>
      <c r="C7" s="1449" t="s">
        <v>1588</v>
      </c>
      <c r="D7" s="1448" t="s">
        <v>1589</v>
      </c>
      <c r="E7" s="1449" t="s">
        <v>1590</v>
      </c>
      <c r="F7" s="1450" t="s">
        <v>465</v>
      </c>
      <c r="G7" s="1451" t="s">
        <v>1591</v>
      </c>
      <c r="H7" s="1452" t="s">
        <v>464</v>
      </c>
      <c r="I7" s="1453"/>
      <c r="J7" s="1454"/>
    </row>
    <row r="8" spans="1:10" s="1438" customFormat="1" ht="13.5" thickBot="1">
      <c r="A8" s="1455" t="s">
        <v>310</v>
      </c>
      <c r="B8" s="1456" t="s">
        <v>311</v>
      </c>
      <c r="C8" s="1457" t="s">
        <v>484</v>
      </c>
      <c r="D8" s="1458" t="s">
        <v>311</v>
      </c>
      <c r="E8" s="1457" t="s">
        <v>483</v>
      </c>
      <c r="F8" s="1458" t="s">
        <v>1584</v>
      </c>
      <c r="G8" s="1458" t="s">
        <v>1584</v>
      </c>
      <c r="H8" s="1459" t="s">
        <v>315</v>
      </c>
      <c r="I8" s="1460" t="s">
        <v>316</v>
      </c>
      <c r="J8" s="1454"/>
    </row>
    <row r="9" spans="1:10" s="1438" customFormat="1" ht="13.5" thickTop="1">
      <c r="A9" s="1461" t="s">
        <v>2</v>
      </c>
      <c r="B9" s="1462" t="s">
        <v>451</v>
      </c>
      <c r="C9" s="1463">
        <v>46409</v>
      </c>
      <c r="D9" s="1463">
        <v>45078.3</v>
      </c>
      <c r="E9" s="1463">
        <v>42640.200000000004</v>
      </c>
      <c r="F9" s="1463">
        <f>F10+F11+F12</f>
        <v>44709.166666666672</v>
      </c>
      <c r="G9" s="1464">
        <v>37162</v>
      </c>
      <c r="H9" s="1465">
        <f t="shared" ref="H9:H21" si="0">F9-G9</f>
        <v>7547.1666666666715</v>
      </c>
      <c r="I9" s="1466">
        <f t="shared" ref="I9:I21" si="1">H9/G9</f>
        <v>0.20308828014279834</v>
      </c>
    </row>
    <row r="10" spans="1:10" s="1472" customFormat="1">
      <c r="A10" s="1467" t="s">
        <v>1159</v>
      </c>
      <c r="B10" s="1462" t="s">
        <v>451</v>
      </c>
      <c r="C10" s="1468">
        <v>38581.199999999997</v>
      </c>
      <c r="D10" s="1468">
        <v>37334.400000000001</v>
      </c>
      <c r="E10" s="1468">
        <v>35243.300000000003</v>
      </c>
      <c r="F10" s="1468">
        <f>(C10+D10+E10)/3</f>
        <v>37052.966666666667</v>
      </c>
      <c r="G10" s="1469">
        <f>G9-G11-G12</f>
        <v>32703</v>
      </c>
      <c r="H10" s="1470">
        <f t="shared" si="0"/>
        <v>4349.9666666666672</v>
      </c>
      <c r="I10" s="1471"/>
    </row>
    <row r="11" spans="1:10" s="1472" customFormat="1">
      <c r="A11" s="1467" t="s">
        <v>479</v>
      </c>
      <c r="B11" s="1462" t="s">
        <v>451</v>
      </c>
      <c r="C11" s="1468">
        <v>4006.8</v>
      </c>
      <c r="D11" s="1468">
        <v>3909.8</v>
      </c>
      <c r="E11" s="1468">
        <v>3788.8</v>
      </c>
      <c r="F11" s="1468">
        <f>(C11+D11+E11)/3</f>
        <v>3901.8000000000006</v>
      </c>
      <c r="G11" s="1469">
        <v>2045</v>
      </c>
      <c r="H11" s="1470">
        <f t="shared" si="0"/>
        <v>1856.8000000000006</v>
      </c>
      <c r="I11" s="1471"/>
    </row>
    <row r="12" spans="1:10" s="1472" customFormat="1">
      <c r="A12" s="1467" t="s">
        <v>478</v>
      </c>
      <c r="B12" s="1462" t="s">
        <v>451</v>
      </c>
      <c r="C12" s="1468">
        <v>3821</v>
      </c>
      <c r="D12" s="1468">
        <v>3834.1</v>
      </c>
      <c r="E12" s="1468">
        <v>3608.1</v>
      </c>
      <c r="F12" s="1468">
        <f>(C12+D12+E12)/3</f>
        <v>3754.4</v>
      </c>
      <c r="G12" s="1469">
        <v>2414</v>
      </c>
      <c r="H12" s="1470">
        <f t="shared" si="0"/>
        <v>1340.4</v>
      </c>
      <c r="I12" s="1471"/>
    </row>
    <row r="13" spans="1:10" s="1438" customFormat="1">
      <c r="A13" s="1473" t="s">
        <v>590</v>
      </c>
      <c r="B13" s="1462" t="s">
        <v>451</v>
      </c>
      <c r="C13" s="1474">
        <v>26058.800000000003</v>
      </c>
      <c r="D13" s="1475"/>
      <c r="E13" s="1476">
        <v>24125.7</v>
      </c>
      <c r="F13" s="1477">
        <f>F14+F15+F16</f>
        <v>25092.250000000004</v>
      </c>
      <c r="G13" s="1478">
        <f>G14+G15+G16</f>
        <v>22228</v>
      </c>
      <c r="H13" s="1479">
        <f t="shared" si="0"/>
        <v>2864.2500000000036</v>
      </c>
      <c r="I13" s="1480">
        <f t="shared" si="1"/>
        <v>0.12885774698578387</v>
      </c>
    </row>
    <row r="14" spans="1:10" s="1472" customFormat="1">
      <c r="A14" s="1481" t="s">
        <v>589</v>
      </c>
      <c r="B14" s="1462" t="s">
        <v>451</v>
      </c>
      <c r="C14" s="1482">
        <v>22571.7</v>
      </c>
      <c r="D14" s="1462"/>
      <c r="E14" s="1482">
        <v>20776.400000000001</v>
      </c>
      <c r="F14" s="1483">
        <f>(C14+E14)/2</f>
        <v>21674.050000000003</v>
      </c>
      <c r="G14" s="1484">
        <v>19250</v>
      </c>
      <c r="H14" s="1485">
        <f t="shared" si="0"/>
        <v>2424.0500000000029</v>
      </c>
      <c r="I14" s="1471">
        <f t="shared" si="1"/>
        <v>0.12592467532467547</v>
      </c>
    </row>
    <row r="15" spans="1:10" s="1472" customFormat="1">
      <c r="A15" s="1486" t="s">
        <v>474</v>
      </c>
      <c r="B15" s="1462" t="s">
        <v>451</v>
      </c>
      <c r="C15" s="1482">
        <v>1077.2</v>
      </c>
      <c r="D15" s="1462"/>
      <c r="E15" s="1482">
        <v>1019.7</v>
      </c>
      <c r="F15" s="1483">
        <f>(C15+E15)/2</f>
        <v>1048.45</v>
      </c>
      <c r="G15" s="1484">
        <v>865</v>
      </c>
      <c r="H15" s="1485">
        <f t="shared" si="0"/>
        <v>183.45000000000005</v>
      </c>
      <c r="I15" s="1471">
        <f t="shared" si="1"/>
        <v>0.21208092485549138</v>
      </c>
    </row>
    <row r="16" spans="1:10" s="1472" customFormat="1">
      <c r="A16" s="1481" t="s">
        <v>473</v>
      </c>
      <c r="B16" s="1462" t="s">
        <v>451</v>
      </c>
      <c r="C16" s="1482">
        <v>2409.9</v>
      </c>
      <c r="D16" s="1462"/>
      <c r="E16" s="1482">
        <v>2329.6</v>
      </c>
      <c r="F16" s="1483">
        <f>(C16+E16)/2</f>
        <v>2369.75</v>
      </c>
      <c r="G16" s="1487">
        <v>2113</v>
      </c>
      <c r="H16" s="1485">
        <f t="shared" si="0"/>
        <v>256.75</v>
      </c>
      <c r="I16" s="1471">
        <f t="shared" si="1"/>
        <v>0.12150970184571699</v>
      </c>
    </row>
    <row r="17" spans="1:10" s="1438" customFormat="1" ht="17.25" customHeight="1">
      <c r="A17" s="1488" t="s">
        <v>5</v>
      </c>
      <c r="B17" s="1462" t="s">
        <v>451</v>
      </c>
      <c r="C17" s="1489">
        <v>9512.9</v>
      </c>
      <c r="D17" s="1489">
        <v>9401.2999999999993</v>
      </c>
      <c r="E17" s="1489">
        <v>8960.6</v>
      </c>
      <c r="F17" s="1490">
        <f>SUM(C17+D17+E17)/3</f>
        <v>9291.5999999999985</v>
      </c>
      <c r="G17" s="1491">
        <v>9105</v>
      </c>
      <c r="H17" s="1492">
        <f t="shared" si="0"/>
        <v>186.59999999999854</v>
      </c>
      <c r="I17" s="1480">
        <f t="shared" si="1"/>
        <v>2.0494233937396876E-2</v>
      </c>
    </row>
    <row r="18" spans="1:10" s="1438" customFormat="1">
      <c r="A18" s="1488" t="s">
        <v>4</v>
      </c>
      <c r="B18" s="1462" t="s">
        <v>451</v>
      </c>
      <c r="C18" s="1489">
        <v>10744.7</v>
      </c>
      <c r="D18" s="1489">
        <v>10354.6</v>
      </c>
      <c r="E18" s="1489">
        <v>9608.5</v>
      </c>
      <c r="F18" s="1490">
        <f>SUM(C18+D18+E18)/3</f>
        <v>10235.933333333334</v>
      </c>
      <c r="G18" s="1491">
        <v>8734</v>
      </c>
      <c r="H18" s="1492">
        <f t="shared" si="0"/>
        <v>1501.9333333333343</v>
      </c>
      <c r="I18" s="1480">
        <f t="shared" si="1"/>
        <v>0.17196397221586149</v>
      </c>
    </row>
    <row r="19" spans="1:10" s="1438" customFormat="1">
      <c r="A19" s="1488" t="s">
        <v>6</v>
      </c>
      <c r="B19" s="1493" t="s">
        <v>451</v>
      </c>
      <c r="C19" s="1489">
        <v>4424</v>
      </c>
      <c r="D19" s="1489">
        <v>4111.2</v>
      </c>
      <c r="E19" s="1489">
        <v>3897.7</v>
      </c>
      <c r="F19" s="1494">
        <f>SUM(C19+D19+E19)/3</f>
        <v>4144.3</v>
      </c>
      <c r="G19" s="1491">
        <v>4213</v>
      </c>
      <c r="H19" s="1492">
        <f t="shared" si="0"/>
        <v>-68.699999999999818</v>
      </c>
      <c r="I19" s="1480">
        <f t="shared" si="1"/>
        <v>-1.6306669831473965E-2</v>
      </c>
    </row>
    <row r="20" spans="1:10" s="1438" customFormat="1" ht="13.5" thickBot="1">
      <c r="A20" s="1473" t="s">
        <v>7</v>
      </c>
      <c r="B20" s="1462" t="s">
        <v>451</v>
      </c>
      <c r="C20" s="1489">
        <v>13195.7</v>
      </c>
      <c r="D20" s="1489">
        <v>12617.3</v>
      </c>
      <c r="E20" s="1489">
        <v>11881.3</v>
      </c>
      <c r="F20" s="1494">
        <f>SUM(C20+D20+E20)/3</f>
        <v>12564.766666666668</v>
      </c>
      <c r="G20" s="1491">
        <v>11762</v>
      </c>
      <c r="H20" s="1492">
        <f t="shared" si="0"/>
        <v>802.76666666666824</v>
      </c>
      <c r="I20" s="1495">
        <f t="shared" si="1"/>
        <v>6.8250864365470856E-2</v>
      </c>
    </row>
    <row r="21" spans="1:10" s="1438" customFormat="1" ht="13.5" thickTop="1">
      <c r="A21" s="1496" t="s">
        <v>472</v>
      </c>
      <c r="B21" s="1497" t="s">
        <v>451</v>
      </c>
      <c r="C21" s="1497">
        <v>110345.09999999999</v>
      </c>
      <c r="D21" s="1497">
        <v>81562.700000000012</v>
      </c>
      <c r="E21" s="1497">
        <v>101114.00000000001</v>
      </c>
      <c r="F21" s="1497">
        <f>F9+F13+F17+F18+F19+F20</f>
        <v>106038.01666666666</v>
      </c>
      <c r="G21" s="1497">
        <f>G9+G13+G17+G18+G19+G20</f>
        <v>93204</v>
      </c>
      <c r="H21" s="1497">
        <f t="shared" si="0"/>
        <v>12834.016666666663</v>
      </c>
      <c r="I21" s="1498">
        <f t="shared" si="1"/>
        <v>0.13769813169677977</v>
      </c>
    </row>
    <row r="22" spans="1:10" s="1438" customFormat="1">
      <c r="A22" s="1499"/>
      <c r="B22" s="1500"/>
      <c r="C22" s="1500"/>
      <c r="D22" s="1500"/>
      <c r="E22" s="1500"/>
      <c r="F22" s="1500"/>
      <c r="G22" s="1500"/>
      <c r="H22" s="1500"/>
      <c r="I22" s="1501"/>
    </row>
    <row r="23" spans="1:10" s="1438" customFormat="1">
      <c r="A23" s="2679" t="s">
        <v>588</v>
      </c>
      <c r="B23" s="1443" t="s">
        <v>77</v>
      </c>
      <c r="C23" s="1444"/>
      <c r="D23" s="1444"/>
      <c r="E23" s="1444"/>
      <c r="F23" s="1445"/>
      <c r="G23" s="1502"/>
      <c r="H23" s="2682" t="s">
        <v>77</v>
      </c>
      <c r="I23" s="2683"/>
    </row>
    <row r="24" spans="1:10" s="1438" customFormat="1" ht="15.75">
      <c r="A24" s="2680"/>
      <c r="B24" s="1448" t="s">
        <v>1587</v>
      </c>
      <c r="C24" s="1449" t="s">
        <v>1588</v>
      </c>
      <c r="D24" s="1448" t="s">
        <v>1589</v>
      </c>
      <c r="E24" s="1449" t="s">
        <v>1590</v>
      </c>
      <c r="F24" s="1450" t="s">
        <v>465</v>
      </c>
      <c r="G24" s="1451" t="s">
        <v>1591</v>
      </c>
      <c r="H24" s="1452" t="s">
        <v>464</v>
      </c>
      <c r="I24" s="1453"/>
    </row>
    <row r="25" spans="1:10" s="1438" customFormat="1" ht="13.5" thickBot="1">
      <c r="A25" s="2681"/>
      <c r="B25" s="1456" t="s">
        <v>311</v>
      </c>
      <c r="C25" s="1503" t="s">
        <v>484</v>
      </c>
      <c r="D25" s="1504" t="s">
        <v>311</v>
      </c>
      <c r="E25" s="1503" t="s">
        <v>483</v>
      </c>
      <c r="F25" s="1504" t="s">
        <v>1584</v>
      </c>
      <c r="G25" s="1458" t="s">
        <v>1584</v>
      </c>
      <c r="H25" s="1459" t="s">
        <v>315</v>
      </c>
      <c r="I25" s="1460" t="s">
        <v>316</v>
      </c>
    </row>
    <row r="26" spans="1:10" s="1438" customFormat="1" ht="26.25" thickTop="1">
      <c r="A26" s="1505" t="s">
        <v>582</v>
      </c>
      <c r="B26" s="1489">
        <v>46404</v>
      </c>
      <c r="C26" s="1489">
        <v>121309</v>
      </c>
      <c r="D26" s="1489">
        <v>119208</v>
      </c>
      <c r="E26" s="1506">
        <v>114067</v>
      </c>
      <c r="F26" s="1507">
        <f>SUM(B26:E26)/3</f>
        <v>133662.66666666666</v>
      </c>
      <c r="G26" s="1508">
        <f>G42-G27-G30-G31-G37</f>
        <v>132342</v>
      </c>
      <c r="H26" s="1509">
        <f>F26-G26</f>
        <v>1320.666666666657</v>
      </c>
      <c r="I26" s="1480">
        <f>H26/G26</f>
        <v>9.979195317183184E-3</v>
      </c>
    </row>
    <row r="27" spans="1:10" s="1518" customFormat="1">
      <c r="A27" s="1510" t="s">
        <v>581</v>
      </c>
      <c r="B27" s="1511">
        <v>4334</v>
      </c>
      <c r="C27" s="1512">
        <v>7218</v>
      </c>
      <c r="D27" s="1512">
        <v>7309</v>
      </c>
      <c r="E27" s="1513">
        <v>7017</v>
      </c>
      <c r="F27" s="1514">
        <f>F28+F29</f>
        <v>8626</v>
      </c>
      <c r="G27" s="1515">
        <v>6200</v>
      </c>
      <c r="H27" s="1516">
        <f>F27-G27</f>
        <v>2426</v>
      </c>
      <c r="I27" s="1480">
        <f>H27/G27</f>
        <v>0.39129032258064517</v>
      </c>
      <c r="J27" s="1517"/>
    </row>
    <row r="28" spans="1:10" s="1525" customFormat="1">
      <c r="A28" s="1519" t="s">
        <v>460</v>
      </c>
      <c r="B28" s="1520">
        <v>4296</v>
      </c>
      <c r="C28" s="1520">
        <v>6970</v>
      </c>
      <c r="D28" s="1520">
        <v>7014</v>
      </c>
      <c r="E28" s="1521">
        <v>6455</v>
      </c>
      <c r="F28" s="1470">
        <f>SUM(B28:E28)/3</f>
        <v>8245</v>
      </c>
      <c r="G28" s="1522"/>
      <c r="H28" s="1523"/>
      <c r="I28" s="1480"/>
      <c r="J28" s="1524"/>
    </row>
    <row r="29" spans="1:10" s="1525" customFormat="1">
      <c r="A29" s="1519" t="s">
        <v>459</v>
      </c>
      <c r="B29" s="1520">
        <v>38</v>
      </c>
      <c r="C29" s="1520">
        <v>248</v>
      </c>
      <c r="D29" s="1520">
        <v>295</v>
      </c>
      <c r="E29" s="1521">
        <v>562</v>
      </c>
      <c r="F29" s="1470">
        <f>SUM(B29:E29)/3</f>
        <v>381</v>
      </c>
      <c r="G29" s="1526"/>
      <c r="H29" s="1523"/>
      <c r="I29" s="1480"/>
      <c r="J29" s="1524"/>
    </row>
    <row r="30" spans="1:10" s="1438" customFormat="1" ht="15.75">
      <c r="A30" s="1527" t="s">
        <v>599</v>
      </c>
      <c r="B30" s="1528">
        <v>114</v>
      </c>
      <c r="C30" s="1528">
        <v>478</v>
      </c>
      <c r="D30" s="1528">
        <v>534</v>
      </c>
      <c r="E30" s="1529">
        <v>530</v>
      </c>
      <c r="F30" s="1514">
        <f>SUM(B30:E30)/3</f>
        <v>552</v>
      </c>
      <c r="G30" s="1530">
        <v>220</v>
      </c>
      <c r="H30" s="1530">
        <f>F30-G30</f>
        <v>332</v>
      </c>
      <c r="I30" s="1480">
        <f>H30/G30</f>
        <v>1.509090909090909</v>
      </c>
    </row>
    <row r="31" spans="1:10" s="1438" customFormat="1" ht="15.75">
      <c r="A31" s="1531" t="s">
        <v>579</v>
      </c>
      <c r="B31" s="1493">
        <v>0</v>
      </c>
      <c r="C31" s="1493">
        <v>169.3</v>
      </c>
      <c r="D31" s="1493">
        <v>141.29999999999998</v>
      </c>
      <c r="E31" s="1532">
        <v>164</v>
      </c>
      <c r="F31" s="1493">
        <f>F32+F33+F34+F35+F36</f>
        <v>169.4</v>
      </c>
      <c r="G31" s="1514">
        <v>165</v>
      </c>
      <c r="H31" s="1492">
        <f>F31-G31</f>
        <v>4.4000000000000057</v>
      </c>
      <c r="I31" s="1480">
        <f>H31/G31</f>
        <v>2.66666666666667E-2</v>
      </c>
    </row>
    <row r="32" spans="1:10" s="1472" customFormat="1">
      <c r="A32" s="1533" t="s">
        <v>455</v>
      </c>
      <c r="B32" s="1534">
        <v>0</v>
      </c>
      <c r="C32" s="1534">
        <v>49.3</v>
      </c>
      <c r="D32" s="1534">
        <v>39.1</v>
      </c>
      <c r="E32" s="1534">
        <v>35.700000000000003</v>
      </c>
      <c r="F32" s="1535">
        <f>(B32+C32+D32+E32)/3</f>
        <v>41.366666666666667</v>
      </c>
      <c r="G32" s="1536"/>
      <c r="H32" s="1537"/>
      <c r="I32" s="1538"/>
    </row>
    <row r="33" spans="1:10" s="1472" customFormat="1">
      <c r="A33" s="1533" t="s">
        <v>454</v>
      </c>
      <c r="B33" s="1534">
        <v>0</v>
      </c>
      <c r="C33" s="1534">
        <v>69.5</v>
      </c>
      <c r="D33" s="1534">
        <v>90.1</v>
      </c>
      <c r="E33" s="1534">
        <v>83.8</v>
      </c>
      <c r="F33" s="1535">
        <f>(B33+C33+D33+E33)/3</f>
        <v>81.133333333333326</v>
      </c>
      <c r="G33" s="1536"/>
      <c r="H33" s="1537"/>
      <c r="I33" s="1538"/>
    </row>
    <row r="34" spans="1:10" s="1472" customFormat="1">
      <c r="A34" s="1533" t="s">
        <v>453</v>
      </c>
      <c r="B34" s="1534">
        <v>0</v>
      </c>
      <c r="C34" s="1534">
        <v>16</v>
      </c>
      <c r="D34" s="1534">
        <v>12.1</v>
      </c>
      <c r="E34" s="1534">
        <v>11.8</v>
      </c>
      <c r="F34" s="1535">
        <f>(B34+C34+D34+E34)/3</f>
        <v>13.300000000000002</v>
      </c>
      <c r="G34" s="1536"/>
      <c r="H34" s="1537"/>
      <c r="I34" s="1538"/>
    </row>
    <row r="35" spans="1:10" s="1472" customFormat="1">
      <c r="A35" s="1533" t="s">
        <v>1152</v>
      </c>
      <c r="B35" s="1534">
        <v>0</v>
      </c>
      <c r="C35" s="1534">
        <v>34.5</v>
      </c>
      <c r="D35" s="1534">
        <v>0</v>
      </c>
      <c r="E35" s="1534">
        <v>32.700000000000003</v>
      </c>
      <c r="F35" s="1483">
        <f>(C35+E35)/2</f>
        <v>33.6</v>
      </c>
      <c r="G35" s="1470">
        <v>30</v>
      </c>
      <c r="H35" s="1537"/>
      <c r="I35" s="1538"/>
    </row>
    <row r="36" spans="1:10" s="1472" customFormat="1">
      <c r="A36" s="1533"/>
      <c r="B36" s="1534"/>
      <c r="C36" s="1534"/>
      <c r="D36" s="1534"/>
      <c r="E36" s="1534"/>
      <c r="F36" s="1539"/>
      <c r="G36" s="1470"/>
      <c r="H36" s="1537"/>
      <c r="I36" s="1538"/>
    </row>
    <row r="37" spans="1:10" s="1438" customFormat="1" ht="15.75">
      <c r="A37" s="1527" t="s">
        <v>576</v>
      </c>
      <c r="B37" s="1493">
        <v>102.7</v>
      </c>
      <c r="C37" s="1493">
        <v>249.5</v>
      </c>
      <c r="D37" s="1493">
        <v>247.1</v>
      </c>
      <c r="E37" s="1493">
        <v>247</v>
      </c>
      <c r="F37" s="1493">
        <f>F38+F39+F40+F41</f>
        <v>282.09999999999997</v>
      </c>
      <c r="G37" s="1540">
        <v>310</v>
      </c>
      <c r="H37" s="1492">
        <f>F37-G37</f>
        <v>-27.900000000000034</v>
      </c>
      <c r="I37" s="1480">
        <f>H37/G37</f>
        <v>-9.0000000000000108E-2</v>
      </c>
    </row>
    <row r="38" spans="1:10" s="1472" customFormat="1">
      <c r="A38" s="1541" t="s">
        <v>93</v>
      </c>
      <c r="B38" s="1534">
        <v>0</v>
      </c>
      <c r="C38" s="1534">
        <v>37.299999999999997</v>
      </c>
      <c r="D38" s="1534">
        <v>62.9</v>
      </c>
      <c r="E38" s="1534">
        <v>54.7</v>
      </c>
      <c r="F38" s="1535">
        <f>(B38+C38+D38+E38)/3</f>
        <v>51.633333333333326</v>
      </c>
      <c r="G38" s="1542"/>
      <c r="H38" s="1543"/>
      <c r="I38" s="1544"/>
    </row>
    <row r="39" spans="1:10" s="1472" customFormat="1">
      <c r="A39" s="1541" t="s">
        <v>96</v>
      </c>
      <c r="B39" s="1534">
        <v>0</v>
      </c>
      <c r="C39" s="1534">
        <v>3.2</v>
      </c>
      <c r="D39" s="1534">
        <v>3.2</v>
      </c>
      <c r="E39" s="1534">
        <v>3.3</v>
      </c>
      <c r="F39" s="1535">
        <f>(B39+C39+D39+E39)/3</f>
        <v>3.2333333333333329</v>
      </c>
      <c r="G39" s="1542"/>
      <c r="H39" s="1543"/>
      <c r="I39" s="1544"/>
    </row>
    <row r="40" spans="1:10" s="1472" customFormat="1">
      <c r="A40" s="1541" t="s">
        <v>98</v>
      </c>
      <c r="B40" s="1534">
        <v>102.7</v>
      </c>
      <c r="C40" s="1534">
        <v>180.5</v>
      </c>
      <c r="D40" s="1534">
        <v>158.30000000000001</v>
      </c>
      <c r="E40" s="1534">
        <v>166.3</v>
      </c>
      <c r="F40" s="1535">
        <f>(B40+C40+D40+E40)/3</f>
        <v>202.6</v>
      </c>
      <c r="G40" s="1542"/>
      <c r="H40" s="1543"/>
      <c r="I40" s="1544"/>
    </row>
    <row r="41" spans="1:10" s="1472" customFormat="1" ht="13.5" thickBot="1">
      <c r="A41" s="1545" t="s">
        <v>1150</v>
      </c>
      <c r="B41" s="1534">
        <v>0</v>
      </c>
      <c r="C41" s="1534">
        <v>28.5</v>
      </c>
      <c r="D41" s="1534">
        <v>22.7</v>
      </c>
      <c r="E41" s="1534">
        <v>22.7</v>
      </c>
      <c r="F41" s="1535">
        <f>(B41+C41+D41+E41)/3</f>
        <v>24.633333333333336</v>
      </c>
      <c r="G41" s="1542"/>
      <c r="H41" s="1546"/>
      <c r="I41" s="1547"/>
    </row>
    <row r="42" spans="1:10" s="1554" customFormat="1" ht="16.5" thickTop="1">
      <c r="A42" s="1548" t="s">
        <v>575</v>
      </c>
      <c r="B42" s="1549">
        <v>50954.7</v>
      </c>
      <c r="C42" s="1549">
        <v>129423.8</v>
      </c>
      <c r="D42" s="1549">
        <v>127439.40000000001</v>
      </c>
      <c r="E42" s="1549">
        <v>122025</v>
      </c>
      <c r="F42" s="1549">
        <f>F26+F27+F30+F31+F37</f>
        <v>143292.16666666666</v>
      </c>
      <c r="G42" s="1550">
        <v>139237</v>
      </c>
      <c r="H42" s="1551">
        <f>F42-G42</f>
        <v>4055.166666666657</v>
      </c>
      <c r="I42" s="1552">
        <f>H42/G42</f>
        <v>2.9124203097356714E-2</v>
      </c>
      <c r="J42" s="1553"/>
    </row>
    <row r="43" spans="1:10" s="1438" customFormat="1" ht="13.5" thickBot="1">
      <c r="A43" s="1555"/>
      <c r="B43" s="1556"/>
      <c r="C43" s="1557"/>
      <c r="D43" s="1557"/>
      <c r="E43" s="1557"/>
      <c r="F43" s="1557"/>
      <c r="G43" s="1556"/>
      <c r="H43" s="1558"/>
      <c r="I43" s="1559"/>
    </row>
    <row r="44" spans="1:10" s="1440" customFormat="1" ht="15" thickTop="1" thickBot="1">
      <c r="A44" s="1560" t="s">
        <v>448</v>
      </c>
      <c r="B44" s="1561"/>
      <c r="C44" s="1561"/>
      <c r="D44" s="1562"/>
      <c r="E44" s="1562"/>
      <c r="F44" s="1563">
        <f>F42+F21</f>
        <v>249330.18333333332</v>
      </c>
      <c r="G44" s="1563">
        <f>G42+G21</f>
        <v>232441</v>
      </c>
      <c r="H44" s="1563">
        <f>H42+H21</f>
        <v>16889.18333333332</v>
      </c>
      <c r="I44" s="1564">
        <f>H44/G44</f>
        <v>7.2660087219265618E-2</v>
      </c>
    </row>
    <row r="45" spans="1:10" s="1440" customFormat="1" ht="14.25" thickTop="1">
      <c r="A45" s="1565"/>
      <c r="B45" s="1566"/>
      <c r="C45" s="1566"/>
      <c r="D45" s="1567"/>
      <c r="E45" s="1567"/>
      <c r="F45" s="1567"/>
      <c r="G45" s="1567"/>
      <c r="H45" s="1567"/>
      <c r="I45" s="1568"/>
    </row>
    <row r="46" spans="1:10" s="1436" customFormat="1">
      <c r="A46" s="1569" t="s">
        <v>574</v>
      </c>
      <c r="B46" s="1570">
        <v>0</v>
      </c>
      <c r="C46" s="1571">
        <v>15143</v>
      </c>
      <c r="D46" s="1571">
        <v>14866</v>
      </c>
      <c r="E46" s="1571">
        <v>14088</v>
      </c>
      <c r="F46" s="1572">
        <f>SUM(B46:E46)/3</f>
        <v>14699</v>
      </c>
      <c r="G46" s="1573">
        <v>11558</v>
      </c>
      <c r="H46" s="1574">
        <f>F46-G46</f>
        <v>3141</v>
      </c>
      <c r="I46" s="1575">
        <f>H46/G46</f>
        <v>0.27175982003806887</v>
      </c>
    </row>
    <row r="47" spans="1:10" s="1440" customFormat="1">
      <c r="A47" s="1576"/>
      <c r="B47" s="1566"/>
      <c r="C47" s="1566"/>
      <c r="D47" s="1567"/>
      <c r="E47" s="1567"/>
      <c r="F47" s="1567"/>
      <c r="G47" s="1567"/>
      <c r="H47" s="1577"/>
      <c r="I47" s="1568"/>
    </row>
    <row r="48" spans="1:10" ht="54" customHeight="1">
      <c r="A48" s="2684" t="s">
        <v>1592</v>
      </c>
      <c r="B48" s="2684"/>
      <c r="C48" s="2684"/>
      <c r="D48" s="2684"/>
      <c r="E48" s="2684"/>
      <c r="F48" s="2684"/>
      <c r="G48" s="2684"/>
      <c r="H48" s="2684"/>
      <c r="I48" s="2684"/>
      <c r="J48" s="2684"/>
    </row>
    <row r="49" spans="1:10" ht="30" customHeight="1">
      <c r="A49" s="2685" t="s">
        <v>1593</v>
      </c>
      <c r="B49" s="2685"/>
      <c r="C49" s="2685"/>
      <c r="D49" s="2685"/>
      <c r="E49" s="2685"/>
      <c r="F49" s="2685"/>
      <c r="G49" s="2685"/>
      <c r="H49" s="2685"/>
      <c r="I49" s="2685"/>
      <c r="J49" s="2685"/>
    </row>
    <row r="50" spans="1:10" ht="27.75" customHeight="1">
      <c r="A50" s="2685" t="s">
        <v>1594</v>
      </c>
      <c r="B50" s="2685"/>
      <c r="C50" s="2685"/>
      <c r="D50" s="2685"/>
      <c r="E50" s="2685"/>
      <c r="F50" s="2685"/>
      <c r="G50" s="2685"/>
      <c r="H50" s="2685"/>
      <c r="I50" s="2685"/>
      <c r="J50" s="2685"/>
    </row>
    <row r="51" spans="1:10" ht="15.75">
      <c r="A51" s="2685" t="s">
        <v>1595</v>
      </c>
      <c r="B51" s="2685"/>
      <c r="C51" s="2685"/>
      <c r="D51" s="2685"/>
      <c r="E51" s="2685"/>
      <c r="F51" s="2685"/>
      <c r="G51" s="2685"/>
      <c r="H51" s="2685"/>
      <c r="I51" s="2685"/>
      <c r="J51" s="2685"/>
    </row>
    <row r="52" spans="1:10" ht="15.75">
      <c r="A52" s="2684" t="s">
        <v>571</v>
      </c>
      <c r="B52" s="2684"/>
      <c r="C52" s="2684"/>
      <c r="D52" s="2684"/>
      <c r="E52" s="2684"/>
      <c r="F52" s="2684"/>
      <c r="G52" s="2684"/>
      <c r="H52" s="2684"/>
      <c r="I52" s="2684"/>
      <c r="J52" s="2684"/>
    </row>
    <row r="53" spans="1:10" s="1578" customFormat="1">
      <c r="A53" s="2674"/>
      <c r="B53" s="2674"/>
      <c r="C53" s="2674"/>
      <c r="D53" s="2674"/>
      <c r="E53" s="2674"/>
      <c r="F53" s="2674"/>
      <c r="G53" s="2674"/>
      <c r="H53" s="2674"/>
      <c r="I53" s="2674"/>
    </row>
  </sheetData>
  <mergeCells count="12">
    <mergeCell ref="A53:I53"/>
    <mergeCell ref="A2:I2"/>
    <mergeCell ref="A3:I3"/>
    <mergeCell ref="C4:E4"/>
    <mergeCell ref="H6:I6"/>
    <mergeCell ref="A23:A25"/>
    <mergeCell ref="H23:I23"/>
    <mergeCell ref="A48:J48"/>
    <mergeCell ref="A49:J49"/>
    <mergeCell ref="A50:J50"/>
    <mergeCell ref="A51:J51"/>
    <mergeCell ref="A52:J52"/>
  </mergeCells>
  <pageMargins left="0.7" right="0.7" top="0.75" bottom="0.75" header="0.3" footer="0.3"/>
  <pageSetup orientation="portrait" horizontalDpi="1200" verticalDpi="1200"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dimension ref="A1:J52"/>
  <sheetViews>
    <sheetView workbookViewId="0"/>
  </sheetViews>
  <sheetFormatPr defaultColWidth="15.125" defaultRowHeight="12.75"/>
  <cols>
    <col min="1" max="1" width="28.75" style="1607" customWidth="1"/>
    <col min="2" max="2" width="9.625" style="1607" bestFit="1" customWidth="1"/>
    <col min="3" max="3" width="8" style="1607" customWidth="1"/>
    <col min="4" max="4" width="9.125" style="1607" bestFit="1" customWidth="1"/>
    <col min="5" max="5" width="9.25" style="1607" bestFit="1" customWidth="1"/>
    <col min="6" max="6" width="9.75" style="1607" bestFit="1" customWidth="1"/>
    <col min="7" max="8" width="9.125" style="1607" bestFit="1" customWidth="1"/>
    <col min="9" max="9" width="8.625" style="1607" bestFit="1" customWidth="1"/>
    <col min="10" max="256" width="15.125" style="1607"/>
    <col min="257" max="257" width="28.75" style="1607" customWidth="1"/>
    <col min="258" max="258" width="9.625" style="1607" bestFit="1" customWidth="1"/>
    <col min="259" max="259" width="8" style="1607" customWidth="1"/>
    <col min="260" max="260" width="9.125" style="1607" bestFit="1" customWidth="1"/>
    <col min="261" max="261" width="9.25" style="1607" bestFit="1" customWidth="1"/>
    <col min="262" max="262" width="9.75" style="1607" bestFit="1" customWidth="1"/>
    <col min="263" max="264" width="9.125" style="1607" bestFit="1" customWidth="1"/>
    <col min="265" max="265" width="8.625" style="1607" bestFit="1" customWidth="1"/>
    <col min="266" max="512" width="15.125" style="1607"/>
    <col min="513" max="513" width="28.75" style="1607" customWidth="1"/>
    <col min="514" max="514" width="9.625" style="1607" bestFit="1" customWidth="1"/>
    <col min="515" max="515" width="8" style="1607" customWidth="1"/>
    <col min="516" max="516" width="9.125" style="1607" bestFit="1" customWidth="1"/>
    <col min="517" max="517" width="9.25" style="1607" bestFit="1" customWidth="1"/>
    <col min="518" max="518" width="9.75" style="1607" bestFit="1" customWidth="1"/>
    <col min="519" max="520" width="9.125" style="1607" bestFit="1" customWidth="1"/>
    <col min="521" max="521" width="8.625" style="1607" bestFit="1" customWidth="1"/>
    <col min="522" max="768" width="15.125" style="1607"/>
    <col min="769" max="769" width="28.75" style="1607" customWidth="1"/>
    <col min="770" max="770" width="9.625" style="1607" bestFit="1" customWidth="1"/>
    <col min="771" max="771" width="8" style="1607" customWidth="1"/>
    <col min="772" max="772" width="9.125" style="1607" bestFit="1" customWidth="1"/>
    <col min="773" max="773" width="9.25" style="1607" bestFit="1" customWidth="1"/>
    <col min="774" max="774" width="9.75" style="1607" bestFit="1" customWidth="1"/>
    <col min="775" max="776" width="9.125" style="1607" bestFit="1" customWidth="1"/>
    <col min="777" max="777" width="8.625" style="1607" bestFit="1" customWidth="1"/>
    <col min="778" max="1024" width="15.125" style="1607"/>
    <col min="1025" max="1025" width="28.75" style="1607" customWidth="1"/>
    <col min="1026" max="1026" width="9.625" style="1607" bestFit="1" customWidth="1"/>
    <col min="1027" max="1027" width="8" style="1607" customWidth="1"/>
    <col min="1028" max="1028" width="9.125" style="1607" bestFit="1" customWidth="1"/>
    <col min="1029" max="1029" width="9.25" style="1607" bestFit="1" customWidth="1"/>
    <col min="1030" max="1030" width="9.75" style="1607" bestFit="1" customWidth="1"/>
    <col min="1031" max="1032" width="9.125" style="1607" bestFit="1" customWidth="1"/>
    <col min="1033" max="1033" width="8.625" style="1607" bestFit="1" customWidth="1"/>
    <col min="1034" max="1280" width="15.125" style="1607"/>
    <col min="1281" max="1281" width="28.75" style="1607" customWidth="1"/>
    <col min="1282" max="1282" width="9.625" style="1607" bestFit="1" customWidth="1"/>
    <col min="1283" max="1283" width="8" style="1607" customWidth="1"/>
    <col min="1284" max="1284" width="9.125" style="1607" bestFit="1" customWidth="1"/>
    <col min="1285" max="1285" width="9.25" style="1607" bestFit="1" customWidth="1"/>
    <col min="1286" max="1286" width="9.75" style="1607" bestFit="1" customWidth="1"/>
    <col min="1287" max="1288" width="9.125" style="1607" bestFit="1" customWidth="1"/>
    <col min="1289" max="1289" width="8.625" style="1607" bestFit="1" customWidth="1"/>
    <col min="1290" max="1536" width="15.125" style="1607"/>
    <col min="1537" max="1537" width="28.75" style="1607" customWidth="1"/>
    <col min="1538" max="1538" width="9.625" style="1607" bestFit="1" customWidth="1"/>
    <col min="1539" max="1539" width="8" style="1607" customWidth="1"/>
    <col min="1540" max="1540" width="9.125" style="1607" bestFit="1" customWidth="1"/>
    <col min="1541" max="1541" width="9.25" style="1607" bestFit="1" customWidth="1"/>
    <col min="1542" max="1542" width="9.75" style="1607" bestFit="1" customWidth="1"/>
    <col min="1543" max="1544" width="9.125" style="1607" bestFit="1" customWidth="1"/>
    <col min="1545" max="1545" width="8.625" style="1607" bestFit="1" customWidth="1"/>
    <col min="1546" max="1792" width="15.125" style="1607"/>
    <col min="1793" max="1793" width="28.75" style="1607" customWidth="1"/>
    <col min="1794" max="1794" width="9.625" style="1607" bestFit="1" customWidth="1"/>
    <col min="1795" max="1795" width="8" style="1607" customWidth="1"/>
    <col min="1796" max="1796" width="9.125" style="1607" bestFit="1" customWidth="1"/>
    <col min="1797" max="1797" width="9.25" style="1607" bestFit="1" customWidth="1"/>
    <col min="1798" max="1798" width="9.75" style="1607" bestFit="1" customWidth="1"/>
    <col min="1799" max="1800" width="9.125" style="1607" bestFit="1" customWidth="1"/>
    <col min="1801" max="1801" width="8.625" style="1607" bestFit="1" customWidth="1"/>
    <col min="1802" max="2048" width="15.125" style="1607"/>
    <col min="2049" max="2049" width="28.75" style="1607" customWidth="1"/>
    <col min="2050" max="2050" width="9.625" style="1607" bestFit="1" customWidth="1"/>
    <col min="2051" max="2051" width="8" style="1607" customWidth="1"/>
    <col min="2052" max="2052" width="9.125" style="1607" bestFit="1" customWidth="1"/>
    <col min="2053" max="2053" width="9.25" style="1607" bestFit="1" customWidth="1"/>
    <col min="2054" max="2054" width="9.75" style="1607" bestFit="1" customWidth="1"/>
    <col min="2055" max="2056" width="9.125" style="1607" bestFit="1" customWidth="1"/>
    <col min="2057" max="2057" width="8.625" style="1607" bestFit="1" customWidth="1"/>
    <col min="2058" max="2304" width="15.125" style="1607"/>
    <col min="2305" max="2305" width="28.75" style="1607" customWidth="1"/>
    <col min="2306" max="2306" width="9.625" style="1607" bestFit="1" customWidth="1"/>
    <col min="2307" max="2307" width="8" style="1607" customWidth="1"/>
    <col min="2308" max="2308" width="9.125" style="1607" bestFit="1" customWidth="1"/>
    <col min="2309" max="2309" width="9.25" style="1607" bestFit="1" customWidth="1"/>
    <col min="2310" max="2310" width="9.75" style="1607" bestFit="1" customWidth="1"/>
    <col min="2311" max="2312" width="9.125" style="1607" bestFit="1" customWidth="1"/>
    <col min="2313" max="2313" width="8.625" style="1607" bestFit="1" customWidth="1"/>
    <col min="2314" max="2560" width="15.125" style="1607"/>
    <col min="2561" max="2561" width="28.75" style="1607" customWidth="1"/>
    <col min="2562" max="2562" width="9.625" style="1607" bestFit="1" customWidth="1"/>
    <col min="2563" max="2563" width="8" style="1607" customWidth="1"/>
    <col min="2564" max="2564" width="9.125" style="1607" bestFit="1" customWidth="1"/>
    <col min="2565" max="2565" width="9.25" style="1607" bestFit="1" customWidth="1"/>
    <col min="2566" max="2566" width="9.75" style="1607" bestFit="1" customWidth="1"/>
    <col min="2567" max="2568" width="9.125" style="1607" bestFit="1" customWidth="1"/>
    <col min="2569" max="2569" width="8.625" style="1607" bestFit="1" customWidth="1"/>
    <col min="2570" max="2816" width="15.125" style="1607"/>
    <col min="2817" max="2817" width="28.75" style="1607" customWidth="1"/>
    <col min="2818" max="2818" width="9.625" style="1607" bestFit="1" customWidth="1"/>
    <col min="2819" max="2819" width="8" style="1607" customWidth="1"/>
    <col min="2820" max="2820" width="9.125" style="1607" bestFit="1" customWidth="1"/>
    <col min="2821" max="2821" width="9.25" style="1607" bestFit="1" customWidth="1"/>
    <col min="2822" max="2822" width="9.75" style="1607" bestFit="1" customWidth="1"/>
    <col min="2823" max="2824" width="9.125" style="1607" bestFit="1" customWidth="1"/>
    <col min="2825" max="2825" width="8.625" style="1607" bestFit="1" customWidth="1"/>
    <col min="2826" max="3072" width="15.125" style="1607"/>
    <col min="3073" max="3073" width="28.75" style="1607" customWidth="1"/>
    <col min="3074" max="3074" width="9.625" style="1607" bestFit="1" customWidth="1"/>
    <col min="3075" max="3075" width="8" style="1607" customWidth="1"/>
    <col min="3076" max="3076" width="9.125" style="1607" bestFit="1" customWidth="1"/>
    <col min="3077" max="3077" width="9.25" style="1607" bestFit="1" customWidth="1"/>
    <col min="3078" max="3078" width="9.75" style="1607" bestFit="1" customWidth="1"/>
    <col min="3079" max="3080" width="9.125" style="1607" bestFit="1" customWidth="1"/>
    <col min="3081" max="3081" width="8.625" style="1607" bestFit="1" customWidth="1"/>
    <col min="3082" max="3328" width="15.125" style="1607"/>
    <col min="3329" max="3329" width="28.75" style="1607" customWidth="1"/>
    <col min="3330" max="3330" width="9.625" style="1607" bestFit="1" customWidth="1"/>
    <col min="3331" max="3331" width="8" style="1607" customWidth="1"/>
    <col min="3332" max="3332" width="9.125" style="1607" bestFit="1" customWidth="1"/>
    <col min="3333" max="3333" width="9.25" style="1607" bestFit="1" customWidth="1"/>
    <col min="3334" max="3334" width="9.75" style="1607" bestFit="1" customWidth="1"/>
    <col min="3335" max="3336" width="9.125" style="1607" bestFit="1" customWidth="1"/>
    <col min="3337" max="3337" width="8.625" style="1607" bestFit="1" customWidth="1"/>
    <col min="3338" max="3584" width="15.125" style="1607"/>
    <col min="3585" max="3585" width="28.75" style="1607" customWidth="1"/>
    <col min="3586" max="3586" width="9.625" style="1607" bestFit="1" customWidth="1"/>
    <col min="3587" max="3587" width="8" style="1607" customWidth="1"/>
    <col min="3588" max="3588" width="9.125" style="1607" bestFit="1" customWidth="1"/>
    <col min="3589" max="3589" width="9.25" style="1607" bestFit="1" customWidth="1"/>
    <col min="3590" max="3590" width="9.75" style="1607" bestFit="1" customWidth="1"/>
    <col min="3591" max="3592" width="9.125" style="1607" bestFit="1" customWidth="1"/>
    <col min="3593" max="3593" width="8.625" style="1607" bestFit="1" customWidth="1"/>
    <col min="3594" max="3840" width="15.125" style="1607"/>
    <col min="3841" max="3841" width="28.75" style="1607" customWidth="1"/>
    <col min="3842" max="3842" width="9.625" style="1607" bestFit="1" customWidth="1"/>
    <col min="3843" max="3843" width="8" style="1607" customWidth="1"/>
    <col min="3844" max="3844" width="9.125" style="1607" bestFit="1" customWidth="1"/>
    <col min="3845" max="3845" width="9.25" style="1607" bestFit="1" customWidth="1"/>
    <col min="3846" max="3846" width="9.75" style="1607" bestFit="1" customWidth="1"/>
    <col min="3847" max="3848" width="9.125" style="1607" bestFit="1" customWidth="1"/>
    <col min="3849" max="3849" width="8.625" style="1607" bestFit="1" customWidth="1"/>
    <col min="3850" max="4096" width="15.125" style="1607"/>
    <col min="4097" max="4097" width="28.75" style="1607" customWidth="1"/>
    <col min="4098" max="4098" width="9.625" style="1607" bestFit="1" customWidth="1"/>
    <col min="4099" max="4099" width="8" style="1607" customWidth="1"/>
    <col min="4100" max="4100" width="9.125" style="1607" bestFit="1" customWidth="1"/>
    <col min="4101" max="4101" width="9.25" style="1607" bestFit="1" customWidth="1"/>
    <col min="4102" max="4102" width="9.75" style="1607" bestFit="1" customWidth="1"/>
    <col min="4103" max="4104" width="9.125" style="1607" bestFit="1" customWidth="1"/>
    <col min="4105" max="4105" width="8.625" style="1607" bestFit="1" customWidth="1"/>
    <col min="4106" max="4352" width="15.125" style="1607"/>
    <col min="4353" max="4353" width="28.75" style="1607" customWidth="1"/>
    <col min="4354" max="4354" width="9.625" style="1607" bestFit="1" customWidth="1"/>
    <col min="4355" max="4355" width="8" style="1607" customWidth="1"/>
    <col min="4356" max="4356" width="9.125" style="1607" bestFit="1" customWidth="1"/>
    <col min="4357" max="4357" width="9.25" style="1607" bestFit="1" customWidth="1"/>
    <col min="4358" max="4358" width="9.75" style="1607" bestFit="1" customWidth="1"/>
    <col min="4359" max="4360" width="9.125" style="1607" bestFit="1" customWidth="1"/>
    <col min="4361" max="4361" width="8.625" style="1607" bestFit="1" customWidth="1"/>
    <col min="4362" max="4608" width="15.125" style="1607"/>
    <col min="4609" max="4609" width="28.75" style="1607" customWidth="1"/>
    <col min="4610" max="4610" width="9.625" style="1607" bestFit="1" customWidth="1"/>
    <col min="4611" max="4611" width="8" style="1607" customWidth="1"/>
    <col min="4612" max="4612" width="9.125" style="1607" bestFit="1" customWidth="1"/>
    <col min="4613" max="4613" width="9.25" style="1607" bestFit="1" customWidth="1"/>
    <col min="4614" max="4614" width="9.75" style="1607" bestFit="1" customWidth="1"/>
    <col min="4615" max="4616" width="9.125" style="1607" bestFit="1" customWidth="1"/>
    <col min="4617" max="4617" width="8.625" style="1607" bestFit="1" customWidth="1"/>
    <col min="4618" max="4864" width="15.125" style="1607"/>
    <col min="4865" max="4865" width="28.75" style="1607" customWidth="1"/>
    <col min="4866" max="4866" width="9.625" style="1607" bestFit="1" customWidth="1"/>
    <col min="4867" max="4867" width="8" style="1607" customWidth="1"/>
    <col min="4868" max="4868" width="9.125" style="1607" bestFit="1" customWidth="1"/>
    <col min="4869" max="4869" width="9.25" style="1607" bestFit="1" customWidth="1"/>
    <col min="4870" max="4870" width="9.75" style="1607" bestFit="1" customWidth="1"/>
    <col min="4871" max="4872" width="9.125" style="1607" bestFit="1" customWidth="1"/>
    <col min="4873" max="4873" width="8.625" style="1607" bestFit="1" customWidth="1"/>
    <col min="4874" max="5120" width="15.125" style="1607"/>
    <col min="5121" max="5121" width="28.75" style="1607" customWidth="1"/>
    <col min="5122" max="5122" width="9.625" style="1607" bestFit="1" customWidth="1"/>
    <col min="5123" max="5123" width="8" style="1607" customWidth="1"/>
    <col min="5124" max="5124" width="9.125" style="1607" bestFit="1" customWidth="1"/>
    <col min="5125" max="5125" width="9.25" style="1607" bestFit="1" customWidth="1"/>
    <col min="5126" max="5126" width="9.75" style="1607" bestFit="1" customWidth="1"/>
    <col min="5127" max="5128" width="9.125" style="1607" bestFit="1" customWidth="1"/>
    <col min="5129" max="5129" width="8.625" style="1607" bestFit="1" customWidth="1"/>
    <col min="5130" max="5376" width="15.125" style="1607"/>
    <col min="5377" max="5377" width="28.75" style="1607" customWidth="1"/>
    <col min="5378" max="5378" width="9.625" style="1607" bestFit="1" customWidth="1"/>
    <col min="5379" max="5379" width="8" style="1607" customWidth="1"/>
    <col min="5380" max="5380" width="9.125" style="1607" bestFit="1" customWidth="1"/>
    <col min="5381" max="5381" width="9.25" style="1607" bestFit="1" customWidth="1"/>
    <col min="5382" max="5382" width="9.75" style="1607" bestFit="1" customWidth="1"/>
    <col min="5383" max="5384" width="9.125" style="1607" bestFit="1" customWidth="1"/>
    <col min="5385" max="5385" width="8.625" style="1607" bestFit="1" customWidth="1"/>
    <col min="5386" max="5632" width="15.125" style="1607"/>
    <col min="5633" max="5633" width="28.75" style="1607" customWidth="1"/>
    <col min="5634" max="5634" width="9.625" style="1607" bestFit="1" customWidth="1"/>
    <col min="5635" max="5635" width="8" style="1607" customWidth="1"/>
    <col min="5636" max="5636" width="9.125" style="1607" bestFit="1" customWidth="1"/>
    <col min="5637" max="5637" width="9.25" style="1607" bestFit="1" customWidth="1"/>
    <col min="5638" max="5638" width="9.75" style="1607" bestFit="1" customWidth="1"/>
    <col min="5639" max="5640" width="9.125" style="1607" bestFit="1" customWidth="1"/>
    <col min="5641" max="5641" width="8.625" style="1607" bestFit="1" customWidth="1"/>
    <col min="5642" max="5888" width="15.125" style="1607"/>
    <col min="5889" max="5889" width="28.75" style="1607" customWidth="1"/>
    <col min="5890" max="5890" width="9.625" style="1607" bestFit="1" customWidth="1"/>
    <col min="5891" max="5891" width="8" style="1607" customWidth="1"/>
    <col min="5892" max="5892" width="9.125" style="1607" bestFit="1" customWidth="1"/>
    <col min="5893" max="5893" width="9.25" style="1607" bestFit="1" customWidth="1"/>
    <col min="5894" max="5894" width="9.75" style="1607" bestFit="1" customWidth="1"/>
    <col min="5895" max="5896" width="9.125" style="1607" bestFit="1" customWidth="1"/>
    <col min="5897" max="5897" width="8.625" style="1607" bestFit="1" customWidth="1"/>
    <col min="5898" max="6144" width="15.125" style="1607"/>
    <col min="6145" max="6145" width="28.75" style="1607" customWidth="1"/>
    <col min="6146" max="6146" width="9.625" style="1607" bestFit="1" customWidth="1"/>
    <col min="6147" max="6147" width="8" style="1607" customWidth="1"/>
    <col min="6148" max="6148" width="9.125" style="1607" bestFit="1" customWidth="1"/>
    <col min="6149" max="6149" width="9.25" style="1607" bestFit="1" customWidth="1"/>
    <col min="6150" max="6150" width="9.75" style="1607" bestFit="1" customWidth="1"/>
    <col min="6151" max="6152" width="9.125" style="1607" bestFit="1" customWidth="1"/>
    <col min="6153" max="6153" width="8.625" style="1607" bestFit="1" customWidth="1"/>
    <col min="6154" max="6400" width="15.125" style="1607"/>
    <col min="6401" max="6401" width="28.75" style="1607" customWidth="1"/>
    <col min="6402" max="6402" width="9.625" style="1607" bestFit="1" customWidth="1"/>
    <col min="6403" max="6403" width="8" style="1607" customWidth="1"/>
    <col min="6404" max="6404" width="9.125" style="1607" bestFit="1" customWidth="1"/>
    <col min="6405" max="6405" width="9.25" style="1607" bestFit="1" customWidth="1"/>
    <col min="6406" max="6406" width="9.75" style="1607" bestFit="1" customWidth="1"/>
    <col min="6407" max="6408" width="9.125" style="1607" bestFit="1" customWidth="1"/>
    <col min="6409" max="6409" width="8.625" style="1607" bestFit="1" customWidth="1"/>
    <col min="6410" max="6656" width="15.125" style="1607"/>
    <col min="6657" max="6657" width="28.75" style="1607" customWidth="1"/>
    <col min="6658" max="6658" width="9.625" style="1607" bestFit="1" customWidth="1"/>
    <col min="6659" max="6659" width="8" style="1607" customWidth="1"/>
    <col min="6660" max="6660" width="9.125" style="1607" bestFit="1" customWidth="1"/>
    <col min="6661" max="6661" width="9.25" style="1607" bestFit="1" customWidth="1"/>
    <col min="6662" max="6662" width="9.75" style="1607" bestFit="1" customWidth="1"/>
    <col min="6663" max="6664" width="9.125" style="1607" bestFit="1" customWidth="1"/>
    <col min="6665" max="6665" width="8.625" style="1607" bestFit="1" customWidth="1"/>
    <col min="6666" max="6912" width="15.125" style="1607"/>
    <col min="6913" max="6913" width="28.75" style="1607" customWidth="1"/>
    <col min="6914" max="6914" width="9.625" style="1607" bestFit="1" customWidth="1"/>
    <col min="6915" max="6915" width="8" style="1607" customWidth="1"/>
    <col min="6916" max="6916" width="9.125" style="1607" bestFit="1" customWidth="1"/>
    <col min="6917" max="6917" width="9.25" style="1607" bestFit="1" customWidth="1"/>
    <col min="6918" max="6918" width="9.75" style="1607" bestFit="1" customWidth="1"/>
    <col min="6919" max="6920" width="9.125" style="1607" bestFit="1" customWidth="1"/>
    <col min="6921" max="6921" width="8.625" style="1607" bestFit="1" customWidth="1"/>
    <col min="6922" max="7168" width="15.125" style="1607"/>
    <col min="7169" max="7169" width="28.75" style="1607" customWidth="1"/>
    <col min="7170" max="7170" width="9.625" style="1607" bestFit="1" customWidth="1"/>
    <col min="7171" max="7171" width="8" style="1607" customWidth="1"/>
    <col min="7172" max="7172" width="9.125" style="1607" bestFit="1" customWidth="1"/>
    <col min="7173" max="7173" width="9.25" style="1607" bestFit="1" customWidth="1"/>
    <col min="7174" max="7174" width="9.75" style="1607" bestFit="1" customWidth="1"/>
    <col min="7175" max="7176" width="9.125" style="1607" bestFit="1" customWidth="1"/>
    <col min="7177" max="7177" width="8.625" style="1607" bestFit="1" customWidth="1"/>
    <col min="7178" max="7424" width="15.125" style="1607"/>
    <col min="7425" max="7425" width="28.75" style="1607" customWidth="1"/>
    <col min="7426" max="7426" width="9.625" style="1607" bestFit="1" customWidth="1"/>
    <col min="7427" max="7427" width="8" style="1607" customWidth="1"/>
    <col min="7428" max="7428" width="9.125" style="1607" bestFit="1" customWidth="1"/>
    <col min="7429" max="7429" width="9.25" style="1607" bestFit="1" customWidth="1"/>
    <col min="7430" max="7430" width="9.75" style="1607" bestFit="1" customWidth="1"/>
    <col min="7431" max="7432" width="9.125" style="1607" bestFit="1" customWidth="1"/>
    <col min="7433" max="7433" width="8.625" style="1607" bestFit="1" customWidth="1"/>
    <col min="7434" max="7680" width="15.125" style="1607"/>
    <col min="7681" max="7681" width="28.75" style="1607" customWidth="1"/>
    <col min="7682" max="7682" width="9.625" style="1607" bestFit="1" customWidth="1"/>
    <col min="7683" max="7683" width="8" style="1607" customWidth="1"/>
    <col min="7684" max="7684" width="9.125" style="1607" bestFit="1" customWidth="1"/>
    <col min="7685" max="7685" width="9.25" style="1607" bestFit="1" customWidth="1"/>
    <col min="7686" max="7686" width="9.75" style="1607" bestFit="1" customWidth="1"/>
    <col min="7687" max="7688" width="9.125" style="1607" bestFit="1" customWidth="1"/>
    <col min="7689" max="7689" width="8.625" style="1607" bestFit="1" customWidth="1"/>
    <col min="7690" max="7936" width="15.125" style="1607"/>
    <col min="7937" max="7937" width="28.75" style="1607" customWidth="1"/>
    <col min="7938" max="7938" width="9.625" style="1607" bestFit="1" customWidth="1"/>
    <col min="7939" max="7939" width="8" style="1607" customWidth="1"/>
    <col min="7940" max="7940" width="9.125" style="1607" bestFit="1" customWidth="1"/>
    <col min="7941" max="7941" width="9.25" style="1607" bestFit="1" customWidth="1"/>
    <col min="7942" max="7942" width="9.75" style="1607" bestFit="1" customWidth="1"/>
    <col min="7943" max="7944" width="9.125" style="1607" bestFit="1" customWidth="1"/>
    <col min="7945" max="7945" width="8.625" style="1607" bestFit="1" customWidth="1"/>
    <col min="7946" max="8192" width="15.125" style="1607"/>
    <col min="8193" max="8193" width="28.75" style="1607" customWidth="1"/>
    <col min="8194" max="8194" width="9.625" style="1607" bestFit="1" customWidth="1"/>
    <col min="8195" max="8195" width="8" style="1607" customWidth="1"/>
    <col min="8196" max="8196" width="9.125" style="1607" bestFit="1" customWidth="1"/>
    <col min="8197" max="8197" width="9.25" style="1607" bestFit="1" customWidth="1"/>
    <col min="8198" max="8198" width="9.75" style="1607" bestFit="1" customWidth="1"/>
    <col min="8199" max="8200" width="9.125" style="1607" bestFit="1" customWidth="1"/>
    <col min="8201" max="8201" width="8.625" style="1607" bestFit="1" customWidth="1"/>
    <col min="8202" max="8448" width="15.125" style="1607"/>
    <col min="8449" max="8449" width="28.75" style="1607" customWidth="1"/>
    <col min="8450" max="8450" width="9.625" style="1607" bestFit="1" customWidth="1"/>
    <col min="8451" max="8451" width="8" style="1607" customWidth="1"/>
    <col min="8452" max="8452" width="9.125" style="1607" bestFit="1" customWidth="1"/>
    <col min="8453" max="8453" width="9.25" style="1607" bestFit="1" customWidth="1"/>
    <col min="8454" max="8454" width="9.75" style="1607" bestFit="1" customWidth="1"/>
    <col min="8455" max="8456" width="9.125" style="1607" bestFit="1" customWidth="1"/>
    <col min="8457" max="8457" width="8.625" style="1607" bestFit="1" customWidth="1"/>
    <col min="8458" max="8704" width="15.125" style="1607"/>
    <col min="8705" max="8705" width="28.75" style="1607" customWidth="1"/>
    <col min="8706" max="8706" width="9.625" style="1607" bestFit="1" customWidth="1"/>
    <col min="8707" max="8707" width="8" style="1607" customWidth="1"/>
    <col min="8708" max="8708" width="9.125" style="1607" bestFit="1" customWidth="1"/>
    <col min="8709" max="8709" width="9.25" style="1607" bestFit="1" customWidth="1"/>
    <col min="8710" max="8710" width="9.75" style="1607" bestFit="1" customWidth="1"/>
    <col min="8711" max="8712" width="9.125" style="1607" bestFit="1" customWidth="1"/>
    <col min="8713" max="8713" width="8.625" style="1607" bestFit="1" customWidth="1"/>
    <col min="8714" max="8960" width="15.125" style="1607"/>
    <col min="8961" max="8961" width="28.75" style="1607" customWidth="1"/>
    <col min="8962" max="8962" width="9.625" style="1607" bestFit="1" customWidth="1"/>
    <col min="8963" max="8963" width="8" style="1607" customWidth="1"/>
    <col min="8964" max="8964" width="9.125" style="1607" bestFit="1" customWidth="1"/>
    <col min="8965" max="8965" width="9.25" style="1607" bestFit="1" customWidth="1"/>
    <col min="8966" max="8966" width="9.75" style="1607" bestFit="1" customWidth="1"/>
    <col min="8967" max="8968" width="9.125" style="1607" bestFit="1" customWidth="1"/>
    <col min="8969" max="8969" width="8.625" style="1607" bestFit="1" customWidth="1"/>
    <col min="8970" max="9216" width="15.125" style="1607"/>
    <col min="9217" max="9217" width="28.75" style="1607" customWidth="1"/>
    <col min="9218" max="9218" width="9.625" style="1607" bestFit="1" customWidth="1"/>
    <col min="9219" max="9219" width="8" style="1607" customWidth="1"/>
    <col min="9220" max="9220" width="9.125" style="1607" bestFit="1" customWidth="1"/>
    <col min="9221" max="9221" width="9.25" style="1607" bestFit="1" customWidth="1"/>
    <col min="9222" max="9222" width="9.75" style="1607" bestFit="1" customWidth="1"/>
    <col min="9223" max="9224" width="9.125" style="1607" bestFit="1" customWidth="1"/>
    <col min="9225" max="9225" width="8.625" style="1607" bestFit="1" customWidth="1"/>
    <col min="9226" max="9472" width="15.125" style="1607"/>
    <col min="9473" max="9473" width="28.75" style="1607" customWidth="1"/>
    <col min="9474" max="9474" width="9.625" style="1607" bestFit="1" customWidth="1"/>
    <col min="9475" max="9475" width="8" style="1607" customWidth="1"/>
    <col min="9476" max="9476" width="9.125" style="1607" bestFit="1" customWidth="1"/>
    <col min="9477" max="9477" width="9.25" style="1607" bestFit="1" customWidth="1"/>
    <col min="9478" max="9478" width="9.75" style="1607" bestFit="1" customWidth="1"/>
    <col min="9479" max="9480" width="9.125" style="1607" bestFit="1" customWidth="1"/>
    <col min="9481" max="9481" width="8.625" style="1607" bestFit="1" customWidth="1"/>
    <col min="9482" max="9728" width="15.125" style="1607"/>
    <col min="9729" max="9729" width="28.75" style="1607" customWidth="1"/>
    <col min="9730" max="9730" width="9.625" style="1607" bestFit="1" customWidth="1"/>
    <col min="9731" max="9731" width="8" style="1607" customWidth="1"/>
    <col min="9732" max="9732" width="9.125" style="1607" bestFit="1" customWidth="1"/>
    <col min="9733" max="9733" width="9.25" style="1607" bestFit="1" customWidth="1"/>
    <col min="9734" max="9734" width="9.75" style="1607" bestFit="1" customWidth="1"/>
    <col min="9735" max="9736" width="9.125" style="1607" bestFit="1" customWidth="1"/>
    <col min="9737" max="9737" width="8.625" style="1607" bestFit="1" customWidth="1"/>
    <col min="9738" max="9984" width="15.125" style="1607"/>
    <col min="9985" max="9985" width="28.75" style="1607" customWidth="1"/>
    <col min="9986" max="9986" width="9.625" style="1607" bestFit="1" customWidth="1"/>
    <col min="9987" max="9987" width="8" style="1607" customWidth="1"/>
    <col min="9988" max="9988" width="9.125" style="1607" bestFit="1" customWidth="1"/>
    <col min="9989" max="9989" width="9.25" style="1607" bestFit="1" customWidth="1"/>
    <col min="9990" max="9990" width="9.75" style="1607" bestFit="1" customWidth="1"/>
    <col min="9991" max="9992" width="9.125" style="1607" bestFit="1" customWidth="1"/>
    <col min="9993" max="9993" width="8.625" style="1607" bestFit="1" customWidth="1"/>
    <col min="9994" max="10240" width="15.125" style="1607"/>
    <col min="10241" max="10241" width="28.75" style="1607" customWidth="1"/>
    <col min="10242" max="10242" width="9.625" style="1607" bestFit="1" customWidth="1"/>
    <col min="10243" max="10243" width="8" style="1607" customWidth="1"/>
    <col min="10244" max="10244" width="9.125" style="1607" bestFit="1" customWidth="1"/>
    <col min="10245" max="10245" width="9.25" style="1607" bestFit="1" customWidth="1"/>
    <col min="10246" max="10246" width="9.75" style="1607" bestFit="1" customWidth="1"/>
    <col min="10247" max="10248" width="9.125" style="1607" bestFit="1" customWidth="1"/>
    <col min="10249" max="10249" width="8.625" style="1607" bestFit="1" customWidth="1"/>
    <col min="10250" max="10496" width="15.125" style="1607"/>
    <col min="10497" max="10497" width="28.75" style="1607" customWidth="1"/>
    <col min="10498" max="10498" width="9.625" style="1607" bestFit="1" customWidth="1"/>
    <col min="10499" max="10499" width="8" style="1607" customWidth="1"/>
    <col min="10500" max="10500" width="9.125" style="1607" bestFit="1" customWidth="1"/>
    <col min="10501" max="10501" width="9.25" style="1607" bestFit="1" customWidth="1"/>
    <col min="10502" max="10502" width="9.75" style="1607" bestFit="1" customWidth="1"/>
    <col min="10503" max="10504" width="9.125" style="1607" bestFit="1" customWidth="1"/>
    <col min="10505" max="10505" width="8.625" style="1607" bestFit="1" customWidth="1"/>
    <col min="10506" max="10752" width="15.125" style="1607"/>
    <col min="10753" max="10753" width="28.75" style="1607" customWidth="1"/>
    <col min="10754" max="10754" width="9.625" style="1607" bestFit="1" customWidth="1"/>
    <col min="10755" max="10755" width="8" style="1607" customWidth="1"/>
    <col min="10756" max="10756" width="9.125" style="1607" bestFit="1" customWidth="1"/>
    <col min="10757" max="10757" width="9.25" style="1607" bestFit="1" customWidth="1"/>
    <col min="10758" max="10758" width="9.75" style="1607" bestFit="1" customWidth="1"/>
    <col min="10759" max="10760" width="9.125" style="1607" bestFit="1" customWidth="1"/>
    <col min="10761" max="10761" width="8.625" style="1607" bestFit="1" customWidth="1"/>
    <col min="10762" max="11008" width="15.125" style="1607"/>
    <col min="11009" max="11009" width="28.75" style="1607" customWidth="1"/>
    <col min="11010" max="11010" width="9.625" style="1607" bestFit="1" customWidth="1"/>
    <col min="11011" max="11011" width="8" style="1607" customWidth="1"/>
    <col min="11012" max="11012" width="9.125" style="1607" bestFit="1" customWidth="1"/>
    <col min="11013" max="11013" width="9.25" style="1607" bestFit="1" customWidth="1"/>
    <col min="11014" max="11014" width="9.75" style="1607" bestFit="1" customWidth="1"/>
    <col min="11015" max="11016" width="9.125" style="1607" bestFit="1" customWidth="1"/>
    <col min="11017" max="11017" width="8.625" style="1607" bestFit="1" customWidth="1"/>
    <col min="11018" max="11264" width="15.125" style="1607"/>
    <col min="11265" max="11265" width="28.75" style="1607" customWidth="1"/>
    <col min="11266" max="11266" width="9.625" style="1607" bestFit="1" customWidth="1"/>
    <col min="11267" max="11267" width="8" style="1607" customWidth="1"/>
    <col min="11268" max="11268" width="9.125" style="1607" bestFit="1" customWidth="1"/>
    <col min="11269" max="11269" width="9.25" style="1607" bestFit="1" customWidth="1"/>
    <col min="11270" max="11270" width="9.75" style="1607" bestFit="1" customWidth="1"/>
    <col min="11271" max="11272" width="9.125" style="1607" bestFit="1" customWidth="1"/>
    <col min="11273" max="11273" width="8.625" style="1607" bestFit="1" customWidth="1"/>
    <col min="11274" max="11520" width="15.125" style="1607"/>
    <col min="11521" max="11521" width="28.75" style="1607" customWidth="1"/>
    <col min="11522" max="11522" width="9.625" style="1607" bestFit="1" customWidth="1"/>
    <col min="11523" max="11523" width="8" style="1607" customWidth="1"/>
    <col min="11524" max="11524" width="9.125" style="1607" bestFit="1" customWidth="1"/>
    <col min="11525" max="11525" width="9.25" style="1607" bestFit="1" customWidth="1"/>
    <col min="11526" max="11526" width="9.75" style="1607" bestFit="1" customWidth="1"/>
    <col min="11527" max="11528" width="9.125" style="1607" bestFit="1" customWidth="1"/>
    <col min="11529" max="11529" width="8.625" style="1607" bestFit="1" customWidth="1"/>
    <col min="11530" max="11776" width="15.125" style="1607"/>
    <col min="11777" max="11777" width="28.75" style="1607" customWidth="1"/>
    <col min="11778" max="11778" width="9.625" style="1607" bestFit="1" customWidth="1"/>
    <col min="11779" max="11779" width="8" style="1607" customWidth="1"/>
    <col min="11780" max="11780" width="9.125" style="1607" bestFit="1" customWidth="1"/>
    <col min="11781" max="11781" width="9.25" style="1607" bestFit="1" customWidth="1"/>
    <col min="11782" max="11782" width="9.75" style="1607" bestFit="1" customWidth="1"/>
    <col min="11783" max="11784" width="9.125" style="1607" bestFit="1" customWidth="1"/>
    <col min="11785" max="11785" width="8.625" style="1607" bestFit="1" customWidth="1"/>
    <col min="11786" max="12032" width="15.125" style="1607"/>
    <col min="12033" max="12033" width="28.75" style="1607" customWidth="1"/>
    <col min="12034" max="12034" width="9.625" style="1607" bestFit="1" customWidth="1"/>
    <col min="12035" max="12035" width="8" style="1607" customWidth="1"/>
    <col min="12036" max="12036" width="9.125" style="1607" bestFit="1" customWidth="1"/>
    <col min="12037" max="12037" width="9.25" style="1607" bestFit="1" customWidth="1"/>
    <col min="12038" max="12038" width="9.75" style="1607" bestFit="1" customWidth="1"/>
    <col min="12039" max="12040" width="9.125" style="1607" bestFit="1" customWidth="1"/>
    <col min="12041" max="12041" width="8.625" style="1607" bestFit="1" customWidth="1"/>
    <col min="12042" max="12288" width="15.125" style="1607"/>
    <col min="12289" max="12289" width="28.75" style="1607" customWidth="1"/>
    <col min="12290" max="12290" width="9.625" style="1607" bestFit="1" customWidth="1"/>
    <col min="12291" max="12291" width="8" style="1607" customWidth="1"/>
    <col min="12292" max="12292" width="9.125" style="1607" bestFit="1" customWidth="1"/>
    <col min="12293" max="12293" width="9.25" style="1607" bestFit="1" customWidth="1"/>
    <col min="12294" max="12294" width="9.75" style="1607" bestFit="1" customWidth="1"/>
    <col min="12295" max="12296" width="9.125" style="1607" bestFit="1" customWidth="1"/>
    <col min="12297" max="12297" width="8.625" style="1607" bestFit="1" customWidth="1"/>
    <col min="12298" max="12544" width="15.125" style="1607"/>
    <col min="12545" max="12545" width="28.75" style="1607" customWidth="1"/>
    <col min="12546" max="12546" width="9.625" style="1607" bestFit="1" customWidth="1"/>
    <col min="12547" max="12547" width="8" style="1607" customWidth="1"/>
    <col min="12548" max="12548" width="9.125" style="1607" bestFit="1" customWidth="1"/>
    <col min="12549" max="12549" width="9.25" style="1607" bestFit="1" customWidth="1"/>
    <col min="12550" max="12550" width="9.75" style="1607" bestFit="1" customWidth="1"/>
    <col min="12551" max="12552" width="9.125" style="1607" bestFit="1" customWidth="1"/>
    <col min="12553" max="12553" width="8.625" style="1607" bestFit="1" customWidth="1"/>
    <col min="12554" max="12800" width="15.125" style="1607"/>
    <col min="12801" max="12801" width="28.75" style="1607" customWidth="1"/>
    <col min="12802" max="12802" width="9.625" style="1607" bestFit="1" customWidth="1"/>
    <col min="12803" max="12803" width="8" style="1607" customWidth="1"/>
    <col min="12804" max="12804" width="9.125" style="1607" bestFit="1" customWidth="1"/>
    <col min="12805" max="12805" width="9.25" style="1607" bestFit="1" customWidth="1"/>
    <col min="12806" max="12806" width="9.75" style="1607" bestFit="1" customWidth="1"/>
    <col min="12807" max="12808" width="9.125" style="1607" bestFit="1" customWidth="1"/>
    <col min="12809" max="12809" width="8.625" style="1607" bestFit="1" customWidth="1"/>
    <col min="12810" max="13056" width="15.125" style="1607"/>
    <col min="13057" max="13057" width="28.75" style="1607" customWidth="1"/>
    <col min="13058" max="13058" width="9.625" style="1607" bestFit="1" customWidth="1"/>
    <col min="13059" max="13059" width="8" style="1607" customWidth="1"/>
    <col min="13060" max="13060" width="9.125" style="1607" bestFit="1" customWidth="1"/>
    <col min="13061" max="13061" width="9.25" style="1607" bestFit="1" customWidth="1"/>
    <col min="13062" max="13062" width="9.75" style="1607" bestFit="1" customWidth="1"/>
    <col min="13063" max="13064" width="9.125" style="1607" bestFit="1" customWidth="1"/>
    <col min="13065" max="13065" width="8.625" style="1607" bestFit="1" customWidth="1"/>
    <col min="13066" max="13312" width="15.125" style="1607"/>
    <col min="13313" max="13313" width="28.75" style="1607" customWidth="1"/>
    <col min="13314" max="13314" width="9.625" style="1607" bestFit="1" customWidth="1"/>
    <col min="13315" max="13315" width="8" style="1607" customWidth="1"/>
    <col min="13316" max="13316" width="9.125" style="1607" bestFit="1" customWidth="1"/>
    <col min="13317" max="13317" width="9.25" style="1607" bestFit="1" customWidth="1"/>
    <col min="13318" max="13318" width="9.75" style="1607" bestFit="1" customWidth="1"/>
    <col min="13319" max="13320" width="9.125" style="1607" bestFit="1" customWidth="1"/>
    <col min="13321" max="13321" width="8.625" style="1607" bestFit="1" customWidth="1"/>
    <col min="13322" max="13568" width="15.125" style="1607"/>
    <col min="13569" max="13569" width="28.75" style="1607" customWidth="1"/>
    <col min="13570" max="13570" width="9.625" style="1607" bestFit="1" customWidth="1"/>
    <col min="13571" max="13571" width="8" style="1607" customWidth="1"/>
    <col min="13572" max="13572" width="9.125" style="1607" bestFit="1" customWidth="1"/>
    <col min="13573" max="13573" width="9.25" style="1607" bestFit="1" customWidth="1"/>
    <col min="13574" max="13574" width="9.75" style="1607" bestFit="1" customWidth="1"/>
    <col min="13575" max="13576" width="9.125" style="1607" bestFit="1" customWidth="1"/>
    <col min="13577" max="13577" width="8.625" style="1607" bestFit="1" customWidth="1"/>
    <col min="13578" max="13824" width="15.125" style="1607"/>
    <col min="13825" max="13825" width="28.75" style="1607" customWidth="1"/>
    <col min="13826" max="13826" width="9.625" style="1607" bestFit="1" customWidth="1"/>
    <col min="13827" max="13827" width="8" style="1607" customWidth="1"/>
    <col min="13828" max="13828" width="9.125" style="1607" bestFit="1" customWidth="1"/>
    <col min="13829" max="13829" width="9.25" style="1607" bestFit="1" customWidth="1"/>
    <col min="13830" max="13830" width="9.75" style="1607" bestFit="1" customWidth="1"/>
    <col min="13831" max="13832" width="9.125" style="1607" bestFit="1" customWidth="1"/>
    <col min="13833" max="13833" width="8.625" style="1607" bestFit="1" customWidth="1"/>
    <col min="13834" max="14080" width="15.125" style="1607"/>
    <col min="14081" max="14081" width="28.75" style="1607" customWidth="1"/>
    <col min="14082" max="14082" width="9.625" style="1607" bestFit="1" customWidth="1"/>
    <col min="14083" max="14083" width="8" style="1607" customWidth="1"/>
    <col min="14084" max="14084" width="9.125" style="1607" bestFit="1" customWidth="1"/>
    <col min="14085" max="14085" width="9.25" style="1607" bestFit="1" customWidth="1"/>
    <col min="14086" max="14086" width="9.75" style="1607" bestFit="1" customWidth="1"/>
    <col min="14087" max="14088" width="9.125" style="1607" bestFit="1" customWidth="1"/>
    <col min="14089" max="14089" width="8.625" style="1607" bestFit="1" customWidth="1"/>
    <col min="14090" max="14336" width="15.125" style="1607"/>
    <col min="14337" max="14337" width="28.75" style="1607" customWidth="1"/>
    <col min="14338" max="14338" width="9.625" style="1607" bestFit="1" customWidth="1"/>
    <col min="14339" max="14339" width="8" style="1607" customWidth="1"/>
    <col min="14340" max="14340" width="9.125" style="1607" bestFit="1" customWidth="1"/>
    <col min="14341" max="14341" width="9.25" style="1607" bestFit="1" customWidth="1"/>
    <col min="14342" max="14342" width="9.75" style="1607" bestFit="1" customWidth="1"/>
    <col min="14343" max="14344" width="9.125" style="1607" bestFit="1" customWidth="1"/>
    <col min="14345" max="14345" width="8.625" style="1607" bestFit="1" customWidth="1"/>
    <col min="14346" max="14592" width="15.125" style="1607"/>
    <col min="14593" max="14593" width="28.75" style="1607" customWidth="1"/>
    <col min="14594" max="14594" width="9.625" style="1607" bestFit="1" customWidth="1"/>
    <col min="14595" max="14595" width="8" style="1607" customWidth="1"/>
    <col min="14596" max="14596" width="9.125" style="1607" bestFit="1" customWidth="1"/>
    <col min="14597" max="14597" width="9.25" style="1607" bestFit="1" customWidth="1"/>
    <col min="14598" max="14598" width="9.75" style="1607" bestFit="1" customWidth="1"/>
    <col min="14599" max="14600" width="9.125" style="1607" bestFit="1" customWidth="1"/>
    <col min="14601" max="14601" width="8.625" style="1607" bestFit="1" customWidth="1"/>
    <col min="14602" max="14848" width="15.125" style="1607"/>
    <col min="14849" max="14849" width="28.75" style="1607" customWidth="1"/>
    <col min="14850" max="14850" width="9.625" style="1607" bestFit="1" customWidth="1"/>
    <col min="14851" max="14851" width="8" style="1607" customWidth="1"/>
    <col min="14852" max="14852" width="9.125" style="1607" bestFit="1" customWidth="1"/>
    <col min="14853" max="14853" width="9.25" style="1607" bestFit="1" customWidth="1"/>
    <col min="14854" max="14854" width="9.75" style="1607" bestFit="1" customWidth="1"/>
    <col min="14855" max="14856" width="9.125" style="1607" bestFit="1" customWidth="1"/>
    <col min="14857" max="14857" width="8.625" style="1607" bestFit="1" customWidth="1"/>
    <col min="14858" max="15104" width="15.125" style="1607"/>
    <col min="15105" max="15105" width="28.75" style="1607" customWidth="1"/>
    <col min="15106" max="15106" width="9.625" style="1607" bestFit="1" customWidth="1"/>
    <col min="15107" max="15107" width="8" style="1607" customWidth="1"/>
    <col min="15108" max="15108" width="9.125" style="1607" bestFit="1" customWidth="1"/>
    <col min="15109" max="15109" width="9.25" style="1607" bestFit="1" customWidth="1"/>
    <col min="15110" max="15110" width="9.75" style="1607" bestFit="1" customWidth="1"/>
    <col min="15111" max="15112" width="9.125" style="1607" bestFit="1" customWidth="1"/>
    <col min="15113" max="15113" width="8.625" style="1607" bestFit="1" customWidth="1"/>
    <col min="15114" max="15360" width="15.125" style="1607"/>
    <col min="15361" max="15361" width="28.75" style="1607" customWidth="1"/>
    <col min="15362" max="15362" width="9.625" style="1607" bestFit="1" customWidth="1"/>
    <col min="15363" max="15363" width="8" style="1607" customWidth="1"/>
    <col min="15364" max="15364" width="9.125" style="1607" bestFit="1" customWidth="1"/>
    <col min="15365" max="15365" width="9.25" style="1607" bestFit="1" customWidth="1"/>
    <col min="15366" max="15366" width="9.75" style="1607" bestFit="1" customWidth="1"/>
    <col min="15367" max="15368" width="9.125" style="1607" bestFit="1" customWidth="1"/>
    <col min="15369" max="15369" width="8.625" style="1607" bestFit="1" customWidth="1"/>
    <col min="15370" max="15616" width="15.125" style="1607"/>
    <col min="15617" max="15617" width="28.75" style="1607" customWidth="1"/>
    <col min="15618" max="15618" width="9.625" style="1607" bestFit="1" customWidth="1"/>
    <col min="15619" max="15619" width="8" style="1607" customWidth="1"/>
    <col min="15620" max="15620" width="9.125" style="1607" bestFit="1" customWidth="1"/>
    <col min="15621" max="15621" width="9.25" style="1607" bestFit="1" customWidth="1"/>
    <col min="15622" max="15622" width="9.75" style="1607" bestFit="1" customWidth="1"/>
    <col min="15623" max="15624" width="9.125" style="1607" bestFit="1" customWidth="1"/>
    <col min="15625" max="15625" width="8.625" style="1607" bestFit="1" customWidth="1"/>
    <col min="15626" max="15872" width="15.125" style="1607"/>
    <col min="15873" max="15873" width="28.75" style="1607" customWidth="1"/>
    <col min="15874" max="15874" width="9.625" style="1607" bestFit="1" customWidth="1"/>
    <col min="15875" max="15875" width="8" style="1607" customWidth="1"/>
    <col min="15876" max="15876" width="9.125" style="1607" bestFit="1" customWidth="1"/>
    <col min="15877" max="15877" width="9.25" style="1607" bestFit="1" customWidth="1"/>
    <col min="15878" max="15878" width="9.75" style="1607" bestFit="1" customWidth="1"/>
    <col min="15879" max="15880" width="9.125" style="1607" bestFit="1" customWidth="1"/>
    <col min="15881" max="15881" width="8.625" style="1607" bestFit="1" customWidth="1"/>
    <col min="15882" max="16128" width="15.125" style="1607"/>
    <col min="16129" max="16129" width="28.75" style="1607" customWidth="1"/>
    <col min="16130" max="16130" width="9.625" style="1607" bestFit="1" customWidth="1"/>
    <col min="16131" max="16131" width="8" style="1607" customWidth="1"/>
    <col min="16132" max="16132" width="9.125" style="1607" bestFit="1" customWidth="1"/>
    <col min="16133" max="16133" width="9.25" style="1607" bestFit="1" customWidth="1"/>
    <col min="16134" max="16134" width="9.75" style="1607" bestFit="1" customWidth="1"/>
    <col min="16135" max="16136" width="9.125" style="1607" bestFit="1" customWidth="1"/>
    <col min="16137" max="16137" width="8.625" style="1607" bestFit="1" customWidth="1"/>
    <col min="16138" max="16384" width="15.125" style="1607"/>
  </cols>
  <sheetData>
    <row r="1" spans="1:10" ht="41.45" customHeight="1">
      <c r="A1" s="1606"/>
    </row>
    <row r="2" spans="1:10" s="1608" customFormat="1">
      <c r="A2" s="2687" t="s">
        <v>297</v>
      </c>
      <c r="B2" s="2687"/>
      <c r="C2" s="2687"/>
      <c r="D2" s="2687"/>
      <c r="E2" s="2687"/>
      <c r="F2" s="2687"/>
      <c r="G2" s="2687"/>
      <c r="H2" s="2687"/>
      <c r="I2" s="2687"/>
    </row>
    <row r="3" spans="1:10" s="1610" customFormat="1" ht="15.75">
      <c r="A3" s="2688" t="s">
        <v>1171</v>
      </c>
      <c r="B3" s="2688"/>
      <c r="C3" s="2688"/>
      <c r="D3" s="2688"/>
      <c r="E3" s="2688"/>
      <c r="F3" s="2688"/>
      <c r="G3" s="2688"/>
      <c r="H3" s="2688"/>
      <c r="I3" s="2688"/>
      <c r="J3" s="1609"/>
    </row>
    <row r="4" spans="1:10" s="1610" customFormat="1">
      <c r="A4" s="1609"/>
      <c r="B4" s="1609"/>
      <c r="C4" s="2688" t="s">
        <v>1601</v>
      </c>
      <c r="D4" s="2688"/>
      <c r="E4" s="2688"/>
      <c r="F4" s="1609"/>
      <c r="G4" s="1609"/>
      <c r="H4" s="1609"/>
      <c r="I4" s="1609"/>
      <c r="J4" s="1609"/>
    </row>
    <row r="5" spans="1:10" s="1610" customFormat="1">
      <c r="A5" s="1611"/>
      <c r="B5" s="1611"/>
      <c r="C5" s="1611"/>
      <c r="D5" s="1611"/>
      <c r="E5" s="1611"/>
      <c r="F5" s="1611"/>
      <c r="G5" s="1611"/>
      <c r="I5" s="1611"/>
    </row>
    <row r="6" spans="1:10" s="1608" customFormat="1" ht="15.75">
      <c r="A6" s="1612"/>
      <c r="B6" s="2689" t="s">
        <v>592</v>
      </c>
      <c r="C6" s="2690"/>
      <c r="D6" s="2690"/>
      <c r="E6" s="2690"/>
      <c r="F6" s="2691"/>
      <c r="G6" s="1613"/>
      <c r="H6" s="2692" t="s">
        <v>77</v>
      </c>
      <c r="I6" s="2693"/>
    </row>
    <row r="7" spans="1:10" s="1608" customFormat="1" ht="15.75">
      <c r="A7" s="1614" t="s">
        <v>485</v>
      </c>
      <c r="B7" s="1615" t="s">
        <v>1602</v>
      </c>
      <c r="C7" s="1616" t="s">
        <v>1603</v>
      </c>
      <c r="D7" s="1615" t="s">
        <v>1604</v>
      </c>
      <c r="E7" s="1616" t="s">
        <v>1605</v>
      </c>
      <c r="F7" s="1617" t="s">
        <v>465</v>
      </c>
      <c r="G7" s="1618" t="s">
        <v>1591</v>
      </c>
      <c r="H7" s="1619" t="s">
        <v>464</v>
      </c>
      <c r="I7" s="1620"/>
      <c r="J7" s="1621"/>
    </row>
    <row r="8" spans="1:10" s="1608" customFormat="1" ht="13.5" thickBot="1">
      <c r="A8" s="1622" t="s">
        <v>310</v>
      </c>
      <c r="B8" s="1623" t="s">
        <v>311</v>
      </c>
      <c r="C8" s="1624" t="s">
        <v>484</v>
      </c>
      <c r="D8" s="1625" t="s">
        <v>311</v>
      </c>
      <c r="E8" s="1626" t="s">
        <v>483</v>
      </c>
      <c r="F8" s="1625" t="s">
        <v>1585</v>
      </c>
      <c r="G8" s="1625" t="s">
        <v>1585</v>
      </c>
      <c r="H8" s="1627" t="s">
        <v>315</v>
      </c>
      <c r="I8" s="1628" t="s">
        <v>316</v>
      </c>
      <c r="J8" s="1621"/>
    </row>
    <row r="9" spans="1:10" s="1608" customFormat="1" ht="13.5" thickTop="1">
      <c r="A9" s="1629" t="s">
        <v>2</v>
      </c>
      <c r="B9" s="1630" t="s">
        <v>451</v>
      </c>
      <c r="C9" s="1631">
        <v>47546.3</v>
      </c>
      <c r="D9" s="1632">
        <v>46459.5</v>
      </c>
      <c r="E9" s="1632">
        <v>43653.599999999999</v>
      </c>
      <c r="F9" s="1632">
        <v>45886.466666666674</v>
      </c>
      <c r="G9" s="1633">
        <v>37162</v>
      </c>
      <c r="H9" s="1634">
        <v>8724.4666666666744</v>
      </c>
      <c r="I9" s="1635">
        <v>0.23476849111099171</v>
      </c>
    </row>
    <row r="10" spans="1:10" s="1641" customFormat="1">
      <c r="A10" s="1636" t="s">
        <v>1159</v>
      </c>
      <c r="B10" s="1630" t="s">
        <v>451</v>
      </c>
      <c r="C10" s="1637">
        <v>39153.300000000003</v>
      </c>
      <c r="D10" s="1637">
        <v>38193.699999999997</v>
      </c>
      <c r="E10" s="1637">
        <v>35752.300000000003</v>
      </c>
      <c r="F10" s="1637">
        <v>37699.76666666667</v>
      </c>
      <c r="G10" s="1638">
        <v>32703</v>
      </c>
      <c r="H10" s="1639">
        <v>4996.7666666666701</v>
      </c>
      <c r="I10" s="1640"/>
    </row>
    <row r="11" spans="1:10" s="1641" customFormat="1">
      <c r="A11" s="1636" t="s">
        <v>479</v>
      </c>
      <c r="B11" s="1630" t="s">
        <v>451</v>
      </c>
      <c r="C11" s="1637">
        <v>4367.6000000000004</v>
      </c>
      <c r="D11" s="1637">
        <v>4291.3999999999996</v>
      </c>
      <c r="E11" s="1637">
        <v>4146.2</v>
      </c>
      <c r="F11" s="1637">
        <v>4268.4000000000005</v>
      </c>
      <c r="G11" s="1638">
        <v>2045</v>
      </c>
      <c r="H11" s="1639">
        <v>2223.4000000000005</v>
      </c>
      <c r="I11" s="1640"/>
    </row>
    <row r="12" spans="1:10" s="1641" customFormat="1">
      <c r="A12" s="1636" t="s">
        <v>478</v>
      </c>
      <c r="B12" s="1630" t="s">
        <v>451</v>
      </c>
      <c r="C12" s="1637">
        <v>4025.4</v>
      </c>
      <c r="D12" s="1637">
        <v>3974.4</v>
      </c>
      <c r="E12" s="1637">
        <v>3755.1</v>
      </c>
      <c r="F12" s="1637">
        <v>3918.2999999999997</v>
      </c>
      <c r="G12" s="1638">
        <v>2414</v>
      </c>
      <c r="H12" s="1639">
        <v>1504.2999999999997</v>
      </c>
      <c r="I12" s="1640"/>
    </row>
    <row r="13" spans="1:10" s="1608" customFormat="1">
      <c r="A13" s="1642" t="s">
        <v>590</v>
      </c>
      <c r="B13" s="1630" t="s">
        <v>451</v>
      </c>
      <c r="C13" s="1643">
        <v>26829.7</v>
      </c>
      <c r="D13" s="1644">
        <v>246.7</v>
      </c>
      <c r="E13" s="1644">
        <v>25017.000000000004</v>
      </c>
      <c r="F13" s="1645">
        <v>25954.016666666663</v>
      </c>
      <c r="G13" s="1646">
        <v>22538</v>
      </c>
      <c r="H13" s="1647">
        <v>3416.0166666666628</v>
      </c>
      <c r="I13" s="1648">
        <v>0.15156698316916598</v>
      </c>
    </row>
    <row r="14" spans="1:10" s="1641" customFormat="1">
      <c r="A14" s="1649" t="s">
        <v>589</v>
      </c>
      <c r="B14" s="1630" t="s">
        <v>451</v>
      </c>
      <c r="C14" s="1650">
        <v>22900.7</v>
      </c>
      <c r="D14" s="1651"/>
      <c r="E14" s="1650">
        <v>21303.5</v>
      </c>
      <c r="F14" s="1652">
        <v>22102.1</v>
      </c>
      <c r="G14" s="1653">
        <v>19250</v>
      </c>
      <c r="H14" s="1654">
        <v>2852.0999999999985</v>
      </c>
      <c r="I14" s="1640">
        <v>0.14816103896103888</v>
      </c>
    </row>
    <row r="15" spans="1:10" s="1641" customFormat="1">
      <c r="A15" s="1655" t="s">
        <v>474</v>
      </c>
      <c r="B15" s="1630" t="s">
        <v>451</v>
      </c>
      <c r="C15" s="1650">
        <v>1136</v>
      </c>
      <c r="D15" s="1651"/>
      <c r="E15" s="1650">
        <v>1064.7</v>
      </c>
      <c r="F15" s="1652">
        <v>1100.3499999999999</v>
      </c>
      <c r="G15" s="1653">
        <v>865</v>
      </c>
      <c r="H15" s="1654">
        <v>235.34999999999991</v>
      </c>
      <c r="I15" s="1640">
        <v>0.27208092485549124</v>
      </c>
    </row>
    <row r="16" spans="1:10" s="1641" customFormat="1">
      <c r="A16" s="1649" t="s">
        <v>473</v>
      </c>
      <c r="B16" s="1630" t="s">
        <v>451</v>
      </c>
      <c r="C16" s="1650">
        <v>2540.6</v>
      </c>
      <c r="D16" s="1651"/>
      <c r="E16" s="1650">
        <v>2427.4</v>
      </c>
      <c r="F16" s="1652">
        <v>2484</v>
      </c>
      <c r="G16" s="1653">
        <v>2113</v>
      </c>
      <c r="H16" s="1654">
        <v>371</v>
      </c>
      <c r="I16" s="1640">
        <v>0.175579744439186</v>
      </c>
    </row>
    <row r="17" spans="1:10" s="1608" customFormat="1" ht="15.75">
      <c r="A17" s="1656" t="s">
        <v>1606</v>
      </c>
      <c r="B17" s="1657">
        <v>82.2</v>
      </c>
      <c r="C17" s="1658">
        <v>252.4</v>
      </c>
      <c r="D17" s="1658">
        <v>246.7</v>
      </c>
      <c r="E17" s="1658">
        <v>221.4</v>
      </c>
      <c r="F17" s="1658">
        <v>267.56666666666666</v>
      </c>
      <c r="G17" s="1644">
        <v>310</v>
      </c>
      <c r="H17" s="1659">
        <v>-42.433333333333337</v>
      </c>
      <c r="I17" s="1648">
        <v>-0.13688172043010755</v>
      </c>
    </row>
    <row r="18" spans="1:10" s="1641" customFormat="1">
      <c r="A18" s="1660" t="s">
        <v>93</v>
      </c>
      <c r="B18" s="1630">
        <v>0</v>
      </c>
      <c r="C18" s="1651">
        <v>57.5</v>
      </c>
      <c r="D18" s="1651">
        <v>52.3</v>
      </c>
      <c r="E18" s="1651">
        <v>50.5</v>
      </c>
      <c r="F18" s="1661">
        <v>53.433333333333337</v>
      </c>
      <c r="G18" s="1637"/>
      <c r="H18" s="1662"/>
      <c r="I18" s="1663"/>
    </row>
    <row r="19" spans="1:10" s="1641" customFormat="1">
      <c r="A19" s="1660" t="s">
        <v>96</v>
      </c>
      <c r="B19" s="1630">
        <v>0</v>
      </c>
      <c r="C19" s="1651">
        <v>0</v>
      </c>
      <c r="D19" s="1651">
        <v>0</v>
      </c>
      <c r="E19" s="1651">
        <v>0</v>
      </c>
      <c r="F19" s="1661">
        <v>0</v>
      </c>
      <c r="G19" s="1637"/>
      <c r="H19" s="1662"/>
      <c r="I19" s="1663"/>
    </row>
    <row r="20" spans="1:10" s="1641" customFormat="1">
      <c r="A20" s="1660" t="s">
        <v>98</v>
      </c>
      <c r="B20" s="1630">
        <v>82.2</v>
      </c>
      <c r="C20" s="1651">
        <v>166.4</v>
      </c>
      <c r="D20" s="1651">
        <v>145.9</v>
      </c>
      <c r="E20" s="1651">
        <v>147.6</v>
      </c>
      <c r="F20" s="1661">
        <v>180.70000000000002</v>
      </c>
      <c r="G20" s="1637"/>
      <c r="H20" s="1662"/>
      <c r="I20" s="1663"/>
    </row>
    <row r="21" spans="1:10" s="1641" customFormat="1">
      <c r="A21" s="1664" t="s">
        <v>1150</v>
      </c>
      <c r="B21" s="1665">
        <v>0</v>
      </c>
      <c r="C21" s="1651">
        <v>28.5</v>
      </c>
      <c r="D21" s="1651">
        <v>48.5</v>
      </c>
      <c r="E21" s="1651">
        <v>23.3</v>
      </c>
      <c r="F21" s="1661">
        <v>33.43333333333333</v>
      </c>
      <c r="G21" s="1666">
        <v>25</v>
      </c>
      <c r="H21" s="1639"/>
      <c r="I21" s="1640"/>
    </row>
    <row r="22" spans="1:10" s="1608" customFormat="1" ht="17.25" customHeight="1">
      <c r="A22" s="1667" t="s">
        <v>5</v>
      </c>
      <c r="B22" s="1630" t="s">
        <v>451</v>
      </c>
      <c r="C22" s="1668">
        <v>9425.7000000000007</v>
      </c>
      <c r="D22" s="1668">
        <v>9110.7000000000007</v>
      </c>
      <c r="E22" s="1668">
        <v>8753.1</v>
      </c>
      <c r="F22" s="1669">
        <v>9096.5</v>
      </c>
      <c r="G22" s="1670">
        <v>9105</v>
      </c>
      <c r="H22" s="1659">
        <v>-8.5</v>
      </c>
      <c r="I22" s="1648">
        <v>-9.3355299286106532E-4</v>
      </c>
    </row>
    <row r="23" spans="1:10" s="1608" customFormat="1">
      <c r="A23" s="1667" t="s">
        <v>4</v>
      </c>
      <c r="B23" s="1630" t="s">
        <v>451</v>
      </c>
      <c r="C23" s="1668">
        <v>10904.4</v>
      </c>
      <c r="D23" s="1668">
        <v>10463.799999999999</v>
      </c>
      <c r="E23" s="1668">
        <v>9817.7999999999993</v>
      </c>
      <c r="F23" s="1669">
        <v>10395.333333333332</v>
      </c>
      <c r="G23" s="1670">
        <v>8734</v>
      </c>
      <c r="H23" s="1659">
        <v>1661.3333333333321</v>
      </c>
      <c r="I23" s="1648">
        <v>0.19021448744370645</v>
      </c>
    </row>
    <row r="24" spans="1:10" s="1608" customFormat="1">
      <c r="A24" s="1667" t="s">
        <v>6</v>
      </c>
      <c r="B24" s="1657" t="s">
        <v>451</v>
      </c>
      <c r="C24" s="1668">
        <v>4215.7</v>
      </c>
      <c r="D24" s="1668">
        <v>4010.2</v>
      </c>
      <c r="E24" s="1668">
        <v>3795.3</v>
      </c>
      <c r="F24" s="1671">
        <v>4007.0666666666671</v>
      </c>
      <c r="G24" s="1670">
        <v>4213</v>
      </c>
      <c r="H24" s="1659">
        <v>-205.93333333333294</v>
      </c>
      <c r="I24" s="1648">
        <v>-4.8880449402642523E-2</v>
      </c>
    </row>
    <row r="25" spans="1:10" s="1608" customFormat="1" ht="13.5" thickBot="1">
      <c r="A25" s="1642" t="s">
        <v>7</v>
      </c>
      <c r="B25" s="1630" t="s">
        <v>451</v>
      </c>
      <c r="C25" s="1668">
        <v>13226.7</v>
      </c>
      <c r="D25" s="1668">
        <v>12653.8</v>
      </c>
      <c r="E25" s="1668">
        <v>11907.4</v>
      </c>
      <c r="F25" s="1671">
        <v>12595.966666666667</v>
      </c>
      <c r="G25" s="1672">
        <v>11762</v>
      </c>
      <c r="H25" s="1659">
        <v>833.96666666666715</v>
      </c>
      <c r="I25" s="1673">
        <v>7.0903474465793842E-2</v>
      </c>
    </row>
    <row r="26" spans="1:10" s="1608" customFormat="1" ht="13.5" thickTop="1">
      <c r="A26" s="1674" t="s">
        <v>472</v>
      </c>
      <c r="B26" s="1675" t="s">
        <v>451</v>
      </c>
      <c r="C26" s="1676">
        <v>112148.49999999999</v>
      </c>
      <c r="D26" s="1676">
        <v>82944.7</v>
      </c>
      <c r="E26" s="1676">
        <v>102944.20000000001</v>
      </c>
      <c r="F26" s="1676">
        <v>107935.35</v>
      </c>
      <c r="G26" s="1677">
        <v>93514</v>
      </c>
      <c r="H26" s="1676">
        <v>14421.350000000006</v>
      </c>
      <c r="I26" s="1678">
        <v>0.15421594627542407</v>
      </c>
    </row>
    <row r="27" spans="1:10" s="1608" customFormat="1">
      <c r="A27" s="1679"/>
      <c r="B27" s="1680"/>
      <c r="C27" s="1680"/>
      <c r="D27" s="1680"/>
      <c r="E27" s="1680"/>
      <c r="F27" s="1680"/>
      <c r="G27" s="1680"/>
      <c r="H27" s="1680"/>
      <c r="I27" s="1681"/>
    </row>
    <row r="28" spans="1:10" s="1608" customFormat="1">
      <c r="A28" s="2694" t="s">
        <v>588</v>
      </c>
      <c r="B28" s="2697" t="s">
        <v>77</v>
      </c>
      <c r="C28" s="2698"/>
      <c r="D28" s="2698"/>
      <c r="E28" s="2698"/>
      <c r="F28" s="2699"/>
      <c r="G28" s="1682"/>
      <c r="H28" s="2700" t="s">
        <v>77</v>
      </c>
      <c r="I28" s="2701"/>
    </row>
    <row r="29" spans="1:10" s="1608" customFormat="1" ht="15.75">
      <c r="A29" s="2695"/>
      <c r="B29" s="1615" t="s">
        <v>1602</v>
      </c>
      <c r="C29" s="1616" t="s">
        <v>1603</v>
      </c>
      <c r="D29" s="1615" t="s">
        <v>1604</v>
      </c>
      <c r="E29" s="1616" t="s">
        <v>1605</v>
      </c>
      <c r="F29" s="1617" t="s">
        <v>465</v>
      </c>
      <c r="G29" s="1618" t="s">
        <v>1591</v>
      </c>
      <c r="H29" s="1619" t="s">
        <v>464</v>
      </c>
      <c r="I29" s="1620"/>
    </row>
    <row r="30" spans="1:10" s="1608" customFormat="1" ht="13.5" thickBot="1">
      <c r="A30" s="2696"/>
      <c r="B30" s="1623" t="s">
        <v>311</v>
      </c>
      <c r="C30" s="1624" t="s">
        <v>484</v>
      </c>
      <c r="D30" s="1683" t="s">
        <v>311</v>
      </c>
      <c r="E30" s="1626" t="s">
        <v>483</v>
      </c>
      <c r="F30" s="1625" t="s">
        <v>1585</v>
      </c>
      <c r="G30" s="1625" t="s">
        <v>1585</v>
      </c>
      <c r="H30" s="1627" t="s">
        <v>315</v>
      </c>
      <c r="I30" s="1628" t="s">
        <v>316</v>
      </c>
    </row>
    <row r="31" spans="1:10" s="1608" customFormat="1" ht="26.25" thickTop="1">
      <c r="A31" s="1684" t="s">
        <v>582</v>
      </c>
      <c r="B31" s="1668">
        <v>44593</v>
      </c>
      <c r="C31" s="1668">
        <v>119398</v>
      </c>
      <c r="D31" s="1668">
        <v>117592</v>
      </c>
      <c r="E31" s="1685">
        <v>111925</v>
      </c>
      <c r="F31" s="1686">
        <v>131169.33333333334</v>
      </c>
      <c r="G31" s="1687">
        <v>132062</v>
      </c>
      <c r="H31" s="1688">
        <v>-892.66666666665697</v>
      </c>
      <c r="I31" s="1648">
        <v>-6.7594513688014491E-3</v>
      </c>
    </row>
    <row r="32" spans="1:10" s="1695" customFormat="1">
      <c r="A32" s="1689" t="s">
        <v>581</v>
      </c>
      <c r="B32" s="1631">
        <v>3119</v>
      </c>
      <c r="C32" s="1690">
        <v>5665</v>
      </c>
      <c r="D32" s="1690">
        <v>6002</v>
      </c>
      <c r="E32" s="1691">
        <v>6267</v>
      </c>
      <c r="F32" s="1647">
        <v>7017.666666666667</v>
      </c>
      <c r="G32" s="1692">
        <v>7170</v>
      </c>
      <c r="H32" s="1693">
        <v>-152.33333333333303</v>
      </c>
      <c r="I32" s="1648">
        <v>-2.1245932124593171E-2</v>
      </c>
      <c r="J32" s="1694"/>
    </row>
    <row r="33" spans="1:10" s="1700" customFormat="1">
      <c r="A33" s="1696" t="s">
        <v>460</v>
      </c>
      <c r="B33" s="1697">
        <v>3107</v>
      </c>
      <c r="C33" s="1697">
        <v>5449</v>
      </c>
      <c r="D33" s="1697">
        <v>5711</v>
      </c>
      <c r="E33" s="1698">
        <v>5985</v>
      </c>
      <c r="F33" s="1639">
        <v>6750.666666666667</v>
      </c>
      <c r="G33" s="1653"/>
      <c r="H33" s="1697"/>
      <c r="I33" s="1648"/>
      <c r="J33" s="1699"/>
    </row>
    <row r="34" spans="1:10" s="1700" customFormat="1">
      <c r="A34" s="1696" t="s">
        <v>459</v>
      </c>
      <c r="B34" s="1697">
        <v>12</v>
      </c>
      <c r="C34" s="1697">
        <v>216</v>
      </c>
      <c r="D34" s="1697">
        <v>291</v>
      </c>
      <c r="E34" s="1698">
        <v>282</v>
      </c>
      <c r="F34" s="1639">
        <v>267</v>
      </c>
      <c r="G34" s="1701"/>
      <c r="H34" s="1697"/>
      <c r="I34" s="1648"/>
      <c r="J34" s="1699"/>
    </row>
    <row r="35" spans="1:10" s="1608" customFormat="1" ht="15.75">
      <c r="A35" s="1702" t="s">
        <v>1607</v>
      </c>
      <c r="B35" s="1703">
        <v>85</v>
      </c>
      <c r="C35" s="1703">
        <v>349</v>
      </c>
      <c r="D35" s="1703">
        <v>330</v>
      </c>
      <c r="E35" s="1704">
        <v>315</v>
      </c>
      <c r="F35" s="1647">
        <v>359.66666666666669</v>
      </c>
      <c r="G35" s="1671">
        <v>220</v>
      </c>
      <c r="H35" s="1671">
        <v>139.66666666666669</v>
      </c>
      <c r="I35" s="1648">
        <v>0.63484848484848488</v>
      </c>
    </row>
    <row r="36" spans="1:10" s="1608" customFormat="1" ht="15.75">
      <c r="A36" s="1705" t="s">
        <v>1608</v>
      </c>
      <c r="B36" s="1658">
        <v>0</v>
      </c>
      <c r="C36" s="1658">
        <v>184.09999999999997</v>
      </c>
      <c r="D36" s="1658">
        <v>145.4</v>
      </c>
      <c r="E36" s="1658">
        <v>169.60000000000002</v>
      </c>
      <c r="F36" s="1658">
        <v>177.81666666666663</v>
      </c>
      <c r="G36" s="1671">
        <v>165</v>
      </c>
      <c r="H36" s="1659">
        <v>12.816666666666634</v>
      </c>
      <c r="I36" s="1648">
        <v>7.7676767676767483E-2</v>
      </c>
    </row>
    <row r="37" spans="1:10" s="1641" customFormat="1">
      <c r="A37" s="1664" t="s">
        <v>455</v>
      </c>
      <c r="B37" s="1651">
        <v>0</v>
      </c>
      <c r="C37" s="1651">
        <v>44.3</v>
      </c>
      <c r="D37" s="1651">
        <v>47.5</v>
      </c>
      <c r="E37" s="1651">
        <v>42.2</v>
      </c>
      <c r="F37" s="1661">
        <v>44.666666666666664</v>
      </c>
      <c r="G37" s="1639"/>
      <c r="H37" s="1654"/>
      <c r="I37" s="1640"/>
    </row>
    <row r="38" spans="1:10" s="1641" customFormat="1">
      <c r="A38" s="1664" t="s">
        <v>454</v>
      </c>
      <c r="B38" s="1651">
        <v>0</v>
      </c>
      <c r="C38" s="1651">
        <v>93.1</v>
      </c>
      <c r="D38" s="1651">
        <v>86.3</v>
      </c>
      <c r="E38" s="1651">
        <v>80.7</v>
      </c>
      <c r="F38" s="1661">
        <v>86.699999999999989</v>
      </c>
      <c r="G38" s="1639"/>
      <c r="H38" s="1654"/>
      <c r="I38" s="1640"/>
    </row>
    <row r="39" spans="1:10" s="1641" customFormat="1">
      <c r="A39" s="1664" t="s">
        <v>453</v>
      </c>
      <c r="B39" s="1651">
        <v>0</v>
      </c>
      <c r="C39" s="1651">
        <v>10.7</v>
      </c>
      <c r="D39" s="1651">
        <v>11.6</v>
      </c>
      <c r="E39" s="1651">
        <v>14</v>
      </c>
      <c r="F39" s="1661">
        <v>12.1</v>
      </c>
      <c r="G39" s="1639"/>
      <c r="H39" s="1654"/>
      <c r="I39" s="1640"/>
    </row>
    <row r="40" spans="1:10" s="1641" customFormat="1" ht="13.5" thickBot="1">
      <c r="A40" s="1664" t="s">
        <v>1152</v>
      </c>
      <c r="B40" s="1651">
        <v>0</v>
      </c>
      <c r="C40" s="1651">
        <v>36</v>
      </c>
      <c r="D40" s="1651">
        <v>0</v>
      </c>
      <c r="E40" s="1651">
        <v>32.700000000000003</v>
      </c>
      <c r="F40" s="1652">
        <v>34.35</v>
      </c>
      <c r="G40" s="1639">
        <v>30</v>
      </c>
      <c r="H40" s="1654"/>
      <c r="I40" s="1640"/>
    </row>
    <row r="41" spans="1:10" s="1712" customFormat="1" ht="16.5" thickTop="1">
      <c r="A41" s="1706" t="s">
        <v>1609</v>
      </c>
      <c r="B41" s="1707">
        <v>47797</v>
      </c>
      <c r="C41" s="1707">
        <v>125596.1</v>
      </c>
      <c r="D41" s="1707">
        <v>124069.4</v>
      </c>
      <c r="E41" s="1707">
        <v>118676.6</v>
      </c>
      <c r="F41" s="1707">
        <v>138724.48333333334</v>
      </c>
      <c r="G41" s="1708">
        <v>139927</v>
      </c>
      <c r="H41" s="1709">
        <v>-1202.5166666666628</v>
      </c>
      <c r="I41" s="1710">
        <v>-8.5938858595314901E-3</v>
      </c>
      <c r="J41" s="1711"/>
    </row>
    <row r="42" spans="1:10" s="1608" customFormat="1" ht="13.5" thickBot="1">
      <c r="A42" s="1713"/>
      <c r="B42" s="1714"/>
      <c r="C42" s="1715"/>
      <c r="D42" s="1715"/>
      <c r="E42" s="1715"/>
      <c r="F42" s="1715"/>
      <c r="G42" s="1714"/>
      <c r="H42" s="1716"/>
      <c r="I42" s="1717"/>
    </row>
    <row r="43" spans="1:10" s="1610" customFormat="1" ht="15" thickTop="1" thickBot="1">
      <c r="A43" s="1718" t="s">
        <v>448</v>
      </c>
      <c r="B43" s="1719"/>
      <c r="C43" s="1719"/>
      <c r="D43" s="1720"/>
      <c r="E43" s="1720"/>
      <c r="F43" s="1721">
        <v>246659.83333333334</v>
      </c>
      <c r="G43" s="1721">
        <v>233441</v>
      </c>
      <c r="H43" s="1721">
        <v>13218.833333333343</v>
      </c>
      <c r="I43" s="1722">
        <v>5.6626013996398848E-2</v>
      </c>
    </row>
    <row r="44" spans="1:10" s="1610" customFormat="1" ht="14.25" thickTop="1">
      <c r="A44" s="1723"/>
      <c r="B44" s="1724"/>
      <c r="C44" s="1724"/>
      <c r="D44" s="1725"/>
      <c r="E44" s="1725"/>
      <c r="F44" s="1725"/>
      <c r="G44" s="1725"/>
      <c r="H44" s="1725"/>
      <c r="I44" s="1726"/>
    </row>
    <row r="45" spans="1:10" s="1606" customFormat="1">
      <c r="A45" s="1727" t="s">
        <v>574</v>
      </c>
      <c r="B45" s="1728">
        <v>0</v>
      </c>
      <c r="C45" s="1729">
        <v>16873</v>
      </c>
      <c r="D45" s="1729">
        <v>16523</v>
      </c>
      <c r="E45" s="1729">
        <v>15718</v>
      </c>
      <c r="F45" s="1730">
        <v>16371.333333333334</v>
      </c>
      <c r="G45" s="1731">
        <v>11558</v>
      </c>
      <c r="H45" s="1732">
        <v>4813.3333333333339</v>
      </c>
      <c r="I45" s="1733">
        <v>0.41645036626867399</v>
      </c>
    </row>
    <row r="46" spans="1:10" s="1610" customFormat="1">
      <c r="A46" s="1734"/>
      <c r="B46" s="1724"/>
      <c r="C46" s="1724"/>
      <c r="D46" s="1725"/>
      <c r="E46" s="1725"/>
      <c r="F46" s="1725"/>
      <c r="G46" s="1725"/>
      <c r="H46" s="1735"/>
      <c r="I46" s="1726"/>
    </row>
    <row r="47" spans="1:10" ht="54" customHeight="1">
      <c r="A47" s="2686" t="s">
        <v>1592</v>
      </c>
      <c r="B47" s="2686"/>
      <c r="C47" s="2686"/>
      <c r="D47" s="2686"/>
      <c r="E47" s="2686"/>
      <c r="F47" s="2686"/>
      <c r="G47" s="2686"/>
      <c r="H47" s="2686"/>
      <c r="I47" s="2686"/>
      <c r="J47" s="2686"/>
    </row>
    <row r="48" spans="1:10" ht="30" customHeight="1">
      <c r="A48" s="2702" t="s">
        <v>1610</v>
      </c>
      <c r="B48" s="2702"/>
      <c r="C48" s="2702"/>
      <c r="D48" s="2702"/>
      <c r="E48" s="2702"/>
      <c r="F48" s="2702"/>
      <c r="G48" s="2702"/>
      <c r="H48" s="2702"/>
      <c r="I48" s="2702"/>
      <c r="J48" s="2702"/>
    </row>
    <row r="49" spans="1:10" ht="15.75">
      <c r="A49" s="2702" t="s">
        <v>1611</v>
      </c>
      <c r="B49" s="2702"/>
      <c r="C49" s="2702"/>
      <c r="D49" s="2702"/>
      <c r="E49" s="2702"/>
      <c r="F49" s="2702"/>
      <c r="G49" s="2702"/>
      <c r="H49" s="2702"/>
      <c r="I49" s="2702"/>
      <c r="J49" s="2702"/>
    </row>
    <row r="50" spans="1:10" ht="27.75" customHeight="1">
      <c r="A50" s="2702" t="s">
        <v>1612</v>
      </c>
      <c r="B50" s="2702"/>
      <c r="C50" s="2702"/>
      <c r="D50" s="2702"/>
      <c r="E50" s="2702"/>
      <c r="F50" s="2702"/>
      <c r="G50" s="2702"/>
      <c r="H50" s="2702"/>
      <c r="I50" s="2702"/>
      <c r="J50" s="2702"/>
    </row>
    <row r="51" spans="1:10" ht="15.75">
      <c r="A51" s="2702" t="s">
        <v>1613</v>
      </c>
      <c r="B51" s="2702"/>
      <c r="C51" s="2702"/>
      <c r="D51" s="2702"/>
      <c r="E51" s="2702"/>
      <c r="F51" s="2702"/>
      <c r="G51" s="2702"/>
      <c r="H51" s="2702"/>
      <c r="I51" s="2702"/>
      <c r="J51" s="2702"/>
    </row>
    <row r="52" spans="1:10" ht="15.75">
      <c r="A52" s="2686" t="s">
        <v>1614</v>
      </c>
      <c r="B52" s="2686"/>
      <c r="C52" s="2686"/>
      <c r="D52" s="2686"/>
      <c r="E52" s="2686"/>
      <c r="F52" s="2686"/>
      <c r="G52" s="2686"/>
      <c r="H52" s="2686"/>
      <c r="I52" s="2686"/>
      <c r="J52" s="2686"/>
    </row>
  </sheetData>
  <mergeCells count="14">
    <mergeCell ref="A52:J52"/>
    <mergeCell ref="A2:I2"/>
    <mergeCell ref="A3:I3"/>
    <mergeCell ref="C4:E4"/>
    <mergeCell ref="B6:F6"/>
    <mergeCell ref="H6:I6"/>
    <mergeCell ref="A28:A30"/>
    <mergeCell ref="B28:F28"/>
    <mergeCell ref="H28:I28"/>
    <mergeCell ref="A47:J47"/>
    <mergeCell ref="A48:J48"/>
    <mergeCell ref="A49:J49"/>
    <mergeCell ref="A50:J50"/>
    <mergeCell ref="A51:J51"/>
  </mergeCells>
  <pageMargins left="0.7" right="0.7" top="0.75" bottom="0.75" header="0.3" footer="0.3"/>
  <pageSetup orientation="portrait" verticalDpi="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tabColor rgb="FFFFFF00"/>
  </sheetPr>
  <dimension ref="A1:T46"/>
  <sheetViews>
    <sheetView workbookViewId="0">
      <selection sqref="A1:N1"/>
    </sheetView>
  </sheetViews>
  <sheetFormatPr defaultRowHeight="12.75"/>
  <cols>
    <col min="1" max="1" width="2.375" style="355" customWidth="1"/>
    <col min="2" max="2" width="5.875" style="355" customWidth="1"/>
    <col min="3" max="4" width="8.625" style="355" customWidth="1"/>
    <col min="5" max="5" width="7.5" style="355" customWidth="1"/>
    <col min="6" max="6" width="7.5" style="372" customWidth="1"/>
    <col min="7" max="7" width="7.625" style="372" customWidth="1"/>
    <col min="8" max="11" width="7.25" style="355" customWidth="1"/>
    <col min="12" max="12" width="0.5" style="355" customWidth="1"/>
    <col min="13" max="14" width="7.25" style="355" customWidth="1"/>
    <col min="15" max="16384" width="9" style="355"/>
  </cols>
  <sheetData>
    <row r="1" spans="1:20" s="562" customFormat="1" ht="20.100000000000001" customHeight="1">
      <c r="A1" s="2591" t="s">
        <v>177</v>
      </c>
      <c r="B1" s="2591"/>
      <c r="C1" s="2591"/>
      <c r="D1" s="2591"/>
      <c r="E1" s="2591"/>
      <c r="F1" s="2591"/>
      <c r="G1" s="2591"/>
      <c r="H1" s="2591"/>
      <c r="I1" s="2591"/>
      <c r="J1" s="2591"/>
      <c r="K1" s="2591"/>
      <c r="L1" s="2591"/>
      <c r="M1" s="2591"/>
      <c r="N1" s="2591"/>
      <c r="O1" s="1433"/>
      <c r="P1" s="1433"/>
    </row>
    <row r="2" spans="1:20" s="562" customFormat="1" ht="18" customHeight="1">
      <c r="A2" s="2592" t="s">
        <v>364</v>
      </c>
      <c r="B2" s="2592"/>
      <c r="C2" s="2592"/>
      <c r="D2" s="2592"/>
      <c r="E2" s="2592"/>
      <c r="F2" s="2592"/>
      <c r="G2" s="2592"/>
      <c r="H2" s="2592"/>
      <c r="I2" s="2592"/>
      <c r="J2" s="2592"/>
      <c r="K2" s="2592"/>
      <c r="L2" s="2592"/>
      <c r="M2" s="2592"/>
      <c r="N2" s="2592"/>
      <c r="O2" s="1434"/>
      <c r="P2" s="1434"/>
    </row>
    <row r="3" spans="1:20" s="562" customFormat="1" ht="15" customHeight="1">
      <c r="A3" s="2543" t="s">
        <v>365</v>
      </c>
      <c r="B3" s="2543"/>
      <c r="C3" s="2543"/>
      <c r="D3" s="2543"/>
      <c r="E3" s="2543"/>
      <c r="F3" s="2543"/>
      <c r="G3" s="2543"/>
      <c r="H3" s="2543"/>
      <c r="I3" s="2543"/>
      <c r="J3" s="2543"/>
      <c r="K3" s="2543"/>
      <c r="L3" s="2543"/>
      <c r="M3" s="2543"/>
      <c r="N3" s="2543"/>
    </row>
    <row r="4" spans="1:20" s="562" customFormat="1" ht="24.75" customHeight="1">
      <c r="A4" s="2593"/>
      <c r="B4" s="2593"/>
      <c r="C4" s="2593"/>
      <c r="D4" s="2593"/>
      <c r="E4" s="2593"/>
      <c r="F4" s="2593"/>
      <c r="G4" s="2593"/>
      <c r="H4" s="2593"/>
      <c r="I4" s="2593"/>
      <c r="J4" s="2593"/>
      <c r="K4" s="2593"/>
      <c r="L4" s="2593"/>
      <c r="M4" s="2593"/>
      <c r="N4" s="2593"/>
      <c r="O4" s="2593"/>
      <c r="P4" s="2593"/>
    </row>
    <row r="5" spans="1:20" s="566" customFormat="1" ht="17.25" customHeight="1">
      <c r="B5" s="824"/>
      <c r="C5" s="824"/>
      <c r="D5" s="824"/>
      <c r="E5" s="2534" t="s">
        <v>366</v>
      </c>
      <c r="F5" s="2535"/>
      <c r="G5" s="2535"/>
      <c r="H5" s="2535"/>
      <c r="I5" s="2535"/>
      <c r="J5" s="2535"/>
      <c r="K5" s="2536"/>
      <c r="L5" s="824"/>
      <c r="M5" s="2534" t="s">
        <v>188</v>
      </c>
      <c r="N5" s="2536"/>
      <c r="O5" s="824"/>
      <c r="P5" s="824"/>
    </row>
    <row r="6" spans="1:20" s="566" customFormat="1" ht="6" customHeight="1">
      <c r="A6" s="348"/>
      <c r="B6" s="348"/>
      <c r="C6" s="348"/>
      <c r="D6" s="348"/>
      <c r="E6" s="353"/>
      <c r="F6" s="354"/>
      <c r="G6" s="354"/>
      <c r="H6" s="349"/>
      <c r="I6" s="349"/>
      <c r="J6" s="349"/>
      <c r="L6" s="349"/>
    </row>
    <row r="7" spans="1:20" s="562" customFormat="1" ht="20.25" customHeight="1">
      <c r="A7" s="345"/>
      <c r="B7" s="345"/>
      <c r="C7" s="345"/>
      <c r="D7" s="345"/>
      <c r="E7" s="576" t="s">
        <v>509</v>
      </c>
      <c r="F7" s="575" t="s">
        <v>508</v>
      </c>
      <c r="G7" s="576" t="s">
        <v>507</v>
      </c>
      <c r="H7" s="575" t="s">
        <v>791</v>
      </c>
      <c r="I7" s="575" t="s">
        <v>1581</v>
      </c>
      <c r="J7" s="575" t="s">
        <v>1582</v>
      </c>
      <c r="K7" s="575" t="s">
        <v>1583</v>
      </c>
      <c r="L7" s="576"/>
      <c r="M7" s="575" t="s">
        <v>1584</v>
      </c>
      <c r="N7" s="575" t="s">
        <v>1585</v>
      </c>
      <c r="P7" s="563"/>
      <c r="Q7" s="1435"/>
      <c r="R7" s="1435"/>
      <c r="S7" s="1435"/>
      <c r="T7" s="1435"/>
    </row>
    <row r="8" spans="1:20" s="562" customFormat="1" ht="15" customHeight="1">
      <c r="A8" s="345"/>
      <c r="B8" s="345"/>
      <c r="C8" s="345"/>
      <c r="D8" s="345"/>
      <c r="F8" s="355"/>
      <c r="G8" s="355"/>
      <c r="H8" s="355"/>
      <c r="L8" s="355"/>
    </row>
    <row r="9" spans="1:20" s="562" customFormat="1" ht="18" customHeight="1">
      <c r="A9" s="356" t="s">
        <v>8</v>
      </c>
      <c r="B9" s="356"/>
      <c r="C9" s="357"/>
      <c r="D9" s="357"/>
      <c r="E9" s="358">
        <f t="shared" ref="E9:J9" si="0">E10+E11</f>
        <v>143019</v>
      </c>
      <c r="F9" s="358">
        <f t="shared" si="0"/>
        <v>147908</v>
      </c>
      <c r="G9" s="358">
        <f t="shared" si="0"/>
        <v>159845</v>
      </c>
      <c r="H9" s="358">
        <f t="shared" si="0"/>
        <v>173237</v>
      </c>
      <c r="I9" s="358">
        <f t="shared" si="0"/>
        <v>175010</v>
      </c>
      <c r="J9" s="358">
        <f t="shared" si="0"/>
        <v>166112</v>
      </c>
      <c r="K9" s="358">
        <f>K10+K11</f>
        <v>160977</v>
      </c>
      <c r="L9" s="358"/>
      <c r="M9" s="358">
        <f>M10+M11</f>
        <v>150795</v>
      </c>
      <c r="N9" s="358">
        <f>N10+N11</f>
        <v>151485</v>
      </c>
    </row>
    <row r="10" spans="1:20" s="562" customFormat="1" ht="18" customHeight="1">
      <c r="A10" s="360" t="s">
        <v>504</v>
      </c>
      <c r="B10" s="356"/>
      <c r="C10" s="357"/>
      <c r="D10" s="357"/>
      <c r="E10" s="34">
        <v>132176</v>
      </c>
      <c r="F10" s="34">
        <f>136512+94521-94310</f>
        <v>136723</v>
      </c>
      <c r="G10" s="34">
        <v>148000</v>
      </c>
      <c r="H10" s="34">
        <v>160778</v>
      </c>
      <c r="I10" s="34">
        <v>162328</v>
      </c>
      <c r="J10" s="34">
        <v>153395</v>
      </c>
      <c r="K10" s="34">
        <v>147433</v>
      </c>
      <c r="L10" s="34"/>
      <c r="M10" s="34">
        <v>139237</v>
      </c>
      <c r="N10" s="34">
        <v>139927</v>
      </c>
    </row>
    <row r="11" spans="1:20" s="562" customFormat="1" ht="18" customHeight="1">
      <c r="A11" s="360" t="s">
        <v>503</v>
      </c>
      <c r="B11" s="355"/>
      <c r="C11" s="355"/>
      <c r="D11" s="355"/>
      <c r="E11" s="34">
        <v>10843</v>
      </c>
      <c r="F11" s="34">
        <v>11185</v>
      </c>
      <c r="G11" s="34">
        <v>11845</v>
      </c>
      <c r="H11" s="34">
        <v>12459</v>
      </c>
      <c r="I11" s="34">
        <v>12682</v>
      </c>
      <c r="J11" s="34">
        <v>12717</v>
      </c>
      <c r="K11" s="34">
        <v>13544</v>
      </c>
      <c r="L11" s="34"/>
      <c r="M11" s="34">
        <v>11558</v>
      </c>
      <c r="N11" s="34">
        <v>11558</v>
      </c>
    </row>
    <row r="12" spans="1:20" s="562" customFormat="1" ht="18" customHeight="1">
      <c r="A12" s="360"/>
      <c r="B12" s="355"/>
      <c r="C12" s="355"/>
      <c r="D12" s="355"/>
      <c r="E12" s="572"/>
      <c r="F12" s="34"/>
      <c r="G12" s="34"/>
      <c r="H12" s="34"/>
      <c r="L12" s="34"/>
    </row>
    <row r="13" spans="1:20" s="562" customFormat="1" ht="18" customHeight="1">
      <c r="A13" s="357" t="s">
        <v>370</v>
      </c>
      <c r="B13" s="357"/>
      <c r="C13" s="357"/>
      <c r="D13" s="357"/>
      <c r="E13" s="358">
        <f t="shared" ref="E13:J13" si="1">SUM(E14:E20)</f>
        <v>92182</v>
      </c>
      <c r="F13" s="358">
        <f t="shared" si="1"/>
        <v>94310</v>
      </c>
      <c r="G13" s="358">
        <f t="shared" si="1"/>
        <v>98292</v>
      </c>
      <c r="H13" s="358">
        <f t="shared" si="1"/>
        <v>101165</v>
      </c>
      <c r="I13" s="358">
        <f t="shared" si="1"/>
        <v>103214</v>
      </c>
      <c r="J13" s="358">
        <f t="shared" si="1"/>
        <v>104702</v>
      </c>
      <c r="K13" s="358">
        <f>SUM(K14:K20)</f>
        <v>105113</v>
      </c>
      <c r="L13" s="358"/>
      <c r="M13" s="358">
        <f>SUM(M14:M20)</f>
        <v>93204</v>
      </c>
      <c r="N13" s="358">
        <f>SUM(N14:N20)</f>
        <v>93514</v>
      </c>
    </row>
    <row r="14" spans="1:20" s="562" customFormat="1" ht="18" customHeight="1">
      <c r="A14" s="360" t="s">
        <v>502</v>
      </c>
      <c r="B14" s="360"/>
      <c r="C14" s="355"/>
      <c r="D14" s="355"/>
      <c r="E14" s="34">
        <v>36647</v>
      </c>
      <c r="F14" s="34">
        <f>33857+1565+2103</f>
        <v>37525</v>
      </c>
      <c r="G14" s="34">
        <f>35326+1922+2481</f>
        <v>39729</v>
      </c>
      <c r="H14" s="34">
        <v>40943</v>
      </c>
      <c r="I14" s="34">
        <v>42303</v>
      </c>
      <c r="J14" s="34">
        <v>42718</v>
      </c>
      <c r="K14" s="34">
        <v>43487</v>
      </c>
      <c r="L14" s="34"/>
      <c r="M14" s="34">
        <v>37162</v>
      </c>
      <c r="N14" s="34">
        <v>37162</v>
      </c>
    </row>
    <row r="15" spans="1:20" s="562" customFormat="1" ht="18" customHeight="1">
      <c r="A15" s="362" t="s">
        <v>371</v>
      </c>
      <c r="B15" s="360"/>
      <c r="C15" s="355"/>
      <c r="D15" s="355"/>
      <c r="E15" s="34">
        <v>21244</v>
      </c>
      <c r="F15" s="34">
        <v>22334</v>
      </c>
      <c r="G15" s="34">
        <f>20198+957+2161</f>
        <v>23316</v>
      </c>
      <c r="H15" s="34">
        <v>23992</v>
      </c>
      <c r="I15" s="34">
        <v>24233</v>
      </c>
      <c r="J15" s="34">
        <v>25284</v>
      </c>
      <c r="K15" s="34">
        <v>25189</v>
      </c>
      <c r="L15" s="34"/>
      <c r="M15" s="34">
        <v>22228</v>
      </c>
      <c r="N15" s="34">
        <v>22538</v>
      </c>
    </row>
    <row r="16" spans="1:20" s="562" customFormat="1" ht="18" customHeight="1">
      <c r="A16" s="360" t="s">
        <v>372</v>
      </c>
      <c r="B16" s="360"/>
      <c r="C16" s="355"/>
      <c r="D16" s="355"/>
      <c r="E16" s="34">
        <v>9189</v>
      </c>
      <c r="F16" s="34">
        <v>9111</v>
      </c>
      <c r="G16" s="34">
        <v>9287</v>
      </c>
      <c r="H16" s="34">
        <v>9486</v>
      </c>
      <c r="I16" s="34">
        <v>9640</v>
      </c>
      <c r="J16" s="34">
        <v>9914</v>
      </c>
      <c r="K16" s="34">
        <v>10170</v>
      </c>
      <c r="L16" s="34"/>
      <c r="M16" s="34">
        <v>8734</v>
      </c>
      <c r="N16" s="34">
        <v>8734</v>
      </c>
    </row>
    <row r="17" spans="1:14" s="562" customFormat="1" ht="18" customHeight="1">
      <c r="A17" s="360" t="s">
        <v>373</v>
      </c>
      <c r="B17" s="360"/>
      <c r="C17" s="355"/>
      <c r="D17" s="355"/>
      <c r="E17" s="34">
        <v>9204</v>
      </c>
      <c r="F17" s="34">
        <v>8931</v>
      </c>
      <c r="G17" s="34">
        <v>9082</v>
      </c>
      <c r="H17" s="34">
        <v>9673</v>
      </c>
      <c r="I17" s="34">
        <v>9832</v>
      </c>
      <c r="J17" s="34">
        <v>9581</v>
      </c>
      <c r="K17" s="34">
        <v>9397</v>
      </c>
      <c r="L17" s="34"/>
      <c r="M17" s="34">
        <v>9105</v>
      </c>
      <c r="N17" s="34">
        <v>9105</v>
      </c>
    </row>
    <row r="18" spans="1:14" s="562" customFormat="1" ht="18" customHeight="1">
      <c r="A18" s="360" t="s">
        <v>374</v>
      </c>
      <c r="B18" s="360"/>
      <c r="C18" s="355"/>
      <c r="D18" s="355"/>
      <c r="E18" s="34">
        <v>4114</v>
      </c>
      <c r="F18" s="34">
        <v>4269</v>
      </c>
      <c r="G18" s="34">
        <v>4470</v>
      </c>
      <c r="H18" s="34">
        <v>4596</v>
      </c>
      <c r="I18" s="34">
        <v>4559</v>
      </c>
      <c r="J18" s="34">
        <v>4558</v>
      </c>
      <c r="K18" s="34">
        <v>4354</v>
      </c>
      <c r="L18" s="34"/>
      <c r="M18" s="34">
        <v>4213</v>
      </c>
      <c r="N18" s="34">
        <v>4213</v>
      </c>
    </row>
    <row r="19" spans="1:14" s="562" customFormat="1" ht="18" customHeight="1">
      <c r="A19" s="362" t="s">
        <v>375</v>
      </c>
      <c r="B19" s="360"/>
      <c r="C19" s="355"/>
      <c r="D19" s="355"/>
      <c r="E19" s="34">
        <v>11784</v>
      </c>
      <c r="F19" s="34">
        <v>12140</v>
      </c>
      <c r="G19" s="34">
        <v>12408</v>
      </c>
      <c r="H19" s="34">
        <v>12475</v>
      </c>
      <c r="I19" s="34">
        <v>12647</v>
      </c>
      <c r="J19" s="34">
        <v>12647</v>
      </c>
      <c r="K19" s="34">
        <v>12516</v>
      </c>
      <c r="L19" s="34"/>
      <c r="M19" s="34">
        <v>11762</v>
      </c>
      <c r="N19" s="34">
        <v>11762</v>
      </c>
    </row>
    <row r="20" spans="1:14" s="562" customFormat="1" ht="18" customHeight="1">
      <c r="A20" s="355"/>
      <c r="B20" s="355"/>
      <c r="C20" s="355"/>
      <c r="D20" s="355"/>
      <c r="E20" s="572"/>
      <c r="F20" s="34"/>
      <c r="G20" s="34"/>
      <c r="H20" s="34"/>
      <c r="I20" s="34" t="s">
        <v>386</v>
      </c>
      <c r="L20" s="34"/>
      <c r="M20" s="34" t="s">
        <v>386</v>
      </c>
      <c r="N20" s="34" t="s">
        <v>386</v>
      </c>
    </row>
    <row r="21" spans="1:14" s="562" customFormat="1" ht="18" customHeight="1">
      <c r="A21" s="357" t="s">
        <v>501</v>
      </c>
      <c r="B21" s="357"/>
      <c r="C21" s="355"/>
      <c r="D21" s="355"/>
      <c r="E21" s="358">
        <f t="shared" ref="E21:J21" si="2">E10+E13</f>
        <v>224358</v>
      </c>
      <c r="F21" s="358">
        <f t="shared" si="2"/>
        <v>231033</v>
      </c>
      <c r="G21" s="358">
        <f t="shared" si="2"/>
        <v>246292</v>
      </c>
      <c r="H21" s="358">
        <f t="shared" si="2"/>
        <v>261943</v>
      </c>
      <c r="I21" s="358">
        <f t="shared" si="2"/>
        <v>265542</v>
      </c>
      <c r="J21" s="358">
        <f t="shared" si="2"/>
        <v>258097</v>
      </c>
      <c r="K21" s="358">
        <f>K10+K13</f>
        <v>252546</v>
      </c>
      <c r="L21" s="358"/>
      <c r="M21" s="358">
        <f>M10+M13</f>
        <v>232441</v>
      </c>
      <c r="N21" s="358">
        <f>N10+N13</f>
        <v>233441</v>
      </c>
    </row>
    <row r="22" spans="1:14" s="562" customFormat="1" ht="18" customHeight="1">
      <c r="A22" s="357"/>
      <c r="B22" s="357"/>
      <c r="C22" s="355"/>
      <c r="D22" s="355"/>
      <c r="E22" s="358"/>
      <c r="F22" s="358"/>
      <c r="G22" s="358"/>
      <c r="H22" s="358"/>
      <c r="I22" s="358"/>
      <c r="J22" s="358"/>
      <c r="L22" s="358"/>
    </row>
    <row r="23" spans="1:14" s="562" customFormat="1" ht="15" customHeight="1">
      <c r="A23" s="363"/>
      <c r="B23" s="363"/>
      <c r="C23" s="364"/>
      <c r="D23" s="364"/>
      <c r="E23" s="365"/>
      <c r="F23" s="366"/>
      <c r="G23" s="366"/>
      <c r="H23" s="364"/>
      <c r="I23" s="573"/>
      <c r="J23" s="573"/>
      <c r="K23" s="573"/>
      <c r="L23" s="573"/>
      <c r="M23" s="573"/>
      <c r="N23" s="573"/>
    </row>
    <row r="24" spans="1:14" s="562" customFormat="1" ht="15" customHeight="1">
      <c r="E24" s="345"/>
      <c r="F24" s="346"/>
      <c r="G24" s="346"/>
      <c r="H24" s="345"/>
      <c r="I24" s="572"/>
      <c r="J24" s="572"/>
      <c r="L24" s="572"/>
    </row>
    <row r="25" spans="1:14" s="562" customFormat="1" ht="15.75" customHeight="1">
      <c r="A25" s="567" t="s">
        <v>376</v>
      </c>
      <c r="B25" s="571" t="s">
        <v>500</v>
      </c>
      <c r="C25" s="571"/>
      <c r="D25" s="571"/>
      <c r="E25" s="571"/>
      <c r="F25" s="571"/>
      <c r="G25" s="571"/>
      <c r="H25" s="571"/>
      <c r="I25" s="571"/>
      <c r="J25" s="571"/>
      <c r="K25" s="571"/>
      <c r="L25" s="571"/>
      <c r="M25" s="571"/>
      <c r="N25" s="571"/>
    </row>
    <row r="26" spans="1:14" s="562" customFormat="1" ht="15.75" customHeight="1">
      <c r="A26" s="567"/>
      <c r="B26" s="569" t="s">
        <v>499</v>
      </c>
      <c r="C26" s="569"/>
      <c r="D26" s="569"/>
      <c r="E26" s="569"/>
      <c r="F26" s="569"/>
      <c r="G26" s="569"/>
      <c r="H26" s="569"/>
      <c r="I26" s="569"/>
      <c r="J26" s="569"/>
      <c r="K26" s="569"/>
      <c r="L26" s="569"/>
      <c r="M26" s="569"/>
      <c r="N26" s="569"/>
    </row>
    <row r="27" spans="1:14" s="566" customFormat="1" ht="15.75" customHeight="1">
      <c r="A27" s="567" t="s">
        <v>377</v>
      </c>
      <c r="B27" s="569" t="s">
        <v>498</v>
      </c>
      <c r="C27" s="569"/>
      <c r="D27" s="569"/>
      <c r="E27" s="569"/>
      <c r="F27" s="569"/>
      <c r="G27" s="569"/>
      <c r="H27" s="569"/>
      <c r="I27" s="569"/>
      <c r="J27" s="569"/>
      <c r="K27" s="569"/>
      <c r="L27" s="569"/>
      <c r="M27" s="569"/>
      <c r="N27" s="569"/>
    </row>
    <row r="28" spans="1:14" s="566" customFormat="1" ht="15.75" customHeight="1">
      <c r="A28" s="567"/>
      <c r="B28" s="569" t="s">
        <v>497</v>
      </c>
      <c r="C28" s="569"/>
      <c r="D28" s="569"/>
      <c r="E28" s="569"/>
      <c r="F28" s="569"/>
      <c r="G28" s="569"/>
      <c r="H28" s="569"/>
      <c r="I28" s="569"/>
      <c r="J28" s="569"/>
      <c r="K28" s="569"/>
      <c r="L28" s="569"/>
      <c r="M28" s="569"/>
      <c r="N28" s="569"/>
    </row>
    <row r="29" spans="1:14" s="566" customFormat="1" ht="15.75" customHeight="1">
      <c r="A29" s="567" t="s">
        <v>496</v>
      </c>
      <c r="B29" s="569" t="s">
        <v>495</v>
      </c>
      <c r="C29" s="569"/>
      <c r="D29" s="569"/>
      <c r="E29" s="569"/>
      <c r="F29" s="569"/>
      <c r="G29" s="569"/>
      <c r="H29" s="569"/>
      <c r="I29" s="569"/>
      <c r="J29" s="569"/>
      <c r="K29" s="569"/>
      <c r="L29" s="569"/>
      <c r="M29" s="569"/>
      <c r="N29" s="569"/>
    </row>
    <row r="30" spans="1:14" s="562" customFormat="1" ht="15.75" customHeight="1">
      <c r="A30" s="821"/>
      <c r="B30" s="820" t="s">
        <v>494</v>
      </c>
      <c r="C30" s="819"/>
      <c r="D30" s="818"/>
      <c r="E30" s="818"/>
      <c r="F30" s="818"/>
      <c r="G30" s="818"/>
      <c r="H30" s="818"/>
      <c r="I30" s="817"/>
      <c r="J30" s="817"/>
      <c r="K30" s="816"/>
      <c r="L30" s="816"/>
      <c r="M30" s="816"/>
      <c r="N30" s="816"/>
    </row>
    <row r="31" spans="1:14" s="562" customFormat="1" ht="15.75" customHeight="1">
      <c r="A31" s="821"/>
      <c r="B31" s="820" t="s">
        <v>493</v>
      </c>
      <c r="C31" s="819"/>
      <c r="D31" s="818"/>
      <c r="E31" s="818"/>
      <c r="F31" s="818"/>
      <c r="G31" s="818"/>
      <c r="H31" s="818"/>
      <c r="I31" s="817"/>
      <c r="J31" s="817"/>
      <c r="K31" s="816"/>
      <c r="L31" s="816"/>
      <c r="M31" s="816"/>
      <c r="N31" s="816"/>
    </row>
    <row r="32" spans="1:14" s="562" customFormat="1" ht="15" customHeight="1">
      <c r="A32" s="370"/>
      <c r="B32" s="369"/>
      <c r="C32" s="372"/>
      <c r="D32" s="346"/>
      <c r="E32" s="346"/>
      <c r="F32" s="346"/>
      <c r="G32" s="346"/>
      <c r="H32" s="346"/>
      <c r="I32" s="563"/>
      <c r="J32" s="563"/>
      <c r="L32" s="563"/>
    </row>
    <row r="33" spans="1:12" s="562" customFormat="1" ht="12.75" customHeight="1">
      <c r="A33" s="355"/>
      <c r="B33" s="369"/>
      <c r="C33" s="346"/>
      <c r="D33" s="346"/>
      <c r="E33" s="346"/>
      <c r="F33" s="346"/>
      <c r="G33" s="346"/>
      <c r="H33" s="346"/>
      <c r="I33" s="563"/>
      <c r="J33" s="563"/>
      <c r="L33" s="563"/>
    </row>
    <row r="34" spans="1:12" s="562" customFormat="1" ht="12.75" customHeight="1">
      <c r="A34" s="355"/>
      <c r="B34" s="369"/>
      <c r="C34" s="346"/>
      <c r="D34" s="346"/>
      <c r="E34" s="346"/>
      <c r="F34" s="346"/>
      <c r="G34" s="346"/>
      <c r="H34" s="346"/>
      <c r="I34" s="563"/>
      <c r="J34" s="563"/>
      <c r="L34" s="563"/>
    </row>
    <row r="35" spans="1:12" ht="12.75" customHeight="1">
      <c r="A35" s="565"/>
      <c r="B35" s="564"/>
      <c r="F35" s="355"/>
      <c r="G35" s="355"/>
    </row>
    <row r="36" spans="1:12" ht="12.75" customHeight="1">
      <c r="B36" s="564"/>
      <c r="F36" s="355"/>
      <c r="G36" s="355"/>
    </row>
    <row r="37" spans="1:12" ht="15" customHeight="1">
      <c r="A37" s="565"/>
      <c r="B37" s="564"/>
      <c r="F37" s="355"/>
      <c r="G37" s="355"/>
      <c r="H37" s="361"/>
    </row>
    <row r="38" spans="1:12" ht="15" customHeight="1">
      <c r="B38" s="564"/>
      <c r="F38" s="355"/>
      <c r="G38" s="355"/>
    </row>
    <row r="39" spans="1:12" s="562" customFormat="1" ht="15" customHeight="1">
      <c r="A39" s="370"/>
      <c r="B39" s="369"/>
      <c r="C39" s="346"/>
      <c r="D39" s="346"/>
      <c r="E39" s="346"/>
      <c r="F39" s="346"/>
      <c r="G39" s="346"/>
      <c r="H39" s="346"/>
      <c r="I39" s="563"/>
      <c r="J39" s="563"/>
      <c r="L39" s="563"/>
    </row>
    <row r="40" spans="1:12" s="562" customFormat="1" ht="15" customHeight="1">
      <c r="A40" s="355"/>
      <c r="B40" s="369"/>
      <c r="C40" s="346"/>
      <c r="D40" s="346"/>
      <c r="E40" s="346"/>
      <c r="F40" s="346"/>
      <c r="G40" s="346"/>
      <c r="H40" s="346"/>
      <c r="I40" s="563"/>
      <c r="J40" s="563"/>
      <c r="L40" s="563"/>
    </row>
    <row r="41" spans="1:12" s="562" customFormat="1" ht="15" customHeight="1">
      <c r="A41" s="346"/>
      <c r="B41" s="346"/>
      <c r="C41" s="346"/>
      <c r="D41" s="346"/>
      <c r="E41" s="346"/>
      <c r="F41" s="346"/>
      <c r="G41" s="346"/>
      <c r="H41" s="346"/>
      <c r="I41" s="563"/>
      <c r="J41" s="563"/>
      <c r="L41" s="563"/>
    </row>
    <row r="42" spans="1:12" s="562" customFormat="1" ht="16.5" customHeight="1">
      <c r="A42" s="346"/>
      <c r="B42" s="346"/>
      <c r="C42" s="346"/>
      <c r="D42" s="346"/>
      <c r="E42" s="346"/>
      <c r="F42" s="346"/>
      <c r="G42" s="346"/>
      <c r="H42" s="346"/>
      <c r="I42" s="563"/>
      <c r="J42" s="563"/>
      <c r="L42" s="563"/>
    </row>
    <row r="43" spans="1:12" s="562" customFormat="1" ht="15">
      <c r="A43" s="373"/>
      <c r="B43" s="373"/>
      <c r="C43" s="345"/>
      <c r="D43" s="345"/>
      <c r="E43" s="345"/>
      <c r="F43" s="346"/>
      <c r="G43" s="346"/>
      <c r="H43" s="345"/>
    </row>
    <row r="44" spans="1:12">
      <c r="A44" s="374"/>
      <c r="B44" s="374"/>
      <c r="C44" s="345"/>
      <c r="D44" s="345"/>
      <c r="E44" s="345"/>
      <c r="F44" s="346"/>
      <c r="G44" s="346"/>
      <c r="H44" s="345"/>
    </row>
    <row r="45" spans="1:12">
      <c r="A45" s="374"/>
      <c r="B45" s="374"/>
    </row>
    <row r="46" spans="1:12">
      <c r="A46" s="374"/>
      <c r="B46" s="374"/>
    </row>
  </sheetData>
  <mergeCells count="6">
    <mergeCell ref="A1:N1"/>
    <mergeCell ref="A2:N2"/>
    <mergeCell ref="A3:N3"/>
    <mergeCell ref="A4:P4"/>
    <mergeCell ref="E5:K5"/>
    <mergeCell ref="M5:N5"/>
  </mergeCells>
  <printOptions horizontalCentered="1"/>
  <pageMargins left="0.4" right="0.4" top="0.7" bottom="0.7" header="0.5" footer="0.35"/>
  <pageSetup firstPageNumber="247" orientation="portrait" useFirstPageNumber="1" r:id="rId1"/>
  <headerFooter alignWithMargins="0">
    <oddFooter>&amp;C&amp;"Times New Roman,Regular"&amp;10&amp;P</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tabColor rgb="FFFFFF00"/>
  </sheetPr>
  <dimension ref="A1:T46"/>
  <sheetViews>
    <sheetView workbookViewId="0">
      <selection sqref="A1:N1"/>
    </sheetView>
  </sheetViews>
  <sheetFormatPr defaultRowHeight="12.75"/>
  <cols>
    <col min="1" max="1" width="2.375" style="355" customWidth="1"/>
    <col min="2" max="2" width="5.875" style="355" customWidth="1"/>
    <col min="3" max="4" width="8.625" style="355" customWidth="1"/>
    <col min="5" max="5" width="7.5" style="355" customWidth="1"/>
    <col min="6" max="6" width="7.5" style="372" customWidth="1"/>
    <col min="7" max="7" width="7.625" style="372" customWidth="1"/>
    <col min="8" max="11" width="7.25" style="355" customWidth="1"/>
    <col min="12" max="12" width="0.5" style="355" customWidth="1"/>
    <col min="13" max="14" width="7.25" style="355" customWidth="1"/>
    <col min="15" max="16384" width="9" style="355"/>
  </cols>
  <sheetData>
    <row r="1" spans="1:20" s="562" customFormat="1" ht="20.100000000000001" customHeight="1">
      <c r="A1" s="2591" t="s">
        <v>177</v>
      </c>
      <c r="B1" s="2591"/>
      <c r="C1" s="2591"/>
      <c r="D1" s="2591"/>
      <c r="E1" s="2591"/>
      <c r="F1" s="2591"/>
      <c r="G1" s="2591"/>
      <c r="H1" s="2591"/>
      <c r="I1" s="2591"/>
      <c r="J1" s="2591"/>
      <c r="K1" s="2591"/>
      <c r="L1" s="2591"/>
      <c r="M1" s="2591"/>
      <c r="N1" s="2591"/>
      <c r="O1" s="1605"/>
      <c r="P1" s="1605"/>
    </row>
    <row r="2" spans="1:20" s="562" customFormat="1" ht="18" customHeight="1">
      <c r="A2" s="2592" t="s">
        <v>364</v>
      </c>
      <c r="B2" s="2592"/>
      <c r="C2" s="2592"/>
      <c r="D2" s="2592"/>
      <c r="E2" s="2592"/>
      <c r="F2" s="2592"/>
      <c r="G2" s="2592"/>
      <c r="H2" s="2592"/>
      <c r="I2" s="2592"/>
      <c r="J2" s="2592"/>
      <c r="K2" s="2592"/>
      <c r="L2" s="2592"/>
      <c r="M2" s="2592"/>
      <c r="N2" s="2592"/>
      <c r="O2" s="1434"/>
      <c r="P2" s="1434"/>
    </row>
    <row r="3" spans="1:20" s="562" customFormat="1" ht="15" customHeight="1">
      <c r="A3" s="2543" t="s">
        <v>365</v>
      </c>
      <c r="B3" s="2543"/>
      <c r="C3" s="2543"/>
      <c r="D3" s="2543"/>
      <c r="E3" s="2543"/>
      <c r="F3" s="2543"/>
      <c r="G3" s="2543"/>
      <c r="H3" s="2543"/>
      <c r="I3" s="2543"/>
      <c r="J3" s="2543"/>
      <c r="K3" s="2543"/>
      <c r="L3" s="2543"/>
      <c r="M3" s="2543"/>
      <c r="N3" s="2543"/>
    </row>
    <row r="4" spans="1:20" s="562" customFormat="1" ht="24.75" customHeight="1">
      <c r="A4" s="2593"/>
      <c r="B4" s="2593"/>
      <c r="C4" s="2593"/>
      <c r="D4" s="2593"/>
      <c r="E4" s="2593"/>
      <c r="F4" s="2593"/>
      <c r="G4" s="2593"/>
      <c r="H4" s="2593"/>
      <c r="I4" s="2593"/>
      <c r="J4" s="2593"/>
      <c r="K4" s="2593"/>
      <c r="L4" s="2593"/>
      <c r="M4" s="2593"/>
      <c r="N4" s="2593"/>
      <c r="O4" s="2593"/>
      <c r="P4" s="2593"/>
    </row>
    <row r="5" spans="1:20" s="566" customFormat="1" ht="17.25" customHeight="1">
      <c r="B5" s="824"/>
      <c r="C5" s="824"/>
      <c r="D5" s="824"/>
      <c r="E5" s="2534" t="s">
        <v>366</v>
      </c>
      <c r="F5" s="2535"/>
      <c r="G5" s="2535"/>
      <c r="H5" s="2535"/>
      <c r="I5" s="2535"/>
      <c r="J5" s="2535"/>
      <c r="K5" s="2536"/>
      <c r="L5" s="824"/>
      <c r="M5" s="2534" t="s">
        <v>188</v>
      </c>
      <c r="N5" s="2536"/>
      <c r="O5" s="824"/>
      <c r="P5" s="824"/>
    </row>
    <row r="6" spans="1:20" s="566" customFormat="1" ht="6" customHeight="1">
      <c r="A6" s="348"/>
      <c r="B6" s="348"/>
      <c r="C6" s="348"/>
      <c r="D6" s="348"/>
      <c r="E6" s="353"/>
      <c r="F6" s="354"/>
      <c r="G6" s="354"/>
      <c r="H6" s="349"/>
      <c r="I6" s="349"/>
      <c r="J6" s="349"/>
      <c r="L6" s="349"/>
    </row>
    <row r="7" spans="1:20" s="562" customFormat="1" ht="20.25" customHeight="1">
      <c r="A7" s="345"/>
      <c r="B7" s="345"/>
      <c r="C7" s="345"/>
      <c r="D7" s="345"/>
      <c r="E7" s="576" t="s">
        <v>507</v>
      </c>
      <c r="F7" s="575" t="s">
        <v>791</v>
      </c>
      <c r="G7" s="575" t="s">
        <v>1581</v>
      </c>
      <c r="H7" s="575" t="s">
        <v>1582</v>
      </c>
      <c r="I7" s="575" t="s">
        <v>1583</v>
      </c>
      <c r="J7" s="575" t="s">
        <v>1584</v>
      </c>
      <c r="K7" s="575" t="s">
        <v>1585</v>
      </c>
      <c r="L7" s="576"/>
      <c r="M7" s="575" t="s">
        <v>1616</v>
      </c>
      <c r="N7" s="575" t="s">
        <v>1617</v>
      </c>
      <c r="P7" s="563"/>
      <c r="Q7" s="1435"/>
      <c r="R7" s="1435"/>
      <c r="S7" s="1435"/>
      <c r="T7" s="1435"/>
    </row>
    <row r="8" spans="1:20" s="562" customFormat="1" ht="15" customHeight="1">
      <c r="A8" s="345"/>
      <c r="B8" s="345"/>
      <c r="C8" s="345"/>
      <c r="D8" s="345"/>
      <c r="F8" s="355"/>
      <c r="G8" s="355"/>
      <c r="H8" s="355"/>
      <c r="L8" s="355"/>
    </row>
    <row r="9" spans="1:20" s="562" customFormat="1" ht="18" customHeight="1">
      <c r="A9" s="356" t="s">
        <v>8</v>
      </c>
      <c r="B9" s="356"/>
      <c r="C9" s="357"/>
      <c r="D9" s="357"/>
      <c r="E9" s="358">
        <f t="shared" ref="E9:K9" si="0">E10+E11</f>
        <v>159845</v>
      </c>
      <c r="F9" s="358">
        <f t="shared" si="0"/>
        <v>173237</v>
      </c>
      <c r="G9" s="358">
        <f t="shared" si="0"/>
        <v>175010</v>
      </c>
      <c r="H9" s="358">
        <f t="shared" si="0"/>
        <v>166112</v>
      </c>
      <c r="I9" s="358">
        <f t="shared" si="0"/>
        <v>160977</v>
      </c>
      <c r="J9" s="358">
        <f t="shared" si="0"/>
        <v>157991</v>
      </c>
      <c r="K9" s="358">
        <f t="shared" si="0"/>
        <v>155095</v>
      </c>
      <c r="L9" s="358"/>
      <c r="M9" s="358">
        <f>M10+M11</f>
        <v>151485</v>
      </c>
      <c r="N9" s="358">
        <f>N10+N11</f>
        <v>151485</v>
      </c>
    </row>
    <row r="10" spans="1:20" s="562" customFormat="1" ht="18" customHeight="1">
      <c r="A10" s="360" t="s">
        <v>504</v>
      </c>
      <c r="B10" s="356"/>
      <c r="C10" s="357"/>
      <c r="D10" s="357"/>
      <c r="E10" s="34">
        <v>148000</v>
      </c>
      <c r="F10" s="34">
        <v>160778</v>
      </c>
      <c r="G10" s="34">
        <v>162328</v>
      </c>
      <c r="H10" s="34">
        <v>153395</v>
      </c>
      <c r="I10" s="34">
        <v>147433</v>
      </c>
      <c r="J10" s="34">
        <v>143292</v>
      </c>
      <c r="K10" s="34">
        <v>138724</v>
      </c>
      <c r="L10" s="34"/>
      <c r="M10" s="34">
        <v>139927</v>
      </c>
      <c r="N10" s="34">
        <v>139927</v>
      </c>
    </row>
    <row r="11" spans="1:20" s="562" customFormat="1" ht="18" customHeight="1">
      <c r="A11" s="360" t="s">
        <v>503</v>
      </c>
      <c r="B11" s="355"/>
      <c r="C11" s="355"/>
      <c r="D11" s="355"/>
      <c r="E11" s="34">
        <v>11845</v>
      </c>
      <c r="F11" s="34">
        <v>12459</v>
      </c>
      <c r="G11" s="34">
        <v>12682</v>
      </c>
      <c r="H11" s="34">
        <v>12717</v>
      </c>
      <c r="I11" s="34">
        <v>13544</v>
      </c>
      <c r="J11" s="34">
        <v>14699</v>
      </c>
      <c r="K11" s="34">
        <v>16371</v>
      </c>
      <c r="L11" s="34"/>
      <c r="M11" s="34">
        <v>11558</v>
      </c>
      <c r="N11" s="34">
        <v>11558</v>
      </c>
    </row>
    <row r="12" spans="1:20" s="562" customFormat="1" ht="18" customHeight="1">
      <c r="A12" s="360"/>
      <c r="B12" s="355"/>
      <c r="C12" s="355"/>
      <c r="D12" s="355"/>
      <c r="E12" s="34"/>
      <c r="F12" s="34"/>
      <c r="L12" s="34"/>
    </row>
    <row r="13" spans="1:20" s="562" customFormat="1" ht="18" customHeight="1">
      <c r="A13" s="357" t="s">
        <v>370</v>
      </c>
      <c r="B13" s="357"/>
      <c r="C13" s="357"/>
      <c r="D13" s="357"/>
      <c r="E13" s="358">
        <f t="shared" ref="E13:K13" si="1">SUM(E14:E20)</f>
        <v>98292</v>
      </c>
      <c r="F13" s="358">
        <f t="shared" si="1"/>
        <v>101165</v>
      </c>
      <c r="G13" s="358">
        <f t="shared" si="1"/>
        <v>103214</v>
      </c>
      <c r="H13" s="358">
        <f t="shared" si="1"/>
        <v>104702</v>
      </c>
      <c r="I13" s="358">
        <f t="shared" si="1"/>
        <v>105113</v>
      </c>
      <c r="J13" s="358">
        <f t="shared" si="1"/>
        <v>106038</v>
      </c>
      <c r="K13" s="358">
        <f t="shared" si="1"/>
        <v>107935</v>
      </c>
      <c r="L13" s="358"/>
      <c r="M13" s="358">
        <f>SUM(M14:M20)</f>
        <v>93514</v>
      </c>
      <c r="N13" s="358">
        <f>SUM(N14:N20)</f>
        <v>93514</v>
      </c>
    </row>
    <row r="14" spans="1:20" s="562" customFormat="1" ht="18" customHeight="1">
      <c r="A14" s="360" t="s">
        <v>502</v>
      </c>
      <c r="B14" s="360"/>
      <c r="C14" s="355"/>
      <c r="D14" s="355"/>
      <c r="E14" s="34">
        <f>35326+1922+2481</f>
        <v>39729</v>
      </c>
      <c r="F14" s="34">
        <v>40943</v>
      </c>
      <c r="G14" s="34">
        <v>42303</v>
      </c>
      <c r="H14" s="34">
        <v>42718</v>
      </c>
      <c r="I14" s="34">
        <v>43487</v>
      </c>
      <c r="J14" s="34">
        <v>44709</v>
      </c>
      <c r="K14" s="34">
        <v>45886</v>
      </c>
      <c r="L14" s="34"/>
      <c r="M14" s="34">
        <v>37162</v>
      </c>
      <c r="N14" s="34">
        <v>37162</v>
      </c>
    </row>
    <row r="15" spans="1:20" s="562" customFormat="1" ht="18" customHeight="1">
      <c r="A15" s="362" t="s">
        <v>371</v>
      </c>
      <c r="B15" s="360"/>
      <c r="C15" s="355"/>
      <c r="D15" s="355"/>
      <c r="E15" s="34">
        <f>20198+957+2161</f>
        <v>23316</v>
      </c>
      <c r="F15" s="34">
        <v>23992</v>
      </c>
      <c r="G15" s="34">
        <v>24233</v>
      </c>
      <c r="H15" s="34">
        <v>25284</v>
      </c>
      <c r="I15" s="34">
        <v>25189</v>
      </c>
      <c r="J15" s="34">
        <v>25092</v>
      </c>
      <c r="K15" s="34">
        <v>25954</v>
      </c>
      <c r="L15" s="34"/>
      <c r="M15" s="34">
        <v>22538</v>
      </c>
      <c r="N15" s="34">
        <v>22538</v>
      </c>
    </row>
    <row r="16" spans="1:20" s="562" customFormat="1" ht="18" customHeight="1">
      <c r="A16" s="360" t="s">
        <v>372</v>
      </c>
      <c r="B16" s="360"/>
      <c r="C16" s="355"/>
      <c r="D16" s="355"/>
      <c r="E16" s="34">
        <v>9287</v>
      </c>
      <c r="F16" s="34">
        <v>9486</v>
      </c>
      <c r="G16" s="34">
        <v>9640</v>
      </c>
      <c r="H16" s="34">
        <v>9914</v>
      </c>
      <c r="I16" s="34">
        <v>10170</v>
      </c>
      <c r="J16" s="34">
        <v>10236</v>
      </c>
      <c r="K16" s="34">
        <v>10395</v>
      </c>
      <c r="L16" s="34"/>
      <c r="M16" s="34">
        <v>8734</v>
      </c>
      <c r="N16" s="34">
        <v>8734</v>
      </c>
    </row>
    <row r="17" spans="1:17" s="562" customFormat="1" ht="18" customHeight="1">
      <c r="A17" s="360" t="s">
        <v>373</v>
      </c>
      <c r="B17" s="360"/>
      <c r="C17" s="355"/>
      <c r="D17" s="355"/>
      <c r="E17" s="34">
        <v>9082</v>
      </c>
      <c r="F17" s="34">
        <v>9673</v>
      </c>
      <c r="G17" s="34">
        <v>9832</v>
      </c>
      <c r="H17" s="34">
        <v>9581</v>
      </c>
      <c r="I17" s="34">
        <v>9397</v>
      </c>
      <c r="J17" s="34">
        <v>9292</v>
      </c>
      <c r="K17" s="34">
        <v>9097</v>
      </c>
      <c r="L17" s="34"/>
      <c r="M17" s="34">
        <v>9105</v>
      </c>
      <c r="N17" s="34">
        <v>9105</v>
      </c>
    </row>
    <row r="18" spans="1:17" s="562" customFormat="1" ht="18" customHeight="1">
      <c r="A18" s="360" t="s">
        <v>374</v>
      </c>
      <c r="B18" s="360"/>
      <c r="C18" s="355"/>
      <c r="D18" s="355"/>
      <c r="E18" s="34">
        <v>4470</v>
      </c>
      <c r="F18" s="34">
        <v>4596</v>
      </c>
      <c r="G18" s="34">
        <v>4559</v>
      </c>
      <c r="H18" s="34">
        <v>4558</v>
      </c>
      <c r="I18" s="34">
        <v>4354</v>
      </c>
      <c r="J18" s="34">
        <v>4144</v>
      </c>
      <c r="K18" s="34">
        <v>4007</v>
      </c>
      <c r="L18" s="34"/>
      <c r="M18" s="34">
        <v>4213</v>
      </c>
      <c r="N18" s="34">
        <v>4213</v>
      </c>
    </row>
    <row r="19" spans="1:17" s="562" customFormat="1" ht="18" customHeight="1">
      <c r="A19" s="362" t="s">
        <v>375</v>
      </c>
      <c r="B19" s="360"/>
      <c r="C19" s="355"/>
      <c r="D19" s="355"/>
      <c r="E19" s="34">
        <v>12408</v>
      </c>
      <c r="F19" s="34">
        <v>12475</v>
      </c>
      <c r="G19" s="34">
        <v>12647</v>
      </c>
      <c r="H19" s="34">
        <v>12647</v>
      </c>
      <c r="I19" s="34">
        <v>12516</v>
      </c>
      <c r="J19" s="34">
        <v>12565</v>
      </c>
      <c r="K19" s="34">
        <v>12596</v>
      </c>
      <c r="L19" s="34"/>
      <c r="M19" s="34">
        <v>11762</v>
      </c>
      <c r="N19" s="34">
        <v>11762</v>
      </c>
    </row>
    <row r="20" spans="1:17" s="562" customFormat="1" ht="18" customHeight="1">
      <c r="A20" s="355"/>
      <c r="B20" s="355"/>
      <c r="C20" s="355"/>
      <c r="D20" s="355"/>
      <c r="E20" s="34"/>
      <c r="F20" s="34"/>
      <c r="G20" s="34" t="s">
        <v>386</v>
      </c>
      <c r="L20" s="34"/>
      <c r="M20" s="34" t="s">
        <v>386</v>
      </c>
      <c r="N20" s="34" t="s">
        <v>386</v>
      </c>
    </row>
    <row r="21" spans="1:17" s="562" customFormat="1" ht="18" customHeight="1">
      <c r="A21" s="357" t="s">
        <v>501</v>
      </c>
      <c r="B21" s="357"/>
      <c r="C21" s="355"/>
      <c r="D21" s="355"/>
      <c r="E21" s="358">
        <f t="shared" ref="E21:K21" si="2">E10+E13</f>
        <v>246292</v>
      </c>
      <c r="F21" s="358">
        <f t="shared" si="2"/>
        <v>261943</v>
      </c>
      <c r="G21" s="358">
        <f t="shared" si="2"/>
        <v>265542</v>
      </c>
      <c r="H21" s="358">
        <f t="shared" si="2"/>
        <v>258097</v>
      </c>
      <c r="I21" s="358">
        <f t="shared" si="2"/>
        <v>252546</v>
      </c>
      <c r="J21" s="358">
        <f t="shared" si="2"/>
        <v>249330</v>
      </c>
      <c r="K21" s="358">
        <f t="shared" si="2"/>
        <v>246659</v>
      </c>
      <c r="L21" s="358"/>
      <c r="M21" s="358">
        <f>M10+M13</f>
        <v>233441</v>
      </c>
      <c r="N21" s="358">
        <f>N10+N13</f>
        <v>233441</v>
      </c>
      <c r="Q21" s="572" t="s">
        <v>386</v>
      </c>
    </row>
    <row r="22" spans="1:17" s="562" customFormat="1" ht="18" customHeight="1">
      <c r="A22" s="357"/>
      <c r="B22" s="357"/>
      <c r="C22" s="355"/>
      <c r="D22" s="355"/>
      <c r="E22" s="358"/>
      <c r="F22" s="358"/>
      <c r="G22" s="358"/>
      <c r="H22" s="358"/>
      <c r="I22" s="358"/>
      <c r="J22" s="358"/>
      <c r="L22" s="358"/>
    </row>
    <row r="23" spans="1:17" s="562" customFormat="1" ht="15" customHeight="1">
      <c r="A23" s="363"/>
      <c r="B23" s="363"/>
      <c r="C23" s="364"/>
      <c r="D23" s="364"/>
      <c r="E23" s="365"/>
      <c r="F23" s="366"/>
      <c r="G23" s="366"/>
      <c r="H23" s="364"/>
      <c r="I23" s="573"/>
      <c r="J23" s="573"/>
      <c r="K23" s="573"/>
      <c r="L23" s="573"/>
      <c r="M23" s="573"/>
      <c r="N23" s="573"/>
    </row>
    <row r="24" spans="1:17" s="562" customFormat="1" ht="15" customHeight="1">
      <c r="E24" s="345"/>
      <c r="F24" s="346"/>
      <c r="G24" s="346"/>
      <c r="H24" s="345"/>
      <c r="I24" s="572"/>
      <c r="J24" s="572"/>
      <c r="L24" s="572"/>
    </row>
    <row r="25" spans="1:17" s="562" customFormat="1" ht="15.75" customHeight="1">
      <c r="A25" s="567" t="s">
        <v>376</v>
      </c>
      <c r="B25" s="571" t="s">
        <v>500</v>
      </c>
      <c r="C25" s="571"/>
      <c r="D25" s="571"/>
      <c r="E25" s="571"/>
      <c r="F25" s="571"/>
      <c r="G25" s="571"/>
      <c r="H25" s="571"/>
      <c r="I25" s="571"/>
      <c r="J25" s="571"/>
      <c r="K25" s="571"/>
      <c r="L25" s="571"/>
      <c r="M25" s="571"/>
      <c r="N25" s="571"/>
    </row>
    <row r="26" spans="1:17" s="562" customFormat="1" ht="15.75" customHeight="1">
      <c r="A26" s="567"/>
      <c r="B26" s="569" t="s">
        <v>499</v>
      </c>
      <c r="C26" s="569"/>
      <c r="D26" s="569"/>
      <c r="E26" s="569"/>
      <c r="F26" s="569"/>
      <c r="G26" s="569"/>
      <c r="H26" s="569"/>
      <c r="I26" s="569"/>
      <c r="J26" s="569"/>
      <c r="K26" s="569"/>
      <c r="L26" s="569"/>
      <c r="M26" s="569"/>
      <c r="N26" s="569"/>
    </row>
    <row r="27" spans="1:17" s="566" customFormat="1" ht="15.75" customHeight="1">
      <c r="A27" s="567" t="s">
        <v>377</v>
      </c>
      <c r="B27" s="569" t="s">
        <v>498</v>
      </c>
      <c r="C27" s="569"/>
      <c r="D27" s="569"/>
      <c r="E27" s="569"/>
      <c r="F27" s="569"/>
      <c r="G27" s="569"/>
      <c r="H27" s="569"/>
      <c r="I27" s="569"/>
      <c r="J27" s="569"/>
      <c r="K27" s="569"/>
      <c r="L27" s="569"/>
      <c r="M27" s="569"/>
      <c r="N27" s="569"/>
    </row>
    <row r="28" spans="1:17" s="566" customFormat="1" ht="15.75" customHeight="1">
      <c r="A28" s="567"/>
      <c r="B28" s="569" t="s">
        <v>497</v>
      </c>
      <c r="C28" s="569"/>
      <c r="D28" s="569"/>
      <c r="E28" s="569"/>
      <c r="F28" s="569"/>
      <c r="G28" s="569"/>
      <c r="H28" s="569"/>
      <c r="I28" s="569"/>
      <c r="J28" s="569"/>
      <c r="K28" s="569"/>
      <c r="L28" s="569"/>
      <c r="M28" s="569"/>
      <c r="N28" s="569"/>
    </row>
    <row r="29" spans="1:17" s="566" customFormat="1" ht="15.75" customHeight="1">
      <c r="A29" s="567" t="s">
        <v>496</v>
      </c>
      <c r="B29" s="569" t="s">
        <v>495</v>
      </c>
      <c r="C29" s="569"/>
      <c r="D29" s="569"/>
      <c r="E29" s="569"/>
      <c r="F29" s="569"/>
      <c r="G29" s="569"/>
      <c r="H29" s="569"/>
      <c r="I29" s="569"/>
      <c r="J29" s="569"/>
      <c r="K29" s="569"/>
      <c r="L29" s="569"/>
      <c r="M29" s="569"/>
      <c r="N29" s="569"/>
    </row>
    <row r="30" spans="1:17" s="562" customFormat="1" ht="15.75" customHeight="1">
      <c r="A30" s="821"/>
      <c r="B30" s="820" t="s">
        <v>494</v>
      </c>
      <c r="C30" s="819"/>
      <c r="D30" s="818"/>
      <c r="E30" s="818"/>
      <c r="F30" s="818"/>
      <c r="G30" s="818"/>
      <c r="H30" s="818"/>
      <c r="I30" s="817"/>
      <c r="J30" s="817"/>
      <c r="K30" s="816"/>
      <c r="L30" s="816"/>
      <c r="M30" s="816"/>
      <c r="N30" s="816"/>
    </row>
    <row r="31" spans="1:17" s="562" customFormat="1" ht="15.75" customHeight="1">
      <c r="A31" s="821"/>
      <c r="B31" s="820" t="s">
        <v>493</v>
      </c>
      <c r="C31" s="819"/>
      <c r="D31" s="818"/>
      <c r="E31" s="818"/>
      <c r="F31" s="818"/>
      <c r="G31" s="818"/>
      <c r="H31" s="818"/>
      <c r="I31" s="817"/>
      <c r="J31" s="817"/>
      <c r="K31" s="816"/>
      <c r="L31" s="816"/>
      <c r="M31" s="816"/>
      <c r="N31" s="816"/>
    </row>
    <row r="32" spans="1:17" s="562" customFormat="1" ht="15" customHeight="1">
      <c r="A32" s="370"/>
      <c r="B32" s="369"/>
      <c r="C32" s="372"/>
      <c r="D32" s="346"/>
      <c r="E32" s="346"/>
      <c r="F32" s="346"/>
      <c r="G32" s="346"/>
      <c r="H32" s="346"/>
      <c r="I32" s="563"/>
      <c r="J32" s="563"/>
      <c r="L32" s="563"/>
    </row>
    <row r="33" spans="1:12" s="562" customFormat="1" ht="12.75" customHeight="1">
      <c r="A33" s="355"/>
      <c r="B33" s="369"/>
      <c r="C33" s="346"/>
      <c r="D33" s="346"/>
      <c r="E33" s="346"/>
      <c r="F33" s="346"/>
      <c r="G33" s="346"/>
      <c r="H33" s="346"/>
      <c r="I33" s="563"/>
      <c r="J33" s="563"/>
      <c r="L33" s="563"/>
    </row>
    <row r="34" spans="1:12" s="562" customFormat="1" ht="12.75" customHeight="1">
      <c r="A34" s="355"/>
      <c r="B34" s="369"/>
      <c r="C34" s="346"/>
      <c r="D34" s="346"/>
      <c r="E34" s="346"/>
      <c r="F34" s="346"/>
      <c r="G34" s="346"/>
      <c r="H34" s="346"/>
      <c r="I34" s="563"/>
      <c r="J34" s="563"/>
      <c r="L34" s="563"/>
    </row>
    <row r="35" spans="1:12" ht="12.75" customHeight="1">
      <c r="A35" s="565"/>
      <c r="B35" s="564"/>
      <c r="F35" s="355"/>
      <c r="G35" s="355"/>
    </row>
    <row r="36" spans="1:12" ht="12.75" customHeight="1">
      <c r="B36" s="564"/>
      <c r="F36" s="355"/>
      <c r="G36" s="355"/>
    </row>
    <row r="37" spans="1:12" ht="15" customHeight="1">
      <c r="A37" s="565"/>
      <c r="B37" s="564"/>
      <c r="F37" s="355"/>
      <c r="G37" s="355"/>
      <c r="H37" s="361"/>
    </row>
    <row r="38" spans="1:12" ht="15" customHeight="1">
      <c r="B38" s="564"/>
      <c r="F38" s="355"/>
      <c r="G38" s="355"/>
    </row>
    <row r="39" spans="1:12" s="562" customFormat="1" ht="15" customHeight="1">
      <c r="A39" s="370"/>
      <c r="B39" s="369"/>
      <c r="C39" s="346"/>
      <c r="D39" s="346"/>
      <c r="E39" s="346"/>
      <c r="F39" s="346"/>
      <c r="G39" s="346"/>
      <c r="H39" s="346"/>
      <c r="I39" s="563"/>
      <c r="J39" s="563"/>
      <c r="L39" s="563"/>
    </row>
    <row r="40" spans="1:12" s="562" customFormat="1" ht="15" customHeight="1">
      <c r="A40" s="355"/>
      <c r="B40" s="369"/>
      <c r="C40" s="346"/>
      <c r="D40" s="346"/>
      <c r="E40" s="346"/>
      <c r="F40" s="346"/>
      <c r="G40" s="346"/>
      <c r="H40" s="346"/>
      <c r="I40" s="563"/>
      <c r="J40" s="563"/>
      <c r="L40" s="563"/>
    </row>
    <row r="41" spans="1:12" s="562" customFormat="1" ht="15" customHeight="1">
      <c r="A41" s="346"/>
      <c r="B41" s="346"/>
      <c r="C41" s="346"/>
      <c r="D41" s="346"/>
      <c r="E41" s="346"/>
      <c r="F41" s="346"/>
      <c r="G41" s="346"/>
      <c r="H41" s="346"/>
      <c r="I41" s="563"/>
      <c r="J41" s="563"/>
      <c r="L41" s="563"/>
    </row>
    <row r="42" spans="1:12" s="562" customFormat="1" ht="16.5" customHeight="1">
      <c r="A42" s="346"/>
      <c r="B42" s="346"/>
      <c r="C42" s="346"/>
      <c r="D42" s="346"/>
      <c r="E42" s="346"/>
      <c r="F42" s="346"/>
      <c r="G42" s="346"/>
      <c r="H42" s="346"/>
      <c r="I42" s="563"/>
      <c r="J42" s="563"/>
      <c r="L42" s="563"/>
    </row>
    <row r="43" spans="1:12" s="562" customFormat="1" ht="15">
      <c r="A43" s="373"/>
      <c r="B43" s="373"/>
      <c r="C43" s="345"/>
      <c r="D43" s="345"/>
      <c r="E43" s="345"/>
      <c r="F43" s="346"/>
      <c r="G43" s="346"/>
      <c r="H43" s="345"/>
    </row>
    <row r="44" spans="1:12">
      <c r="A44" s="374"/>
      <c r="B44" s="374"/>
      <c r="C44" s="345"/>
      <c r="D44" s="345"/>
      <c r="E44" s="345"/>
      <c r="F44" s="346"/>
      <c r="G44" s="346"/>
      <c r="H44" s="345"/>
    </row>
    <row r="45" spans="1:12">
      <c r="A45" s="374"/>
      <c r="B45" s="374"/>
    </row>
    <row r="46" spans="1:12">
      <c r="A46" s="374"/>
      <c r="B46" s="374"/>
    </row>
  </sheetData>
  <mergeCells count="6">
    <mergeCell ref="A1:N1"/>
    <mergeCell ref="A2:N2"/>
    <mergeCell ref="A3:N3"/>
    <mergeCell ref="A4:P4"/>
    <mergeCell ref="E5:K5"/>
    <mergeCell ref="M5:N5"/>
  </mergeCells>
  <printOptions horizontalCentered="1"/>
  <pageMargins left="0.4" right="0.4" top="0.7" bottom="0.7" header="0.5" footer="0.35"/>
  <pageSetup firstPageNumber="247" orientation="portrait" useFirstPageNumber="1" r:id="rId1"/>
  <headerFooter alignWithMargins="0">
    <oddFooter>&amp;C&amp;"Times New Roman,Regular"&amp;10&amp;P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FF0000"/>
  </sheetPr>
  <dimension ref="A1:B38"/>
  <sheetViews>
    <sheetView workbookViewId="0"/>
  </sheetViews>
  <sheetFormatPr defaultColWidth="10" defaultRowHeight="12.75"/>
  <cols>
    <col min="1" max="1" width="27.125" style="45" bestFit="1" customWidth="1"/>
    <col min="2" max="2" width="12.125" style="45" bestFit="1" customWidth="1"/>
    <col min="3" max="16384" width="10" style="45"/>
  </cols>
  <sheetData>
    <row r="1" spans="1:2" ht="15.75">
      <c r="A1" s="44" t="s">
        <v>150</v>
      </c>
    </row>
    <row r="4" spans="1:2">
      <c r="A4" s="46" t="s">
        <v>151</v>
      </c>
    </row>
    <row r="5" spans="1:2">
      <c r="A5" s="47" t="s">
        <v>152</v>
      </c>
      <c r="B5" s="48" t="s">
        <v>153</v>
      </c>
    </row>
    <row r="7" spans="1:2">
      <c r="A7" s="45" t="s">
        <v>154</v>
      </c>
      <c r="B7" s="49">
        <v>6629.14</v>
      </c>
    </row>
    <row r="8" spans="1:2">
      <c r="B8" s="49"/>
    </row>
    <row r="9" spans="1:2" ht="13.5" thickBot="1">
      <c r="A9" s="50" t="s">
        <v>155</v>
      </c>
      <c r="B9" s="51">
        <f>SUM(B7:B7)</f>
        <v>6629.14</v>
      </c>
    </row>
    <row r="10" spans="1:2" ht="13.5" thickTop="1"/>
    <row r="12" spans="1:2">
      <c r="A12" s="46" t="s">
        <v>156</v>
      </c>
    </row>
    <row r="13" spans="1:2">
      <c r="A13" s="47" t="s">
        <v>152</v>
      </c>
      <c r="B13" s="48" t="s">
        <v>153</v>
      </c>
    </row>
    <row r="15" spans="1:2">
      <c r="A15" s="52" t="s">
        <v>157</v>
      </c>
      <c r="B15" s="49">
        <v>177660</v>
      </c>
    </row>
    <row r="16" spans="1:2">
      <c r="A16" s="52" t="s">
        <v>158</v>
      </c>
      <c r="B16" s="49">
        <v>924102</v>
      </c>
    </row>
    <row r="17" spans="1:2">
      <c r="A17" s="52" t="s">
        <v>159</v>
      </c>
      <c r="B17" s="49">
        <v>163800</v>
      </c>
    </row>
    <row r="18" spans="1:2">
      <c r="A18" s="52" t="s">
        <v>160</v>
      </c>
      <c r="B18" s="49">
        <f>249579+-30244.43</f>
        <v>219334.57</v>
      </c>
    </row>
    <row r="19" spans="1:2">
      <c r="A19" s="52" t="s">
        <v>161</v>
      </c>
      <c r="B19" s="49">
        <v>697500</v>
      </c>
    </row>
    <row r="20" spans="1:2">
      <c r="A20" s="52" t="s">
        <v>162</v>
      </c>
      <c r="B20" s="49">
        <v>111000</v>
      </c>
    </row>
    <row r="21" spans="1:2">
      <c r="A21" s="52" t="s">
        <v>163</v>
      </c>
      <c r="B21" s="49">
        <v>232500</v>
      </c>
    </row>
    <row r="22" spans="1:2">
      <c r="A22" s="52" t="s">
        <v>164</v>
      </c>
      <c r="B22" s="49">
        <v>136800</v>
      </c>
    </row>
    <row r="23" spans="1:2">
      <c r="A23" s="52" t="s">
        <v>165</v>
      </c>
      <c r="B23" s="49">
        <v>110000</v>
      </c>
    </row>
    <row r="24" spans="1:2">
      <c r="A24" s="52" t="s">
        <v>166</v>
      </c>
      <c r="B24" s="49">
        <v>491451</v>
      </c>
    </row>
    <row r="25" spans="1:2">
      <c r="A25" s="52" t="s">
        <v>167</v>
      </c>
      <c r="B25" s="49">
        <v>229743</v>
      </c>
    </row>
    <row r="26" spans="1:2">
      <c r="A26" s="52" t="s">
        <v>168</v>
      </c>
      <c r="B26" s="49">
        <v>99990</v>
      </c>
    </row>
    <row r="27" spans="1:2">
      <c r="A27" s="52" t="s">
        <v>175</v>
      </c>
      <c r="B27" s="49">
        <f>SUM(B15:B26)</f>
        <v>3593880.5700000003</v>
      </c>
    </row>
    <row r="28" spans="1:2">
      <c r="A28" s="52"/>
      <c r="B28" s="49"/>
    </row>
    <row r="29" spans="1:2">
      <c r="A29" s="53" t="s">
        <v>169</v>
      </c>
      <c r="B29" s="54">
        <v>541965</v>
      </c>
    </row>
    <row r="30" spans="1:2">
      <c r="A30" s="53" t="s">
        <v>170</v>
      </c>
      <c r="B30" s="54">
        <v>483463</v>
      </c>
    </row>
    <row r="32" spans="1:2" ht="13.5" thickBot="1">
      <c r="A32" s="55" t="s">
        <v>171</v>
      </c>
      <c r="B32" s="56">
        <f>SUM(B27:B30)</f>
        <v>4619308.57</v>
      </c>
    </row>
    <row r="33" spans="1:2" ht="13.5" thickTop="1">
      <c r="B33" s="57"/>
    </row>
    <row r="34" spans="1:2">
      <c r="A34" s="58" t="s">
        <v>172</v>
      </c>
      <c r="B34" s="57"/>
    </row>
    <row r="35" spans="1:2">
      <c r="A35" s="45" t="s">
        <v>173</v>
      </c>
      <c r="B35" s="49">
        <v>-8291.83</v>
      </c>
    </row>
    <row r="37" spans="1:2" ht="13.5" thickBot="1">
      <c r="A37" s="46" t="s">
        <v>174</v>
      </c>
      <c r="B37" s="59">
        <f>B32+B35</f>
        <v>4611016.74</v>
      </c>
    </row>
    <row r="38" spans="1:2" ht="13.5" thickTop="1"/>
  </sheetData>
  <phoneticPr fontId="35" type="noConversion"/>
  <pageMargins left="0.17" right="0.18" top="1" bottom="1" header="0" footer="0"/>
  <pageSetup paperSize="5" scale="85" orientation="landscape" horizontalDpi="300" verticalDpi="300" r:id="rId1"/>
  <headerFooter alignWithMargins="0"/>
  <rowBreaks count="2" manualBreakCount="2">
    <brk id="10" max="16383" man="1"/>
    <brk id="35" max="16383"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dimension ref="A1:I51"/>
  <sheetViews>
    <sheetView workbookViewId="0">
      <selection sqref="A1:I1"/>
    </sheetView>
  </sheetViews>
  <sheetFormatPr defaultColWidth="15.125" defaultRowHeight="12.75"/>
  <cols>
    <col min="1" max="1" width="28.75" style="1746" customWidth="1"/>
    <col min="2" max="2" width="9.625" style="1746" bestFit="1" customWidth="1"/>
    <col min="3" max="3" width="8" style="1746" customWidth="1"/>
    <col min="4" max="4" width="9.125" style="1746" bestFit="1" customWidth="1"/>
    <col min="5" max="5" width="9.25" style="1746" bestFit="1" customWidth="1"/>
    <col min="6" max="6" width="9.75" style="1746" bestFit="1" customWidth="1"/>
    <col min="7" max="8" width="9.125" style="1746" bestFit="1" customWidth="1"/>
    <col min="9" max="9" width="8.625" style="1746" bestFit="1" customWidth="1"/>
    <col min="10" max="249" width="15.125" style="1746"/>
    <col min="250" max="250" width="28.75" style="1746" customWidth="1"/>
    <col min="251" max="251" width="9.625" style="1746" bestFit="1" customWidth="1"/>
    <col min="252" max="252" width="8" style="1746" customWidth="1"/>
    <col min="253" max="253" width="9.125" style="1746" bestFit="1" customWidth="1"/>
    <col min="254" max="254" width="9.25" style="1746" bestFit="1" customWidth="1"/>
    <col min="255" max="255" width="9.75" style="1746" bestFit="1" customWidth="1"/>
    <col min="256" max="257" width="9.125" style="1746" bestFit="1" customWidth="1"/>
    <col min="258" max="258" width="8.625" style="1746" bestFit="1" customWidth="1"/>
    <col min="259" max="259" width="2.5" style="1746" customWidth="1"/>
    <col min="260" max="505" width="15.125" style="1746"/>
    <col min="506" max="506" width="28.75" style="1746" customWidth="1"/>
    <col min="507" max="507" width="9.625" style="1746" bestFit="1" customWidth="1"/>
    <col min="508" max="508" width="8" style="1746" customWidth="1"/>
    <col min="509" max="509" width="9.125" style="1746" bestFit="1" customWidth="1"/>
    <col min="510" max="510" width="9.25" style="1746" bestFit="1" customWidth="1"/>
    <col min="511" max="511" width="9.75" style="1746" bestFit="1" customWidth="1"/>
    <col min="512" max="513" width="9.125" style="1746" bestFit="1" customWidth="1"/>
    <col min="514" max="514" width="8.625" style="1746" bestFit="1" customWidth="1"/>
    <col min="515" max="515" width="2.5" style="1746" customWidth="1"/>
    <col min="516" max="761" width="15.125" style="1746"/>
    <col min="762" max="762" width="28.75" style="1746" customWidth="1"/>
    <col min="763" max="763" width="9.625" style="1746" bestFit="1" customWidth="1"/>
    <col min="764" max="764" width="8" style="1746" customWidth="1"/>
    <col min="765" max="765" width="9.125" style="1746" bestFit="1" customWidth="1"/>
    <col min="766" max="766" width="9.25" style="1746" bestFit="1" customWidth="1"/>
    <col min="767" max="767" width="9.75" style="1746" bestFit="1" customWidth="1"/>
    <col min="768" max="769" width="9.125" style="1746" bestFit="1" customWidth="1"/>
    <col min="770" max="770" width="8.625" style="1746" bestFit="1" customWidth="1"/>
    <col min="771" max="771" width="2.5" style="1746" customWidth="1"/>
    <col min="772" max="1017" width="15.125" style="1746"/>
    <col min="1018" max="1018" width="28.75" style="1746" customWidth="1"/>
    <col min="1019" max="1019" width="9.625" style="1746" bestFit="1" customWidth="1"/>
    <col min="1020" max="1020" width="8" style="1746" customWidth="1"/>
    <col min="1021" max="1021" width="9.125" style="1746" bestFit="1" customWidth="1"/>
    <col min="1022" max="1022" width="9.25" style="1746" bestFit="1" customWidth="1"/>
    <col min="1023" max="1023" width="9.75" style="1746" bestFit="1" customWidth="1"/>
    <col min="1024" max="1025" width="9.125" style="1746" bestFit="1" customWidth="1"/>
    <col min="1026" max="1026" width="8.625" style="1746" bestFit="1" customWidth="1"/>
    <col min="1027" max="1027" width="2.5" style="1746" customWidth="1"/>
    <col min="1028" max="1273" width="15.125" style="1746"/>
    <col min="1274" max="1274" width="28.75" style="1746" customWidth="1"/>
    <col min="1275" max="1275" width="9.625" style="1746" bestFit="1" customWidth="1"/>
    <col min="1276" max="1276" width="8" style="1746" customWidth="1"/>
    <col min="1277" max="1277" width="9.125" style="1746" bestFit="1" customWidth="1"/>
    <col min="1278" max="1278" width="9.25" style="1746" bestFit="1" customWidth="1"/>
    <col min="1279" max="1279" width="9.75" style="1746" bestFit="1" customWidth="1"/>
    <col min="1280" max="1281" width="9.125" style="1746" bestFit="1" customWidth="1"/>
    <col min="1282" max="1282" width="8.625" style="1746" bestFit="1" customWidth="1"/>
    <col min="1283" max="1283" width="2.5" style="1746" customWidth="1"/>
    <col min="1284" max="1529" width="15.125" style="1746"/>
    <col min="1530" max="1530" width="28.75" style="1746" customWidth="1"/>
    <col min="1531" max="1531" width="9.625" style="1746" bestFit="1" customWidth="1"/>
    <col min="1532" max="1532" width="8" style="1746" customWidth="1"/>
    <col min="1533" max="1533" width="9.125" style="1746" bestFit="1" customWidth="1"/>
    <col min="1534" max="1534" width="9.25" style="1746" bestFit="1" customWidth="1"/>
    <col min="1535" max="1535" width="9.75" style="1746" bestFit="1" customWidth="1"/>
    <col min="1536" max="1537" width="9.125" style="1746" bestFit="1" customWidth="1"/>
    <col min="1538" max="1538" width="8.625" style="1746" bestFit="1" customWidth="1"/>
    <col min="1539" max="1539" width="2.5" style="1746" customWidth="1"/>
    <col min="1540" max="1785" width="15.125" style="1746"/>
    <col min="1786" max="1786" width="28.75" style="1746" customWidth="1"/>
    <col min="1787" max="1787" width="9.625" style="1746" bestFit="1" customWidth="1"/>
    <col min="1788" max="1788" width="8" style="1746" customWidth="1"/>
    <col min="1789" max="1789" width="9.125" style="1746" bestFit="1" customWidth="1"/>
    <col min="1790" max="1790" width="9.25" style="1746" bestFit="1" customWidth="1"/>
    <col min="1791" max="1791" width="9.75" style="1746" bestFit="1" customWidth="1"/>
    <col min="1792" max="1793" width="9.125" style="1746" bestFit="1" customWidth="1"/>
    <col min="1794" max="1794" width="8.625" style="1746" bestFit="1" customWidth="1"/>
    <col min="1795" max="1795" width="2.5" style="1746" customWidth="1"/>
    <col min="1796" max="2041" width="15.125" style="1746"/>
    <col min="2042" max="2042" width="28.75" style="1746" customWidth="1"/>
    <col min="2043" max="2043" width="9.625" style="1746" bestFit="1" customWidth="1"/>
    <col min="2044" max="2044" width="8" style="1746" customWidth="1"/>
    <col min="2045" max="2045" width="9.125" style="1746" bestFit="1" customWidth="1"/>
    <col min="2046" max="2046" width="9.25" style="1746" bestFit="1" customWidth="1"/>
    <col min="2047" max="2047" width="9.75" style="1746" bestFit="1" customWidth="1"/>
    <col min="2048" max="2049" width="9.125" style="1746" bestFit="1" customWidth="1"/>
    <col min="2050" max="2050" width="8.625" style="1746" bestFit="1" customWidth="1"/>
    <col min="2051" max="2051" width="2.5" style="1746" customWidth="1"/>
    <col min="2052" max="2297" width="15.125" style="1746"/>
    <col min="2298" max="2298" width="28.75" style="1746" customWidth="1"/>
    <col min="2299" max="2299" width="9.625" style="1746" bestFit="1" customWidth="1"/>
    <col min="2300" max="2300" width="8" style="1746" customWidth="1"/>
    <col min="2301" max="2301" width="9.125" style="1746" bestFit="1" customWidth="1"/>
    <col min="2302" max="2302" width="9.25" style="1746" bestFit="1" customWidth="1"/>
    <col min="2303" max="2303" width="9.75" style="1746" bestFit="1" customWidth="1"/>
    <col min="2304" max="2305" width="9.125" style="1746" bestFit="1" customWidth="1"/>
    <col min="2306" max="2306" width="8.625" style="1746" bestFit="1" customWidth="1"/>
    <col min="2307" max="2307" width="2.5" style="1746" customWidth="1"/>
    <col min="2308" max="2553" width="15.125" style="1746"/>
    <col min="2554" max="2554" width="28.75" style="1746" customWidth="1"/>
    <col min="2555" max="2555" width="9.625" style="1746" bestFit="1" customWidth="1"/>
    <col min="2556" max="2556" width="8" style="1746" customWidth="1"/>
    <col min="2557" max="2557" width="9.125" style="1746" bestFit="1" customWidth="1"/>
    <col min="2558" max="2558" width="9.25" style="1746" bestFit="1" customWidth="1"/>
    <col min="2559" max="2559" width="9.75" style="1746" bestFit="1" customWidth="1"/>
    <col min="2560" max="2561" width="9.125" style="1746" bestFit="1" customWidth="1"/>
    <col min="2562" max="2562" width="8.625" style="1746" bestFit="1" customWidth="1"/>
    <col min="2563" max="2563" width="2.5" style="1746" customWidth="1"/>
    <col min="2564" max="2809" width="15.125" style="1746"/>
    <col min="2810" max="2810" width="28.75" style="1746" customWidth="1"/>
    <col min="2811" max="2811" width="9.625" style="1746" bestFit="1" customWidth="1"/>
    <col min="2812" max="2812" width="8" style="1746" customWidth="1"/>
    <col min="2813" max="2813" width="9.125" style="1746" bestFit="1" customWidth="1"/>
    <col min="2814" max="2814" width="9.25" style="1746" bestFit="1" customWidth="1"/>
    <col min="2815" max="2815" width="9.75" style="1746" bestFit="1" customWidth="1"/>
    <col min="2816" max="2817" width="9.125" style="1746" bestFit="1" customWidth="1"/>
    <col min="2818" max="2818" width="8.625" style="1746" bestFit="1" customWidth="1"/>
    <col min="2819" max="2819" width="2.5" style="1746" customWidth="1"/>
    <col min="2820" max="3065" width="15.125" style="1746"/>
    <col min="3066" max="3066" width="28.75" style="1746" customWidth="1"/>
    <col min="3067" max="3067" width="9.625" style="1746" bestFit="1" customWidth="1"/>
    <col min="3068" max="3068" width="8" style="1746" customWidth="1"/>
    <col min="3069" max="3069" width="9.125" style="1746" bestFit="1" customWidth="1"/>
    <col min="3070" max="3070" width="9.25" style="1746" bestFit="1" customWidth="1"/>
    <col min="3071" max="3071" width="9.75" style="1746" bestFit="1" customWidth="1"/>
    <col min="3072" max="3073" width="9.125" style="1746" bestFit="1" customWidth="1"/>
    <col min="3074" max="3074" width="8.625" style="1746" bestFit="1" customWidth="1"/>
    <col min="3075" max="3075" width="2.5" style="1746" customWidth="1"/>
    <col min="3076" max="3321" width="15.125" style="1746"/>
    <col min="3322" max="3322" width="28.75" style="1746" customWidth="1"/>
    <col min="3323" max="3323" width="9.625" style="1746" bestFit="1" customWidth="1"/>
    <col min="3324" max="3324" width="8" style="1746" customWidth="1"/>
    <col min="3325" max="3325" width="9.125" style="1746" bestFit="1" customWidth="1"/>
    <col min="3326" max="3326" width="9.25" style="1746" bestFit="1" customWidth="1"/>
    <col min="3327" max="3327" width="9.75" style="1746" bestFit="1" customWidth="1"/>
    <col min="3328" max="3329" width="9.125" style="1746" bestFit="1" customWidth="1"/>
    <col min="3330" max="3330" width="8.625" style="1746" bestFit="1" customWidth="1"/>
    <col min="3331" max="3331" width="2.5" style="1746" customWidth="1"/>
    <col min="3332" max="3577" width="15.125" style="1746"/>
    <col min="3578" max="3578" width="28.75" style="1746" customWidth="1"/>
    <col min="3579" max="3579" width="9.625" style="1746" bestFit="1" customWidth="1"/>
    <col min="3580" max="3580" width="8" style="1746" customWidth="1"/>
    <col min="3581" max="3581" width="9.125" style="1746" bestFit="1" customWidth="1"/>
    <col min="3582" max="3582" width="9.25" style="1746" bestFit="1" customWidth="1"/>
    <col min="3583" max="3583" width="9.75" style="1746" bestFit="1" customWidth="1"/>
    <col min="3584" max="3585" width="9.125" style="1746" bestFit="1" customWidth="1"/>
    <col min="3586" max="3586" width="8.625" style="1746" bestFit="1" customWidth="1"/>
    <col min="3587" max="3587" width="2.5" style="1746" customWidth="1"/>
    <col min="3588" max="3833" width="15.125" style="1746"/>
    <col min="3834" max="3834" width="28.75" style="1746" customWidth="1"/>
    <col min="3835" max="3835" width="9.625" style="1746" bestFit="1" customWidth="1"/>
    <col min="3836" max="3836" width="8" style="1746" customWidth="1"/>
    <col min="3837" max="3837" width="9.125" style="1746" bestFit="1" customWidth="1"/>
    <col min="3838" max="3838" width="9.25" style="1746" bestFit="1" customWidth="1"/>
    <col min="3839" max="3839" width="9.75" style="1746" bestFit="1" customWidth="1"/>
    <col min="3840" max="3841" width="9.125" style="1746" bestFit="1" customWidth="1"/>
    <col min="3842" max="3842" width="8.625" style="1746" bestFit="1" customWidth="1"/>
    <col min="3843" max="3843" width="2.5" style="1746" customWidth="1"/>
    <col min="3844" max="4089" width="15.125" style="1746"/>
    <col min="4090" max="4090" width="28.75" style="1746" customWidth="1"/>
    <col min="4091" max="4091" width="9.625" style="1746" bestFit="1" customWidth="1"/>
    <col min="4092" max="4092" width="8" style="1746" customWidth="1"/>
    <col min="4093" max="4093" width="9.125" style="1746" bestFit="1" customWidth="1"/>
    <col min="4094" max="4094" width="9.25" style="1746" bestFit="1" customWidth="1"/>
    <col min="4095" max="4095" width="9.75" style="1746" bestFit="1" customWidth="1"/>
    <col min="4096" max="4097" width="9.125" style="1746" bestFit="1" customWidth="1"/>
    <col min="4098" max="4098" width="8.625" style="1746" bestFit="1" customWidth="1"/>
    <col min="4099" max="4099" width="2.5" style="1746" customWidth="1"/>
    <col min="4100" max="4345" width="15.125" style="1746"/>
    <col min="4346" max="4346" width="28.75" style="1746" customWidth="1"/>
    <col min="4347" max="4347" width="9.625" style="1746" bestFit="1" customWidth="1"/>
    <col min="4348" max="4348" width="8" style="1746" customWidth="1"/>
    <col min="4349" max="4349" width="9.125" style="1746" bestFit="1" customWidth="1"/>
    <col min="4350" max="4350" width="9.25" style="1746" bestFit="1" customWidth="1"/>
    <col min="4351" max="4351" width="9.75" style="1746" bestFit="1" customWidth="1"/>
    <col min="4352" max="4353" width="9.125" style="1746" bestFit="1" customWidth="1"/>
    <col min="4354" max="4354" width="8.625" style="1746" bestFit="1" customWidth="1"/>
    <col min="4355" max="4355" width="2.5" style="1746" customWidth="1"/>
    <col min="4356" max="4601" width="15.125" style="1746"/>
    <col min="4602" max="4602" width="28.75" style="1746" customWidth="1"/>
    <col min="4603" max="4603" width="9.625" style="1746" bestFit="1" customWidth="1"/>
    <col min="4604" max="4604" width="8" style="1746" customWidth="1"/>
    <col min="4605" max="4605" width="9.125" style="1746" bestFit="1" customWidth="1"/>
    <col min="4606" max="4606" width="9.25" style="1746" bestFit="1" customWidth="1"/>
    <col min="4607" max="4607" width="9.75" style="1746" bestFit="1" customWidth="1"/>
    <col min="4608" max="4609" width="9.125" style="1746" bestFit="1" customWidth="1"/>
    <col min="4610" max="4610" width="8.625" style="1746" bestFit="1" customWidth="1"/>
    <col min="4611" max="4611" width="2.5" style="1746" customWidth="1"/>
    <col min="4612" max="4857" width="15.125" style="1746"/>
    <col min="4858" max="4858" width="28.75" style="1746" customWidth="1"/>
    <col min="4859" max="4859" width="9.625" style="1746" bestFit="1" customWidth="1"/>
    <col min="4860" max="4860" width="8" style="1746" customWidth="1"/>
    <col min="4861" max="4861" width="9.125" style="1746" bestFit="1" customWidth="1"/>
    <col min="4862" max="4862" width="9.25" style="1746" bestFit="1" customWidth="1"/>
    <col min="4863" max="4863" width="9.75" style="1746" bestFit="1" customWidth="1"/>
    <col min="4864" max="4865" width="9.125" style="1746" bestFit="1" customWidth="1"/>
    <col min="4866" max="4866" width="8.625" style="1746" bestFit="1" customWidth="1"/>
    <col min="4867" max="4867" width="2.5" style="1746" customWidth="1"/>
    <col min="4868" max="5113" width="15.125" style="1746"/>
    <col min="5114" max="5114" width="28.75" style="1746" customWidth="1"/>
    <col min="5115" max="5115" width="9.625" style="1746" bestFit="1" customWidth="1"/>
    <col min="5116" max="5116" width="8" style="1746" customWidth="1"/>
    <col min="5117" max="5117" width="9.125" style="1746" bestFit="1" customWidth="1"/>
    <col min="5118" max="5118" width="9.25" style="1746" bestFit="1" customWidth="1"/>
    <col min="5119" max="5119" width="9.75" style="1746" bestFit="1" customWidth="1"/>
    <col min="5120" max="5121" width="9.125" style="1746" bestFit="1" customWidth="1"/>
    <col min="5122" max="5122" width="8.625" style="1746" bestFit="1" customWidth="1"/>
    <col min="5123" max="5123" width="2.5" style="1746" customWidth="1"/>
    <col min="5124" max="5369" width="15.125" style="1746"/>
    <col min="5370" max="5370" width="28.75" style="1746" customWidth="1"/>
    <col min="5371" max="5371" width="9.625" style="1746" bestFit="1" customWidth="1"/>
    <col min="5372" max="5372" width="8" style="1746" customWidth="1"/>
    <col min="5373" max="5373" width="9.125" style="1746" bestFit="1" customWidth="1"/>
    <col min="5374" max="5374" width="9.25" style="1746" bestFit="1" customWidth="1"/>
    <col min="5375" max="5375" width="9.75" style="1746" bestFit="1" customWidth="1"/>
    <col min="5376" max="5377" width="9.125" style="1746" bestFit="1" customWidth="1"/>
    <col min="5378" max="5378" width="8.625" style="1746" bestFit="1" customWidth="1"/>
    <col min="5379" max="5379" width="2.5" style="1746" customWidth="1"/>
    <col min="5380" max="5625" width="15.125" style="1746"/>
    <col min="5626" max="5626" width="28.75" style="1746" customWidth="1"/>
    <col min="5627" max="5627" width="9.625" style="1746" bestFit="1" customWidth="1"/>
    <col min="5628" max="5628" width="8" style="1746" customWidth="1"/>
    <col min="5629" max="5629" width="9.125" style="1746" bestFit="1" customWidth="1"/>
    <col min="5630" max="5630" width="9.25" style="1746" bestFit="1" customWidth="1"/>
    <col min="5631" max="5631" width="9.75" style="1746" bestFit="1" customWidth="1"/>
    <col min="5632" max="5633" width="9.125" style="1746" bestFit="1" customWidth="1"/>
    <col min="5634" max="5634" width="8.625" style="1746" bestFit="1" customWidth="1"/>
    <col min="5635" max="5635" width="2.5" style="1746" customWidth="1"/>
    <col min="5636" max="5881" width="15.125" style="1746"/>
    <col min="5882" max="5882" width="28.75" style="1746" customWidth="1"/>
    <col min="5883" max="5883" width="9.625" style="1746" bestFit="1" customWidth="1"/>
    <col min="5884" max="5884" width="8" style="1746" customWidth="1"/>
    <col min="5885" max="5885" width="9.125" style="1746" bestFit="1" customWidth="1"/>
    <col min="5886" max="5886" width="9.25" style="1746" bestFit="1" customWidth="1"/>
    <col min="5887" max="5887" width="9.75" style="1746" bestFit="1" customWidth="1"/>
    <col min="5888" max="5889" width="9.125" style="1746" bestFit="1" customWidth="1"/>
    <col min="5890" max="5890" width="8.625" style="1746" bestFit="1" customWidth="1"/>
    <col min="5891" max="5891" width="2.5" style="1746" customWidth="1"/>
    <col min="5892" max="6137" width="15.125" style="1746"/>
    <col min="6138" max="6138" width="28.75" style="1746" customWidth="1"/>
    <col min="6139" max="6139" width="9.625" style="1746" bestFit="1" customWidth="1"/>
    <col min="6140" max="6140" width="8" style="1746" customWidth="1"/>
    <col min="6141" max="6141" width="9.125" style="1746" bestFit="1" customWidth="1"/>
    <col min="6142" max="6142" width="9.25" style="1746" bestFit="1" customWidth="1"/>
    <col min="6143" max="6143" width="9.75" style="1746" bestFit="1" customWidth="1"/>
    <col min="6144" max="6145" width="9.125" style="1746" bestFit="1" customWidth="1"/>
    <col min="6146" max="6146" width="8.625" style="1746" bestFit="1" customWidth="1"/>
    <col min="6147" max="6147" width="2.5" style="1746" customWidth="1"/>
    <col min="6148" max="6393" width="15.125" style="1746"/>
    <col min="6394" max="6394" width="28.75" style="1746" customWidth="1"/>
    <col min="6395" max="6395" width="9.625" style="1746" bestFit="1" customWidth="1"/>
    <col min="6396" max="6396" width="8" style="1746" customWidth="1"/>
    <col min="6397" max="6397" width="9.125" style="1746" bestFit="1" customWidth="1"/>
    <col min="6398" max="6398" width="9.25" style="1746" bestFit="1" customWidth="1"/>
    <col min="6399" max="6399" width="9.75" style="1746" bestFit="1" customWidth="1"/>
    <col min="6400" max="6401" width="9.125" style="1746" bestFit="1" customWidth="1"/>
    <col min="6402" max="6402" width="8.625" style="1746" bestFit="1" customWidth="1"/>
    <col min="6403" max="6403" width="2.5" style="1746" customWidth="1"/>
    <col min="6404" max="6649" width="15.125" style="1746"/>
    <col min="6650" max="6650" width="28.75" style="1746" customWidth="1"/>
    <col min="6651" max="6651" width="9.625" style="1746" bestFit="1" customWidth="1"/>
    <col min="6652" max="6652" width="8" style="1746" customWidth="1"/>
    <col min="6653" max="6653" width="9.125" style="1746" bestFit="1" customWidth="1"/>
    <col min="6654" max="6654" width="9.25" style="1746" bestFit="1" customWidth="1"/>
    <col min="6655" max="6655" width="9.75" style="1746" bestFit="1" customWidth="1"/>
    <col min="6656" max="6657" width="9.125" style="1746" bestFit="1" customWidth="1"/>
    <col min="6658" max="6658" width="8.625" style="1746" bestFit="1" customWidth="1"/>
    <col min="6659" max="6659" width="2.5" style="1746" customWidth="1"/>
    <col min="6660" max="6905" width="15.125" style="1746"/>
    <col min="6906" max="6906" width="28.75" style="1746" customWidth="1"/>
    <col min="6907" max="6907" width="9.625" style="1746" bestFit="1" customWidth="1"/>
    <col min="6908" max="6908" width="8" style="1746" customWidth="1"/>
    <col min="6909" max="6909" width="9.125" style="1746" bestFit="1" customWidth="1"/>
    <col min="6910" max="6910" width="9.25" style="1746" bestFit="1" customWidth="1"/>
    <col min="6911" max="6911" width="9.75" style="1746" bestFit="1" customWidth="1"/>
    <col min="6912" max="6913" width="9.125" style="1746" bestFit="1" customWidth="1"/>
    <col min="6914" max="6914" width="8.625" style="1746" bestFit="1" customWidth="1"/>
    <col min="6915" max="6915" width="2.5" style="1746" customWidth="1"/>
    <col min="6916" max="7161" width="15.125" style="1746"/>
    <col min="7162" max="7162" width="28.75" style="1746" customWidth="1"/>
    <col min="7163" max="7163" width="9.625" style="1746" bestFit="1" customWidth="1"/>
    <col min="7164" max="7164" width="8" style="1746" customWidth="1"/>
    <col min="7165" max="7165" width="9.125" style="1746" bestFit="1" customWidth="1"/>
    <col min="7166" max="7166" width="9.25" style="1746" bestFit="1" customWidth="1"/>
    <col min="7167" max="7167" width="9.75" style="1746" bestFit="1" customWidth="1"/>
    <col min="7168" max="7169" width="9.125" style="1746" bestFit="1" customWidth="1"/>
    <col min="7170" max="7170" width="8.625" style="1746" bestFit="1" customWidth="1"/>
    <col min="7171" max="7171" width="2.5" style="1746" customWidth="1"/>
    <col min="7172" max="7417" width="15.125" style="1746"/>
    <col min="7418" max="7418" width="28.75" style="1746" customWidth="1"/>
    <col min="7419" max="7419" width="9.625" style="1746" bestFit="1" customWidth="1"/>
    <col min="7420" max="7420" width="8" style="1746" customWidth="1"/>
    <col min="7421" max="7421" width="9.125" style="1746" bestFit="1" customWidth="1"/>
    <col min="7422" max="7422" width="9.25" style="1746" bestFit="1" customWidth="1"/>
    <col min="7423" max="7423" width="9.75" style="1746" bestFit="1" customWidth="1"/>
    <col min="7424" max="7425" width="9.125" style="1746" bestFit="1" customWidth="1"/>
    <col min="7426" max="7426" width="8.625" style="1746" bestFit="1" customWidth="1"/>
    <col min="7427" max="7427" width="2.5" style="1746" customWidth="1"/>
    <col min="7428" max="7673" width="15.125" style="1746"/>
    <col min="7674" max="7674" width="28.75" style="1746" customWidth="1"/>
    <col min="7675" max="7675" width="9.625" style="1746" bestFit="1" customWidth="1"/>
    <col min="7676" max="7676" width="8" style="1746" customWidth="1"/>
    <col min="7677" max="7677" width="9.125" style="1746" bestFit="1" customWidth="1"/>
    <col min="7678" max="7678" width="9.25" style="1746" bestFit="1" customWidth="1"/>
    <col min="7679" max="7679" width="9.75" style="1746" bestFit="1" customWidth="1"/>
    <col min="7680" max="7681" width="9.125" style="1746" bestFit="1" customWidth="1"/>
    <col min="7682" max="7682" width="8.625" style="1746" bestFit="1" customWidth="1"/>
    <col min="7683" max="7683" width="2.5" style="1746" customWidth="1"/>
    <col min="7684" max="7929" width="15.125" style="1746"/>
    <col min="7930" max="7930" width="28.75" style="1746" customWidth="1"/>
    <col min="7931" max="7931" width="9.625" style="1746" bestFit="1" customWidth="1"/>
    <col min="7932" max="7932" width="8" style="1746" customWidth="1"/>
    <col min="7933" max="7933" width="9.125" style="1746" bestFit="1" customWidth="1"/>
    <col min="7934" max="7934" width="9.25" style="1746" bestFit="1" customWidth="1"/>
    <col min="7935" max="7935" width="9.75" style="1746" bestFit="1" customWidth="1"/>
    <col min="7936" max="7937" width="9.125" style="1746" bestFit="1" customWidth="1"/>
    <col min="7938" max="7938" width="8.625" style="1746" bestFit="1" customWidth="1"/>
    <col min="7939" max="7939" width="2.5" style="1746" customWidth="1"/>
    <col min="7940" max="8185" width="15.125" style="1746"/>
    <col min="8186" max="8186" width="28.75" style="1746" customWidth="1"/>
    <col min="8187" max="8187" width="9.625" style="1746" bestFit="1" customWidth="1"/>
    <col min="8188" max="8188" width="8" style="1746" customWidth="1"/>
    <col min="8189" max="8189" width="9.125" style="1746" bestFit="1" customWidth="1"/>
    <col min="8190" max="8190" width="9.25" style="1746" bestFit="1" customWidth="1"/>
    <col min="8191" max="8191" width="9.75" style="1746" bestFit="1" customWidth="1"/>
    <col min="8192" max="8193" width="9.125" style="1746" bestFit="1" customWidth="1"/>
    <col min="8194" max="8194" width="8.625" style="1746" bestFit="1" customWidth="1"/>
    <col min="8195" max="8195" width="2.5" style="1746" customWidth="1"/>
    <col min="8196" max="8441" width="15.125" style="1746"/>
    <col min="8442" max="8442" width="28.75" style="1746" customWidth="1"/>
    <col min="8443" max="8443" width="9.625" style="1746" bestFit="1" customWidth="1"/>
    <col min="8444" max="8444" width="8" style="1746" customWidth="1"/>
    <col min="8445" max="8445" width="9.125" style="1746" bestFit="1" customWidth="1"/>
    <col min="8446" max="8446" width="9.25" style="1746" bestFit="1" customWidth="1"/>
    <col min="8447" max="8447" width="9.75" style="1746" bestFit="1" customWidth="1"/>
    <col min="8448" max="8449" width="9.125" style="1746" bestFit="1" customWidth="1"/>
    <col min="8450" max="8450" width="8.625" style="1746" bestFit="1" customWidth="1"/>
    <col min="8451" max="8451" width="2.5" style="1746" customWidth="1"/>
    <col min="8452" max="8697" width="15.125" style="1746"/>
    <col min="8698" max="8698" width="28.75" style="1746" customWidth="1"/>
    <col min="8699" max="8699" width="9.625" style="1746" bestFit="1" customWidth="1"/>
    <col min="8700" max="8700" width="8" style="1746" customWidth="1"/>
    <col min="8701" max="8701" width="9.125" style="1746" bestFit="1" customWidth="1"/>
    <col min="8702" max="8702" width="9.25" style="1746" bestFit="1" customWidth="1"/>
    <col min="8703" max="8703" width="9.75" style="1746" bestFit="1" customWidth="1"/>
    <col min="8704" max="8705" width="9.125" style="1746" bestFit="1" customWidth="1"/>
    <col min="8706" max="8706" width="8.625" style="1746" bestFit="1" customWidth="1"/>
    <col min="8707" max="8707" width="2.5" style="1746" customWidth="1"/>
    <col min="8708" max="8953" width="15.125" style="1746"/>
    <col min="8954" max="8954" width="28.75" style="1746" customWidth="1"/>
    <col min="8955" max="8955" width="9.625" style="1746" bestFit="1" customWidth="1"/>
    <col min="8956" max="8956" width="8" style="1746" customWidth="1"/>
    <col min="8957" max="8957" width="9.125" style="1746" bestFit="1" customWidth="1"/>
    <col min="8958" max="8958" width="9.25" style="1746" bestFit="1" customWidth="1"/>
    <col min="8959" max="8959" width="9.75" style="1746" bestFit="1" customWidth="1"/>
    <col min="8960" max="8961" width="9.125" style="1746" bestFit="1" customWidth="1"/>
    <col min="8962" max="8962" width="8.625" style="1746" bestFit="1" customWidth="1"/>
    <col min="8963" max="8963" width="2.5" style="1746" customWidth="1"/>
    <col min="8964" max="9209" width="15.125" style="1746"/>
    <col min="9210" max="9210" width="28.75" style="1746" customWidth="1"/>
    <col min="9211" max="9211" width="9.625" style="1746" bestFit="1" customWidth="1"/>
    <col min="9212" max="9212" width="8" style="1746" customWidth="1"/>
    <col min="9213" max="9213" width="9.125" style="1746" bestFit="1" customWidth="1"/>
    <col min="9214" max="9214" width="9.25" style="1746" bestFit="1" customWidth="1"/>
    <col min="9215" max="9215" width="9.75" style="1746" bestFit="1" customWidth="1"/>
    <col min="9216" max="9217" width="9.125" style="1746" bestFit="1" customWidth="1"/>
    <col min="9218" max="9218" width="8.625" style="1746" bestFit="1" customWidth="1"/>
    <col min="9219" max="9219" width="2.5" style="1746" customWidth="1"/>
    <col min="9220" max="9465" width="15.125" style="1746"/>
    <col min="9466" max="9466" width="28.75" style="1746" customWidth="1"/>
    <col min="9467" max="9467" width="9.625" style="1746" bestFit="1" customWidth="1"/>
    <col min="9468" max="9468" width="8" style="1746" customWidth="1"/>
    <col min="9469" max="9469" width="9.125" style="1746" bestFit="1" customWidth="1"/>
    <col min="9470" max="9470" width="9.25" style="1746" bestFit="1" customWidth="1"/>
    <col min="9471" max="9471" width="9.75" style="1746" bestFit="1" customWidth="1"/>
    <col min="9472" max="9473" width="9.125" style="1746" bestFit="1" customWidth="1"/>
    <col min="9474" max="9474" width="8.625" style="1746" bestFit="1" customWidth="1"/>
    <col min="9475" max="9475" width="2.5" style="1746" customWidth="1"/>
    <col min="9476" max="9721" width="15.125" style="1746"/>
    <col min="9722" max="9722" width="28.75" style="1746" customWidth="1"/>
    <col min="9723" max="9723" width="9.625" style="1746" bestFit="1" customWidth="1"/>
    <col min="9724" max="9724" width="8" style="1746" customWidth="1"/>
    <col min="9725" max="9725" width="9.125" style="1746" bestFit="1" customWidth="1"/>
    <col min="9726" max="9726" width="9.25" style="1746" bestFit="1" customWidth="1"/>
    <col min="9727" max="9727" width="9.75" style="1746" bestFit="1" customWidth="1"/>
    <col min="9728" max="9729" width="9.125" style="1746" bestFit="1" customWidth="1"/>
    <col min="9730" max="9730" width="8.625" style="1746" bestFit="1" customWidth="1"/>
    <col min="9731" max="9731" width="2.5" style="1746" customWidth="1"/>
    <col min="9732" max="9977" width="15.125" style="1746"/>
    <col min="9978" max="9978" width="28.75" style="1746" customWidth="1"/>
    <col min="9979" max="9979" width="9.625" style="1746" bestFit="1" customWidth="1"/>
    <col min="9980" max="9980" width="8" style="1746" customWidth="1"/>
    <col min="9981" max="9981" width="9.125" style="1746" bestFit="1" customWidth="1"/>
    <col min="9982" max="9982" width="9.25" style="1746" bestFit="1" customWidth="1"/>
    <col min="9983" max="9983" width="9.75" style="1746" bestFit="1" customWidth="1"/>
    <col min="9984" max="9985" width="9.125" style="1746" bestFit="1" customWidth="1"/>
    <col min="9986" max="9986" width="8.625" style="1746" bestFit="1" customWidth="1"/>
    <col min="9987" max="9987" width="2.5" style="1746" customWidth="1"/>
    <col min="9988" max="10233" width="15.125" style="1746"/>
    <col min="10234" max="10234" width="28.75" style="1746" customWidth="1"/>
    <col min="10235" max="10235" width="9.625" style="1746" bestFit="1" customWidth="1"/>
    <col min="10236" max="10236" width="8" style="1746" customWidth="1"/>
    <col min="10237" max="10237" width="9.125" style="1746" bestFit="1" customWidth="1"/>
    <col min="10238" max="10238" width="9.25" style="1746" bestFit="1" customWidth="1"/>
    <col min="10239" max="10239" width="9.75" style="1746" bestFit="1" customWidth="1"/>
    <col min="10240" max="10241" width="9.125" style="1746" bestFit="1" customWidth="1"/>
    <col min="10242" max="10242" width="8.625" style="1746" bestFit="1" customWidth="1"/>
    <col min="10243" max="10243" width="2.5" style="1746" customWidth="1"/>
    <col min="10244" max="10489" width="15.125" style="1746"/>
    <col min="10490" max="10490" width="28.75" style="1746" customWidth="1"/>
    <col min="10491" max="10491" width="9.625" style="1746" bestFit="1" customWidth="1"/>
    <col min="10492" max="10492" width="8" style="1746" customWidth="1"/>
    <col min="10493" max="10493" width="9.125" style="1746" bestFit="1" customWidth="1"/>
    <col min="10494" max="10494" width="9.25" style="1746" bestFit="1" customWidth="1"/>
    <col min="10495" max="10495" width="9.75" style="1746" bestFit="1" customWidth="1"/>
    <col min="10496" max="10497" width="9.125" style="1746" bestFit="1" customWidth="1"/>
    <col min="10498" max="10498" width="8.625" style="1746" bestFit="1" customWidth="1"/>
    <col min="10499" max="10499" width="2.5" style="1746" customWidth="1"/>
    <col min="10500" max="10745" width="15.125" style="1746"/>
    <col min="10746" max="10746" width="28.75" style="1746" customWidth="1"/>
    <col min="10747" max="10747" width="9.625" style="1746" bestFit="1" customWidth="1"/>
    <col min="10748" max="10748" width="8" style="1746" customWidth="1"/>
    <col min="10749" max="10749" width="9.125" style="1746" bestFit="1" customWidth="1"/>
    <col min="10750" max="10750" width="9.25" style="1746" bestFit="1" customWidth="1"/>
    <col min="10751" max="10751" width="9.75" style="1746" bestFit="1" customWidth="1"/>
    <col min="10752" max="10753" width="9.125" style="1746" bestFit="1" customWidth="1"/>
    <col min="10754" max="10754" width="8.625" style="1746" bestFit="1" customWidth="1"/>
    <col min="10755" max="10755" width="2.5" style="1746" customWidth="1"/>
    <col min="10756" max="11001" width="15.125" style="1746"/>
    <col min="11002" max="11002" width="28.75" style="1746" customWidth="1"/>
    <col min="11003" max="11003" width="9.625" style="1746" bestFit="1" customWidth="1"/>
    <col min="11004" max="11004" width="8" style="1746" customWidth="1"/>
    <col min="11005" max="11005" width="9.125" style="1746" bestFit="1" customWidth="1"/>
    <col min="11006" max="11006" width="9.25" style="1746" bestFit="1" customWidth="1"/>
    <col min="11007" max="11007" width="9.75" style="1746" bestFit="1" customWidth="1"/>
    <col min="11008" max="11009" width="9.125" style="1746" bestFit="1" customWidth="1"/>
    <col min="11010" max="11010" width="8.625" style="1746" bestFit="1" customWidth="1"/>
    <col min="11011" max="11011" width="2.5" style="1746" customWidth="1"/>
    <col min="11012" max="11257" width="15.125" style="1746"/>
    <col min="11258" max="11258" width="28.75" style="1746" customWidth="1"/>
    <col min="11259" max="11259" width="9.625" style="1746" bestFit="1" customWidth="1"/>
    <col min="11260" max="11260" width="8" style="1746" customWidth="1"/>
    <col min="11261" max="11261" width="9.125" style="1746" bestFit="1" customWidth="1"/>
    <col min="11262" max="11262" width="9.25" style="1746" bestFit="1" customWidth="1"/>
    <col min="11263" max="11263" width="9.75" style="1746" bestFit="1" customWidth="1"/>
    <col min="11264" max="11265" width="9.125" style="1746" bestFit="1" customWidth="1"/>
    <col min="11266" max="11266" width="8.625" style="1746" bestFit="1" customWidth="1"/>
    <col min="11267" max="11267" width="2.5" style="1746" customWidth="1"/>
    <col min="11268" max="11513" width="15.125" style="1746"/>
    <col min="11514" max="11514" width="28.75" style="1746" customWidth="1"/>
    <col min="11515" max="11515" width="9.625" style="1746" bestFit="1" customWidth="1"/>
    <col min="11516" max="11516" width="8" style="1746" customWidth="1"/>
    <col min="11517" max="11517" width="9.125" style="1746" bestFit="1" customWidth="1"/>
    <col min="11518" max="11518" width="9.25" style="1746" bestFit="1" customWidth="1"/>
    <col min="11519" max="11519" width="9.75" style="1746" bestFit="1" customWidth="1"/>
    <col min="11520" max="11521" width="9.125" style="1746" bestFit="1" customWidth="1"/>
    <col min="11522" max="11522" width="8.625" style="1746" bestFit="1" customWidth="1"/>
    <col min="11523" max="11523" width="2.5" style="1746" customWidth="1"/>
    <col min="11524" max="11769" width="15.125" style="1746"/>
    <col min="11770" max="11770" width="28.75" style="1746" customWidth="1"/>
    <col min="11771" max="11771" width="9.625" style="1746" bestFit="1" customWidth="1"/>
    <col min="11772" max="11772" width="8" style="1746" customWidth="1"/>
    <col min="11773" max="11773" width="9.125" style="1746" bestFit="1" customWidth="1"/>
    <col min="11774" max="11774" width="9.25" style="1746" bestFit="1" customWidth="1"/>
    <col min="11775" max="11775" width="9.75" style="1746" bestFit="1" customWidth="1"/>
    <col min="11776" max="11777" width="9.125" style="1746" bestFit="1" customWidth="1"/>
    <col min="11778" max="11778" width="8.625" style="1746" bestFit="1" customWidth="1"/>
    <col min="11779" max="11779" width="2.5" style="1746" customWidth="1"/>
    <col min="11780" max="12025" width="15.125" style="1746"/>
    <col min="12026" max="12026" width="28.75" style="1746" customWidth="1"/>
    <col min="12027" max="12027" width="9.625" style="1746" bestFit="1" customWidth="1"/>
    <col min="12028" max="12028" width="8" style="1746" customWidth="1"/>
    <col min="12029" max="12029" width="9.125" style="1746" bestFit="1" customWidth="1"/>
    <col min="12030" max="12030" width="9.25" style="1746" bestFit="1" customWidth="1"/>
    <col min="12031" max="12031" width="9.75" style="1746" bestFit="1" customWidth="1"/>
    <col min="12032" max="12033" width="9.125" style="1746" bestFit="1" customWidth="1"/>
    <col min="12034" max="12034" width="8.625" style="1746" bestFit="1" customWidth="1"/>
    <col min="12035" max="12035" width="2.5" style="1746" customWidth="1"/>
    <col min="12036" max="12281" width="15.125" style="1746"/>
    <col min="12282" max="12282" width="28.75" style="1746" customWidth="1"/>
    <col min="12283" max="12283" width="9.625" style="1746" bestFit="1" customWidth="1"/>
    <col min="12284" max="12284" width="8" style="1746" customWidth="1"/>
    <col min="12285" max="12285" width="9.125" style="1746" bestFit="1" customWidth="1"/>
    <col min="12286" max="12286" width="9.25" style="1746" bestFit="1" customWidth="1"/>
    <col min="12287" max="12287" width="9.75" style="1746" bestFit="1" customWidth="1"/>
    <col min="12288" max="12289" width="9.125" style="1746" bestFit="1" customWidth="1"/>
    <col min="12290" max="12290" width="8.625" style="1746" bestFit="1" customWidth="1"/>
    <col min="12291" max="12291" width="2.5" style="1746" customWidth="1"/>
    <col min="12292" max="12537" width="15.125" style="1746"/>
    <col min="12538" max="12538" width="28.75" style="1746" customWidth="1"/>
    <col min="12539" max="12539" width="9.625" style="1746" bestFit="1" customWidth="1"/>
    <col min="12540" max="12540" width="8" style="1746" customWidth="1"/>
    <col min="12541" max="12541" width="9.125" style="1746" bestFit="1" customWidth="1"/>
    <col min="12542" max="12542" width="9.25" style="1746" bestFit="1" customWidth="1"/>
    <col min="12543" max="12543" width="9.75" style="1746" bestFit="1" customWidth="1"/>
    <col min="12544" max="12545" width="9.125" style="1746" bestFit="1" customWidth="1"/>
    <col min="12546" max="12546" width="8.625" style="1746" bestFit="1" customWidth="1"/>
    <col min="12547" max="12547" width="2.5" style="1746" customWidth="1"/>
    <col min="12548" max="12793" width="15.125" style="1746"/>
    <col min="12794" max="12794" width="28.75" style="1746" customWidth="1"/>
    <col min="12795" max="12795" width="9.625" style="1746" bestFit="1" customWidth="1"/>
    <col min="12796" max="12796" width="8" style="1746" customWidth="1"/>
    <col min="12797" max="12797" width="9.125" style="1746" bestFit="1" customWidth="1"/>
    <col min="12798" max="12798" width="9.25" style="1746" bestFit="1" customWidth="1"/>
    <col min="12799" max="12799" width="9.75" style="1746" bestFit="1" customWidth="1"/>
    <col min="12800" max="12801" width="9.125" style="1746" bestFit="1" customWidth="1"/>
    <col min="12802" max="12802" width="8.625" style="1746" bestFit="1" customWidth="1"/>
    <col min="12803" max="12803" width="2.5" style="1746" customWidth="1"/>
    <col min="12804" max="13049" width="15.125" style="1746"/>
    <col min="13050" max="13050" width="28.75" style="1746" customWidth="1"/>
    <col min="13051" max="13051" width="9.625" style="1746" bestFit="1" customWidth="1"/>
    <col min="13052" max="13052" width="8" style="1746" customWidth="1"/>
    <col min="13053" max="13053" width="9.125" style="1746" bestFit="1" customWidth="1"/>
    <col min="13054" max="13054" width="9.25" style="1746" bestFit="1" customWidth="1"/>
    <col min="13055" max="13055" width="9.75" style="1746" bestFit="1" customWidth="1"/>
    <col min="13056" max="13057" width="9.125" style="1746" bestFit="1" customWidth="1"/>
    <col min="13058" max="13058" width="8.625" style="1746" bestFit="1" customWidth="1"/>
    <col min="13059" max="13059" width="2.5" style="1746" customWidth="1"/>
    <col min="13060" max="13305" width="15.125" style="1746"/>
    <col min="13306" max="13306" width="28.75" style="1746" customWidth="1"/>
    <col min="13307" max="13307" width="9.625" style="1746" bestFit="1" customWidth="1"/>
    <col min="13308" max="13308" width="8" style="1746" customWidth="1"/>
    <col min="13309" max="13309" width="9.125" style="1746" bestFit="1" customWidth="1"/>
    <col min="13310" max="13310" width="9.25" style="1746" bestFit="1" customWidth="1"/>
    <col min="13311" max="13311" width="9.75" style="1746" bestFit="1" customWidth="1"/>
    <col min="13312" max="13313" width="9.125" style="1746" bestFit="1" customWidth="1"/>
    <col min="13314" max="13314" width="8.625" style="1746" bestFit="1" customWidth="1"/>
    <col min="13315" max="13315" width="2.5" style="1746" customWidth="1"/>
    <col min="13316" max="13561" width="15.125" style="1746"/>
    <col min="13562" max="13562" width="28.75" style="1746" customWidth="1"/>
    <col min="13563" max="13563" width="9.625" style="1746" bestFit="1" customWidth="1"/>
    <col min="13564" max="13564" width="8" style="1746" customWidth="1"/>
    <col min="13565" max="13565" width="9.125" style="1746" bestFit="1" customWidth="1"/>
    <col min="13566" max="13566" width="9.25" style="1746" bestFit="1" customWidth="1"/>
    <col min="13567" max="13567" width="9.75" style="1746" bestFit="1" customWidth="1"/>
    <col min="13568" max="13569" width="9.125" style="1746" bestFit="1" customWidth="1"/>
    <col min="13570" max="13570" width="8.625" style="1746" bestFit="1" customWidth="1"/>
    <col min="13571" max="13571" width="2.5" style="1746" customWidth="1"/>
    <col min="13572" max="13817" width="15.125" style="1746"/>
    <col min="13818" max="13818" width="28.75" style="1746" customWidth="1"/>
    <col min="13819" max="13819" width="9.625" style="1746" bestFit="1" customWidth="1"/>
    <col min="13820" max="13820" width="8" style="1746" customWidth="1"/>
    <col min="13821" max="13821" width="9.125" style="1746" bestFit="1" customWidth="1"/>
    <col min="13822" max="13822" width="9.25" style="1746" bestFit="1" customWidth="1"/>
    <col min="13823" max="13823" width="9.75" style="1746" bestFit="1" customWidth="1"/>
    <col min="13824" max="13825" width="9.125" style="1746" bestFit="1" customWidth="1"/>
    <col min="13826" max="13826" width="8.625" style="1746" bestFit="1" customWidth="1"/>
    <col min="13827" max="13827" width="2.5" style="1746" customWidth="1"/>
    <col min="13828" max="14073" width="15.125" style="1746"/>
    <col min="14074" max="14074" width="28.75" style="1746" customWidth="1"/>
    <col min="14075" max="14075" width="9.625" style="1746" bestFit="1" customWidth="1"/>
    <col min="14076" max="14076" width="8" style="1746" customWidth="1"/>
    <col min="14077" max="14077" width="9.125" style="1746" bestFit="1" customWidth="1"/>
    <col min="14078" max="14078" width="9.25" style="1746" bestFit="1" customWidth="1"/>
    <col min="14079" max="14079" width="9.75" style="1746" bestFit="1" customWidth="1"/>
    <col min="14080" max="14081" width="9.125" style="1746" bestFit="1" customWidth="1"/>
    <col min="14082" max="14082" width="8.625" style="1746" bestFit="1" customWidth="1"/>
    <col min="14083" max="14083" width="2.5" style="1746" customWidth="1"/>
    <col min="14084" max="14329" width="15.125" style="1746"/>
    <col min="14330" max="14330" width="28.75" style="1746" customWidth="1"/>
    <col min="14331" max="14331" width="9.625" style="1746" bestFit="1" customWidth="1"/>
    <col min="14332" max="14332" width="8" style="1746" customWidth="1"/>
    <col min="14333" max="14333" width="9.125" style="1746" bestFit="1" customWidth="1"/>
    <col min="14334" max="14334" width="9.25" style="1746" bestFit="1" customWidth="1"/>
    <col min="14335" max="14335" width="9.75" style="1746" bestFit="1" customWidth="1"/>
    <col min="14336" max="14337" width="9.125" style="1746" bestFit="1" customWidth="1"/>
    <col min="14338" max="14338" width="8.625" style="1746" bestFit="1" customWidth="1"/>
    <col min="14339" max="14339" width="2.5" style="1746" customWidth="1"/>
    <col min="14340" max="14585" width="15.125" style="1746"/>
    <col min="14586" max="14586" width="28.75" style="1746" customWidth="1"/>
    <col min="14587" max="14587" width="9.625" style="1746" bestFit="1" customWidth="1"/>
    <col min="14588" max="14588" width="8" style="1746" customWidth="1"/>
    <col min="14589" max="14589" width="9.125" style="1746" bestFit="1" customWidth="1"/>
    <col min="14590" max="14590" width="9.25" style="1746" bestFit="1" customWidth="1"/>
    <col min="14591" max="14591" width="9.75" style="1746" bestFit="1" customWidth="1"/>
    <col min="14592" max="14593" width="9.125" style="1746" bestFit="1" customWidth="1"/>
    <col min="14594" max="14594" width="8.625" style="1746" bestFit="1" customWidth="1"/>
    <col min="14595" max="14595" width="2.5" style="1746" customWidth="1"/>
    <col min="14596" max="14841" width="15.125" style="1746"/>
    <col min="14842" max="14842" width="28.75" style="1746" customWidth="1"/>
    <col min="14843" max="14843" width="9.625" style="1746" bestFit="1" customWidth="1"/>
    <col min="14844" max="14844" width="8" style="1746" customWidth="1"/>
    <col min="14845" max="14845" width="9.125" style="1746" bestFit="1" customWidth="1"/>
    <col min="14846" max="14846" width="9.25" style="1746" bestFit="1" customWidth="1"/>
    <col min="14847" max="14847" width="9.75" style="1746" bestFit="1" customWidth="1"/>
    <col min="14848" max="14849" width="9.125" style="1746" bestFit="1" customWidth="1"/>
    <col min="14850" max="14850" width="8.625" style="1746" bestFit="1" customWidth="1"/>
    <col min="14851" max="14851" width="2.5" style="1746" customWidth="1"/>
    <col min="14852" max="15097" width="15.125" style="1746"/>
    <col min="15098" max="15098" width="28.75" style="1746" customWidth="1"/>
    <col min="15099" max="15099" width="9.625" style="1746" bestFit="1" customWidth="1"/>
    <col min="15100" max="15100" width="8" style="1746" customWidth="1"/>
    <col min="15101" max="15101" width="9.125" style="1746" bestFit="1" customWidth="1"/>
    <col min="15102" max="15102" width="9.25" style="1746" bestFit="1" customWidth="1"/>
    <col min="15103" max="15103" width="9.75" style="1746" bestFit="1" customWidth="1"/>
    <col min="15104" max="15105" width="9.125" style="1746" bestFit="1" customWidth="1"/>
    <col min="15106" max="15106" width="8.625" style="1746" bestFit="1" customWidth="1"/>
    <col min="15107" max="15107" width="2.5" style="1746" customWidth="1"/>
    <col min="15108" max="15353" width="15.125" style="1746"/>
    <col min="15354" max="15354" width="28.75" style="1746" customWidth="1"/>
    <col min="15355" max="15355" width="9.625" style="1746" bestFit="1" customWidth="1"/>
    <col min="15356" max="15356" width="8" style="1746" customWidth="1"/>
    <col min="15357" max="15357" width="9.125" style="1746" bestFit="1" customWidth="1"/>
    <col min="15358" max="15358" width="9.25" style="1746" bestFit="1" customWidth="1"/>
    <col min="15359" max="15359" width="9.75" style="1746" bestFit="1" customWidth="1"/>
    <col min="15360" max="15361" width="9.125" style="1746" bestFit="1" customWidth="1"/>
    <col min="15362" max="15362" width="8.625" style="1746" bestFit="1" customWidth="1"/>
    <col min="15363" max="15363" width="2.5" style="1746" customWidth="1"/>
    <col min="15364" max="15609" width="15.125" style="1746"/>
    <col min="15610" max="15610" width="28.75" style="1746" customWidth="1"/>
    <col min="15611" max="15611" width="9.625" style="1746" bestFit="1" customWidth="1"/>
    <col min="15612" max="15612" width="8" style="1746" customWidth="1"/>
    <col min="15613" max="15613" width="9.125" style="1746" bestFit="1" customWidth="1"/>
    <col min="15614" max="15614" width="9.25" style="1746" bestFit="1" customWidth="1"/>
    <col min="15615" max="15615" width="9.75" style="1746" bestFit="1" customWidth="1"/>
    <col min="15616" max="15617" width="9.125" style="1746" bestFit="1" customWidth="1"/>
    <col min="15618" max="15618" width="8.625" style="1746" bestFit="1" customWidth="1"/>
    <col min="15619" max="15619" width="2.5" style="1746" customWidth="1"/>
    <col min="15620" max="15865" width="15.125" style="1746"/>
    <col min="15866" max="15866" width="28.75" style="1746" customWidth="1"/>
    <col min="15867" max="15867" width="9.625" style="1746" bestFit="1" customWidth="1"/>
    <col min="15868" max="15868" width="8" style="1746" customWidth="1"/>
    <col min="15869" max="15869" width="9.125" style="1746" bestFit="1" customWidth="1"/>
    <col min="15870" max="15870" width="9.25" style="1746" bestFit="1" customWidth="1"/>
    <col min="15871" max="15871" width="9.75" style="1746" bestFit="1" customWidth="1"/>
    <col min="15872" max="15873" width="9.125" style="1746" bestFit="1" customWidth="1"/>
    <col min="15874" max="15874" width="8.625" style="1746" bestFit="1" customWidth="1"/>
    <col min="15875" max="15875" width="2.5" style="1746" customWidth="1"/>
    <col min="15876" max="16121" width="15.125" style="1746"/>
    <col min="16122" max="16122" width="28.75" style="1746" customWidth="1"/>
    <col min="16123" max="16123" width="9.625" style="1746" bestFit="1" customWidth="1"/>
    <col min="16124" max="16124" width="8" style="1746" customWidth="1"/>
    <col min="16125" max="16125" width="9.125" style="1746" bestFit="1" customWidth="1"/>
    <col min="16126" max="16126" width="9.25" style="1746" bestFit="1" customWidth="1"/>
    <col min="16127" max="16127" width="9.75" style="1746" bestFit="1" customWidth="1"/>
    <col min="16128" max="16129" width="9.125" style="1746" bestFit="1" customWidth="1"/>
    <col min="16130" max="16130" width="8.625" style="1746" bestFit="1" customWidth="1"/>
    <col min="16131" max="16131" width="2.5" style="1746" customWidth="1"/>
    <col min="16132" max="16384" width="15.125" style="1746"/>
  </cols>
  <sheetData>
    <row r="1" spans="1:9" ht="41.45" customHeight="1">
      <c r="A1" s="2703"/>
      <c r="B1" s="2703"/>
      <c r="C1" s="2703"/>
      <c r="D1" s="2703"/>
      <c r="E1" s="2703"/>
      <c r="F1" s="2703"/>
      <c r="G1" s="2703"/>
      <c r="H1" s="2703"/>
      <c r="I1" s="2703"/>
    </row>
    <row r="2" spans="1:9" s="1767" customFormat="1">
      <c r="A2" s="2704" t="s">
        <v>297</v>
      </c>
      <c r="B2" s="2704"/>
      <c r="C2" s="2704"/>
      <c r="D2" s="2704"/>
      <c r="E2" s="2704"/>
      <c r="F2" s="2704"/>
      <c r="G2" s="2704"/>
      <c r="H2" s="2704"/>
      <c r="I2" s="2704"/>
    </row>
    <row r="3" spans="1:9" s="1747" customFormat="1" ht="15.75">
      <c r="A3" s="2705" t="s">
        <v>1171</v>
      </c>
      <c r="B3" s="2705"/>
      <c r="C3" s="2705"/>
      <c r="D3" s="2705"/>
      <c r="E3" s="2705"/>
      <c r="F3" s="2705"/>
      <c r="G3" s="2705"/>
      <c r="H3" s="2705"/>
      <c r="I3" s="2705"/>
    </row>
    <row r="4" spans="1:9" s="1747" customFormat="1">
      <c r="A4" s="2705" t="s">
        <v>1687</v>
      </c>
      <c r="B4" s="2705"/>
      <c r="C4" s="2705"/>
      <c r="D4" s="2705"/>
      <c r="E4" s="2705"/>
      <c r="F4" s="2705"/>
      <c r="G4" s="2705"/>
      <c r="H4" s="2705"/>
      <c r="I4" s="2705"/>
    </row>
    <row r="5" spans="1:9" s="1747" customFormat="1">
      <c r="A5" s="1878"/>
      <c r="B5" s="1878"/>
      <c r="C5" s="1878"/>
      <c r="D5" s="1878"/>
      <c r="E5" s="1878"/>
      <c r="F5" s="1878"/>
      <c r="G5" s="1878"/>
      <c r="I5" s="1878"/>
    </row>
    <row r="6" spans="1:9" s="1767" customFormat="1" ht="15.75">
      <c r="A6" s="1877"/>
      <c r="B6" s="2706" t="s">
        <v>592</v>
      </c>
      <c r="C6" s="2707"/>
      <c r="D6" s="2707"/>
      <c r="E6" s="2707"/>
      <c r="F6" s="2708"/>
      <c r="G6" s="1876"/>
      <c r="H6" s="2709" t="s">
        <v>77</v>
      </c>
      <c r="I6" s="2710"/>
    </row>
    <row r="7" spans="1:9" s="1767" customFormat="1" ht="15.75">
      <c r="A7" s="1875" t="s">
        <v>485</v>
      </c>
      <c r="B7" s="1829" t="s">
        <v>1686</v>
      </c>
      <c r="C7" s="1829" t="s">
        <v>1685</v>
      </c>
      <c r="D7" s="1829" t="s">
        <v>1684</v>
      </c>
      <c r="E7" s="1829" t="s">
        <v>1683</v>
      </c>
      <c r="F7" s="1828" t="s">
        <v>465</v>
      </c>
      <c r="G7" s="1827" t="s">
        <v>1591</v>
      </c>
      <c r="H7" s="1826" t="s">
        <v>464</v>
      </c>
      <c r="I7" s="1825"/>
    </row>
    <row r="8" spans="1:9" s="1767" customFormat="1" ht="13.5" thickBot="1">
      <c r="A8" s="1874" t="s">
        <v>310</v>
      </c>
      <c r="B8" s="1824" t="s">
        <v>311</v>
      </c>
      <c r="C8" s="1823" t="s">
        <v>484</v>
      </c>
      <c r="D8" s="1820" t="s">
        <v>311</v>
      </c>
      <c r="E8" s="1821" t="s">
        <v>483</v>
      </c>
      <c r="F8" s="1820" t="s">
        <v>1616</v>
      </c>
      <c r="G8" s="1820" t="s">
        <v>1616</v>
      </c>
      <c r="H8" s="1819" t="s">
        <v>315</v>
      </c>
      <c r="I8" s="1818" t="s">
        <v>316</v>
      </c>
    </row>
    <row r="9" spans="1:9" s="1767" customFormat="1" ht="13.5" thickTop="1">
      <c r="A9" s="1873" t="s">
        <v>2</v>
      </c>
      <c r="B9" s="1841" t="s">
        <v>451</v>
      </c>
      <c r="C9" s="1810">
        <v>48667</v>
      </c>
      <c r="D9" s="1872">
        <v>47604.3</v>
      </c>
      <c r="E9" s="1872">
        <v>44996.200000000004</v>
      </c>
      <c r="F9" s="1872">
        <v>47089.166666666664</v>
      </c>
      <c r="G9" s="1871">
        <v>37162</v>
      </c>
      <c r="H9" s="1870">
        <v>9927.1666666666642</v>
      </c>
      <c r="I9" s="1869">
        <v>0.26713219597079446</v>
      </c>
    </row>
    <row r="10" spans="1:9" s="1779" customFormat="1">
      <c r="A10" s="1868" t="s">
        <v>1159</v>
      </c>
      <c r="B10" s="1841" t="s">
        <v>451</v>
      </c>
      <c r="C10" s="1867">
        <v>39855.800000000003</v>
      </c>
      <c r="D10" s="1867">
        <v>38904.1</v>
      </c>
      <c r="E10" s="1867">
        <v>36711.800000000003</v>
      </c>
      <c r="F10" s="1867">
        <v>38490.566666666666</v>
      </c>
      <c r="G10" s="1866">
        <v>32703</v>
      </c>
      <c r="H10" s="1782">
        <v>5787.5666666666657</v>
      </c>
      <c r="I10" s="1855"/>
    </row>
    <row r="11" spans="1:9" s="1779" customFormat="1">
      <c r="A11" s="1868" t="s">
        <v>479</v>
      </c>
      <c r="B11" s="1841" t="s">
        <v>451</v>
      </c>
      <c r="C11" s="1867">
        <v>4623.5</v>
      </c>
      <c r="D11" s="1867">
        <v>4518.3999999999996</v>
      </c>
      <c r="E11" s="1867">
        <v>4348.8</v>
      </c>
      <c r="F11" s="1867">
        <v>4496.9000000000005</v>
      </c>
      <c r="G11" s="1866">
        <v>2045</v>
      </c>
      <c r="H11" s="1782">
        <v>2451.9000000000005</v>
      </c>
      <c r="I11" s="1855"/>
    </row>
    <row r="12" spans="1:9" s="1779" customFormat="1">
      <c r="A12" s="1868" t="s">
        <v>478</v>
      </c>
      <c r="B12" s="1841" t="s">
        <v>451</v>
      </c>
      <c r="C12" s="1867">
        <v>4187.7</v>
      </c>
      <c r="D12" s="1867">
        <v>4181.8</v>
      </c>
      <c r="E12" s="1867">
        <v>3935.6</v>
      </c>
      <c r="F12" s="1867">
        <v>4101.7</v>
      </c>
      <c r="G12" s="1866">
        <v>2414</v>
      </c>
      <c r="H12" s="1782">
        <v>1687.6999999999998</v>
      </c>
      <c r="I12" s="1855"/>
    </row>
    <row r="13" spans="1:9" s="1767" customFormat="1">
      <c r="A13" s="1842" t="s">
        <v>590</v>
      </c>
      <c r="B13" s="1841" t="s">
        <v>451</v>
      </c>
      <c r="C13" s="1865">
        <v>27315.1</v>
      </c>
      <c r="D13" s="1864">
        <v>249</v>
      </c>
      <c r="E13" s="1864">
        <v>25226.7</v>
      </c>
      <c r="F13" s="1863">
        <v>26321.599999999999</v>
      </c>
      <c r="G13" s="1862">
        <v>22538</v>
      </c>
      <c r="H13" s="1861">
        <v>3783.5999999999985</v>
      </c>
      <c r="I13" s="1788">
        <v>0.16787647528618327</v>
      </c>
    </row>
    <row r="14" spans="1:9" s="1779" customFormat="1">
      <c r="A14" s="1859" t="s">
        <v>589</v>
      </c>
      <c r="B14" s="1841" t="s">
        <v>451</v>
      </c>
      <c r="C14" s="1858">
        <v>23173.5</v>
      </c>
      <c r="D14" s="1841"/>
      <c r="E14" s="1858">
        <v>21354.5</v>
      </c>
      <c r="F14" s="1783">
        <v>22264</v>
      </c>
      <c r="G14" s="1857">
        <v>19250</v>
      </c>
      <c r="H14" s="1856">
        <v>3014</v>
      </c>
      <c r="I14" s="1855">
        <v>0.15657142857142858</v>
      </c>
    </row>
    <row r="15" spans="1:9" s="1779" customFormat="1">
      <c r="A15" s="1860" t="s">
        <v>474</v>
      </c>
      <c r="B15" s="1841" t="s">
        <v>451</v>
      </c>
      <c r="C15" s="1858">
        <v>1295.5999999999999</v>
      </c>
      <c r="D15" s="1841"/>
      <c r="E15" s="1858">
        <v>1149</v>
      </c>
      <c r="F15" s="1783">
        <v>1222.3</v>
      </c>
      <c r="G15" s="1857">
        <v>865</v>
      </c>
      <c r="H15" s="1856">
        <v>357.29999999999995</v>
      </c>
      <c r="I15" s="1855">
        <v>0.41306358381502883</v>
      </c>
    </row>
    <row r="16" spans="1:9" s="1779" customFormat="1">
      <c r="A16" s="1859" t="s">
        <v>473</v>
      </c>
      <c r="B16" s="1841" t="s">
        <v>451</v>
      </c>
      <c r="C16" s="1858">
        <v>2593.1999999999998</v>
      </c>
      <c r="D16" s="1841"/>
      <c r="E16" s="1858">
        <v>2469.1999999999998</v>
      </c>
      <c r="F16" s="1783">
        <v>2531.1999999999998</v>
      </c>
      <c r="G16" s="1857">
        <v>2113</v>
      </c>
      <c r="H16" s="1856">
        <v>418.19999999999982</v>
      </c>
      <c r="I16" s="1855">
        <v>0.19791765262659716</v>
      </c>
    </row>
    <row r="17" spans="1:9" s="1767" customFormat="1" ht="15.75">
      <c r="A17" s="1854" t="s">
        <v>1606</v>
      </c>
      <c r="B17" s="1791">
        <v>156.5</v>
      </c>
      <c r="C17" s="1791">
        <v>252.8</v>
      </c>
      <c r="D17" s="1791">
        <v>249</v>
      </c>
      <c r="E17" s="1791">
        <v>254</v>
      </c>
      <c r="F17" s="1791">
        <v>304.09999999999997</v>
      </c>
      <c r="G17" s="1853">
        <v>310</v>
      </c>
      <c r="H17" s="1789">
        <v>-5.9000000000000341</v>
      </c>
      <c r="I17" s="1788">
        <v>-1.9032258064516239E-2</v>
      </c>
    </row>
    <row r="18" spans="1:9" s="1779" customFormat="1">
      <c r="A18" s="1852" t="s">
        <v>93</v>
      </c>
      <c r="B18" s="1784">
        <v>26.7</v>
      </c>
      <c r="C18" s="1784">
        <v>50.5</v>
      </c>
      <c r="D18" s="1784">
        <v>47.3</v>
      </c>
      <c r="E18" s="1784">
        <v>49</v>
      </c>
      <c r="F18" s="1787">
        <v>57.833333333333336</v>
      </c>
      <c r="G18" s="1851"/>
      <c r="H18" s="1850"/>
      <c r="I18" s="1849"/>
    </row>
    <row r="19" spans="1:9" s="1779" customFormat="1">
      <c r="A19" s="1852" t="s">
        <v>96</v>
      </c>
      <c r="B19" s="1784">
        <v>0</v>
      </c>
      <c r="C19" s="1784">
        <v>0</v>
      </c>
      <c r="D19" s="1784">
        <v>0</v>
      </c>
      <c r="E19" s="1784">
        <v>0</v>
      </c>
      <c r="F19" s="1787">
        <v>0</v>
      </c>
      <c r="G19" s="1851"/>
      <c r="H19" s="1850"/>
      <c r="I19" s="1849"/>
    </row>
    <row r="20" spans="1:9" s="1779" customFormat="1">
      <c r="A20" s="1852" t="s">
        <v>98</v>
      </c>
      <c r="B20" s="1784">
        <v>89.8</v>
      </c>
      <c r="C20" s="1784">
        <v>173.8</v>
      </c>
      <c r="D20" s="1784">
        <v>175.7</v>
      </c>
      <c r="E20" s="1784">
        <v>181.7</v>
      </c>
      <c r="F20" s="1787">
        <v>207</v>
      </c>
      <c r="G20" s="1851"/>
      <c r="H20" s="1850"/>
      <c r="I20" s="1849"/>
    </row>
    <row r="21" spans="1:9" s="1779" customFormat="1">
      <c r="A21" s="1785" t="s">
        <v>1150</v>
      </c>
      <c r="B21" s="1848">
        <v>40</v>
      </c>
      <c r="C21" s="1784">
        <v>28.5</v>
      </c>
      <c r="D21" s="1784">
        <v>26</v>
      </c>
      <c r="E21" s="1784">
        <v>23.3</v>
      </c>
      <c r="F21" s="1787">
        <v>39.266666666666666</v>
      </c>
      <c r="G21" s="1847">
        <v>25</v>
      </c>
      <c r="H21" s="1846"/>
      <c r="I21" s="1780"/>
    </row>
    <row r="22" spans="1:9" s="1767" customFormat="1" ht="17.25" customHeight="1">
      <c r="A22" s="1844" t="s">
        <v>5</v>
      </c>
      <c r="B22" s="1841" t="s">
        <v>451</v>
      </c>
      <c r="C22" s="1816">
        <v>9713.4</v>
      </c>
      <c r="D22" s="1816">
        <v>9461.5</v>
      </c>
      <c r="E22" s="1816">
        <v>8993.5</v>
      </c>
      <c r="F22" s="1845">
        <v>9389.4666666666672</v>
      </c>
      <c r="G22" s="1843">
        <v>9105</v>
      </c>
      <c r="H22" s="1789">
        <v>284.46666666666715</v>
      </c>
      <c r="I22" s="1788">
        <v>3.1242906827750373E-2</v>
      </c>
    </row>
    <row r="23" spans="1:9" s="1767" customFormat="1">
      <c r="A23" s="1844" t="s">
        <v>4</v>
      </c>
      <c r="B23" s="1841" t="s">
        <v>451</v>
      </c>
      <c r="C23" s="1816">
        <v>10991.300000000001</v>
      </c>
      <c r="D23" s="1816">
        <v>10225.9</v>
      </c>
      <c r="E23" s="1816">
        <v>9754</v>
      </c>
      <c r="F23" s="1845">
        <v>10365.866666666665</v>
      </c>
      <c r="G23" s="1843">
        <v>8734</v>
      </c>
      <c r="H23" s="1789">
        <v>1631.866666666665</v>
      </c>
      <c r="I23" s="1788">
        <v>0.18684069918326826</v>
      </c>
    </row>
    <row r="24" spans="1:9" s="1767" customFormat="1">
      <c r="A24" s="1844" t="s">
        <v>6</v>
      </c>
      <c r="B24" s="1791" t="s">
        <v>451</v>
      </c>
      <c r="C24" s="1816">
        <v>4225</v>
      </c>
      <c r="D24" s="1816">
        <v>3975.7</v>
      </c>
      <c r="E24" s="1816">
        <v>3774.5</v>
      </c>
      <c r="F24" s="1840">
        <v>3991.7333333333336</v>
      </c>
      <c r="G24" s="1843">
        <v>4213</v>
      </c>
      <c r="H24" s="1789">
        <v>-221.26666666666642</v>
      </c>
      <c r="I24" s="1788">
        <v>-5.2519977846348549E-2</v>
      </c>
    </row>
    <row r="25" spans="1:9" s="1767" customFormat="1" ht="13.5" thickBot="1">
      <c r="A25" s="1842" t="s">
        <v>7</v>
      </c>
      <c r="B25" s="1841" t="s">
        <v>451</v>
      </c>
      <c r="C25" s="1816">
        <v>13286.5</v>
      </c>
      <c r="D25" s="1816">
        <v>12760.7</v>
      </c>
      <c r="E25" s="1816">
        <v>11979.8</v>
      </c>
      <c r="F25" s="1840">
        <v>12675.666666666666</v>
      </c>
      <c r="G25" s="1839">
        <v>11762</v>
      </c>
      <c r="H25" s="1789">
        <v>913.66666666666606</v>
      </c>
      <c r="I25" s="1838">
        <v>7.7679532959247247E-2</v>
      </c>
    </row>
    <row r="26" spans="1:9" s="1767" customFormat="1" ht="13.5" thickTop="1">
      <c r="A26" s="1837" t="s">
        <v>472</v>
      </c>
      <c r="B26" s="1835" t="s">
        <v>451</v>
      </c>
      <c r="C26" s="1835">
        <v>114198.3</v>
      </c>
      <c r="D26" s="1835">
        <v>84277.099999999991</v>
      </c>
      <c r="E26" s="1835">
        <v>104724.70000000001</v>
      </c>
      <c r="F26" s="1835">
        <v>109833.50000000001</v>
      </c>
      <c r="G26" s="1836">
        <v>93514</v>
      </c>
      <c r="H26" s="1835">
        <v>16319.500000000015</v>
      </c>
      <c r="I26" s="1834">
        <v>0.17451397651688533</v>
      </c>
    </row>
    <row r="27" spans="1:9" s="1767" customFormat="1">
      <c r="A27" s="1833"/>
      <c r="B27" s="1832"/>
      <c r="C27" s="1832"/>
      <c r="D27" s="1832"/>
      <c r="E27" s="1832"/>
      <c r="F27" s="1832"/>
      <c r="G27" s="1832"/>
      <c r="H27" s="1832"/>
      <c r="I27" s="1831"/>
    </row>
    <row r="28" spans="1:9" s="1767" customFormat="1">
      <c r="A28" s="2712" t="s">
        <v>588</v>
      </c>
      <c r="B28" s="2715" t="s">
        <v>77</v>
      </c>
      <c r="C28" s="2716"/>
      <c r="D28" s="2716"/>
      <c r="E28" s="2716"/>
      <c r="F28" s="2717"/>
      <c r="G28" s="1830"/>
      <c r="H28" s="2718" t="s">
        <v>77</v>
      </c>
      <c r="I28" s="2719"/>
    </row>
    <row r="29" spans="1:9" s="1767" customFormat="1" ht="15.75">
      <c r="A29" s="2713"/>
      <c r="B29" s="1829" t="s">
        <v>1686</v>
      </c>
      <c r="C29" s="1829" t="s">
        <v>1685</v>
      </c>
      <c r="D29" s="1829" t="s">
        <v>1684</v>
      </c>
      <c r="E29" s="1829" t="s">
        <v>1683</v>
      </c>
      <c r="F29" s="1828" t="s">
        <v>465</v>
      </c>
      <c r="G29" s="1827" t="s">
        <v>1591</v>
      </c>
      <c r="H29" s="1826" t="s">
        <v>464</v>
      </c>
      <c r="I29" s="1825"/>
    </row>
    <row r="30" spans="1:9" s="1767" customFormat="1" ht="13.5" thickBot="1">
      <c r="A30" s="2714"/>
      <c r="B30" s="1824" t="s">
        <v>311</v>
      </c>
      <c r="C30" s="1823" t="s">
        <v>484</v>
      </c>
      <c r="D30" s="1822" t="s">
        <v>311</v>
      </c>
      <c r="E30" s="1821" t="s">
        <v>483</v>
      </c>
      <c r="F30" s="1820" t="s">
        <v>1616</v>
      </c>
      <c r="G30" s="1820" t="s">
        <v>1616</v>
      </c>
      <c r="H30" s="1819" t="s">
        <v>315</v>
      </c>
      <c r="I30" s="1818" t="s">
        <v>316</v>
      </c>
    </row>
    <row r="31" spans="1:9" s="1767" customFormat="1" ht="26.25" thickTop="1">
      <c r="A31" s="1817" t="s">
        <v>582</v>
      </c>
      <c r="B31" s="1816">
        <v>44038</v>
      </c>
      <c r="C31" s="1816">
        <v>117296</v>
      </c>
      <c r="D31" s="1816">
        <v>112909</v>
      </c>
      <c r="E31" s="1815">
        <v>108434</v>
      </c>
      <c r="F31" s="1814">
        <v>127559</v>
      </c>
      <c r="G31" s="1813">
        <v>132062</v>
      </c>
      <c r="H31" s="1812">
        <v>-4503</v>
      </c>
      <c r="I31" s="1788">
        <v>-3.4097620814465934E-2</v>
      </c>
    </row>
    <row r="32" spans="1:9" s="1805" customFormat="1">
      <c r="A32" s="1811" t="s">
        <v>581</v>
      </c>
      <c r="B32" s="1810">
        <v>3111</v>
      </c>
      <c r="C32" s="1809">
        <v>6122</v>
      </c>
      <c r="D32" s="1809">
        <v>6773</v>
      </c>
      <c r="E32" s="1808">
        <v>6598</v>
      </c>
      <c r="F32" s="1794">
        <v>7534.666666666667</v>
      </c>
      <c r="G32" s="1807">
        <v>7170</v>
      </c>
      <c r="H32" s="1806">
        <v>364.66666666666697</v>
      </c>
      <c r="I32" s="1788">
        <v>5.0860065086006552E-2</v>
      </c>
    </row>
    <row r="33" spans="1:9" s="1798" customFormat="1">
      <c r="A33" s="1803" t="s">
        <v>460</v>
      </c>
      <c r="B33" s="1802">
        <v>3035</v>
      </c>
      <c r="C33" s="1802">
        <v>5909</v>
      </c>
      <c r="D33" s="1802">
        <v>6417</v>
      </c>
      <c r="E33" s="1801">
        <v>6259</v>
      </c>
      <c r="F33" s="1782">
        <v>7206.666666666667</v>
      </c>
      <c r="G33" s="1804"/>
      <c r="H33" s="1799"/>
      <c r="I33" s="1788"/>
    </row>
    <row r="34" spans="1:9" s="1798" customFormat="1">
      <c r="A34" s="1803" t="s">
        <v>459</v>
      </c>
      <c r="B34" s="1802">
        <v>76</v>
      </c>
      <c r="C34" s="1802">
        <v>213</v>
      </c>
      <c r="D34" s="1802">
        <v>356</v>
      </c>
      <c r="E34" s="1801">
        <v>339</v>
      </c>
      <c r="F34" s="1782">
        <v>328</v>
      </c>
      <c r="G34" s="1800"/>
      <c r="H34" s="1799"/>
      <c r="I34" s="1788"/>
    </row>
    <row r="35" spans="1:9" s="1767" customFormat="1" ht="15.75">
      <c r="A35" s="1797" t="s">
        <v>1607</v>
      </c>
      <c r="B35" s="1796">
        <v>88</v>
      </c>
      <c r="C35" s="1796">
        <v>314</v>
      </c>
      <c r="D35" s="1796">
        <v>316</v>
      </c>
      <c r="E35" s="1795">
        <v>311</v>
      </c>
      <c r="F35" s="1794">
        <v>343</v>
      </c>
      <c r="G35" s="1790">
        <v>220</v>
      </c>
      <c r="H35" s="1790">
        <v>123</v>
      </c>
      <c r="I35" s="1788">
        <v>0.55909090909090908</v>
      </c>
    </row>
    <row r="36" spans="1:9" s="1767" customFormat="1" ht="15.75">
      <c r="A36" s="1793" t="s">
        <v>1608</v>
      </c>
      <c r="B36" s="1791">
        <v>64.2</v>
      </c>
      <c r="C36" s="1791">
        <v>201.70000000000002</v>
      </c>
      <c r="D36" s="1791">
        <v>158.20000000000002</v>
      </c>
      <c r="E36" s="1792">
        <v>187.89999999999998</v>
      </c>
      <c r="F36" s="1791">
        <v>215.95</v>
      </c>
      <c r="G36" s="1790">
        <v>165</v>
      </c>
      <c r="H36" s="1789">
        <v>50.949999999999989</v>
      </c>
      <c r="I36" s="1788">
        <v>0.30878787878787872</v>
      </c>
    </row>
    <row r="37" spans="1:9" s="1779" customFormat="1">
      <c r="A37" s="1785" t="s">
        <v>455</v>
      </c>
      <c r="B37" s="1784">
        <v>18.7</v>
      </c>
      <c r="C37" s="1784">
        <v>53.4</v>
      </c>
      <c r="D37" s="1784">
        <v>53.1</v>
      </c>
      <c r="E37" s="1784">
        <v>52.4</v>
      </c>
      <c r="F37" s="1787">
        <v>59.199999999999996</v>
      </c>
      <c r="G37" s="1786"/>
      <c r="H37" s="1781"/>
      <c r="I37" s="1780"/>
    </row>
    <row r="38" spans="1:9" s="1779" customFormat="1">
      <c r="A38" s="1785" t="s">
        <v>454</v>
      </c>
      <c r="B38" s="1784">
        <v>45.5</v>
      </c>
      <c r="C38" s="1784">
        <v>100</v>
      </c>
      <c r="D38" s="1784">
        <v>96.3</v>
      </c>
      <c r="E38" s="1784">
        <v>94.8</v>
      </c>
      <c r="F38" s="1787">
        <v>112.2</v>
      </c>
      <c r="G38" s="1786"/>
      <c r="H38" s="1781"/>
      <c r="I38" s="1780"/>
    </row>
    <row r="39" spans="1:9" s="1779" customFormat="1">
      <c r="A39" s="1785" t="s">
        <v>453</v>
      </c>
      <c r="B39" s="1784">
        <v>0</v>
      </c>
      <c r="C39" s="1784">
        <v>9.3000000000000007</v>
      </c>
      <c r="D39" s="1784">
        <v>8.8000000000000007</v>
      </c>
      <c r="E39" s="1784">
        <v>8</v>
      </c>
      <c r="F39" s="1787">
        <v>8.7000000000000011</v>
      </c>
      <c r="G39" s="1786"/>
      <c r="H39" s="1781"/>
      <c r="I39" s="1780"/>
    </row>
    <row r="40" spans="1:9" s="1779" customFormat="1" ht="13.5" thickBot="1">
      <c r="A40" s="1785" t="s">
        <v>1152</v>
      </c>
      <c r="B40" s="1784">
        <v>0</v>
      </c>
      <c r="C40" s="1784">
        <v>39</v>
      </c>
      <c r="D40" s="1784">
        <v>0</v>
      </c>
      <c r="E40" s="1784">
        <v>32.700000000000003</v>
      </c>
      <c r="F40" s="1783">
        <v>35.85</v>
      </c>
      <c r="G40" s="1782">
        <v>30</v>
      </c>
      <c r="H40" s="1781"/>
      <c r="I40" s="1780"/>
    </row>
    <row r="41" spans="1:9" s="1773" customFormat="1" ht="16.5" thickTop="1">
      <c r="A41" s="1778" t="s">
        <v>1609</v>
      </c>
      <c r="B41" s="1777">
        <v>47237</v>
      </c>
      <c r="C41" s="1777">
        <v>123933.7</v>
      </c>
      <c r="D41" s="1777">
        <v>120156.2</v>
      </c>
      <c r="E41" s="1777">
        <v>115530.9</v>
      </c>
      <c r="F41" s="1777">
        <v>135652.61666666667</v>
      </c>
      <c r="G41" s="1776">
        <v>139927</v>
      </c>
      <c r="H41" s="1775">
        <v>-4274.3833333333314</v>
      </c>
      <c r="I41" s="1774">
        <v>-3.0547237726338244E-2</v>
      </c>
    </row>
    <row r="42" spans="1:9" s="1767" customFormat="1" ht="13.5" thickBot="1">
      <c r="A42" s="1772"/>
      <c r="B42" s="1770"/>
      <c r="C42" s="1771"/>
      <c r="D42" s="1771"/>
      <c r="E42" s="1771"/>
      <c r="F42" s="1771"/>
      <c r="G42" s="1770"/>
      <c r="H42" s="1769"/>
      <c r="I42" s="1768"/>
    </row>
    <row r="43" spans="1:9" s="1747" customFormat="1" ht="15" thickTop="1" thickBot="1">
      <c r="A43" s="1766" t="s">
        <v>448</v>
      </c>
      <c r="B43" s="1765"/>
      <c r="C43" s="1765"/>
      <c r="D43" s="1764"/>
      <c r="E43" s="1764"/>
      <c r="F43" s="1763">
        <v>245486.1166666667</v>
      </c>
      <c r="G43" s="1763">
        <v>233441</v>
      </c>
      <c r="H43" s="1763">
        <v>12045.116666666683</v>
      </c>
      <c r="I43" s="1762">
        <v>5.1598119724755649E-2</v>
      </c>
    </row>
    <row r="44" spans="1:9" s="1747" customFormat="1" ht="14.25" thickTop="1">
      <c r="A44" s="1761"/>
      <c r="B44" s="1751"/>
      <c r="C44" s="1751"/>
      <c r="D44" s="1750"/>
      <c r="E44" s="1750"/>
      <c r="F44" s="1750"/>
      <c r="G44" s="1750"/>
      <c r="H44" s="1750"/>
      <c r="I44" s="1748"/>
    </row>
    <row r="45" spans="1:9" s="1753" customFormat="1">
      <c r="A45" s="1760" t="s">
        <v>574</v>
      </c>
      <c r="B45" s="1759">
        <v>3</v>
      </c>
      <c r="C45" s="1758">
        <v>18833</v>
      </c>
      <c r="D45" s="1758">
        <v>18525</v>
      </c>
      <c r="E45" s="1758">
        <v>17644</v>
      </c>
      <c r="F45" s="1757">
        <v>18335</v>
      </c>
      <c r="G45" s="1756">
        <v>11558</v>
      </c>
      <c r="H45" s="1755">
        <v>6777</v>
      </c>
      <c r="I45" s="1754">
        <v>0.58634711887869873</v>
      </c>
    </row>
    <row r="46" spans="1:9" s="1747" customFormat="1">
      <c r="A46" s="1752"/>
      <c r="B46" s="1751"/>
      <c r="C46" s="1751"/>
      <c r="D46" s="1750"/>
      <c r="E46" s="1750"/>
      <c r="F46" s="1750"/>
      <c r="G46" s="1750"/>
      <c r="H46" s="1749"/>
      <c r="I46" s="1748"/>
    </row>
    <row r="47" spans="1:9" ht="54" customHeight="1">
      <c r="A47" s="2720" t="s">
        <v>1592</v>
      </c>
      <c r="B47" s="2720"/>
      <c r="C47" s="2720"/>
      <c r="D47" s="2720"/>
      <c r="E47" s="2720"/>
      <c r="F47" s="2720"/>
      <c r="G47" s="2720"/>
      <c r="H47" s="2720"/>
      <c r="I47" s="2720"/>
    </row>
    <row r="48" spans="1:9" ht="30" customHeight="1">
      <c r="A48" s="2711" t="s">
        <v>1682</v>
      </c>
      <c r="B48" s="2711"/>
      <c r="C48" s="2711"/>
      <c r="D48" s="2711"/>
      <c r="E48" s="2711"/>
      <c r="F48" s="2711"/>
      <c r="G48" s="2711"/>
      <c r="H48" s="2711"/>
      <c r="I48" s="2711"/>
    </row>
    <row r="49" spans="1:9" ht="15.75">
      <c r="A49" s="2711" t="s">
        <v>1681</v>
      </c>
      <c r="B49" s="2711"/>
      <c r="C49" s="2711"/>
      <c r="D49" s="2711"/>
      <c r="E49" s="2711"/>
      <c r="F49" s="2711"/>
      <c r="G49" s="2711"/>
      <c r="H49" s="2711"/>
      <c r="I49" s="2711"/>
    </row>
    <row r="50" spans="1:9" ht="27.75" customHeight="1">
      <c r="A50" s="2711" t="s">
        <v>1612</v>
      </c>
      <c r="B50" s="2711"/>
      <c r="C50" s="2711"/>
      <c r="D50" s="2711"/>
      <c r="E50" s="2711"/>
      <c r="F50" s="2711"/>
      <c r="G50" s="2711"/>
      <c r="H50" s="2711"/>
      <c r="I50" s="2711"/>
    </row>
    <row r="51" spans="1:9" ht="15.75">
      <c r="A51" s="2711" t="s">
        <v>1613</v>
      </c>
      <c r="B51" s="2711"/>
      <c r="C51" s="2711"/>
      <c r="D51" s="2711"/>
      <c r="E51" s="2711"/>
      <c r="F51" s="2711"/>
      <c r="G51" s="2711"/>
      <c r="H51" s="2711"/>
      <c r="I51" s="2711"/>
    </row>
  </sheetData>
  <mergeCells count="14">
    <mergeCell ref="A50:I50"/>
    <mergeCell ref="A51:I51"/>
    <mergeCell ref="A28:A30"/>
    <mergeCell ref="B28:F28"/>
    <mergeCell ref="H28:I28"/>
    <mergeCell ref="A47:I47"/>
    <mergeCell ref="A48:I48"/>
    <mergeCell ref="A49:I49"/>
    <mergeCell ref="A1:I1"/>
    <mergeCell ref="A2:I2"/>
    <mergeCell ref="A3:I3"/>
    <mergeCell ref="A4:I4"/>
    <mergeCell ref="B6:F6"/>
    <mergeCell ref="H6:I6"/>
  </mergeCells>
  <pageMargins left="0.7" right="0.7" top="0.75" bottom="0.75" header="0.3" footer="0.3"/>
  <pageSetup paperSize="0" orientation="portrait" horizontalDpi="0" verticalDpi="0" copies="0"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75566-8545-4F4F-94B0-6731EC8C0FAB}">
  <sheetPr codeName="Sheet46">
    <tabColor rgb="FFFFFF00"/>
  </sheetPr>
  <dimension ref="A1:R41"/>
  <sheetViews>
    <sheetView workbookViewId="0">
      <selection sqref="A1:P1"/>
    </sheetView>
  </sheetViews>
  <sheetFormatPr defaultRowHeight="12.75"/>
  <cols>
    <col min="1" max="1" width="2.375" style="355" customWidth="1"/>
    <col min="2" max="2" width="5.875" style="355" customWidth="1"/>
    <col min="3" max="4" width="8.625" style="355" customWidth="1"/>
    <col min="5" max="5" width="6.5" style="355" hidden="1" customWidth="1"/>
    <col min="6" max="12" width="6.5" style="355" customWidth="1"/>
    <col min="13" max="13" width="1.25" style="355" customWidth="1"/>
    <col min="14" max="15" width="6.5" style="355" customWidth="1"/>
    <col min="16" max="16" width="6.625" style="355" bestFit="1" customWidth="1"/>
    <col min="17" max="16384" width="9" style="355"/>
  </cols>
  <sheetData>
    <row r="1" spans="1:18" s="344" customFormat="1" ht="20.100000000000001" customHeight="1">
      <c r="A1" s="2724" t="s">
        <v>177</v>
      </c>
      <c r="B1" s="2724"/>
      <c r="C1" s="2724"/>
      <c r="D1" s="2724"/>
      <c r="E1" s="2724"/>
      <c r="F1" s="2724"/>
      <c r="G1" s="2724"/>
      <c r="H1" s="2724"/>
      <c r="I1" s="2724"/>
      <c r="J1" s="2724"/>
      <c r="K1" s="2724"/>
      <c r="L1" s="2724"/>
      <c r="M1" s="2724"/>
      <c r="N1" s="2724"/>
      <c r="O1" s="2724"/>
      <c r="P1" s="2724"/>
    </row>
    <row r="2" spans="1:18" s="344" customFormat="1" ht="18" customHeight="1">
      <c r="A2" s="2725" t="s">
        <v>1717</v>
      </c>
      <c r="B2" s="2725"/>
      <c r="C2" s="2725"/>
      <c r="D2" s="2725"/>
      <c r="E2" s="2725"/>
      <c r="F2" s="2725"/>
      <c r="G2" s="2725"/>
      <c r="H2" s="2725"/>
      <c r="I2" s="2725"/>
      <c r="J2" s="2725"/>
      <c r="K2" s="2725"/>
      <c r="L2" s="2725"/>
      <c r="M2" s="2725"/>
      <c r="N2" s="2725"/>
      <c r="O2" s="2725"/>
      <c r="P2" s="2725"/>
    </row>
    <row r="3" spans="1:18" s="344" customFormat="1" ht="15" customHeight="1">
      <c r="A3" s="2726" t="s">
        <v>365</v>
      </c>
      <c r="B3" s="2726"/>
      <c r="C3" s="2726"/>
      <c r="D3" s="2726"/>
      <c r="E3" s="2726"/>
      <c r="F3" s="2726"/>
      <c r="G3" s="2726"/>
      <c r="H3" s="2726"/>
      <c r="I3" s="2726"/>
      <c r="J3" s="2726"/>
      <c r="K3" s="2726"/>
      <c r="L3" s="2726"/>
      <c r="M3" s="2726"/>
      <c r="N3" s="2726"/>
      <c r="O3" s="2726"/>
      <c r="P3" s="2726"/>
    </row>
    <row r="4" spans="1:18" s="344" customFormat="1" ht="24.75" customHeight="1">
      <c r="A4" s="2024"/>
      <c r="B4" s="2024"/>
      <c r="C4" s="2024"/>
      <c r="D4" s="2024"/>
      <c r="E4" s="2024"/>
      <c r="F4" s="2024"/>
      <c r="G4" s="2024"/>
      <c r="H4" s="2024"/>
      <c r="I4" s="2024"/>
      <c r="J4" s="2024"/>
      <c r="K4" s="2024"/>
      <c r="L4" s="2024"/>
      <c r="M4" s="2024"/>
      <c r="N4" s="2024"/>
      <c r="O4" s="2024"/>
      <c r="P4" s="2024"/>
    </row>
    <row r="5" spans="1:18" s="2370" customFormat="1" ht="17.25" customHeight="1">
      <c r="A5" s="2025"/>
      <c r="B5" s="2369"/>
      <c r="C5" s="2369"/>
      <c r="D5" s="2369"/>
      <c r="E5" s="2727" t="s">
        <v>366</v>
      </c>
      <c r="F5" s="2728"/>
      <c r="G5" s="2728"/>
      <c r="H5" s="2728"/>
      <c r="I5" s="2728"/>
      <c r="J5" s="2728"/>
      <c r="K5" s="2728"/>
      <c r="L5" s="2728"/>
      <c r="M5" s="2369"/>
      <c r="N5" s="2727" t="s">
        <v>1718</v>
      </c>
      <c r="O5" s="2728"/>
      <c r="P5" s="2729"/>
    </row>
    <row r="6" spans="1:18" s="2370" customFormat="1" ht="6" customHeight="1">
      <c r="A6" s="2027"/>
      <c r="B6" s="2027"/>
      <c r="C6" s="2027"/>
      <c r="D6" s="2027"/>
      <c r="E6" s="2371"/>
      <c r="F6" s="2372"/>
      <c r="G6" s="2372"/>
      <c r="H6" s="2372"/>
      <c r="I6" s="2372"/>
      <c r="J6" s="2372"/>
      <c r="K6" s="2372"/>
      <c r="L6" s="2372"/>
      <c r="M6" s="2372"/>
      <c r="N6" s="2025"/>
      <c r="O6" s="2025"/>
      <c r="P6" s="2025"/>
    </row>
    <row r="7" spans="1:18" s="344" customFormat="1" ht="20.25" customHeight="1">
      <c r="A7" s="2031"/>
      <c r="B7" s="2031"/>
      <c r="C7" s="2031"/>
      <c r="D7" s="2031"/>
      <c r="E7" s="2373" t="s">
        <v>505</v>
      </c>
      <c r="F7" s="2374" t="s">
        <v>790</v>
      </c>
      <c r="G7" s="2374" t="s">
        <v>789</v>
      </c>
      <c r="H7" s="2374" t="s">
        <v>1584</v>
      </c>
      <c r="I7" s="2374" t="s">
        <v>1585</v>
      </c>
      <c r="J7" s="2374" t="s">
        <v>1616</v>
      </c>
      <c r="K7" s="2374" t="s">
        <v>1617</v>
      </c>
      <c r="L7" s="2374" t="s">
        <v>1719</v>
      </c>
      <c r="M7" s="2375"/>
      <c r="N7" s="2374" t="s">
        <v>1720</v>
      </c>
      <c r="O7" s="2374" t="s">
        <v>1839</v>
      </c>
      <c r="P7" s="2374" t="s">
        <v>1840</v>
      </c>
      <c r="Q7" s="2376"/>
    </row>
    <row r="8" spans="1:18" s="344" customFormat="1" ht="15" customHeight="1">
      <c r="A8" s="2031"/>
      <c r="B8" s="2031"/>
      <c r="C8" s="2031"/>
      <c r="D8" s="2031"/>
      <c r="E8" s="2034"/>
      <c r="F8" s="2034"/>
      <c r="G8" s="2023"/>
      <c r="H8" s="2023"/>
      <c r="I8" s="2023"/>
      <c r="J8" s="2023"/>
      <c r="K8" s="2023"/>
      <c r="L8" s="2023"/>
      <c r="M8" s="2034"/>
      <c r="P8" s="2023"/>
    </row>
    <row r="9" spans="1:18" s="344" customFormat="1" ht="18" customHeight="1">
      <c r="A9" s="2035" t="s">
        <v>8</v>
      </c>
      <c r="B9" s="2035"/>
      <c r="C9" s="2036"/>
      <c r="D9" s="2036"/>
      <c r="E9" s="2037">
        <f t="shared" ref="E9:L9" si="0">E10+E11</f>
        <v>175010</v>
      </c>
      <c r="F9" s="2037">
        <f t="shared" si="0"/>
        <v>166112</v>
      </c>
      <c r="G9" s="2037">
        <f t="shared" si="0"/>
        <v>160977</v>
      </c>
      <c r="H9" s="2037">
        <f t="shared" si="0"/>
        <v>157991</v>
      </c>
      <c r="I9" s="2037">
        <f t="shared" si="0"/>
        <v>155095</v>
      </c>
      <c r="J9" s="2037">
        <f t="shared" si="0"/>
        <v>153988</v>
      </c>
      <c r="K9" s="2037">
        <f t="shared" si="0"/>
        <v>151342</v>
      </c>
      <c r="L9" s="2037">
        <f t="shared" si="0"/>
        <v>150559</v>
      </c>
      <c r="M9" s="2037"/>
      <c r="N9" s="2038">
        <f>N10+N11</f>
        <v>149619.34519852034</v>
      </c>
      <c r="O9" s="2038">
        <f>O10+O11</f>
        <v>148995.63963398014</v>
      </c>
      <c r="P9" s="2038">
        <f>P10+P11</f>
        <v>148710.24478772841</v>
      </c>
      <c r="Q9" s="368"/>
      <c r="R9" s="368"/>
    </row>
    <row r="10" spans="1:18" s="344" customFormat="1" ht="18" customHeight="1">
      <c r="A10" s="2039" t="s">
        <v>504</v>
      </c>
      <c r="B10" s="2035"/>
      <c r="C10" s="2036"/>
      <c r="D10" s="2036"/>
      <c r="E10" s="2040">
        <v>162328</v>
      </c>
      <c r="F10" s="2040">
        <v>153395</v>
      </c>
      <c r="G10" s="2040">
        <v>147433</v>
      </c>
      <c r="H10" s="2040">
        <v>143292</v>
      </c>
      <c r="I10" s="2040">
        <v>138724</v>
      </c>
      <c r="J10" s="2040">
        <v>135653</v>
      </c>
      <c r="K10" s="2040">
        <v>131135</v>
      </c>
      <c r="L10" s="2040">
        <v>128566</v>
      </c>
      <c r="M10" s="2040"/>
      <c r="N10" s="2041">
        <v>125350.41235921763</v>
      </c>
      <c r="O10" s="2041">
        <v>122215.25036655026</v>
      </c>
      <c r="P10" s="2041">
        <v>119158.50248146555</v>
      </c>
      <c r="Q10" s="368"/>
      <c r="R10" s="368"/>
    </row>
    <row r="11" spans="1:18" s="344" customFormat="1" ht="18" customHeight="1">
      <c r="A11" s="2039" t="s">
        <v>1721</v>
      </c>
      <c r="B11" s="2034"/>
      <c r="C11" s="2034"/>
      <c r="D11" s="2034"/>
      <c r="E11" s="2040">
        <v>12682</v>
      </c>
      <c r="F11" s="2040">
        <v>12717</v>
      </c>
      <c r="G11" s="2040">
        <v>13544</v>
      </c>
      <c r="H11" s="2040">
        <v>14699</v>
      </c>
      <c r="I11" s="2040">
        <v>16371</v>
      </c>
      <c r="J11" s="2040">
        <v>18335</v>
      </c>
      <c r="K11" s="2040">
        <v>20207</v>
      </c>
      <c r="L11" s="2040">
        <v>21993</v>
      </c>
      <c r="M11" s="2040"/>
      <c r="N11" s="2041">
        <v>24268.932839302714</v>
      </c>
      <c r="O11" s="2041">
        <v>26780.389267429895</v>
      </c>
      <c r="P11" s="2041">
        <v>29551.74230626287</v>
      </c>
      <c r="Q11" s="368"/>
      <c r="R11" s="368"/>
    </row>
    <row r="12" spans="1:18" s="344" customFormat="1" ht="18" customHeight="1">
      <c r="A12" s="2039"/>
      <c r="B12" s="2034"/>
      <c r="C12" s="2034"/>
      <c r="D12" s="2034"/>
      <c r="E12" s="2023"/>
      <c r="F12" s="2023"/>
      <c r="G12" s="2023"/>
      <c r="H12" s="2023"/>
      <c r="I12" s="2023"/>
      <c r="J12" s="2023"/>
      <c r="K12" s="2023"/>
      <c r="L12" s="2023"/>
      <c r="M12" s="2040"/>
      <c r="N12" s="2041"/>
      <c r="O12" s="2041"/>
      <c r="P12" s="2023"/>
    </row>
    <row r="13" spans="1:18" s="344" customFormat="1" ht="18" customHeight="1">
      <c r="A13" s="2036" t="s">
        <v>370</v>
      </c>
      <c r="B13" s="2036"/>
      <c r="C13" s="2036"/>
      <c r="D13" s="2036"/>
      <c r="E13" s="2037">
        <f t="shared" ref="E13:L13" si="1">SUM(E14:E20)</f>
        <v>103214</v>
      </c>
      <c r="F13" s="2037">
        <f t="shared" si="1"/>
        <v>104702</v>
      </c>
      <c r="G13" s="2037">
        <f t="shared" si="1"/>
        <v>105092</v>
      </c>
      <c r="H13" s="2037">
        <f t="shared" si="1"/>
        <v>106038</v>
      </c>
      <c r="I13" s="2037">
        <f t="shared" si="1"/>
        <v>107935</v>
      </c>
      <c r="J13" s="2037">
        <f t="shared" si="1"/>
        <v>109834</v>
      </c>
      <c r="K13" s="2037">
        <f t="shared" si="1"/>
        <v>111221</v>
      </c>
      <c r="L13" s="2037">
        <f t="shared" si="1"/>
        <v>113067</v>
      </c>
      <c r="M13" s="2037"/>
      <c r="N13" s="2037">
        <f>SUM(N14:N20)</f>
        <v>114862.34551426728</v>
      </c>
      <c r="O13" s="2037">
        <f>SUM(O14:O20)</f>
        <v>116698.209309356</v>
      </c>
      <c r="P13" s="2037">
        <f>SUM(P14:P20)</f>
        <v>118575.2343344767</v>
      </c>
      <c r="Q13" s="368"/>
      <c r="R13" s="368"/>
    </row>
    <row r="14" spans="1:18" s="344" customFormat="1" ht="18" customHeight="1">
      <c r="A14" s="2039" t="s">
        <v>1722</v>
      </c>
      <c r="B14" s="2039"/>
      <c r="C14" s="2034"/>
      <c r="D14" s="2034"/>
      <c r="E14" s="2040">
        <v>42303</v>
      </c>
      <c r="F14" s="2040">
        <v>42718</v>
      </c>
      <c r="G14" s="2040">
        <v>43487</v>
      </c>
      <c r="H14" s="2040">
        <v>44709</v>
      </c>
      <c r="I14" s="2040">
        <v>45886</v>
      </c>
      <c r="J14" s="2040">
        <v>47089</v>
      </c>
      <c r="K14" s="2040">
        <v>47917</v>
      </c>
      <c r="L14" s="2040">
        <v>48739</v>
      </c>
      <c r="M14" s="2040"/>
      <c r="N14" s="2041">
        <v>49729.303932823597</v>
      </c>
      <c r="O14" s="2041">
        <v>50739.729367511529</v>
      </c>
      <c r="P14" s="2041">
        <v>51770.685143031165</v>
      </c>
      <c r="Q14" s="368"/>
      <c r="R14" s="368"/>
    </row>
    <row r="15" spans="1:18" s="344" customFormat="1" ht="18" customHeight="1">
      <c r="A15" s="2042" t="s">
        <v>371</v>
      </c>
      <c r="B15" s="2039"/>
      <c r="C15" s="2034"/>
      <c r="D15" s="2034"/>
      <c r="E15" s="2040">
        <v>24233</v>
      </c>
      <c r="F15" s="2040">
        <v>25284</v>
      </c>
      <c r="G15" s="2040">
        <v>25189</v>
      </c>
      <c r="H15" s="2040">
        <v>25092</v>
      </c>
      <c r="I15" s="2040">
        <v>25954</v>
      </c>
      <c r="J15" s="2040">
        <v>26322</v>
      </c>
      <c r="K15" s="2040">
        <v>26630</v>
      </c>
      <c r="L15" s="2040">
        <v>26971</v>
      </c>
      <c r="M15" s="2040"/>
      <c r="N15" s="2041">
        <v>27318.793539695285</v>
      </c>
      <c r="O15" s="2041">
        <v>27671.071909254268</v>
      </c>
      <c r="P15" s="2041">
        <v>28027.892940972866</v>
      </c>
      <c r="Q15" s="368"/>
      <c r="R15" s="368"/>
    </row>
    <row r="16" spans="1:18" s="344" customFormat="1" ht="18" customHeight="1">
      <c r="A16" s="2039" t="s">
        <v>372</v>
      </c>
      <c r="B16" s="2039"/>
      <c r="C16" s="2034"/>
      <c r="D16" s="2034"/>
      <c r="E16" s="2040">
        <v>9640</v>
      </c>
      <c r="F16" s="2040">
        <v>9914</v>
      </c>
      <c r="G16" s="2040">
        <v>10170</v>
      </c>
      <c r="H16" s="2040">
        <v>10236</v>
      </c>
      <c r="I16" s="2040">
        <v>10395</v>
      </c>
      <c r="J16" s="2040">
        <v>10366</v>
      </c>
      <c r="K16" s="2040">
        <v>10242</v>
      </c>
      <c r="L16" s="2040">
        <v>10615</v>
      </c>
      <c r="M16" s="2040"/>
      <c r="N16" s="2041">
        <v>10691.663940934617</v>
      </c>
      <c r="O16" s="2041">
        <v>10768.881566262982</v>
      </c>
      <c r="P16" s="2041">
        <v>10846.65687481954</v>
      </c>
      <c r="Q16" s="368"/>
      <c r="R16" s="368"/>
    </row>
    <row r="17" spans="1:18" s="344" customFormat="1" ht="18" customHeight="1">
      <c r="A17" s="2039" t="s">
        <v>373</v>
      </c>
      <c r="B17" s="2039"/>
      <c r="C17" s="2034"/>
      <c r="D17" s="2034"/>
      <c r="E17" s="2040">
        <v>9832</v>
      </c>
      <c r="F17" s="2040">
        <v>9581</v>
      </c>
      <c r="G17" s="2040">
        <v>9376</v>
      </c>
      <c r="H17" s="2040">
        <v>9292</v>
      </c>
      <c r="I17" s="2040">
        <v>9097</v>
      </c>
      <c r="J17" s="2040">
        <v>9389</v>
      </c>
      <c r="K17" s="2040">
        <v>9715</v>
      </c>
      <c r="L17" s="2040">
        <v>9907</v>
      </c>
      <c r="M17" s="2040"/>
      <c r="N17" s="2041">
        <v>10192.926684215212</v>
      </c>
      <c r="O17" s="2041">
        <v>10487.105520317606</v>
      </c>
      <c r="P17" s="2041">
        <v>10789.774674293529</v>
      </c>
      <c r="Q17" s="368"/>
      <c r="R17" s="368"/>
    </row>
    <row r="18" spans="1:18" s="344" customFormat="1" ht="18" customHeight="1">
      <c r="A18" s="2039" t="s">
        <v>374</v>
      </c>
      <c r="B18" s="2039"/>
      <c r="C18" s="2034"/>
      <c r="D18" s="2034"/>
      <c r="E18" s="2040">
        <v>4559</v>
      </c>
      <c r="F18" s="2040">
        <v>4558</v>
      </c>
      <c r="G18" s="2040">
        <v>4354</v>
      </c>
      <c r="H18" s="2040">
        <v>4144</v>
      </c>
      <c r="I18" s="2040">
        <v>4007</v>
      </c>
      <c r="J18" s="2040">
        <v>3992</v>
      </c>
      <c r="K18" s="2040">
        <v>3922</v>
      </c>
      <c r="L18" s="2040">
        <v>3628</v>
      </c>
      <c r="M18" s="2040"/>
      <c r="N18" s="2041">
        <v>3511.613429475135</v>
      </c>
      <c r="O18" s="2041">
        <v>3398.9605507359756</v>
      </c>
      <c r="P18" s="2041">
        <v>3289.9215866098825</v>
      </c>
      <c r="Q18" s="368"/>
      <c r="R18" s="368"/>
    </row>
    <row r="19" spans="1:18" s="344" customFormat="1" ht="18" customHeight="1">
      <c r="A19" s="2042" t="s">
        <v>375</v>
      </c>
      <c r="B19" s="2039"/>
      <c r="C19" s="2034"/>
      <c r="D19" s="2034"/>
      <c r="E19" s="2040">
        <v>12647</v>
      </c>
      <c r="F19" s="2040">
        <v>12647</v>
      </c>
      <c r="G19" s="2040">
        <v>12516</v>
      </c>
      <c r="H19" s="2040">
        <v>12565</v>
      </c>
      <c r="I19" s="2040">
        <v>12596</v>
      </c>
      <c r="J19" s="2040">
        <v>12676</v>
      </c>
      <c r="K19" s="2040">
        <v>12795</v>
      </c>
      <c r="L19" s="2040">
        <v>13207</v>
      </c>
      <c r="M19" s="2040"/>
      <c r="N19" s="2041">
        <v>13418.043987123419</v>
      </c>
      <c r="O19" s="2041">
        <v>13632.460395273638</v>
      </c>
      <c r="P19" s="2041">
        <v>13850.303114749722</v>
      </c>
      <c r="Q19" s="368"/>
      <c r="R19" s="368"/>
    </row>
    <row r="20" spans="1:18" s="344" customFormat="1" ht="18" customHeight="1">
      <c r="A20" s="2034"/>
      <c r="B20" s="2034"/>
      <c r="C20" s="2034"/>
      <c r="D20" s="2034"/>
      <c r="E20" s="2040" t="s">
        <v>386</v>
      </c>
      <c r="F20" s="2023"/>
      <c r="G20" s="2023"/>
      <c r="H20" s="2023"/>
      <c r="I20" s="2023"/>
      <c r="J20" s="2040" t="s">
        <v>386</v>
      </c>
      <c r="K20" s="2040" t="s">
        <v>386</v>
      </c>
      <c r="L20" s="2040"/>
      <c r="M20" s="2040"/>
      <c r="N20" s="2041"/>
      <c r="O20" s="2038"/>
      <c r="P20" s="2023"/>
    </row>
    <row r="21" spans="1:18" s="344" customFormat="1" ht="18" customHeight="1">
      <c r="A21" s="2036" t="s">
        <v>1723</v>
      </c>
      <c r="B21" s="2036"/>
      <c r="C21" s="2034"/>
      <c r="D21" s="2034"/>
      <c r="E21" s="2037">
        <f t="shared" ref="E21:L21" si="2">E10+E13</f>
        <v>265542</v>
      </c>
      <c r="F21" s="2037">
        <f t="shared" si="2"/>
        <v>258097</v>
      </c>
      <c r="G21" s="2037">
        <f t="shared" si="2"/>
        <v>252525</v>
      </c>
      <c r="H21" s="2037">
        <f t="shared" si="2"/>
        <v>249330</v>
      </c>
      <c r="I21" s="2037">
        <f t="shared" si="2"/>
        <v>246659</v>
      </c>
      <c r="J21" s="2037">
        <f t="shared" si="2"/>
        <v>245487</v>
      </c>
      <c r="K21" s="2037">
        <f t="shared" si="2"/>
        <v>242356</v>
      </c>
      <c r="L21" s="2037">
        <f t="shared" si="2"/>
        <v>241633</v>
      </c>
      <c r="M21" s="2037"/>
      <c r="N21" s="2037">
        <f>N10+N13</f>
        <v>240212.75787348492</v>
      </c>
      <c r="O21" s="2037">
        <f>O10+O13</f>
        <v>238913.45967590626</v>
      </c>
      <c r="P21" s="2037">
        <f>P10+P13</f>
        <v>237733.73681594225</v>
      </c>
    </row>
    <row r="22" spans="1:18" s="344" customFormat="1" ht="15" customHeight="1">
      <c r="A22" s="2043"/>
      <c r="B22" s="2043"/>
      <c r="C22" s="2044"/>
      <c r="D22" s="2044"/>
      <c r="E22" s="2045"/>
      <c r="F22" s="2045"/>
      <c r="G22" s="2045"/>
      <c r="H22" s="2044"/>
      <c r="I22" s="2047"/>
      <c r="J22" s="2047"/>
      <c r="K22" s="2047"/>
      <c r="L22" s="2047"/>
      <c r="M22" s="2047"/>
      <c r="N22" s="2048"/>
      <c r="O22" s="2048"/>
      <c r="P22" s="2048"/>
    </row>
    <row r="23" spans="1:18" s="344" customFormat="1" ht="15" customHeight="1">
      <c r="A23" s="2023"/>
      <c r="B23" s="2023"/>
      <c r="C23" s="2023"/>
      <c r="D23" s="2023"/>
      <c r="E23" s="2031"/>
      <c r="F23" s="2031"/>
      <c r="G23" s="2031"/>
      <c r="H23" s="2031"/>
      <c r="I23" s="2050"/>
      <c r="J23" s="2050"/>
      <c r="K23" s="2050"/>
      <c r="L23" s="2050"/>
      <c r="M23" s="2050"/>
      <c r="N23" s="2023"/>
      <c r="O23" s="2023"/>
      <c r="P23" s="2023"/>
    </row>
    <row r="24" spans="1:18" s="344" customFormat="1" ht="31.5" customHeight="1">
      <c r="A24" s="2377" t="s">
        <v>376</v>
      </c>
      <c r="B24" s="2721" t="s">
        <v>1841</v>
      </c>
      <c r="C24" s="2721"/>
      <c r="D24" s="2721"/>
      <c r="E24" s="2721"/>
      <c r="F24" s="2721"/>
      <c r="G24" s="2721"/>
      <c r="H24" s="2721"/>
      <c r="I24" s="2721"/>
      <c r="J24" s="2721"/>
      <c r="K24" s="2721"/>
      <c r="L24" s="2721"/>
      <c r="M24" s="2721"/>
      <c r="N24" s="2721"/>
      <c r="O24" s="2721"/>
      <c r="P24" s="2721"/>
    </row>
    <row r="25" spans="1:18" s="2370" customFormat="1" ht="15.75" customHeight="1">
      <c r="A25" s="2377" t="s">
        <v>377</v>
      </c>
      <c r="B25" s="2378" t="s">
        <v>1725</v>
      </c>
      <c r="C25" s="2378"/>
      <c r="D25" s="2378"/>
      <c r="E25" s="2378"/>
      <c r="F25" s="2378"/>
      <c r="G25" s="2378"/>
      <c r="H25" s="2378"/>
      <c r="I25" s="2378"/>
      <c r="J25" s="2378"/>
      <c r="K25" s="2378"/>
      <c r="L25" s="2378"/>
      <c r="M25" s="2378"/>
      <c r="N25" s="2378"/>
      <c r="O25" s="2378"/>
      <c r="P25" s="2027"/>
    </row>
    <row r="26" spans="1:18" s="344" customFormat="1" ht="15" customHeight="1">
      <c r="A26" s="2379"/>
      <c r="B26" s="2060"/>
      <c r="C26" s="2034"/>
      <c r="D26" s="2031"/>
      <c r="E26" s="2031"/>
      <c r="F26" s="2031"/>
      <c r="G26" s="2031"/>
      <c r="H26" s="2031"/>
      <c r="I26" s="2023"/>
      <c r="J26" s="2023"/>
      <c r="K26" s="2023"/>
      <c r="L26" s="2023"/>
      <c r="M26" s="2023"/>
      <c r="N26" s="2023"/>
      <c r="O26" s="2023"/>
      <c r="P26" s="2023"/>
    </row>
    <row r="27" spans="1:18" s="344" customFormat="1" ht="12.75" customHeight="1">
      <c r="A27" s="2057" t="s">
        <v>1726</v>
      </c>
      <c r="B27" s="2057"/>
      <c r="C27" s="2057"/>
      <c r="D27" s="2031"/>
      <c r="E27" s="2031"/>
      <c r="F27" s="2031"/>
      <c r="G27" s="2031"/>
      <c r="H27" s="2031"/>
      <c r="I27" s="2023"/>
      <c r="J27" s="2023"/>
      <c r="K27" s="2023"/>
      <c r="L27" s="2023"/>
      <c r="M27" s="2023"/>
      <c r="N27" s="2023"/>
      <c r="O27" s="2023"/>
      <c r="P27" s="2023"/>
    </row>
    <row r="28" spans="1:18" s="344" customFormat="1" ht="15">
      <c r="A28" s="2034"/>
      <c r="B28" s="2721" t="s">
        <v>1727</v>
      </c>
      <c r="C28" s="2721"/>
      <c r="D28" s="2721"/>
      <c r="E28" s="2721"/>
      <c r="F28" s="2721"/>
      <c r="G28" s="2721"/>
      <c r="H28" s="2721"/>
      <c r="I28" s="2721"/>
      <c r="J28" s="2721"/>
      <c r="K28" s="2721"/>
      <c r="L28" s="2721"/>
      <c r="M28" s="2721"/>
      <c r="N28" s="2721"/>
      <c r="O28" s="2721"/>
      <c r="P28" s="2721"/>
    </row>
    <row r="29" spans="1:18" s="344" customFormat="1" ht="15">
      <c r="A29" s="2034"/>
      <c r="B29" s="2722" t="s">
        <v>1842</v>
      </c>
      <c r="C29" s="2722"/>
      <c r="D29" s="2722"/>
      <c r="E29" s="2722"/>
      <c r="F29" s="2722"/>
      <c r="G29" s="2722"/>
      <c r="H29" s="2722"/>
      <c r="I29" s="2722"/>
      <c r="J29" s="2722"/>
      <c r="K29" s="2722"/>
      <c r="L29" s="2722"/>
      <c r="M29" s="2722"/>
      <c r="N29" s="2722"/>
      <c r="O29" s="2722"/>
      <c r="P29" s="2023"/>
    </row>
    <row r="30" spans="1:18">
      <c r="A30" s="2380"/>
      <c r="B30" s="2060" t="s">
        <v>1843</v>
      </c>
      <c r="C30" s="2060"/>
      <c r="D30" s="2060"/>
      <c r="E30" s="2060"/>
      <c r="F30" s="2060"/>
      <c r="G30" s="2060"/>
      <c r="H30" s="2060"/>
      <c r="I30" s="2060"/>
      <c r="J30" s="2060"/>
      <c r="K30" s="2060"/>
      <c r="L30" s="2060"/>
      <c r="M30" s="2034"/>
      <c r="N30" s="2034"/>
      <c r="O30" s="2034"/>
      <c r="P30" s="2034"/>
    </row>
    <row r="31" spans="1:18" ht="12.75" customHeight="1">
      <c r="B31" s="2381"/>
    </row>
    <row r="32" spans="1:18" ht="15" customHeight="1">
      <c r="A32" s="2382" t="s">
        <v>1729</v>
      </c>
      <c r="B32" s="2383"/>
      <c r="C32" s="2034"/>
      <c r="D32" s="2034"/>
      <c r="E32" s="2034"/>
      <c r="F32" s="2034"/>
      <c r="G32" s="2034"/>
      <c r="H32" s="2063"/>
      <c r="I32" s="2034"/>
      <c r="J32" s="2034"/>
      <c r="K32" s="2034"/>
      <c r="L32" s="2034"/>
      <c r="M32" s="2034"/>
    </row>
    <row r="33" spans="1:16" ht="31.7" customHeight="1">
      <c r="A33" s="2034"/>
      <c r="B33" s="2723" t="s">
        <v>1730</v>
      </c>
      <c r="C33" s="2723"/>
      <c r="D33" s="2723"/>
      <c r="E33" s="2723"/>
      <c r="F33" s="2723"/>
      <c r="G33" s="2723"/>
      <c r="H33" s="2723"/>
      <c r="I33" s="2723"/>
      <c r="J33" s="2723"/>
      <c r="K33" s="2723"/>
      <c r="L33" s="2723"/>
      <c r="M33" s="2723"/>
      <c r="N33" s="2723"/>
      <c r="O33" s="2723"/>
      <c r="P33" s="2723"/>
    </row>
    <row r="34" spans="1:16" s="344" customFormat="1" ht="15" customHeight="1">
      <c r="A34" s="2384"/>
      <c r="B34" s="2060"/>
      <c r="C34" s="2060"/>
      <c r="D34" s="2060"/>
      <c r="E34" s="2060"/>
      <c r="F34" s="2060"/>
      <c r="G34" s="2060"/>
      <c r="H34" s="345"/>
    </row>
    <row r="35" spans="1:16" s="344" customFormat="1" ht="15" customHeight="1">
      <c r="A35" s="355"/>
      <c r="B35" s="374"/>
      <c r="C35" s="345"/>
      <c r="D35" s="345"/>
      <c r="E35" s="345"/>
      <c r="F35" s="345"/>
      <c r="G35" s="345"/>
      <c r="H35" s="345"/>
    </row>
    <row r="36" spans="1:16" s="344" customFormat="1" ht="15" customHeight="1">
      <c r="A36" s="345"/>
      <c r="B36" s="345"/>
      <c r="C36" s="345"/>
      <c r="D36" s="345"/>
      <c r="E36" s="345"/>
      <c r="F36" s="345"/>
      <c r="G36" s="345"/>
      <c r="H36" s="345"/>
    </row>
    <row r="37" spans="1:16" s="344" customFormat="1" ht="16.5" customHeight="1">
      <c r="A37" s="345"/>
      <c r="B37" s="345"/>
      <c r="C37" s="345"/>
      <c r="D37" s="345"/>
      <c r="E37" s="345"/>
      <c r="F37" s="345"/>
      <c r="G37" s="345"/>
      <c r="H37" s="345"/>
    </row>
    <row r="38" spans="1:16" s="344" customFormat="1" ht="15">
      <c r="A38" s="373"/>
      <c r="B38" s="373"/>
      <c r="C38" s="345"/>
      <c r="D38" s="345"/>
      <c r="E38" s="345"/>
      <c r="F38" s="345"/>
      <c r="G38" s="345"/>
      <c r="H38" s="345"/>
    </row>
    <row r="39" spans="1:16">
      <c r="A39" s="374"/>
      <c r="B39" s="374"/>
      <c r="C39" s="345"/>
      <c r="D39" s="345"/>
      <c r="E39" s="345"/>
      <c r="F39" s="345"/>
      <c r="G39" s="345"/>
      <c r="H39" s="345"/>
    </row>
    <row r="40" spans="1:16">
      <c r="A40" s="374"/>
      <c r="B40" s="374"/>
    </row>
    <row r="41" spans="1:16">
      <c r="A41" s="374"/>
      <c r="B41" s="374"/>
    </row>
  </sheetData>
  <mergeCells count="9">
    <mergeCell ref="B28:P28"/>
    <mergeCell ref="B29:O29"/>
    <mergeCell ref="B33:P33"/>
    <mergeCell ref="A1:P1"/>
    <mergeCell ref="A2:P2"/>
    <mergeCell ref="A3:P3"/>
    <mergeCell ref="E5:L5"/>
    <mergeCell ref="N5:P5"/>
    <mergeCell ref="B24:P24"/>
  </mergeCells>
  <printOptions horizontalCentered="1"/>
  <pageMargins left="0.4" right="0.4" top="0.7" bottom="0.5" header="0.5" footer="0.35"/>
  <pageSetup firstPageNumber="247"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0000"/>
  </sheetPr>
  <dimension ref="A1:O995"/>
  <sheetViews>
    <sheetView zoomScale="85" zoomScaleNormal="85" workbookViewId="0">
      <pane xSplit="3" ySplit="16" topLeftCell="D962" activePane="bottomRight" state="frozen"/>
      <selection pane="topRight" activeCell="D1" sqref="D1"/>
      <selection pane="bottomLeft" activeCell="A15" sqref="A15"/>
      <selection pane="bottomRight" activeCell="A952" sqref="A952"/>
    </sheetView>
  </sheetViews>
  <sheetFormatPr defaultRowHeight="12.75"/>
  <cols>
    <col min="2" max="2" width="20.125" bestFit="1" customWidth="1"/>
    <col min="3" max="3" width="12.75" bestFit="1" customWidth="1"/>
    <col min="4" max="5" width="15.875" bestFit="1" customWidth="1"/>
    <col min="6" max="6" width="17" bestFit="1" customWidth="1"/>
    <col min="11" max="11" width="29.375" bestFit="1" customWidth="1"/>
    <col min="12" max="12" width="12.75" bestFit="1" customWidth="1"/>
    <col min="13" max="13" width="57.625" bestFit="1" customWidth="1"/>
    <col min="14" max="14" width="13.125" customWidth="1"/>
    <col min="15" max="15" width="12.5" customWidth="1"/>
  </cols>
  <sheetData>
    <row r="1" spans="2:15">
      <c r="B1" t="s">
        <v>1834</v>
      </c>
      <c r="D1" s="32">
        <f ca="1">SUM(D2:D7)</f>
        <v>34670326</v>
      </c>
      <c r="E1" s="32">
        <f ca="1">SUM(E2:E7)</f>
        <v>37274822</v>
      </c>
      <c r="F1" s="32">
        <f ca="1">SUM(F2:F7)</f>
        <v>71945148</v>
      </c>
      <c r="L1" s="32"/>
      <c r="M1" s="32"/>
      <c r="N1" s="32"/>
      <c r="O1" s="32"/>
    </row>
    <row r="2" spans="2:15">
      <c r="B2" t="s">
        <v>621</v>
      </c>
      <c r="D2" s="32">
        <f t="shared" ref="D2:F9" ca="1" si="0">SUMIF($C$16:$J$1207,"="&amp;$B2,D$16:D$1207)/1000</f>
        <v>32800071</v>
      </c>
      <c r="E2" s="32">
        <f t="shared" ca="1" si="0"/>
        <v>35248546</v>
      </c>
      <c r="F2" s="32">
        <f t="shared" ca="1" si="0"/>
        <v>68048617</v>
      </c>
      <c r="L2" s="32"/>
      <c r="M2" s="32"/>
      <c r="N2" s="32"/>
      <c r="O2" s="32"/>
    </row>
    <row r="3" spans="2:15">
      <c r="B3" t="s">
        <v>644</v>
      </c>
      <c r="D3" s="32">
        <f t="shared" ca="1" si="0"/>
        <v>0</v>
      </c>
      <c r="E3" s="32">
        <f t="shared" ca="1" si="0"/>
        <v>0</v>
      </c>
      <c r="F3" s="32">
        <f t="shared" ca="1" si="0"/>
        <v>0</v>
      </c>
      <c r="L3" s="32"/>
      <c r="M3" s="32"/>
      <c r="N3" s="32"/>
      <c r="O3" s="32"/>
    </row>
    <row r="4" spans="2:15">
      <c r="B4" t="s">
        <v>624</v>
      </c>
      <c r="D4" s="32">
        <f t="shared" ca="1" si="0"/>
        <v>1258694</v>
      </c>
      <c r="E4" s="32">
        <f t="shared" ca="1" si="0"/>
        <v>1336273</v>
      </c>
      <c r="F4" s="32">
        <f t="shared" ca="1" si="0"/>
        <v>2594967</v>
      </c>
      <c r="L4" s="32"/>
      <c r="M4" s="32"/>
      <c r="N4" s="32"/>
      <c r="O4" s="32"/>
    </row>
    <row r="5" spans="2:15">
      <c r="B5" t="s">
        <v>625</v>
      </c>
      <c r="D5" s="32">
        <f t="shared" ca="1" si="0"/>
        <v>162777</v>
      </c>
      <c r="E5" s="32">
        <f t="shared" ca="1" si="0"/>
        <v>182111</v>
      </c>
      <c r="F5" s="32">
        <f t="shared" ca="1" si="0"/>
        <v>344888</v>
      </c>
      <c r="L5" s="32"/>
      <c r="M5" s="32"/>
      <c r="N5" s="32"/>
      <c r="O5" s="32"/>
    </row>
    <row r="6" spans="2:15">
      <c r="B6" t="s">
        <v>1809</v>
      </c>
      <c r="D6" s="32">
        <f t="shared" ca="1" si="0"/>
        <v>448784</v>
      </c>
      <c r="E6" s="32">
        <f t="shared" ca="1" si="0"/>
        <v>507892</v>
      </c>
      <c r="F6" s="32">
        <f t="shared" ca="1" si="0"/>
        <v>956676</v>
      </c>
      <c r="L6" s="32"/>
      <c r="M6" s="32"/>
      <c r="N6" s="32"/>
      <c r="O6" s="32"/>
    </row>
    <row r="7" spans="2:15">
      <c r="B7" t="s">
        <v>626</v>
      </c>
      <c r="D7" s="32">
        <f t="shared" ca="1" si="0"/>
        <v>0</v>
      </c>
      <c r="E7" s="32">
        <f t="shared" ca="1" si="0"/>
        <v>0</v>
      </c>
      <c r="F7" s="32">
        <f t="shared" ca="1" si="0"/>
        <v>0</v>
      </c>
      <c r="L7" s="32"/>
      <c r="M7" s="32"/>
      <c r="N7" s="32"/>
      <c r="O7" s="32"/>
    </row>
    <row r="8" spans="2:15">
      <c r="B8" t="s">
        <v>657</v>
      </c>
      <c r="D8" s="32">
        <f t="shared" ca="1" si="0"/>
        <v>0</v>
      </c>
      <c r="E8" s="32">
        <f t="shared" ca="1" si="0"/>
        <v>0</v>
      </c>
      <c r="F8" s="32">
        <f t="shared" ca="1" si="0"/>
        <v>0</v>
      </c>
      <c r="L8" s="32"/>
      <c r="M8" s="32"/>
      <c r="N8" s="32"/>
      <c r="O8" s="32"/>
    </row>
    <row r="9" spans="2:15">
      <c r="B9" t="s">
        <v>638</v>
      </c>
      <c r="D9" s="32">
        <f t="shared" ca="1" si="0"/>
        <v>1568892</v>
      </c>
      <c r="E9" s="32">
        <f t="shared" ca="1" si="0"/>
        <v>1601804</v>
      </c>
      <c r="F9" s="32">
        <f t="shared" ca="1" si="0"/>
        <v>3170696</v>
      </c>
      <c r="L9" s="32"/>
      <c r="M9" s="32"/>
      <c r="N9" s="32"/>
      <c r="O9" s="32"/>
    </row>
    <row r="10" spans="2:15">
      <c r="D10" s="32"/>
      <c r="E10" s="32"/>
      <c r="F10" s="32"/>
      <c r="L10" s="32"/>
      <c r="M10" s="32"/>
      <c r="N10" s="32"/>
      <c r="O10" s="32"/>
    </row>
    <row r="11" spans="2:15">
      <c r="B11" t="s">
        <v>1873</v>
      </c>
      <c r="D11" s="32"/>
      <c r="E11" s="32"/>
      <c r="F11" s="32"/>
      <c r="K11" t="str">
        <f>+M16</f>
        <v>Preventive Facility Maintenance and Building System Repairs</v>
      </c>
    </row>
    <row r="12" spans="2:15">
      <c r="B12" s="1291" t="s">
        <v>1626</v>
      </c>
      <c r="C12" t="s">
        <v>603</v>
      </c>
    </row>
    <row r="13" spans="2:15">
      <c r="B13" s="1291" t="s">
        <v>1643</v>
      </c>
      <c r="C13" t="s">
        <v>603</v>
      </c>
      <c r="K13" t="s">
        <v>1874</v>
      </c>
    </row>
    <row r="14" spans="2:15">
      <c r="K14" s="1291" t="s">
        <v>1644</v>
      </c>
      <c r="N14" s="1291" t="s">
        <v>1645</v>
      </c>
    </row>
    <row r="15" spans="2:15">
      <c r="B15" s="1291" t="s">
        <v>1627</v>
      </c>
      <c r="D15" s="1291" t="s">
        <v>1182</v>
      </c>
      <c r="K15" s="1291" t="s">
        <v>1618</v>
      </c>
      <c r="L15" s="1291" t="s">
        <v>619</v>
      </c>
      <c r="M15" s="1291" t="s">
        <v>1646</v>
      </c>
      <c r="N15" s="2408" t="s">
        <v>1973</v>
      </c>
    </row>
    <row r="16" spans="2:15">
      <c r="B16" s="1291" t="s">
        <v>1618</v>
      </c>
      <c r="C16" s="1291" t="s">
        <v>619</v>
      </c>
      <c r="D16" t="s">
        <v>1952</v>
      </c>
      <c r="E16" t="s">
        <v>1951</v>
      </c>
      <c r="F16" t="s">
        <v>138</v>
      </c>
      <c r="K16" t="s">
        <v>139</v>
      </c>
      <c r="L16" t="s">
        <v>635</v>
      </c>
      <c r="M16" t="s">
        <v>855</v>
      </c>
      <c r="N16" s="32">
        <v>25825</v>
      </c>
    </row>
    <row r="17" spans="1:14">
      <c r="A17" t="str">
        <f>+B17&amp;C17</f>
        <v>010001-1</v>
      </c>
      <c r="B17" t="s">
        <v>1197</v>
      </c>
      <c r="C17" t="s">
        <v>621</v>
      </c>
      <c r="D17" s="32">
        <v>1403302000</v>
      </c>
      <c r="E17" s="32">
        <v>1472921000</v>
      </c>
      <c r="F17" s="32">
        <v>2876223000</v>
      </c>
      <c r="K17" t="s">
        <v>140</v>
      </c>
      <c r="L17" t="s">
        <v>645</v>
      </c>
      <c r="M17" t="s">
        <v>855</v>
      </c>
      <c r="N17" s="32">
        <v>10115</v>
      </c>
    </row>
    <row r="18" spans="1:14">
      <c r="A18" t="str">
        <f t="shared" ref="A18:A81" si="1">+B18&amp;C18</f>
        <v>010057-1</v>
      </c>
      <c r="B18" t="s">
        <v>1197</v>
      </c>
      <c r="C18" t="s">
        <v>623</v>
      </c>
      <c r="D18" s="32">
        <v>10929000</v>
      </c>
      <c r="E18" s="32">
        <v>13855000</v>
      </c>
      <c r="F18" s="32">
        <v>24784000</v>
      </c>
      <c r="K18" t="s">
        <v>141</v>
      </c>
      <c r="N18" s="32">
        <v>2217</v>
      </c>
    </row>
    <row r="19" spans="1:14">
      <c r="A19" t="str">
        <f t="shared" si="1"/>
        <v>01009H-1</v>
      </c>
      <c r="B19" t="s">
        <v>1197</v>
      </c>
      <c r="C19" t="s">
        <v>1380</v>
      </c>
      <c r="D19" s="32">
        <v>171000</v>
      </c>
      <c r="E19" s="32">
        <v>96000</v>
      </c>
      <c r="F19" s="32">
        <v>267000</v>
      </c>
      <c r="K19" t="s">
        <v>142</v>
      </c>
      <c r="L19" t="s">
        <v>650</v>
      </c>
      <c r="M19" t="s">
        <v>855</v>
      </c>
      <c r="N19" s="32">
        <v>2422</v>
      </c>
    </row>
    <row r="20" spans="1:14">
      <c r="A20" t="str">
        <f t="shared" si="1"/>
        <v>01010P-1</v>
      </c>
      <c r="B20" t="s">
        <v>1197</v>
      </c>
      <c r="C20" t="s">
        <v>1989</v>
      </c>
      <c r="D20" s="32">
        <v>4000</v>
      </c>
      <c r="E20" s="32"/>
      <c r="F20" s="32">
        <v>4000</v>
      </c>
      <c r="K20" t="s">
        <v>143</v>
      </c>
      <c r="L20" t="s">
        <v>652</v>
      </c>
      <c r="M20" t="s">
        <v>533</v>
      </c>
      <c r="N20" s="32">
        <v>880</v>
      </c>
    </row>
    <row r="21" spans="1:14">
      <c r="A21" t="str">
        <f t="shared" si="1"/>
        <v>01020H-1</v>
      </c>
      <c r="B21" t="s">
        <v>1197</v>
      </c>
      <c r="C21" t="s">
        <v>1640</v>
      </c>
      <c r="D21" s="32">
        <v>1167000</v>
      </c>
      <c r="E21" s="32">
        <v>4381000</v>
      </c>
      <c r="F21" s="32">
        <v>5548000</v>
      </c>
      <c r="K21" t="s">
        <v>144</v>
      </c>
      <c r="L21" t="s">
        <v>653</v>
      </c>
      <c r="M21" t="s">
        <v>533</v>
      </c>
      <c r="N21" s="32">
        <v>3614</v>
      </c>
    </row>
    <row r="22" spans="1:14">
      <c r="A22" t="str">
        <f t="shared" si="1"/>
        <v>010215-1</v>
      </c>
      <c r="B22" t="s">
        <v>1197</v>
      </c>
      <c r="C22" t="s">
        <v>1423</v>
      </c>
      <c r="D22" s="32">
        <v>153000</v>
      </c>
      <c r="E22" s="32">
        <v>386000</v>
      </c>
      <c r="F22" s="32">
        <v>539000</v>
      </c>
      <c r="K22" t="s">
        <v>145</v>
      </c>
      <c r="L22" t="s">
        <v>654</v>
      </c>
      <c r="M22" t="s">
        <v>1974</v>
      </c>
      <c r="N22" s="32">
        <v>22800</v>
      </c>
    </row>
    <row r="23" spans="1:14">
      <c r="A23" t="str">
        <f t="shared" si="1"/>
        <v>010303-1</v>
      </c>
      <c r="B23" t="s">
        <v>1197</v>
      </c>
      <c r="C23" t="s">
        <v>1331</v>
      </c>
      <c r="D23" s="32">
        <v>727749000</v>
      </c>
      <c r="E23" s="32">
        <v>747469000</v>
      </c>
      <c r="F23" s="32">
        <v>1475218000</v>
      </c>
      <c r="K23" t="s">
        <v>138</v>
      </c>
      <c r="N23" s="32">
        <v>67873</v>
      </c>
    </row>
    <row r="24" spans="1:14">
      <c r="A24" t="str">
        <f t="shared" si="1"/>
        <v>010304-1</v>
      </c>
      <c r="B24" t="s">
        <v>1197</v>
      </c>
      <c r="C24" t="s">
        <v>1256</v>
      </c>
      <c r="D24" s="32">
        <v>2976000</v>
      </c>
      <c r="E24" s="32">
        <v>1640000</v>
      </c>
      <c r="F24" s="32">
        <v>4616000</v>
      </c>
    </row>
    <row r="25" spans="1:14">
      <c r="A25" t="str">
        <f t="shared" si="1"/>
        <v>010305-1</v>
      </c>
      <c r="B25" t="s">
        <v>1197</v>
      </c>
      <c r="C25" t="s">
        <v>1421</v>
      </c>
      <c r="D25" s="32">
        <v>5319000</v>
      </c>
      <c r="E25" s="32">
        <v>4986000</v>
      </c>
      <c r="F25" s="32">
        <v>10305000</v>
      </c>
    </row>
    <row r="26" spans="1:14">
      <c r="A26" t="str">
        <f t="shared" si="1"/>
        <v>010355-1</v>
      </c>
      <c r="B26" t="s">
        <v>1197</v>
      </c>
      <c r="C26" t="s">
        <v>648</v>
      </c>
      <c r="D26" s="32">
        <v>923000</v>
      </c>
      <c r="E26" s="32">
        <v>129000</v>
      </c>
      <c r="F26" s="32">
        <v>1052000</v>
      </c>
    </row>
    <row r="27" spans="1:14">
      <c r="A27" t="str">
        <f t="shared" si="1"/>
        <v>010381-1</v>
      </c>
      <c r="B27" t="s">
        <v>1197</v>
      </c>
      <c r="C27" t="s">
        <v>1313</v>
      </c>
      <c r="D27" s="32">
        <v>119000</v>
      </c>
      <c r="E27" s="32"/>
      <c r="F27" s="32">
        <v>119000</v>
      </c>
    </row>
    <row r="28" spans="1:14">
      <c r="A28" t="str">
        <f t="shared" si="1"/>
        <v>010383-1</v>
      </c>
      <c r="B28" t="s">
        <v>1197</v>
      </c>
      <c r="C28" t="s">
        <v>1534</v>
      </c>
      <c r="D28" s="32">
        <v>41686000</v>
      </c>
      <c r="E28" s="32">
        <v>38337000</v>
      </c>
      <c r="F28" s="32">
        <v>80023000</v>
      </c>
    </row>
    <row r="29" spans="1:14">
      <c r="A29" t="str">
        <f t="shared" si="1"/>
        <v>010389-1</v>
      </c>
      <c r="B29" t="s">
        <v>1197</v>
      </c>
      <c r="C29" t="s">
        <v>1552</v>
      </c>
      <c r="D29" s="32">
        <v>52060000</v>
      </c>
      <c r="E29" s="32">
        <v>50874000</v>
      </c>
      <c r="F29" s="32">
        <v>102934000</v>
      </c>
      <c r="K29" s="2399" t="s">
        <v>1858</v>
      </c>
    </row>
    <row r="30" spans="1:14">
      <c r="A30" t="str">
        <f t="shared" si="1"/>
        <v>010389-2</v>
      </c>
      <c r="B30" t="s">
        <v>1197</v>
      </c>
      <c r="C30" t="s">
        <v>1537</v>
      </c>
      <c r="D30" s="32">
        <v>133762000</v>
      </c>
      <c r="E30" s="32">
        <v>58728000</v>
      </c>
      <c r="F30" s="32">
        <v>192490000</v>
      </c>
      <c r="K30" t="s">
        <v>1873</v>
      </c>
    </row>
    <row r="31" spans="1:14">
      <c r="A31" t="str">
        <f t="shared" si="1"/>
        <v>010359-1</v>
      </c>
      <c r="B31" t="s">
        <v>1197</v>
      </c>
      <c r="C31" t="s">
        <v>1967</v>
      </c>
      <c r="D31" s="32">
        <v>5000</v>
      </c>
      <c r="E31" s="32"/>
      <c r="F31" s="32">
        <v>5000</v>
      </c>
      <c r="K31" s="1291" t="s">
        <v>619</v>
      </c>
      <c r="L31" t="s">
        <v>603</v>
      </c>
    </row>
    <row r="32" spans="1:14">
      <c r="A32" t="str">
        <f t="shared" si="1"/>
        <v>010366-1</v>
      </c>
      <c r="B32" t="s">
        <v>1197</v>
      </c>
      <c r="C32" t="s">
        <v>1804</v>
      </c>
      <c r="D32" s="32">
        <v>34000</v>
      </c>
      <c r="E32" s="32">
        <v>54000</v>
      </c>
      <c r="F32" s="32">
        <v>88000</v>
      </c>
      <c r="K32" s="1291" t="s">
        <v>1626</v>
      </c>
      <c r="L32" t="s">
        <v>603</v>
      </c>
    </row>
    <row r="33" spans="1:14">
      <c r="A33" t="str">
        <f t="shared" si="1"/>
        <v>011001-1</v>
      </c>
      <c r="B33" t="s">
        <v>1471</v>
      </c>
      <c r="C33" t="s">
        <v>621</v>
      </c>
      <c r="D33" s="32">
        <v>60051000</v>
      </c>
      <c r="E33" s="32">
        <v>62841000</v>
      </c>
      <c r="F33" s="32">
        <v>122892000</v>
      </c>
      <c r="K33" s="1291" t="s">
        <v>1643</v>
      </c>
      <c r="L33" t="s">
        <v>603</v>
      </c>
    </row>
    <row r="34" spans="1:14">
      <c r="A34" t="str">
        <f t="shared" si="1"/>
        <v>012001-1</v>
      </c>
      <c r="B34" t="s">
        <v>1186</v>
      </c>
      <c r="C34" t="s">
        <v>621</v>
      </c>
      <c r="D34" s="32">
        <v>44379000</v>
      </c>
      <c r="E34" s="32">
        <v>48193000</v>
      </c>
      <c r="F34" s="32">
        <v>92572000</v>
      </c>
    </row>
    <row r="35" spans="1:14">
      <c r="A35" t="str">
        <f t="shared" si="1"/>
        <v>013108-1</v>
      </c>
      <c r="B35" t="s">
        <v>1396</v>
      </c>
      <c r="C35" t="s">
        <v>1252</v>
      </c>
      <c r="D35" s="32">
        <v>2530000</v>
      </c>
      <c r="E35" s="32">
        <v>2570000</v>
      </c>
      <c r="F35" s="32">
        <v>5100000</v>
      </c>
      <c r="K35" s="1291" t="s">
        <v>1627</v>
      </c>
      <c r="L35" s="1291" t="s">
        <v>1182</v>
      </c>
    </row>
    <row r="36" spans="1:14">
      <c r="A36" t="str">
        <f t="shared" si="1"/>
        <v>013109-1</v>
      </c>
      <c r="B36" t="s">
        <v>1396</v>
      </c>
      <c r="C36" t="s">
        <v>1367</v>
      </c>
      <c r="D36" s="32">
        <v>50000</v>
      </c>
      <c r="E36" s="32">
        <v>50000</v>
      </c>
      <c r="F36" s="32">
        <v>100000</v>
      </c>
      <c r="K36" s="1291" t="s">
        <v>1618</v>
      </c>
      <c r="L36" t="s">
        <v>1952</v>
      </c>
      <c r="M36" t="s">
        <v>1951</v>
      </c>
      <c r="N36" t="s">
        <v>138</v>
      </c>
    </row>
    <row r="37" spans="1:14">
      <c r="A37" t="str">
        <f t="shared" si="1"/>
        <v>013218-1</v>
      </c>
      <c r="B37" t="s">
        <v>1396</v>
      </c>
      <c r="C37" t="s">
        <v>1298</v>
      </c>
      <c r="D37" s="32">
        <v>338000</v>
      </c>
      <c r="E37" s="32">
        <v>214000</v>
      </c>
      <c r="F37" s="32">
        <v>552000</v>
      </c>
      <c r="K37" t="s">
        <v>139</v>
      </c>
      <c r="L37" s="32">
        <v>54249000</v>
      </c>
      <c r="M37" s="32">
        <v>61638000</v>
      </c>
      <c r="N37" s="32">
        <v>115887000</v>
      </c>
    </row>
    <row r="38" spans="1:14">
      <c r="A38" t="str">
        <f t="shared" si="1"/>
        <v>01326A-1</v>
      </c>
      <c r="B38" t="s">
        <v>1396</v>
      </c>
      <c r="C38" t="s">
        <v>1908</v>
      </c>
      <c r="D38" s="32">
        <v>1738000</v>
      </c>
      <c r="E38" s="32">
        <v>1739000</v>
      </c>
      <c r="F38" s="32">
        <v>3477000</v>
      </c>
      <c r="K38" t="s">
        <v>140</v>
      </c>
      <c r="L38" s="32">
        <v>23706000</v>
      </c>
      <c r="M38" s="32">
        <v>26504000</v>
      </c>
      <c r="N38" s="32">
        <v>50210000</v>
      </c>
    </row>
    <row r="39" spans="1:14">
      <c r="A39" t="str">
        <f t="shared" si="1"/>
        <v>01414V-1</v>
      </c>
      <c r="B39" t="s">
        <v>1294</v>
      </c>
      <c r="C39" t="s">
        <v>1449</v>
      </c>
      <c r="D39" s="32">
        <v>200000</v>
      </c>
      <c r="E39" s="32">
        <v>200000</v>
      </c>
      <c r="F39" s="32">
        <v>400000</v>
      </c>
      <c r="K39" t="s">
        <v>141</v>
      </c>
      <c r="L39" s="32">
        <v>12374000</v>
      </c>
      <c r="M39" s="32">
        <v>12535000</v>
      </c>
      <c r="N39" s="32">
        <v>24909000</v>
      </c>
    </row>
    <row r="40" spans="1:14">
      <c r="A40" t="str">
        <f t="shared" si="1"/>
        <v>014553-1</v>
      </c>
      <c r="B40" t="s">
        <v>1294</v>
      </c>
      <c r="C40" t="s">
        <v>1369</v>
      </c>
      <c r="D40" s="32">
        <v>7904000</v>
      </c>
      <c r="E40" s="32">
        <v>7546000</v>
      </c>
      <c r="F40" s="32">
        <v>15450000</v>
      </c>
      <c r="K40" t="s">
        <v>142</v>
      </c>
      <c r="L40" s="32">
        <v>7971000</v>
      </c>
      <c r="M40" s="32">
        <v>7919000</v>
      </c>
      <c r="N40" s="32">
        <v>15890000</v>
      </c>
    </row>
    <row r="41" spans="1:14">
      <c r="A41" t="str">
        <f t="shared" si="1"/>
        <v>020108-1</v>
      </c>
      <c r="B41" t="s">
        <v>1269</v>
      </c>
      <c r="C41" t="s">
        <v>1252</v>
      </c>
      <c r="D41" s="32">
        <v>364000</v>
      </c>
      <c r="E41" s="32">
        <v>380000</v>
      </c>
      <c r="F41" s="32">
        <v>744000</v>
      </c>
      <c r="K41" t="s">
        <v>143</v>
      </c>
      <c r="L41" s="32">
        <v>2811000</v>
      </c>
      <c r="M41" s="32">
        <v>3064000</v>
      </c>
      <c r="N41" s="32">
        <v>5875000</v>
      </c>
    </row>
    <row r="42" spans="1:14">
      <c r="A42" t="str">
        <f t="shared" si="1"/>
        <v>020553-1</v>
      </c>
      <c r="B42" t="s">
        <v>1269</v>
      </c>
      <c r="C42" t="s">
        <v>1369</v>
      </c>
      <c r="D42" s="32">
        <v>2607000</v>
      </c>
      <c r="E42" s="32">
        <v>2733000</v>
      </c>
      <c r="F42" s="32">
        <v>5340000</v>
      </c>
      <c r="K42" t="s">
        <v>144</v>
      </c>
      <c r="L42" s="32">
        <v>10423000</v>
      </c>
      <c r="M42" s="32">
        <v>13265000</v>
      </c>
      <c r="N42" s="32">
        <v>23688000</v>
      </c>
    </row>
    <row r="43" spans="1:14">
      <c r="A43" t="str">
        <f t="shared" si="1"/>
        <v>035001-1</v>
      </c>
      <c r="B43" t="s">
        <v>1477</v>
      </c>
      <c r="C43" t="s">
        <v>621</v>
      </c>
      <c r="D43" s="32">
        <v>409000</v>
      </c>
      <c r="E43" s="32">
        <v>423000</v>
      </c>
      <c r="F43" s="32">
        <v>832000</v>
      </c>
      <c r="K43" t="s">
        <v>145</v>
      </c>
      <c r="L43" s="32">
        <v>157703000</v>
      </c>
      <c r="M43" s="32">
        <v>167916000</v>
      </c>
      <c r="N43" s="32">
        <v>325619000</v>
      </c>
    </row>
    <row r="44" spans="1:14">
      <c r="A44" t="str">
        <f t="shared" si="1"/>
        <v>035418-1</v>
      </c>
      <c r="B44" t="s">
        <v>1477</v>
      </c>
      <c r="C44" t="s">
        <v>1432</v>
      </c>
      <c r="D44" s="32">
        <v>142000</v>
      </c>
      <c r="E44" s="32">
        <v>149000</v>
      </c>
      <c r="F44" s="32">
        <v>291000</v>
      </c>
      <c r="K44" t="s">
        <v>1164</v>
      </c>
      <c r="L44" s="32">
        <v>164892000</v>
      </c>
      <c r="M44" s="32">
        <v>187142000</v>
      </c>
      <c r="N44" s="32">
        <v>352034000</v>
      </c>
    </row>
    <row r="45" spans="1:14">
      <c r="A45" t="str">
        <f t="shared" si="1"/>
        <v>035600-1</v>
      </c>
      <c r="B45" t="s">
        <v>1477</v>
      </c>
      <c r="C45" t="s">
        <v>1261</v>
      </c>
      <c r="D45" s="32">
        <v>3511000</v>
      </c>
      <c r="E45" s="32">
        <v>3616000</v>
      </c>
      <c r="F45" s="32">
        <v>7127000</v>
      </c>
      <c r="K45" t="s">
        <v>138</v>
      </c>
      <c r="L45" s="32">
        <v>434129000</v>
      </c>
      <c r="M45" s="32">
        <v>479983000</v>
      </c>
      <c r="N45" s="32">
        <v>914112000</v>
      </c>
    </row>
    <row r="46" spans="1:14">
      <c r="A46" t="str">
        <f t="shared" si="1"/>
        <v>035492-1</v>
      </c>
      <c r="B46" t="s">
        <v>1477</v>
      </c>
      <c r="C46" t="s">
        <v>1736</v>
      </c>
      <c r="D46" s="32">
        <v>128000</v>
      </c>
      <c r="E46" s="32">
        <v>130000</v>
      </c>
      <c r="F46" s="32">
        <v>258000</v>
      </c>
    </row>
    <row r="47" spans="1:14">
      <c r="A47" t="str">
        <f t="shared" si="1"/>
        <v>036001-1</v>
      </c>
      <c r="B47" t="s">
        <v>1880</v>
      </c>
      <c r="C47" t="s">
        <v>621</v>
      </c>
      <c r="D47" s="32">
        <v>961000</v>
      </c>
      <c r="E47" s="32">
        <v>965000</v>
      </c>
      <c r="F47" s="32">
        <v>1926000</v>
      </c>
    </row>
    <row r="48" spans="1:14">
      <c r="A48" t="str">
        <f t="shared" si="1"/>
        <v>037001-1</v>
      </c>
      <c r="B48" t="s">
        <v>1417</v>
      </c>
      <c r="C48" t="s">
        <v>621</v>
      </c>
      <c r="D48" s="32">
        <v>5887000</v>
      </c>
      <c r="E48" s="32">
        <v>6702000</v>
      </c>
      <c r="F48" s="32">
        <v>12589000</v>
      </c>
    </row>
    <row r="49" spans="1:15">
      <c r="A49" t="str">
        <f t="shared" si="1"/>
        <v>037442-6</v>
      </c>
      <c r="B49" t="s">
        <v>1417</v>
      </c>
      <c r="C49" t="s">
        <v>1418</v>
      </c>
      <c r="D49" s="32">
        <v>92000</v>
      </c>
      <c r="E49" s="32">
        <v>92000</v>
      </c>
      <c r="F49" s="32">
        <v>184000</v>
      </c>
    </row>
    <row r="50" spans="1:15">
      <c r="A50" t="str">
        <f t="shared" si="1"/>
        <v>038001-1</v>
      </c>
      <c r="B50" t="s">
        <v>1268</v>
      </c>
      <c r="C50" t="s">
        <v>621</v>
      </c>
      <c r="D50" s="32">
        <v>21469000</v>
      </c>
      <c r="E50" s="32">
        <v>20862000</v>
      </c>
      <c r="F50" s="32">
        <v>42331000</v>
      </c>
    </row>
    <row r="51" spans="1:15">
      <c r="A51" t="str">
        <f t="shared" si="1"/>
        <v>040001-1</v>
      </c>
      <c r="B51" t="s">
        <v>1258</v>
      </c>
      <c r="C51" t="s">
        <v>621</v>
      </c>
      <c r="D51" s="32">
        <v>6193000</v>
      </c>
      <c r="E51" s="32">
        <v>6863000</v>
      </c>
      <c r="F51" s="32">
        <v>13056000</v>
      </c>
    </row>
    <row r="52" spans="1:15">
      <c r="A52" t="str">
        <f t="shared" si="1"/>
        <v>040197-6</v>
      </c>
      <c r="B52" t="s">
        <v>1258</v>
      </c>
      <c r="C52" t="s">
        <v>1309</v>
      </c>
      <c r="D52" s="32">
        <v>203000</v>
      </c>
      <c r="E52" s="32">
        <v>222000</v>
      </c>
      <c r="F52" s="32">
        <v>425000</v>
      </c>
    </row>
    <row r="53" spans="1:15">
      <c r="A53" t="str">
        <f t="shared" si="1"/>
        <v>045001-1</v>
      </c>
      <c r="B53" t="s">
        <v>1505</v>
      </c>
      <c r="C53" t="s">
        <v>621</v>
      </c>
      <c r="D53" s="32">
        <v>14870000</v>
      </c>
      <c r="E53" s="32">
        <v>16386000</v>
      </c>
      <c r="F53" s="32">
        <v>31256000</v>
      </c>
      <c r="K53" s="2399" t="s">
        <v>1869</v>
      </c>
    </row>
    <row r="54" spans="1:15">
      <c r="A54" t="str">
        <f t="shared" si="1"/>
        <v>048001-1</v>
      </c>
      <c r="B54" t="s">
        <v>1351</v>
      </c>
      <c r="C54" t="s">
        <v>621</v>
      </c>
      <c r="D54" s="32">
        <v>28173000</v>
      </c>
      <c r="E54" s="32">
        <v>27771000</v>
      </c>
      <c r="F54" s="32">
        <v>55944000</v>
      </c>
    </row>
    <row r="55" spans="1:15">
      <c r="A55" t="str">
        <f t="shared" si="1"/>
        <v>050001-1</v>
      </c>
      <c r="B55" t="s">
        <v>1352</v>
      </c>
      <c r="C55" t="s">
        <v>621</v>
      </c>
      <c r="D55" s="32">
        <v>2222000</v>
      </c>
      <c r="E55" s="32">
        <v>2221000</v>
      </c>
      <c r="F55" s="32">
        <v>4443000</v>
      </c>
      <c r="K55" t="s">
        <v>1873</v>
      </c>
    </row>
    <row r="56" spans="1:15">
      <c r="A56" t="str">
        <f t="shared" si="1"/>
        <v>055001-1</v>
      </c>
      <c r="B56" t="s">
        <v>1213</v>
      </c>
      <c r="C56" t="s">
        <v>621</v>
      </c>
      <c r="D56" s="32">
        <v>125457000</v>
      </c>
      <c r="E56" s="32">
        <v>125109000</v>
      </c>
      <c r="F56" s="32">
        <v>250566000</v>
      </c>
      <c r="K56" s="1291" t="s">
        <v>1626</v>
      </c>
      <c r="L56" t="s">
        <v>603</v>
      </c>
    </row>
    <row r="57" spans="1:15">
      <c r="A57" t="str">
        <f t="shared" si="1"/>
        <v>055001-2</v>
      </c>
      <c r="B57" t="s">
        <v>1213</v>
      </c>
      <c r="C57" t="s">
        <v>622</v>
      </c>
      <c r="D57" s="32">
        <v>1072000</v>
      </c>
      <c r="E57" s="32">
        <v>1137000</v>
      </c>
      <c r="F57" s="32">
        <v>2209000</v>
      </c>
    </row>
    <row r="58" spans="1:15">
      <c r="A58" t="str">
        <f t="shared" si="1"/>
        <v>055001-7</v>
      </c>
      <c r="B58" t="s">
        <v>1213</v>
      </c>
      <c r="C58" t="s">
        <v>632</v>
      </c>
      <c r="D58" s="32">
        <v>313000</v>
      </c>
      <c r="E58" s="32">
        <v>368000</v>
      </c>
      <c r="F58" s="32">
        <v>681000</v>
      </c>
      <c r="K58" s="1291" t="s">
        <v>1627</v>
      </c>
      <c r="M58" s="1291" t="s">
        <v>1182</v>
      </c>
    </row>
    <row r="59" spans="1:15">
      <c r="A59" t="str">
        <f t="shared" si="1"/>
        <v>05516A-1</v>
      </c>
      <c r="B59" t="s">
        <v>1213</v>
      </c>
      <c r="C59" t="s">
        <v>1214</v>
      </c>
      <c r="D59" s="32">
        <v>56705000</v>
      </c>
      <c r="E59" s="32">
        <v>66112000</v>
      </c>
      <c r="F59" s="32">
        <v>122817000</v>
      </c>
      <c r="K59" s="1291" t="s">
        <v>619</v>
      </c>
      <c r="L59" s="1291" t="s">
        <v>1618</v>
      </c>
      <c r="M59" t="s">
        <v>1952</v>
      </c>
      <c r="N59" t="s">
        <v>1951</v>
      </c>
      <c r="O59" t="s">
        <v>138</v>
      </c>
    </row>
    <row r="60" spans="1:15">
      <c r="A60" t="str">
        <f t="shared" si="1"/>
        <v>055543-1</v>
      </c>
      <c r="B60" t="s">
        <v>1213</v>
      </c>
      <c r="C60" t="s">
        <v>1469</v>
      </c>
      <c r="D60" s="32">
        <v>40384000</v>
      </c>
      <c r="E60" s="32">
        <v>39146000</v>
      </c>
      <c r="F60" s="32">
        <v>79530000</v>
      </c>
      <c r="K60" t="s">
        <v>1226</v>
      </c>
      <c r="M60" s="32">
        <v>812000</v>
      </c>
      <c r="N60" s="32">
        <v>834000</v>
      </c>
      <c r="O60" s="32">
        <v>1646000</v>
      </c>
    </row>
    <row r="61" spans="1:15">
      <c r="A61" t="str">
        <f t="shared" si="1"/>
        <v>05527W-1</v>
      </c>
      <c r="B61" t="s">
        <v>1213</v>
      </c>
      <c r="C61" t="s">
        <v>1961</v>
      </c>
      <c r="D61" s="32"/>
      <c r="E61" s="32">
        <v>479000</v>
      </c>
      <c r="F61" s="32">
        <v>479000</v>
      </c>
      <c r="K61" t="s">
        <v>654</v>
      </c>
      <c r="M61" s="32">
        <v>10684000</v>
      </c>
      <c r="N61" s="32">
        <v>10684000</v>
      </c>
      <c r="O61" s="32">
        <v>21368000</v>
      </c>
    </row>
    <row r="62" spans="1:15">
      <c r="A62" t="str">
        <f t="shared" si="1"/>
        <v>056001-1</v>
      </c>
      <c r="B62" t="s">
        <v>1300</v>
      </c>
      <c r="C62" t="s">
        <v>621</v>
      </c>
      <c r="D62" s="32">
        <v>69902000</v>
      </c>
      <c r="E62" s="32">
        <v>76781000</v>
      </c>
      <c r="F62" s="32">
        <v>146683000</v>
      </c>
      <c r="K62" t="s">
        <v>645</v>
      </c>
      <c r="M62" s="32">
        <v>396000</v>
      </c>
      <c r="N62" s="32">
        <v>396000</v>
      </c>
      <c r="O62" s="32">
        <v>792000</v>
      </c>
    </row>
    <row r="63" spans="1:15">
      <c r="A63" t="str">
        <f t="shared" si="1"/>
        <v>056001-2</v>
      </c>
      <c r="B63" t="s">
        <v>1300</v>
      </c>
      <c r="C63" t="s">
        <v>622</v>
      </c>
      <c r="D63" s="32">
        <v>335000</v>
      </c>
      <c r="E63" s="32">
        <v>50000</v>
      </c>
      <c r="F63" s="32">
        <v>385000</v>
      </c>
      <c r="K63" t="s">
        <v>650</v>
      </c>
      <c r="M63" s="32">
        <v>38000</v>
      </c>
      <c r="N63" s="32">
        <v>38000</v>
      </c>
      <c r="O63" s="32">
        <v>76000</v>
      </c>
    </row>
    <row r="64" spans="1:15">
      <c r="A64" t="str">
        <f t="shared" si="1"/>
        <v>05616A-1</v>
      </c>
      <c r="B64" t="s">
        <v>1300</v>
      </c>
      <c r="C64" t="s">
        <v>1214</v>
      </c>
      <c r="D64" s="32">
        <v>8036000</v>
      </c>
      <c r="E64" s="32">
        <v>7782000</v>
      </c>
      <c r="F64" s="32">
        <v>15818000</v>
      </c>
      <c r="K64" t="s">
        <v>635</v>
      </c>
      <c r="M64" s="32">
        <v>773000</v>
      </c>
      <c r="N64" s="32">
        <v>773000</v>
      </c>
      <c r="O64" s="32">
        <v>1546000</v>
      </c>
    </row>
    <row r="65" spans="1:15">
      <c r="A65" t="str">
        <f t="shared" si="1"/>
        <v>057001-1</v>
      </c>
      <c r="B65" t="s">
        <v>1337</v>
      </c>
      <c r="C65" t="s">
        <v>621</v>
      </c>
      <c r="D65" s="32">
        <v>54376000</v>
      </c>
      <c r="E65" s="32">
        <v>62001000</v>
      </c>
      <c r="F65" s="32">
        <v>116377000</v>
      </c>
      <c r="K65" t="s">
        <v>653</v>
      </c>
      <c r="M65" s="32">
        <v>712000</v>
      </c>
      <c r="N65" s="32">
        <v>712000</v>
      </c>
      <c r="O65" s="32">
        <v>1424000</v>
      </c>
    </row>
    <row r="66" spans="1:15">
      <c r="A66" t="str">
        <f t="shared" si="1"/>
        <v>05716A-1</v>
      </c>
      <c r="B66" t="s">
        <v>1337</v>
      </c>
      <c r="C66" t="s">
        <v>1214</v>
      </c>
      <c r="D66" s="32">
        <v>3119000</v>
      </c>
      <c r="E66" s="32">
        <v>3579000</v>
      </c>
      <c r="F66" s="32">
        <v>6698000</v>
      </c>
      <c r="K66" t="s">
        <v>652</v>
      </c>
      <c r="M66" s="32">
        <v>40000</v>
      </c>
      <c r="N66" s="32">
        <v>40000</v>
      </c>
      <c r="O66" s="32">
        <v>80000</v>
      </c>
    </row>
    <row r="67" spans="1:15">
      <c r="A67" t="str">
        <f t="shared" si="1"/>
        <v>05717L-6</v>
      </c>
      <c r="B67" t="s">
        <v>1337</v>
      </c>
      <c r="C67" t="s">
        <v>1455</v>
      </c>
      <c r="D67" s="32">
        <v>190000</v>
      </c>
      <c r="E67" s="32">
        <v>190000</v>
      </c>
      <c r="F67" s="32">
        <v>380000</v>
      </c>
      <c r="K67" t="s">
        <v>1180</v>
      </c>
      <c r="M67" s="32">
        <v>1555000</v>
      </c>
      <c r="N67" s="32">
        <v>1572000</v>
      </c>
      <c r="O67" s="32">
        <v>3127000</v>
      </c>
    </row>
    <row r="68" spans="1:15">
      <c r="A68" t="str">
        <f t="shared" si="1"/>
        <v>075001-1</v>
      </c>
      <c r="B68" t="s">
        <v>1328</v>
      </c>
      <c r="C68" t="s">
        <v>621</v>
      </c>
      <c r="D68" s="32">
        <v>24808000</v>
      </c>
      <c r="E68" s="32">
        <v>30250000</v>
      </c>
      <c r="F68" s="32">
        <v>55058000</v>
      </c>
      <c r="K68" t="s">
        <v>1743</v>
      </c>
      <c r="M68" s="32">
        <v>207000</v>
      </c>
      <c r="N68" s="32">
        <v>207000</v>
      </c>
      <c r="O68" s="32">
        <v>414000</v>
      </c>
    </row>
    <row r="69" spans="1:15">
      <c r="A69" t="str">
        <f t="shared" si="1"/>
        <v>075081-1</v>
      </c>
      <c r="B69" t="s">
        <v>1328</v>
      </c>
      <c r="C69" t="s">
        <v>1259</v>
      </c>
      <c r="D69" s="32">
        <v>375000</v>
      </c>
      <c r="E69" s="32">
        <v>375000</v>
      </c>
      <c r="F69" s="32">
        <v>750000</v>
      </c>
      <c r="K69" t="s">
        <v>639</v>
      </c>
      <c r="M69" s="32">
        <v>314000</v>
      </c>
      <c r="N69" s="32">
        <v>318000</v>
      </c>
      <c r="O69" s="32">
        <v>632000</v>
      </c>
    </row>
    <row r="70" spans="1:15">
      <c r="A70" t="str">
        <f t="shared" si="1"/>
        <v>07509R-1</v>
      </c>
      <c r="B70" t="s">
        <v>1328</v>
      </c>
      <c r="C70" t="s">
        <v>1180</v>
      </c>
      <c r="D70" s="32">
        <v>3174000</v>
      </c>
      <c r="E70" s="32">
        <v>7676000</v>
      </c>
      <c r="F70" s="32">
        <v>10850000</v>
      </c>
      <c r="K70" t="s">
        <v>1676</v>
      </c>
      <c r="M70" s="32">
        <v>110000</v>
      </c>
      <c r="N70" s="32">
        <v>110000</v>
      </c>
      <c r="O70" s="32">
        <v>220000</v>
      </c>
    </row>
    <row r="71" spans="1:15">
      <c r="A71" t="str">
        <f t="shared" si="1"/>
        <v>075553-1</v>
      </c>
      <c r="B71" t="s">
        <v>1328</v>
      </c>
      <c r="C71" t="s">
        <v>1369</v>
      </c>
      <c r="D71" s="32">
        <v>408000</v>
      </c>
      <c r="E71" s="32">
        <v>419000</v>
      </c>
      <c r="F71" s="32">
        <v>827000</v>
      </c>
      <c r="K71" t="s">
        <v>1809</v>
      </c>
      <c r="M71" s="32">
        <v>403941000</v>
      </c>
      <c r="N71" s="32">
        <v>449414000</v>
      </c>
      <c r="O71" s="32">
        <v>853355000</v>
      </c>
    </row>
    <row r="72" spans="1:15">
      <c r="A72" t="str">
        <f t="shared" si="1"/>
        <v>07524J-1</v>
      </c>
      <c r="B72" t="s">
        <v>1328</v>
      </c>
      <c r="C72" t="s">
        <v>1809</v>
      </c>
      <c r="D72" s="32">
        <v>50000</v>
      </c>
      <c r="E72" s="32">
        <v>50000</v>
      </c>
      <c r="F72" s="32">
        <v>100000</v>
      </c>
      <c r="K72" t="s">
        <v>1578</v>
      </c>
      <c r="M72" s="32">
        <v>540000</v>
      </c>
      <c r="N72" s="32">
        <v>563000</v>
      </c>
      <c r="O72" s="32">
        <v>1103000</v>
      </c>
    </row>
    <row r="73" spans="1:15">
      <c r="A73" t="str">
        <f t="shared" si="1"/>
        <v>075462-1</v>
      </c>
      <c r="B73" t="s">
        <v>1328</v>
      </c>
      <c r="C73" t="s">
        <v>1953</v>
      </c>
      <c r="D73" s="32">
        <v>9219000</v>
      </c>
      <c r="E73" s="32">
        <v>10319000</v>
      </c>
      <c r="F73" s="32">
        <v>19538000</v>
      </c>
      <c r="K73" t="s">
        <v>642</v>
      </c>
      <c r="M73" s="32">
        <v>4200000</v>
      </c>
      <c r="N73" s="32">
        <v>4385000</v>
      </c>
      <c r="O73" s="32">
        <v>8585000</v>
      </c>
    </row>
    <row r="74" spans="1:15">
      <c r="A74" t="str">
        <f t="shared" si="1"/>
        <v>076001-1</v>
      </c>
      <c r="B74" t="s">
        <v>1279</v>
      </c>
      <c r="C74" t="s">
        <v>621</v>
      </c>
      <c r="D74" s="32">
        <v>345292000</v>
      </c>
      <c r="E74" s="32">
        <v>346858000</v>
      </c>
      <c r="F74" s="32">
        <v>692150000</v>
      </c>
      <c r="K74" t="s">
        <v>643</v>
      </c>
      <c r="M74" s="32">
        <v>3947000</v>
      </c>
      <c r="N74" s="32">
        <v>4077000</v>
      </c>
      <c r="O74" s="32">
        <v>8024000</v>
      </c>
    </row>
    <row r="75" spans="1:15">
      <c r="A75" t="str">
        <f t="shared" si="1"/>
        <v>076001-7</v>
      </c>
      <c r="B75" t="s">
        <v>1279</v>
      </c>
      <c r="C75" t="s">
        <v>632</v>
      </c>
      <c r="D75" s="32">
        <v>43000000</v>
      </c>
      <c r="E75" s="32"/>
      <c r="F75" s="32">
        <v>43000000</v>
      </c>
      <c r="K75" t="s">
        <v>1637</v>
      </c>
      <c r="M75" s="32">
        <v>5860000</v>
      </c>
      <c r="N75" s="32">
        <v>5860000</v>
      </c>
      <c r="O75" s="32">
        <v>11720000</v>
      </c>
    </row>
    <row r="76" spans="1:15">
      <c r="A76" t="str">
        <f t="shared" si="1"/>
        <v>07602G-1</v>
      </c>
      <c r="B76" t="s">
        <v>1279</v>
      </c>
      <c r="C76" t="s">
        <v>1288</v>
      </c>
      <c r="D76" s="32">
        <v>8065000</v>
      </c>
      <c r="E76" s="32">
        <v>6726000</v>
      </c>
      <c r="F76" s="32">
        <v>14791000</v>
      </c>
      <c r="K76" t="s">
        <v>138</v>
      </c>
      <c r="M76" s="32">
        <v>434129000</v>
      </c>
      <c r="N76" s="32">
        <v>479983000</v>
      </c>
      <c r="O76" s="32">
        <v>914112000</v>
      </c>
    </row>
    <row r="77" spans="1:15">
      <c r="A77" t="str">
        <f t="shared" si="1"/>
        <v>076202-1</v>
      </c>
      <c r="B77" t="s">
        <v>1279</v>
      </c>
      <c r="C77" t="s">
        <v>1321</v>
      </c>
      <c r="D77" s="32">
        <v>72000</v>
      </c>
      <c r="E77" s="32">
        <v>55000</v>
      </c>
      <c r="F77" s="32">
        <v>127000</v>
      </c>
    </row>
    <row r="78" spans="1:15">
      <c r="A78" t="str">
        <f t="shared" si="1"/>
        <v>07623P-1</v>
      </c>
      <c r="B78" t="s">
        <v>1279</v>
      </c>
      <c r="C78" t="s">
        <v>1805</v>
      </c>
      <c r="D78" s="32"/>
      <c r="E78" s="32">
        <v>8500000</v>
      </c>
      <c r="F78" s="32">
        <v>8500000</v>
      </c>
    </row>
    <row r="79" spans="1:15">
      <c r="A79" t="str">
        <f t="shared" si="1"/>
        <v>07624B-1</v>
      </c>
      <c r="B79" t="s">
        <v>1279</v>
      </c>
      <c r="C79" t="s">
        <v>1806</v>
      </c>
      <c r="D79" s="32">
        <v>17026000</v>
      </c>
      <c r="E79" s="32">
        <v>11024000</v>
      </c>
      <c r="F79" s="32">
        <v>28050000</v>
      </c>
    </row>
    <row r="80" spans="1:15">
      <c r="A80" t="str">
        <f t="shared" si="1"/>
        <v>07624J-1</v>
      </c>
      <c r="B80" t="s">
        <v>1279</v>
      </c>
      <c r="C80" t="s">
        <v>1809</v>
      </c>
      <c r="D80" s="32">
        <v>12774000</v>
      </c>
      <c r="E80" s="32">
        <v>11766000</v>
      </c>
      <c r="F80" s="32">
        <v>24540000</v>
      </c>
    </row>
    <row r="81" spans="1:6">
      <c r="A81" t="str">
        <f t="shared" si="1"/>
        <v>076447-6</v>
      </c>
      <c r="B81" t="s">
        <v>1279</v>
      </c>
      <c r="C81" t="s">
        <v>1881</v>
      </c>
      <c r="D81" s="32">
        <v>8560000</v>
      </c>
      <c r="E81" s="32">
        <v>7982000</v>
      </c>
      <c r="F81" s="32">
        <v>16542000</v>
      </c>
    </row>
    <row r="82" spans="1:6">
      <c r="A82" t="str">
        <f t="shared" ref="A82:A145" si="2">+B82&amp;C82</f>
        <v>076706-2</v>
      </c>
      <c r="B82" t="s">
        <v>1279</v>
      </c>
      <c r="C82" t="s">
        <v>1882</v>
      </c>
      <c r="D82" s="32">
        <v>251150000</v>
      </c>
      <c r="E82" s="32"/>
      <c r="F82" s="32">
        <v>251150000</v>
      </c>
    </row>
    <row r="83" spans="1:6">
      <c r="A83" t="str">
        <f t="shared" si="2"/>
        <v>07626T-1</v>
      </c>
      <c r="B83" t="s">
        <v>1279</v>
      </c>
      <c r="C83" t="s">
        <v>1954</v>
      </c>
      <c r="D83" s="32">
        <v>20000000</v>
      </c>
      <c r="E83" s="32"/>
      <c r="F83" s="32">
        <v>20000000</v>
      </c>
    </row>
    <row r="84" spans="1:6">
      <c r="A84" t="str">
        <f t="shared" si="2"/>
        <v>07627W-1</v>
      </c>
      <c r="B84" t="s">
        <v>1279</v>
      </c>
      <c r="C84" t="s">
        <v>1961</v>
      </c>
      <c r="D84" s="32"/>
      <c r="E84" s="32">
        <v>743000</v>
      </c>
      <c r="F84" s="32">
        <v>743000</v>
      </c>
    </row>
    <row r="85" spans="1:6">
      <c r="A85" t="str">
        <f t="shared" si="2"/>
        <v>080001-1</v>
      </c>
      <c r="B85" t="s">
        <v>1291</v>
      </c>
      <c r="C85" t="s">
        <v>621</v>
      </c>
      <c r="D85" s="32">
        <v>1616000</v>
      </c>
      <c r="E85" s="32">
        <v>1658000</v>
      </c>
      <c r="F85" s="32">
        <v>3274000</v>
      </c>
    </row>
    <row r="86" spans="1:6">
      <c r="A86" t="str">
        <f t="shared" si="2"/>
        <v>080001-7</v>
      </c>
      <c r="B86" t="s">
        <v>1291</v>
      </c>
      <c r="C86" t="s">
        <v>632</v>
      </c>
      <c r="D86" s="32">
        <v>45000</v>
      </c>
      <c r="E86" s="32">
        <v>45000</v>
      </c>
      <c r="F86" s="32">
        <v>90000</v>
      </c>
    </row>
    <row r="87" spans="1:6">
      <c r="A87" t="str">
        <f t="shared" si="2"/>
        <v>08007L-6</v>
      </c>
      <c r="B87" t="s">
        <v>1291</v>
      </c>
      <c r="C87" t="s">
        <v>1347</v>
      </c>
      <c r="D87" s="32">
        <v>2000</v>
      </c>
      <c r="E87" s="32">
        <v>3000</v>
      </c>
      <c r="F87" s="32">
        <v>5000</v>
      </c>
    </row>
    <row r="88" spans="1:6">
      <c r="A88" t="str">
        <f t="shared" si="2"/>
        <v>082001-1</v>
      </c>
      <c r="B88" t="s">
        <v>1265</v>
      </c>
      <c r="C88" t="s">
        <v>621</v>
      </c>
      <c r="D88" s="32">
        <v>6108000</v>
      </c>
      <c r="E88" s="32">
        <v>6186000</v>
      </c>
      <c r="F88" s="32">
        <v>12294000</v>
      </c>
    </row>
    <row r="89" spans="1:6">
      <c r="A89" t="str">
        <f t="shared" si="2"/>
        <v>08222W-1</v>
      </c>
      <c r="B89" t="s">
        <v>1265</v>
      </c>
      <c r="C89" t="s">
        <v>1807</v>
      </c>
      <c r="D89" s="32">
        <v>1087000</v>
      </c>
      <c r="E89" s="32">
        <v>1113000</v>
      </c>
      <c r="F89" s="32">
        <v>2200000</v>
      </c>
    </row>
    <row r="90" spans="1:6">
      <c r="A90" t="str">
        <f t="shared" si="2"/>
        <v>08326H-1</v>
      </c>
      <c r="B90" t="s">
        <v>1883</v>
      </c>
      <c r="C90" t="s">
        <v>1884</v>
      </c>
      <c r="D90" s="32">
        <v>887000</v>
      </c>
      <c r="E90" s="32">
        <v>970000</v>
      </c>
      <c r="F90" s="32">
        <v>1857000</v>
      </c>
    </row>
    <row r="91" spans="1:6">
      <c r="A91" t="str">
        <f t="shared" si="2"/>
        <v>08326J-6</v>
      </c>
      <c r="B91" t="s">
        <v>1883</v>
      </c>
      <c r="C91" t="s">
        <v>1885</v>
      </c>
      <c r="D91" s="32">
        <v>140000</v>
      </c>
      <c r="E91" s="32">
        <v>140000</v>
      </c>
      <c r="F91" s="32">
        <v>280000</v>
      </c>
    </row>
    <row r="92" spans="1:6">
      <c r="A92" t="str">
        <f t="shared" si="2"/>
        <v>085001-1</v>
      </c>
      <c r="B92" t="s">
        <v>1230</v>
      </c>
      <c r="C92" t="s">
        <v>621</v>
      </c>
      <c r="D92" s="32">
        <v>56190000</v>
      </c>
      <c r="E92" s="32">
        <v>62517000</v>
      </c>
      <c r="F92" s="32">
        <v>118707000</v>
      </c>
    </row>
    <row r="93" spans="1:6">
      <c r="A93" t="str">
        <f t="shared" si="2"/>
        <v>085001-2</v>
      </c>
      <c r="B93" t="s">
        <v>1230</v>
      </c>
      <c r="C93" t="s">
        <v>622</v>
      </c>
      <c r="D93" s="32">
        <v>4289000</v>
      </c>
      <c r="E93" s="32">
        <v>4317000</v>
      </c>
      <c r="F93" s="32">
        <v>8606000</v>
      </c>
    </row>
    <row r="94" spans="1:6">
      <c r="A94" t="str">
        <f t="shared" si="2"/>
        <v>085006-1</v>
      </c>
      <c r="B94" t="s">
        <v>1230</v>
      </c>
      <c r="C94" t="s">
        <v>1448</v>
      </c>
      <c r="D94" s="32">
        <v>5886000</v>
      </c>
      <c r="E94" s="32">
        <v>5816000</v>
      </c>
      <c r="F94" s="32">
        <v>11702000</v>
      </c>
    </row>
    <row r="95" spans="1:6">
      <c r="A95" t="str">
        <f t="shared" si="2"/>
        <v>085057-1</v>
      </c>
      <c r="B95" t="s">
        <v>1230</v>
      </c>
      <c r="C95" t="s">
        <v>623</v>
      </c>
      <c r="D95" s="32">
        <v>753500</v>
      </c>
      <c r="E95" s="32">
        <v>753500</v>
      </c>
      <c r="F95" s="32">
        <v>1507000</v>
      </c>
    </row>
    <row r="96" spans="1:6">
      <c r="A96" t="str">
        <f t="shared" si="2"/>
        <v>08506H-6</v>
      </c>
      <c r="B96" t="s">
        <v>1230</v>
      </c>
      <c r="C96" t="s">
        <v>1231</v>
      </c>
      <c r="D96" s="32">
        <v>67000</v>
      </c>
      <c r="E96" s="32">
        <v>66000</v>
      </c>
      <c r="F96" s="32">
        <v>133000</v>
      </c>
    </row>
    <row r="97" spans="1:6">
      <c r="A97" t="str">
        <f t="shared" si="2"/>
        <v>08512M-1</v>
      </c>
      <c r="B97" t="s">
        <v>1230</v>
      </c>
      <c r="C97" t="s">
        <v>1502</v>
      </c>
      <c r="D97" s="32">
        <v>548000</v>
      </c>
      <c r="E97" s="32">
        <v>685000</v>
      </c>
      <c r="F97" s="32">
        <v>1233000</v>
      </c>
    </row>
    <row r="98" spans="1:6">
      <c r="A98" t="str">
        <f t="shared" si="2"/>
        <v>08514E-1</v>
      </c>
      <c r="B98" t="s">
        <v>1230</v>
      </c>
      <c r="C98" t="s">
        <v>1341</v>
      </c>
      <c r="D98" s="32">
        <v>7484000</v>
      </c>
      <c r="E98" s="32">
        <v>7281000</v>
      </c>
      <c r="F98" s="32">
        <v>14765000</v>
      </c>
    </row>
    <row r="99" spans="1:6">
      <c r="A99" t="str">
        <f t="shared" si="2"/>
        <v>085407-6</v>
      </c>
      <c r="B99" t="s">
        <v>1230</v>
      </c>
      <c r="C99" t="s">
        <v>1284</v>
      </c>
      <c r="D99" s="32">
        <v>11593000</v>
      </c>
      <c r="E99" s="32">
        <v>10241000</v>
      </c>
      <c r="F99" s="32">
        <v>21834000</v>
      </c>
    </row>
    <row r="100" spans="1:6">
      <c r="A100" t="str">
        <f t="shared" si="2"/>
        <v>085415-1</v>
      </c>
      <c r="B100" t="s">
        <v>1230</v>
      </c>
      <c r="C100" t="s">
        <v>1375</v>
      </c>
      <c r="D100" s="32">
        <v>1436000</v>
      </c>
      <c r="E100" s="32">
        <v>826000</v>
      </c>
      <c r="F100" s="32">
        <v>2262000</v>
      </c>
    </row>
    <row r="101" spans="1:6">
      <c r="A101" t="str">
        <f t="shared" si="2"/>
        <v>085441-1</v>
      </c>
      <c r="B101" t="s">
        <v>1230</v>
      </c>
      <c r="C101" t="s">
        <v>1532</v>
      </c>
      <c r="D101" s="32">
        <v>7560000</v>
      </c>
      <c r="E101" s="32">
        <v>4529000</v>
      </c>
      <c r="F101" s="32">
        <v>12089000</v>
      </c>
    </row>
    <row r="102" spans="1:6">
      <c r="A102" t="str">
        <f t="shared" si="2"/>
        <v>085470-6</v>
      </c>
      <c r="B102" t="s">
        <v>1230</v>
      </c>
      <c r="C102" t="s">
        <v>1393</v>
      </c>
      <c r="D102" s="32">
        <v>499000</v>
      </c>
      <c r="E102" s="32">
        <v>439000</v>
      </c>
      <c r="F102" s="32">
        <v>938000</v>
      </c>
    </row>
    <row r="103" spans="1:6">
      <c r="A103" t="str">
        <f t="shared" si="2"/>
        <v>085549-2</v>
      </c>
      <c r="B103" t="s">
        <v>1230</v>
      </c>
      <c r="C103" t="s">
        <v>1521</v>
      </c>
      <c r="D103" s="32">
        <v>1247000</v>
      </c>
      <c r="E103" s="32">
        <v>3240000</v>
      </c>
      <c r="F103" s="32">
        <v>4487000</v>
      </c>
    </row>
    <row r="104" spans="1:6">
      <c r="A104" t="str">
        <f t="shared" si="2"/>
        <v>08514E-6</v>
      </c>
      <c r="B104" t="s">
        <v>1230</v>
      </c>
      <c r="C104" t="s">
        <v>1808</v>
      </c>
      <c r="D104" s="32">
        <v>372000</v>
      </c>
      <c r="E104" s="32">
        <v>373000</v>
      </c>
      <c r="F104" s="32">
        <v>745000</v>
      </c>
    </row>
    <row r="105" spans="1:6">
      <c r="A105" t="str">
        <f t="shared" si="2"/>
        <v>08524E-1</v>
      </c>
      <c r="B105" t="s">
        <v>1230</v>
      </c>
      <c r="C105" t="s">
        <v>1955</v>
      </c>
      <c r="D105" s="32">
        <v>4000000</v>
      </c>
      <c r="E105" s="32">
        <v>4000000</v>
      </c>
      <c r="F105" s="32">
        <v>8000000</v>
      </c>
    </row>
    <row r="106" spans="1:6">
      <c r="A106" t="str">
        <f t="shared" si="2"/>
        <v>086001-1</v>
      </c>
      <c r="B106" t="s">
        <v>1404</v>
      </c>
      <c r="C106" t="s">
        <v>621</v>
      </c>
      <c r="D106" s="32">
        <v>802000</v>
      </c>
      <c r="E106" s="32">
        <v>987000</v>
      </c>
      <c r="F106" s="32">
        <v>1789000</v>
      </c>
    </row>
    <row r="107" spans="1:6">
      <c r="A107" t="str">
        <f t="shared" si="2"/>
        <v>08626C-1</v>
      </c>
      <c r="B107" t="s">
        <v>1404</v>
      </c>
      <c r="C107" t="s">
        <v>1956</v>
      </c>
      <c r="D107" s="32">
        <v>333000</v>
      </c>
      <c r="E107" s="32">
        <v>325000</v>
      </c>
      <c r="F107" s="32">
        <v>658000</v>
      </c>
    </row>
    <row r="108" spans="1:6">
      <c r="A108" t="str">
        <f t="shared" si="2"/>
        <v>087001-1</v>
      </c>
      <c r="B108" t="s">
        <v>1403</v>
      </c>
      <c r="C108" t="s">
        <v>621</v>
      </c>
      <c r="D108" s="32">
        <v>943000</v>
      </c>
      <c r="E108" s="32">
        <v>920000</v>
      </c>
      <c r="F108" s="32">
        <v>1863000</v>
      </c>
    </row>
    <row r="109" spans="1:6">
      <c r="A109" t="str">
        <f t="shared" si="2"/>
        <v>090404-1</v>
      </c>
      <c r="B109" t="s">
        <v>1355</v>
      </c>
      <c r="C109" t="s">
        <v>1356</v>
      </c>
      <c r="D109" s="32">
        <v>12011000</v>
      </c>
      <c r="E109" s="32">
        <v>12530000</v>
      </c>
      <c r="F109" s="32">
        <v>24541000</v>
      </c>
    </row>
    <row r="110" spans="1:6">
      <c r="A110" t="str">
        <f t="shared" si="2"/>
        <v>095001-1</v>
      </c>
      <c r="B110" t="s">
        <v>1219</v>
      </c>
      <c r="C110" t="s">
        <v>621</v>
      </c>
      <c r="D110" s="32">
        <v>1072000</v>
      </c>
      <c r="E110" s="32">
        <v>1579000</v>
      </c>
      <c r="F110" s="32">
        <v>2651000</v>
      </c>
    </row>
    <row r="111" spans="1:6">
      <c r="A111" t="str">
        <f t="shared" si="2"/>
        <v>095413-6</v>
      </c>
      <c r="B111" t="s">
        <v>1219</v>
      </c>
      <c r="C111" t="s">
        <v>1283</v>
      </c>
      <c r="D111" s="32">
        <v>35494000</v>
      </c>
      <c r="E111" s="32">
        <v>37450000</v>
      </c>
      <c r="F111" s="32">
        <v>72944000</v>
      </c>
    </row>
    <row r="112" spans="1:6">
      <c r="A112" t="str">
        <f t="shared" si="2"/>
        <v>095483-1</v>
      </c>
      <c r="B112" t="s">
        <v>1219</v>
      </c>
      <c r="C112" t="s">
        <v>1319</v>
      </c>
      <c r="D112" s="32">
        <v>9594000</v>
      </c>
      <c r="E112" s="32">
        <v>9020000</v>
      </c>
      <c r="F112" s="32">
        <v>18614000</v>
      </c>
    </row>
    <row r="113" spans="1:6">
      <c r="A113" t="str">
        <f t="shared" si="2"/>
        <v>095553-1</v>
      </c>
      <c r="B113" t="s">
        <v>1219</v>
      </c>
      <c r="C113" t="s">
        <v>1369</v>
      </c>
      <c r="D113" s="32">
        <v>931000</v>
      </c>
      <c r="E113" s="32">
        <v>1753000</v>
      </c>
      <c r="F113" s="32">
        <v>2684000</v>
      </c>
    </row>
    <row r="114" spans="1:6">
      <c r="A114" t="str">
        <f t="shared" si="2"/>
        <v>095553-6</v>
      </c>
      <c r="B114" t="s">
        <v>1219</v>
      </c>
      <c r="C114" t="s">
        <v>1439</v>
      </c>
      <c r="D114" s="32">
        <v>16024000</v>
      </c>
      <c r="E114" s="32">
        <v>17201000</v>
      </c>
      <c r="F114" s="32">
        <v>33225000</v>
      </c>
    </row>
    <row r="115" spans="1:6">
      <c r="A115" t="str">
        <f t="shared" si="2"/>
        <v>099001-1</v>
      </c>
      <c r="B115" t="s">
        <v>1386</v>
      </c>
      <c r="C115" t="s">
        <v>621</v>
      </c>
      <c r="D115" s="32">
        <v>305000</v>
      </c>
      <c r="E115" s="32">
        <v>331000</v>
      </c>
      <c r="F115" s="32">
        <v>636000</v>
      </c>
    </row>
    <row r="116" spans="1:6">
      <c r="A116" t="str">
        <f t="shared" si="2"/>
        <v>100001-1</v>
      </c>
      <c r="B116" t="s">
        <v>1188</v>
      </c>
      <c r="C116" t="s">
        <v>621</v>
      </c>
      <c r="D116" s="32">
        <v>48659000</v>
      </c>
      <c r="E116" s="32">
        <v>42377000</v>
      </c>
      <c r="F116" s="32">
        <v>91036000</v>
      </c>
    </row>
    <row r="117" spans="1:6">
      <c r="A117" t="str">
        <f t="shared" si="2"/>
        <v>100001-2</v>
      </c>
      <c r="B117" t="s">
        <v>1188</v>
      </c>
      <c r="C117" t="s">
        <v>622</v>
      </c>
      <c r="D117" s="32">
        <v>12579000</v>
      </c>
      <c r="E117" s="32">
        <v>12684000</v>
      </c>
      <c r="F117" s="32">
        <v>25263000</v>
      </c>
    </row>
    <row r="118" spans="1:6">
      <c r="A118" t="str">
        <f t="shared" si="2"/>
        <v>100111-1</v>
      </c>
      <c r="B118" t="s">
        <v>1188</v>
      </c>
      <c r="C118" t="s">
        <v>1338</v>
      </c>
      <c r="D118" s="32">
        <v>2346000</v>
      </c>
      <c r="E118" s="32">
        <v>2396000</v>
      </c>
      <c r="F118" s="32">
        <v>4742000</v>
      </c>
    </row>
    <row r="119" spans="1:6">
      <c r="A119" t="str">
        <f t="shared" si="2"/>
        <v>10012F-6</v>
      </c>
      <c r="B119" t="s">
        <v>1188</v>
      </c>
      <c r="C119" t="s">
        <v>1478</v>
      </c>
      <c r="D119" s="32">
        <v>1095000</v>
      </c>
      <c r="E119" s="32">
        <v>1070000</v>
      </c>
      <c r="F119" s="32">
        <v>2165000</v>
      </c>
    </row>
    <row r="120" spans="1:6">
      <c r="A120" t="str">
        <f t="shared" si="2"/>
        <v>100141-6</v>
      </c>
      <c r="B120" t="s">
        <v>1188</v>
      </c>
      <c r="C120" t="s">
        <v>1270</v>
      </c>
      <c r="D120" s="32">
        <v>1953000</v>
      </c>
      <c r="E120" s="32">
        <v>1953000</v>
      </c>
      <c r="F120" s="32">
        <v>3906000</v>
      </c>
    </row>
    <row r="121" spans="1:6">
      <c r="A121" t="str">
        <f t="shared" si="2"/>
        <v>100154-1</v>
      </c>
      <c r="B121" t="s">
        <v>1188</v>
      </c>
      <c r="C121" t="s">
        <v>1466</v>
      </c>
      <c r="D121" s="32">
        <v>941000</v>
      </c>
      <c r="E121" s="32">
        <v>956000</v>
      </c>
      <c r="F121" s="32">
        <v>1897000</v>
      </c>
    </row>
    <row r="122" spans="1:6">
      <c r="A122" t="str">
        <f t="shared" si="2"/>
        <v>10017L-6</v>
      </c>
      <c r="B122" t="s">
        <v>1188</v>
      </c>
      <c r="C122" t="s">
        <v>1455</v>
      </c>
      <c r="D122" s="32">
        <v>149000</v>
      </c>
      <c r="E122" s="32">
        <v>152000</v>
      </c>
      <c r="F122" s="32">
        <v>301000</v>
      </c>
    </row>
    <row r="123" spans="1:6">
      <c r="A123" t="str">
        <f t="shared" si="2"/>
        <v>10019A-1</v>
      </c>
      <c r="B123" t="s">
        <v>1188</v>
      </c>
      <c r="C123" t="s">
        <v>1546</v>
      </c>
      <c r="D123" s="32">
        <v>3275000</v>
      </c>
      <c r="E123" s="32">
        <v>3309000</v>
      </c>
      <c r="F123" s="32">
        <v>6584000</v>
      </c>
    </row>
    <row r="124" spans="1:6">
      <c r="A124" t="str">
        <f t="shared" si="2"/>
        <v>10019P-1</v>
      </c>
      <c r="B124" t="s">
        <v>1188</v>
      </c>
      <c r="C124" t="s">
        <v>1630</v>
      </c>
      <c r="D124" s="32">
        <v>100000</v>
      </c>
      <c r="E124" s="32">
        <v>100000</v>
      </c>
      <c r="F124" s="32">
        <v>200000</v>
      </c>
    </row>
    <row r="125" spans="1:6">
      <c r="A125" t="str">
        <f t="shared" si="2"/>
        <v>100405-1</v>
      </c>
      <c r="B125" t="s">
        <v>1188</v>
      </c>
      <c r="C125" t="s">
        <v>1493</v>
      </c>
      <c r="D125" s="32">
        <v>200689000</v>
      </c>
      <c r="E125" s="32">
        <v>208705000</v>
      </c>
      <c r="F125" s="32">
        <v>409394000</v>
      </c>
    </row>
    <row r="126" spans="1:6">
      <c r="A126" t="str">
        <f t="shared" si="2"/>
        <v>100424-6</v>
      </c>
      <c r="B126" t="s">
        <v>1188</v>
      </c>
      <c r="C126" t="s">
        <v>1514</v>
      </c>
      <c r="D126" s="32">
        <v>6268000</v>
      </c>
      <c r="E126" s="32">
        <v>6308000</v>
      </c>
      <c r="F126" s="32">
        <v>12576000</v>
      </c>
    </row>
    <row r="127" spans="1:6">
      <c r="A127" t="str">
        <f t="shared" si="2"/>
        <v>100441-1</v>
      </c>
      <c r="B127" t="s">
        <v>1188</v>
      </c>
      <c r="C127" t="s">
        <v>1532</v>
      </c>
      <c r="D127" s="32">
        <v>555000</v>
      </c>
      <c r="E127" s="32">
        <v>568000</v>
      </c>
      <c r="F127" s="32">
        <v>1123000</v>
      </c>
    </row>
    <row r="128" spans="1:6">
      <c r="A128" t="str">
        <f t="shared" si="2"/>
        <v>100828-1</v>
      </c>
      <c r="B128" t="s">
        <v>1188</v>
      </c>
      <c r="C128" t="s">
        <v>1354</v>
      </c>
      <c r="D128" s="32">
        <v>137000</v>
      </c>
      <c r="E128" s="32">
        <v>139000</v>
      </c>
      <c r="F128" s="32">
        <v>276000</v>
      </c>
    </row>
    <row r="129" spans="1:6">
      <c r="A129" t="str">
        <f t="shared" si="2"/>
        <v>10025V-6</v>
      </c>
      <c r="B129" t="s">
        <v>1188</v>
      </c>
      <c r="C129" t="s">
        <v>1886</v>
      </c>
      <c r="D129" s="32">
        <v>672000</v>
      </c>
      <c r="E129" s="32">
        <v>672000</v>
      </c>
      <c r="F129" s="32">
        <v>1344000</v>
      </c>
    </row>
    <row r="130" spans="1:6">
      <c r="A130" t="str">
        <f t="shared" si="2"/>
        <v>101001-1</v>
      </c>
      <c r="B130" t="s">
        <v>1190</v>
      </c>
      <c r="C130" t="s">
        <v>621</v>
      </c>
      <c r="D130" s="32">
        <v>2379000</v>
      </c>
      <c r="E130" s="32">
        <v>2476000</v>
      </c>
      <c r="F130" s="32">
        <v>4855000</v>
      </c>
    </row>
    <row r="131" spans="1:6">
      <c r="A131" t="str">
        <f t="shared" si="2"/>
        <v>10124J-1</v>
      </c>
      <c r="B131" t="s">
        <v>1190</v>
      </c>
      <c r="C131" t="s">
        <v>1809</v>
      </c>
      <c r="D131" s="32">
        <v>176000</v>
      </c>
      <c r="E131" s="32">
        <v>180000</v>
      </c>
      <c r="F131" s="32">
        <v>356000</v>
      </c>
    </row>
    <row r="132" spans="1:6">
      <c r="A132" t="str">
        <f t="shared" si="2"/>
        <v>10206J-6</v>
      </c>
      <c r="B132" t="s">
        <v>1281</v>
      </c>
      <c r="C132" t="s">
        <v>1424</v>
      </c>
      <c r="D132" s="32">
        <v>106000</v>
      </c>
      <c r="E132" s="32">
        <v>105000</v>
      </c>
      <c r="F132" s="32">
        <v>211000</v>
      </c>
    </row>
    <row r="133" spans="1:6">
      <c r="A133" t="str">
        <f t="shared" si="2"/>
        <v>10207A-6</v>
      </c>
      <c r="B133" t="s">
        <v>1281</v>
      </c>
      <c r="C133" t="s">
        <v>1282</v>
      </c>
      <c r="D133" s="32">
        <v>500000</v>
      </c>
      <c r="E133" s="32">
        <v>500000</v>
      </c>
      <c r="F133" s="32">
        <v>1000000</v>
      </c>
    </row>
    <row r="134" spans="1:6">
      <c r="A134" t="str">
        <f t="shared" si="2"/>
        <v>102300-6</v>
      </c>
      <c r="B134" t="s">
        <v>1281</v>
      </c>
      <c r="C134" t="s">
        <v>1513</v>
      </c>
      <c r="D134" s="32">
        <v>38255000</v>
      </c>
      <c r="E134" s="32">
        <v>41168000</v>
      </c>
      <c r="F134" s="32">
        <v>79423000</v>
      </c>
    </row>
    <row r="135" spans="1:6">
      <c r="A135" t="str">
        <f t="shared" si="2"/>
        <v>103001-1</v>
      </c>
      <c r="B135" t="s">
        <v>1189</v>
      </c>
      <c r="C135" t="s">
        <v>621</v>
      </c>
      <c r="D135" s="32">
        <v>518144000</v>
      </c>
      <c r="E135" s="32">
        <v>623149000</v>
      </c>
      <c r="F135" s="32">
        <v>1141293000</v>
      </c>
    </row>
    <row r="136" spans="1:6">
      <c r="A136" t="str">
        <f t="shared" si="2"/>
        <v>103001-2</v>
      </c>
      <c r="B136" t="s">
        <v>1189</v>
      </c>
      <c r="C136" t="s">
        <v>622</v>
      </c>
      <c r="D136" s="32">
        <v>645969000</v>
      </c>
      <c r="E136" s="32">
        <v>360598000</v>
      </c>
      <c r="F136" s="32">
        <v>1006567000</v>
      </c>
    </row>
    <row r="137" spans="1:6">
      <c r="A137" t="str">
        <f t="shared" si="2"/>
        <v>103001-7</v>
      </c>
      <c r="B137" t="s">
        <v>1189</v>
      </c>
      <c r="C137" t="s">
        <v>632</v>
      </c>
      <c r="D137" s="32">
        <v>19944000</v>
      </c>
      <c r="E137" s="32">
        <v>14751000</v>
      </c>
      <c r="F137" s="32">
        <v>34695000</v>
      </c>
    </row>
    <row r="138" spans="1:6">
      <c r="A138" t="str">
        <f t="shared" si="2"/>
        <v>103057-1</v>
      </c>
      <c r="B138" t="s">
        <v>1189</v>
      </c>
      <c r="C138" t="s">
        <v>623</v>
      </c>
      <c r="D138" s="32">
        <v>506472000</v>
      </c>
      <c r="E138" s="32">
        <v>506472000</v>
      </c>
      <c r="F138" s="32">
        <v>1012944000</v>
      </c>
    </row>
    <row r="139" spans="1:6">
      <c r="A139" t="str">
        <f t="shared" si="2"/>
        <v>103058-1</v>
      </c>
      <c r="B139" t="s">
        <v>1189</v>
      </c>
      <c r="C139" t="s">
        <v>1203</v>
      </c>
      <c r="D139" s="32">
        <v>204904000</v>
      </c>
      <c r="E139" s="32">
        <v>204707000</v>
      </c>
      <c r="F139" s="32">
        <v>409611000</v>
      </c>
    </row>
    <row r="140" spans="1:6">
      <c r="A140" t="str">
        <f t="shared" si="2"/>
        <v>10306K-1</v>
      </c>
      <c r="B140" t="s">
        <v>1189</v>
      </c>
      <c r="C140" t="s">
        <v>1523</v>
      </c>
      <c r="D140" s="32">
        <v>138000</v>
      </c>
      <c r="E140" s="32">
        <v>126000</v>
      </c>
      <c r="F140" s="32">
        <v>264000</v>
      </c>
    </row>
    <row r="141" spans="1:6">
      <c r="A141" t="str">
        <f t="shared" si="2"/>
        <v>103084-1</v>
      </c>
      <c r="B141" t="s">
        <v>1189</v>
      </c>
      <c r="C141" t="s">
        <v>1195</v>
      </c>
      <c r="D141" s="32">
        <v>8000</v>
      </c>
      <c r="E141" s="32">
        <v>9000</v>
      </c>
      <c r="F141" s="32">
        <v>17000</v>
      </c>
    </row>
    <row r="142" spans="1:6">
      <c r="A142" t="str">
        <f t="shared" si="2"/>
        <v>10309R-1</v>
      </c>
      <c r="B142" t="s">
        <v>1189</v>
      </c>
      <c r="C142" t="s">
        <v>1180</v>
      </c>
      <c r="D142" s="32">
        <v>1414000</v>
      </c>
      <c r="E142" s="32">
        <v>1419000</v>
      </c>
      <c r="F142" s="32">
        <v>2833000</v>
      </c>
    </row>
    <row r="143" spans="1:6">
      <c r="A143" t="str">
        <f t="shared" si="2"/>
        <v>103107-1</v>
      </c>
      <c r="B143" t="s">
        <v>1189</v>
      </c>
      <c r="C143" t="s">
        <v>1631</v>
      </c>
      <c r="D143" s="32">
        <v>687000</v>
      </c>
      <c r="E143" s="32">
        <v>696000</v>
      </c>
      <c r="F143" s="32">
        <v>1383000</v>
      </c>
    </row>
    <row r="144" spans="1:6">
      <c r="A144" t="str">
        <f t="shared" si="2"/>
        <v>10310B-1</v>
      </c>
      <c r="B144" t="s">
        <v>1189</v>
      </c>
      <c r="C144" t="s">
        <v>1504</v>
      </c>
      <c r="D144" s="32">
        <v>143000000</v>
      </c>
      <c r="E144" s="32">
        <v>148859000</v>
      </c>
      <c r="F144" s="32">
        <v>291859000</v>
      </c>
    </row>
    <row r="145" spans="1:6">
      <c r="A145" t="str">
        <f t="shared" si="2"/>
        <v>10312C-1</v>
      </c>
      <c r="B145" t="s">
        <v>1189</v>
      </c>
      <c r="C145" t="s">
        <v>1517</v>
      </c>
      <c r="D145" s="32">
        <v>54599000</v>
      </c>
      <c r="E145" s="32">
        <v>54820000</v>
      </c>
      <c r="F145" s="32">
        <v>109419000</v>
      </c>
    </row>
    <row r="146" spans="1:6">
      <c r="A146" t="str">
        <f t="shared" ref="A146:A209" si="3">+B146&amp;C146</f>
        <v>10314M-1</v>
      </c>
      <c r="B146" t="s">
        <v>1189</v>
      </c>
      <c r="C146" t="s">
        <v>1539</v>
      </c>
      <c r="D146" s="32">
        <v>1334000</v>
      </c>
      <c r="E146" s="32">
        <v>1344000</v>
      </c>
      <c r="F146" s="32">
        <v>2678000</v>
      </c>
    </row>
    <row r="147" spans="1:6">
      <c r="A147" t="str">
        <f t="shared" si="3"/>
        <v>103150-1</v>
      </c>
      <c r="B147" t="s">
        <v>1189</v>
      </c>
      <c r="C147" t="s">
        <v>1479</v>
      </c>
      <c r="D147" s="32">
        <v>456000</v>
      </c>
      <c r="E147" s="32">
        <v>956000</v>
      </c>
      <c r="F147" s="32">
        <v>1412000</v>
      </c>
    </row>
    <row r="148" spans="1:6">
      <c r="A148" t="str">
        <f t="shared" si="3"/>
        <v>10317L-6</v>
      </c>
      <c r="B148" t="s">
        <v>1189</v>
      </c>
      <c r="C148" t="s">
        <v>1455</v>
      </c>
      <c r="D148" s="32">
        <v>1874000</v>
      </c>
      <c r="E148" s="32">
        <v>1698000</v>
      </c>
      <c r="F148" s="32">
        <v>3572000</v>
      </c>
    </row>
    <row r="149" spans="1:6">
      <c r="A149" t="str">
        <f t="shared" si="3"/>
        <v>103205-6</v>
      </c>
      <c r="B149" t="s">
        <v>1189</v>
      </c>
      <c r="C149" t="s">
        <v>1348</v>
      </c>
      <c r="D149" s="32">
        <v>1114000</v>
      </c>
      <c r="E149" s="32">
        <v>1217000</v>
      </c>
      <c r="F149" s="32">
        <v>2331000</v>
      </c>
    </row>
    <row r="150" spans="1:6">
      <c r="A150" t="str">
        <f t="shared" si="3"/>
        <v>10320J-1</v>
      </c>
      <c r="B150" t="s">
        <v>1189</v>
      </c>
      <c r="C150" t="s">
        <v>1641</v>
      </c>
      <c r="D150" s="32">
        <v>110000</v>
      </c>
      <c r="E150" s="32">
        <v>110000</v>
      </c>
      <c r="F150" s="32">
        <v>220000</v>
      </c>
    </row>
    <row r="151" spans="1:6">
      <c r="A151" t="str">
        <f t="shared" si="3"/>
        <v>103263-1</v>
      </c>
      <c r="B151" t="s">
        <v>1189</v>
      </c>
      <c r="C151" t="s">
        <v>1461</v>
      </c>
      <c r="D151" s="32">
        <v>2188000</v>
      </c>
      <c r="E151" s="32">
        <v>2153000</v>
      </c>
      <c r="F151" s="32">
        <v>4341000</v>
      </c>
    </row>
    <row r="152" spans="1:6">
      <c r="A152" t="str">
        <f t="shared" si="3"/>
        <v>103315-1</v>
      </c>
      <c r="B152" t="s">
        <v>1189</v>
      </c>
      <c r="C152" t="s">
        <v>1578</v>
      </c>
      <c r="D152" s="32">
        <v>3451000</v>
      </c>
      <c r="E152" s="32">
        <v>3598000</v>
      </c>
      <c r="F152" s="32">
        <v>7049000</v>
      </c>
    </row>
    <row r="153" spans="1:6">
      <c r="A153" t="str">
        <f t="shared" si="3"/>
        <v>103355-1</v>
      </c>
      <c r="B153" t="s">
        <v>1189</v>
      </c>
      <c r="C153" t="s">
        <v>648</v>
      </c>
      <c r="D153" s="32">
        <v>231644500</v>
      </c>
      <c r="E153" s="32">
        <v>231644500</v>
      </c>
      <c r="F153" s="32">
        <v>463289000</v>
      </c>
    </row>
    <row r="154" spans="1:6">
      <c r="A154" t="str">
        <f t="shared" si="3"/>
        <v>103501-1</v>
      </c>
      <c r="B154" t="s">
        <v>1189</v>
      </c>
      <c r="C154" t="s">
        <v>1357</v>
      </c>
      <c r="D154" s="32">
        <v>3424000</v>
      </c>
      <c r="E154" s="32">
        <v>3421000</v>
      </c>
      <c r="F154" s="32">
        <v>6845000</v>
      </c>
    </row>
    <row r="155" spans="1:6">
      <c r="A155" t="str">
        <f t="shared" si="3"/>
        <v>103532-1</v>
      </c>
      <c r="B155" t="s">
        <v>1189</v>
      </c>
      <c r="C155" t="s">
        <v>1205</v>
      </c>
      <c r="D155" s="32">
        <v>9563000</v>
      </c>
      <c r="E155" s="32">
        <v>9998000</v>
      </c>
      <c r="F155" s="32">
        <v>19561000</v>
      </c>
    </row>
    <row r="156" spans="1:6">
      <c r="A156" t="str">
        <f t="shared" si="3"/>
        <v>103746-6</v>
      </c>
      <c r="B156" t="s">
        <v>1189</v>
      </c>
      <c r="C156" t="s">
        <v>1473</v>
      </c>
      <c r="D156" s="32">
        <v>16000</v>
      </c>
      <c r="E156" s="32">
        <v>200000</v>
      </c>
      <c r="F156" s="32">
        <v>216000</v>
      </c>
    </row>
    <row r="157" spans="1:6">
      <c r="A157" t="str">
        <f t="shared" si="3"/>
        <v>103759-6</v>
      </c>
      <c r="B157" t="s">
        <v>1189</v>
      </c>
      <c r="C157" t="s">
        <v>1474</v>
      </c>
      <c r="D157" s="32">
        <v>10913000</v>
      </c>
      <c r="E157" s="32">
        <v>1149000</v>
      </c>
      <c r="F157" s="32">
        <v>12062000</v>
      </c>
    </row>
    <row r="158" spans="1:6">
      <c r="A158" t="str">
        <f t="shared" si="3"/>
        <v>103777-1</v>
      </c>
      <c r="B158" t="s">
        <v>1189</v>
      </c>
      <c r="C158" t="s">
        <v>1427</v>
      </c>
      <c r="D158" s="32"/>
      <c r="E158" s="32">
        <v>26000</v>
      </c>
      <c r="F158" s="32">
        <v>26000</v>
      </c>
    </row>
    <row r="159" spans="1:6">
      <c r="A159" t="str">
        <f t="shared" si="3"/>
        <v>103887-1</v>
      </c>
      <c r="B159" t="s">
        <v>1189</v>
      </c>
      <c r="C159" t="s">
        <v>1216</v>
      </c>
      <c r="D159" s="32">
        <v>13163000</v>
      </c>
      <c r="E159" s="32">
        <v>13193000</v>
      </c>
      <c r="F159" s="32">
        <v>26356000</v>
      </c>
    </row>
    <row r="160" spans="1:6">
      <c r="A160" t="str">
        <f t="shared" si="3"/>
        <v>10322S-6</v>
      </c>
      <c r="B160" t="s">
        <v>1189</v>
      </c>
      <c r="C160" t="s">
        <v>1732</v>
      </c>
      <c r="D160" s="32">
        <v>6242000</v>
      </c>
      <c r="E160" s="32">
        <v>6242000</v>
      </c>
      <c r="F160" s="32">
        <v>12484000</v>
      </c>
    </row>
    <row r="161" spans="1:6">
      <c r="A161" t="str">
        <f t="shared" si="3"/>
        <v>10322T-1</v>
      </c>
      <c r="B161" t="s">
        <v>1189</v>
      </c>
      <c r="C161" t="s">
        <v>1733</v>
      </c>
      <c r="D161" s="32">
        <v>4500000</v>
      </c>
      <c r="E161" s="32">
        <v>4500000</v>
      </c>
      <c r="F161" s="32">
        <v>9000000</v>
      </c>
    </row>
    <row r="162" spans="1:6">
      <c r="A162" t="str">
        <f t="shared" si="3"/>
        <v>10322D-1</v>
      </c>
      <c r="B162" t="s">
        <v>1189</v>
      </c>
      <c r="C162" t="s">
        <v>1734</v>
      </c>
      <c r="D162" s="32">
        <v>48547000</v>
      </c>
      <c r="E162" s="32">
        <v>48547000</v>
      </c>
      <c r="F162" s="32">
        <v>97094000</v>
      </c>
    </row>
    <row r="163" spans="1:6">
      <c r="A163" t="str">
        <f t="shared" si="3"/>
        <v>10322M-1</v>
      </c>
      <c r="B163" t="s">
        <v>1189</v>
      </c>
      <c r="C163" t="s">
        <v>1957</v>
      </c>
      <c r="D163" s="32">
        <v>9000</v>
      </c>
      <c r="E163" s="32">
        <v>10000</v>
      </c>
      <c r="F163" s="32">
        <v>19000</v>
      </c>
    </row>
    <row r="164" spans="1:6">
      <c r="A164" t="str">
        <f t="shared" si="3"/>
        <v>10323P-1</v>
      </c>
      <c r="B164" t="s">
        <v>1189</v>
      </c>
      <c r="C164" t="s">
        <v>1805</v>
      </c>
      <c r="D164" s="32"/>
      <c r="E164" s="32">
        <v>1000000</v>
      </c>
      <c r="F164" s="32">
        <v>1000000</v>
      </c>
    </row>
    <row r="165" spans="1:6">
      <c r="A165" t="str">
        <f t="shared" si="3"/>
        <v>103285-1</v>
      </c>
      <c r="B165" t="s">
        <v>1189</v>
      </c>
      <c r="C165" t="s">
        <v>1810</v>
      </c>
      <c r="D165" s="32">
        <v>2912000</v>
      </c>
      <c r="E165" s="32">
        <v>2915000</v>
      </c>
      <c r="F165" s="32">
        <v>5827000</v>
      </c>
    </row>
    <row r="166" spans="1:6">
      <c r="A166" t="str">
        <f t="shared" si="3"/>
        <v>10323N-1</v>
      </c>
      <c r="B166" t="s">
        <v>1189</v>
      </c>
      <c r="C166" t="s">
        <v>1811</v>
      </c>
      <c r="D166" s="32">
        <v>5930500</v>
      </c>
      <c r="E166" s="32">
        <v>5930500</v>
      </c>
      <c r="F166" s="32">
        <v>11861000</v>
      </c>
    </row>
    <row r="167" spans="1:6">
      <c r="A167" t="str">
        <f t="shared" si="3"/>
        <v>10323R-1</v>
      </c>
      <c r="B167" t="s">
        <v>1189</v>
      </c>
      <c r="C167" t="s">
        <v>1829</v>
      </c>
      <c r="D167" s="32">
        <v>2661000</v>
      </c>
      <c r="E167" s="32">
        <v>2561000</v>
      </c>
      <c r="F167" s="32">
        <v>5222000</v>
      </c>
    </row>
    <row r="168" spans="1:6">
      <c r="A168" t="str">
        <f t="shared" si="3"/>
        <v>10314H-1</v>
      </c>
      <c r="B168" t="s">
        <v>1189</v>
      </c>
      <c r="C168" t="s">
        <v>1859</v>
      </c>
      <c r="D168" s="32">
        <v>2625000</v>
      </c>
      <c r="E168" s="32">
        <v>2125000</v>
      </c>
      <c r="F168" s="32">
        <v>4750000</v>
      </c>
    </row>
    <row r="169" spans="1:6">
      <c r="A169" t="str">
        <f t="shared" si="3"/>
        <v>10319V-1</v>
      </c>
      <c r="B169" t="s">
        <v>1189</v>
      </c>
      <c r="C169" t="s">
        <v>1860</v>
      </c>
      <c r="D169" s="32">
        <v>10684000</v>
      </c>
      <c r="E169" s="32">
        <v>21000000</v>
      </c>
      <c r="F169" s="32">
        <v>31684000</v>
      </c>
    </row>
    <row r="170" spans="1:6">
      <c r="A170" t="str">
        <f t="shared" si="3"/>
        <v>103001-H</v>
      </c>
      <c r="B170" t="s">
        <v>1189</v>
      </c>
      <c r="C170" t="s">
        <v>1990</v>
      </c>
      <c r="D170" s="32">
        <v>173384000</v>
      </c>
      <c r="E170" s="32"/>
      <c r="F170" s="32">
        <v>173384000</v>
      </c>
    </row>
    <row r="171" spans="1:6">
      <c r="A171" t="str">
        <f t="shared" si="3"/>
        <v>103706-2</v>
      </c>
      <c r="B171" t="s">
        <v>1189</v>
      </c>
      <c r="C171" t="s">
        <v>1882</v>
      </c>
      <c r="D171" s="32">
        <v>23325000</v>
      </c>
      <c r="E171" s="32">
        <v>1125000</v>
      </c>
      <c r="F171" s="32">
        <v>24450000</v>
      </c>
    </row>
    <row r="172" spans="1:6">
      <c r="A172" t="str">
        <f t="shared" si="3"/>
        <v>10326U-1</v>
      </c>
      <c r="B172" t="s">
        <v>1189</v>
      </c>
      <c r="C172" t="s">
        <v>1887</v>
      </c>
      <c r="D172" s="32">
        <v>14230000</v>
      </c>
      <c r="E172" s="32">
        <v>14222000</v>
      </c>
      <c r="F172" s="32">
        <v>28452000</v>
      </c>
    </row>
    <row r="173" spans="1:6">
      <c r="A173" t="str">
        <f t="shared" si="3"/>
        <v>10327B-1</v>
      </c>
      <c r="B173" t="s">
        <v>1189</v>
      </c>
      <c r="C173" t="s">
        <v>1888</v>
      </c>
      <c r="D173" s="32">
        <v>25000000</v>
      </c>
      <c r="E173" s="32">
        <v>25000000</v>
      </c>
      <c r="F173" s="32">
        <v>50000000</v>
      </c>
    </row>
    <row r="174" spans="1:6">
      <c r="A174" t="str">
        <f t="shared" si="3"/>
        <v>10326V-1</v>
      </c>
      <c r="B174" t="s">
        <v>1189</v>
      </c>
      <c r="C174" t="s">
        <v>1890</v>
      </c>
      <c r="D174" s="32">
        <v>24935500</v>
      </c>
      <c r="E174" s="32">
        <v>24935500</v>
      </c>
      <c r="F174" s="32">
        <v>49871000</v>
      </c>
    </row>
    <row r="175" spans="1:6">
      <c r="A175" t="str">
        <f t="shared" si="3"/>
        <v>10327A-1</v>
      </c>
      <c r="B175" t="s">
        <v>1189</v>
      </c>
      <c r="C175" t="s">
        <v>1991</v>
      </c>
      <c r="D175" s="32">
        <v>934500</v>
      </c>
      <c r="E175" s="32">
        <v>934500</v>
      </c>
      <c r="F175" s="32">
        <v>1869000</v>
      </c>
    </row>
    <row r="176" spans="1:6">
      <c r="A176" t="str">
        <f t="shared" si="3"/>
        <v>10326A-1</v>
      </c>
      <c r="B176" t="s">
        <v>1189</v>
      </c>
      <c r="C176" t="s">
        <v>1908</v>
      </c>
      <c r="D176" s="32">
        <v>2500000</v>
      </c>
      <c r="E176" s="32">
        <v>2500000</v>
      </c>
      <c r="F176" s="32">
        <v>5000000</v>
      </c>
    </row>
    <row r="177" spans="1:6">
      <c r="A177" t="str">
        <f t="shared" si="3"/>
        <v>103818-1</v>
      </c>
      <c r="B177" t="s">
        <v>1189</v>
      </c>
      <c r="C177" t="s">
        <v>1918</v>
      </c>
      <c r="D177" s="32">
        <v>12000000</v>
      </c>
      <c r="E177" s="32">
        <v>12000000</v>
      </c>
      <c r="F177" s="32">
        <v>24000000</v>
      </c>
    </row>
    <row r="178" spans="1:6">
      <c r="A178" t="str">
        <f t="shared" si="3"/>
        <v>10326C-1</v>
      </c>
      <c r="B178" t="s">
        <v>1189</v>
      </c>
      <c r="C178" t="s">
        <v>1956</v>
      </c>
      <c r="D178" s="32">
        <v>446262500</v>
      </c>
      <c r="E178" s="32">
        <v>642554500</v>
      </c>
      <c r="F178" s="32">
        <v>1088817000</v>
      </c>
    </row>
    <row r="179" spans="1:6">
      <c r="A179" t="str">
        <f t="shared" si="3"/>
        <v>10326D-1</v>
      </c>
      <c r="B179" t="s">
        <v>1189</v>
      </c>
      <c r="C179" t="s">
        <v>1958</v>
      </c>
      <c r="D179" s="32">
        <v>4256500</v>
      </c>
      <c r="E179" s="32">
        <v>6632500</v>
      </c>
      <c r="F179" s="32">
        <v>10889000</v>
      </c>
    </row>
    <row r="180" spans="1:6">
      <c r="A180" t="str">
        <f t="shared" si="3"/>
        <v>10327C-1</v>
      </c>
      <c r="B180" t="s">
        <v>1189</v>
      </c>
      <c r="C180" t="s">
        <v>1959</v>
      </c>
      <c r="D180" s="32">
        <v>100000000</v>
      </c>
      <c r="E180" s="32">
        <v>100000000</v>
      </c>
      <c r="F180" s="32">
        <v>200000000</v>
      </c>
    </row>
    <row r="181" spans="1:6">
      <c r="A181" t="str">
        <f t="shared" si="3"/>
        <v>10328G-1</v>
      </c>
      <c r="B181" t="s">
        <v>1189</v>
      </c>
      <c r="C181" t="s">
        <v>1960</v>
      </c>
      <c r="D181" s="32">
        <v>50000000</v>
      </c>
      <c r="E181" s="32">
        <v>100000000</v>
      </c>
      <c r="F181" s="32">
        <v>150000000</v>
      </c>
    </row>
    <row r="182" spans="1:6">
      <c r="A182" t="str">
        <f t="shared" si="3"/>
        <v>10328D-6</v>
      </c>
      <c r="B182" t="s">
        <v>1189</v>
      </c>
      <c r="C182" t="s">
        <v>1992</v>
      </c>
      <c r="D182" s="32"/>
      <c r="E182" s="32">
        <v>250000</v>
      </c>
      <c r="F182" s="32">
        <v>250000</v>
      </c>
    </row>
    <row r="183" spans="1:6">
      <c r="A183" t="str">
        <f t="shared" si="3"/>
        <v>103PDE-6</v>
      </c>
      <c r="B183" t="s">
        <v>1189</v>
      </c>
      <c r="C183" t="s">
        <v>1993</v>
      </c>
      <c r="D183" s="32"/>
      <c r="E183" s="32">
        <v>1000000</v>
      </c>
      <c r="F183" s="32">
        <v>1000000</v>
      </c>
    </row>
    <row r="184" spans="1:6">
      <c r="A184" t="str">
        <f t="shared" si="3"/>
        <v>103SEC-1</v>
      </c>
      <c r="B184" t="s">
        <v>1189</v>
      </c>
      <c r="C184" t="s">
        <v>1994</v>
      </c>
      <c r="D184" s="32">
        <v>5000000</v>
      </c>
      <c r="E184" s="32">
        <v>5000000</v>
      </c>
      <c r="F184" s="32">
        <v>10000000</v>
      </c>
    </row>
    <row r="185" spans="1:6">
      <c r="A185" t="str">
        <f t="shared" si="3"/>
        <v>104001-1</v>
      </c>
      <c r="B185" t="s">
        <v>1452</v>
      </c>
      <c r="C185" t="s">
        <v>621</v>
      </c>
      <c r="D185" s="32">
        <v>1154000</v>
      </c>
      <c r="E185" s="32">
        <v>1034000</v>
      </c>
      <c r="F185" s="32">
        <v>2188000</v>
      </c>
    </row>
    <row r="186" spans="1:6">
      <c r="A186" t="str">
        <f t="shared" si="3"/>
        <v>104108-1</v>
      </c>
      <c r="B186" t="s">
        <v>1452</v>
      </c>
      <c r="C186" t="s">
        <v>1252</v>
      </c>
      <c r="D186" s="32">
        <v>365000</v>
      </c>
      <c r="E186" s="32">
        <v>359000</v>
      </c>
      <c r="F186" s="32">
        <v>724000</v>
      </c>
    </row>
    <row r="187" spans="1:6">
      <c r="A187" t="str">
        <f t="shared" si="3"/>
        <v>104578-1</v>
      </c>
      <c r="B187" t="s">
        <v>1452</v>
      </c>
      <c r="C187" t="s">
        <v>1349</v>
      </c>
      <c r="D187" s="32">
        <v>25000</v>
      </c>
      <c r="E187" s="32">
        <v>25000</v>
      </c>
      <c r="F187" s="32">
        <v>50000</v>
      </c>
    </row>
    <row r="188" spans="1:6">
      <c r="A188" t="str">
        <f t="shared" si="3"/>
        <v>105001-1</v>
      </c>
      <c r="B188" t="s">
        <v>1191</v>
      </c>
      <c r="C188" t="s">
        <v>621</v>
      </c>
      <c r="D188" s="32">
        <v>20390000</v>
      </c>
      <c r="E188" s="32">
        <v>24817000</v>
      </c>
      <c r="F188" s="32">
        <v>45207000</v>
      </c>
    </row>
    <row r="189" spans="1:6">
      <c r="A189" t="str">
        <f t="shared" si="3"/>
        <v>105001-2</v>
      </c>
      <c r="B189" t="s">
        <v>1191</v>
      </c>
      <c r="C189" t="s">
        <v>622</v>
      </c>
      <c r="D189" s="32">
        <v>18085000</v>
      </c>
      <c r="E189" s="32">
        <v>20349000</v>
      </c>
      <c r="F189" s="32">
        <v>38434000</v>
      </c>
    </row>
    <row r="190" spans="1:6">
      <c r="A190" t="str">
        <f t="shared" si="3"/>
        <v>105001-7</v>
      </c>
      <c r="B190" t="s">
        <v>1191</v>
      </c>
      <c r="C190" t="s">
        <v>632</v>
      </c>
      <c r="D190" s="32">
        <v>2798000</v>
      </c>
      <c r="E190" s="32">
        <v>1145000</v>
      </c>
      <c r="F190" s="32">
        <v>3943000</v>
      </c>
    </row>
    <row r="191" spans="1:6">
      <c r="A191" t="str">
        <f t="shared" si="3"/>
        <v>105057-1</v>
      </c>
      <c r="B191" t="s">
        <v>1191</v>
      </c>
      <c r="C191" t="s">
        <v>623</v>
      </c>
      <c r="D191" s="32">
        <v>2000000</v>
      </c>
      <c r="E191" s="32">
        <v>2000000</v>
      </c>
      <c r="F191" s="32">
        <v>4000000</v>
      </c>
    </row>
    <row r="192" spans="1:6">
      <c r="A192" t="str">
        <f t="shared" si="3"/>
        <v>105108-1</v>
      </c>
      <c r="B192" t="s">
        <v>1191</v>
      </c>
      <c r="C192" t="s">
        <v>1252</v>
      </c>
      <c r="D192" s="32">
        <v>107000</v>
      </c>
      <c r="E192" s="32">
        <v>107000</v>
      </c>
      <c r="F192" s="32">
        <v>214000</v>
      </c>
    </row>
    <row r="193" spans="1:6">
      <c r="A193" t="str">
        <f t="shared" si="3"/>
        <v>105109-1</v>
      </c>
      <c r="B193" t="s">
        <v>1191</v>
      </c>
      <c r="C193" t="s">
        <v>1367</v>
      </c>
      <c r="D193" s="32">
        <v>65000</v>
      </c>
      <c r="E193" s="32">
        <v>66000</v>
      </c>
      <c r="F193" s="32">
        <v>131000</v>
      </c>
    </row>
    <row r="194" spans="1:6">
      <c r="A194" t="str">
        <f t="shared" si="3"/>
        <v>10516R-6</v>
      </c>
      <c r="B194" t="s">
        <v>1191</v>
      </c>
      <c r="C194" t="s">
        <v>1551</v>
      </c>
      <c r="D194" s="32">
        <v>1000</v>
      </c>
      <c r="E194" s="32">
        <v>1000</v>
      </c>
      <c r="F194" s="32">
        <v>2000</v>
      </c>
    </row>
    <row r="195" spans="1:6">
      <c r="A195" t="str">
        <f t="shared" si="3"/>
        <v>105415-1</v>
      </c>
      <c r="B195" t="s">
        <v>1191</v>
      </c>
      <c r="C195" t="s">
        <v>1375</v>
      </c>
      <c r="D195" s="32">
        <v>13472000</v>
      </c>
      <c r="E195" s="32">
        <v>13924000</v>
      </c>
      <c r="F195" s="32">
        <v>27396000</v>
      </c>
    </row>
    <row r="196" spans="1:6">
      <c r="A196" t="str">
        <f t="shared" si="3"/>
        <v>105421-6</v>
      </c>
      <c r="B196" t="s">
        <v>1191</v>
      </c>
      <c r="C196" t="s">
        <v>1465</v>
      </c>
      <c r="D196" s="32">
        <v>12491000</v>
      </c>
      <c r="E196" s="32">
        <v>12496000</v>
      </c>
      <c r="F196" s="32">
        <v>24987000</v>
      </c>
    </row>
    <row r="197" spans="1:6">
      <c r="A197" t="str">
        <f t="shared" si="3"/>
        <v>105436-6</v>
      </c>
      <c r="B197" t="s">
        <v>1191</v>
      </c>
      <c r="C197" t="s">
        <v>1472</v>
      </c>
      <c r="D197" s="32">
        <v>5444000</v>
      </c>
      <c r="E197" s="32">
        <v>5634000</v>
      </c>
      <c r="F197" s="32">
        <v>11078000</v>
      </c>
    </row>
    <row r="198" spans="1:6">
      <c r="A198" t="str">
        <f t="shared" si="3"/>
        <v>105455-1</v>
      </c>
      <c r="B198" t="s">
        <v>1191</v>
      </c>
      <c r="C198" t="s">
        <v>1411</v>
      </c>
      <c r="D198" s="32">
        <v>748000</v>
      </c>
      <c r="E198" s="32">
        <v>749000</v>
      </c>
      <c r="F198" s="32">
        <v>1497000</v>
      </c>
    </row>
    <row r="199" spans="1:6">
      <c r="A199" t="str">
        <f t="shared" si="3"/>
        <v>105466-1</v>
      </c>
      <c r="B199" t="s">
        <v>1191</v>
      </c>
      <c r="C199" t="s">
        <v>1632</v>
      </c>
      <c r="D199" s="32">
        <v>103084000</v>
      </c>
      <c r="E199" s="32">
        <v>97374000</v>
      </c>
      <c r="F199" s="32">
        <v>200458000</v>
      </c>
    </row>
    <row r="200" spans="1:6">
      <c r="A200" t="str">
        <f t="shared" si="3"/>
        <v>105472-6</v>
      </c>
      <c r="B200" t="s">
        <v>1191</v>
      </c>
      <c r="C200" t="s">
        <v>1635</v>
      </c>
      <c r="D200" s="32">
        <v>38744000</v>
      </c>
      <c r="E200" s="32">
        <v>44048000</v>
      </c>
      <c r="F200" s="32">
        <v>82792000</v>
      </c>
    </row>
    <row r="201" spans="1:6">
      <c r="A201" t="str">
        <f t="shared" si="3"/>
        <v>105468-1</v>
      </c>
      <c r="B201" t="s">
        <v>1191</v>
      </c>
      <c r="C201" t="s">
        <v>1700</v>
      </c>
      <c r="D201" s="32">
        <v>15247000</v>
      </c>
      <c r="E201" s="32">
        <v>17942000</v>
      </c>
      <c r="F201" s="32">
        <v>33189000</v>
      </c>
    </row>
    <row r="202" spans="1:6">
      <c r="A202" t="str">
        <f t="shared" si="3"/>
        <v>105706-2</v>
      </c>
      <c r="B202" t="s">
        <v>1191</v>
      </c>
      <c r="C202" t="s">
        <v>1882</v>
      </c>
      <c r="D202" s="32">
        <v>656000</v>
      </c>
      <c r="E202" s="32"/>
      <c r="F202" s="32">
        <v>656000</v>
      </c>
    </row>
    <row r="203" spans="1:6">
      <c r="A203" t="str">
        <f t="shared" si="3"/>
        <v>10525N-1</v>
      </c>
      <c r="B203" t="s">
        <v>1191</v>
      </c>
      <c r="C203" t="s">
        <v>1891</v>
      </c>
      <c r="D203" s="32">
        <v>150000</v>
      </c>
      <c r="E203" s="32">
        <v>150000</v>
      </c>
      <c r="F203" s="32">
        <v>300000</v>
      </c>
    </row>
    <row r="204" spans="1:6">
      <c r="A204" t="str">
        <f t="shared" si="3"/>
        <v>10526B-1</v>
      </c>
      <c r="B204" t="s">
        <v>1191</v>
      </c>
      <c r="C204" t="s">
        <v>1914</v>
      </c>
      <c r="D204" s="32">
        <v>425000</v>
      </c>
      <c r="E204" s="32">
        <v>386000</v>
      </c>
      <c r="F204" s="32">
        <v>811000</v>
      </c>
    </row>
    <row r="205" spans="1:6">
      <c r="A205" t="str">
        <f t="shared" si="3"/>
        <v>10526C-1</v>
      </c>
      <c r="B205" t="s">
        <v>1191</v>
      </c>
      <c r="C205" t="s">
        <v>1956</v>
      </c>
      <c r="D205" s="32">
        <v>1798000</v>
      </c>
      <c r="E205" s="32">
        <v>4187000</v>
      </c>
      <c r="F205" s="32">
        <v>5985000</v>
      </c>
    </row>
    <row r="206" spans="1:6">
      <c r="A206" t="str">
        <f t="shared" si="3"/>
        <v>107001-1</v>
      </c>
      <c r="B206" t="s">
        <v>1217</v>
      </c>
      <c r="C206" t="s">
        <v>621</v>
      </c>
      <c r="D206" s="32">
        <v>3900854000</v>
      </c>
      <c r="E206" s="32">
        <v>4221924000</v>
      </c>
      <c r="F206" s="32">
        <v>8122778000</v>
      </c>
    </row>
    <row r="207" spans="1:6">
      <c r="A207" t="str">
        <f t="shared" si="3"/>
        <v>107001-2</v>
      </c>
      <c r="B207" t="s">
        <v>1217</v>
      </c>
      <c r="C207" t="s">
        <v>622</v>
      </c>
      <c r="D207" s="32">
        <v>9647637000</v>
      </c>
      <c r="E207" s="32">
        <v>10265971000</v>
      </c>
      <c r="F207" s="32">
        <v>19913608000</v>
      </c>
    </row>
    <row r="208" spans="1:6">
      <c r="A208" t="str">
        <f t="shared" si="3"/>
        <v>107001-7</v>
      </c>
      <c r="B208" t="s">
        <v>1217</v>
      </c>
      <c r="C208" t="s">
        <v>632</v>
      </c>
      <c r="D208" s="32">
        <v>532233000</v>
      </c>
      <c r="E208" s="32">
        <v>758944000</v>
      </c>
      <c r="F208" s="32">
        <v>1291177000</v>
      </c>
    </row>
    <row r="209" spans="1:6">
      <c r="A209" t="str">
        <f t="shared" si="3"/>
        <v>10703C-1</v>
      </c>
      <c r="B209" t="s">
        <v>1217</v>
      </c>
      <c r="C209" t="s">
        <v>1242</v>
      </c>
      <c r="D209" s="32">
        <v>7543000</v>
      </c>
      <c r="E209" s="32">
        <v>7543000</v>
      </c>
      <c r="F209" s="32">
        <v>15086000</v>
      </c>
    </row>
    <row r="210" spans="1:6">
      <c r="A210" t="str">
        <f t="shared" ref="A210:A273" si="4">+B210&amp;C210</f>
        <v>10705C-1</v>
      </c>
      <c r="B210" t="s">
        <v>1217</v>
      </c>
      <c r="C210" t="s">
        <v>1390</v>
      </c>
      <c r="D210" s="32">
        <v>10998000</v>
      </c>
      <c r="E210" s="32">
        <v>11003000</v>
      </c>
      <c r="F210" s="32">
        <v>22001000</v>
      </c>
    </row>
    <row r="211" spans="1:6">
      <c r="A211" t="str">
        <f t="shared" si="4"/>
        <v>10708A-1</v>
      </c>
      <c r="B211" t="s">
        <v>1217</v>
      </c>
      <c r="C211" t="s">
        <v>624</v>
      </c>
      <c r="D211" s="32">
        <v>150000</v>
      </c>
      <c r="E211" s="32">
        <v>200000</v>
      </c>
      <c r="F211" s="32">
        <v>350000</v>
      </c>
    </row>
    <row r="212" spans="1:6">
      <c r="A212" t="str">
        <f t="shared" si="4"/>
        <v>10708G-6</v>
      </c>
      <c r="B212" t="s">
        <v>1217</v>
      </c>
      <c r="C212" t="s">
        <v>1406</v>
      </c>
      <c r="D212" s="32">
        <v>1001000</v>
      </c>
      <c r="E212" s="32">
        <v>1062000</v>
      </c>
      <c r="F212" s="32">
        <v>2063000</v>
      </c>
    </row>
    <row r="213" spans="1:6">
      <c r="A213" t="str">
        <f t="shared" si="4"/>
        <v>10708K-1</v>
      </c>
      <c r="B213" t="s">
        <v>1217</v>
      </c>
      <c r="C213" t="s">
        <v>1511</v>
      </c>
      <c r="D213" s="32">
        <v>2115000</v>
      </c>
      <c r="E213" s="32">
        <v>1623000</v>
      </c>
      <c r="F213" s="32">
        <v>3738000</v>
      </c>
    </row>
    <row r="214" spans="1:6">
      <c r="A214" t="str">
        <f t="shared" si="4"/>
        <v>10716W-1</v>
      </c>
      <c r="B214" t="s">
        <v>1217</v>
      </c>
      <c r="C214" t="s">
        <v>1408</v>
      </c>
      <c r="D214" s="32">
        <v>628099000</v>
      </c>
      <c r="E214" s="32">
        <v>889394000</v>
      </c>
      <c r="F214" s="32">
        <v>1517493000</v>
      </c>
    </row>
    <row r="215" spans="1:6">
      <c r="A215" t="str">
        <f t="shared" si="4"/>
        <v>107172-6</v>
      </c>
      <c r="B215" t="s">
        <v>1217</v>
      </c>
      <c r="C215" t="s">
        <v>1444</v>
      </c>
      <c r="D215" s="32">
        <v>247647000</v>
      </c>
      <c r="E215" s="32">
        <v>243398000</v>
      </c>
      <c r="F215" s="32">
        <v>491045000</v>
      </c>
    </row>
    <row r="216" spans="1:6">
      <c r="A216" t="str">
        <f t="shared" si="4"/>
        <v>10717T-1</v>
      </c>
      <c r="B216" t="s">
        <v>1217</v>
      </c>
      <c r="C216" t="s">
        <v>1557</v>
      </c>
      <c r="D216" s="32">
        <v>40776000</v>
      </c>
      <c r="E216" s="32">
        <v>42752000</v>
      </c>
      <c r="F216" s="32">
        <v>83528000</v>
      </c>
    </row>
    <row r="217" spans="1:6">
      <c r="A217" t="str">
        <f t="shared" si="4"/>
        <v>107315-1</v>
      </c>
      <c r="B217" t="s">
        <v>1217</v>
      </c>
      <c r="C217" t="s">
        <v>1578</v>
      </c>
      <c r="D217" s="32">
        <v>52603000</v>
      </c>
      <c r="E217" s="32">
        <v>51713000</v>
      </c>
      <c r="F217" s="32">
        <v>104316000</v>
      </c>
    </row>
    <row r="218" spans="1:6">
      <c r="A218" t="str">
        <f t="shared" si="4"/>
        <v>107418-1</v>
      </c>
      <c r="B218" t="s">
        <v>1217</v>
      </c>
      <c r="C218" t="s">
        <v>1432</v>
      </c>
      <c r="D218" s="32">
        <v>21293000</v>
      </c>
      <c r="E218" s="32">
        <v>23689000</v>
      </c>
      <c r="F218" s="32">
        <v>44982000</v>
      </c>
    </row>
    <row r="219" spans="1:6">
      <c r="A219" t="str">
        <f t="shared" si="4"/>
        <v>107438-6</v>
      </c>
      <c r="B219" t="s">
        <v>1217</v>
      </c>
      <c r="C219" t="s">
        <v>1413</v>
      </c>
      <c r="D219" s="32">
        <v>7418000</v>
      </c>
      <c r="E219" s="32">
        <v>8376000</v>
      </c>
      <c r="F219" s="32">
        <v>15794000</v>
      </c>
    </row>
    <row r="220" spans="1:6">
      <c r="A220" t="str">
        <f t="shared" si="4"/>
        <v>107439-6</v>
      </c>
      <c r="B220" t="s">
        <v>1217</v>
      </c>
      <c r="C220" t="s">
        <v>1383</v>
      </c>
      <c r="D220" s="32">
        <v>69136000</v>
      </c>
      <c r="E220" s="32">
        <v>71277000</v>
      </c>
      <c r="F220" s="32">
        <v>140413000</v>
      </c>
    </row>
    <row r="221" spans="1:6">
      <c r="A221" t="str">
        <f t="shared" si="4"/>
        <v>107609-1</v>
      </c>
      <c r="B221" t="s">
        <v>1217</v>
      </c>
      <c r="C221" t="s">
        <v>643</v>
      </c>
      <c r="D221" s="32">
        <v>271000</v>
      </c>
      <c r="E221" s="32">
        <v>269000</v>
      </c>
      <c r="F221" s="32">
        <v>540000</v>
      </c>
    </row>
    <row r="222" spans="1:6">
      <c r="A222" t="str">
        <f t="shared" si="4"/>
        <v>10708J-6</v>
      </c>
      <c r="B222" t="s">
        <v>1217</v>
      </c>
      <c r="C222" t="s">
        <v>1675</v>
      </c>
      <c r="D222" s="32">
        <v>31000</v>
      </c>
      <c r="E222" s="32">
        <v>31000</v>
      </c>
      <c r="F222" s="32">
        <v>62000</v>
      </c>
    </row>
    <row r="223" spans="1:6">
      <c r="A223" t="str">
        <f t="shared" si="4"/>
        <v>107492-1</v>
      </c>
      <c r="B223" t="s">
        <v>1217</v>
      </c>
      <c r="C223" t="s">
        <v>1736</v>
      </c>
      <c r="D223" s="32">
        <v>17230000</v>
      </c>
      <c r="E223" s="32">
        <v>16509000</v>
      </c>
      <c r="F223" s="32">
        <v>33739000</v>
      </c>
    </row>
    <row r="224" spans="1:6">
      <c r="A224" t="str">
        <f t="shared" si="4"/>
        <v>10723L-6</v>
      </c>
      <c r="B224" t="s">
        <v>1217</v>
      </c>
      <c r="C224" t="s">
        <v>1812</v>
      </c>
      <c r="D224" s="32">
        <v>708000</v>
      </c>
      <c r="E224" s="32">
        <v>708000</v>
      </c>
      <c r="F224" s="32">
        <v>1416000</v>
      </c>
    </row>
    <row r="225" spans="1:6">
      <c r="A225" t="str">
        <f t="shared" si="4"/>
        <v>107474-6</v>
      </c>
      <c r="B225" t="s">
        <v>1217</v>
      </c>
      <c r="C225" t="s">
        <v>1813</v>
      </c>
      <c r="D225" s="32">
        <v>625000</v>
      </c>
      <c r="E225" s="32">
        <v>625000</v>
      </c>
      <c r="F225" s="32">
        <v>1250000</v>
      </c>
    </row>
    <row r="226" spans="1:6">
      <c r="A226" t="str">
        <f t="shared" si="4"/>
        <v>107475-6</v>
      </c>
      <c r="B226" t="s">
        <v>1217</v>
      </c>
      <c r="C226" t="s">
        <v>1814</v>
      </c>
      <c r="D226" s="32">
        <v>5671000</v>
      </c>
      <c r="E226" s="32">
        <v>6368000</v>
      </c>
      <c r="F226" s="32">
        <v>12039000</v>
      </c>
    </row>
    <row r="227" spans="1:6">
      <c r="A227" t="str">
        <f t="shared" si="4"/>
        <v>107494-6</v>
      </c>
      <c r="B227" t="s">
        <v>1217</v>
      </c>
      <c r="C227" t="s">
        <v>1815</v>
      </c>
      <c r="D227" s="32">
        <v>26035000</v>
      </c>
      <c r="E227" s="32">
        <v>28985000</v>
      </c>
      <c r="F227" s="32">
        <v>55020000</v>
      </c>
    </row>
    <row r="228" spans="1:6">
      <c r="A228" t="str">
        <f t="shared" si="4"/>
        <v>107567-1</v>
      </c>
      <c r="B228" t="s">
        <v>1217</v>
      </c>
      <c r="C228" t="s">
        <v>1821</v>
      </c>
      <c r="D228" s="32"/>
      <c r="E228" s="32">
        <v>314000</v>
      </c>
      <c r="F228" s="32">
        <v>314000</v>
      </c>
    </row>
    <row r="229" spans="1:6">
      <c r="A229" t="str">
        <f t="shared" si="4"/>
        <v>107001-H</v>
      </c>
      <c r="B229" t="s">
        <v>1217</v>
      </c>
      <c r="C229" t="s">
        <v>1990</v>
      </c>
      <c r="D229" s="32">
        <v>29610000</v>
      </c>
      <c r="E229" s="32">
        <v>27059000</v>
      </c>
      <c r="F229" s="32">
        <v>56669000</v>
      </c>
    </row>
    <row r="230" spans="1:6">
      <c r="A230" t="str">
        <f t="shared" si="4"/>
        <v>10725N-1</v>
      </c>
      <c r="B230" t="s">
        <v>1217</v>
      </c>
      <c r="C230" t="s">
        <v>1891</v>
      </c>
      <c r="D230" s="32">
        <v>15049000</v>
      </c>
      <c r="E230" s="32">
        <v>30074000</v>
      </c>
      <c r="F230" s="32">
        <v>45123000</v>
      </c>
    </row>
    <row r="231" spans="1:6">
      <c r="A231" t="str">
        <f t="shared" si="4"/>
        <v>10725M-1</v>
      </c>
      <c r="B231" t="s">
        <v>1217</v>
      </c>
      <c r="C231" t="s">
        <v>1892</v>
      </c>
      <c r="D231" s="32">
        <v>55000000</v>
      </c>
      <c r="E231" s="32">
        <v>70000000</v>
      </c>
      <c r="F231" s="32">
        <v>125000000</v>
      </c>
    </row>
    <row r="232" spans="1:6">
      <c r="A232" t="str">
        <f t="shared" si="4"/>
        <v>10724L-1</v>
      </c>
      <c r="B232" t="s">
        <v>1217</v>
      </c>
      <c r="C232" t="s">
        <v>1893</v>
      </c>
      <c r="D232" s="32">
        <v>7072000</v>
      </c>
      <c r="E232" s="32">
        <v>7244000</v>
      </c>
      <c r="F232" s="32">
        <v>14316000</v>
      </c>
    </row>
    <row r="233" spans="1:6">
      <c r="A233" t="str">
        <f t="shared" si="4"/>
        <v>10724V-1</v>
      </c>
      <c r="B233" t="s">
        <v>1217</v>
      </c>
      <c r="C233" t="s">
        <v>1894</v>
      </c>
      <c r="D233" s="32">
        <v>4154000</v>
      </c>
      <c r="E233" s="32">
        <v>4164000</v>
      </c>
      <c r="F233" s="32">
        <v>8318000</v>
      </c>
    </row>
    <row r="234" spans="1:6">
      <c r="A234" t="str">
        <f t="shared" si="4"/>
        <v>10727W-1</v>
      </c>
      <c r="B234" t="s">
        <v>1217</v>
      </c>
      <c r="C234" t="s">
        <v>1961</v>
      </c>
      <c r="D234" s="32">
        <v>37985000</v>
      </c>
      <c r="E234" s="32">
        <v>61652000</v>
      </c>
      <c r="F234" s="32">
        <v>99637000</v>
      </c>
    </row>
    <row r="235" spans="1:6">
      <c r="A235" t="str">
        <f t="shared" si="4"/>
        <v>107PCW-1</v>
      </c>
      <c r="B235" t="s">
        <v>1217</v>
      </c>
      <c r="C235" t="s">
        <v>1995</v>
      </c>
      <c r="D235" s="32"/>
      <c r="E235" s="32">
        <v>7000000</v>
      </c>
      <c r="F235" s="32">
        <v>7000000</v>
      </c>
    </row>
    <row r="236" spans="1:6">
      <c r="A236" t="str">
        <f t="shared" si="4"/>
        <v>110180-6</v>
      </c>
      <c r="B236" t="s">
        <v>1275</v>
      </c>
      <c r="C236" t="s">
        <v>1350</v>
      </c>
      <c r="D236" s="32">
        <v>25000</v>
      </c>
      <c r="E236" s="32">
        <v>25000</v>
      </c>
      <c r="F236" s="32">
        <v>50000</v>
      </c>
    </row>
    <row r="237" spans="1:6">
      <c r="A237" t="str">
        <f t="shared" si="4"/>
        <v>110484-1</v>
      </c>
      <c r="B237" t="s">
        <v>1275</v>
      </c>
      <c r="C237" t="s">
        <v>1276</v>
      </c>
      <c r="D237" s="32">
        <v>40741000</v>
      </c>
      <c r="E237" s="32">
        <v>35733000</v>
      </c>
      <c r="F237" s="32">
        <v>76474000</v>
      </c>
    </row>
    <row r="238" spans="1:6">
      <c r="A238" t="str">
        <f t="shared" si="4"/>
        <v>110484-7</v>
      </c>
      <c r="B238" t="s">
        <v>1275</v>
      </c>
      <c r="C238" t="s">
        <v>1895</v>
      </c>
      <c r="D238" s="32">
        <v>6000</v>
      </c>
      <c r="E238" s="32">
        <v>6000</v>
      </c>
      <c r="F238" s="32">
        <v>12000</v>
      </c>
    </row>
    <row r="239" spans="1:6">
      <c r="A239" t="str">
        <f t="shared" si="4"/>
        <v>116433-6</v>
      </c>
      <c r="B239" t="s">
        <v>1224</v>
      </c>
      <c r="C239" t="s">
        <v>1332</v>
      </c>
      <c r="D239" s="32">
        <v>73933000</v>
      </c>
      <c r="E239" s="32">
        <v>74491000</v>
      </c>
      <c r="F239" s="32">
        <v>148424000</v>
      </c>
    </row>
    <row r="240" spans="1:6">
      <c r="A240" t="str">
        <f t="shared" si="4"/>
        <v>116577-6</v>
      </c>
      <c r="B240" t="s">
        <v>1224</v>
      </c>
      <c r="C240" t="s">
        <v>1225</v>
      </c>
      <c r="D240" s="32">
        <v>622574000</v>
      </c>
      <c r="E240" s="32">
        <v>624805000</v>
      </c>
      <c r="F240" s="32">
        <v>1247379000</v>
      </c>
    </row>
    <row r="241" spans="1:6">
      <c r="A241" t="str">
        <f t="shared" si="4"/>
        <v>116578-1</v>
      </c>
      <c r="B241" t="s">
        <v>1224</v>
      </c>
      <c r="C241" t="s">
        <v>1349</v>
      </c>
      <c r="D241" s="32">
        <v>16333000</v>
      </c>
      <c r="E241" s="32">
        <v>16615000</v>
      </c>
      <c r="F241" s="32">
        <v>32948000</v>
      </c>
    </row>
    <row r="242" spans="1:6">
      <c r="A242" t="str">
        <f t="shared" si="4"/>
        <v>117141-6</v>
      </c>
      <c r="B242" t="s">
        <v>1419</v>
      </c>
      <c r="C242" t="s">
        <v>1270</v>
      </c>
      <c r="D242" s="32">
        <v>154000</v>
      </c>
      <c r="E242" s="32"/>
      <c r="F242" s="32">
        <v>154000</v>
      </c>
    </row>
    <row r="243" spans="1:6">
      <c r="A243" t="str">
        <f t="shared" si="4"/>
        <v>117226-6</v>
      </c>
      <c r="B243" t="s">
        <v>1419</v>
      </c>
      <c r="C243" t="s">
        <v>1340</v>
      </c>
      <c r="D243" s="32">
        <v>602000</v>
      </c>
      <c r="E243" s="32"/>
      <c r="F243" s="32">
        <v>602000</v>
      </c>
    </row>
    <row r="244" spans="1:6">
      <c r="A244" t="str">
        <f t="shared" si="4"/>
        <v>117884-6</v>
      </c>
      <c r="B244" t="s">
        <v>1419</v>
      </c>
      <c r="C244" t="s">
        <v>1503</v>
      </c>
      <c r="D244" s="32">
        <v>20656000</v>
      </c>
      <c r="E244" s="32">
        <v>21724000</v>
      </c>
      <c r="F244" s="32">
        <v>42380000</v>
      </c>
    </row>
    <row r="245" spans="1:6">
      <c r="A245" t="str">
        <f t="shared" si="4"/>
        <v>118001-1</v>
      </c>
      <c r="B245" t="s">
        <v>1391</v>
      </c>
      <c r="C245" t="s">
        <v>621</v>
      </c>
      <c r="D245" s="32">
        <v>1493000</v>
      </c>
      <c r="E245" s="32">
        <v>1389000</v>
      </c>
      <c r="F245" s="32">
        <v>2882000</v>
      </c>
    </row>
    <row r="246" spans="1:6">
      <c r="A246" t="str">
        <f t="shared" si="4"/>
        <v>119001-1</v>
      </c>
      <c r="B246" t="s">
        <v>1296</v>
      </c>
      <c r="C246" t="s">
        <v>621</v>
      </c>
      <c r="D246" s="32">
        <v>660000</v>
      </c>
      <c r="E246" s="32">
        <v>679000</v>
      </c>
      <c r="F246" s="32">
        <v>1339000</v>
      </c>
    </row>
    <row r="247" spans="1:6">
      <c r="A247" t="str">
        <f t="shared" si="4"/>
        <v>120001-1</v>
      </c>
      <c r="B247" t="s">
        <v>1254</v>
      </c>
      <c r="C247" t="s">
        <v>621</v>
      </c>
      <c r="D247" s="32">
        <v>4948000</v>
      </c>
      <c r="E247" s="32">
        <v>5321000</v>
      </c>
      <c r="F247" s="32">
        <v>10269000</v>
      </c>
    </row>
    <row r="248" spans="1:6">
      <c r="A248" t="str">
        <f t="shared" si="4"/>
        <v>120001-2</v>
      </c>
      <c r="B248" t="s">
        <v>1254</v>
      </c>
      <c r="C248" t="s">
        <v>622</v>
      </c>
      <c r="D248" s="32">
        <v>1504000</v>
      </c>
      <c r="E248" s="32">
        <v>1471000</v>
      </c>
      <c r="F248" s="32">
        <v>2975000</v>
      </c>
    </row>
    <row r="249" spans="1:6">
      <c r="A249" t="str">
        <f t="shared" si="4"/>
        <v>124001-1</v>
      </c>
      <c r="B249" t="s">
        <v>1260</v>
      </c>
      <c r="C249" t="s">
        <v>621</v>
      </c>
      <c r="D249" s="32">
        <v>387000</v>
      </c>
      <c r="E249" s="32"/>
      <c r="F249" s="32">
        <v>387000</v>
      </c>
    </row>
    <row r="250" spans="1:6">
      <c r="A250" t="str">
        <f t="shared" si="4"/>
        <v>124600-1</v>
      </c>
      <c r="B250" t="s">
        <v>1260</v>
      </c>
      <c r="C250" t="s">
        <v>1261</v>
      </c>
      <c r="D250" s="32">
        <v>58789000</v>
      </c>
      <c r="E250" s="32">
        <v>58420000</v>
      </c>
      <c r="F250" s="32">
        <v>117209000</v>
      </c>
    </row>
    <row r="251" spans="1:6">
      <c r="A251" t="str">
        <f t="shared" si="4"/>
        <v>124600-6</v>
      </c>
      <c r="B251" t="s">
        <v>1260</v>
      </c>
      <c r="C251" t="s">
        <v>1499</v>
      </c>
      <c r="D251" s="32">
        <v>3457000</v>
      </c>
      <c r="E251" s="32">
        <v>3455000</v>
      </c>
      <c r="F251" s="32">
        <v>6912000</v>
      </c>
    </row>
    <row r="252" spans="1:6">
      <c r="A252" t="str">
        <f t="shared" si="4"/>
        <v>124874-6</v>
      </c>
      <c r="B252" t="s">
        <v>1260</v>
      </c>
      <c r="C252" t="s">
        <v>1489</v>
      </c>
      <c r="D252" s="32">
        <v>183000</v>
      </c>
      <c r="E252" s="32">
        <v>189000</v>
      </c>
      <c r="F252" s="32">
        <v>372000</v>
      </c>
    </row>
    <row r="253" spans="1:6">
      <c r="A253" t="str">
        <f t="shared" si="4"/>
        <v>124888-6</v>
      </c>
      <c r="B253" t="s">
        <v>1260</v>
      </c>
      <c r="C253" t="s">
        <v>1361</v>
      </c>
      <c r="D253" s="32">
        <v>2812000</v>
      </c>
      <c r="E253" s="32">
        <v>2528000</v>
      </c>
      <c r="F253" s="32">
        <v>5340000</v>
      </c>
    </row>
    <row r="254" spans="1:6">
      <c r="A254" t="str">
        <f t="shared" si="4"/>
        <v>126031-1</v>
      </c>
      <c r="B254" t="s">
        <v>1402</v>
      </c>
      <c r="C254" t="s">
        <v>1464</v>
      </c>
      <c r="D254" s="32">
        <v>41071000</v>
      </c>
      <c r="E254" s="32">
        <v>42542000</v>
      </c>
      <c r="F254" s="32">
        <v>83613000</v>
      </c>
    </row>
    <row r="255" spans="1:6">
      <c r="A255" t="str">
        <f t="shared" si="4"/>
        <v>140001-1</v>
      </c>
      <c r="B255" t="s">
        <v>1255</v>
      </c>
      <c r="C255" t="s">
        <v>621</v>
      </c>
      <c r="D255" s="32">
        <v>358735000</v>
      </c>
      <c r="E255" s="32">
        <v>399005000</v>
      </c>
      <c r="F255" s="32">
        <v>757740000</v>
      </c>
    </row>
    <row r="256" spans="1:6">
      <c r="A256" t="str">
        <f t="shared" si="4"/>
        <v>14002W-1</v>
      </c>
      <c r="B256" t="s">
        <v>1255</v>
      </c>
      <c r="C256" t="s">
        <v>1318</v>
      </c>
      <c r="D256" s="32">
        <v>4019000</v>
      </c>
      <c r="E256" s="32">
        <v>4117000</v>
      </c>
      <c r="F256" s="32">
        <v>8136000</v>
      </c>
    </row>
    <row r="257" spans="1:6">
      <c r="A257" t="str">
        <f t="shared" si="4"/>
        <v>14003N-1</v>
      </c>
      <c r="B257" t="s">
        <v>1255</v>
      </c>
      <c r="C257" t="s">
        <v>1364</v>
      </c>
      <c r="D257" s="32">
        <v>9871000</v>
      </c>
      <c r="E257" s="32">
        <v>10015000</v>
      </c>
      <c r="F257" s="32">
        <v>19886000</v>
      </c>
    </row>
    <row r="258" spans="1:6">
      <c r="A258" t="str">
        <f t="shared" si="4"/>
        <v>140044-1</v>
      </c>
      <c r="B258" t="s">
        <v>1255</v>
      </c>
      <c r="C258" t="s">
        <v>1292</v>
      </c>
      <c r="D258" s="32">
        <v>90000</v>
      </c>
      <c r="E258" s="32">
        <v>93000</v>
      </c>
      <c r="F258" s="32">
        <v>183000</v>
      </c>
    </row>
    <row r="259" spans="1:6">
      <c r="A259" t="str">
        <f t="shared" si="4"/>
        <v>140196-6</v>
      </c>
      <c r="B259" t="s">
        <v>1255</v>
      </c>
      <c r="C259" t="s">
        <v>1415</v>
      </c>
      <c r="D259" s="32">
        <v>9854000</v>
      </c>
      <c r="E259" s="32">
        <v>9951000</v>
      </c>
      <c r="F259" s="32">
        <v>19805000</v>
      </c>
    </row>
    <row r="260" spans="1:6">
      <c r="A260" t="str">
        <f t="shared" si="4"/>
        <v>140300-1</v>
      </c>
      <c r="B260" t="s">
        <v>1255</v>
      </c>
      <c r="C260" t="s">
        <v>1699</v>
      </c>
      <c r="D260" s="32">
        <v>2500000</v>
      </c>
      <c r="E260" s="32">
        <v>2500000</v>
      </c>
      <c r="F260" s="32">
        <v>5000000</v>
      </c>
    </row>
    <row r="261" spans="1:6">
      <c r="A261" t="str">
        <f t="shared" si="4"/>
        <v>14023P-1</v>
      </c>
      <c r="B261" t="s">
        <v>1255</v>
      </c>
      <c r="C261" t="s">
        <v>1805</v>
      </c>
      <c r="D261" s="32">
        <v>63000</v>
      </c>
      <c r="E261" s="32">
        <v>64000</v>
      </c>
      <c r="F261" s="32">
        <v>127000</v>
      </c>
    </row>
    <row r="262" spans="1:6">
      <c r="A262" t="str">
        <f t="shared" si="4"/>
        <v>14026C-1</v>
      </c>
      <c r="B262" t="s">
        <v>1255</v>
      </c>
      <c r="C262" t="s">
        <v>1956</v>
      </c>
      <c r="D262" s="32">
        <v>415000</v>
      </c>
      <c r="E262" s="32">
        <v>480000</v>
      </c>
      <c r="F262" s="32">
        <v>895000</v>
      </c>
    </row>
    <row r="263" spans="1:6">
      <c r="A263" t="str">
        <f t="shared" si="4"/>
        <v>142001-1</v>
      </c>
      <c r="B263" t="s">
        <v>1381</v>
      </c>
      <c r="C263" t="s">
        <v>621</v>
      </c>
      <c r="D263" s="32">
        <v>2809000</v>
      </c>
      <c r="E263" s="32">
        <v>2908000</v>
      </c>
      <c r="F263" s="32">
        <v>5717000</v>
      </c>
    </row>
    <row r="264" spans="1:6">
      <c r="A264" t="str">
        <f t="shared" si="4"/>
        <v>147001-1</v>
      </c>
      <c r="B264" t="s">
        <v>1433</v>
      </c>
      <c r="C264" t="s">
        <v>621</v>
      </c>
      <c r="D264" s="32">
        <v>3837000</v>
      </c>
      <c r="E264" s="32">
        <v>6382000</v>
      </c>
      <c r="F264" s="32">
        <v>10219000</v>
      </c>
    </row>
    <row r="265" spans="1:6">
      <c r="A265" t="str">
        <f t="shared" si="4"/>
        <v>147218-1</v>
      </c>
      <c r="B265" t="s">
        <v>1433</v>
      </c>
      <c r="C265" t="s">
        <v>1298</v>
      </c>
      <c r="D265" s="32">
        <v>75000</v>
      </c>
      <c r="E265" s="32">
        <v>75000</v>
      </c>
      <c r="F265" s="32">
        <v>150000</v>
      </c>
    </row>
    <row r="266" spans="1:6">
      <c r="A266" t="str">
        <f t="shared" si="4"/>
        <v>147453-1</v>
      </c>
      <c r="B266" t="s">
        <v>1433</v>
      </c>
      <c r="C266" t="s">
        <v>1434</v>
      </c>
      <c r="D266" s="32">
        <v>3003000</v>
      </c>
      <c r="E266" s="32">
        <v>3110000</v>
      </c>
      <c r="F266" s="32">
        <v>6113000</v>
      </c>
    </row>
    <row r="267" spans="1:6">
      <c r="A267" t="str">
        <f t="shared" si="4"/>
        <v>14726Q-1</v>
      </c>
      <c r="B267" t="s">
        <v>1433</v>
      </c>
      <c r="C267" t="s">
        <v>1889</v>
      </c>
      <c r="D267" s="32">
        <v>2275000</v>
      </c>
      <c r="E267" s="32">
        <v>2275000</v>
      </c>
      <c r="F267" s="32">
        <v>4550000</v>
      </c>
    </row>
    <row r="268" spans="1:6">
      <c r="A268" t="str">
        <f t="shared" si="4"/>
        <v>160001-2</v>
      </c>
      <c r="B268" t="s">
        <v>1325</v>
      </c>
      <c r="C268" t="s">
        <v>622</v>
      </c>
      <c r="D268" s="32">
        <v>2280000</v>
      </c>
      <c r="E268" s="32">
        <v>2443000</v>
      </c>
      <c r="F268" s="32">
        <v>4723000</v>
      </c>
    </row>
    <row r="269" spans="1:6">
      <c r="A269" t="str">
        <f t="shared" si="4"/>
        <v>160138-1</v>
      </c>
      <c r="B269" t="s">
        <v>1325</v>
      </c>
      <c r="C269" t="s">
        <v>1484</v>
      </c>
      <c r="D269" s="32">
        <v>40397000</v>
      </c>
      <c r="E269" s="32">
        <v>42433000</v>
      </c>
      <c r="F269" s="32">
        <v>82830000</v>
      </c>
    </row>
    <row r="270" spans="1:6">
      <c r="A270" t="str">
        <f t="shared" si="4"/>
        <v>16024P-1</v>
      </c>
      <c r="B270" t="s">
        <v>1325</v>
      </c>
      <c r="C270" t="s">
        <v>1861</v>
      </c>
      <c r="D270" s="32">
        <v>2172000</v>
      </c>
      <c r="E270" s="32">
        <v>2112000</v>
      </c>
      <c r="F270" s="32">
        <v>4284000</v>
      </c>
    </row>
    <row r="271" spans="1:6">
      <c r="A271" t="str">
        <f t="shared" si="4"/>
        <v>163001-1</v>
      </c>
      <c r="B271" t="s">
        <v>1458</v>
      </c>
      <c r="C271" t="s">
        <v>621</v>
      </c>
      <c r="D271" s="32">
        <v>7623000</v>
      </c>
      <c r="E271" s="32">
        <v>30310000</v>
      </c>
      <c r="F271" s="32">
        <v>37933000</v>
      </c>
    </row>
    <row r="272" spans="1:6">
      <c r="A272" t="str">
        <f t="shared" si="4"/>
        <v>163001-2</v>
      </c>
      <c r="B272" t="s">
        <v>1458</v>
      </c>
      <c r="C272" t="s">
        <v>622</v>
      </c>
      <c r="D272" s="32"/>
      <c r="E272" s="32">
        <v>134292000</v>
      </c>
      <c r="F272" s="32">
        <v>134292000</v>
      </c>
    </row>
    <row r="273" spans="1:6">
      <c r="A273" t="str">
        <f t="shared" si="4"/>
        <v>163458-1</v>
      </c>
      <c r="B273" t="s">
        <v>1458</v>
      </c>
      <c r="C273" t="s">
        <v>1633</v>
      </c>
      <c r="D273" s="32">
        <v>65802000</v>
      </c>
      <c r="E273" s="32">
        <v>70506000</v>
      </c>
      <c r="F273" s="32">
        <v>136308000</v>
      </c>
    </row>
    <row r="274" spans="1:6">
      <c r="A274" t="str">
        <f t="shared" ref="A274:A337" si="5">+B274&amp;C274</f>
        <v>163458-6</v>
      </c>
      <c r="B274" t="s">
        <v>1458</v>
      </c>
      <c r="C274" t="s">
        <v>1634</v>
      </c>
      <c r="D274" s="32">
        <v>136210000</v>
      </c>
      <c r="E274" s="32">
        <v>138960000</v>
      </c>
      <c r="F274" s="32">
        <v>275170000</v>
      </c>
    </row>
    <row r="275" spans="1:6">
      <c r="A275" t="str">
        <f t="shared" si="5"/>
        <v>16502J-1</v>
      </c>
      <c r="B275" t="s">
        <v>1490</v>
      </c>
      <c r="C275" t="s">
        <v>1491</v>
      </c>
      <c r="D275" s="32">
        <v>2477000</v>
      </c>
      <c r="E275" s="32">
        <v>2711000</v>
      </c>
      <c r="F275" s="32">
        <v>5188000</v>
      </c>
    </row>
    <row r="276" spans="1:6">
      <c r="A276" t="str">
        <f t="shared" si="5"/>
        <v>166024-1</v>
      </c>
      <c r="B276" t="s">
        <v>1832</v>
      </c>
      <c r="C276" t="s">
        <v>1518</v>
      </c>
      <c r="D276" s="32">
        <v>2291000</v>
      </c>
      <c r="E276" s="32">
        <v>2393000</v>
      </c>
      <c r="F276" s="32">
        <v>4684000</v>
      </c>
    </row>
    <row r="277" spans="1:6">
      <c r="A277" t="str">
        <f t="shared" si="5"/>
        <v>16702K-1</v>
      </c>
      <c r="B277" t="s">
        <v>1244</v>
      </c>
      <c r="C277" t="s">
        <v>634</v>
      </c>
      <c r="D277" s="32">
        <v>392000</v>
      </c>
      <c r="E277" s="32">
        <v>429000</v>
      </c>
      <c r="F277" s="32">
        <v>821000</v>
      </c>
    </row>
    <row r="278" spans="1:6">
      <c r="A278" t="str">
        <f t="shared" si="5"/>
        <v>179001-1</v>
      </c>
      <c r="B278" t="s">
        <v>1227</v>
      </c>
      <c r="C278" t="s">
        <v>621</v>
      </c>
      <c r="D278" s="32">
        <v>15236000</v>
      </c>
      <c r="E278" s="32">
        <v>14748000</v>
      </c>
      <c r="F278" s="32">
        <v>29984000</v>
      </c>
    </row>
    <row r="279" spans="1:6">
      <c r="A279" t="str">
        <f t="shared" si="5"/>
        <v>179001-7</v>
      </c>
      <c r="B279" t="s">
        <v>1227</v>
      </c>
      <c r="C279" t="s">
        <v>632</v>
      </c>
      <c r="D279" s="32">
        <v>51000</v>
      </c>
      <c r="E279" s="32">
        <v>51000</v>
      </c>
      <c r="F279" s="32">
        <v>102000</v>
      </c>
    </row>
    <row r="280" spans="1:6">
      <c r="A280" t="str">
        <f t="shared" si="5"/>
        <v>179045-6</v>
      </c>
      <c r="B280" t="s">
        <v>1227</v>
      </c>
      <c r="C280" t="s">
        <v>1405</v>
      </c>
      <c r="D280" s="32">
        <v>3340000</v>
      </c>
      <c r="E280" s="32">
        <v>3348000</v>
      </c>
      <c r="F280" s="32">
        <v>6688000</v>
      </c>
    </row>
    <row r="281" spans="1:6">
      <c r="A281" t="str">
        <f t="shared" si="5"/>
        <v>179057-1</v>
      </c>
      <c r="B281" t="s">
        <v>1227</v>
      </c>
      <c r="C281" t="s">
        <v>623</v>
      </c>
      <c r="D281" s="32">
        <v>86674000</v>
      </c>
      <c r="E281" s="32">
        <v>86674000</v>
      </c>
      <c r="F281" s="32">
        <v>173348000</v>
      </c>
    </row>
    <row r="282" spans="1:6">
      <c r="A282" t="str">
        <f t="shared" si="5"/>
        <v>179084-1</v>
      </c>
      <c r="B282" t="s">
        <v>1227</v>
      </c>
      <c r="C282" t="s">
        <v>1195</v>
      </c>
      <c r="D282" s="32">
        <v>1297000</v>
      </c>
      <c r="E282" s="32">
        <v>1288000</v>
      </c>
      <c r="F282" s="32">
        <v>2585000</v>
      </c>
    </row>
    <row r="283" spans="1:6">
      <c r="A283" t="str">
        <f t="shared" si="5"/>
        <v>179422-6</v>
      </c>
      <c r="B283" t="s">
        <v>1227</v>
      </c>
      <c r="C283" t="s">
        <v>1407</v>
      </c>
      <c r="D283" s="32">
        <v>184567000</v>
      </c>
      <c r="E283" s="32">
        <v>186273000</v>
      </c>
      <c r="F283" s="32">
        <v>370840000</v>
      </c>
    </row>
    <row r="284" spans="1:6">
      <c r="A284" t="str">
        <f t="shared" si="5"/>
        <v>179546-6</v>
      </c>
      <c r="B284" t="s">
        <v>1227</v>
      </c>
      <c r="C284" t="s">
        <v>1280</v>
      </c>
      <c r="D284" s="32">
        <v>16137000</v>
      </c>
      <c r="E284" s="32">
        <v>16182000</v>
      </c>
      <c r="F284" s="32">
        <v>32319000</v>
      </c>
    </row>
    <row r="285" spans="1:6">
      <c r="A285" t="str">
        <f t="shared" si="5"/>
        <v>179289-1</v>
      </c>
      <c r="B285" t="s">
        <v>1227</v>
      </c>
      <c r="C285" t="s">
        <v>1735</v>
      </c>
      <c r="D285" s="32">
        <v>5353500</v>
      </c>
      <c r="E285" s="32">
        <v>5353500</v>
      </c>
      <c r="F285" s="32">
        <v>10707000</v>
      </c>
    </row>
    <row r="286" spans="1:6">
      <c r="A286" t="str">
        <f t="shared" si="5"/>
        <v>179036-1</v>
      </c>
      <c r="B286" t="s">
        <v>1227</v>
      </c>
      <c r="C286" t="s">
        <v>1962</v>
      </c>
      <c r="D286" s="32">
        <v>8644000</v>
      </c>
      <c r="E286" s="32">
        <v>8644000</v>
      </c>
      <c r="F286" s="32">
        <v>17288000</v>
      </c>
    </row>
    <row r="287" spans="1:6">
      <c r="A287" t="str">
        <f t="shared" si="5"/>
        <v>17923N-1</v>
      </c>
      <c r="B287" t="s">
        <v>1227</v>
      </c>
      <c r="C287" t="s">
        <v>1811</v>
      </c>
      <c r="D287" s="32">
        <v>500000</v>
      </c>
      <c r="E287" s="32">
        <v>500000</v>
      </c>
      <c r="F287" s="32">
        <v>1000000</v>
      </c>
    </row>
    <row r="288" spans="1:6">
      <c r="A288" t="str">
        <f t="shared" si="5"/>
        <v>179547-6</v>
      </c>
      <c r="B288" t="s">
        <v>1227</v>
      </c>
      <c r="C288" t="s">
        <v>1816</v>
      </c>
      <c r="D288" s="32">
        <v>15430000</v>
      </c>
      <c r="E288" s="32">
        <v>15430000</v>
      </c>
      <c r="F288" s="32">
        <v>30860000</v>
      </c>
    </row>
    <row r="289" spans="1:6">
      <c r="A289" t="str">
        <f t="shared" si="5"/>
        <v>17927B-1</v>
      </c>
      <c r="B289" t="s">
        <v>1227</v>
      </c>
      <c r="C289" t="s">
        <v>1888</v>
      </c>
      <c r="D289" s="32">
        <v>861000</v>
      </c>
      <c r="E289" s="32">
        <v>861000</v>
      </c>
      <c r="F289" s="32">
        <v>1722000</v>
      </c>
    </row>
    <row r="290" spans="1:6">
      <c r="A290" t="str">
        <f t="shared" si="5"/>
        <v>17926A-1</v>
      </c>
      <c r="B290" t="s">
        <v>1227</v>
      </c>
      <c r="C290" t="s">
        <v>1908</v>
      </c>
      <c r="D290" s="32">
        <v>9000000</v>
      </c>
      <c r="E290" s="32">
        <v>9000000</v>
      </c>
      <c r="F290" s="32">
        <v>18000000</v>
      </c>
    </row>
    <row r="291" spans="1:6">
      <c r="A291" t="str">
        <f t="shared" si="5"/>
        <v>17926C-1</v>
      </c>
      <c r="B291" t="s">
        <v>1227</v>
      </c>
      <c r="C291" t="s">
        <v>1956</v>
      </c>
      <c r="D291" s="32">
        <v>725000</v>
      </c>
      <c r="E291" s="32">
        <v>1475000</v>
      </c>
      <c r="F291" s="32">
        <v>2200000</v>
      </c>
    </row>
    <row r="292" spans="1:6">
      <c r="A292" t="str">
        <f t="shared" si="5"/>
        <v>17926D-1</v>
      </c>
      <c r="B292" t="s">
        <v>1227</v>
      </c>
      <c r="C292" t="s">
        <v>1958</v>
      </c>
      <c r="D292" s="32">
        <v>3500000</v>
      </c>
      <c r="E292" s="32">
        <v>3500000</v>
      </c>
      <c r="F292" s="32">
        <v>7000000</v>
      </c>
    </row>
    <row r="293" spans="1:6">
      <c r="A293" t="str">
        <f t="shared" si="5"/>
        <v>185485-6</v>
      </c>
      <c r="B293" t="s">
        <v>1322</v>
      </c>
      <c r="C293" t="s">
        <v>1394</v>
      </c>
      <c r="D293" s="32">
        <v>600000</v>
      </c>
      <c r="E293" s="32">
        <v>600000</v>
      </c>
      <c r="F293" s="32">
        <v>1200000</v>
      </c>
    </row>
    <row r="294" spans="1:6">
      <c r="A294" t="str">
        <f t="shared" si="5"/>
        <v>185497-6</v>
      </c>
      <c r="B294" t="s">
        <v>1322</v>
      </c>
      <c r="C294" t="s">
        <v>1323</v>
      </c>
      <c r="D294" s="32">
        <v>67000</v>
      </c>
      <c r="E294" s="32">
        <v>67000</v>
      </c>
      <c r="F294" s="32">
        <v>134000</v>
      </c>
    </row>
    <row r="295" spans="1:6">
      <c r="A295" t="str">
        <f t="shared" si="5"/>
        <v>185169-6</v>
      </c>
      <c r="B295" t="s">
        <v>1322</v>
      </c>
      <c r="C295" t="s">
        <v>1691</v>
      </c>
      <c r="D295" s="32">
        <v>2938000</v>
      </c>
      <c r="E295" s="32">
        <v>1747000</v>
      </c>
      <c r="F295" s="32">
        <v>4685000</v>
      </c>
    </row>
    <row r="296" spans="1:6">
      <c r="A296" t="str">
        <f t="shared" si="5"/>
        <v>190163-1</v>
      </c>
      <c r="B296" t="s">
        <v>1377</v>
      </c>
      <c r="C296" t="s">
        <v>1211</v>
      </c>
      <c r="D296" s="32">
        <v>5000</v>
      </c>
      <c r="E296" s="32">
        <v>5000</v>
      </c>
      <c r="F296" s="32">
        <v>10000</v>
      </c>
    </row>
    <row r="297" spans="1:6">
      <c r="A297" t="str">
        <f t="shared" si="5"/>
        <v>190608-1</v>
      </c>
      <c r="B297" t="s">
        <v>1377</v>
      </c>
      <c r="C297" t="s">
        <v>642</v>
      </c>
      <c r="D297" s="32">
        <v>13692000</v>
      </c>
      <c r="E297" s="32">
        <v>13949000</v>
      </c>
      <c r="F297" s="32">
        <v>27641000</v>
      </c>
    </row>
    <row r="298" spans="1:6">
      <c r="A298" t="str">
        <f t="shared" si="5"/>
        <v>190609-1</v>
      </c>
      <c r="B298" t="s">
        <v>1377</v>
      </c>
      <c r="C298" t="s">
        <v>643</v>
      </c>
      <c r="D298" s="32">
        <v>13694000</v>
      </c>
      <c r="E298" s="32">
        <v>13941000</v>
      </c>
      <c r="F298" s="32">
        <v>27635000</v>
      </c>
    </row>
    <row r="299" spans="1:6">
      <c r="A299" t="str">
        <f t="shared" si="5"/>
        <v>195001-1</v>
      </c>
      <c r="B299" t="s">
        <v>1272</v>
      </c>
      <c r="C299" t="s">
        <v>621</v>
      </c>
      <c r="D299" s="32">
        <v>2501000</v>
      </c>
      <c r="E299" s="32">
        <v>1545000</v>
      </c>
      <c r="F299" s="32">
        <v>4046000</v>
      </c>
    </row>
    <row r="300" spans="1:6">
      <c r="A300" t="str">
        <f t="shared" si="5"/>
        <v>195001-2</v>
      </c>
      <c r="B300" t="s">
        <v>1272</v>
      </c>
      <c r="C300" t="s">
        <v>622</v>
      </c>
      <c r="D300" s="32">
        <v>1591000</v>
      </c>
      <c r="E300" s="32">
        <v>1596000</v>
      </c>
      <c r="F300" s="32">
        <v>3187000</v>
      </c>
    </row>
    <row r="301" spans="1:6">
      <c r="A301" t="str">
        <f t="shared" si="5"/>
        <v>195001-7</v>
      </c>
      <c r="B301" t="s">
        <v>1272</v>
      </c>
      <c r="C301" t="s">
        <v>632</v>
      </c>
      <c r="D301" s="32">
        <v>50000</v>
      </c>
      <c r="E301" s="32">
        <v>25000</v>
      </c>
      <c r="F301" s="32">
        <v>75000</v>
      </c>
    </row>
    <row r="302" spans="1:6">
      <c r="A302" t="str">
        <f t="shared" si="5"/>
        <v>195141-6</v>
      </c>
      <c r="B302" t="s">
        <v>1272</v>
      </c>
      <c r="C302" t="s">
        <v>1270</v>
      </c>
      <c r="D302" s="32">
        <v>554000</v>
      </c>
      <c r="E302" s="32">
        <v>328000</v>
      </c>
      <c r="F302" s="32">
        <v>882000</v>
      </c>
    </row>
    <row r="303" spans="1:6">
      <c r="A303" t="str">
        <f t="shared" si="5"/>
        <v>195315-1</v>
      </c>
      <c r="B303" t="s">
        <v>1272</v>
      </c>
      <c r="C303" t="s">
        <v>1578</v>
      </c>
      <c r="D303" s="32">
        <v>13481000</v>
      </c>
      <c r="E303" s="32">
        <v>14055000</v>
      </c>
      <c r="F303" s="32">
        <v>27536000</v>
      </c>
    </row>
    <row r="304" spans="1:6">
      <c r="A304" t="str">
        <f t="shared" si="5"/>
        <v>195501-1</v>
      </c>
      <c r="B304" t="s">
        <v>1272</v>
      </c>
      <c r="C304" t="s">
        <v>1357</v>
      </c>
      <c r="D304" s="32">
        <v>62618000</v>
      </c>
      <c r="E304" s="32">
        <v>63663000</v>
      </c>
      <c r="F304" s="32">
        <v>126281000</v>
      </c>
    </row>
    <row r="305" spans="1:6">
      <c r="A305" t="str">
        <f t="shared" si="5"/>
        <v>205218-1</v>
      </c>
      <c r="B305" t="s">
        <v>1392</v>
      </c>
      <c r="C305" t="s">
        <v>1298</v>
      </c>
      <c r="D305" s="32">
        <v>106000</v>
      </c>
      <c r="E305" s="32">
        <v>105000</v>
      </c>
      <c r="F305" s="32">
        <v>211000</v>
      </c>
    </row>
    <row r="306" spans="1:6">
      <c r="A306" t="str">
        <f t="shared" si="5"/>
        <v>205025-1</v>
      </c>
      <c r="B306" t="s">
        <v>1392</v>
      </c>
      <c r="C306" t="s">
        <v>1737</v>
      </c>
      <c r="D306" s="32">
        <v>1668000</v>
      </c>
      <c r="E306" s="32">
        <v>1698000</v>
      </c>
      <c r="F306" s="32">
        <v>3366000</v>
      </c>
    </row>
    <row r="307" spans="1:6">
      <c r="A307" t="str">
        <f t="shared" si="5"/>
        <v>215001-1</v>
      </c>
      <c r="B307" t="s">
        <v>1287</v>
      </c>
      <c r="C307" t="s">
        <v>621</v>
      </c>
      <c r="D307" s="32">
        <v>1201000</v>
      </c>
      <c r="E307" s="32">
        <v>1276000</v>
      </c>
      <c r="F307" s="32">
        <v>2477000</v>
      </c>
    </row>
    <row r="308" spans="1:6">
      <c r="A308" t="str">
        <f t="shared" si="5"/>
        <v>215080-1</v>
      </c>
      <c r="B308" t="s">
        <v>1287</v>
      </c>
      <c r="C308" t="s">
        <v>1289</v>
      </c>
      <c r="D308" s="32">
        <v>252000</v>
      </c>
      <c r="E308" s="32">
        <v>252000</v>
      </c>
      <c r="F308" s="32">
        <v>504000</v>
      </c>
    </row>
    <row r="309" spans="1:6">
      <c r="A309" t="str">
        <f t="shared" si="5"/>
        <v>215111-1</v>
      </c>
      <c r="B309" t="s">
        <v>1287</v>
      </c>
      <c r="C309" t="s">
        <v>1338</v>
      </c>
      <c r="D309" s="32">
        <v>31360000</v>
      </c>
      <c r="E309" s="32">
        <v>35085000</v>
      </c>
      <c r="F309" s="32">
        <v>66445000</v>
      </c>
    </row>
    <row r="310" spans="1:6">
      <c r="A310" t="str">
        <f t="shared" si="5"/>
        <v>21519J-6</v>
      </c>
      <c r="B310" t="s">
        <v>1287</v>
      </c>
      <c r="C310" t="s">
        <v>1530</v>
      </c>
      <c r="D310" s="32">
        <v>5000000</v>
      </c>
      <c r="E310" s="32"/>
      <c r="F310" s="32">
        <v>5000000</v>
      </c>
    </row>
    <row r="311" spans="1:6">
      <c r="A311" t="str">
        <f t="shared" si="5"/>
        <v>215297-1</v>
      </c>
      <c r="B311" t="s">
        <v>1287</v>
      </c>
      <c r="C311" t="s">
        <v>1540</v>
      </c>
      <c r="D311" s="32">
        <v>1946000</v>
      </c>
      <c r="E311" s="32">
        <v>1843000</v>
      </c>
      <c r="F311" s="32">
        <v>3789000</v>
      </c>
    </row>
    <row r="312" spans="1:6">
      <c r="A312" t="str">
        <f t="shared" si="5"/>
        <v>215297-2</v>
      </c>
      <c r="B312" t="s">
        <v>1287</v>
      </c>
      <c r="C312" t="s">
        <v>1311</v>
      </c>
      <c r="D312" s="32">
        <v>1693000</v>
      </c>
      <c r="E312" s="32">
        <v>1711000</v>
      </c>
      <c r="F312" s="32">
        <v>3404000</v>
      </c>
    </row>
    <row r="313" spans="1:6">
      <c r="A313" t="str">
        <f t="shared" si="5"/>
        <v>215025-1</v>
      </c>
      <c r="B313" t="s">
        <v>1287</v>
      </c>
      <c r="C313" t="s">
        <v>1737</v>
      </c>
      <c r="D313" s="32">
        <v>75000</v>
      </c>
      <c r="E313" s="32">
        <v>75000</v>
      </c>
      <c r="F313" s="32">
        <v>150000</v>
      </c>
    </row>
    <row r="314" spans="1:6">
      <c r="A314" t="str">
        <f t="shared" si="5"/>
        <v>215111-2</v>
      </c>
      <c r="B314" t="s">
        <v>1287</v>
      </c>
      <c r="C314" t="s">
        <v>1862</v>
      </c>
      <c r="D314" s="32">
        <v>40000</v>
      </c>
      <c r="E314" s="32">
        <v>60000</v>
      </c>
      <c r="F314" s="32">
        <v>100000</v>
      </c>
    </row>
    <row r="315" spans="1:6">
      <c r="A315" t="str">
        <f t="shared" si="5"/>
        <v>220204-1</v>
      </c>
      <c r="B315" t="s">
        <v>1388</v>
      </c>
      <c r="C315" t="s">
        <v>1389</v>
      </c>
      <c r="D315" s="32">
        <v>2975000</v>
      </c>
      <c r="E315" s="32">
        <v>704000</v>
      </c>
      <c r="F315" s="32">
        <v>3679000</v>
      </c>
    </row>
    <row r="316" spans="1:6">
      <c r="A316" t="str">
        <f t="shared" si="5"/>
        <v>225001-1</v>
      </c>
      <c r="B316" t="s">
        <v>1240</v>
      </c>
      <c r="C316" t="s">
        <v>621</v>
      </c>
      <c r="D316" s="32">
        <v>77989000</v>
      </c>
      <c r="E316" s="32">
        <v>85745000</v>
      </c>
      <c r="F316" s="32">
        <v>163734000</v>
      </c>
    </row>
    <row r="317" spans="1:6">
      <c r="A317" t="str">
        <f t="shared" si="5"/>
        <v>225001-2</v>
      </c>
      <c r="B317" t="s">
        <v>1240</v>
      </c>
      <c r="C317" t="s">
        <v>622</v>
      </c>
      <c r="D317" s="32">
        <v>9368000</v>
      </c>
      <c r="E317" s="32">
        <v>7604000</v>
      </c>
      <c r="F317" s="32">
        <v>16972000</v>
      </c>
    </row>
    <row r="318" spans="1:6">
      <c r="A318" t="str">
        <f t="shared" si="5"/>
        <v>225001-7</v>
      </c>
      <c r="B318" t="s">
        <v>1240</v>
      </c>
      <c r="C318" t="s">
        <v>632</v>
      </c>
      <c r="D318" s="32">
        <v>1660000</v>
      </c>
      <c r="E318" s="32">
        <v>1431000</v>
      </c>
      <c r="F318" s="32">
        <v>3091000</v>
      </c>
    </row>
    <row r="319" spans="1:6">
      <c r="A319" t="str">
        <f t="shared" si="5"/>
        <v>22502K-1</v>
      </c>
      <c r="B319" t="s">
        <v>1240</v>
      </c>
      <c r="C319" t="s">
        <v>634</v>
      </c>
      <c r="D319" s="32">
        <v>5024000</v>
      </c>
      <c r="E319" s="32">
        <v>4569000</v>
      </c>
      <c r="F319" s="32">
        <v>9593000</v>
      </c>
    </row>
    <row r="320" spans="1:6">
      <c r="A320" t="str">
        <f t="shared" si="5"/>
        <v>22503L-1</v>
      </c>
      <c r="B320" t="s">
        <v>1240</v>
      </c>
      <c r="C320" t="s">
        <v>1241</v>
      </c>
      <c r="D320" s="32">
        <v>2140000</v>
      </c>
      <c r="E320" s="32">
        <v>2753000</v>
      </c>
      <c r="F320" s="32">
        <v>4893000</v>
      </c>
    </row>
    <row r="321" spans="1:6">
      <c r="A321" t="str">
        <f t="shared" si="5"/>
        <v>22503M-1</v>
      </c>
      <c r="B321" t="s">
        <v>1240</v>
      </c>
      <c r="C321" t="s">
        <v>1353</v>
      </c>
      <c r="D321" s="32">
        <v>765000</v>
      </c>
      <c r="E321" s="32">
        <v>1035000</v>
      </c>
      <c r="F321" s="32">
        <v>1800000</v>
      </c>
    </row>
    <row r="322" spans="1:6">
      <c r="A322" t="str">
        <f t="shared" si="5"/>
        <v>22503P-1</v>
      </c>
      <c r="B322" t="s">
        <v>1240</v>
      </c>
      <c r="C322" t="s">
        <v>1436</v>
      </c>
      <c r="D322" s="32">
        <v>66000</v>
      </c>
      <c r="E322" s="32">
        <v>65000</v>
      </c>
      <c r="F322" s="32">
        <v>131000</v>
      </c>
    </row>
    <row r="323" spans="1:6">
      <c r="A323" t="str">
        <f t="shared" si="5"/>
        <v>22504V-1</v>
      </c>
      <c r="B323" t="s">
        <v>1240</v>
      </c>
      <c r="C323" t="s">
        <v>1430</v>
      </c>
      <c r="D323" s="32">
        <v>62000</v>
      </c>
      <c r="E323" s="32">
        <v>57000</v>
      </c>
      <c r="F323" s="32">
        <v>119000</v>
      </c>
    </row>
    <row r="324" spans="1:6">
      <c r="A324" t="str">
        <f t="shared" si="5"/>
        <v>225057-1</v>
      </c>
      <c r="B324" t="s">
        <v>1240</v>
      </c>
      <c r="C324" t="s">
        <v>623</v>
      </c>
      <c r="D324" s="32">
        <v>9326500</v>
      </c>
      <c r="E324" s="32">
        <v>9326500</v>
      </c>
      <c r="F324" s="32">
        <v>18653000</v>
      </c>
    </row>
    <row r="325" spans="1:6">
      <c r="A325" t="str">
        <f t="shared" si="5"/>
        <v>22505H-1</v>
      </c>
      <c r="B325" t="s">
        <v>1240</v>
      </c>
      <c r="C325" t="s">
        <v>1248</v>
      </c>
      <c r="D325" s="32">
        <v>3850000</v>
      </c>
      <c r="E325" s="32">
        <v>19650000</v>
      </c>
      <c r="F325" s="32">
        <v>23500000</v>
      </c>
    </row>
    <row r="326" spans="1:6">
      <c r="A326" t="str">
        <f t="shared" si="5"/>
        <v>225081-1</v>
      </c>
      <c r="B326" t="s">
        <v>1240</v>
      </c>
      <c r="C326" t="s">
        <v>1259</v>
      </c>
      <c r="D326" s="32">
        <v>303148000</v>
      </c>
      <c r="E326" s="32">
        <v>334216000</v>
      </c>
      <c r="F326" s="32">
        <v>637364000</v>
      </c>
    </row>
    <row r="327" spans="1:6">
      <c r="A327" t="str">
        <f t="shared" si="5"/>
        <v>225081-2</v>
      </c>
      <c r="B327" t="s">
        <v>1240</v>
      </c>
      <c r="C327" t="s">
        <v>1314</v>
      </c>
      <c r="D327" s="32">
        <v>10130000</v>
      </c>
      <c r="E327" s="32">
        <v>9230000</v>
      </c>
      <c r="F327" s="32">
        <v>19360000</v>
      </c>
    </row>
    <row r="328" spans="1:6">
      <c r="A328" t="str">
        <f t="shared" si="5"/>
        <v>225081-7</v>
      </c>
      <c r="B328" t="s">
        <v>1240</v>
      </c>
      <c r="C328" t="s">
        <v>1399</v>
      </c>
      <c r="D328" s="32">
        <v>2284000</v>
      </c>
      <c r="E328" s="32">
        <v>2310000</v>
      </c>
      <c r="F328" s="32">
        <v>4594000</v>
      </c>
    </row>
    <row r="329" spans="1:6">
      <c r="A329" t="str">
        <f t="shared" si="5"/>
        <v>225086-1</v>
      </c>
      <c r="B329" t="s">
        <v>1240</v>
      </c>
      <c r="C329" t="s">
        <v>1344</v>
      </c>
      <c r="D329" s="32">
        <v>6884000</v>
      </c>
      <c r="E329" s="32">
        <v>6573000</v>
      </c>
      <c r="F329" s="32">
        <v>13457000</v>
      </c>
    </row>
    <row r="330" spans="1:6">
      <c r="A330" t="str">
        <f t="shared" si="5"/>
        <v>225106-1</v>
      </c>
      <c r="B330" t="s">
        <v>1240</v>
      </c>
      <c r="C330" t="s">
        <v>1305</v>
      </c>
      <c r="D330" s="32">
        <v>849000</v>
      </c>
      <c r="E330" s="32">
        <v>887000</v>
      </c>
      <c r="F330" s="32">
        <v>1736000</v>
      </c>
    </row>
    <row r="331" spans="1:6">
      <c r="A331" t="str">
        <f t="shared" si="5"/>
        <v>225141-6</v>
      </c>
      <c r="B331" t="s">
        <v>1240</v>
      </c>
      <c r="C331" t="s">
        <v>1270</v>
      </c>
      <c r="D331" s="32">
        <v>548000</v>
      </c>
      <c r="E331" s="32">
        <v>287000</v>
      </c>
      <c r="F331" s="32">
        <v>835000</v>
      </c>
    </row>
    <row r="332" spans="1:6">
      <c r="A332" t="str">
        <f t="shared" si="5"/>
        <v>22514V-1</v>
      </c>
      <c r="B332" t="s">
        <v>1240</v>
      </c>
      <c r="C332" t="s">
        <v>1449</v>
      </c>
      <c r="D332" s="32">
        <v>945000</v>
      </c>
      <c r="E332" s="32">
        <v>1263000</v>
      </c>
      <c r="F332" s="32">
        <v>2208000</v>
      </c>
    </row>
    <row r="333" spans="1:6">
      <c r="A333" t="str">
        <f t="shared" si="5"/>
        <v>22514W-6</v>
      </c>
      <c r="B333" t="s">
        <v>1240</v>
      </c>
      <c r="C333" t="s">
        <v>1533</v>
      </c>
      <c r="D333" s="32">
        <v>103000</v>
      </c>
      <c r="E333" s="32">
        <v>102000</v>
      </c>
      <c r="F333" s="32">
        <v>205000</v>
      </c>
    </row>
    <row r="334" spans="1:6">
      <c r="A334" t="str">
        <f t="shared" si="5"/>
        <v>22516J-1</v>
      </c>
      <c r="B334" t="s">
        <v>1240</v>
      </c>
      <c r="C334" t="s">
        <v>1336</v>
      </c>
      <c r="D334" s="32">
        <v>44000</v>
      </c>
      <c r="E334" s="32">
        <v>45000</v>
      </c>
      <c r="F334" s="32">
        <v>89000</v>
      </c>
    </row>
    <row r="335" spans="1:6">
      <c r="A335" t="str">
        <f t="shared" si="5"/>
        <v>225210-6</v>
      </c>
      <c r="B335" t="s">
        <v>1240</v>
      </c>
      <c r="C335" t="s">
        <v>1516</v>
      </c>
      <c r="D335" s="32">
        <v>1095000</v>
      </c>
      <c r="E335" s="32">
        <v>1144000</v>
      </c>
      <c r="F335" s="32">
        <v>2239000</v>
      </c>
    </row>
    <row r="336" spans="1:6">
      <c r="A336" t="str">
        <f t="shared" si="5"/>
        <v>225218-1</v>
      </c>
      <c r="B336" t="s">
        <v>1240</v>
      </c>
      <c r="C336" t="s">
        <v>1298</v>
      </c>
      <c r="D336" s="32">
        <v>156000</v>
      </c>
      <c r="E336" s="32">
        <v>160000</v>
      </c>
      <c r="F336" s="32">
        <v>316000</v>
      </c>
    </row>
    <row r="337" spans="1:6">
      <c r="A337" t="str">
        <f t="shared" si="5"/>
        <v>225225-1</v>
      </c>
      <c r="B337" t="s">
        <v>1240</v>
      </c>
      <c r="C337" t="s">
        <v>1506</v>
      </c>
      <c r="D337" s="32">
        <v>8821000</v>
      </c>
      <c r="E337" s="32">
        <v>6379000</v>
      </c>
      <c r="F337" s="32">
        <v>15200000</v>
      </c>
    </row>
    <row r="338" spans="1:6">
      <c r="A338" t="str">
        <f t="shared" ref="A338:A401" si="6">+B338&amp;C338</f>
        <v>225226-6</v>
      </c>
      <c r="B338" t="s">
        <v>1240</v>
      </c>
      <c r="C338" t="s">
        <v>1340</v>
      </c>
      <c r="D338" s="32">
        <v>710000</v>
      </c>
      <c r="E338" s="32">
        <v>120000</v>
      </c>
      <c r="F338" s="32">
        <v>830000</v>
      </c>
    </row>
    <row r="339" spans="1:6">
      <c r="A339" t="str">
        <f t="shared" si="6"/>
        <v>225471-6</v>
      </c>
      <c r="B339" t="s">
        <v>1240</v>
      </c>
      <c r="C339" t="s">
        <v>1445</v>
      </c>
      <c r="D339" s="32">
        <v>704000</v>
      </c>
      <c r="E339" s="32">
        <v>687000</v>
      </c>
      <c r="F339" s="32">
        <v>1391000</v>
      </c>
    </row>
    <row r="340" spans="1:6">
      <c r="A340" t="str">
        <f t="shared" si="6"/>
        <v>225511-1</v>
      </c>
      <c r="B340" t="s">
        <v>1240</v>
      </c>
      <c r="C340" t="s">
        <v>1346</v>
      </c>
      <c r="D340" s="32">
        <v>138000</v>
      </c>
      <c r="E340" s="32">
        <v>137000</v>
      </c>
      <c r="F340" s="32">
        <v>275000</v>
      </c>
    </row>
    <row r="341" spans="1:6">
      <c r="A341" t="str">
        <f t="shared" si="6"/>
        <v>225515-6</v>
      </c>
      <c r="B341" t="s">
        <v>1240</v>
      </c>
      <c r="C341" t="s">
        <v>1482</v>
      </c>
      <c r="D341" s="32">
        <v>599000</v>
      </c>
      <c r="E341" s="32">
        <v>603000</v>
      </c>
      <c r="F341" s="32">
        <v>1202000</v>
      </c>
    </row>
    <row r="342" spans="1:6">
      <c r="A342" t="str">
        <f t="shared" si="6"/>
        <v>225535-1</v>
      </c>
      <c r="B342" t="s">
        <v>1240</v>
      </c>
      <c r="C342" t="s">
        <v>1694</v>
      </c>
      <c r="D342" s="32">
        <v>22000</v>
      </c>
      <c r="E342" s="32">
        <v>21000</v>
      </c>
      <c r="F342" s="32">
        <v>43000</v>
      </c>
    </row>
    <row r="343" spans="1:6">
      <c r="A343" t="str">
        <f t="shared" si="6"/>
        <v>225595-1</v>
      </c>
      <c r="B343" t="s">
        <v>1240</v>
      </c>
      <c r="C343" t="s">
        <v>1580</v>
      </c>
      <c r="D343" s="32">
        <v>1448000</v>
      </c>
      <c r="E343" s="32">
        <v>1447000</v>
      </c>
      <c r="F343" s="32">
        <v>2895000</v>
      </c>
    </row>
    <row r="344" spans="1:6">
      <c r="A344" t="str">
        <f t="shared" si="6"/>
        <v>22523P-1</v>
      </c>
      <c r="B344" t="s">
        <v>1240</v>
      </c>
      <c r="C344" t="s">
        <v>1805</v>
      </c>
      <c r="D344" s="32">
        <v>298000</v>
      </c>
      <c r="E344" s="32">
        <v>298000</v>
      </c>
      <c r="F344" s="32">
        <v>596000</v>
      </c>
    </row>
    <row r="345" spans="1:6">
      <c r="A345" t="str">
        <f t="shared" si="6"/>
        <v>22524T-6</v>
      </c>
      <c r="B345" t="s">
        <v>1240</v>
      </c>
      <c r="C345" t="s">
        <v>1863</v>
      </c>
      <c r="D345" s="32">
        <v>3338000</v>
      </c>
      <c r="E345" s="32">
        <v>9784000</v>
      </c>
      <c r="F345" s="32">
        <v>13122000</v>
      </c>
    </row>
    <row r="346" spans="1:6">
      <c r="A346" t="str">
        <f t="shared" si="6"/>
        <v>227001-1</v>
      </c>
      <c r="B346" t="s">
        <v>1333</v>
      </c>
      <c r="C346" t="s">
        <v>621</v>
      </c>
      <c r="D346" s="32">
        <v>55098000</v>
      </c>
      <c r="E346" s="32">
        <v>66092000</v>
      </c>
      <c r="F346" s="32">
        <v>121190000</v>
      </c>
    </row>
    <row r="347" spans="1:6">
      <c r="A347" t="str">
        <f t="shared" si="6"/>
        <v>227001-7</v>
      </c>
      <c r="B347" t="s">
        <v>1333</v>
      </c>
      <c r="C347" t="s">
        <v>632</v>
      </c>
      <c r="D347" s="32">
        <v>5763000</v>
      </c>
      <c r="E347" s="32">
        <v>2565000</v>
      </c>
      <c r="F347" s="32">
        <v>8328000</v>
      </c>
    </row>
    <row r="348" spans="1:6">
      <c r="A348" t="str">
        <f t="shared" si="6"/>
        <v>22702K-1</v>
      </c>
      <c r="B348" t="s">
        <v>1333</v>
      </c>
      <c r="C348" t="s">
        <v>634</v>
      </c>
      <c r="D348" s="32">
        <v>854000</v>
      </c>
      <c r="E348" s="32">
        <v>854000</v>
      </c>
      <c r="F348" s="32">
        <v>1708000</v>
      </c>
    </row>
    <row r="349" spans="1:6">
      <c r="A349" t="str">
        <f t="shared" si="6"/>
        <v>22703M-1</v>
      </c>
      <c r="B349" t="s">
        <v>1333</v>
      </c>
      <c r="C349" t="s">
        <v>1353</v>
      </c>
      <c r="D349" s="32">
        <v>230000</v>
      </c>
      <c r="E349" s="32">
        <v>230000</v>
      </c>
      <c r="F349" s="32">
        <v>460000</v>
      </c>
    </row>
    <row r="350" spans="1:6">
      <c r="A350" t="str">
        <f t="shared" si="6"/>
        <v>227057-1</v>
      </c>
      <c r="B350" t="s">
        <v>1333</v>
      </c>
      <c r="C350" t="s">
        <v>623</v>
      </c>
      <c r="D350" s="32">
        <v>1808000</v>
      </c>
      <c r="E350" s="32">
        <v>1808000</v>
      </c>
      <c r="F350" s="32">
        <v>3616000</v>
      </c>
    </row>
    <row r="351" spans="1:6">
      <c r="A351" t="str">
        <f t="shared" si="6"/>
        <v>22711K-1</v>
      </c>
      <c r="B351" t="s">
        <v>1333</v>
      </c>
      <c r="C351" t="s">
        <v>1420</v>
      </c>
      <c r="D351" s="32">
        <v>3583000</v>
      </c>
      <c r="E351" s="32">
        <v>6884000</v>
      </c>
      <c r="F351" s="32">
        <v>10467000</v>
      </c>
    </row>
    <row r="352" spans="1:6">
      <c r="A352" t="str">
        <f t="shared" si="6"/>
        <v>22718K-1</v>
      </c>
      <c r="B352" t="s">
        <v>1333</v>
      </c>
      <c r="C352" t="s">
        <v>1636</v>
      </c>
      <c r="D352" s="32">
        <v>10000</v>
      </c>
      <c r="E352" s="32">
        <v>10000</v>
      </c>
      <c r="F352" s="32">
        <v>20000</v>
      </c>
    </row>
    <row r="353" spans="1:6">
      <c r="A353" t="str">
        <f t="shared" si="6"/>
        <v>22720E-1</v>
      </c>
      <c r="B353" t="s">
        <v>1333</v>
      </c>
      <c r="C353" t="s">
        <v>1817</v>
      </c>
      <c r="D353" s="32">
        <v>1135000</v>
      </c>
      <c r="E353" s="32">
        <v>1135000</v>
      </c>
      <c r="F353" s="32">
        <v>2270000</v>
      </c>
    </row>
    <row r="354" spans="1:6">
      <c r="A354" t="str">
        <f t="shared" si="6"/>
        <v>228106-1</v>
      </c>
      <c r="B354" t="s">
        <v>1192</v>
      </c>
      <c r="C354" t="s">
        <v>1305</v>
      </c>
      <c r="D354" s="32">
        <v>2878000</v>
      </c>
      <c r="E354" s="32">
        <v>4964000</v>
      </c>
      <c r="F354" s="32">
        <v>7842000</v>
      </c>
    </row>
    <row r="355" spans="1:6">
      <c r="A355" t="str">
        <f t="shared" si="6"/>
        <v>228106-2</v>
      </c>
      <c r="B355" t="s">
        <v>1192</v>
      </c>
      <c r="C355" t="s">
        <v>1451</v>
      </c>
      <c r="D355" s="32">
        <v>17841000</v>
      </c>
      <c r="E355" s="32">
        <v>17904000</v>
      </c>
      <c r="F355" s="32">
        <v>35745000</v>
      </c>
    </row>
    <row r="356" spans="1:6">
      <c r="A356" t="str">
        <f t="shared" si="6"/>
        <v>228106-7</v>
      </c>
      <c r="B356" t="s">
        <v>1192</v>
      </c>
      <c r="C356" t="s">
        <v>1492</v>
      </c>
      <c r="D356" s="32">
        <v>30000</v>
      </c>
      <c r="E356" s="32">
        <v>30000</v>
      </c>
      <c r="F356" s="32">
        <v>60000</v>
      </c>
    </row>
    <row r="357" spans="1:6">
      <c r="A357" t="str">
        <f t="shared" si="6"/>
        <v>228780-1</v>
      </c>
      <c r="B357" t="s">
        <v>1192</v>
      </c>
      <c r="C357" t="s">
        <v>1251</v>
      </c>
      <c r="D357" s="32">
        <v>425000</v>
      </c>
      <c r="E357" s="32">
        <v>425000</v>
      </c>
      <c r="F357" s="32">
        <v>850000</v>
      </c>
    </row>
    <row r="358" spans="1:6">
      <c r="A358" t="str">
        <f t="shared" si="6"/>
        <v>22824Q-1</v>
      </c>
      <c r="B358" t="s">
        <v>1192</v>
      </c>
      <c r="C358" t="s">
        <v>1896</v>
      </c>
      <c r="D358" s="32">
        <v>418000</v>
      </c>
      <c r="E358" s="32">
        <v>418000</v>
      </c>
      <c r="F358" s="32">
        <v>836000</v>
      </c>
    </row>
    <row r="359" spans="1:6">
      <c r="A359" t="str">
        <f t="shared" si="6"/>
        <v>229001-1</v>
      </c>
      <c r="B359" t="s">
        <v>1897</v>
      </c>
      <c r="C359" t="s">
        <v>621</v>
      </c>
      <c r="D359" s="32">
        <v>17014000</v>
      </c>
      <c r="E359" s="32">
        <v>20196000</v>
      </c>
      <c r="F359" s="32">
        <v>37210000</v>
      </c>
    </row>
    <row r="360" spans="1:6">
      <c r="A360" t="str">
        <f t="shared" si="6"/>
        <v>235001-1</v>
      </c>
      <c r="B360" t="s">
        <v>1209</v>
      </c>
      <c r="C360" t="s">
        <v>621</v>
      </c>
      <c r="D360" s="32">
        <v>17526000</v>
      </c>
      <c r="E360" s="32">
        <v>25305000</v>
      </c>
      <c r="F360" s="32">
        <v>42831000</v>
      </c>
    </row>
    <row r="361" spans="1:6">
      <c r="A361" t="str">
        <f t="shared" si="6"/>
        <v>235001-2</v>
      </c>
      <c r="B361" t="s">
        <v>1209</v>
      </c>
      <c r="C361" t="s">
        <v>622</v>
      </c>
      <c r="D361" s="32">
        <v>8036000</v>
      </c>
      <c r="E361" s="32">
        <v>3485000</v>
      </c>
      <c r="F361" s="32">
        <v>11521000</v>
      </c>
    </row>
    <row r="362" spans="1:6">
      <c r="A362" t="str">
        <f t="shared" si="6"/>
        <v>23501F-6</v>
      </c>
      <c r="B362" t="s">
        <v>1209</v>
      </c>
      <c r="C362" t="s">
        <v>1526</v>
      </c>
      <c r="D362" s="32">
        <v>2400000</v>
      </c>
      <c r="E362" s="32">
        <v>2500000</v>
      </c>
      <c r="F362" s="32">
        <v>4900000</v>
      </c>
    </row>
    <row r="363" spans="1:6">
      <c r="A363" t="str">
        <f t="shared" si="6"/>
        <v>23503B-1</v>
      </c>
      <c r="B363" t="s">
        <v>1209</v>
      </c>
      <c r="C363" t="s">
        <v>1468</v>
      </c>
      <c r="D363" s="32">
        <v>343000</v>
      </c>
      <c r="E363" s="32">
        <v>285000</v>
      </c>
      <c r="F363" s="32">
        <v>628000</v>
      </c>
    </row>
    <row r="364" spans="1:6">
      <c r="A364" t="str">
        <f t="shared" si="6"/>
        <v>235095-1</v>
      </c>
      <c r="B364" t="s">
        <v>1209</v>
      </c>
      <c r="C364" t="s">
        <v>1267</v>
      </c>
      <c r="D364" s="32">
        <v>36273000</v>
      </c>
      <c r="E364" s="32">
        <v>37799000</v>
      </c>
      <c r="F364" s="32">
        <v>74072000</v>
      </c>
    </row>
    <row r="365" spans="1:6">
      <c r="A365" t="str">
        <f t="shared" si="6"/>
        <v>235162-1</v>
      </c>
      <c r="B365" t="s">
        <v>1209</v>
      </c>
      <c r="C365" t="s">
        <v>1547</v>
      </c>
      <c r="D365" s="32">
        <v>14000</v>
      </c>
      <c r="E365" s="32">
        <v>14000</v>
      </c>
      <c r="F365" s="32">
        <v>28000</v>
      </c>
    </row>
    <row r="366" spans="1:6">
      <c r="A366" t="str">
        <f t="shared" si="6"/>
        <v>235163-1</v>
      </c>
      <c r="B366" t="s">
        <v>1209</v>
      </c>
      <c r="C366" t="s">
        <v>1211</v>
      </c>
      <c r="D366" s="32">
        <v>566000</v>
      </c>
      <c r="E366" s="32">
        <v>572000</v>
      </c>
      <c r="F366" s="32">
        <v>1138000</v>
      </c>
    </row>
    <row r="367" spans="1:6">
      <c r="A367" t="str">
        <f t="shared" si="6"/>
        <v>235234-1</v>
      </c>
      <c r="B367" t="s">
        <v>1209</v>
      </c>
      <c r="C367" t="s">
        <v>1315</v>
      </c>
      <c r="D367" s="32">
        <v>9950000</v>
      </c>
      <c r="E367" s="32">
        <v>8061000</v>
      </c>
      <c r="F367" s="32">
        <v>18011000</v>
      </c>
    </row>
    <row r="368" spans="1:6">
      <c r="A368" t="str">
        <f t="shared" si="6"/>
        <v>235262-1</v>
      </c>
      <c r="B368" t="s">
        <v>1209</v>
      </c>
      <c r="C368" t="s">
        <v>1519</v>
      </c>
      <c r="D368" s="32">
        <v>218000</v>
      </c>
      <c r="E368" s="32">
        <v>236000</v>
      </c>
      <c r="F368" s="32">
        <v>454000</v>
      </c>
    </row>
    <row r="369" spans="1:6">
      <c r="A369" t="str">
        <f t="shared" si="6"/>
        <v>235445-6</v>
      </c>
      <c r="B369" t="s">
        <v>1209</v>
      </c>
      <c r="C369" t="s">
        <v>1579</v>
      </c>
      <c r="D369" s="32">
        <v>375000</v>
      </c>
      <c r="E369" s="32">
        <v>375000</v>
      </c>
      <c r="F369" s="32">
        <v>750000</v>
      </c>
    </row>
    <row r="370" spans="1:6">
      <c r="A370" t="str">
        <f t="shared" si="6"/>
        <v>235608-1</v>
      </c>
      <c r="B370" t="s">
        <v>1209</v>
      </c>
      <c r="C370" t="s">
        <v>642</v>
      </c>
      <c r="D370" s="32">
        <v>217242500</v>
      </c>
      <c r="E370" s="32">
        <v>221346500</v>
      </c>
      <c r="F370" s="32">
        <v>438589000</v>
      </c>
    </row>
    <row r="371" spans="1:6">
      <c r="A371" t="str">
        <f t="shared" si="6"/>
        <v>235608-2</v>
      </c>
      <c r="B371" t="s">
        <v>1209</v>
      </c>
      <c r="C371" t="s">
        <v>1485</v>
      </c>
      <c r="D371" s="32">
        <v>9937000</v>
      </c>
      <c r="E371" s="32">
        <v>10016000</v>
      </c>
      <c r="F371" s="32">
        <v>19953000</v>
      </c>
    </row>
    <row r="372" spans="1:6">
      <c r="A372" t="str">
        <f t="shared" si="6"/>
        <v>235609-1</v>
      </c>
      <c r="B372" t="s">
        <v>1209</v>
      </c>
      <c r="C372" t="s">
        <v>643</v>
      </c>
      <c r="D372" s="32">
        <v>207008500</v>
      </c>
      <c r="E372" s="32">
        <v>215037500</v>
      </c>
      <c r="F372" s="32">
        <v>422046000</v>
      </c>
    </row>
    <row r="373" spans="1:6">
      <c r="A373" t="str">
        <f t="shared" si="6"/>
        <v>235609-2</v>
      </c>
      <c r="B373" t="s">
        <v>1209</v>
      </c>
      <c r="C373" t="s">
        <v>1498</v>
      </c>
      <c r="D373" s="32">
        <v>1953000</v>
      </c>
      <c r="E373" s="32">
        <v>1967000</v>
      </c>
      <c r="F373" s="32">
        <v>3920000</v>
      </c>
    </row>
    <row r="374" spans="1:6">
      <c r="A374" t="str">
        <f t="shared" si="6"/>
        <v>235885-1</v>
      </c>
      <c r="B374" t="s">
        <v>1209</v>
      </c>
      <c r="C374" t="s">
        <v>1416</v>
      </c>
      <c r="D374" s="32">
        <v>1829000</v>
      </c>
      <c r="E374" s="32">
        <v>1820000</v>
      </c>
      <c r="F374" s="32">
        <v>3649000</v>
      </c>
    </row>
    <row r="375" spans="1:6">
      <c r="A375" t="str">
        <f t="shared" si="6"/>
        <v>235892-1</v>
      </c>
      <c r="B375" t="s">
        <v>1209</v>
      </c>
      <c r="C375" t="s">
        <v>1385</v>
      </c>
      <c r="D375" s="32">
        <v>2546000</v>
      </c>
      <c r="E375" s="32">
        <v>2570000</v>
      </c>
      <c r="F375" s="32">
        <v>5116000</v>
      </c>
    </row>
    <row r="376" spans="1:6">
      <c r="A376" t="str">
        <f t="shared" si="6"/>
        <v>235608-6</v>
      </c>
      <c r="B376" t="s">
        <v>1209</v>
      </c>
      <c r="C376" t="s">
        <v>1692</v>
      </c>
      <c r="D376" s="32">
        <v>520000</v>
      </c>
      <c r="E376" s="32">
        <v>716000</v>
      </c>
      <c r="F376" s="32">
        <v>1236000</v>
      </c>
    </row>
    <row r="377" spans="1:6">
      <c r="A377" t="str">
        <f t="shared" si="6"/>
        <v>235609-6</v>
      </c>
      <c r="B377" t="s">
        <v>1209</v>
      </c>
      <c r="C377" t="s">
        <v>1693</v>
      </c>
      <c r="D377" s="32">
        <v>516000</v>
      </c>
      <c r="E377" s="32">
        <v>720000</v>
      </c>
      <c r="F377" s="32">
        <v>1236000</v>
      </c>
    </row>
    <row r="378" spans="1:6">
      <c r="A378" t="str">
        <f t="shared" si="6"/>
        <v>23521V-1</v>
      </c>
      <c r="B378" t="s">
        <v>1209</v>
      </c>
      <c r="C378" t="s">
        <v>1709</v>
      </c>
      <c r="D378" s="32">
        <v>16077000</v>
      </c>
      <c r="E378" s="32">
        <v>15341000</v>
      </c>
      <c r="F378" s="32">
        <v>31418000</v>
      </c>
    </row>
    <row r="379" spans="1:6">
      <c r="A379" t="str">
        <f t="shared" si="6"/>
        <v>23524J-1</v>
      </c>
      <c r="B379" t="s">
        <v>1209</v>
      </c>
      <c r="C379" t="s">
        <v>1809</v>
      </c>
      <c r="D379" s="32">
        <v>7110000</v>
      </c>
      <c r="E379" s="32">
        <v>13390000</v>
      </c>
      <c r="F379" s="32">
        <v>20500000</v>
      </c>
    </row>
    <row r="380" spans="1:6">
      <c r="A380" t="str">
        <f t="shared" si="6"/>
        <v>23527D-6</v>
      </c>
      <c r="B380" t="s">
        <v>1209</v>
      </c>
      <c r="C380" t="s">
        <v>1898</v>
      </c>
      <c r="D380" s="32">
        <v>4321000</v>
      </c>
      <c r="E380" s="32">
        <v>3900000</v>
      </c>
      <c r="F380" s="32">
        <v>8221000</v>
      </c>
    </row>
    <row r="381" spans="1:6">
      <c r="A381" t="str">
        <f t="shared" si="6"/>
        <v>23526C-1</v>
      </c>
      <c r="B381" t="s">
        <v>1209</v>
      </c>
      <c r="C381" t="s">
        <v>1956</v>
      </c>
      <c r="D381" s="32">
        <v>2829500</v>
      </c>
      <c r="E381" s="32">
        <v>2829500</v>
      </c>
      <c r="F381" s="32">
        <v>5659000</v>
      </c>
    </row>
    <row r="382" spans="1:6">
      <c r="A382" t="str">
        <f t="shared" si="6"/>
        <v>23527W-1</v>
      </c>
      <c r="B382" t="s">
        <v>1209</v>
      </c>
      <c r="C382" t="s">
        <v>1961</v>
      </c>
      <c r="D382" s="32">
        <v>125000</v>
      </c>
      <c r="E382" s="32">
        <v>125000</v>
      </c>
      <c r="F382" s="32">
        <v>250000</v>
      </c>
    </row>
    <row r="383" spans="1:6">
      <c r="A383" t="str">
        <f t="shared" si="6"/>
        <v>23528N-6</v>
      </c>
      <c r="B383" t="s">
        <v>1209</v>
      </c>
      <c r="C383" t="s">
        <v>1996</v>
      </c>
      <c r="D383" s="32"/>
      <c r="E383" s="32">
        <v>300000</v>
      </c>
      <c r="F383" s="32">
        <v>300000</v>
      </c>
    </row>
    <row r="384" spans="1:6">
      <c r="A384" t="str">
        <f t="shared" si="6"/>
        <v>240001-1</v>
      </c>
      <c r="B384" t="s">
        <v>1236</v>
      </c>
      <c r="C384" t="s">
        <v>621</v>
      </c>
      <c r="D384" s="32">
        <v>4042000</v>
      </c>
      <c r="E384" s="32">
        <v>3670000</v>
      </c>
      <c r="F384" s="32">
        <v>7712000</v>
      </c>
    </row>
    <row r="385" spans="1:6">
      <c r="A385" t="str">
        <f t="shared" si="6"/>
        <v>240003-1</v>
      </c>
      <c r="B385" t="s">
        <v>1236</v>
      </c>
      <c r="C385" t="s">
        <v>1362</v>
      </c>
      <c r="D385" s="32">
        <v>979000</v>
      </c>
      <c r="E385" s="32">
        <v>846000</v>
      </c>
      <c r="F385" s="32">
        <v>1825000</v>
      </c>
    </row>
    <row r="386" spans="1:6">
      <c r="A386" t="str">
        <f t="shared" si="6"/>
        <v>240026-1</v>
      </c>
      <c r="B386" t="s">
        <v>1236</v>
      </c>
      <c r="C386" t="s">
        <v>1237</v>
      </c>
      <c r="D386" s="32">
        <v>8078000</v>
      </c>
      <c r="E386" s="32">
        <v>7693000</v>
      </c>
      <c r="F386" s="32">
        <v>15771000</v>
      </c>
    </row>
    <row r="387" spans="1:6">
      <c r="A387" t="str">
        <f t="shared" si="6"/>
        <v>240048-1</v>
      </c>
      <c r="B387" t="s">
        <v>1236</v>
      </c>
      <c r="C387" t="s">
        <v>1245</v>
      </c>
      <c r="D387" s="32">
        <v>17000</v>
      </c>
      <c r="E387" s="32">
        <v>17000</v>
      </c>
      <c r="F387" s="32">
        <v>34000</v>
      </c>
    </row>
    <row r="388" spans="1:6">
      <c r="A388" t="str">
        <f t="shared" si="6"/>
        <v>24004E-1</v>
      </c>
      <c r="B388" t="s">
        <v>1236</v>
      </c>
      <c r="C388" t="s">
        <v>1453</v>
      </c>
      <c r="D388" s="32">
        <v>1026000</v>
      </c>
      <c r="E388" s="32">
        <v>2508000</v>
      </c>
      <c r="F388" s="32">
        <v>3534000</v>
      </c>
    </row>
    <row r="389" spans="1:6">
      <c r="A389" t="str">
        <f t="shared" si="6"/>
        <v>24004F-1</v>
      </c>
      <c r="B389" t="s">
        <v>1236</v>
      </c>
      <c r="C389" t="s">
        <v>1440</v>
      </c>
      <c r="D389" s="32">
        <v>157000</v>
      </c>
      <c r="E389" s="32">
        <v>151000</v>
      </c>
      <c r="F389" s="32">
        <v>308000</v>
      </c>
    </row>
    <row r="390" spans="1:6">
      <c r="A390" t="str">
        <f t="shared" si="6"/>
        <v>24006G-1</v>
      </c>
      <c r="B390" t="s">
        <v>1236</v>
      </c>
      <c r="C390" t="s">
        <v>1446</v>
      </c>
      <c r="D390" s="32">
        <v>1268000</v>
      </c>
      <c r="E390" s="32">
        <v>1130000</v>
      </c>
      <c r="F390" s="32">
        <v>2398000</v>
      </c>
    </row>
    <row r="391" spans="1:6">
      <c r="A391" t="str">
        <f t="shared" si="6"/>
        <v>24006L-1</v>
      </c>
      <c r="B391" t="s">
        <v>1236</v>
      </c>
      <c r="C391" t="s">
        <v>1529</v>
      </c>
      <c r="D391" s="32">
        <v>16547000</v>
      </c>
      <c r="E391" s="32">
        <v>14830000</v>
      </c>
      <c r="F391" s="32">
        <v>31377000</v>
      </c>
    </row>
    <row r="392" spans="1:6">
      <c r="A392" t="str">
        <f t="shared" si="6"/>
        <v>24006R-1</v>
      </c>
      <c r="B392" t="s">
        <v>1236</v>
      </c>
      <c r="C392" t="s">
        <v>1397</v>
      </c>
      <c r="D392" s="32">
        <v>231000</v>
      </c>
      <c r="E392" s="32">
        <v>230000</v>
      </c>
      <c r="F392" s="32">
        <v>461000</v>
      </c>
    </row>
    <row r="393" spans="1:6">
      <c r="A393" t="str">
        <f t="shared" si="6"/>
        <v>24006T-1</v>
      </c>
      <c r="B393" t="s">
        <v>1236</v>
      </c>
      <c r="C393" t="s">
        <v>1701</v>
      </c>
      <c r="D393" s="32">
        <v>2075000</v>
      </c>
      <c r="E393" s="32">
        <v>2323000</v>
      </c>
      <c r="F393" s="32">
        <v>4398000</v>
      </c>
    </row>
    <row r="394" spans="1:6">
      <c r="A394" t="str">
        <f t="shared" si="6"/>
        <v>240082-1</v>
      </c>
      <c r="B394" t="s">
        <v>1236</v>
      </c>
      <c r="C394" t="s">
        <v>1422</v>
      </c>
      <c r="D394" s="32">
        <v>2646000</v>
      </c>
      <c r="E394" s="32">
        <v>2673000</v>
      </c>
      <c r="F394" s="32">
        <v>5319000</v>
      </c>
    </row>
    <row r="395" spans="1:6">
      <c r="A395" t="str">
        <f t="shared" si="6"/>
        <v>240104-1</v>
      </c>
      <c r="B395" t="s">
        <v>1236</v>
      </c>
      <c r="C395" t="s">
        <v>1271</v>
      </c>
      <c r="D395" s="32">
        <v>384000</v>
      </c>
      <c r="E395" s="32">
        <v>384000</v>
      </c>
      <c r="F395" s="32">
        <v>768000</v>
      </c>
    </row>
    <row r="396" spans="1:6">
      <c r="A396" t="str">
        <f t="shared" si="6"/>
        <v>240106-1</v>
      </c>
      <c r="B396" t="s">
        <v>1236</v>
      </c>
      <c r="C396" t="s">
        <v>1305</v>
      </c>
      <c r="D396" s="32">
        <v>139946000</v>
      </c>
      <c r="E396" s="32">
        <v>143163000</v>
      </c>
      <c r="F396" s="32">
        <v>283109000</v>
      </c>
    </row>
    <row r="397" spans="1:6">
      <c r="A397" t="str">
        <f t="shared" si="6"/>
        <v>240106-2</v>
      </c>
      <c r="B397" t="s">
        <v>1236</v>
      </c>
      <c r="C397" t="s">
        <v>1451</v>
      </c>
      <c r="D397" s="32">
        <v>1724000</v>
      </c>
      <c r="E397" s="32">
        <v>647000</v>
      </c>
      <c r="F397" s="32">
        <v>2371000</v>
      </c>
    </row>
    <row r="398" spans="1:6">
      <c r="A398" t="str">
        <f t="shared" si="6"/>
        <v>240108-1</v>
      </c>
      <c r="B398" t="s">
        <v>1236</v>
      </c>
      <c r="C398" t="s">
        <v>1252</v>
      </c>
      <c r="D398" s="32">
        <v>50732000</v>
      </c>
      <c r="E398" s="32">
        <v>51091000</v>
      </c>
      <c r="F398" s="32">
        <v>101823000</v>
      </c>
    </row>
    <row r="399" spans="1:6">
      <c r="A399" t="str">
        <f t="shared" si="6"/>
        <v>240108-7</v>
      </c>
      <c r="B399" t="s">
        <v>1236</v>
      </c>
      <c r="C399" t="s">
        <v>1398</v>
      </c>
      <c r="D399" s="32">
        <v>668000</v>
      </c>
      <c r="E399" s="32">
        <v>668000</v>
      </c>
      <c r="F399" s="32">
        <v>1336000</v>
      </c>
    </row>
    <row r="400" spans="1:6">
      <c r="A400" t="str">
        <f t="shared" si="6"/>
        <v>240146-1</v>
      </c>
      <c r="B400" t="s">
        <v>1236</v>
      </c>
      <c r="C400" t="s">
        <v>1221</v>
      </c>
      <c r="D400" s="32">
        <v>31000</v>
      </c>
      <c r="E400" s="32">
        <v>43000</v>
      </c>
      <c r="F400" s="32">
        <v>74000</v>
      </c>
    </row>
    <row r="401" spans="1:6">
      <c r="A401" t="str">
        <f t="shared" si="6"/>
        <v>24014V-1</v>
      </c>
      <c r="B401" t="s">
        <v>1236</v>
      </c>
      <c r="C401" t="s">
        <v>1449</v>
      </c>
      <c r="D401" s="32">
        <v>3202000</v>
      </c>
      <c r="E401" s="32">
        <v>3213000</v>
      </c>
      <c r="F401" s="32">
        <v>6415000</v>
      </c>
    </row>
    <row r="402" spans="1:6">
      <c r="A402" t="str">
        <f t="shared" ref="A402:A465" si="7">+B402&amp;C402</f>
        <v>24015V-6</v>
      </c>
      <c r="B402" t="s">
        <v>1236</v>
      </c>
      <c r="C402" t="s">
        <v>1544</v>
      </c>
      <c r="D402" s="32">
        <v>1012000</v>
      </c>
      <c r="E402" s="32">
        <v>1063000</v>
      </c>
      <c r="F402" s="32">
        <v>2075000</v>
      </c>
    </row>
    <row r="403" spans="1:6">
      <c r="A403" t="str">
        <f t="shared" si="7"/>
        <v>24016B-6</v>
      </c>
      <c r="B403" t="s">
        <v>1236</v>
      </c>
      <c r="C403" t="s">
        <v>1522</v>
      </c>
      <c r="D403" s="32">
        <v>186000</v>
      </c>
      <c r="E403" s="32">
        <v>203000</v>
      </c>
      <c r="F403" s="32">
        <v>389000</v>
      </c>
    </row>
    <row r="404" spans="1:6">
      <c r="A404" t="str">
        <f t="shared" si="7"/>
        <v>24016M-6</v>
      </c>
      <c r="B404" t="s">
        <v>1236</v>
      </c>
      <c r="C404" t="s">
        <v>1553</v>
      </c>
      <c r="D404" s="32">
        <v>16000</v>
      </c>
      <c r="E404" s="32">
        <v>2000</v>
      </c>
      <c r="F404" s="32">
        <v>18000</v>
      </c>
    </row>
    <row r="405" spans="1:6">
      <c r="A405" t="str">
        <f t="shared" si="7"/>
        <v>240201-1</v>
      </c>
      <c r="B405" t="s">
        <v>1236</v>
      </c>
      <c r="C405" t="s">
        <v>1273</v>
      </c>
      <c r="D405" s="32">
        <v>4494000</v>
      </c>
      <c r="E405" s="32">
        <v>4656000</v>
      </c>
      <c r="F405" s="32">
        <v>9150000</v>
      </c>
    </row>
    <row r="406" spans="1:6">
      <c r="A406" t="str">
        <f t="shared" si="7"/>
        <v>24020J-1</v>
      </c>
      <c r="B406" t="s">
        <v>1236</v>
      </c>
      <c r="C406" t="s">
        <v>1641</v>
      </c>
      <c r="D406" s="32">
        <v>220000</v>
      </c>
      <c r="E406" s="32">
        <v>223000</v>
      </c>
      <c r="F406" s="32">
        <v>443000</v>
      </c>
    </row>
    <row r="407" spans="1:6">
      <c r="A407" t="str">
        <f t="shared" si="7"/>
        <v>240298-1</v>
      </c>
      <c r="B407" t="s">
        <v>1236</v>
      </c>
      <c r="C407" t="s">
        <v>1306</v>
      </c>
      <c r="D407" s="32">
        <v>17000</v>
      </c>
      <c r="E407" s="32">
        <v>38000</v>
      </c>
      <c r="F407" s="32">
        <v>55000</v>
      </c>
    </row>
    <row r="408" spans="1:6">
      <c r="A408" t="str">
        <f t="shared" si="7"/>
        <v>240298-6</v>
      </c>
      <c r="B408" t="s">
        <v>1236</v>
      </c>
      <c r="C408" t="s">
        <v>1359</v>
      </c>
      <c r="D408" s="32">
        <v>408000</v>
      </c>
      <c r="E408" s="32">
        <v>408000</v>
      </c>
      <c r="F408" s="32">
        <v>816000</v>
      </c>
    </row>
    <row r="409" spans="1:6">
      <c r="A409" t="str">
        <f t="shared" si="7"/>
        <v>240513-1</v>
      </c>
      <c r="B409" t="s">
        <v>1236</v>
      </c>
      <c r="C409" t="s">
        <v>1431</v>
      </c>
      <c r="D409" s="32">
        <v>18000</v>
      </c>
      <c r="E409" s="32">
        <v>19000</v>
      </c>
      <c r="F409" s="32">
        <v>37000</v>
      </c>
    </row>
    <row r="410" spans="1:6">
      <c r="A410" t="str">
        <f t="shared" si="7"/>
        <v>24021E-1</v>
      </c>
      <c r="B410" t="s">
        <v>1236</v>
      </c>
      <c r="C410" t="s">
        <v>1710</v>
      </c>
      <c r="D410" s="32">
        <v>134000</v>
      </c>
      <c r="E410" s="32">
        <v>8000</v>
      </c>
      <c r="F410" s="32">
        <v>142000</v>
      </c>
    </row>
    <row r="411" spans="1:6">
      <c r="A411" t="str">
        <f t="shared" si="7"/>
        <v>24016B-1</v>
      </c>
      <c r="B411" t="s">
        <v>1236</v>
      </c>
      <c r="C411" t="s">
        <v>1738</v>
      </c>
      <c r="D411" s="32">
        <v>40000</v>
      </c>
      <c r="E411" s="32">
        <v>55000</v>
      </c>
      <c r="F411" s="32">
        <v>95000</v>
      </c>
    </row>
    <row r="412" spans="1:6">
      <c r="A412" t="str">
        <f t="shared" si="7"/>
        <v>24022J-1</v>
      </c>
      <c r="B412" t="s">
        <v>1236</v>
      </c>
      <c r="C412" t="s">
        <v>1739</v>
      </c>
      <c r="D412" s="32">
        <v>1545000</v>
      </c>
      <c r="E412" s="32">
        <v>1546000</v>
      </c>
      <c r="F412" s="32">
        <v>3091000</v>
      </c>
    </row>
    <row r="413" spans="1:6">
      <c r="A413" t="str">
        <f t="shared" si="7"/>
        <v>24017W-1</v>
      </c>
      <c r="B413" t="s">
        <v>1236</v>
      </c>
      <c r="C413" t="s">
        <v>1818</v>
      </c>
      <c r="D413" s="32">
        <v>63000</v>
      </c>
      <c r="E413" s="32">
        <v>63000</v>
      </c>
      <c r="F413" s="32">
        <v>126000</v>
      </c>
    </row>
    <row r="414" spans="1:6">
      <c r="A414" t="str">
        <f t="shared" si="7"/>
        <v>24019T-1</v>
      </c>
      <c r="B414" t="s">
        <v>1236</v>
      </c>
      <c r="C414" t="s">
        <v>1819</v>
      </c>
      <c r="D414" s="32">
        <v>571000</v>
      </c>
      <c r="E414" s="32">
        <v>372000</v>
      </c>
      <c r="F414" s="32">
        <v>943000</v>
      </c>
    </row>
    <row r="415" spans="1:6">
      <c r="A415" t="str">
        <f t="shared" si="7"/>
        <v>24024K-1</v>
      </c>
      <c r="B415" t="s">
        <v>1236</v>
      </c>
      <c r="C415" t="s">
        <v>1820</v>
      </c>
      <c r="D415" s="32">
        <v>8434000</v>
      </c>
      <c r="E415" s="32">
        <v>8564000</v>
      </c>
      <c r="F415" s="32">
        <v>16998000</v>
      </c>
    </row>
    <row r="416" spans="1:6">
      <c r="A416" t="str">
        <f t="shared" si="7"/>
        <v>24016M-1</v>
      </c>
      <c r="B416" t="s">
        <v>1236</v>
      </c>
      <c r="C416" t="s">
        <v>1864</v>
      </c>
      <c r="D416" s="32">
        <v>124000</v>
      </c>
      <c r="E416" s="32">
        <v>134000</v>
      </c>
      <c r="F416" s="32">
        <v>258000</v>
      </c>
    </row>
    <row r="417" spans="1:6">
      <c r="A417" t="str">
        <f t="shared" si="7"/>
        <v>24026Q-1</v>
      </c>
      <c r="B417" t="s">
        <v>1236</v>
      </c>
      <c r="C417" t="s">
        <v>1889</v>
      </c>
      <c r="D417" s="32">
        <v>1048000</v>
      </c>
      <c r="E417" s="32">
        <v>1048000</v>
      </c>
      <c r="F417" s="32">
        <v>2096000</v>
      </c>
    </row>
    <row r="418" spans="1:6">
      <c r="A418" t="str">
        <f t="shared" si="7"/>
        <v>24015V-1</v>
      </c>
      <c r="B418" t="s">
        <v>1236</v>
      </c>
      <c r="C418" t="s">
        <v>1899</v>
      </c>
      <c r="D418" s="32">
        <v>68000</v>
      </c>
      <c r="E418" s="32">
        <v>57000</v>
      </c>
      <c r="F418" s="32">
        <v>125000</v>
      </c>
    </row>
    <row r="419" spans="1:6">
      <c r="A419" t="str">
        <f t="shared" si="7"/>
        <v>24026B-1</v>
      </c>
      <c r="B419" t="s">
        <v>1236</v>
      </c>
      <c r="C419" t="s">
        <v>1914</v>
      </c>
      <c r="D419" s="32"/>
      <c r="E419" s="32">
        <v>30000000</v>
      </c>
      <c r="F419" s="32">
        <v>30000000</v>
      </c>
    </row>
    <row r="420" spans="1:6">
      <c r="A420" t="str">
        <f t="shared" si="7"/>
        <v>24025W-1</v>
      </c>
      <c r="B420" t="s">
        <v>1236</v>
      </c>
      <c r="C420" t="s">
        <v>1963</v>
      </c>
      <c r="D420" s="32">
        <v>981000</v>
      </c>
      <c r="E420" s="32">
        <v>762000</v>
      </c>
      <c r="F420" s="32">
        <v>1743000</v>
      </c>
    </row>
    <row r="421" spans="1:6">
      <c r="A421" t="str">
        <f t="shared" si="7"/>
        <v>245001-1</v>
      </c>
      <c r="B421" t="s">
        <v>1247</v>
      </c>
      <c r="C421" t="s">
        <v>621</v>
      </c>
      <c r="D421" s="32">
        <v>16720000</v>
      </c>
      <c r="E421" s="32">
        <v>19489000</v>
      </c>
      <c r="F421" s="32">
        <v>36209000</v>
      </c>
    </row>
    <row r="422" spans="1:6">
      <c r="A422" t="str">
        <f t="shared" si="7"/>
        <v>245001-2</v>
      </c>
      <c r="B422" t="s">
        <v>1247</v>
      </c>
      <c r="C422" t="s">
        <v>622</v>
      </c>
      <c r="D422" s="32">
        <v>118061500</v>
      </c>
      <c r="E422" s="32">
        <v>118075500</v>
      </c>
      <c r="F422" s="32">
        <v>236137000</v>
      </c>
    </row>
    <row r="423" spans="1:6">
      <c r="A423" t="str">
        <f t="shared" si="7"/>
        <v>24503F-1</v>
      </c>
      <c r="B423" t="s">
        <v>1247</v>
      </c>
      <c r="C423" t="s">
        <v>1378</v>
      </c>
      <c r="D423" s="32">
        <v>27145000</v>
      </c>
      <c r="E423" s="32">
        <v>27161000</v>
      </c>
      <c r="F423" s="32">
        <v>54306000</v>
      </c>
    </row>
    <row r="424" spans="1:6">
      <c r="A424" t="str">
        <f t="shared" si="7"/>
        <v>245057-1</v>
      </c>
      <c r="B424" t="s">
        <v>1247</v>
      </c>
      <c r="C424" t="s">
        <v>623</v>
      </c>
      <c r="D424" s="32">
        <v>18915000</v>
      </c>
      <c r="E424" s="32">
        <v>18915000</v>
      </c>
      <c r="F424" s="32">
        <v>37830000</v>
      </c>
    </row>
    <row r="425" spans="1:6">
      <c r="A425" t="str">
        <f t="shared" si="7"/>
        <v>24505H-1</v>
      </c>
      <c r="B425" t="s">
        <v>1247</v>
      </c>
      <c r="C425" t="s">
        <v>1248</v>
      </c>
      <c r="D425" s="32">
        <v>36623000</v>
      </c>
      <c r="E425" s="32">
        <v>25556000</v>
      </c>
      <c r="F425" s="32">
        <v>62179000</v>
      </c>
    </row>
    <row r="426" spans="1:6">
      <c r="A426" t="str">
        <f t="shared" si="7"/>
        <v>24505H-2</v>
      </c>
      <c r="B426" t="s">
        <v>1247</v>
      </c>
      <c r="C426" t="s">
        <v>1460</v>
      </c>
      <c r="D426" s="32">
        <v>1169176000</v>
      </c>
      <c r="E426" s="32">
        <v>736277000</v>
      </c>
      <c r="F426" s="32">
        <v>1905453000</v>
      </c>
    </row>
    <row r="427" spans="1:6">
      <c r="A427" t="str">
        <f t="shared" si="7"/>
        <v>24508H-1</v>
      </c>
      <c r="B427" t="s">
        <v>1247</v>
      </c>
      <c r="C427" t="s">
        <v>1459</v>
      </c>
      <c r="D427" s="32">
        <v>505000</v>
      </c>
      <c r="E427" s="32">
        <v>504000</v>
      </c>
      <c r="F427" s="32">
        <v>1009000</v>
      </c>
    </row>
    <row r="428" spans="1:6">
      <c r="A428" t="str">
        <f t="shared" si="7"/>
        <v>245163-1</v>
      </c>
      <c r="B428" t="s">
        <v>1247</v>
      </c>
      <c r="C428" t="s">
        <v>1211</v>
      </c>
      <c r="D428" s="32">
        <v>1017000</v>
      </c>
      <c r="E428" s="32">
        <v>1024000</v>
      </c>
      <c r="F428" s="32">
        <v>2041000</v>
      </c>
    </row>
    <row r="429" spans="1:6">
      <c r="A429" t="str">
        <f t="shared" si="7"/>
        <v>245217-1</v>
      </c>
      <c r="B429" t="s">
        <v>1247</v>
      </c>
      <c r="C429" t="s">
        <v>1438</v>
      </c>
      <c r="D429" s="32">
        <v>521000</v>
      </c>
      <c r="E429" s="32">
        <v>519000</v>
      </c>
      <c r="F429" s="32">
        <v>1040000</v>
      </c>
    </row>
    <row r="430" spans="1:6">
      <c r="A430" t="str">
        <f t="shared" si="7"/>
        <v>24514R-1</v>
      </c>
      <c r="B430" t="s">
        <v>1247</v>
      </c>
      <c r="C430" t="s">
        <v>1740</v>
      </c>
      <c r="D430" s="32">
        <v>200000</v>
      </c>
      <c r="E430" s="32">
        <v>200000</v>
      </c>
      <c r="F430" s="32">
        <v>400000</v>
      </c>
    </row>
    <row r="431" spans="1:6">
      <c r="A431" t="str">
        <f t="shared" si="7"/>
        <v>245364-1</v>
      </c>
      <c r="B431" t="s">
        <v>1247</v>
      </c>
      <c r="C431" t="s">
        <v>1964</v>
      </c>
      <c r="D431" s="32">
        <v>1750000</v>
      </c>
      <c r="E431" s="32">
        <v>1750000</v>
      </c>
      <c r="F431" s="32">
        <v>3500000</v>
      </c>
    </row>
    <row r="432" spans="1:6">
      <c r="A432" t="str">
        <f t="shared" si="7"/>
        <v>24526D-1</v>
      </c>
      <c r="B432" t="s">
        <v>1247</v>
      </c>
      <c r="C432" t="s">
        <v>1958</v>
      </c>
      <c r="D432" s="32">
        <v>71000</v>
      </c>
      <c r="E432" s="32">
        <v>42000</v>
      </c>
      <c r="F432" s="32">
        <v>113000</v>
      </c>
    </row>
    <row r="433" spans="1:6">
      <c r="A433" t="str">
        <f t="shared" si="7"/>
        <v>275001-1</v>
      </c>
      <c r="B433" t="s">
        <v>1345</v>
      </c>
      <c r="C433" t="s">
        <v>621</v>
      </c>
      <c r="D433" s="32">
        <v>2592000</v>
      </c>
      <c r="E433" s="32">
        <v>2796000</v>
      </c>
      <c r="F433" s="32">
        <v>5388000</v>
      </c>
    </row>
    <row r="434" spans="1:6">
      <c r="A434" t="str">
        <f t="shared" si="7"/>
        <v>275415-1</v>
      </c>
      <c r="B434" t="s">
        <v>1345</v>
      </c>
      <c r="C434" t="s">
        <v>1375</v>
      </c>
      <c r="D434" s="32">
        <v>2400000</v>
      </c>
      <c r="E434" s="32">
        <v>2450000</v>
      </c>
      <c r="F434" s="32">
        <v>4850000</v>
      </c>
    </row>
    <row r="435" spans="1:6">
      <c r="A435" t="str">
        <f t="shared" si="7"/>
        <v>275455-1</v>
      </c>
      <c r="B435" t="s">
        <v>1345</v>
      </c>
      <c r="C435" t="s">
        <v>1411</v>
      </c>
      <c r="D435" s="32">
        <v>834000</v>
      </c>
      <c r="E435" s="32">
        <v>798000</v>
      </c>
      <c r="F435" s="32">
        <v>1632000</v>
      </c>
    </row>
    <row r="436" spans="1:6">
      <c r="A436" t="str">
        <f t="shared" si="7"/>
        <v>300001-1</v>
      </c>
      <c r="B436" t="s">
        <v>1215</v>
      </c>
      <c r="C436" t="s">
        <v>621</v>
      </c>
      <c r="D436" s="32">
        <v>5153992000</v>
      </c>
      <c r="E436" s="32">
        <v>5579712000</v>
      </c>
      <c r="F436" s="32">
        <v>10733704000</v>
      </c>
    </row>
    <row r="437" spans="1:6">
      <c r="A437" t="str">
        <f t="shared" si="7"/>
        <v>300001-2</v>
      </c>
      <c r="B437" t="s">
        <v>1215</v>
      </c>
      <c r="C437" t="s">
        <v>622</v>
      </c>
      <c r="D437" s="32">
        <v>5162968000</v>
      </c>
      <c r="E437" s="32">
        <v>5295601000</v>
      </c>
      <c r="F437" s="32">
        <v>10458569000</v>
      </c>
    </row>
    <row r="438" spans="1:6">
      <c r="A438" t="str">
        <f t="shared" si="7"/>
        <v>300001-7</v>
      </c>
      <c r="B438" t="s">
        <v>1215</v>
      </c>
      <c r="C438" t="s">
        <v>632</v>
      </c>
      <c r="D438" s="32">
        <v>43562000</v>
      </c>
      <c r="E438" s="32">
        <v>45477000</v>
      </c>
      <c r="F438" s="32">
        <v>89039000</v>
      </c>
    </row>
    <row r="439" spans="1:6">
      <c r="A439" t="str">
        <f t="shared" si="7"/>
        <v>300042-1</v>
      </c>
      <c r="B439" t="s">
        <v>1215</v>
      </c>
      <c r="C439" t="s">
        <v>651</v>
      </c>
      <c r="D439" s="32">
        <v>6418000</v>
      </c>
      <c r="E439" s="32">
        <v>6418000</v>
      </c>
      <c r="F439" s="32">
        <v>12836000</v>
      </c>
    </row>
    <row r="440" spans="1:6">
      <c r="A440" t="str">
        <f t="shared" si="7"/>
        <v>300057-1</v>
      </c>
      <c r="B440" t="s">
        <v>1215</v>
      </c>
      <c r="C440" t="s">
        <v>623</v>
      </c>
      <c r="D440" s="32">
        <v>373534000</v>
      </c>
      <c r="E440" s="32">
        <v>373534000</v>
      </c>
      <c r="F440" s="32">
        <v>747068000</v>
      </c>
    </row>
    <row r="441" spans="1:6">
      <c r="A441" t="str">
        <f t="shared" si="7"/>
        <v>30007W-1</v>
      </c>
      <c r="B441" t="s">
        <v>1215</v>
      </c>
      <c r="C441" t="s">
        <v>1395</v>
      </c>
      <c r="D441" s="32">
        <v>1202000</v>
      </c>
      <c r="E441" s="32">
        <v>1202000</v>
      </c>
      <c r="F441" s="32">
        <v>2404000</v>
      </c>
    </row>
    <row r="442" spans="1:6">
      <c r="A442" t="str">
        <f t="shared" si="7"/>
        <v>30012T-1</v>
      </c>
      <c r="B442" t="s">
        <v>1215</v>
      </c>
      <c r="C442" t="s">
        <v>1528</v>
      </c>
      <c r="D442" s="32">
        <v>2792000</v>
      </c>
      <c r="E442" s="32">
        <v>1694000</v>
      </c>
      <c r="F442" s="32">
        <v>4486000</v>
      </c>
    </row>
    <row r="443" spans="1:6">
      <c r="A443" t="str">
        <f t="shared" si="7"/>
        <v>300562-1</v>
      </c>
      <c r="B443" t="s">
        <v>1215</v>
      </c>
      <c r="C443" t="s">
        <v>1435</v>
      </c>
      <c r="D443" s="32">
        <v>66680000</v>
      </c>
      <c r="E443" s="32">
        <v>66680000</v>
      </c>
      <c r="F443" s="32">
        <v>133360000</v>
      </c>
    </row>
    <row r="444" spans="1:6">
      <c r="A444" t="str">
        <f t="shared" si="7"/>
        <v>30023N-1</v>
      </c>
      <c r="B444" t="s">
        <v>1215</v>
      </c>
      <c r="C444" t="s">
        <v>1811</v>
      </c>
      <c r="D444" s="32">
        <v>2270000</v>
      </c>
      <c r="E444" s="32">
        <v>2270000</v>
      </c>
      <c r="F444" s="32">
        <v>4540000</v>
      </c>
    </row>
    <row r="445" spans="1:6">
      <c r="A445" t="str">
        <f t="shared" si="7"/>
        <v>300567-1</v>
      </c>
      <c r="B445" t="s">
        <v>1215</v>
      </c>
      <c r="C445" t="s">
        <v>1821</v>
      </c>
      <c r="D445" s="32">
        <v>19111000</v>
      </c>
      <c r="E445" s="32">
        <v>34590000</v>
      </c>
      <c r="F445" s="32">
        <v>53701000</v>
      </c>
    </row>
    <row r="446" spans="1:6">
      <c r="A446" t="str">
        <f t="shared" si="7"/>
        <v>300851-1</v>
      </c>
      <c r="B446" t="s">
        <v>1215</v>
      </c>
      <c r="C446" t="s">
        <v>1865</v>
      </c>
      <c r="D446" s="32">
        <v>31120000</v>
      </c>
      <c r="E446" s="32">
        <v>1000000</v>
      </c>
      <c r="F446" s="32">
        <v>32120000</v>
      </c>
    </row>
    <row r="447" spans="1:6">
      <c r="A447" t="str">
        <f t="shared" si="7"/>
        <v>300001-H</v>
      </c>
      <c r="B447" t="s">
        <v>1215</v>
      </c>
      <c r="C447" t="s">
        <v>1990</v>
      </c>
      <c r="D447" s="32">
        <v>5941000</v>
      </c>
      <c r="E447" s="32">
        <v>3367000</v>
      </c>
      <c r="F447" s="32">
        <v>9308000</v>
      </c>
    </row>
    <row r="448" spans="1:6">
      <c r="A448" t="str">
        <f t="shared" si="7"/>
        <v>30026V-1</v>
      </c>
      <c r="B448" t="s">
        <v>1215</v>
      </c>
      <c r="C448" t="s">
        <v>1890</v>
      </c>
      <c r="D448" s="32">
        <v>6850000</v>
      </c>
      <c r="E448" s="32">
        <v>6850000</v>
      </c>
      <c r="F448" s="32">
        <v>13700000</v>
      </c>
    </row>
    <row r="449" spans="1:6">
      <c r="A449" t="str">
        <f t="shared" si="7"/>
        <v>30026C-1</v>
      </c>
      <c r="B449" t="s">
        <v>1215</v>
      </c>
      <c r="C449" t="s">
        <v>1956</v>
      </c>
      <c r="D449" s="32">
        <v>5078500</v>
      </c>
      <c r="E449" s="32">
        <v>7078500</v>
      </c>
      <c r="F449" s="32">
        <v>12157000</v>
      </c>
    </row>
    <row r="450" spans="1:6">
      <c r="A450" t="str">
        <f t="shared" si="7"/>
        <v>303001-1</v>
      </c>
      <c r="B450" t="s">
        <v>1200</v>
      </c>
      <c r="C450" t="s">
        <v>621</v>
      </c>
      <c r="D450" s="32">
        <v>190116000</v>
      </c>
      <c r="E450" s="32">
        <v>184729000</v>
      </c>
      <c r="F450" s="32">
        <v>374845000</v>
      </c>
    </row>
    <row r="451" spans="1:6">
      <c r="A451" t="str">
        <f t="shared" si="7"/>
        <v>303001-2</v>
      </c>
      <c r="B451" t="s">
        <v>1200</v>
      </c>
      <c r="C451" t="s">
        <v>622</v>
      </c>
      <c r="D451" s="32">
        <v>288352000</v>
      </c>
      <c r="E451" s="32">
        <v>301260000</v>
      </c>
      <c r="F451" s="32">
        <v>589612000</v>
      </c>
    </row>
    <row r="452" spans="1:6">
      <c r="A452" t="str">
        <f t="shared" si="7"/>
        <v>303001-7</v>
      </c>
      <c r="B452" t="s">
        <v>1200</v>
      </c>
      <c r="C452" t="s">
        <v>632</v>
      </c>
      <c r="D452" s="32">
        <v>90339000</v>
      </c>
      <c r="E452" s="32">
        <v>98963000</v>
      </c>
      <c r="F452" s="32">
        <v>189302000</v>
      </c>
    </row>
    <row r="453" spans="1:6">
      <c r="A453" t="str">
        <f t="shared" si="7"/>
        <v>303002-1</v>
      </c>
      <c r="B453" t="s">
        <v>1200</v>
      </c>
      <c r="C453" t="s">
        <v>1480</v>
      </c>
      <c r="D453" s="32">
        <v>258000</v>
      </c>
      <c r="E453" s="32">
        <v>334000</v>
      </c>
      <c r="F453" s="32">
        <v>592000</v>
      </c>
    </row>
    <row r="454" spans="1:6">
      <c r="A454" t="str">
        <f t="shared" si="7"/>
        <v>30302G-1</v>
      </c>
      <c r="B454" t="s">
        <v>1200</v>
      </c>
      <c r="C454" t="s">
        <v>1288</v>
      </c>
      <c r="D454" s="32">
        <v>95971000</v>
      </c>
      <c r="E454" s="32">
        <v>101157000</v>
      </c>
      <c r="F454" s="32">
        <v>197128000</v>
      </c>
    </row>
    <row r="455" spans="1:6">
      <c r="A455" t="str">
        <f t="shared" si="7"/>
        <v>30302R-1</v>
      </c>
      <c r="B455" t="s">
        <v>1200</v>
      </c>
      <c r="C455" t="s">
        <v>1226</v>
      </c>
      <c r="D455" s="32">
        <v>214000</v>
      </c>
      <c r="E455" s="32">
        <v>428000</v>
      </c>
      <c r="F455" s="32">
        <v>642000</v>
      </c>
    </row>
    <row r="456" spans="1:6">
      <c r="A456" t="str">
        <f t="shared" si="7"/>
        <v>30303C-1</v>
      </c>
      <c r="B456" t="s">
        <v>1200</v>
      </c>
      <c r="C456" t="s">
        <v>1242</v>
      </c>
      <c r="D456" s="32">
        <v>5260000</v>
      </c>
      <c r="E456" s="32">
        <v>4915000</v>
      </c>
      <c r="F456" s="32">
        <v>10175000</v>
      </c>
    </row>
    <row r="457" spans="1:6">
      <c r="A457" t="str">
        <f t="shared" si="7"/>
        <v>30303R-1</v>
      </c>
      <c r="B457" t="s">
        <v>1200</v>
      </c>
      <c r="C457" t="s">
        <v>1527</v>
      </c>
      <c r="D457" s="32">
        <v>4874000</v>
      </c>
      <c r="E457" s="32">
        <v>4090000</v>
      </c>
      <c r="F457" s="32">
        <v>8964000</v>
      </c>
    </row>
    <row r="458" spans="1:6">
      <c r="A458" t="str">
        <f t="shared" si="7"/>
        <v>30304R-1</v>
      </c>
      <c r="B458" t="s">
        <v>1200</v>
      </c>
      <c r="C458" t="s">
        <v>1501</v>
      </c>
      <c r="D458" s="32">
        <v>1750000</v>
      </c>
      <c r="E458" s="32">
        <v>1750000</v>
      </c>
      <c r="F458" s="32">
        <v>3500000</v>
      </c>
    </row>
    <row r="459" spans="1:6">
      <c r="A459" t="str">
        <f t="shared" si="7"/>
        <v>30304R-2</v>
      </c>
      <c r="B459" t="s">
        <v>1200</v>
      </c>
      <c r="C459" t="s">
        <v>1297</v>
      </c>
      <c r="D459" s="32">
        <v>78643000</v>
      </c>
      <c r="E459" s="32">
        <v>78258000</v>
      </c>
      <c r="F459" s="32">
        <v>156901000</v>
      </c>
    </row>
    <row r="460" spans="1:6">
      <c r="A460" t="str">
        <f t="shared" si="7"/>
        <v>30304W-1</v>
      </c>
      <c r="B460" t="s">
        <v>1200</v>
      </c>
      <c r="C460" t="s">
        <v>1376</v>
      </c>
      <c r="D460" s="32">
        <v>1066000</v>
      </c>
      <c r="E460" s="32">
        <v>1023000</v>
      </c>
      <c r="F460" s="32">
        <v>2089000</v>
      </c>
    </row>
    <row r="461" spans="1:6">
      <c r="A461" t="str">
        <f t="shared" si="7"/>
        <v>303057-1</v>
      </c>
      <c r="B461" t="s">
        <v>1200</v>
      </c>
      <c r="C461" t="s">
        <v>623</v>
      </c>
      <c r="D461" s="32">
        <v>32190000</v>
      </c>
      <c r="E461" s="32">
        <v>32190000</v>
      </c>
      <c r="F461" s="32">
        <v>64380000</v>
      </c>
    </row>
    <row r="462" spans="1:6">
      <c r="A462" t="str">
        <f t="shared" si="7"/>
        <v>30305R-1</v>
      </c>
      <c r="B462" t="s">
        <v>1200</v>
      </c>
      <c r="C462" t="s">
        <v>1330</v>
      </c>
      <c r="D462" s="32">
        <v>1238000</v>
      </c>
      <c r="E462" s="32">
        <v>1241000</v>
      </c>
      <c r="F462" s="32">
        <v>2479000</v>
      </c>
    </row>
    <row r="463" spans="1:6">
      <c r="A463" t="str">
        <f t="shared" si="7"/>
        <v>30309L-6</v>
      </c>
      <c r="B463" t="s">
        <v>1200</v>
      </c>
      <c r="C463" t="s">
        <v>1538</v>
      </c>
      <c r="D463" s="32">
        <v>556000</v>
      </c>
      <c r="E463" s="32">
        <v>558000</v>
      </c>
      <c r="F463" s="32">
        <v>1114000</v>
      </c>
    </row>
    <row r="464" spans="1:6">
      <c r="A464" t="str">
        <f t="shared" si="7"/>
        <v>303125-1</v>
      </c>
      <c r="B464" t="s">
        <v>1200</v>
      </c>
      <c r="C464" t="s">
        <v>1312</v>
      </c>
      <c r="D464" s="32">
        <v>76000</v>
      </c>
      <c r="E464" s="32">
        <v>121000</v>
      </c>
      <c r="F464" s="32">
        <v>197000</v>
      </c>
    </row>
    <row r="465" spans="1:6">
      <c r="A465" t="str">
        <f t="shared" si="7"/>
        <v>30315M-1</v>
      </c>
      <c r="B465" t="s">
        <v>1200</v>
      </c>
      <c r="C465" t="s">
        <v>639</v>
      </c>
      <c r="D465" s="32">
        <v>872000</v>
      </c>
      <c r="E465" s="32">
        <v>900000</v>
      </c>
      <c r="F465" s="32">
        <v>1772000</v>
      </c>
    </row>
    <row r="466" spans="1:6">
      <c r="A466" t="str">
        <f t="shared" ref="A466:A529" si="8">+B466&amp;C466</f>
        <v>30316G-6</v>
      </c>
      <c r="B466" t="s">
        <v>1200</v>
      </c>
      <c r="C466" t="s">
        <v>1495</v>
      </c>
      <c r="D466" s="32">
        <v>57307000</v>
      </c>
      <c r="E466" s="32">
        <v>84090000</v>
      </c>
      <c r="F466" s="32">
        <v>141397000</v>
      </c>
    </row>
    <row r="467" spans="1:6">
      <c r="A467" t="str">
        <f t="shared" si="8"/>
        <v>30319A-1</v>
      </c>
      <c r="B467" t="s">
        <v>1200</v>
      </c>
      <c r="C467" t="s">
        <v>1546</v>
      </c>
      <c r="D467" s="32">
        <v>1500000</v>
      </c>
      <c r="E467" s="32">
        <v>1527000</v>
      </c>
      <c r="F467" s="32">
        <v>3027000</v>
      </c>
    </row>
    <row r="468" spans="1:6">
      <c r="A468" t="str">
        <f t="shared" si="8"/>
        <v>303202-1</v>
      </c>
      <c r="B468" t="s">
        <v>1200</v>
      </c>
      <c r="C468" t="s">
        <v>1321</v>
      </c>
      <c r="D468" s="32">
        <v>2608000</v>
      </c>
      <c r="E468" s="32">
        <v>2630000</v>
      </c>
      <c r="F468" s="32">
        <v>5238000</v>
      </c>
    </row>
    <row r="469" spans="1:6">
      <c r="A469" t="str">
        <f t="shared" si="8"/>
        <v>303214-6</v>
      </c>
      <c r="B469" t="s">
        <v>1200</v>
      </c>
      <c r="C469" t="s">
        <v>1456</v>
      </c>
      <c r="D469" s="32">
        <v>174000</v>
      </c>
      <c r="E469" s="32">
        <v>583000</v>
      </c>
      <c r="F469" s="32">
        <v>757000</v>
      </c>
    </row>
    <row r="470" spans="1:6">
      <c r="A470" t="str">
        <f t="shared" si="8"/>
        <v>303235-1</v>
      </c>
      <c r="B470" t="s">
        <v>1200</v>
      </c>
      <c r="C470" t="s">
        <v>1263</v>
      </c>
      <c r="D470" s="32">
        <v>1360000</v>
      </c>
      <c r="E470" s="32">
        <v>1912000</v>
      </c>
      <c r="F470" s="32">
        <v>3272000</v>
      </c>
    </row>
    <row r="471" spans="1:6">
      <c r="A471" t="str">
        <f t="shared" si="8"/>
        <v>303315-1</v>
      </c>
      <c r="B471" t="s">
        <v>1200</v>
      </c>
      <c r="C471" t="s">
        <v>1578</v>
      </c>
      <c r="D471" s="32">
        <v>11863000</v>
      </c>
      <c r="E471" s="32">
        <v>12368000</v>
      </c>
      <c r="F471" s="32">
        <v>24231000</v>
      </c>
    </row>
    <row r="472" spans="1:6">
      <c r="A472" t="str">
        <f t="shared" si="8"/>
        <v>303319-7</v>
      </c>
      <c r="B472" t="s">
        <v>1200</v>
      </c>
      <c r="C472" t="s">
        <v>1543</v>
      </c>
      <c r="D472" s="32">
        <v>2417000</v>
      </c>
      <c r="E472" s="32">
        <v>1700000</v>
      </c>
      <c r="F472" s="32">
        <v>4117000</v>
      </c>
    </row>
    <row r="473" spans="1:6">
      <c r="A473" t="str">
        <f t="shared" si="8"/>
        <v>303608-1</v>
      </c>
      <c r="B473" t="s">
        <v>1200</v>
      </c>
      <c r="C473" t="s">
        <v>642</v>
      </c>
      <c r="D473" s="32">
        <v>193000</v>
      </c>
      <c r="E473" s="32">
        <v>194000</v>
      </c>
      <c r="F473" s="32">
        <v>387000</v>
      </c>
    </row>
    <row r="474" spans="1:6">
      <c r="A474" t="str">
        <f t="shared" si="8"/>
        <v>303609-1</v>
      </c>
      <c r="B474" t="s">
        <v>1200</v>
      </c>
      <c r="C474" t="s">
        <v>643</v>
      </c>
      <c r="D474" s="32">
        <v>29000</v>
      </c>
      <c r="E474" s="32">
        <v>29000</v>
      </c>
      <c r="F474" s="32">
        <v>58000</v>
      </c>
    </row>
    <row r="475" spans="1:6">
      <c r="A475" t="str">
        <f t="shared" si="8"/>
        <v>30323P-1</v>
      </c>
      <c r="B475" t="s">
        <v>1200</v>
      </c>
      <c r="C475" t="s">
        <v>1805</v>
      </c>
      <c r="D475" s="32">
        <v>4691000</v>
      </c>
      <c r="E475" s="32">
        <v>5691000</v>
      </c>
      <c r="F475" s="32">
        <v>10382000</v>
      </c>
    </row>
    <row r="476" spans="1:6">
      <c r="A476" t="str">
        <f t="shared" si="8"/>
        <v>30324B-1</v>
      </c>
      <c r="B476" t="s">
        <v>1200</v>
      </c>
      <c r="C476" t="s">
        <v>1806</v>
      </c>
      <c r="D476" s="32">
        <v>23066000</v>
      </c>
      <c r="E476" s="32"/>
      <c r="F476" s="32">
        <v>23066000</v>
      </c>
    </row>
    <row r="477" spans="1:6">
      <c r="A477" t="str">
        <f t="shared" si="8"/>
        <v>30323N-1</v>
      </c>
      <c r="B477" t="s">
        <v>1200</v>
      </c>
      <c r="C477" t="s">
        <v>1811</v>
      </c>
      <c r="D477" s="32">
        <v>1100000</v>
      </c>
      <c r="E477" s="32">
        <v>1100000</v>
      </c>
      <c r="F477" s="32">
        <v>2200000</v>
      </c>
    </row>
    <row r="478" spans="1:6">
      <c r="A478" t="str">
        <f t="shared" si="8"/>
        <v>30322U-1</v>
      </c>
      <c r="B478" t="s">
        <v>1200</v>
      </c>
      <c r="C478" t="s">
        <v>1866</v>
      </c>
      <c r="D478" s="32">
        <v>734000</v>
      </c>
      <c r="E478" s="32">
        <v>740000</v>
      </c>
      <c r="F478" s="32">
        <v>1474000</v>
      </c>
    </row>
    <row r="479" spans="1:6">
      <c r="A479" t="str">
        <f t="shared" si="8"/>
        <v>303706-2</v>
      </c>
      <c r="B479" t="s">
        <v>1200</v>
      </c>
      <c r="C479" t="s">
        <v>1882</v>
      </c>
      <c r="D479" s="32">
        <v>3222000</v>
      </c>
      <c r="E479" s="32"/>
      <c r="F479" s="32">
        <v>3222000</v>
      </c>
    </row>
    <row r="480" spans="1:6">
      <c r="A480" t="str">
        <f t="shared" si="8"/>
        <v>30325N-1</v>
      </c>
      <c r="B480" t="s">
        <v>1200</v>
      </c>
      <c r="C480" t="s">
        <v>1891</v>
      </c>
      <c r="D480" s="32">
        <v>21926000</v>
      </c>
      <c r="E480" s="32">
        <v>33140000</v>
      </c>
      <c r="F480" s="32">
        <v>55066000</v>
      </c>
    </row>
    <row r="481" spans="1:6">
      <c r="A481" t="str">
        <f t="shared" si="8"/>
        <v>303704-6</v>
      </c>
      <c r="B481" t="s">
        <v>1200</v>
      </c>
      <c r="C481" t="s">
        <v>1900</v>
      </c>
      <c r="D481" s="32">
        <v>9058000</v>
      </c>
      <c r="E481" s="32">
        <v>22058000</v>
      </c>
      <c r="F481" s="32">
        <v>31116000</v>
      </c>
    </row>
    <row r="482" spans="1:6">
      <c r="A482" t="str">
        <f t="shared" si="8"/>
        <v>30326B-1</v>
      </c>
      <c r="B482" t="s">
        <v>1200</v>
      </c>
      <c r="C482" t="s">
        <v>1914</v>
      </c>
      <c r="D482" s="32">
        <v>453000</v>
      </c>
      <c r="E482" s="32">
        <v>449000</v>
      </c>
      <c r="F482" s="32">
        <v>902000</v>
      </c>
    </row>
    <row r="483" spans="1:6">
      <c r="A483" t="str">
        <f t="shared" si="8"/>
        <v>30326C-1</v>
      </c>
      <c r="B483" t="s">
        <v>1200</v>
      </c>
      <c r="C483" t="s">
        <v>1956</v>
      </c>
      <c r="D483" s="32">
        <v>34012000</v>
      </c>
      <c r="E483" s="32">
        <v>55810000</v>
      </c>
      <c r="F483" s="32">
        <v>89822000</v>
      </c>
    </row>
    <row r="484" spans="1:6">
      <c r="A484" t="str">
        <f t="shared" si="8"/>
        <v>30326D-1</v>
      </c>
      <c r="B484" t="s">
        <v>1200</v>
      </c>
      <c r="C484" t="s">
        <v>1958</v>
      </c>
      <c r="D484" s="32">
        <v>36000</v>
      </c>
      <c r="E484" s="32">
        <v>36000</v>
      </c>
      <c r="F484" s="32">
        <v>72000</v>
      </c>
    </row>
    <row r="485" spans="1:6">
      <c r="A485" t="str">
        <f t="shared" si="8"/>
        <v>30327W-1</v>
      </c>
      <c r="B485" t="s">
        <v>1200</v>
      </c>
      <c r="C485" t="s">
        <v>1961</v>
      </c>
      <c r="D485" s="32">
        <v>4150000</v>
      </c>
      <c r="E485" s="32">
        <v>15635000</v>
      </c>
      <c r="F485" s="32">
        <v>19785000</v>
      </c>
    </row>
    <row r="486" spans="1:6">
      <c r="A486" t="str">
        <f t="shared" si="8"/>
        <v>30327R-6</v>
      </c>
      <c r="B486" t="s">
        <v>1200</v>
      </c>
      <c r="C486" t="s">
        <v>1965</v>
      </c>
      <c r="D486" s="32">
        <v>89000000</v>
      </c>
      <c r="E486" s="32">
        <v>46000000</v>
      </c>
      <c r="F486" s="32">
        <v>135000000</v>
      </c>
    </row>
    <row r="487" spans="1:6">
      <c r="A487" t="str">
        <f t="shared" si="8"/>
        <v>305001-1</v>
      </c>
      <c r="B487" t="s">
        <v>1232</v>
      </c>
      <c r="C487" t="s">
        <v>621</v>
      </c>
      <c r="D487" s="32">
        <v>43084000</v>
      </c>
      <c r="E487" s="32">
        <v>37007000</v>
      </c>
      <c r="F487" s="32">
        <v>80091000</v>
      </c>
    </row>
    <row r="488" spans="1:6">
      <c r="A488" t="str">
        <f t="shared" si="8"/>
        <v>305001-2</v>
      </c>
      <c r="B488" t="s">
        <v>1232</v>
      </c>
      <c r="C488" t="s">
        <v>622</v>
      </c>
      <c r="D488" s="32">
        <v>75638000</v>
      </c>
      <c r="E488" s="32">
        <v>80609000</v>
      </c>
      <c r="F488" s="32">
        <v>156247000</v>
      </c>
    </row>
    <row r="489" spans="1:6">
      <c r="A489" t="str">
        <f t="shared" si="8"/>
        <v>305001-7</v>
      </c>
      <c r="B489" t="s">
        <v>1232</v>
      </c>
      <c r="C489" t="s">
        <v>632</v>
      </c>
      <c r="D489" s="32">
        <v>8978000</v>
      </c>
      <c r="E489" s="32">
        <v>9546000</v>
      </c>
      <c r="F489" s="32">
        <v>18524000</v>
      </c>
    </row>
    <row r="490" spans="1:6">
      <c r="A490" t="str">
        <f t="shared" si="8"/>
        <v>305042-1</v>
      </c>
      <c r="B490" t="s">
        <v>1232</v>
      </c>
      <c r="C490" t="s">
        <v>651</v>
      </c>
      <c r="D490" s="32">
        <v>305000</v>
      </c>
      <c r="E490" s="32">
        <v>305000</v>
      </c>
      <c r="F490" s="32">
        <v>610000</v>
      </c>
    </row>
    <row r="491" spans="1:6">
      <c r="A491" t="str">
        <f t="shared" si="8"/>
        <v>305057-1</v>
      </c>
      <c r="B491" t="s">
        <v>1232</v>
      </c>
      <c r="C491" t="s">
        <v>623</v>
      </c>
      <c r="D491" s="32">
        <v>5870500</v>
      </c>
      <c r="E491" s="32">
        <v>5870500</v>
      </c>
      <c r="F491" s="32">
        <v>11741000</v>
      </c>
    </row>
    <row r="492" spans="1:6">
      <c r="A492" t="str">
        <f t="shared" si="8"/>
        <v>30508V-6</v>
      </c>
      <c r="B492" t="s">
        <v>1232</v>
      </c>
      <c r="C492" t="s">
        <v>1387</v>
      </c>
      <c r="D492" s="32">
        <v>420000</v>
      </c>
      <c r="E492" s="32">
        <v>415000</v>
      </c>
      <c r="F492" s="32">
        <v>835000</v>
      </c>
    </row>
    <row r="493" spans="1:6">
      <c r="A493" t="str">
        <f t="shared" si="8"/>
        <v>30511V-7</v>
      </c>
      <c r="B493" t="s">
        <v>1232</v>
      </c>
      <c r="C493" t="s">
        <v>1290</v>
      </c>
      <c r="D493" s="32">
        <v>360000</v>
      </c>
      <c r="E493" s="32">
        <v>358000</v>
      </c>
      <c r="F493" s="32">
        <v>718000</v>
      </c>
    </row>
    <row r="494" spans="1:6">
      <c r="A494" t="str">
        <f t="shared" si="8"/>
        <v>305213-6</v>
      </c>
      <c r="B494" t="s">
        <v>1232</v>
      </c>
      <c r="C494" t="s">
        <v>1520</v>
      </c>
      <c r="D494" s="32">
        <v>8000</v>
      </c>
      <c r="E494" s="32">
        <v>8000</v>
      </c>
      <c r="F494" s="32">
        <v>16000</v>
      </c>
    </row>
    <row r="495" spans="1:6">
      <c r="A495" t="str">
        <f t="shared" si="8"/>
        <v>30526C-1</v>
      </c>
      <c r="B495" t="s">
        <v>1232</v>
      </c>
      <c r="C495" t="s">
        <v>1956</v>
      </c>
      <c r="D495" s="32">
        <v>200000</v>
      </c>
      <c r="E495" s="32">
        <v>200000</v>
      </c>
      <c r="F495" s="32">
        <v>400000</v>
      </c>
    </row>
    <row r="496" spans="1:6">
      <c r="A496" t="str">
        <f t="shared" si="8"/>
        <v>307001-1</v>
      </c>
      <c r="B496" t="s">
        <v>1712</v>
      </c>
      <c r="C496" t="s">
        <v>621</v>
      </c>
      <c r="D496" s="32">
        <v>1600108000</v>
      </c>
      <c r="E496" s="32">
        <v>1730634000</v>
      </c>
      <c r="F496" s="32">
        <v>3330742000</v>
      </c>
    </row>
    <row r="497" spans="1:6">
      <c r="A497" t="str">
        <f t="shared" si="8"/>
        <v>307001-2</v>
      </c>
      <c r="B497" t="s">
        <v>1712</v>
      </c>
      <c r="C497" t="s">
        <v>622</v>
      </c>
      <c r="D497" s="32">
        <v>607663000</v>
      </c>
      <c r="E497" s="32">
        <v>576688000</v>
      </c>
      <c r="F497" s="32">
        <v>1184351000</v>
      </c>
    </row>
    <row r="498" spans="1:6">
      <c r="A498" t="str">
        <f t="shared" si="8"/>
        <v>307001-7</v>
      </c>
      <c r="B498" t="s">
        <v>1712</v>
      </c>
      <c r="C498" t="s">
        <v>632</v>
      </c>
      <c r="D498" s="32">
        <v>2573000</v>
      </c>
      <c r="E498" s="32">
        <v>2691000</v>
      </c>
      <c r="F498" s="32">
        <v>5264000</v>
      </c>
    </row>
    <row r="499" spans="1:6">
      <c r="A499" t="str">
        <f t="shared" si="8"/>
        <v>307057-1</v>
      </c>
      <c r="B499" t="s">
        <v>1712</v>
      </c>
      <c r="C499" t="s">
        <v>623</v>
      </c>
      <c r="D499" s="32">
        <v>10955000</v>
      </c>
      <c r="E499" s="32">
        <v>10955000</v>
      </c>
      <c r="F499" s="32">
        <v>21910000</v>
      </c>
    </row>
    <row r="500" spans="1:6">
      <c r="A500" t="str">
        <f t="shared" si="8"/>
        <v>30708A-1</v>
      </c>
      <c r="B500" t="s">
        <v>1712</v>
      </c>
      <c r="C500" t="s">
        <v>624</v>
      </c>
      <c r="D500" s="32">
        <v>171643000</v>
      </c>
      <c r="E500" s="32">
        <v>214502000</v>
      </c>
      <c r="F500" s="32">
        <v>386145000</v>
      </c>
    </row>
    <row r="501" spans="1:6">
      <c r="A501" t="str">
        <f t="shared" si="8"/>
        <v>30711K-1</v>
      </c>
      <c r="B501" t="s">
        <v>1712</v>
      </c>
      <c r="C501" t="s">
        <v>1420</v>
      </c>
      <c r="D501" s="32">
        <v>98000</v>
      </c>
      <c r="E501" s="32">
        <v>98000</v>
      </c>
      <c r="F501" s="32">
        <v>196000</v>
      </c>
    </row>
    <row r="502" spans="1:6">
      <c r="A502" t="str">
        <f t="shared" si="8"/>
        <v>307133-6</v>
      </c>
      <c r="B502" t="s">
        <v>1712</v>
      </c>
      <c r="C502" t="s">
        <v>1481</v>
      </c>
      <c r="D502" s="32">
        <v>239000</v>
      </c>
      <c r="E502" s="32">
        <v>58000</v>
      </c>
      <c r="F502" s="32">
        <v>297000</v>
      </c>
    </row>
    <row r="503" spans="1:6">
      <c r="A503" t="str">
        <f t="shared" si="8"/>
        <v>30717B-1</v>
      </c>
      <c r="B503" t="s">
        <v>1712</v>
      </c>
      <c r="C503" t="s">
        <v>1554</v>
      </c>
      <c r="D503" s="32">
        <v>17295000</v>
      </c>
      <c r="E503" s="32">
        <v>18981000</v>
      </c>
      <c r="F503" s="32">
        <v>36276000</v>
      </c>
    </row>
    <row r="504" spans="1:6">
      <c r="A504" t="str">
        <f t="shared" si="8"/>
        <v>30717B-2</v>
      </c>
      <c r="B504" t="s">
        <v>1712</v>
      </c>
      <c r="C504" t="s">
        <v>1429</v>
      </c>
      <c r="D504" s="32">
        <v>19118000</v>
      </c>
      <c r="E504" s="32">
        <v>18518000</v>
      </c>
      <c r="F504" s="32">
        <v>37636000</v>
      </c>
    </row>
    <row r="505" spans="1:6">
      <c r="A505" t="str">
        <f t="shared" si="8"/>
        <v>30717F-1</v>
      </c>
      <c r="B505" t="s">
        <v>1712</v>
      </c>
      <c r="C505" t="s">
        <v>625</v>
      </c>
      <c r="D505" s="32">
        <v>40000000</v>
      </c>
      <c r="E505" s="32">
        <v>40000000</v>
      </c>
      <c r="F505" s="32">
        <v>80000000</v>
      </c>
    </row>
    <row r="506" spans="1:6">
      <c r="A506" t="str">
        <f t="shared" si="8"/>
        <v>30717M-6</v>
      </c>
      <c r="B506" t="s">
        <v>1712</v>
      </c>
      <c r="C506" t="s">
        <v>1249</v>
      </c>
      <c r="D506" s="32">
        <v>539000</v>
      </c>
      <c r="E506" s="32">
        <v>252000</v>
      </c>
      <c r="F506" s="32">
        <v>791000</v>
      </c>
    </row>
    <row r="507" spans="1:6">
      <c r="A507" t="str">
        <f t="shared" si="8"/>
        <v>30724J-1</v>
      </c>
      <c r="B507" t="s">
        <v>1712</v>
      </c>
      <c r="C507" t="s">
        <v>1809</v>
      </c>
      <c r="D507" s="32">
        <v>10035000</v>
      </c>
      <c r="E507" s="32">
        <v>12729000</v>
      </c>
      <c r="F507" s="32">
        <v>22764000</v>
      </c>
    </row>
    <row r="508" spans="1:6">
      <c r="A508" t="str">
        <f t="shared" si="8"/>
        <v>307001-H</v>
      </c>
      <c r="B508" t="s">
        <v>1712</v>
      </c>
      <c r="C508" t="s">
        <v>1990</v>
      </c>
      <c r="D508" s="32">
        <v>156726000</v>
      </c>
      <c r="E508" s="32"/>
      <c r="F508" s="32">
        <v>156726000</v>
      </c>
    </row>
    <row r="509" spans="1:6">
      <c r="A509" t="str">
        <f t="shared" si="8"/>
        <v>307001-Z</v>
      </c>
      <c r="B509" t="s">
        <v>1712</v>
      </c>
      <c r="C509" t="s">
        <v>1997</v>
      </c>
      <c r="D509" s="32">
        <v>11025000</v>
      </c>
      <c r="E509" s="32"/>
      <c r="F509" s="32">
        <v>11025000</v>
      </c>
    </row>
    <row r="510" spans="1:6">
      <c r="A510" t="str">
        <f t="shared" si="8"/>
        <v>30726C-1</v>
      </c>
      <c r="B510" t="s">
        <v>1712</v>
      </c>
      <c r="C510" t="s">
        <v>1956</v>
      </c>
      <c r="D510" s="32">
        <v>1724500</v>
      </c>
      <c r="E510" s="32">
        <v>1724500</v>
      </c>
      <c r="F510" s="32">
        <v>3449000</v>
      </c>
    </row>
    <row r="511" spans="1:6">
      <c r="A511" t="str">
        <f t="shared" si="8"/>
        <v>30727W-1</v>
      </c>
      <c r="B511" t="s">
        <v>1712</v>
      </c>
      <c r="C511" t="s">
        <v>1961</v>
      </c>
      <c r="D511" s="32">
        <v>1152000</v>
      </c>
      <c r="E511" s="32">
        <v>8834000</v>
      </c>
      <c r="F511" s="32">
        <v>9986000</v>
      </c>
    </row>
    <row r="512" spans="1:6">
      <c r="A512" t="str">
        <f t="shared" si="8"/>
        <v>310001-1</v>
      </c>
      <c r="B512" t="s">
        <v>1257</v>
      </c>
      <c r="C512" t="s">
        <v>621</v>
      </c>
      <c r="D512" s="32">
        <v>1248888000</v>
      </c>
      <c r="E512" s="32">
        <v>1567932000</v>
      </c>
      <c r="F512" s="32">
        <v>2816820000</v>
      </c>
    </row>
    <row r="513" spans="1:6">
      <c r="A513" t="str">
        <f t="shared" si="8"/>
        <v>310001-2</v>
      </c>
      <c r="B513" t="s">
        <v>1257</v>
      </c>
      <c r="C513" t="s">
        <v>622</v>
      </c>
      <c r="D513" s="32">
        <v>9344000</v>
      </c>
      <c r="E513" s="32">
        <v>8280000</v>
      </c>
      <c r="F513" s="32">
        <v>17624000</v>
      </c>
    </row>
    <row r="514" spans="1:6">
      <c r="A514" t="str">
        <f t="shared" si="8"/>
        <v>310001-7</v>
      </c>
      <c r="B514" t="s">
        <v>1257</v>
      </c>
      <c r="C514" t="s">
        <v>632</v>
      </c>
      <c r="D514" s="32">
        <v>1574000</v>
      </c>
      <c r="E514" s="32">
        <v>1574000</v>
      </c>
      <c r="F514" s="32">
        <v>3148000</v>
      </c>
    </row>
    <row r="515" spans="1:6">
      <c r="A515" t="str">
        <f t="shared" si="8"/>
        <v>310057-1</v>
      </c>
      <c r="B515" t="s">
        <v>1257</v>
      </c>
      <c r="C515" t="s">
        <v>623</v>
      </c>
      <c r="D515" s="32">
        <v>39671500</v>
      </c>
      <c r="E515" s="32">
        <v>39671500</v>
      </c>
      <c r="F515" s="32">
        <v>79343000</v>
      </c>
    </row>
    <row r="516" spans="1:6">
      <c r="A516" t="str">
        <f t="shared" si="8"/>
        <v>31011K-1</v>
      </c>
      <c r="B516" t="s">
        <v>1257</v>
      </c>
      <c r="C516" t="s">
        <v>1420</v>
      </c>
      <c r="D516" s="32">
        <v>2418000</v>
      </c>
      <c r="E516" s="32">
        <v>2419000</v>
      </c>
      <c r="F516" s="32">
        <v>4837000</v>
      </c>
    </row>
    <row r="517" spans="1:6">
      <c r="A517" t="str">
        <f t="shared" si="8"/>
        <v>310141-6</v>
      </c>
      <c r="B517" t="s">
        <v>1257</v>
      </c>
      <c r="C517" t="s">
        <v>1270</v>
      </c>
      <c r="D517" s="32">
        <v>186000</v>
      </c>
      <c r="E517" s="32">
        <v>186000</v>
      </c>
      <c r="F517" s="32">
        <v>372000</v>
      </c>
    </row>
    <row r="518" spans="1:6">
      <c r="A518" t="str">
        <f t="shared" si="8"/>
        <v>310226-6</v>
      </c>
      <c r="B518" t="s">
        <v>1257</v>
      </c>
      <c r="C518" t="s">
        <v>1340</v>
      </c>
      <c r="D518" s="32">
        <v>32000</v>
      </c>
      <c r="E518" s="32">
        <v>32000</v>
      </c>
      <c r="F518" s="32">
        <v>64000</v>
      </c>
    </row>
    <row r="519" spans="1:6">
      <c r="A519" t="str">
        <f t="shared" si="8"/>
        <v>310401-6</v>
      </c>
      <c r="B519" t="s">
        <v>1257</v>
      </c>
      <c r="C519" t="s">
        <v>1702</v>
      </c>
      <c r="D519" s="32">
        <v>1000000</v>
      </c>
      <c r="E519" s="32">
        <v>1000000</v>
      </c>
      <c r="F519" s="32">
        <v>2000000</v>
      </c>
    </row>
    <row r="520" spans="1:6">
      <c r="A520" t="str">
        <f t="shared" si="8"/>
        <v>31023N-1</v>
      </c>
      <c r="B520" t="s">
        <v>1257</v>
      </c>
      <c r="C520" t="s">
        <v>1811</v>
      </c>
      <c r="D520" s="32">
        <v>300000</v>
      </c>
      <c r="E520" s="32">
        <v>300000</v>
      </c>
      <c r="F520" s="32">
        <v>600000</v>
      </c>
    </row>
    <row r="521" spans="1:6">
      <c r="A521" t="str">
        <f t="shared" si="8"/>
        <v>310706-2</v>
      </c>
      <c r="B521" t="s">
        <v>1257</v>
      </c>
      <c r="C521" t="s">
        <v>1882</v>
      </c>
      <c r="D521" s="32">
        <v>262300000</v>
      </c>
      <c r="E521" s="32"/>
      <c r="F521" s="32">
        <v>262300000</v>
      </c>
    </row>
    <row r="522" spans="1:6">
      <c r="A522" t="str">
        <f t="shared" si="8"/>
        <v>31026C-1</v>
      </c>
      <c r="B522" t="s">
        <v>1257</v>
      </c>
      <c r="C522" t="s">
        <v>1956</v>
      </c>
      <c r="D522" s="32">
        <v>1100000</v>
      </c>
      <c r="E522" s="32">
        <v>1100000</v>
      </c>
      <c r="F522" s="32">
        <v>2200000</v>
      </c>
    </row>
    <row r="523" spans="1:6">
      <c r="A523" t="str">
        <f t="shared" si="8"/>
        <v>31027W-1</v>
      </c>
      <c r="B523" t="s">
        <v>1257</v>
      </c>
      <c r="C523" t="s">
        <v>1961</v>
      </c>
      <c r="D523" s="32"/>
      <c r="E523" s="32">
        <v>4700000</v>
      </c>
      <c r="F523" s="32">
        <v>4700000</v>
      </c>
    </row>
    <row r="524" spans="1:6">
      <c r="A524" t="str">
        <f t="shared" si="8"/>
        <v>315001-1</v>
      </c>
      <c r="B524" t="s">
        <v>1301</v>
      </c>
      <c r="C524" t="s">
        <v>621</v>
      </c>
      <c r="D524" s="32">
        <v>7065000</v>
      </c>
      <c r="E524" s="32">
        <v>9370000</v>
      </c>
      <c r="F524" s="32">
        <v>16435000</v>
      </c>
    </row>
    <row r="525" spans="1:6">
      <c r="A525" t="str">
        <f t="shared" si="8"/>
        <v>315001-2</v>
      </c>
      <c r="B525" t="s">
        <v>1301</v>
      </c>
      <c r="C525" t="s">
        <v>622</v>
      </c>
      <c r="D525" s="32">
        <v>17804000</v>
      </c>
      <c r="E525" s="32">
        <v>15020000</v>
      </c>
      <c r="F525" s="32">
        <v>32824000</v>
      </c>
    </row>
    <row r="526" spans="1:6">
      <c r="A526" t="str">
        <f t="shared" si="8"/>
        <v>315001-7</v>
      </c>
      <c r="B526" t="s">
        <v>1301</v>
      </c>
      <c r="C526" t="s">
        <v>632</v>
      </c>
      <c r="D526" s="32">
        <v>33000</v>
      </c>
      <c r="E526" s="32">
        <v>34000</v>
      </c>
      <c r="F526" s="32">
        <v>67000</v>
      </c>
    </row>
    <row r="527" spans="1:6">
      <c r="A527" t="str">
        <f t="shared" si="8"/>
        <v>31502H-6</v>
      </c>
      <c r="B527" t="s">
        <v>1301</v>
      </c>
      <c r="C527" t="s">
        <v>1302</v>
      </c>
      <c r="D527" s="32">
        <v>1110000</v>
      </c>
      <c r="E527" s="32">
        <v>1110000</v>
      </c>
      <c r="F527" s="32">
        <v>2220000</v>
      </c>
    </row>
    <row r="528" spans="1:6">
      <c r="A528" t="str">
        <f t="shared" si="8"/>
        <v>340001-1</v>
      </c>
      <c r="B528" t="s">
        <v>1164</v>
      </c>
      <c r="C528" t="s">
        <v>621</v>
      </c>
      <c r="D528" s="32">
        <v>311922000</v>
      </c>
      <c r="E528" s="32">
        <v>312282000</v>
      </c>
      <c r="F528" s="32">
        <v>624204000</v>
      </c>
    </row>
    <row r="529" spans="1:6">
      <c r="A529" t="str">
        <f t="shared" si="8"/>
        <v>340001-2</v>
      </c>
      <c r="B529" t="s">
        <v>1164</v>
      </c>
      <c r="C529" t="s">
        <v>622</v>
      </c>
      <c r="D529" s="32">
        <v>18113000</v>
      </c>
      <c r="E529" s="32">
        <v>15149000</v>
      </c>
      <c r="F529" s="32">
        <v>33262000</v>
      </c>
    </row>
    <row r="530" spans="1:6">
      <c r="A530" t="str">
        <f t="shared" ref="A530:A593" si="9">+B530&amp;C530</f>
        <v>340001-7</v>
      </c>
      <c r="B530" t="s">
        <v>1164</v>
      </c>
      <c r="C530" t="s">
        <v>632</v>
      </c>
      <c r="D530" s="32">
        <v>150000</v>
      </c>
      <c r="E530" s="32">
        <v>150000</v>
      </c>
      <c r="F530" s="32">
        <v>300000</v>
      </c>
    </row>
    <row r="531" spans="1:6">
      <c r="A531" t="str">
        <f t="shared" si="9"/>
        <v>34008A-1</v>
      </c>
      <c r="B531" t="s">
        <v>1164</v>
      </c>
      <c r="C531" t="s">
        <v>624</v>
      </c>
      <c r="D531" s="32">
        <v>42828000</v>
      </c>
      <c r="E531" s="32">
        <v>42660000</v>
      </c>
      <c r="F531" s="32">
        <v>85488000</v>
      </c>
    </row>
    <row r="532" spans="1:6">
      <c r="A532" t="str">
        <f t="shared" si="9"/>
        <v>34017F-1</v>
      </c>
      <c r="B532" t="s">
        <v>1164</v>
      </c>
      <c r="C532" t="s">
        <v>625</v>
      </c>
      <c r="D532" s="2391">
        <v>34587000</v>
      </c>
      <c r="E532" s="2391">
        <v>42016000</v>
      </c>
      <c r="F532" s="2391">
        <v>76603000</v>
      </c>
    </row>
    <row r="533" spans="1:6">
      <c r="A533" t="str">
        <f t="shared" si="9"/>
        <v>340496-6</v>
      </c>
      <c r="B533" t="s">
        <v>1164</v>
      </c>
      <c r="C533" t="s">
        <v>627</v>
      </c>
      <c r="D533" s="32">
        <v>578000</v>
      </c>
      <c r="E533" s="32">
        <v>588000</v>
      </c>
      <c r="F533" s="32">
        <v>1166000</v>
      </c>
    </row>
    <row r="534" spans="1:6">
      <c r="A534" t="str">
        <f t="shared" si="9"/>
        <v>340747-1</v>
      </c>
      <c r="B534" t="s">
        <v>1164</v>
      </c>
      <c r="C534" t="s">
        <v>1637</v>
      </c>
      <c r="D534" s="32">
        <v>5860000</v>
      </c>
      <c r="E534" s="32">
        <v>5860000</v>
      </c>
      <c r="F534" s="32">
        <v>11720000</v>
      </c>
    </row>
    <row r="535" spans="1:6">
      <c r="A535" t="str">
        <f t="shared" si="9"/>
        <v>340747-6</v>
      </c>
      <c r="B535" t="s">
        <v>1164</v>
      </c>
      <c r="C535" t="s">
        <v>628</v>
      </c>
      <c r="D535" s="32">
        <v>9515000</v>
      </c>
      <c r="E535" s="32">
        <v>14015000</v>
      </c>
      <c r="F535" s="32">
        <v>23530000</v>
      </c>
    </row>
    <row r="536" spans="1:6">
      <c r="A536" t="str">
        <f t="shared" si="9"/>
        <v>340785-6</v>
      </c>
      <c r="B536" t="s">
        <v>1164</v>
      </c>
      <c r="C536" t="s">
        <v>629</v>
      </c>
      <c r="D536" s="32">
        <v>646000</v>
      </c>
      <c r="E536" s="32">
        <v>646000</v>
      </c>
      <c r="F536" s="32">
        <v>1292000</v>
      </c>
    </row>
    <row r="537" spans="1:6">
      <c r="A537" t="str">
        <f t="shared" si="9"/>
        <v>340788-6</v>
      </c>
      <c r="B537" t="s">
        <v>1164</v>
      </c>
      <c r="C537" t="s">
        <v>630</v>
      </c>
      <c r="D537" s="32">
        <v>7465000</v>
      </c>
      <c r="E537" s="32">
        <v>7402000</v>
      </c>
      <c r="F537" s="32">
        <v>14867000</v>
      </c>
    </row>
    <row r="538" spans="1:6">
      <c r="A538" t="str">
        <f t="shared" si="9"/>
        <v>340835-6</v>
      </c>
      <c r="B538" t="s">
        <v>1164</v>
      </c>
      <c r="C538" t="s">
        <v>631</v>
      </c>
      <c r="D538" s="32">
        <v>75000</v>
      </c>
      <c r="E538" s="32">
        <v>75000</v>
      </c>
      <c r="F538" s="32">
        <v>150000</v>
      </c>
    </row>
    <row r="539" spans="1:6">
      <c r="A539" t="str">
        <f t="shared" si="9"/>
        <v>34017R-1</v>
      </c>
      <c r="B539" t="s">
        <v>1164</v>
      </c>
      <c r="C539" t="s">
        <v>1676</v>
      </c>
      <c r="D539" s="32">
        <v>110000</v>
      </c>
      <c r="E539" s="32">
        <v>110000</v>
      </c>
      <c r="F539" s="32">
        <v>220000</v>
      </c>
    </row>
    <row r="540" spans="1:6">
      <c r="A540" t="str">
        <f t="shared" si="9"/>
        <v>34024J-1</v>
      </c>
      <c r="B540" t="s">
        <v>1164</v>
      </c>
      <c r="C540" t="s">
        <v>1809</v>
      </c>
      <c r="D540" s="32">
        <v>158922000</v>
      </c>
      <c r="E540" s="32">
        <v>181172000</v>
      </c>
      <c r="F540" s="32">
        <v>340094000</v>
      </c>
    </row>
    <row r="541" spans="1:6">
      <c r="A541" t="str">
        <f t="shared" si="9"/>
        <v>34022V-6</v>
      </c>
      <c r="B541" t="s">
        <v>1164</v>
      </c>
      <c r="C541" t="s">
        <v>1822</v>
      </c>
      <c r="D541" s="32">
        <v>366000</v>
      </c>
      <c r="E541" s="32">
        <v>366000</v>
      </c>
      <c r="F541" s="32">
        <v>732000</v>
      </c>
    </row>
    <row r="542" spans="1:6">
      <c r="A542" t="str">
        <f t="shared" si="9"/>
        <v>340463-6</v>
      </c>
      <c r="B542" t="s">
        <v>1164</v>
      </c>
      <c r="C542" t="s">
        <v>1823</v>
      </c>
      <c r="D542" s="32">
        <v>1049000</v>
      </c>
      <c r="E542" s="32">
        <v>1048000</v>
      </c>
      <c r="F542" s="32">
        <v>2097000</v>
      </c>
    </row>
    <row r="543" spans="1:6">
      <c r="A543" t="str">
        <f t="shared" si="9"/>
        <v>34023A-6</v>
      </c>
      <c r="B543" t="s">
        <v>1164</v>
      </c>
      <c r="C543" t="s">
        <v>1901</v>
      </c>
      <c r="D543" s="32">
        <v>175000</v>
      </c>
      <c r="E543" s="32">
        <v>175000</v>
      </c>
      <c r="F543" s="32">
        <v>350000</v>
      </c>
    </row>
    <row r="544" spans="1:6">
      <c r="A544" t="str">
        <f t="shared" si="9"/>
        <v>340748-6</v>
      </c>
      <c r="B544" t="s">
        <v>1164</v>
      </c>
      <c r="C544" t="s">
        <v>1902</v>
      </c>
      <c r="D544" s="32">
        <v>8021000</v>
      </c>
      <c r="E544" s="32">
        <v>8025000</v>
      </c>
      <c r="F544" s="32">
        <v>16046000</v>
      </c>
    </row>
    <row r="545" spans="1:6">
      <c r="A545" t="str">
        <f t="shared" si="9"/>
        <v>34024A-6</v>
      </c>
      <c r="B545" t="s">
        <v>1164</v>
      </c>
      <c r="C545" t="s">
        <v>1903</v>
      </c>
      <c r="D545" s="32">
        <v>6350000</v>
      </c>
      <c r="E545" s="32">
        <v>6350000</v>
      </c>
      <c r="F545" s="32">
        <v>12700000</v>
      </c>
    </row>
    <row r="546" spans="1:6">
      <c r="A546" t="str">
        <f t="shared" si="9"/>
        <v>34026T-1</v>
      </c>
      <c r="B546" t="s">
        <v>1164</v>
      </c>
      <c r="C546" t="s">
        <v>1954</v>
      </c>
      <c r="D546" s="32"/>
      <c r="E546" s="32">
        <v>80000000</v>
      </c>
      <c r="F546" s="32">
        <v>80000000</v>
      </c>
    </row>
    <row r="547" spans="1:6">
      <c r="A547" t="str">
        <f t="shared" si="9"/>
        <v>34023D-6</v>
      </c>
      <c r="B547" t="s">
        <v>1164</v>
      </c>
      <c r="C547" t="s">
        <v>1966</v>
      </c>
      <c r="D547" s="32">
        <v>225000</v>
      </c>
      <c r="E547" s="32">
        <v>225000</v>
      </c>
      <c r="F547" s="32">
        <v>450000</v>
      </c>
    </row>
    <row r="548" spans="1:6">
      <c r="A548" t="str">
        <f t="shared" si="9"/>
        <v>341548-6</v>
      </c>
      <c r="B548" t="s">
        <v>1487</v>
      </c>
      <c r="C548" t="s">
        <v>1488</v>
      </c>
      <c r="D548" s="32">
        <v>1900000</v>
      </c>
      <c r="E548" s="32">
        <v>1988000</v>
      </c>
      <c r="F548" s="32">
        <v>3888000</v>
      </c>
    </row>
    <row r="549" spans="1:6">
      <c r="A549" t="str">
        <f t="shared" si="9"/>
        <v>350001-1</v>
      </c>
      <c r="B549" t="s">
        <v>1204</v>
      </c>
      <c r="C549" t="s">
        <v>621</v>
      </c>
      <c r="D549" s="32">
        <v>14176218000</v>
      </c>
      <c r="E549" s="32">
        <v>14991293000</v>
      </c>
      <c r="F549" s="32">
        <v>29167511000</v>
      </c>
    </row>
    <row r="550" spans="1:6">
      <c r="A550" t="str">
        <f t="shared" si="9"/>
        <v>350001-2</v>
      </c>
      <c r="B550" t="s">
        <v>1204</v>
      </c>
      <c r="C550" t="s">
        <v>622</v>
      </c>
      <c r="D550" s="32">
        <v>1318160000</v>
      </c>
      <c r="E550" s="32">
        <v>1252571000</v>
      </c>
      <c r="F550" s="32">
        <v>2570731000</v>
      </c>
    </row>
    <row r="551" spans="1:6">
      <c r="A551" t="str">
        <f t="shared" si="9"/>
        <v>350001-7</v>
      </c>
      <c r="B551" t="s">
        <v>1204</v>
      </c>
      <c r="C551" t="s">
        <v>632</v>
      </c>
      <c r="D551" s="32">
        <v>4760000</v>
      </c>
      <c r="E551" s="32">
        <v>4769000</v>
      </c>
      <c r="F551" s="32">
        <v>9529000</v>
      </c>
    </row>
    <row r="552" spans="1:6">
      <c r="A552" t="str">
        <f t="shared" si="9"/>
        <v>350057-1</v>
      </c>
      <c r="B552" t="s">
        <v>1204</v>
      </c>
      <c r="C552" t="s">
        <v>623</v>
      </c>
      <c r="D552" s="32">
        <v>134985500</v>
      </c>
      <c r="E552" s="32">
        <v>134985500</v>
      </c>
      <c r="F552" s="32">
        <v>269971000</v>
      </c>
    </row>
    <row r="553" spans="1:6">
      <c r="A553" t="str">
        <f t="shared" si="9"/>
        <v>35008A-1</v>
      </c>
      <c r="B553" t="s">
        <v>1204</v>
      </c>
      <c r="C553" t="s">
        <v>624</v>
      </c>
      <c r="D553" s="32">
        <v>898043000</v>
      </c>
      <c r="E553" s="32">
        <v>932045000</v>
      </c>
      <c r="F553" s="32">
        <v>1830088000</v>
      </c>
    </row>
    <row r="554" spans="1:6">
      <c r="A554" t="str">
        <f t="shared" si="9"/>
        <v>35017F-1</v>
      </c>
      <c r="B554" t="s">
        <v>1204</v>
      </c>
      <c r="C554" t="s">
        <v>625</v>
      </c>
      <c r="D554" s="32">
        <v>88190000</v>
      </c>
      <c r="E554" s="32">
        <v>100095000</v>
      </c>
      <c r="F554" s="32">
        <v>188285000</v>
      </c>
    </row>
    <row r="555" spans="1:6">
      <c r="A555" t="str">
        <f t="shared" si="9"/>
        <v>35018E-6</v>
      </c>
      <c r="B555" t="s">
        <v>1204</v>
      </c>
      <c r="C555" t="s">
        <v>1531</v>
      </c>
      <c r="D555" s="32">
        <v>1162000</v>
      </c>
      <c r="E555" s="32">
        <v>1252000</v>
      </c>
      <c r="F555" s="32">
        <v>2414000</v>
      </c>
    </row>
    <row r="556" spans="1:6">
      <c r="A556" t="str">
        <f t="shared" si="9"/>
        <v>35019L-1</v>
      </c>
      <c r="B556" t="s">
        <v>1204</v>
      </c>
      <c r="C556" t="s">
        <v>1623</v>
      </c>
      <c r="D556" s="32">
        <v>2082000</v>
      </c>
      <c r="E556" s="32">
        <v>2490000</v>
      </c>
      <c r="F556" s="32">
        <v>4572000</v>
      </c>
    </row>
    <row r="557" spans="1:6">
      <c r="A557" t="str">
        <f t="shared" si="9"/>
        <v>350315-1</v>
      </c>
      <c r="B557" t="s">
        <v>1204</v>
      </c>
      <c r="C557" t="s">
        <v>1578</v>
      </c>
      <c r="D557" s="32">
        <v>593000</v>
      </c>
      <c r="E557" s="32">
        <v>618000</v>
      </c>
      <c r="F557" s="32">
        <v>1211000</v>
      </c>
    </row>
    <row r="558" spans="1:6">
      <c r="A558" t="str">
        <f t="shared" si="9"/>
        <v>350480-6</v>
      </c>
      <c r="B558" t="s">
        <v>1204</v>
      </c>
      <c r="C558" t="s">
        <v>1545</v>
      </c>
      <c r="D558" s="32">
        <v>50000</v>
      </c>
      <c r="E558" s="32">
        <v>50000</v>
      </c>
      <c r="F558" s="32">
        <v>100000</v>
      </c>
    </row>
    <row r="559" spans="1:6">
      <c r="A559" t="str">
        <f t="shared" si="9"/>
        <v>350536-6</v>
      </c>
      <c r="B559" t="s">
        <v>1204</v>
      </c>
      <c r="C559" t="s">
        <v>1379</v>
      </c>
      <c r="D559" s="32">
        <v>74012000</v>
      </c>
      <c r="E559" s="32">
        <v>74132000</v>
      </c>
      <c r="F559" s="32">
        <v>148144000</v>
      </c>
    </row>
    <row r="560" spans="1:6">
      <c r="A560" t="str">
        <f t="shared" si="9"/>
        <v>350553-1</v>
      </c>
      <c r="B560" t="s">
        <v>1204</v>
      </c>
      <c r="C560" t="s">
        <v>1369</v>
      </c>
      <c r="D560" s="32">
        <v>108000</v>
      </c>
      <c r="E560" s="32">
        <v>105000</v>
      </c>
      <c r="F560" s="32">
        <v>213000</v>
      </c>
    </row>
    <row r="561" spans="1:6">
      <c r="A561" t="str">
        <f t="shared" si="9"/>
        <v>350759-6</v>
      </c>
      <c r="B561" t="s">
        <v>1204</v>
      </c>
      <c r="C561" t="s">
        <v>1474</v>
      </c>
      <c r="D561" s="32">
        <v>375000</v>
      </c>
      <c r="E561" s="32">
        <v>1673000</v>
      </c>
      <c r="F561" s="32">
        <v>2048000</v>
      </c>
    </row>
    <row r="562" spans="1:6">
      <c r="A562" t="str">
        <f t="shared" si="9"/>
        <v>350113-1</v>
      </c>
      <c r="B562" t="s">
        <v>1204</v>
      </c>
      <c r="C562" t="s">
        <v>1741</v>
      </c>
      <c r="D562" s="32">
        <v>291906000</v>
      </c>
      <c r="E562" s="32">
        <v>291906000</v>
      </c>
      <c r="F562" s="32">
        <v>583812000</v>
      </c>
    </row>
    <row r="563" spans="1:6">
      <c r="A563" t="str">
        <f t="shared" si="9"/>
        <v>350113-2</v>
      </c>
      <c r="B563" t="s">
        <v>1204</v>
      </c>
      <c r="C563" t="s">
        <v>1742</v>
      </c>
      <c r="D563" s="32">
        <v>750000</v>
      </c>
      <c r="E563" s="32">
        <v>750000</v>
      </c>
      <c r="F563" s="32">
        <v>1500000</v>
      </c>
    </row>
    <row r="564" spans="1:6">
      <c r="A564" t="str">
        <f t="shared" si="9"/>
        <v>350359-1</v>
      </c>
      <c r="B564" t="s">
        <v>1204</v>
      </c>
      <c r="C564" t="s">
        <v>1967</v>
      </c>
      <c r="D564" s="32">
        <v>377500</v>
      </c>
      <c r="E564" s="32">
        <v>377500</v>
      </c>
      <c r="F564" s="32">
        <v>755000</v>
      </c>
    </row>
    <row r="565" spans="1:6">
      <c r="A565" t="str">
        <f t="shared" si="9"/>
        <v>35024J-1</v>
      </c>
      <c r="B565" t="s">
        <v>1204</v>
      </c>
      <c r="C565" t="s">
        <v>1809</v>
      </c>
      <c r="D565" s="32">
        <v>6286000</v>
      </c>
      <c r="E565" s="32">
        <v>9793000</v>
      </c>
      <c r="F565" s="32">
        <v>16079000</v>
      </c>
    </row>
    <row r="566" spans="1:6">
      <c r="A566" t="str">
        <f t="shared" si="9"/>
        <v>35023R-1</v>
      </c>
      <c r="B566" t="s">
        <v>1204</v>
      </c>
      <c r="C566" t="s">
        <v>1829</v>
      </c>
      <c r="D566" s="32">
        <v>287500</v>
      </c>
      <c r="E566" s="32">
        <v>287500</v>
      </c>
      <c r="F566" s="32">
        <v>575000</v>
      </c>
    </row>
    <row r="567" spans="1:6">
      <c r="A567" t="str">
        <f t="shared" si="9"/>
        <v>350001-H</v>
      </c>
      <c r="B567" t="s">
        <v>1204</v>
      </c>
      <c r="C567" t="s">
        <v>1990</v>
      </c>
      <c r="D567" s="32">
        <v>17852000</v>
      </c>
      <c r="E567" s="32"/>
      <c r="F567" s="32">
        <v>17852000</v>
      </c>
    </row>
    <row r="568" spans="1:6">
      <c r="A568" t="str">
        <f t="shared" si="9"/>
        <v>350706-2</v>
      </c>
      <c r="B568" t="s">
        <v>1204</v>
      </c>
      <c r="C568" t="s">
        <v>1882</v>
      </c>
      <c r="D568" s="32">
        <v>1354000</v>
      </c>
      <c r="E568" s="32"/>
      <c r="F568" s="32">
        <v>1354000</v>
      </c>
    </row>
    <row r="569" spans="1:6">
      <c r="A569" t="str">
        <f t="shared" si="9"/>
        <v>350001-Z</v>
      </c>
      <c r="B569" t="s">
        <v>1204</v>
      </c>
      <c r="C569" t="s">
        <v>1997</v>
      </c>
      <c r="D569" s="32">
        <v>187603000</v>
      </c>
      <c r="E569" s="32"/>
      <c r="F569" s="32">
        <v>187603000</v>
      </c>
    </row>
    <row r="570" spans="1:6">
      <c r="A570" t="str">
        <f t="shared" si="9"/>
        <v>35025C-2</v>
      </c>
      <c r="B570" t="s">
        <v>1204</v>
      </c>
      <c r="C570" t="s">
        <v>1904</v>
      </c>
      <c r="D570" s="32">
        <v>902104000</v>
      </c>
      <c r="E570" s="32">
        <v>1094000</v>
      </c>
      <c r="F570" s="32">
        <v>903198000</v>
      </c>
    </row>
    <row r="571" spans="1:6">
      <c r="A571" t="str">
        <f t="shared" si="9"/>
        <v>35026C-1</v>
      </c>
      <c r="B571" t="s">
        <v>1204</v>
      </c>
      <c r="C571" t="s">
        <v>1956</v>
      </c>
      <c r="D571" s="32">
        <v>25850000</v>
      </c>
      <c r="E571" s="32">
        <v>25850000</v>
      </c>
      <c r="F571" s="32">
        <v>51700000</v>
      </c>
    </row>
    <row r="572" spans="1:6">
      <c r="A572" t="str">
        <f t="shared" si="9"/>
        <v>35027W-1</v>
      </c>
      <c r="B572" t="s">
        <v>1204</v>
      </c>
      <c r="C572" t="s">
        <v>1961</v>
      </c>
      <c r="D572" s="32"/>
      <c r="E572" s="32">
        <v>900000</v>
      </c>
      <c r="F572" s="32">
        <v>900000</v>
      </c>
    </row>
    <row r="573" spans="1:6">
      <c r="A573" t="str">
        <f t="shared" si="9"/>
        <v>351001-1</v>
      </c>
      <c r="B573" t="s">
        <v>1187</v>
      </c>
      <c r="C573" t="s">
        <v>621</v>
      </c>
      <c r="D573" s="32">
        <v>11072000</v>
      </c>
      <c r="E573" s="32">
        <v>11356000</v>
      </c>
      <c r="F573" s="32">
        <v>22428000</v>
      </c>
    </row>
    <row r="574" spans="1:6">
      <c r="A574" t="str">
        <f t="shared" si="9"/>
        <v>351001-7</v>
      </c>
      <c r="B574" t="s">
        <v>1187</v>
      </c>
      <c r="C574" t="s">
        <v>632</v>
      </c>
      <c r="D574" s="32">
        <v>17000</v>
      </c>
      <c r="E574" s="32">
        <v>17000</v>
      </c>
      <c r="F574" s="32">
        <v>34000</v>
      </c>
    </row>
    <row r="575" spans="1:6">
      <c r="A575" t="str">
        <f t="shared" si="9"/>
        <v>351057-1</v>
      </c>
      <c r="B575" t="s">
        <v>1187</v>
      </c>
      <c r="C575" t="s">
        <v>623</v>
      </c>
      <c r="D575" s="32">
        <v>1300000</v>
      </c>
      <c r="E575" s="32">
        <v>1300000</v>
      </c>
      <c r="F575" s="32">
        <v>2600000</v>
      </c>
    </row>
    <row r="576" spans="1:6">
      <c r="A576" t="str">
        <f t="shared" si="9"/>
        <v>35119B-6</v>
      </c>
      <c r="B576" t="s">
        <v>1187</v>
      </c>
      <c r="C576" t="s">
        <v>1441</v>
      </c>
      <c r="D576" s="32">
        <v>4192000</v>
      </c>
      <c r="E576" s="32">
        <v>2365000</v>
      </c>
      <c r="F576" s="32">
        <v>6557000</v>
      </c>
    </row>
    <row r="577" spans="1:6">
      <c r="A577" t="str">
        <f t="shared" si="9"/>
        <v>353001-1</v>
      </c>
      <c r="B577" t="s">
        <v>1210</v>
      </c>
      <c r="C577" t="s">
        <v>621</v>
      </c>
      <c r="D577" s="32">
        <v>18505000</v>
      </c>
      <c r="E577" s="32">
        <v>18774000</v>
      </c>
      <c r="F577" s="32">
        <v>37279000</v>
      </c>
    </row>
    <row r="578" spans="1:6">
      <c r="A578" t="str">
        <f t="shared" si="9"/>
        <v>353001-7</v>
      </c>
      <c r="B578" t="s">
        <v>1210</v>
      </c>
      <c r="C578" t="s">
        <v>632</v>
      </c>
      <c r="D578" s="32">
        <v>2000000</v>
      </c>
      <c r="E578" s="32">
        <v>2052000</v>
      </c>
      <c r="F578" s="32">
        <v>4052000</v>
      </c>
    </row>
    <row r="579" spans="1:6">
      <c r="A579" t="str">
        <f t="shared" si="9"/>
        <v>353057-1</v>
      </c>
      <c r="B579" t="s">
        <v>1210</v>
      </c>
      <c r="C579" t="s">
        <v>623</v>
      </c>
      <c r="D579" s="32">
        <v>7691500</v>
      </c>
      <c r="E579" s="32">
        <v>7691500</v>
      </c>
      <c r="F579" s="32">
        <v>15383000</v>
      </c>
    </row>
    <row r="580" spans="1:6">
      <c r="A580" t="str">
        <f t="shared" si="9"/>
        <v>35319H-6</v>
      </c>
      <c r="B580" t="s">
        <v>1210</v>
      </c>
      <c r="C580" t="s">
        <v>1343</v>
      </c>
      <c r="D580" s="32">
        <v>198000</v>
      </c>
      <c r="E580" s="32">
        <v>198000</v>
      </c>
      <c r="F580" s="32">
        <v>396000</v>
      </c>
    </row>
    <row r="581" spans="1:6">
      <c r="A581" t="str">
        <f t="shared" si="9"/>
        <v>354001-1</v>
      </c>
      <c r="B581" t="s">
        <v>1277</v>
      </c>
      <c r="C581" t="s">
        <v>621</v>
      </c>
      <c r="D581" s="32">
        <v>4898000</v>
      </c>
      <c r="E581" s="32">
        <v>4879000</v>
      </c>
      <c r="F581" s="32">
        <v>9777000</v>
      </c>
    </row>
    <row r="582" spans="1:6">
      <c r="A582" t="str">
        <f t="shared" si="9"/>
        <v>354001-2</v>
      </c>
      <c r="B582" t="s">
        <v>1277</v>
      </c>
      <c r="C582" t="s">
        <v>622</v>
      </c>
      <c r="D582" s="32">
        <v>26408000</v>
      </c>
      <c r="E582" s="32">
        <v>29622000</v>
      </c>
      <c r="F582" s="32">
        <v>56030000</v>
      </c>
    </row>
    <row r="583" spans="1:6">
      <c r="A583" t="str">
        <f t="shared" si="9"/>
        <v>354001-7</v>
      </c>
      <c r="B583" t="s">
        <v>1277</v>
      </c>
      <c r="C583" t="s">
        <v>632</v>
      </c>
      <c r="D583" s="32">
        <v>106000</v>
      </c>
      <c r="E583" s="32">
        <v>106000</v>
      </c>
      <c r="F583" s="32">
        <v>212000</v>
      </c>
    </row>
    <row r="584" spans="1:6">
      <c r="A584" t="str">
        <f t="shared" si="9"/>
        <v>354503-6</v>
      </c>
      <c r="B584" t="s">
        <v>1277</v>
      </c>
      <c r="C584" t="s">
        <v>1278</v>
      </c>
      <c r="D584" s="32">
        <v>290000</v>
      </c>
      <c r="E584" s="32">
        <v>314000</v>
      </c>
      <c r="F584" s="32">
        <v>604000</v>
      </c>
    </row>
    <row r="585" spans="1:6">
      <c r="A585" t="str">
        <f t="shared" si="9"/>
        <v>35424J-1</v>
      </c>
      <c r="B585" t="s">
        <v>1277</v>
      </c>
      <c r="C585" t="s">
        <v>1809</v>
      </c>
      <c r="D585" s="32">
        <v>1134000</v>
      </c>
      <c r="E585" s="32">
        <v>2291000</v>
      </c>
      <c r="F585" s="32">
        <v>3425000</v>
      </c>
    </row>
    <row r="586" spans="1:6">
      <c r="A586" t="str">
        <f t="shared" si="9"/>
        <v>354706-2</v>
      </c>
      <c r="B586" t="s">
        <v>1277</v>
      </c>
      <c r="C586" t="s">
        <v>1882</v>
      </c>
      <c r="D586" s="32">
        <v>250000</v>
      </c>
      <c r="E586" s="32"/>
      <c r="F586" s="32">
        <v>250000</v>
      </c>
    </row>
    <row r="587" spans="1:6">
      <c r="A587" t="str">
        <f t="shared" si="9"/>
        <v>35426C-1</v>
      </c>
      <c r="B587" t="s">
        <v>1277</v>
      </c>
      <c r="C587" t="s">
        <v>1956</v>
      </c>
      <c r="D587" s="32">
        <v>407000</v>
      </c>
      <c r="E587" s="32">
        <v>497000</v>
      </c>
      <c r="F587" s="32">
        <v>904000</v>
      </c>
    </row>
    <row r="588" spans="1:6">
      <c r="A588" t="str">
        <f t="shared" si="9"/>
        <v>355001-1</v>
      </c>
      <c r="B588" t="s">
        <v>1220</v>
      </c>
      <c r="C588" t="s">
        <v>621</v>
      </c>
      <c r="D588" s="32">
        <v>4048000</v>
      </c>
      <c r="E588" s="32">
        <v>4527000</v>
      </c>
      <c r="F588" s="32">
        <v>8575000</v>
      </c>
    </row>
    <row r="589" spans="1:6">
      <c r="A589" t="str">
        <f t="shared" si="9"/>
        <v>355001-2</v>
      </c>
      <c r="B589" t="s">
        <v>1220</v>
      </c>
      <c r="C589" t="s">
        <v>622</v>
      </c>
      <c r="D589" s="32">
        <v>1621000</v>
      </c>
      <c r="E589" s="32">
        <v>1628000</v>
      </c>
      <c r="F589" s="32">
        <v>3249000</v>
      </c>
    </row>
    <row r="590" spans="1:6">
      <c r="A590" t="str">
        <f t="shared" si="9"/>
        <v>355001-7</v>
      </c>
      <c r="B590" t="s">
        <v>1220</v>
      </c>
      <c r="C590" t="s">
        <v>632</v>
      </c>
      <c r="D590" s="32">
        <v>7000</v>
      </c>
      <c r="E590" s="32">
        <v>7000</v>
      </c>
      <c r="F590" s="32">
        <v>14000</v>
      </c>
    </row>
    <row r="591" spans="1:6">
      <c r="A591" t="str">
        <f t="shared" si="9"/>
        <v>355057-1</v>
      </c>
      <c r="B591" t="s">
        <v>1220</v>
      </c>
      <c r="C591" t="s">
        <v>623</v>
      </c>
      <c r="D591" s="32">
        <v>2596000</v>
      </c>
      <c r="E591" s="32">
        <v>2596000</v>
      </c>
      <c r="F591" s="32">
        <v>5192000</v>
      </c>
    </row>
    <row r="592" spans="1:6">
      <c r="A592" t="str">
        <f t="shared" si="9"/>
        <v>355108-1</v>
      </c>
      <c r="B592" t="s">
        <v>1220</v>
      </c>
      <c r="C592" t="s">
        <v>1252</v>
      </c>
      <c r="D592" s="32">
        <v>293000</v>
      </c>
      <c r="E592" s="32">
        <v>294000</v>
      </c>
      <c r="F592" s="32">
        <v>587000</v>
      </c>
    </row>
    <row r="593" spans="1:6">
      <c r="A593" t="str">
        <f t="shared" si="9"/>
        <v>35514P-6</v>
      </c>
      <c r="B593" t="s">
        <v>1220</v>
      </c>
      <c r="C593" t="s">
        <v>1535</v>
      </c>
      <c r="D593" s="32">
        <v>100000</v>
      </c>
      <c r="E593" s="32">
        <v>100000</v>
      </c>
      <c r="F593" s="32">
        <v>200000</v>
      </c>
    </row>
    <row r="594" spans="1:6">
      <c r="A594" t="str">
        <f t="shared" ref="A594:A657" si="10">+B594&amp;C594</f>
        <v>35526C-1</v>
      </c>
      <c r="B594" t="s">
        <v>1220</v>
      </c>
      <c r="C594" t="s">
        <v>1956</v>
      </c>
      <c r="D594" s="32">
        <v>640000</v>
      </c>
      <c r="E594" s="32">
        <v>337000</v>
      </c>
      <c r="F594" s="32">
        <v>977000</v>
      </c>
    </row>
    <row r="595" spans="1:6">
      <c r="A595" t="str">
        <f t="shared" si="10"/>
        <v>360001-1</v>
      </c>
      <c r="B595" t="s">
        <v>139</v>
      </c>
      <c r="C595" t="s">
        <v>621</v>
      </c>
      <c r="D595" s="2391">
        <v>523332000</v>
      </c>
      <c r="E595" s="2391">
        <v>540966000</v>
      </c>
      <c r="F595" s="32">
        <v>1064298000</v>
      </c>
    </row>
    <row r="596" spans="1:6">
      <c r="A596" t="str">
        <f t="shared" si="10"/>
        <v>36002R-1</v>
      </c>
      <c r="B596" t="s">
        <v>139</v>
      </c>
      <c r="C596" t="s">
        <v>1226</v>
      </c>
      <c r="D596" s="32">
        <v>812000</v>
      </c>
      <c r="E596" s="32">
        <v>834000</v>
      </c>
      <c r="F596" s="32">
        <v>1646000</v>
      </c>
    </row>
    <row r="597" spans="1:6">
      <c r="A597" t="str">
        <f t="shared" si="10"/>
        <v>360057-1</v>
      </c>
      <c r="B597" t="s">
        <v>139</v>
      </c>
      <c r="C597" t="s">
        <v>623</v>
      </c>
      <c r="D597" s="32">
        <v>60675000</v>
      </c>
      <c r="E597" s="32">
        <v>60675000</v>
      </c>
      <c r="F597" s="32">
        <v>121350000</v>
      </c>
    </row>
    <row r="598" spans="1:6">
      <c r="A598" t="str">
        <f t="shared" si="10"/>
        <v>360064-1</v>
      </c>
      <c r="B598" t="s">
        <v>139</v>
      </c>
      <c r="C598" t="s">
        <v>635</v>
      </c>
      <c r="D598" s="32">
        <v>47685500</v>
      </c>
      <c r="E598" s="32">
        <v>47685500</v>
      </c>
      <c r="F598" s="32">
        <v>95371000</v>
      </c>
    </row>
    <row r="599" spans="1:6">
      <c r="A599" t="str">
        <f t="shared" si="10"/>
        <v>36008A-1</v>
      </c>
      <c r="B599" t="s">
        <v>139</v>
      </c>
      <c r="C599" t="s">
        <v>624</v>
      </c>
      <c r="D599" s="32">
        <v>19793000</v>
      </c>
      <c r="E599" s="32">
        <v>19850000</v>
      </c>
      <c r="F599" s="32">
        <v>39643000</v>
      </c>
    </row>
    <row r="600" spans="1:6">
      <c r="A600" t="str">
        <f t="shared" si="10"/>
        <v>36009R-1</v>
      </c>
      <c r="B600" t="s">
        <v>139</v>
      </c>
      <c r="C600" t="s">
        <v>1180</v>
      </c>
      <c r="D600" s="32">
        <v>1555000</v>
      </c>
      <c r="E600" s="32">
        <v>1572000</v>
      </c>
      <c r="F600" s="32">
        <v>3127000</v>
      </c>
    </row>
    <row r="601" spans="1:6">
      <c r="A601" t="str">
        <f t="shared" si="10"/>
        <v>360108-1</v>
      </c>
      <c r="B601" t="s">
        <v>139</v>
      </c>
      <c r="C601" t="s">
        <v>1252</v>
      </c>
      <c r="D601" s="32">
        <v>500000</v>
      </c>
      <c r="E601" s="32">
        <v>500000</v>
      </c>
      <c r="F601" s="32">
        <v>1000000</v>
      </c>
    </row>
    <row r="602" spans="1:6">
      <c r="A602" t="str">
        <f t="shared" si="10"/>
        <v>360145-6</v>
      </c>
      <c r="B602" t="s">
        <v>139</v>
      </c>
      <c r="C602" t="s">
        <v>636</v>
      </c>
      <c r="D602" s="32">
        <v>1436504000</v>
      </c>
      <c r="E602" s="32">
        <v>1461954000</v>
      </c>
      <c r="F602" s="32">
        <v>2898458000</v>
      </c>
    </row>
    <row r="603" spans="1:6">
      <c r="A603" t="str">
        <f t="shared" si="10"/>
        <v>360148-6</v>
      </c>
      <c r="B603" t="s">
        <v>139</v>
      </c>
      <c r="C603" t="s">
        <v>637</v>
      </c>
      <c r="D603" s="32">
        <v>850557500</v>
      </c>
      <c r="E603" s="32">
        <v>884744500</v>
      </c>
      <c r="F603" s="32">
        <v>1735302000</v>
      </c>
    </row>
    <row r="604" spans="1:6">
      <c r="A604" t="str">
        <f t="shared" si="10"/>
        <v>360149-6</v>
      </c>
      <c r="B604" t="s">
        <v>139</v>
      </c>
      <c r="C604" t="s">
        <v>638</v>
      </c>
      <c r="D604" s="2391">
        <v>698777000</v>
      </c>
      <c r="E604" s="2391">
        <v>717648000</v>
      </c>
      <c r="F604" s="32">
        <v>1416425000</v>
      </c>
    </row>
    <row r="605" spans="1:6">
      <c r="A605" t="str">
        <f t="shared" si="10"/>
        <v>36015M-1</v>
      </c>
      <c r="B605" t="s">
        <v>139</v>
      </c>
      <c r="C605" t="s">
        <v>639</v>
      </c>
      <c r="D605" s="32">
        <v>314000</v>
      </c>
      <c r="E605" s="32">
        <v>318000</v>
      </c>
      <c r="F605" s="32">
        <v>632000</v>
      </c>
    </row>
    <row r="606" spans="1:6">
      <c r="A606" t="str">
        <f t="shared" si="10"/>
        <v>360218-1</v>
      </c>
      <c r="B606" t="s">
        <v>139</v>
      </c>
      <c r="C606" t="s">
        <v>1298</v>
      </c>
      <c r="D606" s="32">
        <v>2500000</v>
      </c>
      <c r="E606" s="32">
        <v>2500000</v>
      </c>
      <c r="F606" s="32">
        <v>5000000</v>
      </c>
    </row>
    <row r="607" spans="1:6">
      <c r="A607" t="str">
        <f t="shared" si="10"/>
        <v>360315-1</v>
      </c>
      <c r="B607" t="s">
        <v>139</v>
      </c>
      <c r="C607" t="s">
        <v>1578</v>
      </c>
      <c r="D607" s="32">
        <v>351000</v>
      </c>
      <c r="E607" s="32">
        <v>366000</v>
      </c>
      <c r="F607" s="32">
        <v>717000</v>
      </c>
    </row>
    <row r="608" spans="1:6">
      <c r="A608" t="str">
        <f t="shared" si="10"/>
        <v>360505-6</v>
      </c>
      <c r="B608" t="s">
        <v>139</v>
      </c>
      <c r="C608" t="s">
        <v>641</v>
      </c>
      <c r="D608" s="32">
        <v>1131485000</v>
      </c>
      <c r="E608" s="32">
        <v>1188172000</v>
      </c>
      <c r="F608" s="32">
        <v>2319657000</v>
      </c>
    </row>
    <row r="609" spans="1:6">
      <c r="A609" t="str">
        <f t="shared" si="10"/>
        <v>360608-1</v>
      </c>
      <c r="B609" t="s">
        <v>139</v>
      </c>
      <c r="C609" t="s">
        <v>642</v>
      </c>
      <c r="D609" s="32">
        <v>4200000</v>
      </c>
      <c r="E609" s="32">
        <v>4385000</v>
      </c>
      <c r="F609" s="32">
        <v>8585000</v>
      </c>
    </row>
    <row r="610" spans="1:6">
      <c r="A610" t="str">
        <f t="shared" si="10"/>
        <v>360609-1</v>
      </c>
      <c r="B610" t="s">
        <v>139</v>
      </c>
      <c r="C610" t="s">
        <v>643</v>
      </c>
      <c r="D610" s="32">
        <v>3947000</v>
      </c>
      <c r="E610" s="32">
        <v>4077000</v>
      </c>
      <c r="F610" s="32">
        <v>8024000</v>
      </c>
    </row>
    <row r="611" spans="1:6">
      <c r="A611" t="str">
        <f t="shared" si="10"/>
        <v>36012P-1</v>
      </c>
      <c r="B611" t="s">
        <v>139</v>
      </c>
      <c r="C611" t="s">
        <v>1743</v>
      </c>
      <c r="D611" s="32">
        <v>207000</v>
      </c>
      <c r="E611" s="32">
        <v>207000</v>
      </c>
      <c r="F611" s="32">
        <v>414000</v>
      </c>
    </row>
    <row r="612" spans="1:6">
      <c r="A612" t="str">
        <f t="shared" si="10"/>
        <v>36023P-1</v>
      </c>
      <c r="B612" t="s">
        <v>139</v>
      </c>
      <c r="C612" t="s">
        <v>1805</v>
      </c>
      <c r="D612" s="32"/>
      <c r="E612" s="32">
        <v>500000</v>
      </c>
      <c r="F612" s="32">
        <v>500000</v>
      </c>
    </row>
    <row r="613" spans="1:6">
      <c r="A613" t="str">
        <f t="shared" si="10"/>
        <v>36024J-1</v>
      </c>
      <c r="B613" t="s">
        <v>139</v>
      </c>
      <c r="C613" t="s">
        <v>1809</v>
      </c>
      <c r="D613" s="32">
        <v>42090000</v>
      </c>
      <c r="E613" s="32">
        <v>49106000</v>
      </c>
      <c r="F613" s="32">
        <v>91196000</v>
      </c>
    </row>
    <row r="614" spans="1:6">
      <c r="A614" t="str">
        <f t="shared" si="10"/>
        <v>36023N-1</v>
      </c>
      <c r="B614" t="s">
        <v>139</v>
      </c>
      <c r="C614" t="s">
        <v>1811</v>
      </c>
      <c r="D614" s="32">
        <v>1000000</v>
      </c>
      <c r="E614" s="32">
        <v>1000000</v>
      </c>
      <c r="F614" s="32">
        <v>2000000</v>
      </c>
    </row>
    <row r="615" spans="1:6">
      <c r="A615" t="str">
        <f t="shared" si="10"/>
        <v>360706-2</v>
      </c>
      <c r="B615" t="s">
        <v>139</v>
      </c>
      <c r="C615" t="s">
        <v>1882</v>
      </c>
      <c r="D615" s="32">
        <v>20000000</v>
      </c>
      <c r="E615" s="32"/>
      <c r="F615" s="32">
        <v>20000000</v>
      </c>
    </row>
    <row r="616" spans="1:6">
      <c r="A616" t="str">
        <f t="shared" si="10"/>
        <v>36025N-1</v>
      </c>
      <c r="B616" t="s">
        <v>139</v>
      </c>
      <c r="C616" t="s">
        <v>1891</v>
      </c>
      <c r="D616" s="32">
        <v>250000</v>
      </c>
      <c r="E616" s="32">
        <v>30000</v>
      </c>
      <c r="F616" s="32">
        <v>280000</v>
      </c>
    </row>
    <row r="617" spans="1:6">
      <c r="A617" t="str">
        <f t="shared" si="10"/>
        <v>36026C-1</v>
      </c>
      <c r="B617" t="s">
        <v>139</v>
      </c>
      <c r="C617" t="s">
        <v>1956</v>
      </c>
      <c r="D617" s="32">
        <v>33775000</v>
      </c>
      <c r="E617" s="32">
        <v>31038000</v>
      </c>
      <c r="F617" s="32">
        <v>64813000</v>
      </c>
    </row>
    <row r="618" spans="1:6">
      <c r="A618" t="str">
        <f t="shared" si="10"/>
        <v>36026D-1</v>
      </c>
      <c r="B618" t="s">
        <v>139</v>
      </c>
      <c r="C618" t="s">
        <v>1958</v>
      </c>
      <c r="D618" s="32">
        <v>416000</v>
      </c>
      <c r="E618" s="32">
        <v>420000</v>
      </c>
      <c r="F618" s="32">
        <v>836000</v>
      </c>
    </row>
    <row r="619" spans="1:6">
      <c r="A619" t="str">
        <f t="shared" si="10"/>
        <v>36027W-1</v>
      </c>
      <c r="B619" t="s">
        <v>139</v>
      </c>
      <c r="C619" t="s">
        <v>1961</v>
      </c>
      <c r="D619" s="32"/>
      <c r="E619" s="32">
        <v>250000</v>
      </c>
      <c r="F619" s="32">
        <v>250000</v>
      </c>
    </row>
    <row r="620" spans="1:6">
      <c r="A620" t="str">
        <f t="shared" si="10"/>
        <v>365001-1</v>
      </c>
      <c r="B620" t="s">
        <v>140</v>
      </c>
      <c r="C620" t="s">
        <v>621</v>
      </c>
      <c r="D620" s="32">
        <v>282829000</v>
      </c>
      <c r="E620" s="32">
        <v>293782000</v>
      </c>
      <c r="F620" s="32">
        <v>576611000</v>
      </c>
    </row>
    <row r="621" spans="1:6">
      <c r="A621" t="str">
        <f t="shared" si="10"/>
        <v>365057-1</v>
      </c>
      <c r="B621" t="s">
        <v>140</v>
      </c>
      <c r="C621" t="s">
        <v>623</v>
      </c>
      <c r="D621" s="32">
        <v>47750000</v>
      </c>
      <c r="E621" s="32">
        <v>47750000</v>
      </c>
      <c r="F621" s="32">
        <v>95500000</v>
      </c>
    </row>
    <row r="622" spans="1:6">
      <c r="A622" t="str">
        <f t="shared" si="10"/>
        <v>365062-1</v>
      </c>
      <c r="B622" t="s">
        <v>140</v>
      </c>
      <c r="C622" t="s">
        <v>645</v>
      </c>
      <c r="D622" s="32">
        <v>28703500</v>
      </c>
      <c r="E622" s="32">
        <v>28703500</v>
      </c>
      <c r="F622" s="32">
        <v>57407000</v>
      </c>
    </row>
    <row r="623" spans="1:6">
      <c r="A623" t="str">
        <f t="shared" si="10"/>
        <v>36508A-1</v>
      </c>
      <c r="B623" t="s">
        <v>140</v>
      </c>
      <c r="C623" t="s">
        <v>624</v>
      </c>
      <c r="D623" s="32">
        <v>16998000</v>
      </c>
      <c r="E623" s="32">
        <v>16997000</v>
      </c>
      <c r="F623" s="32">
        <v>33995000</v>
      </c>
    </row>
    <row r="624" spans="1:6">
      <c r="A624" t="str">
        <f t="shared" si="10"/>
        <v>365143-6</v>
      </c>
      <c r="B624" t="s">
        <v>140</v>
      </c>
      <c r="C624" t="s">
        <v>646</v>
      </c>
      <c r="D624" s="32">
        <v>11308000</v>
      </c>
      <c r="E624" s="32">
        <v>11308000</v>
      </c>
      <c r="F624" s="32">
        <v>22616000</v>
      </c>
    </row>
    <row r="625" spans="1:6">
      <c r="A625" t="str">
        <f t="shared" si="10"/>
        <v>365145-6</v>
      </c>
      <c r="B625" t="s">
        <v>140</v>
      </c>
      <c r="C625" t="s">
        <v>636</v>
      </c>
      <c r="D625" s="32">
        <v>231487000</v>
      </c>
      <c r="E625" s="32">
        <v>233308000</v>
      </c>
      <c r="F625" s="32">
        <v>464795000</v>
      </c>
    </row>
    <row r="626" spans="1:6">
      <c r="A626" t="str">
        <f t="shared" si="10"/>
        <v>365148-6</v>
      </c>
      <c r="B626" t="s">
        <v>140</v>
      </c>
      <c r="C626" t="s">
        <v>637</v>
      </c>
      <c r="D626" s="32">
        <v>169093000</v>
      </c>
      <c r="E626" s="32">
        <v>170810000</v>
      </c>
      <c r="F626" s="32">
        <v>339903000</v>
      </c>
    </row>
    <row r="627" spans="1:6">
      <c r="A627" t="str">
        <f t="shared" si="10"/>
        <v>365149-6</v>
      </c>
      <c r="B627" t="s">
        <v>140</v>
      </c>
      <c r="C627" t="s">
        <v>638</v>
      </c>
      <c r="D627" s="32">
        <v>254376000</v>
      </c>
      <c r="E627" s="32">
        <v>260648000</v>
      </c>
      <c r="F627" s="32">
        <v>515024000</v>
      </c>
    </row>
    <row r="628" spans="1:6">
      <c r="A628" t="str">
        <f t="shared" si="10"/>
        <v>365218-1</v>
      </c>
      <c r="B628" t="s">
        <v>140</v>
      </c>
      <c r="C628" t="s">
        <v>1298</v>
      </c>
      <c r="D628" s="32">
        <v>50000</v>
      </c>
      <c r="E628" s="32">
        <v>50000</v>
      </c>
      <c r="F628" s="32">
        <v>100000</v>
      </c>
    </row>
    <row r="629" spans="1:6">
      <c r="A629" t="str">
        <f t="shared" si="10"/>
        <v>365315-1</v>
      </c>
      <c r="B629" t="s">
        <v>140</v>
      </c>
      <c r="C629" t="s">
        <v>1578</v>
      </c>
      <c r="D629" s="32">
        <v>189000</v>
      </c>
      <c r="E629" s="32">
        <v>197000</v>
      </c>
      <c r="F629" s="32">
        <v>386000</v>
      </c>
    </row>
    <row r="630" spans="1:6">
      <c r="A630" t="str">
        <f t="shared" si="10"/>
        <v>36523P-1</v>
      </c>
      <c r="B630" t="s">
        <v>140</v>
      </c>
      <c r="C630" t="s">
        <v>1805</v>
      </c>
      <c r="D630" s="32">
        <v>1385000</v>
      </c>
      <c r="E630" s="32">
        <v>1386000</v>
      </c>
      <c r="F630" s="32">
        <v>2771000</v>
      </c>
    </row>
    <row r="631" spans="1:6">
      <c r="A631" t="str">
        <f t="shared" si="10"/>
        <v>36524J-1</v>
      </c>
      <c r="B631" t="s">
        <v>140</v>
      </c>
      <c r="C631" t="s">
        <v>1809</v>
      </c>
      <c r="D631" s="32">
        <v>23121000</v>
      </c>
      <c r="E631" s="32">
        <v>25911000</v>
      </c>
      <c r="F631" s="32">
        <v>49032000</v>
      </c>
    </row>
    <row r="632" spans="1:6">
      <c r="A632" t="str">
        <f t="shared" si="10"/>
        <v>36526C-1</v>
      </c>
      <c r="B632" t="s">
        <v>140</v>
      </c>
      <c r="C632" t="s">
        <v>1956</v>
      </c>
      <c r="D632" s="32">
        <v>13160000</v>
      </c>
      <c r="E632" s="32">
        <v>13161000</v>
      </c>
      <c r="F632" s="32">
        <v>26321000</v>
      </c>
    </row>
    <row r="633" spans="1:6">
      <c r="A633" t="str">
        <f t="shared" si="10"/>
        <v>370001-1</v>
      </c>
      <c r="B633" t="s">
        <v>141</v>
      </c>
      <c r="C633" t="s">
        <v>621</v>
      </c>
      <c r="D633" s="32">
        <v>65664000</v>
      </c>
      <c r="E633" s="32">
        <v>68260000</v>
      </c>
      <c r="F633" s="32">
        <v>133924000</v>
      </c>
    </row>
    <row r="634" spans="1:6">
      <c r="A634" t="str">
        <f t="shared" si="10"/>
        <v>370057-1</v>
      </c>
      <c r="B634" t="s">
        <v>141</v>
      </c>
      <c r="C634" t="s">
        <v>623</v>
      </c>
      <c r="D634" s="32">
        <v>37862500</v>
      </c>
      <c r="E634" s="32">
        <v>37862500</v>
      </c>
      <c r="F634" s="32">
        <v>75725000</v>
      </c>
    </row>
    <row r="635" spans="1:6">
      <c r="A635" t="str">
        <f t="shared" si="10"/>
        <v>37008A-1</v>
      </c>
      <c r="B635" t="s">
        <v>141</v>
      </c>
      <c r="C635" t="s">
        <v>624</v>
      </c>
      <c r="D635" s="32">
        <v>8424000</v>
      </c>
      <c r="E635" s="32">
        <v>8414000</v>
      </c>
      <c r="F635" s="32">
        <v>16838000</v>
      </c>
    </row>
    <row r="636" spans="1:6">
      <c r="A636" t="str">
        <f t="shared" si="10"/>
        <v>370145-6</v>
      </c>
      <c r="B636" t="s">
        <v>141</v>
      </c>
      <c r="C636" t="s">
        <v>636</v>
      </c>
      <c r="D636" s="32">
        <v>11326000</v>
      </c>
      <c r="E636" s="32">
        <v>11491000</v>
      </c>
      <c r="F636" s="32">
        <v>22817000</v>
      </c>
    </row>
    <row r="637" spans="1:6">
      <c r="A637" t="str">
        <f t="shared" si="10"/>
        <v>370148-6</v>
      </c>
      <c r="B637" t="s">
        <v>141</v>
      </c>
      <c r="C637" t="s">
        <v>637</v>
      </c>
      <c r="D637" s="32">
        <v>35191000</v>
      </c>
      <c r="E637" s="32">
        <v>35559000</v>
      </c>
      <c r="F637" s="32">
        <v>70750000</v>
      </c>
    </row>
    <row r="638" spans="1:6">
      <c r="A638" t="str">
        <f t="shared" si="10"/>
        <v>370149-6</v>
      </c>
      <c r="B638" t="s">
        <v>141</v>
      </c>
      <c r="C638" t="s">
        <v>638</v>
      </c>
      <c r="D638" s="32">
        <v>65286000</v>
      </c>
      <c r="E638" s="32">
        <v>65136000</v>
      </c>
      <c r="F638" s="32">
        <v>130422000</v>
      </c>
    </row>
    <row r="639" spans="1:6">
      <c r="A639" t="str">
        <f t="shared" si="10"/>
        <v>370061-1</v>
      </c>
      <c r="B639" t="s">
        <v>141</v>
      </c>
      <c r="C639" t="s">
        <v>649</v>
      </c>
      <c r="D639" s="32">
        <v>4108500</v>
      </c>
      <c r="E639" s="32">
        <v>4108500</v>
      </c>
      <c r="F639" s="32">
        <v>8217000</v>
      </c>
    </row>
    <row r="640" spans="1:6">
      <c r="A640" t="str">
        <f t="shared" si="10"/>
        <v>37024J-1</v>
      </c>
      <c r="B640" t="s">
        <v>141</v>
      </c>
      <c r="C640" t="s">
        <v>1809</v>
      </c>
      <c r="D640" s="32">
        <v>12374000</v>
      </c>
      <c r="E640" s="32">
        <v>12535000</v>
      </c>
      <c r="F640" s="32">
        <v>24909000</v>
      </c>
    </row>
    <row r="641" spans="1:6">
      <c r="A641" t="str">
        <f t="shared" si="10"/>
        <v>37026C-1</v>
      </c>
      <c r="B641" t="s">
        <v>141</v>
      </c>
      <c r="C641" t="s">
        <v>1956</v>
      </c>
      <c r="D641" s="32">
        <v>5099000</v>
      </c>
      <c r="E641" s="32">
        <v>5099000</v>
      </c>
      <c r="F641" s="32">
        <v>10198000</v>
      </c>
    </row>
    <row r="642" spans="1:6">
      <c r="A642" t="str">
        <f t="shared" si="10"/>
        <v>375001-1</v>
      </c>
      <c r="B642" t="s">
        <v>142</v>
      </c>
      <c r="C642" t="s">
        <v>621</v>
      </c>
      <c r="D642" s="32">
        <v>68904000</v>
      </c>
      <c r="E642" s="32">
        <v>72120000</v>
      </c>
      <c r="F642" s="32">
        <v>141024000</v>
      </c>
    </row>
    <row r="643" spans="1:6">
      <c r="A643" t="str">
        <f t="shared" si="10"/>
        <v>375057-1</v>
      </c>
      <c r="B643" t="s">
        <v>142</v>
      </c>
      <c r="C643" t="s">
        <v>623</v>
      </c>
      <c r="D643" s="32">
        <v>46467500</v>
      </c>
      <c r="E643" s="32">
        <v>46467500</v>
      </c>
      <c r="F643" s="32">
        <v>92935000</v>
      </c>
    </row>
    <row r="644" spans="1:6">
      <c r="A644" t="str">
        <f t="shared" si="10"/>
        <v>375063-1</v>
      </c>
      <c r="B644" t="s">
        <v>142</v>
      </c>
      <c r="C644" t="s">
        <v>650</v>
      </c>
      <c r="D644" s="32">
        <v>5546000</v>
      </c>
      <c r="E644" s="32">
        <v>5546000</v>
      </c>
      <c r="F644" s="32">
        <v>11092000</v>
      </c>
    </row>
    <row r="645" spans="1:6">
      <c r="A645" t="str">
        <f t="shared" si="10"/>
        <v>37508A-1</v>
      </c>
      <c r="B645" t="s">
        <v>142</v>
      </c>
      <c r="C645" t="s">
        <v>624</v>
      </c>
      <c r="D645" s="32">
        <v>9538000</v>
      </c>
      <c r="E645" s="32">
        <v>9538000</v>
      </c>
      <c r="F645" s="32">
        <v>19076000</v>
      </c>
    </row>
    <row r="646" spans="1:6">
      <c r="A646" t="str">
        <f t="shared" si="10"/>
        <v>375145-6</v>
      </c>
      <c r="B646" t="s">
        <v>142</v>
      </c>
      <c r="C646" t="s">
        <v>636</v>
      </c>
      <c r="D646" s="32">
        <v>51951000</v>
      </c>
      <c r="E646" s="32">
        <v>51965000</v>
      </c>
      <c r="F646" s="32">
        <v>103916000</v>
      </c>
    </row>
    <row r="647" spans="1:6">
      <c r="A647" t="str">
        <f t="shared" si="10"/>
        <v>375148-6</v>
      </c>
      <c r="B647" t="s">
        <v>142</v>
      </c>
      <c r="C647" t="s">
        <v>637</v>
      </c>
      <c r="D647" s="32">
        <v>30400000</v>
      </c>
      <c r="E647" s="32">
        <v>27539000</v>
      </c>
      <c r="F647" s="32">
        <v>57939000</v>
      </c>
    </row>
    <row r="648" spans="1:6">
      <c r="A648" t="str">
        <f t="shared" si="10"/>
        <v>375149-6</v>
      </c>
      <c r="B648" t="s">
        <v>142</v>
      </c>
      <c r="C648" t="s">
        <v>638</v>
      </c>
      <c r="D648" s="32">
        <v>60577000</v>
      </c>
      <c r="E648" s="32">
        <v>64491000</v>
      </c>
      <c r="F648" s="32">
        <v>125068000</v>
      </c>
    </row>
    <row r="649" spans="1:6">
      <c r="A649" t="str">
        <f t="shared" si="10"/>
        <v>37524J-1</v>
      </c>
      <c r="B649" t="s">
        <v>142</v>
      </c>
      <c r="C649" t="s">
        <v>1809</v>
      </c>
      <c r="D649" s="32">
        <v>7933000</v>
      </c>
      <c r="E649" s="32">
        <v>7881000</v>
      </c>
      <c r="F649" s="32">
        <v>15814000</v>
      </c>
    </row>
    <row r="650" spans="1:6">
      <c r="A650" t="str">
        <f t="shared" si="10"/>
        <v>37526C-1</v>
      </c>
      <c r="B650" t="s">
        <v>142</v>
      </c>
      <c r="C650" t="s">
        <v>1956</v>
      </c>
      <c r="D650" s="32">
        <v>12386500</v>
      </c>
      <c r="E650" s="32">
        <v>12386500</v>
      </c>
      <c r="F650" s="32">
        <v>24773000</v>
      </c>
    </row>
    <row r="651" spans="1:6">
      <c r="A651" t="str">
        <f t="shared" si="10"/>
        <v>376001-1</v>
      </c>
      <c r="B651" t="s">
        <v>143</v>
      </c>
      <c r="C651" t="s">
        <v>621</v>
      </c>
      <c r="D651" s="32">
        <v>38770000</v>
      </c>
      <c r="E651" s="32">
        <v>39723000</v>
      </c>
      <c r="F651" s="32">
        <v>78493000</v>
      </c>
    </row>
    <row r="652" spans="1:6">
      <c r="A652" t="str">
        <f t="shared" si="10"/>
        <v>376039-1</v>
      </c>
      <c r="B652" t="s">
        <v>143</v>
      </c>
      <c r="C652" t="s">
        <v>1509</v>
      </c>
      <c r="D652" s="32"/>
      <c r="E652" s="32">
        <v>188000</v>
      </c>
      <c r="F652" s="32">
        <v>188000</v>
      </c>
    </row>
    <row r="653" spans="1:6">
      <c r="A653" t="str">
        <f t="shared" si="10"/>
        <v>376057-1</v>
      </c>
      <c r="B653" t="s">
        <v>143</v>
      </c>
      <c r="C653" t="s">
        <v>623</v>
      </c>
      <c r="D653" s="32">
        <v>13763500</v>
      </c>
      <c r="E653" s="32">
        <v>13763500</v>
      </c>
      <c r="F653" s="32">
        <v>27527000</v>
      </c>
    </row>
    <row r="654" spans="1:6">
      <c r="A654" t="str">
        <f t="shared" si="10"/>
        <v>376066-1</v>
      </c>
      <c r="B654" t="s">
        <v>143</v>
      </c>
      <c r="C654" t="s">
        <v>652</v>
      </c>
      <c r="D654" s="32">
        <v>3625000</v>
      </c>
      <c r="E654" s="32">
        <v>3625000</v>
      </c>
      <c r="F654" s="32">
        <v>7250000</v>
      </c>
    </row>
    <row r="655" spans="1:6">
      <c r="A655" t="str">
        <f t="shared" si="10"/>
        <v>37608A-1</v>
      </c>
      <c r="B655" t="s">
        <v>143</v>
      </c>
      <c r="C655" t="s">
        <v>624</v>
      </c>
      <c r="D655" s="32">
        <v>2725000</v>
      </c>
      <c r="E655" s="32">
        <v>2725000</v>
      </c>
      <c r="F655" s="32">
        <v>5450000</v>
      </c>
    </row>
    <row r="656" spans="1:6">
      <c r="A656" t="str">
        <f t="shared" si="10"/>
        <v>376145-6</v>
      </c>
      <c r="B656" t="s">
        <v>143</v>
      </c>
      <c r="C656" t="s">
        <v>636</v>
      </c>
      <c r="D656" s="32">
        <v>5135000</v>
      </c>
      <c r="E656" s="32">
        <v>5208000</v>
      </c>
      <c r="F656" s="32">
        <v>10343000</v>
      </c>
    </row>
    <row r="657" spans="1:6">
      <c r="A657" t="str">
        <f t="shared" si="10"/>
        <v>376148-6</v>
      </c>
      <c r="B657" t="s">
        <v>143</v>
      </c>
      <c r="C657" t="s">
        <v>637</v>
      </c>
      <c r="D657" s="32">
        <v>7602000</v>
      </c>
      <c r="E657" s="32">
        <v>7597000</v>
      </c>
      <c r="F657" s="32">
        <v>15199000</v>
      </c>
    </row>
    <row r="658" spans="1:6">
      <c r="A658" t="str">
        <f t="shared" ref="A658:A721" si="11">+B658&amp;C658</f>
        <v>376149-6</v>
      </c>
      <c r="B658" t="s">
        <v>143</v>
      </c>
      <c r="C658" t="s">
        <v>638</v>
      </c>
      <c r="D658" s="32">
        <v>37717000</v>
      </c>
      <c r="E658" s="32">
        <v>37937000</v>
      </c>
      <c r="F658" s="32">
        <v>75654000</v>
      </c>
    </row>
    <row r="659" spans="1:6">
      <c r="A659" t="str">
        <f t="shared" si="11"/>
        <v>37624J-1</v>
      </c>
      <c r="B659" t="s">
        <v>143</v>
      </c>
      <c r="C659" t="s">
        <v>1809</v>
      </c>
      <c r="D659" s="32">
        <v>2771000</v>
      </c>
      <c r="E659" s="32">
        <v>3024000</v>
      </c>
      <c r="F659" s="32">
        <v>5795000</v>
      </c>
    </row>
    <row r="660" spans="1:6">
      <c r="A660" t="str">
        <f t="shared" si="11"/>
        <v>37626C-1</v>
      </c>
      <c r="B660" t="s">
        <v>143</v>
      </c>
      <c r="C660" t="s">
        <v>1956</v>
      </c>
      <c r="D660" s="32">
        <v>12500</v>
      </c>
      <c r="E660" s="32">
        <v>12500</v>
      </c>
      <c r="F660" s="32">
        <v>25000</v>
      </c>
    </row>
    <row r="661" spans="1:6">
      <c r="A661" t="str">
        <f t="shared" si="11"/>
        <v>380001-1</v>
      </c>
      <c r="B661" t="s">
        <v>144</v>
      </c>
      <c r="C661" t="s">
        <v>621</v>
      </c>
      <c r="D661" s="32">
        <v>99066000</v>
      </c>
      <c r="E661" s="32">
        <v>104923000</v>
      </c>
      <c r="F661" s="32">
        <v>203989000</v>
      </c>
    </row>
    <row r="662" spans="1:6">
      <c r="A662" t="str">
        <f t="shared" si="11"/>
        <v>380057-1</v>
      </c>
      <c r="B662" t="s">
        <v>144</v>
      </c>
      <c r="C662" t="s">
        <v>623</v>
      </c>
      <c r="D662" s="32">
        <v>28100000</v>
      </c>
      <c r="E662" s="32">
        <v>28100000</v>
      </c>
      <c r="F662" s="32">
        <v>56200000</v>
      </c>
    </row>
    <row r="663" spans="1:6">
      <c r="A663" t="str">
        <f t="shared" si="11"/>
        <v>380065-1</v>
      </c>
      <c r="B663" t="s">
        <v>144</v>
      </c>
      <c r="C663" t="s">
        <v>653</v>
      </c>
      <c r="D663" s="32">
        <v>6713000</v>
      </c>
      <c r="E663" s="32">
        <v>6713000</v>
      </c>
      <c r="F663" s="32">
        <v>13426000</v>
      </c>
    </row>
    <row r="664" spans="1:6">
      <c r="A664" t="str">
        <f t="shared" si="11"/>
        <v>38008A-1</v>
      </c>
      <c r="B664" t="s">
        <v>144</v>
      </c>
      <c r="C664" t="s">
        <v>624</v>
      </c>
      <c r="D664" s="32">
        <v>6919000</v>
      </c>
      <c r="E664" s="32">
        <v>6912000</v>
      </c>
      <c r="F664" s="32">
        <v>13831000</v>
      </c>
    </row>
    <row r="665" spans="1:6">
      <c r="A665" t="str">
        <f t="shared" si="11"/>
        <v>380145-6</v>
      </c>
      <c r="B665" t="s">
        <v>144</v>
      </c>
      <c r="C665" t="s">
        <v>636</v>
      </c>
      <c r="D665" s="32">
        <v>10718000</v>
      </c>
      <c r="E665" s="32">
        <v>12026000</v>
      </c>
      <c r="F665" s="32">
        <v>22744000</v>
      </c>
    </row>
    <row r="666" spans="1:6">
      <c r="A666" t="str">
        <f t="shared" si="11"/>
        <v>380148-6</v>
      </c>
      <c r="B666" t="s">
        <v>144</v>
      </c>
      <c r="C666" t="s">
        <v>637</v>
      </c>
      <c r="D666" s="32">
        <v>34170000</v>
      </c>
      <c r="E666" s="32">
        <v>35243000</v>
      </c>
      <c r="F666" s="32">
        <v>69413000</v>
      </c>
    </row>
    <row r="667" spans="1:6">
      <c r="A667" t="str">
        <f t="shared" si="11"/>
        <v>380149-6</v>
      </c>
      <c r="B667" t="s">
        <v>144</v>
      </c>
      <c r="C667" t="s">
        <v>638</v>
      </c>
      <c r="D667" s="32">
        <v>86886000</v>
      </c>
      <c r="E667" s="32">
        <v>90415000</v>
      </c>
      <c r="F667" s="32">
        <v>177301000</v>
      </c>
    </row>
    <row r="668" spans="1:6">
      <c r="A668" t="str">
        <f t="shared" si="11"/>
        <v>380218-1</v>
      </c>
      <c r="B668" t="s">
        <v>144</v>
      </c>
      <c r="C668" t="s">
        <v>1298</v>
      </c>
      <c r="D668" s="32">
        <v>70000</v>
      </c>
      <c r="E668" s="32">
        <v>70000</v>
      </c>
      <c r="F668" s="32">
        <v>140000</v>
      </c>
    </row>
    <row r="669" spans="1:6">
      <c r="A669" t="str">
        <f t="shared" si="11"/>
        <v>38024J-1</v>
      </c>
      <c r="B669" t="s">
        <v>144</v>
      </c>
      <c r="C669" t="s">
        <v>1809</v>
      </c>
      <c r="D669" s="32">
        <v>9711000</v>
      </c>
      <c r="E669" s="32">
        <v>12553000</v>
      </c>
      <c r="F669" s="32">
        <v>22264000</v>
      </c>
    </row>
    <row r="670" spans="1:6">
      <c r="A670" t="str">
        <f t="shared" si="11"/>
        <v>38026C-1</v>
      </c>
      <c r="B670" t="s">
        <v>144</v>
      </c>
      <c r="C670" t="s">
        <v>1956</v>
      </c>
      <c r="D670" s="32">
        <v>5000000</v>
      </c>
      <c r="E670" s="32">
        <v>5000000</v>
      </c>
      <c r="F670" s="32">
        <v>10000000</v>
      </c>
    </row>
    <row r="671" spans="1:6">
      <c r="A671" t="str">
        <f t="shared" si="11"/>
        <v>387001-1</v>
      </c>
      <c r="B671" t="s">
        <v>1264</v>
      </c>
      <c r="C671" t="s">
        <v>621</v>
      </c>
      <c r="D671" s="32">
        <v>6329000</v>
      </c>
      <c r="E671" s="32">
        <v>7595000</v>
      </c>
      <c r="F671" s="32">
        <v>13924000</v>
      </c>
    </row>
    <row r="672" spans="1:6">
      <c r="A672" t="str">
        <f t="shared" si="11"/>
        <v>387001-2</v>
      </c>
      <c r="B672" t="s">
        <v>1264</v>
      </c>
      <c r="C672" t="s">
        <v>622</v>
      </c>
      <c r="D672" s="32">
        <v>1632000</v>
      </c>
      <c r="E672" s="32">
        <v>1198000</v>
      </c>
      <c r="F672" s="32">
        <v>2830000</v>
      </c>
    </row>
    <row r="673" spans="1:6">
      <c r="A673" t="str">
        <f t="shared" si="11"/>
        <v>387001-7</v>
      </c>
      <c r="B673" t="s">
        <v>1264</v>
      </c>
      <c r="C673" t="s">
        <v>632</v>
      </c>
      <c r="D673" s="32">
        <v>87000</v>
      </c>
      <c r="E673" s="32">
        <v>97000</v>
      </c>
      <c r="F673" s="32">
        <v>184000</v>
      </c>
    </row>
    <row r="674" spans="1:6">
      <c r="A674" t="str">
        <f t="shared" si="11"/>
        <v>387057-1</v>
      </c>
      <c r="B674" t="s">
        <v>1264</v>
      </c>
      <c r="C674" t="s">
        <v>623</v>
      </c>
      <c r="D674" s="32">
        <v>575500</v>
      </c>
      <c r="E674" s="32">
        <v>575500</v>
      </c>
      <c r="F674" s="32">
        <v>1151000</v>
      </c>
    </row>
    <row r="675" spans="1:6">
      <c r="A675" t="str">
        <f t="shared" si="11"/>
        <v>390001-1</v>
      </c>
      <c r="B675" t="s">
        <v>1201</v>
      </c>
      <c r="C675" t="s">
        <v>621</v>
      </c>
      <c r="D675" s="32">
        <v>5424000</v>
      </c>
      <c r="E675" s="32">
        <v>6715000</v>
      </c>
      <c r="F675" s="32">
        <v>12139000</v>
      </c>
    </row>
    <row r="676" spans="1:6">
      <c r="A676" t="str">
        <f t="shared" si="11"/>
        <v>390057-1</v>
      </c>
      <c r="B676" t="s">
        <v>1201</v>
      </c>
      <c r="C676" t="s">
        <v>623</v>
      </c>
      <c r="D676" s="32">
        <v>7655000</v>
      </c>
      <c r="E676" s="32">
        <v>7655000</v>
      </c>
      <c r="F676" s="32">
        <v>15310000</v>
      </c>
    </row>
    <row r="677" spans="1:6">
      <c r="A677" t="str">
        <f t="shared" si="11"/>
        <v>390184-6</v>
      </c>
      <c r="B677" t="s">
        <v>1201</v>
      </c>
      <c r="C677" t="s">
        <v>1202</v>
      </c>
      <c r="D677" s="32">
        <v>1439000</v>
      </c>
      <c r="E677" s="32">
        <v>1140000</v>
      </c>
      <c r="F677" s="32">
        <v>2579000</v>
      </c>
    </row>
    <row r="678" spans="1:6">
      <c r="A678" t="str">
        <f t="shared" si="11"/>
        <v>390355-1</v>
      </c>
      <c r="B678" t="s">
        <v>1201</v>
      </c>
      <c r="C678" t="s">
        <v>648</v>
      </c>
      <c r="D678" s="32">
        <v>15000</v>
      </c>
      <c r="E678" s="32">
        <v>15000</v>
      </c>
      <c r="F678" s="32">
        <v>30000</v>
      </c>
    </row>
    <row r="679" spans="1:6">
      <c r="A679" t="str">
        <f t="shared" si="11"/>
        <v>390184-7</v>
      </c>
      <c r="B679" t="s">
        <v>1201</v>
      </c>
      <c r="C679" t="s">
        <v>1968</v>
      </c>
      <c r="D679" s="32">
        <v>35000</v>
      </c>
      <c r="E679" s="32">
        <v>35000</v>
      </c>
      <c r="F679" s="32">
        <v>70000</v>
      </c>
    </row>
    <row r="680" spans="1:6">
      <c r="A680" t="str">
        <f t="shared" si="11"/>
        <v>395001-1</v>
      </c>
      <c r="B680" t="s">
        <v>1212</v>
      </c>
      <c r="C680" t="s">
        <v>621</v>
      </c>
      <c r="D680" s="32">
        <v>4794000</v>
      </c>
      <c r="E680" s="32">
        <v>4712000</v>
      </c>
      <c r="F680" s="32">
        <v>9506000</v>
      </c>
    </row>
    <row r="681" spans="1:6">
      <c r="A681" t="str">
        <f t="shared" si="11"/>
        <v>395057-1</v>
      </c>
      <c r="B681" t="s">
        <v>1212</v>
      </c>
      <c r="C681" t="s">
        <v>623</v>
      </c>
      <c r="D681" s="32">
        <v>1979500</v>
      </c>
      <c r="E681" s="32">
        <v>1979500</v>
      </c>
      <c r="F681" s="32">
        <v>3959000</v>
      </c>
    </row>
    <row r="682" spans="1:6">
      <c r="A682" t="str">
        <f t="shared" si="11"/>
        <v>395185-6</v>
      </c>
      <c r="B682" t="s">
        <v>1212</v>
      </c>
      <c r="C682" t="s">
        <v>1327</v>
      </c>
      <c r="D682" s="32">
        <v>1335000</v>
      </c>
      <c r="E682" s="32">
        <v>737000</v>
      </c>
      <c r="F682" s="32">
        <v>2072000</v>
      </c>
    </row>
    <row r="683" spans="1:6">
      <c r="A683" t="str">
        <f t="shared" si="11"/>
        <v>40502M-1</v>
      </c>
      <c r="B683" t="s">
        <v>1198</v>
      </c>
      <c r="C683" t="s">
        <v>1565</v>
      </c>
      <c r="D683" s="32">
        <v>706000</v>
      </c>
      <c r="E683" s="32">
        <v>706000</v>
      </c>
      <c r="F683" s="32">
        <v>1412000</v>
      </c>
    </row>
    <row r="684" spans="1:6">
      <c r="A684" t="str">
        <f t="shared" si="11"/>
        <v>405039-1</v>
      </c>
      <c r="B684" t="s">
        <v>1198</v>
      </c>
      <c r="C684" t="s">
        <v>1509</v>
      </c>
      <c r="D684" s="32">
        <v>8645000</v>
      </c>
      <c r="E684" s="32">
        <v>8804000</v>
      </c>
      <c r="F684" s="32">
        <v>17449000</v>
      </c>
    </row>
    <row r="685" spans="1:6">
      <c r="A685" t="str">
        <f t="shared" si="11"/>
        <v>405039-2</v>
      </c>
      <c r="B685" t="s">
        <v>1198</v>
      </c>
      <c r="C685" t="s">
        <v>1454</v>
      </c>
      <c r="D685" s="32">
        <v>4148000</v>
      </c>
      <c r="E685" s="32">
        <v>1431000</v>
      </c>
      <c r="F685" s="32">
        <v>5579000</v>
      </c>
    </row>
    <row r="686" spans="1:6">
      <c r="A686" t="str">
        <f t="shared" si="11"/>
        <v>405039-7</v>
      </c>
      <c r="B686" t="s">
        <v>1198</v>
      </c>
      <c r="C686" t="s">
        <v>1638</v>
      </c>
      <c r="D686" s="32">
        <v>30000</v>
      </c>
      <c r="E686" s="32">
        <v>30000</v>
      </c>
      <c r="F686" s="32">
        <v>60000</v>
      </c>
    </row>
    <row r="687" spans="1:6">
      <c r="A687" t="str">
        <f t="shared" si="11"/>
        <v>405045-1</v>
      </c>
      <c r="B687" t="s">
        <v>1198</v>
      </c>
      <c r="C687" t="s">
        <v>1358</v>
      </c>
      <c r="D687" s="32">
        <v>392000</v>
      </c>
      <c r="E687" s="32">
        <v>392000</v>
      </c>
      <c r="F687" s="32">
        <v>784000</v>
      </c>
    </row>
    <row r="688" spans="1:6">
      <c r="A688" t="str">
        <f t="shared" si="11"/>
        <v>405058-1</v>
      </c>
      <c r="B688" t="s">
        <v>1198</v>
      </c>
      <c r="C688" t="s">
        <v>1203</v>
      </c>
      <c r="D688" s="32">
        <v>2500000</v>
      </c>
      <c r="E688" s="32">
        <v>2500000</v>
      </c>
      <c r="F688" s="32">
        <v>5000000</v>
      </c>
    </row>
    <row r="689" spans="1:6">
      <c r="A689" t="str">
        <f t="shared" si="11"/>
        <v>405094-1</v>
      </c>
      <c r="B689" t="s">
        <v>1198</v>
      </c>
      <c r="C689" t="s">
        <v>1566</v>
      </c>
      <c r="D689" s="32">
        <v>8311000</v>
      </c>
      <c r="E689" s="32">
        <v>8310000</v>
      </c>
      <c r="F689" s="32">
        <v>16621000</v>
      </c>
    </row>
    <row r="690" spans="1:6">
      <c r="A690" t="str">
        <f t="shared" si="11"/>
        <v>405096-1</v>
      </c>
      <c r="B690" t="s">
        <v>1198</v>
      </c>
      <c r="C690" t="s">
        <v>1567</v>
      </c>
      <c r="D690" s="32">
        <v>530000</v>
      </c>
      <c r="E690" s="32">
        <v>530000</v>
      </c>
      <c r="F690" s="32">
        <v>1060000</v>
      </c>
    </row>
    <row r="691" spans="1:6">
      <c r="A691" t="str">
        <f t="shared" si="11"/>
        <v>405096-2</v>
      </c>
      <c r="B691" t="s">
        <v>1198</v>
      </c>
      <c r="C691" t="s">
        <v>1568</v>
      </c>
      <c r="D691" s="32">
        <v>750000</v>
      </c>
      <c r="E691" s="32">
        <v>750000</v>
      </c>
      <c r="F691" s="32">
        <v>1500000</v>
      </c>
    </row>
    <row r="692" spans="1:6">
      <c r="A692" t="str">
        <f t="shared" si="11"/>
        <v>405097-1</v>
      </c>
      <c r="B692" t="s">
        <v>1198</v>
      </c>
      <c r="C692" t="s">
        <v>1639</v>
      </c>
      <c r="D692" s="32">
        <v>935000</v>
      </c>
      <c r="E692" s="32">
        <v>934000</v>
      </c>
      <c r="F692" s="32">
        <v>1869000</v>
      </c>
    </row>
    <row r="693" spans="1:6">
      <c r="A693" t="str">
        <f t="shared" si="11"/>
        <v>405099-1</v>
      </c>
      <c r="B693" t="s">
        <v>1198</v>
      </c>
      <c r="C693" t="s">
        <v>1569</v>
      </c>
      <c r="D693" s="32">
        <v>194153000</v>
      </c>
      <c r="E693" s="32">
        <v>194151000</v>
      </c>
      <c r="F693" s="32">
        <v>388304000</v>
      </c>
    </row>
    <row r="694" spans="1:6">
      <c r="A694" t="str">
        <f t="shared" si="11"/>
        <v>405099-2</v>
      </c>
      <c r="B694" t="s">
        <v>1198</v>
      </c>
      <c r="C694" t="s">
        <v>1570</v>
      </c>
      <c r="D694" s="32">
        <v>43524000</v>
      </c>
      <c r="E694" s="32">
        <v>43523000</v>
      </c>
      <c r="F694" s="32">
        <v>87047000</v>
      </c>
    </row>
    <row r="695" spans="1:6">
      <c r="A695" t="str">
        <f t="shared" si="11"/>
        <v>405099-7</v>
      </c>
      <c r="B695" t="s">
        <v>1198</v>
      </c>
      <c r="C695" t="s">
        <v>1571</v>
      </c>
      <c r="D695" s="32">
        <v>1075000</v>
      </c>
      <c r="E695" s="32">
        <v>1075000</v>
      </c>
      <c r="F695" s="32">
        <v>2150000</v>
      </c>
    </row>
    <row r="696" spans="1:6">
      <c r="A696" t="str">
        <f t="shared" si="11"/>
        <v>40509E-1</v>
      </c>
      <c r="B696" t="s">
        <v>1198</v>
      </c>
      <c r="C696" t="s">
        <v>1572</v>
      </c>
      <c r="D696" s="32">
        <v>10923000</v>
      </c>
      <c r="E696" s="32">
        <v>10924000</v>
      </c>
      <c r="F696" s="32">
        <v>21847000</v>
      </c>
    </row>
    <row r="697" spans="1:6">
      <c r="A697" t="str">
        <f t="shared" si="11"/>
        <v>40509H-1</v>
      </c>
      <c r="B697" t="s">
        <v>1198</v>
      </c>
      <c r="C697" t="s">
        <v>1380</v>
      </c>
      <c r="D697" s="32">
        <v>35095000</v>
      </c>
      <c r="E697" s="32">
        <v>35095000</v>
      </c>
      <c r="F697" s="32">
        <v>70190000</v>
      </c>
    </row>
    <row r="698" spans="1:6">
      <c r="A698" t="str">
        <f t="shared" si="11"/>
        <v>405106-1</v>
      </c>
      <c r="B698" t="s">
        <v>1198</v>
      </c>
      <c r="C698" t="s">
        <v>1305</v>
      </c>
      <c r="D698" s="32">
        <v>1213000</v>
      </c>
      <c r="E698" s="32">
        <v>4316000</v>
      </c>
      <c r="F698" s="32">
        <v>5529000</v>
      </c>
    </row>
    <row r="699" spans="1:6">
      <c r="A699" t="str">
        <f t="shared" si="11"/>
        <v>405108-1</v>
      </c>
      <c r="B699" t="s">
        <v>1198</v>
      </c>
      <c r="C699" t="s">
        <v>1252</v>
      </c>
      <c r="D699" s="32">
        <v>701046000</v>
      </c>
      <c r="E699" s="32">
        <v>711544000</v>
      </c>
      <c r="F699" s="32">
        <v>1412590000</v>
      </c>
    </row>
    <row r="700" spans="1:6">
      <c r="A700" t="str">
        <f t="shared" si="11"/>
        <v>405108-2</v>
      </c>
      <c r="B700" t="s">
        <v>1198</v>
      </c>
      <c r="C700" t="s">
        <v>1310</v>
      </c>
      <c r="D700" s="32">
        <v>613621000</v>
      </c>
      <c r="E700" s="32">
        <v>613111000</v>
      </c>
      <c r="F700" s="32">
        <v>1226732000</v>
      </c>
    </row>
    <row r="701" spans="1:6">
      <c r="A701" t="str">
        <f t="shared" si="11"/>
        <v>405108-7</v>
      </c>
      <c r="B701" t="s">
        <v>1198</v>
      </c>
      <c r="C701" t="s">
        <v>1398</v>
      </c>
      <c r="D701" s="32">
        <v>63909000</v>
      </c>
      <c r="E701" s="32">
        <v>63910000</v>
      </c>
      <c r="F701" s="32">
        <v>127819000</v>
      </c>
    </row>
    <row r="702" spans="1:6">
      <c r="A702" t="str">
        <f t="shared" si="11"/>
        <v>405109-1</v>
      </c>
      <c r="B702" t="s">
        <v>1198</v>
      </c>
      <c r="C702" t="s">
        <v>1367</v>
      </c>
      <c r="D702" s="32">
        <v>277974000</v>
      </c>
      <c r="E702" s="32">
        <v>294680000</v>
      </c>
      <c r="F702" s="32">
        <v>572654000</v>
      </c>
    </row>
    <row r="703" spans="1:6">
      <c r="A703" t="str">
        <f t="shared" si="11"/>
        <v>405109-7</v>
      </c>
      <c r="B703" t="s">
        <v>1198</v>
      </c>
      <c r="C703" t="s">
        <v>1558</v>
      </c>
      <c r="D703" s="32">
        <v>60000</v>
      </c>
      <c r="E703" s="32">
        <v>61000</v>
      </c>
      <c r="F703" s="32">
        <v>121000</v>
      </c>
    </row>
    <row r="704" spans="1:6">
      <c r="A704" t="str">
        <f t="shared" si="11"/>
        <v>40511B-1</v>
      </c>
      <c r="B704" t="s">
        <v>1198</v>
      </c>
      <c r="C704" t="s">
        <v>1507</v>
      </c>
      <c r="D704" s="32">
        <v>60088000</v>
      </c>
      <c r="E704" s="32">
        <v>60089000</v>
      </c>
      <c r="F704" s="32">
        <v>120177000</v>
      </c>
    </row>
    <row r="705" spans="1:6">
      <c r="A705" t="str">
        <f t="shared" si="11"/>
        <v>40511E-1</v>
      </c>
      <c r="B705" t="s">
        <v>1198</v>
      </c>
      <c r="C705" t="s">
        <v>1573</v>
      </c>
      <c r="D705" s="32">
        <v>13608000</v>
      </c>
      <c r="E705" s="32">
        <v>13608000</v>
      </c>
      <c r="F705" s="32">
        <v>27216000</v>
      </c>
    </row>
    <row r="706" spans="1:6">
      <c r="A706" t="str">
        <f t="shared" si="11"/>
        <v>405153-1</v>
      </c>
      <c r="B706" t="s">
        <v>1198</v>
      </c>
      <c r="C706" t="s">
        <v>1555</v>
      </c>
      <c r="D706" s="32">
        <v>16538000</v>
      </c>
      <c r="E706" s="32">
        <v>16539000</v>
      </c>
      <c r="F706" s="32">
        <v>33077000</v>
      </c>
    </row>
    <row r="707" spans="1:6">
      <c r="A707" t="str">
        <f t="shared" si="11"/>
        <v>40516J-1</v>
      </c>
      <c r="B707" t="s">
        <v>1198</v>
      </c>
      <c r="C707" t="s">
        <v>1336</v>
      </c>
      <c r="D707" s="32">
        <v>40510000</v>
      </c>
      <c r="E707" s="32">
        <v>40034000</v>
      </c>
      <c r="F707" s="32">
        <v>80544000</v>
      </c>
    </row>
    <row r="708" spans="1:6">
      <c r="A708" t="str">
        <f t="shared" si="11"/>
        <v>40517P-1</v>
      </c>
      <c r="B708" t="s">
        <v>1198</v>
      </c>
      <c r="C708" t="s">
        <v>1549</v>
      </c>
      <c r="D708" s="32">
        <v>7096000</v>
      </c>
      <c r="E708" s="32">
        <v>7082000</v>
      </c>
      <c r="F708" s="32">
        <v>14178000</v>
      </c>
    </row>
    <row r="709" spans="1:6">
      <c r="A709" t="str">
        <f t="shared" si="11"/>
        <v>40520H-1</v>
      </c>
      <c r="B709" t="s">
        <v>1198</v>
      </c>
      <c r="C709" t="s">
        <v>1640</v>
      </c>
      <c r="D709" s="32">
        <v>1074425000</v>
      </c>
      <c r="E709" s="32">
        <v>1074423000</v>
      </c>
      <c r="F709" s="32">
        <v>2148848000</v>
      </c>
    </row>
    <row r="710" spans="1:6">
      <c r="A710" t="str">
        <f t="shared" si="11"/>
        <v>40520J-1</v>
      </c>
      <c r="B710" t="s">
        <v>1198</v>
      </c>
      <c r="C710" t="s">
        <v>1641</v>
      </c>
      <c r="D710" s="32">
        <v>2373000</v>
      </c>
      <c r="E710" s="32">
        <v>2373000</v>
      </c>
      <c r="F710" s="32">
        <v>4746000</v>
      </c>
    </row>
    <row r="711" spans="1:6">
      <c r="A711" t="str">
        <f t="shared" si="11"/>
        <v>405215-1</v>
      </c>
      <c r="B711" t="s">
        <v>1198</v>
      </c>
      <c r="C711" t="s">
        <v>1423</v>
      </c>
      <c r="D711" s="32">
        <v>71959000</v>
      </c>
      <c r="E711" s="32">
        <v>71958000</v>
      </c>
      <c r="F711" s="32">
        <v>143917000</v>
      </c>
    </row>
    <row r="712" spans="1:6">
      <c r="A712" t="str">
        <f t="shared" si="11"/>
        <v>405218-1</v>
      </c>
      <c r="B712" t="s">
        <v>1198</v>
      </c>
      <c r="C712" t="s">
        <v>1298</v>
      </c>
      <c r="D712" s="32">
        <v>258167000</v>
      </c>
      <c r="E712" s="32">
        <v>258344000</v>
      </c>
      <c r="F712" s="32">
        <v>516511000</v>
      </c>
    </row>
    <row r="713" spans="1:6">
      <c r="A713" t="str">
        <f t="shared" si="11"/>
        <v>405218-2</v>
      </c>
      <c r="B713" t="s">
        <v>1198</v>
      </c>
      <c r="C713" t="s">
        <v>1199</v>
      </c>
      <c r="D713" s="32">
        <v>36022000</v>
      </c>
      <c r="E713" s="32">
        <v>35686000</v>
      </c>
      <c r="F713" s="32">
        <v>71708000</v>
      </c>
    </row>
    <row r="714" spans="1:6">
      <c r="A714" t="str">
        <f t="shared" si="11"/>
        <v>405218-7</v>
      </c>
      <c r="B714" t="s">
        <v>1198</v>
      </c>
      <c r="C714" t="s">
        <v>1450</v>
      </c>
      <c r="D714" s="32">
        <v>129000</v>
      </c>
      <c r="E714" s="32">
        <v>129000</v>
      </c>
      <c r="F714" s="32">
        <v>258000</v>
      </c>
    </row>
    <row r="715" spans="1:6">
      <c r="A715" t="str">
        <f t="shared" si="11"/>
        <v>405410-6</v>
      </c>
      <c r="B715" t="s">
        <v>1198</v>
      </c>
      <c r="C715" t="s">
        <v>1299</v>
      </c>
      <c r="D715" s="32">
        <v>78982000</v>
      </c>
      <c r="E715" s="32">
        <v>78980000</v>
      </c>
      <c r="F715" s="32">
        <v>157962000</v>
      </c>
    </row>
    <row r="716" spans="1:6">
      <c r="A716" t="str">
        <f t="shared" si="11"/>
        <v>405511-1</v>
      </c>
      <c r="B716" t="s">
        <v>1198</v>
      </c>
      <c r="C716" t="s">
        <v>1346</v>
      </c>
      <c r="D716" s="32">
        <v>24259000</v>
      </c>
      <c r="E716" s="32">
        <v>24149000</v>
      </c>
      <c r="F716" s="32">
        <v>48408000</v>
      </c>
    </row>
    <row r="717" spans="1:6">
      <c r="A717" t="str">
        <f t="shared" si="11"/>
        <v>405535-1</v>
      </c>
      <c r="B717" t="s">
        <v>1198</v>
      </c>
      <c r="C717" t="s">
        <v>1694</v>
      </c>
      <c r="D717" s="32">
        <v>29124000</v>
      </c>
      <c r="E717" s="32">
        <v>28912000</v>
      </c>
      <c r="F717" s="32">
        <v>58036000</v>
      </c>
    </row>
    <row r="718" spans="1:6">
      <c r="A718" t="str">
        <f t="shared" si="11"/>
        <v>405550-1</v>
      </c>
      <c r="B718" t="s">
        <v>1198</v>
      </c>
      <c r="C718" t="s">
        <v>1467</v>
      </c>
      <c r="D718" s="32">
        <v>36503000</v>
      </c>
      <c r="E718" s="32">
        <v>36502000</v>
      </c>
      <c r="F718" s="32">
        <v>73005000</v>
      </c>
    </row>
    <row r="719" spans="1:6">
      <c r="A719" t="str">
        <f t="shared" si="11"/>
        <v>405571-1</v>
      </c>
      <c r="B719" t="s">
        <v>1198</v>
      </c>
      <c r="C719" t="s">
        <v>1642</v>
      </c>
      <c r="D719" s="32">
        <v>630000</v>
      </c>
      <c r="E719" s="32">
        <v>600000</v>
      </c>
      <c r="F719" s="32">
        <v>1230000</v>
      </c>
    </row>
    <row r="720" spans="1:6">
      <c r="A720" t="str">
        <f t="shared" si="11"/>
        <v>405595-1</v>
      </c>
      <c r="B720" t="s">
        <v>1198</v>
      </c>
      <c r="C720" t="s">
        <v>1580</v>
      </c>
      <c r="D720" s="32">
        <v>181585000</v>
      </c>
      <c r="E720" s="32">
        <v>181403000</v>
      </c>
      <c r="F720" s="32">
        <v>362988000</v>
      </c>
    </row>
    <row r="721" spans="1:6">
      <c r="A721" t="str">
        <f t="shared" si="11"/>
        <v>405109-2</v>
      </c>
      <c r="B721" t="s">
        <v>1198</v>
      </c>
      <c r="C721" t="s">
        <v>1677</v>
      </c>
      <c r="D721" s="32">
        <v>99324000</v>
      </c>
      <c r="E721" s="32">
        <v>99326000</v>
      </c>
      <c r="F721" s="32">
        <v>198650000</v>
      </c>
    </row>
    <row r="722" spans="1:6">
      <c r="A722" t="str">
        <f t="shared" ref="A722:A785" si="12">+B722&amp;C722</f>
        <v>40518J-1</v>
      </c>
      <c r="B722" t="s">
        <v>1198</v>
      </c>
      <c r="C722" t="s">
        <v>1824</v>
      </c>
      <c r="D722" s="32">
        <v>10844000</v>
      </c>
      <c r="E722" s="32">
        <v>10844000</v>
      </c>
      <c r="F722" s="32">
        <v>21688000</v>
      </c>
    </row>
    <row r="723" spans="1:6">
      <c r="A723" t="str">
        <f t="shared" si="12"/>
        <v>40523R-1</v>
      </c>
      <c r="B723" t="s">
        <v>1198</v>
      </c>
      <c r="C723" t="s">
        <v>1829</v>
      </c>
      <c r="D723" s="32">
        <v>7500000</v>
      </c>
      <c r="E723" s="32">
        <v>7500000</v>
      </c>
      <c r="F723" s="32">
        <v>15000000</v>
      </c>
    </row>
    <row r="724" spans="1:6">
      <c r="A724" t="str">
        <f t="shared" si="12"/>
        <v>405706-2</v>
      </c>
      <c r="B724" t="s">
        <v>1198</v>
      </c>
      <c r="C724" t="s">
        <v>1882</v>
      </c>
      <c r="D724" s="32">
        <v>168571000</v>
      </c>
      <c r="E724" s="32">
        <v>168573000</v>
      </c>
      <c r="F724" s="32">
        <v>337144000</v>
      </c>
    </row>
    <row r="725" spans="1:6">
      <c r="A725" t="str">
        <f t="shared" si="12"/>
        <v>40526Q-1</v>
      </c>
      <c r="B725" t="s">
        <v>1198</v>
      </c>
      <c r="C725" t="s">
        <v>1889</v>
      </c>
      <c r="D725" s="32">
        <v>42030000</v>
      </c>
      <c r="E725" s="32">
        <v>43864000</v>
      </c>
      <c r="F725" s="32">
        <v>85894000</v>
      </c>
    </row>
    <row r="726" spans="1:6">
      <c r="A726" t="str">
        <f t="shared" si="12"/>
        <v>40526P-1</v>
      </c>
      <c r="B726" t="s">
        <v>1198</v>
      </c>
      <c r="C726" t="s">
        <v>1905</v>
      </c>
      <c r="D726" s="32">
        <v>549897000</v>
      </c>
      <c r="E726" s="32">
        <v>549888000</v>
      </c>
      <c r="F726" s="32">
        <v>1099785000</v>
      </c>
    </row>
    <row r="727" spans="1:6">
      <c r="A727" t="str">
        <f t="shared" si="12"/>
        <v>40526P-2</v>
      </c>
      <c r="B727" t="s">
        <v>1198</v>
      </c>
      <c r="C727" t="s">
        <v>1906</v>
      </c>
      <c r="D727" s="32">
        <v>186577000</v>
      </c>
      <c r="E727" s="32">
        <v>186578000</v>
      </c>
      <c r="F727" s="32">
        <v>373155000</v>
      </c>
    </row>
    <row r="728" spans="1:6">
      <c r="A728" t="str">
        <f t="shared" si="12"/>
        <v>40526N-1</v>
      </c>
      <c r="B728" t="s">
        <v>1198</v>
      </c>
      <c r="C728" t="s">
        <v>1907</v>
      </c>
      <c r="D728" s="32">
        <v>201363000</v>
      </c>
      <c r="E728" s="32">
        <v>209282000</v>
      </c>
      <c r="F728" s="32">
        <v>410645000</v>
      </c>
    </row>
    <row r="729" spans="1:6">
      <c r="A729" t="str">
        <f t="shared" si="12"/>
        <v>40526A-1</v>
      </c>
      <c r="B729" t="s">
        <v>1198</v>
      </c>
      <c r="C729" t="s">
        <v>1908</v>
      </c>
      <c r="D729" s="32">
        <v>257533000</v>
      </c>
      <c r="E729" s="32">
        <v>259182000</v>
      </c>
      <c r="F729" s="32">
        <v>516715000</v>
      </c>
    </row>
    <row r="730" spans="1:6">
      <c r="A730" t="str">
        <f t="shared" si="12"/>
        <v>40526M-1</v>
      </c>
      <c r="B730" t="s">
        <v>1198</v>
      </c>
      <c r="C730" t="s">
        <v>1909</v>
      </c>
      <c r="D730" s="32">
        <v>85721000</v>
      </c>
      <c r="E730" s="32">
        <v>85721000</v>
      </c>
      <c r="F730" s="32">
        <v>171442000</v>
      </c>
    </row>
    <row r="731" spans="1:6">
      <c r="A731" t="str">
        <f t="shared" si="12"/>
        <v>40526P-7</v>
      </c>
      <c r="B731" t="s">
        <v>1198</v>
      </c>
      <c r="C731" t="s">
        <v>1969</v>
      </c>
      <c r="D731" s="32">
        <v>68750000</v>
      </c>
      <c r="E731" s="32">
        <v>68750000</v>
      </c>
      <c r="F731" s="32">
        <v>137500000</v>
      </c>
    </row>
    <row r="732" spans="1:6">
      <c r="A732" t="str">
        <f t="shared" si="12"/>
        <v>40520N-1</v>
      </c>
      <c r="B732" t="s">
        <v>1198</v>
      </c>
      <c r="C732" t="s">
        <v>1998</v>
      </c>
      <c r="D732" s="32">
        <v>26000000</v>
      </c>
      <c r="E732" s="32">
        <v>26000000</v>
      </c>
      <c r="F732" s="32">
        <v>52000000</v>
      </c>
    </row>
    <row r="733" spans="1:6">
      <c r="A733" t="str">
        <f t="shared" si="12"/>
        <v>406102-1</v>
      </c>
      <c r="B733" t="s">
        <v>1307</v>
      </c>
      <c r="C733" t="s">
        <v>1308</v>
      </c>
      <c r="D733" s="32">
        <v>29803000</v>
      </c>
      <c r="E733" s="32">
        <v>34299000</v>
      </c>
      <c r="F733" s="32">
        <v>64102000</v>
      </c>
    </row>
    <row r="734" spans="1:6">
      <c r="A734" t="str">
        <f t="shared" si="12"/>
        <v>406108-1</v>
      </c>
      <c r="B734" t="s">
        <v>1307</v>
      </c>
      <c r="C734" t="s">
        <v>1252</v>
      </c>
      <c r="D734" s="32">
        <v>2915000</v>
      </c>
      <c r="E734" s="32">
        <v>3065000</v>
      </c>
      <c r="F734" s="32">
        <v>5980000</v>
      </c>
    </row>
    <row r="735" spans="1:6">
      <c r="A735" t="str">
        <f t="shared" si="12"/>
        <v>406186-1</v>
      </c>
      <c r="B735" t="s">
        <v>1307</v>
      </c>
      <c r="C735" t="s">
        <v>1334</v>
      </c>
      <c r="D735" s="32">
        <v>18577000</v>
      </c>
      <c r="E735" s="32">
        <v>18762000</v>
      </c>
      <c r="F735" s="32">
        <v>37339000</v>
      </c>
    </row>
    <row r="736" spans="1:6">
      <c r="A736" t="str">
        <f t="shared" si="12"/>
        <v>40626P-1</v>
      </c>
      <c r="B736" t="s">
        <v>1307</v>
      </c>
      <c r="C736" t="s">
        <v>1905</v>
      </c>
      <c r="D736" s="32">
        <v>4666000</v>
      </c>
      <c r="E736" s="32">
        <v>4667000</v>
      </c>
      <c r="F736" s="32">
        <v>9333000</v>
      </c>
    </row>
    <row r="737" spans="1:6">
      <c r="A737" t="str">
        <f t="shared" si="12"/>
        <v>40708M-1</v>
      </c>
      <c r="B737" t="s">
        <v>1196</v>
      </c>
      <c r="C737" t="s">
        <v>1574</v>
      </c>
      <c r="D737" s="32">
        <v>1988000</v>
      </c>
      <c r="E737" s="32">
        <v>1987000</v>
      </c>
      <c r="F737" s="32">
        <v>3975000</v>
      </c>
    </row>
    <row r="738" spans="1:6">
      <c r="A738" t="str">
        <f t="shared" si="12"/>
        <v>407144-1</v>
      </c>
      <c r="B738" t="s">
        <v>1196</v>
      </c>
      <c r="C738" t="s">
        <v>1250</v>
      </c>
      <c r="D738" s="32">
        <v>122389000</v>
      </c>
      <c r="E738" s="32">
        <v>122431000</v>
      </c>
      <c r="F738" s="32">
        <v>244820000</v>
      </c>
    </row>
    <row r="739" spans="1:6">
      <c r="A739" t="str">
        <f t="shared" si="12"/>
        <v>40717N-1</v>
      </c>
      <c r="B739" t="s">
        <v>1196</v>
      </c>
      <c r="C739" t="s">
        <v>1825</v>
      </c>
      <c r="D739" s="32">
        <v>8015000</v>
      </c>
      <c r="E739" s="32">
        <v>6655000</v>
      </c>
      <c r="F739" s="32">
        <v>14670000</v>
      </c>
    </row>
    <row r="740" spans="1:6">
      <c r="A740" t="str">
        <f t="shared" si="12"/>
        <v>40726P-1</v>
      </c>
      <c r="B740" t="s">
        <v>1196</v>
      </c>
      <c r="C740" t="s">
        <v>1905</v>
      </c>
      <c r="D740" s="32">
        <v>4666000</v>
      </c>
      <c r="E740" s="32">
        <v>4667000</v>
      </c>
      <c r="F740" s="32">
        <v>9333000</v>
      </c>
    </row>
    <row r="741" spans="1:6">
      <c r="A741" t="str">
        <f t="shared" si="12"/>
        <v>40726M-1</v>
      </c>
      <c r="B741" t="s">
        <v>1196</v>
      </c>
      <c r="C741" t="s">
        <v>1909</v>
      </c>
      <c r="D741" s="32">
        <v>9534000</v>
      </c>
      <c r="E741" s="32">
        <v>9533000</v>
      </c>
      <c r="F741" s="32">
        <v>19067000</v>
      </c>
    </row>
    <row r="742" spans="1:6">
      <c r="A742" t="str">
        <f t="shared" si="12"/>
        <v>410108-1</v>
      </c>
      <c r="B742" t="s">
        <v>1233</v>
      </c>
      <c r="C742" t="s">
        <v>1252</v>
      </c>
      <c r="D742" s="32">
        <v>1667000</v>
      </c>
      <c r="E742" s="32">
        <v>1622000</v>
      </c>
      <c r="F742" s="32">
        <v>3289000</v>
      </c>
    </row>
    <row r="743" spans="1:6">
      <c r="A743" t="str">
        <f t="shared" si="12"/>
        <v>41016J-1</v>
      </c>
      <c r="B743" t="s">
        <v>1233</v>
      </c>
      <c r="C743" t="s">
        <v>1336</v>
      </c>
      <c r="D743" s="32">
        <v>144000</v>
      </c>
      <c r="E743" s="32">
        <v>144000</v>
      </c>
      <c r="F743" s="32">
        <v>288000</v>
      </c>
    </row>
    <row r="744" spans="1:6">
      <c r="A744" t="str">
        <f t="shared" si="12"/>
        <v>410218-1</v>
      </c>
      <c r="B744" t="s">
        <v>1233</v>
      </c>
      <c r="C744" t="s">
        <v>1298</v>
      </c>
      <c r="D744" s="32">
        <v>100000</v>
      </c>
      <c r="E744" s="32">
        <v>100000</v>
      </c>
      <c r="F744" s="32">
        <v>200000</v>
      </c>
    </row>
    <row r="745" spans="1:6">
      <c r="A745" t="str">
        <f t="shared" si="12"/>
        <v>410511-1</v>
      </c>
      <c r="B745" t="s">
        <v>1233</v>
      </c>
      <c r="C745" t="s">
        <v>1346</v>
      </c>
      <c r="D745" s="32">
        <v>90000</v>
      </c>
      <c r="E745" s="32">
        <v>89000</v>
      </c>
      <c r="F745" s="32">
        <v>179000</v>
      </c>
    </row>
    <row r="746" spans="1:6">
      <c r="A746" t="str">
        <f t="shared" si="12"/>
        <v>410535-1</v>
      </c>
      <c r="B746" t="s">
        <v>1233</v>
      </c>
      <c r="C746" t="s">
        <v>1694</v>
      </c>
      <c r="D746" s="32">
        <v>84000</v>
      </c>
      <c r="E746" s="32">
        <v>83000</v>
      </c>
      <c r="F746" s="32">
        <v>167000</v>
      </c>
    </row>
    <row r="747" spans="1:6">
      <c r="A747" t="str">
        <f t="shared" si="12"/>
        <v>410595-1</v>
      </c>
      <c r="B747" t="s">
        <v>1233</v>
      </c>
      <c r="C747" t="s">
        <v>1580</v>
      </c>
      <c r="D747" s="32">
        <v>75000</v>
      </c>
      <c r="E747" s="32">
        <v>75000</v>
      </c>
      <c r="F747" s="32">
        <v>150000</v>
      </c>
    </row>
    <row r="748" spans="1:6">
      <c r="A748" t="str">
        <f t="shared" si="12"/>
        <v>41109E-1</v>
      </c>
      <c r="B748" t="s">
        <v>1462</v>
      </c>
      <c r="C748" t="s">
        <v>1572</v>
      </c>
      <c r="D748" s="32">
        <v>798000</v>
      </c>
      <c r="E748" s="32">
        <v>797000</v>
      </c>
      <c r="F748" s="32">
        <v>1595000</v>
      </c>
    </row>
    <row r="749" spans="1:6">
      <c r="A749" t="str">
        <f t="shared" si="12"/>
        <v>411218-1</v>
      </c>
      <c r="B749" t="s">
        <v>1462</v>
      </c>
      <c r="C749" t="s">
        <v>1298</v>
      </c>
      <c r="D749" s="32">
        <v>200000</v>
      </c>
      <c r="E749" s="32">
        <v>200000</v>
      </c>
      <c r="F749" s="32">
        <v>400000</v>
      </c>
    </row>
    <row r="750" spans="1:6">
      <c r="A750" t="str">
        <f t="shared" si="12"/>
        <v>460001-1</v>
      </c>
      <c r="B750" t="s">
        <v>1373</v>
      </c>
      <c r="C750" t="s">
        <v>621</v>
      </c>
      <c r="D750" s="32">
        <v>1727000</v>
      </c>
      <c r="E750" s="32">
        <v>1294000</v>
      </c>
      <c r="F750" s="32">
        <v>3021000</v>
      </c>
    </row>
    <row r="751" spans="1:6">
      <c r="A751" t="str">
        <f t="shared" si="12"/>
        <v>460001-2</v>
      </c>
      <c r="B751" t="s">
        <v>1373</v>
      </c>
      <c r="C751" t="s">
        <v>622</v>
      </c>
      <c r="D751" s="32">
        <v>16000</v>
      </c>
      <c r="E751" s="32">
        <v>16000</v>
      </c>
      <c r="F751" s="32">
        <v>32000</v>
      </c>
    </row>
    <row r="752" spans="1:6">
      <c r="A752" t="str">
        <f t="shared" si="12"/>
        <v>460001-7</v>
      </c>
      <c r="B752" t="s">
        <v>1373</v>
      </c>
      <c r="C752" t="s">
        <v>632</v>
      </c>
      <c r="D752" s="32">
        <v>1417000</v>
      </c>
      <c r="E752" s="32">
        <v>1177000</v>
      </c>
      <c r="F752" s="32">
        <v>2594000</v>
      </c>
    </row>
    <row r="753" spans="1:6">
      <c r="A753" t="str">
        <f t="shared" si="12"/>
        <v>46026C-1</v>
      </c>
      <c r="B753" t="s">
        <v>1373</v>
      </c>
      <c r="C753" t="s">
        <v>1956</v>
      </c>
      <c r="D753" s="32">
        <v>69000</v>
      </c>
      <c r="E753" s="32">
        <v>69000</v>
      </c>
      <c r="F753" s="32">
        <v>138000</v>
      </c>
    </row>
    <row r="754" spans="1:6">
      <c r="A754" t="str">
        <f t="shared" si="12"/>
        <v>461001-1</v>
      </c>
      <c r="B754" t="s">
        <v>1193</v>
      </c>
      <c r="C754" t="s">
        <v>621</v>
      </c>
      <c r="D754" s="32">
        <v>39429000</v>
      </c>
      <c r="E754" s="32">
        <v>39352000</v>
      </c>
      <c r="F754" s="32">
        <v>78781000</v>
      </c>
    </row>
    <row r="755" spans="1:6">
      <c r="A755" t="str">
        <f t="shared" si="12"/>
        <v>461001-2</v>
      </c>
      <c r="B755" t="s">
        <v>1193</v>
      </c>
      <c r="C755" t="s">
        <v>622</v>
      </c>
      <c r="D755" s="32">
        <v>86190500</v>
      </c>
      <c r="E755" s="32">
        <v>92283500</v>
      </c>
      <c r="F755" s="32">
        <v>178474000</v>
      </c>
    </row>
    <row r="756" spans="1:6">
      <c r="A756" t="str">
        <f t="shared" si="12"/>
        <v>461001-7</v>
      </c>
      <c r="B756" t="s">
        <v>1193</v>
      </c>
      <c r="C756" t="s">
        <v>632</v>
      </c>
      <c r="D756" s="32">
        <v>14354000</v>
      </c>
      <c r="E756" s="32">
        <v>15190000</v>
      </c>
      <c r="F756" s="32">
        <v>29544000</v>
      </c>
    </row>
    <row r="757" spans="1:6">
      <c r="A757" t="str">
        <f t="shared" si="12"/>
        <v>461027-1</v>
      </c>
      <c r="B757" t="s">
        <v>1193</v>
      </c>
      <c r="C757" t="s">
        <v>1335</v>
      </c>
      <c r="D757" s="32">
        <v>2378000</v>
      </c>
      <c r="E757" s="32">
        <v>2407000</v>
      </c>
      <c r="F757" s="32">
        <v>4785000</v>
      </c>
    </row>
    <row r="758" spans="1:6">
      <c r="A758" t="str">
        <f t="shared" si="12"/>
        <v>46102P-1</v>
      </c>
      <c r="B758" t="s">
        <v>1193</v>
      </c>
      <c r="C758" t="s">
        <v>1442</v>
      </c>
      <c r="D758" s="32">
        <v>2985000</v>
      </c>
      <c r="E758" s="32">
        <v>2267000</v>
      </c>
      <c r="F758" s="32">
        <v>5252000</v>
      </c>
    </row>
    <row r="759" spans="1:6">
      <c r="A759" t="str">
        <f t="shared" si="12"/>
        <v>46102R-1</v>
      </c>
      <c r="B759" t="s">
        <v>1193</v>
      </c>
      <c r="C759" t="s">
        <v>1226</v>
      </c>
      <c r="D759" s="32">
        <v>75000</v>
      </c>
      <c r="E759" s="32">
        <v>75000</v>
      </c>
      <c r="F759" s="32">
        <v>150000</v>
      </c>
    </row>
    <row r="760" spans="1:6">
      <c r="A760" t="str">
        <f t="shared" si="12"/>
        <v>461032-1</v>
      </c>
      <c r="B760" t="s">
        <v>1193</v>
      </c>
      <c r="C760" t="s">
        <v>1274</v>
      </c>
      <c r="D760" s="32">
        <v>15000</v>
      </c>
      <c r="E760" s="32">
        <v>25000</v>
      </c>
      <c r="F760" s="32">
        <v>40000</v>
      </c>
    </row>
    <row r="761" spans="1:6">
      <c r="A761" t="str">
        <f t="shared" si="12"/>
        <v>461044-1</v>
      </c>
      <c r="B761" t="s">
        <v>1193</v>
      </c>
      <c r="C761" t="s">
        <v>1292</v>
      </c>
      <c r="D761" s="32">
        <v>16931000</v>
      </c>
      <c r="E761" s="32">
        <v>17068000</v>
      </c>
      <c r="F761" s="32">
        <v>33999000</v>
      </c>
    </row>
    <row r="762" spans="1:6">
      <c r="A762" t="str">
        <f t="shared" si="12"/>
        <v>461057-1</v>
      </c>
      <c r="B762" t="s">
        <v>1193</v>
      </c>
      <c r="C762" t="s">
        <v>623</v>
      </c>
      <c r="D762" s="32">
        <v>135690000</v>
      </c>
      <c r="E762" s="32">
        <v>135690000</v>
      </c>
      <c r="F762" s="32">
        <v>271380000</v>
      </c>
    </row>
    <row r="763" spans="1:6">
      <c r="A763" t="str">
        <f t="shared" si="12"/>
        <v>46105W-1</v>
      </c>
      <c r="B763" t="s">
        <v>1193</v>
      </c>
      <c r="C763" t="s">
        <v>1524</v>
      </c>
      <c r="D763" s="32">
        <v>1125000</v>
      </c>
      <c r="E763" s="32">
        <v>1094000</v>
      </c>
      <c r="F763" s="32">
        <v>2219000</v>
      </c>
    </row>
    <row r="764" spans="1:6">
      <c r="A764" t="str">
        <f t="shared" si="12"/>
        <v>461072-1</v>
      </c>
      <c r="B764" t="s">
        <v>1193</v>
      </c>
      <c r="C764" t="s">
        <v>1326</v>
      </c>
      <c r="D764" s="32">
        <v>96000</v>
      </c>
      <c r="E764" s="32">
        <v>90000</v>
      </c>
      <c r="F764" s="32">
        <v>186000</v>
      </c>
    </row>
    <row r="765" spans="1:6">
      <c r="A765" t="str">
        <f t="shared" si="12"/>
        <v>46110A-1</v>
      </c>
      <c r="B765" t="s">
        <v>1193</v>
      </c>
      <c r="C765" t="s">
        <v>1324</v>
      </c>
      <c r="D765" s="32">
        <v>355000</v>
      </c>
      <c r="E765" s="32">
        <v>355000</v>
      </c>
      <c r="F765" s="32">
        <v>710000</v>
      </c>
    </row>
    <row r="766" spans="1:6">
      <c r="A766" t="str">
        <f t="shared" si="12"/>
        <v>46110G-1</v>
      </c>
      <c r="B766" t="s">
        <v>1193</v>
      </c>
      <c r="C766" t="s">
        <v>1536</v>
      </c>
      <c r="D766" s="32">
        <v>21000</v>
      </c>
      <c r="E766" s="32">
        <v>27000</v>
      </c>
      <c r="F766" s="32">
        <v>48000</v>
      </c>
    </row>
    <row r="767" spans="1:6">
      <c r="A767" t="str">
        <f t="shared" si="12"/>
        <v>461116-6</v>
      </c>
      <c r="B767" t="s">
        <v>1193</v>
      </c>
      <c r="C767" t="s">
        <v>1412</v>
      </c>
      <c r="D767" s="32">
        <v>85000</v>
      </c>
      <c r="E767" s="32">
        <v>85000</v>
      </c>
      <c r="F767" s="32">
        <v>170000</v>
      </c>
    </row>
    <row r="768" spans="1:6">
      <c r="A768" t="str">
        <f t="shared" si="12"/>
        <v>46111J-6</v>
      </c>
      <c r="B768" t="s">
        <v>1193</v>
      </c>
      <c r="C768" t="s">
        <v>1508</v>
      </c>
      <c r="D768" s="32">
        <v>442000</v>
      </c>
      <c r="E768" s="32">
        <v>456000</v>
      </c>
      <c r="F768" s="32">
        <v>898000</v>
      </c>
    </row>
    <row r="769" spans="1:6">
      <c r="A769" t="str">
        <f t="shared" si="12"/>
        <v>461125-1</v>
      </c>
      <c r="B769" t="s">
        <v>1193</v>
      </c>
      <c r="C769" t="s">
        <v>1312</v>
      </c>
      <c r="D769" s="32">
        <v>290000</v>
      </c>
      <c r="E769" s="32">
        <v>292000</v>
      </c>
      <c r="F769" s="32">
        <v>582000</v>
      </c>
    </row>
    <row r="770" spans="1:6">
      <c r="A770" t="str">
        <f t="shared" si="12"/>
        <v>461160-1</v>
      </c>
      <c r="B770" t="s">
        <v>1193</v>
      </c>
      <c r="C770" t="s">
        <v>1206</v>
      </c>
      <c r="D770" s="32">
        <v>303000</v>
      </c>
      <c r="E770" s="32">
        <v>302000</v>
      </c>
      <c r="F770" s="32">
        <v>605000</v>
      </c>
    </row>
    <row r="771" spans="1:6">
      <c r="A771" t="str">
        <f t="shared" si="12"/>
        <v>461163-1</v>
      </c>
      <c r="B771" t="s">
        <v>1193</v>
      </c>
      <c r="C771" t="s">
        <v>1211</v>
      </c>
      <c r="D771" s="32">
        <v>1104000</v>
      </c>
      <c r="E771" s="32">
        <v>1118000</v>
      </c>
      <c r="F771" s="32">
        <v>2222000</v>
      </c>
    </row>
    <row r="772" spans="1:6">
      <c r="A772" t="str">
        <f t="shared" si="12"/>
        <v>46116T-6</v>
      </c>
      <c r="B772" t="s">
        <v>1193</v>
      </c>
      <c r="C772" t="s">
        <v>1548</v>
      </c>
      <c r="D772" s="32">
        <v>128000</v>
      </c>
      <c r="E772" s="32">
        <v>124000</v>
      </c>
      <c r="F772" s="32">
        <v>252000</v>
      </c>
    </row>
    <row r="773" spans="1:6">
      <c r="A773" t="str">
        <f t="shared" si="12"/>
        <v>46116V-1</v>
      </c>
      <c r="B773" t="s">
        <v>1193</v>
      </c>
      <c r="C773" t="s">
        <v>1497</v>
      </c>
      <c r="D773" s="32">
        <v>19000</v>
      </c>
      <c r="E773" s="32">
        <v>20000</v>
      </c>
      <c r="F773" s="32">
        <v>39000</v>
      </c>
    </row>
    <row r="774" spans="1:6">
      <c r="A774" t="str">
        <f t="shared" si="12"/>
        <v>461176-1</v>
      </c>
      <c r="B774" t="s">
        <v>1193</v>
      </c>
      <c r="C774" t="s">
        <v>1475</v>
      </c>
      <c r="D774" s="32">
        <v>33827000</v>
      </c>
      <c r="E774" s="32">
        <v>33389000</v>
      </c>
      <c r="F774" s="32">
        <v>67216000</v>
      </c>
    </row>
    <row r="775" spans="1:6">
      <c r="A775" t="str">
        <f t="shared" si="12"/>
        <v>461182-1</v>
      </c>
      <c r="B775" t="s">
        <v>1193</v>
      </c>
      <c r="C775" t="s">
        <v>1366</v>
      </c>
      <c r="D775" s="32">
        <v>2511000</v>
      </c>
      <c r="E775" s="32">
        <v>2521000</v>
      </c>
      <c r="F775" s="32">
        <v>5032000</v>
      </c>
    </row>
    <row r="776" spans="1:6">
      <c r="A776" t="str">
        <f t="shared" si="12"/>
        <v>461199-1</v>
      </c>
      <c r="B776" t="s">
        <v>1193</v>
      </c>
      <c r="C776" t="s">
        <v>1228</v>
      </c>
      <c r="D776" s="32">
        <v>1538000</v>
      </c>
      <c r="E776" s="32">
        <v>1530000</v>
      </c>
      <c r="F776" s="32">
        <v>3068000</v>
      </c>
    </row>
    <row r="777" spans="1:6">
      <c r="A777" t="str">
        <f t="shared" si="12"/>
        <v>461207-1</v>
      </c>
      <c r="B777" t="s">
        <v>1193</v>
      </c>
      <c r="C777" t="s">
        <v>1374</v>
      </c>
      <c r="D777" s="32">
        <v>4708000</v>
      </c>
      <c r="E777" s="32">
        <v>4768000</v>
      </c>
      <c r="F777" s="32">
        <v>9476000</v>
      </c>
    </row>
    <row r="778" spans="1:6">
      <c r="A778" t="str">
        <f t="shared" si="12"/>
        <v>46120R-1</v>
      </c>
      <c r="B778" t="s">
        <v>1193</v>
      </c>
      <c r="C778" t="s">
        <v>1262</v>
      </c>
      <c r="D778" s="32">
        <v>12038000</v>
      </c>
      <c r="E778" s="32">
        <v>12417000</v>
      </c>
      <c r="F778" s="32">
        <v>24455000</v>
      </c>
    </row>
    <row r="779" spans="1:6">
      <c r="A779" t="str">
        <f t="shared" si="12"/>
        <v>461216-1</v>
      </c>
      <c r="B779" t="s">
        <v>1193</v>
      </c>
      <c r="C779" t="s">
        <v>647</v>
      </c>
      <c r="D779" s="32">
        <v>2453000</v>
      </c>
      <c r="E779" s="32">
        <v>2473000</v>
      </c>
      <c r="F779" s="32">
        <v>4926000</v>
      </c>
    </row>
    <row r="780" spans="1:6">
      <c r="A780" t="str">
        <f t="shared" si="12"/>
        <v>461217-1</v>
      </c>
      <c r="B780" t="s">
        <v>1193</v>
      </c>
      <c r="C780" t="s">
        <v>1438</v>
      </c>
      <c r="D780" s="32">
        <v>4339000</v>
      </c>
      <c r="E780" s="32">
        <v>4793000</v>
      </c>
      <c r="F780" s="32">
        <v>9132000</v>
      </c>
    </row>
    <row r="781" spans="1:6">
      <c r="A781" t="str">
        <f t="shared" si="12"/>
        <v>461219-1</v>
      </c>
      <c r="B781" t="s">
        <v>1193</v>
      </c>
      <c r="C781" t="s">
        <v>1428</v>
      </c>
      <c r="D781" s="32">
        <v>2800000</v>
      </c>
      <c r="E781" s="32">
        <v>2793000</v>
      </c>
      <c r="F781" s="32">
        <v>5593000</v>
      </c>
    </row>
    <row r="782" spans="1:6">
      <c r="A782" t="str">
        <f t="shared" si="12"/>
        <v>461222-1</v>
      </c>
      <c r="B782" t="s">
        <v>1193</v>
      </c>
      <c r="C782" t="s">
        <v>1253</v>
      </c>
      <c r="D782" s="32">
        <v>850000</v>
      </c>
      <c r="E782" s="32">
        <v>850000</v>
      </c>
      <c r="F782" s="32">
        <v>1700000</v>
      </c>
    </row>
    <row r="783" spans="1:6">
      <c r="A783" t="str">
        <f t="shared" si="12"/>
        <v>461223-1</v>
      </c>
      <c r="B783" t="s">
        <v>1193</v>
      </c>
      <c r="C783" t="s">
        <v>1285</v>
      </c>
      <c r="D783" s="32">
        <v>3538000</v>
      </c>
      <c r="E783" s="32">
        <v>3538000</v>
      </c>
      <c r="F783" s="32">
        <v>7076000</v>
      </c>
    </row>
    <row r="784" spans="1:6">
      <c r="A784" t="str">
        <f t="shared" si="12"/>
        <v>461408-6</v>
      </c>
      <c r="B784" t="s">
        <v>1193</v>
      </c>
      <c r="C784" t="s">
        <v>1266</v>
      </c>
      <c r="D784" s="32">
        <v>532000</v>
      </c>
      <c r="E784" s="32">
        <v>532000</v>
      </c>
      <c r="F784" s="32">
        <v>1064000</v>
      </c>
    </row>
    <row r="785" spans="1:6">
      <c r="A785" t="str">
        <f t="shared" si="12"/>
        <v>461564-1</v>
      </c>
      <c r="B785" t="s">
        <v>1193</v>
      </c>
      <c r="C785" t="s">
        <v>1382</v>
      </c>
      <c r="D785" s="32">
        <v>4292000</v>
      </c>
      <c r="E785" s="32">
        <v>4349000</v>
      </c>
      <c r="F785" s="32">
        <v>8641000</v>
      </c>
    </row>
    <row r="786" spans="1:6">
      <c r="A786" t="str">
        <f t="shared" ref="A786:A849" si="13">+B786&amp;C786</f>
        <v>46108R-1</v>
      </c>
      <c r="B786" t="s">
        <v>1193</v>
      </c>
      <c r="C786" t="s">
        <v>1744</v>
      </c>
      <c r="D786" s="32">
        <v>500000</v>
      </c>
      <c r="E786" s="32">
        <v>500000</v>
      </c>
      <c r="F786" s="32">
        <v>1000000</v>
      </c>
    </row>
    <row r="787" spans="1:6">
      <c r="A787" t="str">
        <f t="shared" si="13"/>
        <v>46115H-1</v>
      </c>
      <c r="B787" t="s">
        <v>1193</v>
      </c>
      <c r="C787" t="s">
        <v>1999</v>
      </c>
      <c r="D787" s="32">
        <v>1100000</v>
      </c>
      <c r="E787" s="32">
        <v>1100000</v>
      </c>
      <c r="F787" s="32">
        <v>2200000</v>
      </c>
    </row>
    <row r="788" spans="1:6">
      <c r="A788" t="str">
        <f t="shared" si="13"/>
        <v>461296-1</v>
      </c>
      <c r="B788" t="s">
        <v>1193</v>
      </c>
      <c r="C788" t="s">
        <v>1745</v>
      </c>
      <c r="D788" s="32">
        <v>750000</v>
      </c>
      <c r="E788" s="32">
        <v>750000</v>
      </c>
      <c r="F788" s="32">
        <v>1500000</v>
      </c>
    </row>
    <row r="789" spans="1:6">
      <c r="A789" t="str">
        <f t="shared" si="13"/>
        <v>461727-1</v>
      </c>
      <c r="B789" t="s">
        <v>1193</v>
      </c>
      <c r="C789" t="s">
        <v>1746</v>
      </c>
      <c r="D789" s="32">
        <v>235000000</v>
      </c>
      <c r="E789" s="32">
        <v>235000000</v>
      </c>
      <c r="F789" s="32">
        <v>470000000</v>
      </c>
    </row>
    <row r="790" spans="1:6">
      <c r="A790" t="str">
        <f t="shared" si="13"/>
        <v>461727-2</v>
      </c>
      <c r="B790" t="s">
        <v>1193</v>
      </c>
      <c r="C790" t="s">
        <v>1747</v>
      </c>
      <c r="D790" s="32">
        <v>100000000</v>
      </c>
      <c r="E790" s="32">
        <v>100000000</v>
      </c>
      <c r="F790" s="32">
        <v>200000000</v>
      </c>
    </row>
    <row r="791" spans="1:6">
      <c r="A791" t="str">
        <f t="shared" si="13"/>
        <v>461366-1</v>
      </c>
      <c r="B791" t="s">
        <v>1193</v>
      </c>
      <c r="C791" t="s">
        <v>1804</v>
      </c>
      <c r="D791" s="32">
        <v>20000000</v>
      </c>
      <c r="E791" s="32">
        <v>20000000</v>
      </c>
      <c r="F791" s="32">
        <v>40000000</v>
      </c>
    </row>
    <row r="792" spans="1:6">
      <c r="A792" t="str">
        <f t="shared" si="13"/>
        <v>46123P-1</v>
      </c>
      <c r="B792" t="s">
        <v>1193</v>
      </c>
      <c r="C792" t="s">
        <v>1805</v>
      </c>
      <c r="D792" s="32">
        <v>171220000</v>
      </c>
      <c r="E792" s="32">
        <v>179510000</v>
      </c>
      <c r="F792" s="32">
        <v>350730000</v>
      </c>
    </row>
    <row r="793" spans="1:6">
      <c r="A793" t="str">
        <f t="shared" si="13"/>
        <v>46123N-1</v>
      </c>
      <c r="B793" t="s">
        <v>1193</v>
      </c>
      <c r="C793" t="s">
        <v>1811</v>
      </c>
      <c r="D793" s="32">
        <v>123131000</v>
      </c>
      <c r="E793" s="32">
        <v>123130000</v>
      </c>
      <c r="F793" s="32">
        <v>246261000</v>
      </c>
    </row>
    <row r="794" spans="1:6">
      <c r="A794" t="str">
        <f t="shared" si="13"/>
        <v>46122G-6</v>
      </c>
      <c r="B794" t="s">
        <v>1193</v>
      </c>
      <c r="C794" t="s">
        <v>1826</v>
      </c>
      <c r="D794" s="32">
        <v>47000</v>
      </c>
      <c r="E794" s="32">
        <v>29000</v>
      </c>
      <c r="F794" s="32">
        <v>76000</v>
      </c>
    </row>
    <row r="795" spans="1:6">
      <c r="A795" t="str">
        <f t="shared" si="13"/>
        <v>46123P-7</v>
      </c>
      <c r="B795" t="s">
        <v>1193</v>
      </c>
      <c r="C795" t="s">
        <v>1827</v>
      </c>
      <c r="D795" s="32">
        <v>499000</v>
      </c>
      <c r="E795" s="32">
        <v>501000</v>
      </c>
      <c r="F795" s="32">
        <v>1000000</v>
      </c>
    </row>
    <row r="796" spans="1:6">
      <c r="A796" t="str">
        <f t="shared" si="13"/>
        <v>46123W-1</v>
      </c>
      <c r="B796" t="s">
        <v>1193</v>
      </c>
      <c r="C796" t="s">
        <v>1828</v>
      </c>
      <c r="D796" s="32">
        <v>75000</v>
      </c>
      <c r="E796" s="32">
        <v>76000</v>
      </c>
      <c r="F796" s="32">
        <v>151000</v>
      </c>
    </row>
    <row r="797" spans="1:6">
      <c r="A797" t="str">
        <f t="shared" si="13"/>
        <v>46123R-1</v>
      </c>
      <c r="B797" t="s">
        <v>1193</v>
      </c>
      <c r="C797" t="s">
        <v>1829</v>
      </c>
      <c r="D797" s="32">
        <v>43999000</v>
      </c>
      <c r="E797" s="32">
        <v>43993000</v>
      </c>
      <c r="F797" s="32">
        <v>87992000</v>
      </c>
    </row>
    <row r="798" spans="1:6">
      <c r="A798" t="str">
        <f t="shared" si="13"/>
        <v>46126A-1</v>
      </c>
      <c r="B798" t="s">
        <v>1193</v>
      </c>
      <c r="C798" t="s">
        <v>1908</v>
      </c>
      <c r="D798" s="32">
        <v>2000000</v>
      </c>
      <c r="E798" s="32">
        <v>2000000</v>
      </c>
      <c r="F798" s="32">
        <v>4000000</v>
      </c>
    </row>
    <row r="799" spans="1:6">
      <c r="A799" t="str">
        <f t="shared" si="13"/>
        <v>46121H-1</v>
      </c>
      <c r="B799" t="s">
        <v>1193</v>
      </c>
      <c r="C799" t="s">
        <v>1910</v>
      </c>
      <c r="D799" s="32">
        <v>399000</v>
      </c>
      <c r="E799" s="32">
        <v>405000</v>
      </c>
      <c r="F799" s="32">
        <v>804000</v>
      </c>
    </row>
    <row r="800" spans="1:6">
      <c r="A800" t="str">
        <f t="shared" si="13"/>
        <v>46123V-1</v>
      </c>
      <c r="B800" t="s">
        <v>1193</v>
      </c>
      <c r="C800" t="s">
        <v>1911</v>
      </c>
      <c r="D800" s="32">
        <v>172000</v>
      </c>
      <c r="E800" s="32">
        <v>172000</v>
      </c>
      <c r="F800" s="32">
        <v>344000</v>
      </c>
    </row>
    <row r="801" spans="1:6">
      <c r="A801" t="str">
        <f t="shared" si="13"/>
        <v>46125Q-1</v>
      </c>
      <c r="B801" t="s">
        <v>1193</v>
      </c>
      <c r="C801" t="s">
        <v>1912</v>
      </c>
      <c r="D801" s="32">
        <v>2101000</v>
      </c>
      <c r="E801" s="32">
        <v>2902000</v>
      </c>
      <c r="F801" s="32">
        <v>5003000</v>
      </c>
    </row>
    <row r="802" spans="1:6">
      <c r="A802" t="str">
        <f t="shared" si="13"/>
        <v>46125R-6</v>
      </c>
      <c r="B802" t="s">
        <v>1193</v>
      </c>
      <c r="C802" t="s">
        <v>1913</v>
      </c>
      <c r="D802" s="32">
        <v>561000</v>
      </c>
      <c r="E802" s="32">
        <v>564000</v>
      </c>
      <c r="F802" s="32">
        <v>1125000</v>
      </c>
    </row>
    <row r="803" spans="1:6">
      <c r="A803" t="str">
        <f t="shared" si="13"/>
        <v>46126B-1</v>
      </c>
      <c r="B803" t="s">
        <v>1193</v>
      </c>
      <c r="C803" t="s">
        <v>1914</v>
      </c>
      <c r="D803" s="32">
        <v>25120000</v>
      </c>
      <c r="E803" s="32">
        <v>35757000</v>
      </c>
      <c r="F803" s="32">
        <v>60877000</v>
      </c>
    </row>
    <row r="804" spans="1:6">
      <c r="A804" t="str">
        <f t="shared" si="13"/>
        <v>46126C-1</v>
      </c>
      <c r="B804" t="s">
        <v>1193</v>
      </c>
      <c r="C804" t="s">
        <v>1956</v>
      </c>
      <c r="D804" s="32">
        <v>14785000</v>
      </c>
      <c r="E804" s="32">
        <v>25367000</v>
      </c>
      <c r="F804" s="32">
        <v>40152000</v>
      </c>
    </row>
    <row r="805" spans="1:6">
      <c r="A805" t="str">
        <f t="shared" si="13"/>
        <v>46126D-1</v>
      </c>
      <c r="B805" t="s">
        <v>1193</v>
      </c>
      <c r="C805" t="s">
        <v>1958</v>
      </c>
      <c r="D805" s="32">
        <v>16081000</v>
      </c>
      <c r="E805" s="32">
        <v>17919000</v>
      </c>
      <c r="F805" s="32">
        <v>34000000</v>
      </c>
    </row>
    <row r="806" spans="1:6">
      <c r="A806" t="str">
        <f t="shared" si="13"/>
        <v>46125T-1</v>
      </c>
      <c r="B806" t="s">
        <v>1193</v>
      </c>
      <c r="C806" t="s">
        <v>1970</v>
      </c>
      <c r="D806" s="32">
        <v>661000</v>
      </c>
      <c r="E806" s="32">
        <v>2460000</v>
      </c>
      <c r="F806" s="32">
        <v>3121000</v>
      </c>
    </row>
    <row r="807" spans="1:6">
      <c r="A807" t="str">
        <f t="shared" si="13"/>
        <v>46128E-1</v>
      </c>
      <c r="B807" t="s">
        <v>1193</v>
      </c>
      <c r="C807" t="s">
        <v>1971</v>
      </c>
      <c r="D807" s="32">
        <v>3000000</v>
      </c>
      <c r="E807" s="32">
        <v>3000000</v>
      </c>
      <c r="F807" s="32">
        <v>6000000</v>
      </c>
    </row>
    <row r="808" spans="1:6">
      <c r="A808" t="str">
        <f t="shared" si="13"/>
        <v>46126E-1</v>
      </c>
      <c r="B808" t="s">
        <v>1193</v>
      </c>
      <c r="C808" t="s">
        <v>1972</v>
      </c>
      <c r="D808" s="32">
        <v>10900000</v>
      </c>
      <c r="E808" s="32">
        <v>10900000</v>
      </c>
      <c r="F808" s="32">
        <v>21800000</v>
      </c>
    </row>
    <row r="809" spans="1:6">
      <c r="A809" t="str">
        <f t="shared" si="13"/>
        <v>462001-2</v>
      </c>
      <c r="B809" t="s">
        <v>1409</v>
      </c>
      <c r="C809" t="s">
        <v>622</v>
      </c>
      <c r="D809" s="32">
        <v>682000</v>
      </c>
      <c r="E809" s="32">
        <v>555000</v>
      </c>
      <c r="F809" s="32">
        <v>1237000</v>
      </c>
    </row>
    <row r="810" spans="1:6">
      <c r="A810" t="str">
        <f t="shared" si="13"/>
        <v>462544-1</v>
      </c>
      <c r="B810" t="s">
        <v>1409</v>
      </c>
      <c r="C810" t="s">
        <v>1414</v>
      </c>
      <c r="D810" s="32">
        <v>5144000</v>
      </c>
      <c r="E810" s="32">
        <v>5091000</v>
      </c>
      <c r="F810" s="32">
        <v>10235000</v>
      </c>
    </row>
    <row r="811" spans="1:6">
      <c r="A811" t="str">
        <f t="shared" si="13"/>
        <v>462545-6</v>
      </c>
      <c r="B811" t="s">
        <v>1409</v>
      </c>
      <c r="C811" t="s">
        <v>1410</v>
      </c>
      <c r="D811" s="32">
        <v>1367000</v>
      </c>
      <c r="E811" s="32">
        <v>1389000</v>
      </c>
      <c r="F811" s="32">
        <v>2756000</v>
      </c>
    </row>
    <row r="812" spans="1:6">
      <c r="A812" t="str">
        <f t="shared" si="13"/>
        <v>46220T-1</v>
      </c>
      <c r="B812" t="s">
        <v>1409</v>
      </c>
      <c r="C812" t="s">
        <v>1695</v>
      </c>
      <c r="D812" s="32">
        <v>10519000</v>
      </c>
      <c r="E812" s="32">
        <v>10438000</v>
      </c>
      <c r="F812" s="32">
        <v>20957000</v>
      </c>
    </row>
    <row r="813" spans="1:6">
      <c r="A813" t="str">
        <f t="shared" si="13"/>
        <v>463001-1</v>
      </c>
      <c r="B813" t="s">
        <v>1915</v>
      </c>
      <c r="C813" t="s">
        <v>621</v>
      </c>
      <c r="D813" s="32">
        <v>1109000</v>
      </c>
      <c r="E813" s="32">
        <v>1524000</v>
      </c>
      <c r="F813" s="32">
        <v>2633000</v>
      </c>
    </row>
    <row r="814" spans="1:6">
      <c r="A814" t="str">
        <f t="shared" si="13"/>
        <v>46326G-7</v>
      </c>
      <c r="B814" t="s">
        <v>1915</v>
      </c>
      <c r="C814" t="s">
        <v>1916</v>
      </c>
      <c r="D814" s="32">
        <v>13211000</v>
      </c>
      <c r="E814" s="32">
        <v>13686000</v>
      </c>
      <c r="F814" s="32">
        <v>26897000</v>
      </c>
    </row>
    <row r="815" spans="1:6">
      <c r="A815" t="str">
        <f t="shared" si="13"/>
        <v>46326C-1</v>
      </c>
      <c r="B815" t="s">
        <v>1915</v>
      </c>
      <c r="C815" t="s">
        <v>1956</v>
      </c>
      <c r="D815" s="32">
        <v>3631000</v>
      </c>
      <c r="E815" s="32">
        <v>3806000</v>
      </c>
      <c r="F815" s="32">
        <v>7437000</v>
      </c>
    </row>
    <row r="816" spans="1:6">
      <c r="A816" t="str">
        <f t="shared" si="13"/>
        <v>465001-1</v>
      </c>
      <c r="B816" t="s">
        <v>1222</v>
      </c>
      <c r="C816" t="s">
        <v>621</v>
      </c>
      <c r="D816" s="32">
        <v>41197000</v>
      </c>
      <c r="E816" s="32">
        <v>45091000</v>
      </c>
      <c r="F816" s="32">
        <v>86288000</v>
      </c>
    </row>
    <row r="817" spans="1:6">
      <c r="A817" t="str">
        <f t="shared" si="13"/>
        <v>465001-2</v>
      </c>
      <c r="B817" t="s">
        <v>1222</v>
      </c>
      <c r="C817" t="s">
        <v>622</v>
      </c>
      <c r="D817" s="32">
        <v>5591000</v>
      </c>
      <c r="E817" s="32">
        <v>4990000</v>
      </c>
      <c r="F817" s="32">
        <v>10581000</v>
      </c>
    </row>
    <row r="818" spans="1:6">
      <c r="A818" t="str">
        <f t="shared" si="13"/>
        <v>465007-1</v>
      </c>
      <c r="B818" t="s">
        <v>1222</v>
      </c>
      <c r="C818" t="s">
        <v>1510</v>
      </c>
      <c r="D818" s="32">
        <v>2368000</v>
      </c>
      <c r="E818" s="32">
        <v>2560000</v>
      </c>
      <c r="F818" s="32">
        <v>4928000</v>
      </c>
    </row>
    <row r="819" spans="1:6">
      <c r="A819" t="str">
        <f t="shared" si="13"/>
        <v>46501B-1</v>
      </c>
      <c r="B819" t="s">
        <v>1222</v>
      </c>
      <c r="C819" t="s">
        <v>1223</v>
      </c>
      <c r="D819" s="32">
        <v>198000</v>
      </c>
      <c r="E819" s="32">
        <v>198000</v>
      </c>
      <c r="F819" s="32">
        <v>396000</v>
      </c>
    </row>
    <row r="820" spans="1:6">
      <c r="A820" t="str">
        <f t="shared" si="13"/>
        <v>46501M-1</v>
      </c>
      <c r="B820" t="s">
        <v>1222</v>
      </c>
      <c r="C820" t="s">
        <v>1363</v>
      </c>
      <c r="D820" s="32">
        <v>2780000</v>
      </c>
      <c r="E820" s="32">
        <v>2935000</v>
      </c>
      <c r="F820" s="32">
        <v>5715000</v>
      </c>
    </row>
    <row r="821" spans="1:6">
      <c r="A821" t="str">
        <f t="shared" si="13"/>
        <v>46502R-1</v>
      </c>
      <c r="B821" t="s">
        <v>1222</v>
      </c>
      <c r="C821" t="s">
        <v>1226</v>
      </c>
      <c r="D821" s="32">
        <v>172000</v>
      </c>
      <c r="E821" s="32">
        <v>195000</v>
      </c>
      <c r="F821" s="32">
        <v>367000</v>
      </c>
    </row>
    <row r="822" spans="1:6">
      <c r="A822" t="str">
        <f t="shared" si="13"/>
        <v>465057-1</v>
      </c>
      <c r="B822" t="s">
        <v>1222</v>
      </c>
      <c r="C822" t="s">
        <v>623</v>
      </c>
      <c r="D822" s="32">
        <v>38448500</v>
      </c>
      <c r="E822" s="32">
        <v>38448500</v>
      </c>
      <c r="F822" s="32">
        <v>76897000</v>
      </c>
    </row>
    <row r="823" spans="1:6">
      <c r="A823" t="str">
        <f t="shared" si="13"/>
        <v>46508P-6</v>
      </c>
      <c r="B823" t="s">
        <v>1222</v>
      </c>
      <c r="C823" t="s">
        <v>1525</v>
      </c>
      <c r="D823" s="32">
        <v>193000</v>
      </c>
      <c r="E823" s="32">
        <v>186000</v>
      </c>
      <c r="F823" s="32">
        <v>379000</v>
      </c>
    </row>
    <row r="824" spans="1:6">
      <c r="A824" t="str">
        <f t="shared" si="13"/>
        <v>46509B-6</v>
      </c>
      <c r="B824" t="s">
        <v>1222</v>
      </c>
      <c r="C824" t="s">
        <v>1437</v>
      </c>
      <c r="D824" s="32">
        <v>379000</v>
      </c>
      <c r="E824" s="32">
        <v>430000</v>
      </c>
      <c r="F824" s="32">
        <v>809000</v>
      </c>
    </row>
    <row r="825" spans="1:6">
      <c r="A825" t="str">
        <f t="shared" si="13"/>
        <v>465108-1</v>
      </c>
      <c r="B825" t="s">
        <v>1222</v>
      </c>
      <c r="C825" t="s">
        <v>1252</v>
      </c>
      <c r="D825" s="32">
        <v>593000</v>
      </c>
      <c r="E825" s="32">
        <v>593000</v>
      </c>
      <c r="F825" s="32">
        <v>1186000</v>
      </c>
    </row>
    <row r="826" spans="1:6">
      <c r="A826" t="str">
        <f t="shared" si="13"/>
        <v>465159-6</v>
      </c>
      <c r="B826" t="s">
        <v>1222</v>
      </c>
      <c r="C826" t="s">
        <v>1239</v>
      </c>
      <c r="D826" s="32">
        <v>600000</v>
      </c>
      <c r="E826" s="32">
        <v>600000</v>
      </c>
      <c r="F826" s="32">
        <v>1200000</v>
      </c>
    </row>
    <row r="827" spans="1:6">
      <c r="A827" t="str">
        <f t="shared" si="13"/>
        <v>465218-1</v>
      </c>
      <c r="B827" t="s">
        <v>1222</v>
      </c>
      <c r="C827" t="s">
        <v>1298</v>
      </c>
      <c r="D827" s="32">
        <v>1000</v>
      </c>
      <c r="E827" s="32"/>
      <c r="F827" s="32">
        <v>1000</v>
      </c>
    </row>
    <row r="828" spans="1:6">
      <c r="A828" t="str">
        <f t="shared" si="13"/>
        <v>465269-1</v>
      </c>
      <c r="B828" t="s">
        <v>1222</v>
      </c>
      <c r="C828" t="s">
        <v>1500</v>
      </c>
      <c r="D828" s="32">
        <v>75115000</v>
      </c>
      <c r="E828" s="32">
        <v>77958000</v>
      </c>
      <c r="F828" s="32">
        <v>153073000</v>
      </c>
    </row>
    <row r="829" spans="1:6">
      <c r="A829" t="str">
        <f t="shared" si="13"/>
        <v>465269-7</v>
      </c>
      <c r="B829" t="s">
        <v>1222</v>
      </c>
      <c r="C829" t="s">
        <v>1365</v>
      </c>
      <c r="D829" s="32">
        <v>1309000</v>
      </c>
      <c r="E829" s="32">
        <v>1411000</v>
      </c>
      <c r="F829" s="32">
        <v>2720000</v>
      </c>
    </row>
    <row r="830" spans="1:6">
      <c r="A830" t="str">
        <f t="shared" si="13"/>
        <v>46512L-6</v>
      </c>
      <c r="B830" t="s">
        <v>1222</v>
      </c>
      <c r="C830" t="s">
        <v>1748</v>
      </c>
      <c r="D830" s="32">
        <v>2250000</v>
      </c>
      <c r="E830" s="32">
        <v>2250000</v>
      </c>
      <c r="F830" s="32">
        <v>4500000</v>
      </c>
    </row>
    <row r="831" spans="1:6">
      <c r="A831" t="str">
        <f t="shared" si="13"/>
        <v>46502N-1</v>
      </c>
      <c r="B831" t="s">
        <v>1222</v>
      </c>
      <c r="C831" t="s">
        <v>1749</v>
      </c>
      <c r="D831" s="32">
        <v>1250000</v>
      </c>
      <c r="E831" s="32">
        <v>1250000</v>
      </c>
      <c r="F831" s="32">
        <v>2500000</v>
      </c>
    </row>
    <row r="832" spans="1:6">
      <c r="A832" t="str">
        <f t="shared" si="13"/>
        <v>46523P-1</v>
      </c>
      <c r="B832" t="s">
        <v>1222</v>
      </c>
      <c r="C832" t="s">
        <v>1805</v>
      </c>
      <c r="D832" s="32">
        <v>25000</v>
      </c>
      <c r="E832" s="32">
        <v>25000</v>
      </c>
      <c r="F832" s="32">
        <v>50000</v>
      </c>
    </row>
    <row r="833" spans="1:6">
      <c r="A833" t="str">
        <f t="shared" si="13"/>
        <v>46526A-1</v>
      </c>
      <c r="B833" t="s">
        <v>1222</v>
      </c>
      <c r="C833" t="s">
        <v>1908</v>
      </c>
      <c r="D833" s="32">
        <v>1000000</v>
      </c>
      <c r="E833" s="32">
        <v>1000000</v>
      </c>
      <c r="F833" s="32">
        <v>2000000</v>
      </c>
    </row>
    <row r="834" spans="1:6">
      <c r="A834" t="str">
        <f t="shared" si="13"/>
        <v>46526C-1</v>
      </c>
      <c r="B834" t="s">
        <v>1222</v>
      </c>
      <c r="C834" t="s">
        <v>1956</v>
      </c>
      <c r="D834" s="32">
        <v>1365000</v>
      </c>
      <c r="E834" s="32">
        <v>2518000</v>
      </c>
      <c r="F834" s="32">
        <v>3883000</v>
      </c>
    </row>
    <row r="835" spans="1:6">
      <c r="A835" t="str">
        <f t="shared" si="13"/>
        <v>46526D-1</v>
      </c>
      <c r="B835" t="s">
        <v>1222</v>
      </c>
      <c r="C835" t="s">
        <v>1958</v>
      </c>
      <c r="D835" s="32">
        <v>742500</v>
      </c>
      <c r="E835" s="32">
        <v>1282500</v>
      </c>
      <c r="F835" s="32">
        <v>2025000</v>
      </c>
    </row>
    <row r="836" spans="1:6">
      <c r="A836" t="str">
        <f t="shared" si="13"/>
        <v>467001-1</v>
      </c>
      <c r="B836" t="s">
        <v>1183</v>
      </c>
      <c r="C836" t="s">
        <v>621</v>
      </c>
      <c r="D836" s="32">
        <v>10572000</v>
      </c>
      <c r="E836" s="32">
        <v>7370000</v>
      </c>
      <c r="F836" s="32">
        <v>17942000</v>
      </c>
    </row>
    <row r="837" spans="1:6">
      <c r="A837" t="str">
        <f t="shared" si="13"/>
        <v>467001-2</v>
      </c>
      <c r="B837" t="s">
        <v>1183</v>
      </c>
      <c r="C837" t="s">
        <v>622</v>
      </c>
      <c r="D837" s="32">
        <v>55600000</v>
      </c>
      <c r="E837" s="32">
        <v>55597000</v>
      </c>
      <c r="F837" s="32">
        <v>111197000</v>
      </c>
    </row>
    <row r="838" spans="1:6">
      <c r="A838" t="str">
        <f t="shared" si="13"/>
        <v>467001-7</v>
      </c>
      <c r="B838" t="s">
        <v>1183</v>
      </c>
      <c r="C838" t="s">
        <v>632</v>
      </c>
      <c r="D838" s="32">
        <v>12000</v>
      </c>
      <c r="E838" s="32">
        <v>12000</v>
      </c>
      <c r="F838" s="32">
        <v>24000</v>
      </c>
    </row>
    <row r="839" spans="1:6">
      <c r="A839" t="str">
        <f t="shared" si="13"/>
        <v>46702R-1</v>
      </c>
      <c r="B839" t="s">
        <v>1183</v>
      </c>
      <c r="C839" t="s">
        <v>1226</v>
      </c>
      <c r="D839" s="32">
        <v>1979000</v>
      </c>
      <c r="E839" s="32">
        <v>1984000</v>
      </c>
      <c r="F839" s="32">
        <v>3963000</v>
      </c>
    </row>
    <row r="840" spans="1:6">
      <c r="A840" t="str">
        <f t="shared" si="13"/>
        <v>467057-1</v>
      </c>
      <c r="B840" t="s">
        <v>1183</v>
      </c>
      <c r="C840" t="s">
        <v>623</v>
      </c>
      <c r="D840" s="32">
        <v>78736500</v>
      </c>
      <c r="E840" s="32">
        <v>78736500</v>
      </c>
      <c r="F840" s="32">
        <v>157473000</v>
      </c>
    </row>
    <row r="841" spans="1:6">
      <c r="A841" t="str">
        <f t="shared" si="13"/>
        <v>467146-1</v>
      </c>
      <c r="B841" t="s">
        <v>1183</v>
      </c>
      <c r="C841" t="s">
        <v>1221</v>
      </c>
      <c r="D841" s="32">
        <v>439000</v>
      </c>
      <c r="E841" s="32">
        <v>438000</v>
      </c>
      <c r="F841" s="32">
        <v>877000</v>
      </c>
    </row>
    <row r="842" spans="1:6">
      <c r="A842" t="str">
        <f t="shared" si="13"/>
        <v>467267-1</v>
      </c>
      <c r="B842" t="s">
        <v>1183</v>
      </c>
      <c r="C842" t="s">
        <v>1184</v>
      </c>
      <c r="D842" s="32">
        <v>9427000</v>
      </c>
      <c r="E842" s="32">
        <v>9497000</v>
      </c>
      <c r="F842" s="32">
        <v>18924000</v>
      </c>
    </row>
    <row r="843" spans="1:6">
      <c r="A843" t="str">
        <f t="shared" si="13"/>
        <v>467268-1</v>
      </c>
      <c r="B843" t="s">
        <v>1183</v>
      </c>
      <c r="C843" t="s">
        <v>1234</v>
      </c>
      <c r="D843" s="32">
        <v>6812500</v>
      </c>
      <c r="E843" s="32">
        <v>6814500</v>
      </c>
      <c r="F843" s="32">
        <v>13627000</v>
      </c>
    </row>
    <row r="844" spans="1:6">
      <c r="A844" t="str">
        <f t="shared" si="13"/>
        <v>467355-1</v>
      </c>
      <c r="B844" t="s">
        <v>1183</v>
      </c>
      <c r="C844" t="s">
        <v>648</v>
      </c>
      <c r="D844" s="32">
        <v>1200000</v>
      </c>
      <c r="E844" s="32">
        <v>1200000</v>
      </c>
      <c r="F844" s="32">
        <v>2400000</v>
      </c>
    </row>
    <row r="845" spans="1:6">
      <c r="A845" t="str">
        <f t="shared" si="13"/>
        <v>467070-1</v>
      </c>
      <c r="B845" t="s">
        <v>1183</v>
      </c>
      <c r="C845" t="s">
        <v>1750</v>
      </c>
      <c r="D845" s="32">
        <v>27000000</v>
      </c>
      <c r="E845" s="32">
        <v>27000000</v>
      </c>
      <c r="F845" s="32">
        <v>54000000</v>
      </c>
    </row>
    <row r="846" spans="1:6">
      <c r="A846" t="str">
        <f t="shared" si="13"/>
        <v>46709C-1</v>
      </c>
      <c r="B846" t="s">
        <v>1183</v>
      </c>
      <c r="C846" t="s">
        <v>1751</v>
      </c>
      <c r="D846" s="32">
        <v>6000000</v>
      </c>
      <c r="E846" s="32">
        <v>6000000</v>
      </c>
      <c r="F846" s="32">
        <v>12000000</v>
      </c>
    </row>
    <row r="847" spans="1:6">
      <c r="A847" t="str">
        <f t="shared" si="13"/>
        <v>467244-1</v>
      </c>
      <c r="B847" t="s">
        <v>1183</v>
      </c>
      <c r="C847" t="s">
        <v>1752</v>
      </c>
      <c r="D847" s="32">
        <v>27000000</v>
      </c>
      <c r="E847" s="32">
        <v>27000000</v>
      </c>
      <c r="F847" s="32">
        <v>54000000</v>
      </c>
    </row>
    <row r="848" spans="1:6">
      <c r="A848" t="str">
        <f t="shared" si="13"/>
        <v>46726B-1</v>
      </c>
      <c r="B848" t="s">
        <v>1183</v>
      </c>
      <c r="C848" t="s">
        <v>1914</v>
      </c>
      <c r="D848" s="32">
        <v>200000</v>
      </c>
      <c r="E848" s="32"/>
      <c r="F848" s="32">
        <v>200000</v>
      </c>
    </row>
    <row r="849" spans="1:6">
      <c r="A849" t="str">
        <f t="shared" si="13"/>
        <v>467818-1</v>
      </c>
      <c r="B849" t="s">
        <v>1183</v>
      </c>
      <c r="C849" t="s">
        <v>1918</v>
      </c>
      <c r="D849" s="32">
        <v>8520000</v>
      </c>
      <c r="E849" s="32">
        <v>8520000</v>
      </c>
      <c r="F849" s="32">
        <v>17040000</v>
      </c>
    </row>
    <row r="850" spans="1:6">
      <c r="A850" t="str">
        <f t="shared" ref="A850:A913" si="14">+B850&amp;C850</f>
        <v>46726D-1</v>
      </c>
      <c r="B850" t="s">
        <v>1183</v>
      </c>
      <c r="C850" t="s">
        <v>1958</v>
      </c>
      <c r="D850" s="32">
        <v>68197500</v>
      </c>
      <c r="E850" s="32">
        <v>68193500</v>
      </c>
      <c r="F850" s="32">
        <v>136391000</v>
      </c>
    </row>
    <row r="851" spans="1:6">
      <c r="A851" t="str">
        <f t="shared" si="14"/>
        <v>468001-1</v>
      </c>
      <c r="B851" t="s">
        <v>1286</v>
      </c>
      <c r="C851" t="s">
        <v>621</v>
      </c>
      <c r="D851" s="32">
        <v>3483000</v>
      </c>
      <c r="E851" s="32">
        <v>4308000</v>
      </c>
      <c r="F851" s="32">
        <v>7791000</v>
      </c>
    </row>
    <row r="852" spans="1:6">
      <c r="A852" t="str">
        <f t="shared" si="14"/>
        <v>46826B-1</v>
      </c>
      <c r="B852" t="s">
        <v>1286</v>
      </c>
      <c r="C852" t="s">
        <v>1914</v>
      </c>
      <c r="D852" s="32">
        <v>449000</v>
      </c>
      <c r="E852" s="32">
        <v>449000</v>
      </c>
      <c r="F852" s="32">
        <v>898000</v>
      </c>
    </row>
    <row r="853" spans="1:6">
      <c r="A853" t="str">
        <f t="shared" si="14"/>
        <v>471001-1</v>
      </c>
      <c r="B853" t="s">
        <v>1218</v>
      </c>
      <c r="C853" t="s">
        <v>621</v>
      </c>
      <c r="D853" s="32">
        <v>16459000</v>
      </c>
      <c r="E853" s="32">
        <v>20692000</v>
      </c>
      <c r="F853" s="32">
        <v>37151000</v>
      </c>
    </row>
    <row r="854" spans="1:6">
      <c r="A854" t="str">
        <f t="shared" si="14"/>
        <v>471001-2</v>
      </c>
      <c r="B854" t="s">
        <v>1218</v>
      </c>
      <c r="C854" t="s">
        <v>622</v>
      </c>
      <c r="D854" s="32">
        <v>941000</v>
      </c>
      <c r="E854" s="32">
        <v>1541000</v>
      </c>
      <c r="F854" s="32">
        <v>2482000</v>
      </c>
    </row>
    <row r="855" spans="1:6">
      <c r="A855" t="str">
        <f t="shared" si="14"/>
        <v>471057-1</v>
      </c>
      <c r="B855" t="s">
        <v>1218</v>
      </c>
      <c r="C855" t="s">
        <v>623</v>
      </c>
      <c r="D855" s="32">
        <v>13730500</v>
      </c>
      <c r="E855" s="32">
        <v>13730500</v>
      </c>
      <c r="F855" s="32">
        <v>27461000</v>
      </c>
    </row>
    <row r="856" spans="1:6">
      <c r="A856" t="str">
        <f t="shared" si="14"/>
        <v>471058-1</v>
      </c>
      <c r="B856" t="s">
        <v>1218</v>
      </c>
      <c r="C856" t="s">
        <v>1203</v>
      </c>
      <c r="D856" s="32">
        <v>4989000</v>
      </c>
      <c r="E856" s="32">
        <v>5343000</v>
      </c>
      <c r="F856" s="32">
        <v>10332000</v>
      </c>
    </row>
    <row r="857" spans="1:6">
      <c r="A857" t="str">
        <f t="shared" si="14"/>
        <v>471552-1</v>
      </c>
      <c r="B857" t="s">
        <v>1218</v>
      </c>
      <c r="C857" t="s">
        <v>1753</v>
      </c>
      <c r="D857" s="32">
        <v>50000</v>
      </c>
      <c r="E857" s="32">
        <v>50000</v>
      </c>
      <c r="F857" s="32">
        <v>100000</v>
      </c>
    </row>
    <row r="858" spans="1:6">
      <c r="A858" t="str">
        <f t="shared" si="14"/>
        <v>47123P-1</v>
      </c>
      <c r="B858" t="s">
        <v>1218</v>
      </c>
      <c r="C858" t="s">
        <v>1805</v>
      </c>
      <c r="D858" s="32">
        <v>555000</v>
      </c>
      <c r="E858" s="32">
        <v>555000</v>
      </c>
      <c r="F858" s="32">
        <v>1110000</v>
      </c>
    </row>
    <row r="859" spans="1:6">
      <c r="A859" t="str">
        <f t="shared" si="14"/>
        <v>47126B-1</v>
      </c>
      <c r="B859" t="s">
        <v>1218</v>
      </c>
      <c r="C859" t="s">
        <v>1914</v>
      </c>
      <c r="D859" s="32">
        <v>250000</v>
      </c>
      <c r="E859" s="32"/>
      <c r="F859" s="32">
        <v>250000</v>
      </c>
    </row>
    <row r="860" spans="1:6">
      <c r="A860" t="str">
        <f t="shared" si="14"/>
        <v>47126C-1</v>
      </c>
      <c r="B860" t="s">
        <v>1218</v>
      </c>
      <c r="C860" t="s">
        <v>1956</v>
      </c>
      <c r="D860" s="32">
        <v>17750000</v>
      </c>
      <c r="E860" s="32">
        <v>12450000</v>
      </c>
      <c r="F860" s="32">
        <v>30200000</v>
      </c>
    </row>
    <row r="861" spans="1:6">
      <c r="A861" t="str">
        <f t="shared" si="14"/>
        <v>47126D-1</v>
      </c>
      <c r="B861" t="s">
        <v>1218</v>
      </c>
      <c r="C861" t="s">
        <v>1958</v>
      </c>
      <c r="D861" s="32">
        <v>27417000</v>
      </c>
      <c r="E861" s="32">
        <v>28606000</v>
      </c>
      <c r="F861" s="32">
        <v>56023000</v>
      </c>
    </row>
    <row r="862" spans="1:6">
      <c r="A862" t="str">
        <f t="shared" si="14"/>
        <v>477001-1</v>
      </c>
      <c r="B862" t="s">
        <v>1207</v>
      </c>
      <c r="C862" t="s">
        <v>621</v>
      </c>
      <c r="D862" s="32">
        <v>162299000</v>
      </c>
      <c r="E862" s="32">
        <v>183753000</v>
      </c>
      <c r="F862" s="32">
        <v>346052000</v>
      </c>
    </row>
    <row r="863" spans="1:6">
      <c r="A863" t="str">
        <f t="shared" si="14"/>
        <v>477001-2</v>
      </c>
      <c r="B863" t="s">
        <v>1207</v>
      </c>
      <c r="C863" t="s">
        <v>622</v>
      </c>
      <c r="D863" s="32">
        <v>102580000</v>
      </c>
      <c r="E863" s="32">
        <v>123075000</v>
      </c>
      <c r="F863" s="32">
        <v>225655000</v>
      </c>
    </row>
    <row r="864" spans="1:6">
      <c r="A864" t="str">
        <f t="shared" si="14"/>
        <v>477001-7</v>
      </c>
      <c r="B864" t="s">
        <v>1207</v>
      </c>
      <c r="C864" t="s">
        <v>632</v>
      </c>
      <c r="D864" s="32">
        <v>35718000</v>
      </c>
      <c r="E864" s="32">
        <v>35302000</v>
      </c>
      <c r="F864" s="32">
        <v>71020000</v>
      </c>
    </row>
    <row r="865" spans="1:6">
      <c r="A865" t="str">
        <f t="shared" si="14"/>
        <v>47701B-1</v>
      </c>
      <c r="B865" t="s">
        <v>1207</v>
      </c>
      <c r="C865" t="s">
        <v>1223</v>
      </c>
      <c r="D865" s="32">
        <v>353000</v>
      </c>
      <c r="E865" s="32">
        <v>343000</v>
      </c>
      <c r="F865" s="32">
        <v>696000</v>
      </c>
    </row>
    <row r="866" spans="1:6">
      <c r="A866" t="str">
        <f t="shared" si="14"/>
        <v>47702R-1</v>
      </c>
      <c r="B866" t="s">
        <v>1207</v>
      </c>
      <c r="C866" t="s">
        <v>1226</v>
      </c>
      <c r="D866" s="32">
        <v>6893000</v>
      </c>
      <c r="E866" s="32">
        <v>7231000</v>
      </c>
      <c r="F866" s="32">
        <v>14124000</v>
      </c>
    </row>
    <row r="867" spans="1:6">
      <c r="A867" t="str">
        <f t="shared" si="14"/>
        <v>47704M-1</v>
      </c>
      <c r="B867" t="s">
        <v>1207</v>
      </c>
      <c r="C867" t="s">
        <v>1295</v>
      </c>
      <c r="D867" s="32">
        <v>2018000</v>
      </c>
      <c r="E867" s="32">
        <v>1738000</v>
      </c>
      <c r="F867" s="32">
        <v>3756000</v>
      </c>
    </row>
    <row r="868" spans="1:6">
      <c r="A868" t="str">
        <f t="shared" si="14"/>
        <v>477057-1</v>
      </c>
      <c r="B868" t="s">
        <v>1207</v>
      </c>
      <c r="C868" t="s">
        <v>623</v>
      </c>
      <c r="D868" s="32">
        <v>39762500</v>
      </c>
      <c r="E868" s="32">
        <v>39762500</v>
      </c>
      <c r="F868" s="32">
        <v>79525000</v>
      </c>
    </row>
    <row r="869" spans="1:6">
      <c r="A869" t="str">
        <f t="shared" si="14"/>
        <v>477071-1</v>
      </c>
      <c r="B869" t="s">
        <v>1207</v>
      </c>
      <c r="C869" t="s">
        <v>1208</v>
      </c>
      <c r="D869" s="32">
        <v>1541000</v>
      </c>
      <c r="E869" s="32">
        <v>1547000</v>
      </c>
      <c r="F869" s="32">
        <v>3088000</v>
      </c>
    </row>
    <row r="870" spans="1:6">
      <c r="A870" t="str">
        <f t="shared" si="14"/>
        <v>47707V-6</v>
      </c>
      <c r="B870" t="s">
        <v>1207</v>
      </c>
      <c r="C870" t="s">
        <v>1470</v>
      </c>
      <c r="D870" s="32">
        <v>215000</v>
      </c>
      <c r="E870" s="32">
        <v>215000</v>
      </c>
      <c r="F870" s="32">
        <v>430000</v>
      </c>
    </row>
    <row r="871" spans="1:6">
      <c r="A871" t="str">
        <f t="shared" si="14"/>
        <v>477098-1</v>
      </c>
      <c r="B871" t="s">
        <v>1207</v>
      </c>
      <c r="C871" t="s">
        <v>1447</v>
      </c>
      <c r="D871" s="32">
        <v>251000</v>
      </c>
      <c r="E871" s="32">
        <v>424000</v>
      </c>
      <c r="F871" s="32">
        <v>675000</v>
      </c>
    </row>
    <row r="872" spans="1:6">
      <c r="A872" t="str">
        <f t="shared" si="14"/>
        <v>47709J-6</v>
      </c>
      <c r="B872" t="s">
        <v>1207</v>
      </c>
      <c r="C872" t="s">
        <v>1512</v>
      </c>
      <c r="D872" s="32">
        <v>66000</v>
      </c>
      <c r="E872" s="32">
        <v>68000</v>
      </c>
      <c r="F872" s="32">
        <v>134000</v>
      </c>
    </row>
    <row r="873" spans="1:6">
      <c r="A873" t="str">
        <f t="shared" si="14"/>
        <v>477104-1</v>
      </c>
      <c r="B873" t="s">
        <v>1207</v>
      </c>
      <c r="C873" t="s">
        <v>1271</v>
      </c>
      <c r="D873" s="32">
        <v>16037000</v>
      </c>
      <c r="E873" s="32">
        <v>21510000</v>
      </c>
      <c r="F873" s="32">
        <v>37547000</v>
      </c>
    </row>
    <row r="874" spans="1:6">
      <c r="A874" t="str">
        <f t="shared" si="14"/>
        <v>477110-1</v>
      </c>
      <c r="B874" t="s">
        <v>1207</v>
      </c>
      <c r="C874" t="s">
        <v>1476</v>
      </c>
      <c r="D874" s="32">
        <v>1480000</v>
      </c>
      <c r="E874" s="32">
        <v>1445000</v>
      </c>
      <c r="F874" s="32">
        <v>2925000</v>
      </c>
    </row>
    <row r="875" spans="1:6">
      <c r="A875" t="str">
        <f t="shared" si="14"/>
        <v>477110-2</v>
      </c>
      <c r="B875" t="s">
        <v>1207</v>
      </c>
      <c r="C875" t="s">
        <v>1303</v>
      </c>
      <c r="D875" s="32">
        <v>766000</v>
      </c>
      <c r="E875" s="32">
        <v>765000</v>
      </c>
      <c r="F875" s="32">
        <v>1531000</v>
      </c>
    </row>
    <row r="876" spans="1:6">
      <c r="A876" t="str">
        <f t="shared" si="14"/>
        <v>477110-7</v>
      </c>
      <c r="B876" t="s">
        <v>1207</v>
      </c>
      <c r="C876" t="s">
        <v>1229</v>
      </c>
      <c r="D876" s="32">
        <v>2243000</v>
      </c>
      <c r="E876" s="32">
        <v>2599000</v>
      </c>
      <c r="F876" s="32">
        <v>4842000</v>
      </c>
    </row>
    <row r="877" spans="1:6">
      <c r="A877" t="str">
        <f t="shared" si="14"/>
        <v>47712G-6</v>
      </c>
      <c r="B877" t="s">
        <v>1207</v>
      </c>
      <c r="C877" t="s">
        <v>1463</v>
      </c>
      <c r="D877" s="32">
        <v>267000</v>
      </c>
      <c r="E877" s="32">
        <v>258000</v>
      </c>
      <c r="F877" s="32">
        <v>525000</v>
      </c>
    </row>
    <row r="878" spans="1:6">
      <c r="A878" t="str">
        <f t="shared" si="14"/>
        <v>47714A-1</v>
      </c>
      <c r="B878" t="s">
        <v>1207</v>
      </c>
      <c r="C878" t="s">
        <v>1457</v>
      </c>
      <c r="D878" s="32">
        <v>331000</v>
      </c>
      <c r="E878" s="32">
        <v>330000</v>
      </c>
      <c r="F878" s="32">
        <v>661000</v>
      </c>
    </row>
    <row r="879" spans="1:6">
      <c r="A879" t="str">
        <f t="shared" si="14"/>
        <v>47719W-6</v>
      </c>
      <c r="B879" t="s">
        <v>1207</v>
      </c>
      <c r="C879" t="s">
        <v>1622</v>
      </c>
      <c r="D879" s="32">
        <v>50000</v>
      </c>
      <c r="E879" s="32">
        <v>50000</v>
      </c>
      <c r="F879" s="32">
        <v>100000</v>
      </c>
    </row>
    <row r="880" spans="1:6">
      <c r="A880" t="str">
        <f t="shared" si="14"/>
        <v>477200-2</v>
      </c>
      <c r="B880" t="s">
        <v>1207</v>
      </c>
      <c r="C880" t="s">
        <v>1494</v>
      </c>
      <c r="D880" s="32">
        <v>2377000</v>
      </c>
      <c r="E880" s="32">
        <v>2624000</v>
      </c>
      <c r="F880" s="32">
        <v>5001000</v>
      </c>
    </row>
    <row r="881" spans="1:6">
      <c r="A881" t="str">
        <f t="shared" si="14"/>
        <v>477209-6</v>
      </c>
      <c r="B881" t="s">
        <v>1207</v>
      </c>
      <c r="C881" t="s">
        <v>1316</v>
      </c>
      <c r="D881" s="32">
        <v>1232000</v>
      </c>
      <c r="E881" s="32">
        <v>1045000</v>
      </c>
      <c r="F881" s="32">
        <v>2277000</v>
      </c>
    </row>
    <row r="882" spans="1:6">
      <c r="A882" t="str">
        <f t="shared" si="14"/>
        <v>477217-1</v>
      </c>
      <c r="B882" t="s">
        <v>1207</v>
      </c>
      <c r="C882" t="s">
        <v>1438</v>
      </c>
      <c r="D882" s="32">
        <v>580000</v>
      </c>
      <c r="E882" s="32">
        <v>704000</v>
      </c>
      <c r="F882" s="32">
        <v>1284000</v>
      </c>
    </row>
    <row r="883" spans="1:6">
      <c r="A883" t="str">
        <f t="shared" si="14"/>
        <v>477259-6</v>
      </c>
      <c r="B883" t="s">
        <v>1207</v>
      </c>
      <c r="C883" t="s">
        <v>1496</v>
      </c>
      <c r="D883" s="32">
        <v>50000</v>
      </c>
      <c r="E883" s="32">
        <v>49000</v>
      </c>
      <c r="F883" s="32">
        <v>99000</v>
      </c>
    </row>
    <row r="884" spans="1:6">
      <c r="A884" t="str">
        <f t="shared" si="14"/>
        <v>477320-6</v>
      </c>
      <c r="B884" t="s">
        <v>1207</v>
      </c>
      <c r="C884" t="s">
        <v>1400</v>
      </c>
      <c r="D884" s="32">
        <v>24000</v>
      </c>
      <c r="E884" s="32">
        <v>18000</v>
      </c>
      <c r="F884" s="32">
        <v>42000</v>
      </c>
    </row>
    <row r="885" spans="1:6">
      <c r="A885" t="str">
        <f t="shared" si="14"/>
        <v>477355-1</v>
      </c>
      <c r="B885" t="s">
        <v>1207</v>
      </c>
      <c r="C885" t="s">
        <v>648</v>
      </c>
      <c r="D885" s="32">
        <v>1741500</v>
      </c>
      <c r="E885" s="32">
        <v>1741500</v>
      </c>
      <c r="F885" s="32">
        <v>3483000</v>
      </c>
    </row>
    <row r="886" spans="1:6">
      <c r="A886" t="str">
        <f t="shared" si="14"/>
        <v>477444-6</v>
      </c>
      <c r="B886" t="s">
        <v>1207</v>
      </c>
      <c r="C886" t="s">
        <v>1556</v>
      </c>
      <c r="D886" s="32">
        <v>947000</v>
      </c>
      <c r="E886" s="32">
        <v>949000</v>
      </c>
      <c r="F886" s="32">
        <v>1896000</v>
      </c>
    </row>
    <row r="887" spans="1:6">
      <c r="A887" t="str">
        <f t="shared" si="14"/>
        <v>477507-1</v>
      </c>
      <c r="B887" t="s">
        <v>1207</v>
      </c>
      <c r="C887" t="s">
        <v>1342</v>
      </c>
      <c r="D887" s="32">
        <v>423000</v>
      </c>
      <c r="E887" s="32">
        <v>101000</v>
      </c>
      <c r="F887" s="32">
        <v>524000</v>
      </c>
    </row>
    <row r="888" spans="1:6">
      <c r="A888" t="str">
        <f t="shared" si="14"/>
        <v>47714G-1</v>
      </c>
      <c r="B888" t="s">
        <v>1207</v>
      </c>
      <c r="C888" t="s">
        <v>1696</v>
      </c>
      <c r="D888" s="32">
        <v>5000</v>
      </c>
      <c r="E888" s="32">
        <v>5000</v>
      </c>
      <c r="F888" s="32">
        <v>10000</v>
      </c>
    </row>
    <row r="889" spans="1:6">
      <c r="A889" t="str">
        <f t="shared" si="14"/>
        <v>47721S-1</v>
      </c>
      <c r="B889" t="s">
        <v>1207</v>
      </c>
      <c r="C889" t="s">
        <v>1708</v>
      </c>
      <c r="D889" s="32">
        <v>523000</v>
      </c>
      <c r="E889" s="32">
        <v>634000</v>
      </c>
      <c r="F889" s="32">
        <v>1157000</v>
      </c>
    </row>
    <row r="890" spans="1:6">
      <c r="A890" t="str">
        <f t="shared" si="14"/>
        <v>47723P-1</v>
      </c>
      <c r="B890" t="s">
        <v>1207</v>
      </c>
      <c r="C890" t="s">
        <v>1805</v>
      </c>
      <c r="D890" s="32">
        <v>3881000</v>
      </c>
      <c r="E890" s="32">
        <v>3843000</v>
      </c>
      <c r="F890" s="32">
        <v>7724000</v>
      </c>
    </row>
    <row r="891" spans="1:6">
      <c r="A891" t="str">
        <f t="shared" si="14"/>
        <v>47723N-1</v>
      </c>
      <c r="B891" t="s">
        <v>1207</v>
      </c>
      <c r="C891" t="s">
        <v>1811</v>
      </c>
      <c r="D891" s="32">
        <v>4323500</v>
      </c>
      <c r="E891" s="32">
        <v>4323500</v>
      </c>
      <c r="F891" s="32">
        <v>8647000</v>
      </c>
    </row>
    <row r="892" spans="1:6">
      <c r="A892" t="str">
        <f t="shared" si="14"/>
        <v>47722N-6</v>
      </c>
      <c r="B892" t="s">
        <v>1207</v>
      </c>
      <c r="C892" t="s">
        <v>1830</v>
      </c>
      <c r="D892" s="32">
        <v>50000</v>
      </c>
      <c r="E892" s="32">
        <v>50000</v>
      </c>
      <c r="F892" s="32">
        <v>100000</v>
      </c>
    </row>
    <row r="893" spans="1:6">
      <c r="A893" t="str">
        <f t="shared" si="14"/>
        <v>47706A-1</v>
      </c>
      <c r="B893" t="s">
        <v>1207</v>
      </c>
      <c r="C893" t="s">
        <v>1917</v>
      </c>
      <c r="D893" s="32">
        <v>1500000</v>
      </c>
      <c r="E893" s="32">
        <v>1500000</v>
      </c>
      <c r="F893" s="32">
        <v>3000000</v>
      </c>
    </row>
    <row r="894" spans="1:6">
      <c r="A894" t="str">
        <f t="shared" si="14"/>
        <v>47724N-1</v>
      </c>
      <c r="B894" t="s">
        <v>1207</v>
      </c>
      <c r="C894" t="s">
        <v>1919</v>
      </c>
      <c r="D894" s="32">
        <v>41965000</v>
      </c>
      <c r="E894" s="32">
        <v>42510000</v>
      </c>
      <c r="F894" s="32">
        <v>84475000</v>
      </c>
    </row>
    <row r="895" spans="1:6">
      <c r="A895" t="str">
        <f t="shared" si="14"/>
        <v>47725F-1</v>
      </c>
      <c r="B895" t="s">
        <v>1207</v>
      </c>
      <c r="C895" t="s">
        <v>1920</v>
      </c>
      <c r="D895" s="32">
        <v>2000000</v>
      </c>
      <c r="E895" s="32">
        <v>2000000</v>
      </c>
      <c r="F895" s="32">
        <v>4000000</v>
      </c>
    </row>
    <row r="896" spans="1:6">
      <c r="A896" t="str">
        <f t="shared" si="14"/>
        <v>47726C-1</v>
      </c>
      <c r="B896" t="s">
        <v>1207</v>
      </c>
      <c r="C896" t="s">
        <v>1956</v>
      </c>
      <c r="D896" s="32">
        <v>1761000</v>
      </c>
      <c r="E896" s="32">
        <v>1637000</v>
      </c>
      <c r="F896" s="32">
        <v>3398000</v>
      </c>
    </row>
    <row r="897" spans="1:6">
      <c r="A897" t="str">
        <f t="shared" si="14"/>
        <v>47726D-1</v>
      </c>
      <c r="B897" t="s">
        <v>1207</v>
      </c>
      <c r="C897" t="s">
        <v>1958</v>
      </c>
      <c r="D897" s="32">
        <v>2050000</v>
      </c>
      <c r="E897" s="32">
        <v>3698000</v>
      </c>
      <c r="F897" s="32">
        <v>5748000</v>
      </c>
    </row>
    <row r="898" spans="1:6">
      <c r="A898" t="str">
        <f t="shared" si="14"/>
        <v>478001-1</v>
      </c>
      <c r="B898" t="s">
        <v>1185</v>
      </c>
      <c r="C898" t="s">
        <v>621</v>
      </c>
      <c r="D898" s="32">
        <v>9217000</v>
      </c>
      <c r="E898" s="32">
        <v>9288000</v>
      </c>
      <c r="F898" s="32">
        <v>18505000</v>
      </c>
    </row>
    <row r="899" spans="1:6">
      <c r="A899" t="str">
        <f t="shared" si="14"/>
        <v>478001-2</v>
      </c>
      <c r="B899" t="s">
        <v>1185</v>
      </c>
      <c r="C899" t="s">
        <v>622</v>
      </c>
      <c r="D899" s="32">
        <v>17483000</v>
      </c>
      <c r="E899" s="32">
        <v>14560000</v>
      </c>
      <c r="F899" s="32">
        <v>32043000</v>
      </c>
    </row>
    <row r="900" spans="1:6">
      <c r="A900" t="str">
        <f t="shared" si="14"/>
        <v>47802R-1</v>
      </c>
      <c r="B900" t="s">
        <v>1185</v>
      </c>
      <c r="C900" t="s">
        <v>1226</v>
      </c>
      <c r="D900" s="32">
        <v>752000</v>
      </c>
      <c r="E900" s="32">
        <v>752000</v>
      </c>
      <c r="F900" s="32">
        <v>1504000</v>
      </c>
    </row>
    <row r="901" spans="1:6">
      <c r="A901" t="str">
        <f t="shared" si="14"/>
        <v>47823P-1</v>
      </c>
      <c r="B901" t="s">
        <v>1185</v>
      </c>
      <c r="C901" t="s">
        <v>1805</v>
      </c>
      <c r="D901" s="32">
        <v>675000</v>
      </c>
      <c r="E901" s="32">
        <v>676000</v>
      </c>
      <c r="F901" s="32">
        <v>1351000</v>
      </c>
    </row>
    <row r="902" spans="1:6">
      <c r="A902" t="str">
        <f t="shared" si="14"/>
        <v>490001-1</v>
      </c>
      <c r="B902" t="s">
        <v>1194</v>
      </c>
      <c r="C902" t="s">
        <v>621</v>
      </c>
      <c r="D902" s="32">
        <v>180560000</v>
      </c>
      <c r="E902" s="32">
        <v>159163000</v>
      </c>
      <c r="F902" s="32">
        <v>339723000</v>
      </c>
    </row>
    <row r="903" spans="1:6">
      <c r="A903" t="str">
        <f t="shared" si="14"/>
        <v>490001-2</v>
      </c>
      <c r="B903" t="s">
        <v>1194</v>
      </c>
      <c r="C903" t="s">
        <v>622</v>
      </c>
      <c r="D903" s="32">
        <v>56902000</v>
      </c>
      <c r="E903" s="32">
        <v>60249000</v>
      </c>
      <c r="F903" s="32">
        <v>117151000</v>
      </c>
    </row>
    <row r="904" spans="1:6">
      <c r="A904" t="str">
        <f t="shared" si="14"/>
        <v>490001-7</v>
      </c>
      <c r="B904" t="s">
        <v>1194</v>
      </c>
      <c r="C904" t="s">
        <v>632</v>
      </c>
      <c r="D904" s="32">
        <v>4028000</v>
      </c>
      <c r="E904" s="32">
        <v>2026000</v>
      </c>
      <c r="F904" s="32">
        <v>6054000</v>
      </c>
    </row>
    <row r="905" spans="1:6">
      <c r="A905" t="str">
        <f t="shared" si="14"/>
        <v>490014-1</v>
      </c>
      <c r="B905" t="s">
        <v>1194</v>
      </c>
      <c r="C905" t="s">
        <v>1360</v>
      </c>
      <c r="D905" s="32">
        <v>28363000</v>
      </c>
      <c r="E905" s="32">
        <v>30237000</v>
      </c>
      <c r="F905" s="32">
        <v>58600000</v>
      </c>
    </row>
    <row r="906" spans="1:6">
      <c r="A906" t="str">
        <f t="shared" si="14"/>
        <v>49001B-1</v>
      </c>
      <c r="B906" t="s">
        <v>1194</v>
      </c>
      <c r="C906" t="s">
        <v>1223</v>
      </c>
      <c r="D906" s="32">
        <v>3885000</v>
      </c>
      <c r="E906" s="32">
        <v>4110000</v>
      </c>
      <c r="F906" s="32">
        <v>7995000</v>
      </c>
    </row>
    <row r="907" spans="1:6">
      <c r="A907" t="str">
        <f t="shared" si="14"/>
        <v>49002A-1</v>
      </c>
      <c r="B907" t="s">
        <v>1194</v>
      </c>
      <c r="C907" t="s">
        <v>1317</v>
      </c>
      <c r="D907" s="32">
        <v>1327000</v>
      </c>
      <c r="E907" s="32">
        <v>1054000</v>
      </c>
      <c r="F907" s="32">
        <v>2381000</v>
      </c>
    </row>
    <row r="908" spans="1:6">
      <c r="A908" t="str">
        <f t="shared" si="14"/>
        <v>49002R-1</v>
      </c>
      <c r="B908" t="s">
        <v>1194</v>
      </c>
      <c r="C908" t="s">
        <v>1226</v>
      </c>
      <c r="D908" s="32">
        <v>9875000</v>
      </c>
      <c r="E908" s="32">
        <v>12058000</v>
      </c>
      <c r="F908" s="32">
        <v>21933000</v>
      </c>
    </row>
    <row r="909" spans="1:6">
      <c r="A909" t="str">
        <f t="shared" si="14"/>
        <v>490030-6</v>
      </c>
      <c r="B909" t="s">
        <v>1194</v>
      </c>
      <c r="C909" t="s">
        <v>1246</v>
      </c>
      <c r="D909" s="32">
        <v>2388000</v>
      </c>
      <c r="E909" s="32">
        <v>2388000</v>
      </c>
      <c r="F909" s="32">
        <v>4776000</v>
      </c>
    </row>
    <row r="910" spans="1:6">
      <c r="A910" t="str">
        <f t="shared" si="14"/>
        <v>490041-1</v>
      </c>
      <c r="B910" t="s">
        <v>1194</v>
      </c>
      <c r="C910" t="s">
        <v>1293</v>
      </c>
      <c r="D910" s="32">
        <v>64164000</v>
      </c>
      <c r="E910" s="32">
        <v>64133000</v>
      </c>
      <c r="F910" s="32">
        <v>128297000</v>
      </c>
    </row>
    <row r="911" spans="1:6">
      <c r="A911" t="str">
        <f t="shared" si="14"/>
        <v>49004H-1</v>
      </c>
      <c r="B911" t="s">
        <v>1194</v>
      </c>
      <c r="C911" t="s">
        <v>1372</v>
      </c>
      <c r="D911" s="32">
        <v>2396000</v>
      </c>
      <c r="E911" s="32">
        <v>2321000</v>
      </c>
      <c r="F911" s="32">
        <v>4717000</v>
      </c>
    </row>
    <row r="912" spans="1:6">
      <c r="A912" t="str">
        <f t="shared" si="14"/>
        <v>490057-1</v>
      </c>
      <c r="B912" t="s">
        <v>1194</v>
      </c>
      <c r="C912" t="s">
        <v>623</v>
      </c>
      <c r="D912" s="32">
        <v>33758500</v>
      </c>
      <c r="E912" s="32">
        <v>33758500</v>
      </c>
      <c r="F912" s="32">
        <v>67517000</v>
      </c>
    </row>
    <row r="913" spans="1:6">
      <c r="A913" t="str">
        <f t="shared" si="14"/>
        <v>49005H-1</v>
      </c>
      <c r="B913" t="s">
        <v>1194</v>
      </c>
      <c r="C913" t="s">
        <v>1248</v>
      </c>
      <c r="D913" s="32">
        <v>11816000</v>
      </c>
      <c r="E913" s="32">
        <v>11826000</v>
      </c>
      <c r="F913" s="32">
        <v>23642000</v>
      </c>
    </row>
    <row r="914" spans="1:6">
      <c r="A914" t="str">
        <f t="shared" ref="A914:A977" si="15">+B914&amp;C914</f>
        <v>49007E-6</v>
      </c>
      <c r="B914" t="s">
        <v>1194</v>
      </c>
      <c r="C914" t="s">
        <v>1329</v>
      </c>
      <c r="D914" s="32">
        <v>12000000</v>
      </c>
      <c r="E914" s="32">
        <v>12000000</v>
      </c>
      <c r="F914" s="32">
        <v>24000000</v>
      </c>
    </row>
    <row r="915" spans="1:6">
      <c r="A915" t="str">
        <f t="shared" si="15"/>
        <v>490087-6</v>
      </c>
      <c r="B915" t="s">
        <v>1194</v>
      </c>
      <c r="C915" t="s">
        <v>1401</v>
      </c>
      <c r="D915" s="32">
        <v>2689000</v>
      </c>
      <c r="E915" s="32">
        <v>2754000</v>
      </c>
      <c r="F915" s="32">
        <v>5443000</v>
      </c>
    </row>
    <row r="916" spans="1:6">
      <c r="A916" t="str">
        <f t="shared" si="15"/>
        <v>49011H-1</v>
      </c>
      <c r="B916" t="s">
        <v>1194</v>
      </c>
      <c r="C916" t="s">
        <v>1542</v>
      </c>
      <c r="D916" s="32">
        <v>6802000</v>
      </c>
      <c r="E916" s="32">
        <v>5885000</v>
      </c>
      <c r="F916" s="32">
        <v>12687000</v>
      </c>
    </row>
    <row r="917" spans="1:6">
      <c r="A917" t="str">
        <f t="shared" si="15"/>
        <v>490146-1</v>
      </c>
      <c r="B917" t="s">
        <v>1194</v>
      </c>
      <c r="C917" t="s">
        <v>1221</v>
      </c>
      <c r="D917" s="32">
        <v>450000</v>
      </c>
      <c r="E917" s="32">
        <v>450000</v>
      </c>
      <c r="F917" s="32">
        <v>900000</v>
      </c>
    </row>
    <row r="918" spans="1:6">
      <c r="A918" t="str">
        <f t="shared" si="15"/>
        <v>490158-1</v>
      </c>
      <c r="B918" t="s">
        <v>1194</v>
      </c>
      <c r="C918" t="s">
        <v>1320</v>
      </c>
      <c r="D918" s="32">
        <v>387000</v>
      </c>
      <c r="E918" s="32">
        <v>18000</v>
      </c>
      <c r="F918" s="32">
        <v>405000</v>
      </c>
    </row>
    <row r="919" spans="1:6">
      <c r="A919" t="str">
        <f t="shared" si="15"/>
        <v>490167-1</v>
      </c>
      <c r="B919" t="s">
        <v>1194</v>
      </c>
      <c r="C919" t="s">
        <v>1486</v>
      </c>
      <c r="D919" s="32">
        <v>88000</v>
      </c>
      <c r="E919" s="32">
        <v>124000</v>
      </c>
      <c r="F919" s="32">
        <v>212000</v>
      </c>
    </row>
    <row r="920" spans="1:6">
      <c r="A920" t="str">
        <f t="shared" si="15"/>
        <v>490190-6</v>
      </c>
      <c r="B920" t="s">
        <v>1194</v>
      </c>
      <c r="C920" t="s">
        <v>1384</v>
      </c>
      <c r="D920" s="32">
        <v>14311000</v>
      </c>
      <c r="E920" s="32">
        <v>14483000</v>
      </c>
      <c r="F920" s="32">
        <v>28794000</v>
      </c>
    </row>
    <row r="921" spans="1:6">
      <c r="A921" t="str">
        <f t="shared" si="15"/>
        <v>490193-6</v>
      </c>
      <c r="B921" t="s">
        <v>1194</v>
      </c>
      <c r="C921" t="s">
        <v>1370</v>
      </c>
      <c r="D921" s="32">
        <v>5233000</v>
      </c>
      <c r="E921" s="32">
        <v>5296000</v>
      </c>
      <c r="F921" s="32">
        <v>10529000</v>
      </c>
    </row>
    <row r="922" spans="1:6">
      <c r="A922" t="str">
        <f t="shared" si="15"/>
        <v>490198-6</v>
      </c>
      <c r="B922" t="s">
        <v>1194</v>
      </c>
      <c r="C922" t="s">
        <v>1426</v>
      </c>
      <c r="D922" s="32">
        <v>15818000</v>
      </c>
      <c r="E922" s="32">
        <v>16053000</v>
      </c>
      <c r="F922" s="32">
        <v>31871000</v>
      </c>
    </row>
    <row r="923" spans="1:6">
      <c r="A923" t="str">
        <f t="shared" si="15"/>
        <v>49019C-1</v>
      </c>
      <c r="B923" t="s">
        <v>1194</v>
      </c>
      <c r="C923" t="s">
        <v>1541</v>
      </c>
      <c r="D923" s="32">
        <v>1093000</v>
      </c>
      <c r="E923" s="32">
        <v>1096000</v>
      </c>
      <c r="F923" s="32">
        <v>2189000</v>
      </c>
    </row>
    <row r="924" spans="1:6">
      <c r="A924" t="str">
        <f t="shared" si="15"/>
        <v>490216-1</v>
      </c>
      <c r="B924" t="s">
        <v>1194</v>
      </c>
      <c r="C924" t="s">
        <v>647</v>
      </c>
      <c r="D924" s="32">
        <v>357000</v>
      </c>
      <c r="E924" s="32">
        <v>565000</v>
      </c>
      <c r="F924" s="32">
        <v>922000</v>
      </c>
    </row>
    <row r="925" spans="1:6">
      <c r="A925" t="str">
        <f t="shared" si="15"/>
        <v>490513-1</v>
      </c>
      <c r="B925" t="s">
        <v>1194</v>
      </c>
      <c r="C925" t="s">
        <v>1431</v>
      </c>
      <c r="D925" s="32">
        <v>5276000</v>
      </c>
      <c r="E925" s="32">
        <v>5373000</v>
      </c>
      <c r="F925" s="32">
        <v>10649000</v>
      </c>
    </row>
    <row r="926" spans="1:6">
      <c r="A926" t="str">
        <f t="shared" si="15"/>
        <v>490830-1</v>
      </c>
      <c r="B926" t="s">
        <v>1194</v>
      </c>
      <c r="C926" t="s">
        <v>1515</v>
      </c>
      <c r="D926" s="32">
        <v>2232000</v>
      </c>
      <c r="E926" s="32">
        <v>2200000</v>
      </c>
      <c r="F926" s="32">
        <v>4432000</v>
      </c>
    </row>
    <row r="927" spans="1:6">
      <c r="A927" t="str">
        <f t="shared" si="15"/>
        <v>49014B-1</v>
      </c>
      <c r="B927" t="s">
        <v>1194</v>
      </c>
      <c r="C927" t="s">
        <v>2000</v>
      </c>
      <c r="D927" s="32">
        <v>21143000</v>
      </c>
      <c r="E927" s="32"/>
      <c r="F927" s="32">
        <v>21143000</v>
      </c>
    </row>
    <row r="928" spans="1:6">
      <c r="A928" t="str">
        <f t="shared" si="15"/>
        <v>490566-1</v>
      </c>
      <c r="B928" t="s">
        <v>1194</v>
      </c>
      <c r="C928" t="s">
        <v>1678</v>
      </c>
      <c r="D928" s="32">
        <v>26000</v>
      </c>
      <c r="E928" s="32">
        <v>26000</v>
      </c>
      <c r="F928" s="32">
        <v>52000</v>
      </c>
    </row>
    <row r="929" spans="1:6">
      <c r="A929" t="str">
        <f t="shared" si="15"/>
        <v>490190-1</v>
      </c>
      <c r="B929" t="s">
        <v>1194</v>
      </c>
      <c r="C929" t="s">
        <v>1731</v>
      </c>
      <c r="D929" s="32">
        <v>44000</v>
      </c>
      <c r="E929" s="32">
        <v>44000</v>
      </c>
      <c r="F929" s="32">
        <v>88000</v>
      </c>
    </row>
    <row r="930" spans="1:6">
      <c r="A930" t="str">
        <f t="shared" si="15"/>
        <v>49004B-1</v>
      </c>
      <c r="B930" t="s">
        <v>1194</v>
      </c>
      <c r="C930" t="s">
        <v>1754</v>
      </c>
      <c r="D930" s="32">
        <v>24785500</v>
      </c>
      <c r="E930" s="32">
        <v>24785500</v>
      </c>
      <c r="F930" s="32">
        <v>49571000</v>
      </c>
    </row>
    <row r="931" spans="1:6">
      <c r="A931" t="str">
        <f t="shared" si="15"/>
        <v>490246-1</v>
      </c>
      <c r="B931" t="s">
        <v>1194</v>
      </c>
      <c r="C931" t="s">
        <v>1755</v>
      </c>
      <c r="D931" s="32">
        <v>500000</v>
      </c>
      <c r="E931" s="32">
        <v>500000</v>
      </c>
      <c r="F931" s="32">
        <v>1000000</v>
      </c>
    </row>
    <row r="932" spans="1:6">
      <c r="A932" t="str">
        <f t="shared" si="15"/>
        <v>49023P-1</v>
      </c>
      <c r="B932" t="s">
        <v>1194</v>
      </c>
      <c r="C932" t="s">
        <v>1805</v>
      </c>
      <c r="D932" s="32">
        <v>1134000</v>
      </c>
      <c r="E932" s="32">
        <v>1640000</v>
      </c>
      <c r="F932" s="32">
        <v>2774000</v>
      </c>
    </row>
    <row r="933" spans="1:6">
      <c r="A933" t="str">
        <f t="shared" si="15"/>
        <v>49023N-1</v>
      </c>
      <c r="B933" t="s">
        <v>1194</v>
      </c>
      <c r="C933" t="s">
        <v>1811</v>
      </c>
      <c r="D933" s="32">
        <v>6101500</v>
      </c>
      <c r="E933" s="32">
        <v>6101500</v>
      </c>
      <c r="F933" s="32">
        <v>12203000</v>
      </c>
    </row>
    <row r="934" spans="1:6">
      <c r="A934" t="str">
        <f t="shared" si="15"/>
        <v>49026A-1</v>
      </c>
      <c r="B934" t="s">
        <v>1194</v>
      </c>
      <c r="C934" t="s">
        <v>1908</v>
      </c>
      <c r="D934" s="32">
        <v>1100000</v>
      </c>
      <c r="E934" s="32">
        <v>1100000</v>
      </c>
      <c r="F934" s="32">
        <v>2200000</v>
      </c>
    </row>
    <row r="935" spans="1:6">
      <c r="A935" t="str">
        <f t="shared" si="15"/>
        <v>490193-1</v>
      </c>
      <c r="B935" t="s">
        <v>1194</v>
      </c>
      <c r="C935" t="s">
        <v>1921</v>
      </c>
      <c r="D935" s="32">
        <v>17000</v>
      </c>
      <c r="E935" s="32">
        <v>17000</v>
      </c>
      <c r="F935" s="32">
        <v>34000</v>
      </c>
    </row>
    <row r="936" spans="1:6">
      <c r="A936" t="str">
        <f t="shared" si="15"/>
        <v>490198-1</v>
      </c>
      <c r="B936" t="s">
        <v>1194</v>
      </c>
      <c r="C936" t="s">
        <v>1922</v>
      </c>
      <c r="D936" s="32">
        <v>54000</v>
      </c>
      <c r="E936" s="32">
        <v>54000</v>
      </c>
      <c r="F936" s="32">
        <v>108000</v>
      </c>
    </row>
    <row r="937" spans="1:6">
      <c r="A937" t="str">
        <f t="shared" si="15"/>
        <v>49021Q-1</v>
      </c>
      <c r="B937" t="s">
        <v>1194</v>
      </c>
      <c r="C937" t="s">
        <v>1923</v>
      </c>
      <c r="D937" s="32">
        <v>53000</v>
      </c>
      <c r="E937" s="32">
        <v>53000</v>
      </c>
      <c r="F937" s="32">
        <v>106000</v>
      </c>
    </row>
    <row r="938" spans="1:6">
      <c r="A938" t="str">
        <f t="shared" si="15"/>
        <v>49021Q-6</v>
      </c>
      <c r="B938" t="s">
        <v>1194</v>
      </c>
      <c r="C938" t="s">
        <v>1924</v>
      </c>
      <c r="D938" s="32">
        <v>16877000</v>
      </c>
      <c r="E938" s="32">
        <v>17038000</v>
      </c>
      <c r="F938" s="32">
        <v>33915000</v>
      </c>
    </row>
    <row r="939" spans="1:6">
      <c r="A939" t="str">
        <f t="shared" si="15"/>
        <v>49022P-1</v>
      </c>
      <c r="B939" t="s">
        <v>1194</v>
      </c>
      <c r="C939" t="s">
        <v>1925</v>
      </c>
      <c r="D939" s="32">
        <v>3000</v>
      </c>
      <c r="E939" s="32">
        <v>3000</v>
      </c>
      <c r="F939" s="32">
        <v>6000</v>
      </c>
    </row>
    <row r="940" spans="1:6">
      <c r="A940" t="str">
        <f t="shared" si="15"/>
        <v>49022P-6</v>
      </c>
      <c r="B940" t="s">
        <v>1194</v>
      </c>
      <c r="C940" t="s">
        <v>1926</v>
      </c>
      <c r="D940" s="32">
        <v>9482000</v>
      </c>
      <c r="E940" s="32">
        <v>9678000</v>
      </c>
      <c r="F940" s="32">
        <v>19160000</v>
      </c>
    </row>
    <row r="941" spans="1:6">
      <c r="A941" t="str">
        <f t="shared" si="15"/>
        <v>49025P-1</v>
      </c>
      <c r="B941" t="s">
        <v>1194</v>
      </c>
      <c r="C941" t="s">
        <v>1927</v>
      </c>
      <c r="D941" s="32">
        <v>58957000</v>
      </c>
      <c r="E941" s="32">
        <v>61320000</v>
      </c>
      <c r="F941" s="32">
        <v>120277000</v>
      </c>
    </row>
    <row r="942" spans="1:6">
      <c r="A942" t="str">
        <f t="shared" si="15"/>
        <v>49026C-1</v>
      </c>
      <c r="B942" t="s">
        <v>1194</v>
      </c>
      <c r="C942" t="s">
        <v>1956</v>
      </c>
      <c r="D942" s="32">
        <v>5902000</v>
      </c>
      <c r="E942" s="32">
        <v>6780000</v>
      </c>
      <c r="F942" s="32">
        <v>12682000</v>
      </c>
    </row>
    <row r="943" spans="1:6">
      <c r="A943" t="str">
        <f t="shared" si="15"/>
        <v>49026D-1</v>
      </c>
      <c r="B943" t="s">
        <v>1194</v>
      </c>
      <c r="C943" t="s">
        <v>1958</v>
      </c>
      <c r="D943" s="32">
        <v>94863000</v>
      </c>
      <c r="E943" s="32">
        <v>109265000</v>
      </c>
      <c r="F943" s="32">
        <v>204128000</v>
      </c>
    </row>
    <row r="944" spans="1:6">
      <c r="A944" t="str">
        <f t="shared" si="15"/>
        <v>49027T-1</v>
      </c>
      <c r="B944" t="s">
        <v>1194</v>
      </c>
      <c r="C944" t="s">
        <v>2001</v>
      </c>
      <c r="D944" s="32">
        <v>75000</v>
      </c>
      <c r="E944" s="32">
        <v>250000</v>
      </c>
      <c r="F944" s="32">
        <v>325000</v>
      </c>
    </row>
    <row r="945" spans="1:6">
      <c r="A945" t="str">
        <f t="shared" si="15"/>
        <v>49028M-1</v>
      </c>
      <c r="B945" t="s">
        <v>1194</v>
      </c>
      <c r="C945" t="s">
        <v>2002</v>
      </c>
      <c r="D945" s="32">
        <v>10000000</v>
      </c>
      <c r="E945" s="32">
        <v>10000000</v>
      </c>
      <c r="F945" s="32">
        <v>20000000</v>
      </c>
    </row>
    <row r="946" spans="1:6">
      <c r="A946" t="str">
        <f t="shared" si="15"/>
        <v>495001-1</v>
      </c>
      <c r="B946" t="s">
        <v>1238</v>
      </c>
      <c r="C946" t="s">
        <v>621</v>
      </c>
      <c r="D946" s="32">
        <v>60747000</v>
      </c>
      <c r="E946" s="32">
        <v>79698000</v>
      </c>
      <c r="F946" s="32">
        <v>140445000</v>
      </c>
    </row>
    <row r="947" spans="1:6">
      <c r="A947" t="str">
        <f t="shared" si="15"/>
        <v>495001-2</v>
      </c>
      <c r="B947" t="s">
        <v>1238</v>
      </c>
      <c r="C947" t="s">
        <v>622</v>
      </c>
      <c r="D947" s="32">
        <v>24315000</v>
      </c>
      <c r="E947" s="32">
        <v>23967000</v>
      </c>
      <c r="F947" s="32">
        <v>48282000</v>
      </c>
    </row>
    <row r="948" spans="1:6">
      <c r="A948" t="str">
        <f t="shared" si="15"/>
        <v>495001-7</v>
      </c>
      <c r="B948" t="s">
        <v>1238</v>
      </c>
      <c r="C948" t="s">
        <v>632</v>
      </c>
      <c r="D948" s="32">
        <v>96000</v>
      </c>
      <c r="E948" s="32">
        <v>97000</v>
      </c>
      <c r="F948" s="32">
        <v>193000</v>
      </c>
    </row>
    <row r="949" spans="1:6">
      <c r="A949" t="str">
        <f t="shared" si="15"/>
        <v>49502R-1</v>
      </c>
      <c r="B949" t="s">
        <v>1238</v>
      </c>
      <c r="C949" t="s">
        <v>1226</v>
      </c>
      <c r="D949" s="32">
        <v>1417000</v>
      </c>
      <c r="E949" s="32">
        <v>1446000</v>
      </c>
      <c r="F949" s="32">
        <v>2863000</v>
      </c>
    </row>
    <row r="950" spans="1:6">
      <c r="A950" t="str">
        <f t="shared" si="15"/>
        <v>495057-1</v>
      </c>
      <c r="B950" t="s">
        <v>1238</v>
      </c>
      <c r="C950" t="s">
        <v>623</v>
      </c>
      <c r="D950" s="32">
        <v>4000000</v>
      </c>
      <c r="E950" s="32">
        <v>4000000</v>
      </c>
      <c r="F950" s="32">
        <v>8000000</v>
      </c>
    </row>
    <row r="951" spans="1:6">
      <c r="A951" t="str">
        <f t="shared" si="15"/>
        <v>495108-1</v>
      </c>
      <c r="B951" t="s">
        <v>1238</v>
      </c>
      <c r="C951" t="s">
        <v>1252</v>
      </c>
      <c r="D951" s="32">
        <v>731000</v>
      </c>
      <c r="E951" s="32">
        <v>742000</v>
      </c>
      <c r="F951" s="32">
        <v>1473000</v>
      </c>
    </row>
    <row r="952" spans="1:6">
      <c r="A952" t="str">
        <f t="shared" si="15"/>
        <v>495126-6</v>
      </c>
      <c r="B952" t="s">
        <v>1238</v>
      </c>
      <c r="C952" t="s">
        <v>1304</v>
      </c>
      <c r="D952" s="32">
        <v>40815000</v>
      </c>
      <c r="E952" s="32">
        <v>40713000</v>
      </c>
      <c r="F952" s="32">
        <v>81528000</v>
      </c>
    </row>
    <row r="953" spans="1:6">
      <c r="A953" t="str">
        <f t="shared" si="15"/>
        <v>495128-6</v>
      </c>
      <c r="B953" t="s">
        <v>1238</v>
      </c>
      <c r="C953" t="s">
        <v>1425</v>
      </c>
      <c r="D953" s="32">
        <v>14443000</v>
      </c>
      <c r="E953" s="32">
        <v>14332000</v>
      </c>
      <c r="F953" s="32">
        <v>28775000</v>
      </c>
    </row>
    <row r="954" spans="1:6">
      <c r="A954" t="str">
        <f t="shared" si="15"/>
        <v>495131-6</v>
      </c>
      <c r="B954" t="s">
        <v>1238</v>
      </c>
      <c r="C954" t="s">
        <v>1368</v>
      </c>
      <c r="D954" s="32">
        <v>2802000</v>
      </c>
      <c r="E954" s="32">
        <v>2802000</v>
      </c>
      <c r="F954" s="32">
        <v>5604000</v>
      </c>
    </row>
    <row r="955" spans="1:6">
      <c r="A955" t="str">
        <f t="shared" si="15"/>
        <v>495176-1</v>
      </c>
      <c r="B955" t="s">
        <v>1238</v>
      </c>
      <c r="C955" t="s">
        <v>1475</v>
      </c>
      <c r="D955" s="32">
        <v>39000</v>
      </c>
      <c r="E955" s="32">
        <v>34000</v>
      </c>
      <c r="F955" s="32">
        <v>73000</v>
      </c>
    </row>
    <row r="956" spans="1:6">
      <c r="A956" t="str">
        <f t="shared" si="15"/>
        <v>495355-1</v>
      </c>
      <c r="B956" t="s">
        <v>1238</v>
      </c>
      <c r="C956" t="s">
        <v>648</v>
      </c>
      <c r="D956" s="32">
        <v>100000</v>
      </c>
      <c r="E956" s="32">
        <v>100000</v>
      </c>
      <c r="F956" s="32">
        <v>200000</v>
      </c>
    </row>
    <row r="957" spans="1:6">
      <c r="A957" t="str">
        <f t="shared" si="15"/>
        <v>495516-6</v>
      </c>
      <c r="B957" t="s">
        <v>1238</v>
      </c>
      <c r="C957" t="s">
        <v>1243</v>
      </c>
      <c r="D957" s="32">
        <v>23268000</v>
      </c>
      <c r="E957" s="32">
        <v>23264000</v>
      </c>
      <c r="F957" s="32">
        <v>46532000</v>
      </c>
    </row>
    <row r="958" spans="1:6">
      <c r="A958" t="str">
        <f t="shared" si="15"/>
        <v>495823-6</v>
      </c>
      <c r="B958" t="s">
        <v>1238</v>
      </c>
      <c r="C958" t="s">
        <v>1339</v>
      </c>
      <c r="D958" s="32">
        <v>14000</v>
      </c>
      <c r="E958" s="32">
        <v>14000</v>
      </c>
      <c r="F958" s="32">
        <v>28000</v>
      </c>
    </row>
    <row r="959" spans="1:6">
      <c r="A959" t="str">
        <f t="shared" si="15"/>
        <v>49523P-1</v>
      </c>
      <c r="B959" t="s">
        <v>1238</v>
      </c>
      <c r="C959" t="s">
        <v>1805</v>
      </c>
      <c r="D959" s="32">
        <v>6736000</v>
      </c>
      <c r="E959" s="32">
        <v>7086000</v>
      </c>
      <c r="F959" s="32">
        <v>13822000</v>
      </c>
    </row>
    <row r="960" spans="1:6">
      <c r="A960" t="str">
        <f t="shared" si="15"/>
        <v>49524G-6</v>
      </c>
      <c r="B960" t="s">
        <v>1238</v>
      </c>
      <c r="C960" t="s">
        <v>1831</v>
      </c>
      <c r="D960" s="32">
        <v>206000</v>
      </c>
      <c r="E960" s="32">
        <v>206000</v>
      </c>
      <c r="F960" s="32">
        <v>412000</v>
      </c>
    </row>
    <row r="961" spans="1:6">
      <c r="A961" t="str">
        <f t="shared" si="15"/>
        <v>49521N-1</v>
      </c>
      <c r="B961" t="s">
        <v>1238</v>
      </c>
      <c r="C961" t="s">
        <v>1867</v>
      </c>
      <c r="D961" s="32">
        <v>800000</v>
      </c>
      <c r="E961" s="32">
        <v>800000</v>
      </c>
      <c r="F961" s="32">
        <v>1600000</v>
      </c>
    </row>
    <row r="962" spans="1:6">
      <c r="A962" t="str">
        <f t="shared" si="15"/>
        <v>495706-2</v>
      </c>
      <c r="B962" t="s">
        <v>1238</v>
      </c>
      <c r="C962" t="s">
        <v>1882</v>
      </c>
      <c r="D962" s="32">
        <v>33450000</v>
      </c>
      <c r="E962" s="32">
        <v>3425000</v>
      </c>
      <c r="F962" s="32">
        <v>36875000</v>
      </c>
    </row>
    <row r="963" spans="1:6">
      <c r="A963" t="str">
        <f t="shared" si="15"/>
        <v>49526C-1</v>
      </c>
      <c r="B963" t="s">
        <v>1238</v>
      </c>
      <c r="C963" t="s">
        <v>1956</v>
      </c>
      <c r="D963" s="32">
        <v>2028000</v>
      </c>
      <c r="E963" s="32">
        <v>5448000</v>
      </c>
      <c r="F963" s="32">
        <v>7476000</v>
      </c>
    </row>
    <row r="964" spans="1:6">
      <c r="A964" t="str">
        <f t="shared" si="15"/>
        <v>49526D-1</v>
      </c>
      <c r="B964" t="s">
        <v>1238</v>
      </c>
      <c r="C964" t="s">
        <v>1958</v>
      </c>
      <c r="D964" s="32">
        <v>2674000</v>
      </c>
      <c r="E964" s="32">
        <v>2587000</v>
      </c>
      <c r="F964" s="32">
        <v>5261000</v>
      </c>
    </row>
    <row r="965" spans="1:6">
      <c r="A965" t="str">
        <f t="shared" si="15"/>
        <v>495APD-1</v>
      </c>
      <c r="B965" t="s">
        <v>1238</v>
      </c>
      <c r="C965" t="s">
        <v>2003</v>
      </c>
      <c r="D965" s="32"/>
      <c r="E965" s="32">
        <v>1000000</v>
      </c>
      <c r="F965" s="32">
        <v>1000000</v>
      </c>
    </row>
    <row r="966" spans="1:6">
      <c r="A966" t="str">
        <f t="shared" si="15"/>
        <v>540001-1</v>
      </c>
      <c r="B966" t="s">
        <v>1235</v>
      </c>
      <c r="C966" t="s">
        <v>621</v>
      </c>
      <c r="D966" s="32">
        <v>29354000</v>
      </c>
      <c r="E966" s="32">
        <v>28800000</v>
      </c>
      <c r="F966" s="32">
        <v>58154000</v>
      </c>
    </row>
    <row r="967" spans="1:6">
      <c r="A967" t="str">
        <f t="shared" si="15"/>
        <v>540001-2</v>
      </c>
      <c r="B967" t="s">
        <v>1235</v>
      </c>
      <c r="C967" t="s">
        <v>622</v>
      </c>
      <c r="D967" s="32">
        <v>98336000</v>
      </c>
      <c r="E967" s="32">
        <v>79243000</v>
      </c>
      <c r="F967" s="32">
        <v>177579000</v>
      </c>
    </row>
    <row r="968" spans="1:6">
      <c r="A968" t="str">
        <f t="shared" si="15"/>
        <v>540001-7</v>
      </c>
      <c r="B968" t="s">
        <v>1235</v>
      </c>
      <c r="C968" t="s">
        <v>632</v>
      </c>
      <c r="D968" s="32">
        <v>19224000</v>
      </c>
      <c r="E968" s="32">
        <v>19305000</v>
      </c>
      <c r="F968" s="32">
        <v>38529000</v>
      </c>
    </row>
    <row r="969" spans="1:6">
      <c r="A969" t="str">
        <f t="shared" si="15"/>
        <v>540119-2</v>
      </c>
      <c r="B969" t="s">
        <v>1235</v>
      </c>
      <c r="C969" t="s">
        <v>1371</v>
      </c>
      <c r="D969" s="32">
        <v>170945000</v>
      </c>
      <c r="E969" s="32">
        <v>138509000</v>
      </c>
      <c r="F969" s="32">
        <v>309454000</v>
      </c>
    </row>
    <row r="970" spans="1:6">
      <c r="A970" t="str">
        <f t="shared" si="15"/>
        <v>540120-1</v>
      </c>
      <c r="B970" t="s">
        <v>1235</v>
      </c>
      <c r="C970" t="s">
        <v>656</v>
      </c>
      <c r="D970" s="32">
        <v>21713000</v>
      </c>
      <c r="E970" s="32">
        <v>20939000</v>
      </c>
      <c r="F970" s="32">
        <v>42652000</v>
      </c>
    </row>
    <row r="971" spans="1:6">
      <c r="A971" t="str">
        <f t="shared" si="15"/>
        <v>540134-1</v>
      </c>
      <c r="B971" t="s">
        <v>1235</v>
      </c>
      <c r="C971" t="s">
        <v>1443</v>
      </c>
      <c r="D971" s="32">
        <v>46100000</v>
      </c>
      <c r="E971" s="32">
        <v>51314000</v>
      </c>
      <c r="F971" s="32">
        <v>97414000</v>
      </c>
    </row>
    <row r="972" spans="1:6">
      <c r="A972" t="str">
        <f t="shared" si="15"/>
        <v>54016L-6</v>
      </c>
      <c r="B972" t="s">
        <v>1235</v>
      </c>
      <c r="C972" t="s">
        <v>1550</v>
      </c>
      <c r="D972" s="32">
        <v>215000</v>
      </c>
      <c r="E972" s="32">
        <v>217000</v>
      </c>
      <c r="F972" s="32">
        <v>432000</v>
      </c>
    </row>
    <row r="973" spans="1:6">
      <c r="A973" t="str">
        <f t="shared" si="15"/>
        <v>54022F-1</v>
      </c>
      <c r="B973" t="s">
        <v>1235</v>
      </c>
      <c r="C973" t="s">
        <v>1711</v>
      </c>
      <c r="D973" s="32">
        <v>72049000</v>
      </c>
      <c r="E973" s="32">
        <v>88156000</v>
      </c>
      <c r="F973" s="32">
        <v>160205000</v>
      </c>
    </row>
    <row r="974" spans="1:6">
      <c r="A974" t="str">
        <f t="shared" si="15"/>
        <v>54024J-1</v>
      </c>
      <c r="B974" t="s">
        <v>1235</v>
      </c>
      <c r="C974" t="s">
        <v>1809</v>
      </c>
      <c r="D974" s="32">
        <v>7278000</v>
      </c>
      <c r="E974" s="32">
        <v>8279000</v>
      </c>
      <c r="F974" s="32">
        <v>15557000</v>
      </c>
    </row>
    <row r="975" spans="1:6">
      <c r="A975" t="str">
        <f t="shared" si="15"/>
        <v>540567-1</v>
      </c>
      <c r="B975" t="s">
        <v>1235</v>
      </c>
      <c r="C975" t="s">
        <v>1821</v>
      </c>
      <c r="D975" s="32">
        <v>20961000</v>
      </c>
      <c r="E975" s="32">
        <v>24480000</v>
      </c>
      <c r="F975" s="32">
        <v>45441000</v>
      </c>
    </row>
    <row r="976" spans="1:6">
      <c r="A976" t="str">
        <f t="shared" si="15"/>
        <v>54026C-1</v>
      </c>
      <c r="B976" t="s">
        <v>1235</v>
      </c>
      <c r="C976" t="s">
        <v>1956</v>
      </c>
      <c r="D976" s="32">
        <v>202000</v>
      </c>
      <c r="E976" s="32">
        <v>202000</v>
      </c>
      <c r="F976" s="32">
        <v>404000</v>
      </c>
    </row>
    <row r="977" spans="1:6">
      <c r="A977" t="str">
        <f t="shared" si="15"/>
        <v>699001-1</v>
      </c>
      <c r="B977" t="s">
        <v>145</v>
      </c>
      <c r="C977" t="s">
        <v>621</v>
      </c>
      <c r="D977" s="2391">
        <v>920130000</v>
      </c>
      <c r="E977" s="2391">
        <v>988064000</v>
      </c>
      <c r="F977" s="32">
        <v>1908194000</v>
      </c>
    </row>
    <row r="978" spans="1:6">
      <c r="A978" t="str">
        <f t="shared" ref="A978:A995" si="16">+B978&amp;C978</f>
        <v>699057-1</v>
      </c>
      <c r="B978" t="s">
        <v>145</v>
      </c>
      <c r="C978" t="s">
        <v>623</v>
      </c>
      <c r="D978" s="32">
        <v>210326000</v>
      </c>
      <c r="E978" s="32">
        <v>210326000</v>
      </c>
      <c r="F978" s="32">
        <v>420652000</v>
      </c>
    </row>
    <row r="979" spans="1:6">
      <c r="A979" t="str">
        <f t="shared" si="16"/>
        <v>699060-1</v>
      </c>
      <c r="B979" t="s">
        <v>145</v>
      </c>
      <c r="C979" t="s">
        <v>654</v>
      </c>
      <c r="D979" s="32">
        <v>32937500</v>
      </c>
      <c r="E979" s="32">
        <v>32937500</v>
      </c>
      <c r="F979" s="32">
        <v>65875000</v>
      </c>
    </row>
    <row r="980" spans="1:6">
      <c r="A980" t="str">
        <f t="shared" si="16"/>
        <v>69908A-1</v>
      </c>
      <c r="B980" t="s">
        <v>145</v>
      </c>
      <c r="C980" t="s">
        <v>624</v>
      </c>
      <c r="D980" s="32">
        <v>81633000</v>
      </c>
      <c r="E980" s="32">
        <v>82430000</v>
      </c>
      <c r="F980" s="32">
        <v>164063000</v>
      </c>
    </row>
    <row r="981" spans="1:6">
      <c r="A981" t="str">
        <f t="shared" si="16"/>
        <v>69911A-6</v>
      </c>
      <c r="B981" t="s">
        <v>145</v>
      </c>
      <c r="C981" t="s">
        <v>655</v>
      </c>
      <c r="D981" s="32">
        <v>250000</v>
      </c>
      <c r="E981" s="32">
        <v>250000</v>
      </c>
      <c r="F981" s="32">
        <v>500000</v>
      </c>
    </row>
    <row r="982" spans="1:6">
      <c r="A982" t="str">
        <f t="shared" si="16"/>
        <v>699145-6</v>
      </c>
      <c r="B982" t="s">
        <v>145</v>
      </c>
      <c r="C982" t="s">
        <v>636</v>
      </c>
      <c r="D982" s="32">
        <v>365469000</v>
      </c>
      <c r="E982" s="32">
        <v>372186000</v>
      </c>
      <c r="F982" s="32">
        <v>737655000</v>
      </c>
    </row>
    <row r="983" spans="1:6">
      <c r="A983" t="str">
        <f t="shared" si="16"/>
        <v>699148-6</v>
      </c>
      <c r="B983" t="s">
        <v>145</v>
      </c>
      <c r="C983" t="s">
        <v>637</v>
      </c>
      <c r="D983" s="32">
        <v>158887000</v>
      </c>
      <c r="E983" s="32">
        <v>158936000</v>
      </c>
      <c r="F983" s="32">
        <v>317823000</v>
      </c>
    </row>
    <row r="984" spans="1:6">
      <c r="A984" t="str">
        <f t="shared" si="16"/>
        <v>699149-6</v>
      </c>
      <c r="B984" t="s">
        <v>145</v>
      </c>
      <c r="C984" t="s">
        <v>638</v>
      </c>
      <c r="D984" s="2391">
        <v>365273000</v>
      </c>
      <c r="E984" s="2391">
        <v>365529000</v>
      </c>
      <c r="F984" s="32">
        <v>730802000</v>
      </c>
    </row>
    <row r="985" spans="1:6">
      <c r="A985" t="str">
        <f t="shared" si="16"/>
        <v>699443-6</v>
      </c>
      <c r="B985" t="s">
        <v>145</v>
      </c>
      <c r="C985" t="s">
        <v>640</v>
      </c>
      <c r="D985" s="32">
        <v>12179000</v>
      </c>
      <c r="E985" s="32">
        <v>12213000</v>
      </c>
      <c r="F985" s="32">
        <v>24392000</v>
      </c>
    </row>
    <row r="986" spans="1:6">
      <c r="A986" t="str">
        <f t="shared" si="16"/>
        <v>699561-6</v>
      </c>
      <c r="B986" t="s">
        <v>145</v>
      </c>
      <c r="C986" t="s">
        <v>1181</v>
      </c>
      <c r="D986" s="32">
        <v>11353000</v>
      </c>
      <c r="E986" s="32">
        <v>11535000</v>
      </c>
      <c r="F986" s="32">
        <v>22888000</v>
      </c>
    </row>
    <row r="987" spans="1:6">
      <c r="A987" t="str">
        <f t="shared" si="16"/>
        <v>699147-6</v>
      </c>
      <c r="B987" t="s">
        <v>145</v>
      </c>
      <c r="C987" t="s">
        <v>1756</v>
      </c>
      <c r="D987" s="32">
        <v>750000</v>
      </c>
      <c r="E987" s="32">
        <v>750000</v>
      </c>
      <c r="F987" s="32">
        <v>1500000</v>
      </c>
    </row>
    <row r="988" spans="1:6">
      <c r="A988" t="str">
        <f t="shared" si="16"/>
        <v>69924J-1</v>
      </c>
      <c r="B988" t="s">
        <v>145</v>
      </c>
      <c r="C988" t="s">
        <v>1809</v>
      </c>
      <c r="D988" s="32">
        <v>147019000</v>
      </c>
      <c r="E988" s="32">
        <v>157232000</v>
      </c>
      <c r="F988" s="32">
        <v>304251000</v>
      </c>
    </row>
    <row r="989" spans="1:6">
      <c r="A989" t="str">
        <f t="shared" si="16"/>
        <v>69923N-1</v>
      </c>
      <c r="B989" t="s">
        <v>145</v>
      </c>
      <c r="C989" t="s">
        <v>1811</v>
      </c>
      <c r="D989" s="32">
        <v>1000000</v>
      </c>
      <c r="E989" s="32">
        <v>1000000</v>
      </c>
      <c r="F989" s="32">
        <v>2000000</v>
      </c>
    </row>
    <row r="990" spans="1:6">
      <c r="A990" t="str">
        <f t="shared" si="16"/>
        <v>69926C-1</v>
      </c>
      <c r="B990" t="s">
        <v>145</v>
      </c>
      <c r="C990" t="s">
        <v>1956</v>
      </c>
      <c r="D990" s="32">
        <v>5640500</v>
      </c>
      <c r="E990" s="32">
        <v>6115500</v>
      </c>
      <c r="F990" s="32">
        <v>11756000</v>
      </c>
    </row>
    <row r="991" spans="1:6">
      <c r="A991" t="str">
        <f t="shared" si="16"/>
        <v>69920F-1</v>
      </c>
      <c r="B991" t="s">
        <v>145</v>
      </c>
      <c r="C991" t="s">
        <v>2004</v>
      </c>
      <c r="D991" s="32"/>
      <c r="E991" s="32">
        <v>92000</v>
      </c>
      <c r="F991" s="32">
        <v>92000</v>
      </c>
    </row>
    <row r="992" spans="1:6">
      <c r="A992" t="str">
        <f t="shared" si="16"/>
        <v>707001-1</v>
      </c>
      <c r="B992" t="s">
        <v>2005</v>
      </c>
      <c r="C992" t="s">
        <v>621</v>
      </c>
      <c r="D992" s="32">
        <v>982000</v>
      </c>
      <c r="E992" s="32"/>
      <c r="F992" s="32">
        <v>982000</v>
      </c>
    </row>
    <row r="993" spans="1:6">
      <c r="A993" t="str">
        <f t="shared" si="16"/>
        <v>740001-1</v>
      </c>
      <c r="B993" t="s">
        <v>1483</v>
      </c>
      <c r="C993" t="s">
        <v>621</v>
      </c>
      <c r="D993" s="32">
        <v>101000000</v>
      </c>
      <c r="E993" s="32">
        <v>104900000</v>
      </c>
      <c r="F993" s="32">
        <v>205900000</v>
      </c>
    </row>
    <row r="994" spans="1:6">
      <c r="A994" t="str">
        <f t="shared" si="16"/>
        <v>740204-1</v>
      </c>
      <c r="B994" t="s">
        <v>1483</v>
      </c>
      <c r="C994" t="s">
        <v>1389</v>
      </c>
      <c r="D994" s="32">
        <v>10217000</v>
      </c>
      <c r="E994" s="32">
        <v>8487000</v>
      </c>
      <c r="F994" s="32">
        <v>18704000</v>
      </c>
    </row>
    <row r="995" spans="1:6">
      <c r="A995" t="str">
        <f t="shared" si="16"/>
        <v>Grand Total</v>
      </c>
      <c r="B995" t="s">
        <v>138</v>
      </c>
      <c r="D995" s="32">
        <v>81915866500</v>
      </c>
      <c r="E995" s="32">
        <v>83731826500</v>
      </c>
      <c r="F995" s="32">
        <v>165647693000</v>
      </c>
    </row>
  </sheetData>
  <pageMargins left="0.7" right="0.7" top="0.75" bottom="0.75" header="0.3" footer="0.3"/>
  <pageSetup orientation="portrait" verticalDpi="0"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tabColor rgb="FFFF0000"/>
  </sheetPr>
  <dimension ref="A1:AC170"/>
  <sheetViews>
    <sheetView zoomScale="80" zoomScaleNormal="80" workbookViewId="0">
      <pane xSplit="3" ySplit="9" topLeftCell="O10" activePane="bottomRight" state="frozen"/>
      <selection pane="topRight" activeCell="D1" sqref="D1"/>
      <selection pane="bottomLeft" activeCell="A10" sqref="A10"/>
      <selection pane="bottomRight" activeCell="AB157" sqref="AB157"/>
    </sheetView>
  </sheetViews>
  <sheetFormatPr defaultRowHeight="12.75"/>
  <cols>
    <col min="1" max="1" width="10.5" bestFit="1" customWidth="1"/>
    <col min="2" max="2" width="17" customWidth="1"/>
    <col min="3" max="3" width="11.875" customWidth="1"/>
    <col min="4" max="4" width="34.375" customWidth="1"/>
    <col min="5" max="21" width="15.625" customWidth="1"/>
    <col min="22" max="28" width="15.5" customWidth="1"/>
    <col min="29" max="29" width="15.625" bestFit="1" customWidth="1"/>
  </cols>
  <sheetData>
    <row r="1" spans="2:28">
      <c r="D1" s="1879" t="str">
        <f>+$D$16&amp;D17</f>
        <v>FY2000</v>
      </c>
      <c r="E1" s="1879" t="str">
        <f t="shared" ref="E1:U1" si="0">+$D$16&amp;E17</f>
        <v>FY2001</v>
      </c>
      <c r="F1" s="1879" t="str">
        <f t="shared" si="0"/>
        <v>FY2002</v>
      </c>
      <c r="G1" s="1879" t="str">
        <f t="shared" si="0"/>
        <v>FY2003</v>
      </c>
      <c r="H1" s="1879" t="str">
        <f t="shared" si="0"/>
        <v>FY2004</v>
      </c>
      <c r="I1" s="1879" t="str">
        <f t="shared" si="0"/>
        <v>FY2005</v>
      </c>
      <c r="J1" s="1879" t="str">
        <f t="shared" si="0"/>
        <v>FY2006</v>
      </c>
      <c r="K1" s="1879" t="str">
        <f t="shared" si="0"/>
        <v>FY2007</v>
      </c>
      <c r="L1" s="1879" t="str">
        <f t="shared" si="0"/>
        <v>FY2008</v>
      </c>
      <c r="M1" s="1879" t="str">
        <f t="shared" si="0"/>
        <v>FY2009</v>
      </c>
      <c r="N1" s="1879" t="str">
        <f t="shared" si="0"/>
        <v>FY2010</v>
      </c>
      <c r="O1" s="1879" t="str">
        <f t="shared" si="0"/>
        <v>FY2011</v>
      </c>
      <c r="P1" s="1879" t="str">
        <f t="shared" si="0"/>
        <v>FY2012</v>
      </c>
      <c r="Q1" s="1879" t="str">
        <f t="shared" si="0"/>
        <v>FY2013</v>
      </c>
      <c r="R1" s="1879" t="str">
        <f t="shared" si="0"/>
        <v>FY2014</v>
      </c>
      <c r="S1" s="1879" t="str">
        <f t="shared" si="0"/>
        <v>FY2015</v>
      </c>
      <c r="T1" s="1879" t="str">
        <f t="shared" si="0"/>
        <v>FY2016</v>
      </c>
      <c r="U1" s="1879" t="str">
        <f t="shared" si="0"/>
        <v>FY2017</v>
      </c>
      <c r="V1" s="1879" t="str">
        <f t="shared" ref="V1:AA1" si="1">+$D$16&amp;V17</f>
        <v>FY2018</v>
      </c>
      <c r="W1" s="1879" t="str">
        <f t="shared" si="1"/>
        <v>FY2019</v>
      </c>
      <c r="X1" s="1879" t="str">
        <f t="shared" si="1"/>
        <v>FY2020</v>
      </c>
      <c r="Y1" s="1879" t="str">
        <f t="shared" si="1"/>
        <v>FY2021</v>
      </c>
      <c r="Z1" s="1879" t="str">
        <f t="shared" si="1"/>
        <v>FY2022</v>
      </c>
      <c r="AA1" s="1879" t="str">
        <f t="shared" si="1"/>
        <v>FY2023</v>
      </c>
      <c r="AB1" s="1879" t="str">
        <f t="shared" ref="AB1" si="2">+$D$16&amp;AB17</f>
        <v>FY2024</v>
      </c>
    </row>
    <row r="2" spans="2:28">
      <c r="B2" t="s">
        <v>1680</v>
      </c>
      <c r="C2" s="32"/>
      <c r="D2" s="32">
        <f>+D3+D9</f>
        <v>1623274030.9999998</v>
      </c>
      <c r="E2" s="32">
        <f t="shared" ref="E2:U2" si="3">+E3+E9</f>
        <v>1736301543.3900001</v>
      </c>
      <c r="F2" s="32">
        <f t="shared" si="3"/>
        <v>1812580315.3300002</v>
      </c>
      <c r="G2" s="32">
        <f t="shared" si="3"/>
        <v>1883655165.8499999</v>
      </c>
      <c r="H2" s="32">
        <f t="shared" si="3"/>
        <v>1901075009.45</v>
      </c>
      <c r="I2" s="32">
        <f t="shared" si="3"/>
        <v>2040120300.2299998</v>
      </c>
      <c r="J2" s="32">
        <f t="shared" si="3"/>
        <v>2183550185.79</v>
      </c>
      <c r="K2" s="32">
        <f t="shared" si="3"/>
        <v>2340921743.04</v>
      </c>
      <c r="L2" s="32">
        <f t="shared" si="3"/>
        <v>2582394818.5599999</v>
      </c>
      <c r="M2" s="32">
        <f t="shared" si="3"/>
        <v>2647492344.4700003</v>
      </c>
      <c r="N2" s="32">
        <f t="shared" si="3"/>
        <v>2487667529.8299999</v>
      </c>
      <c r="O2" s="32">
        <f t="shared" si="3"/>
        <v>2621390442.25</v>
      </c>
      <c r="P2" s="32">
        <f t="shared" si="3"/>
        <v>2597191524.6900001</v>
      </c>
      <c r="Q2" s="32">
        <f t="shared" si="3"/>
        <v>2758272466.1099997</v>
      </c>
      <c r="R2" s="32">
        <f t="shared" si="3"/>
        <v>2928298573.4900002</v>
      </c>
      <c r="S2" s="32">
        <f t="shared" si="3"/>
        <v>3043356219.5600004</v>
      </c>
      <c r="T2" s="32">
        <f t="shared" si="3"/>
        <v>3209473405.2600002</v>
      </c>
      <c r="U2" s="32">
        <f t="shared" si="3"/>
        <v>3317454525.7400002</v>
      </c>
      <c r="V2" s="32">
        <f t="shared" ref="V2:AA2" si="4">+V3+V9</f>
        <v>3469264692.71</v>
      </c>
      <c r="W2" s="32">
        <f t="shared" si="4"/>
        <v>3478483058.29</v>
      </c>
      <c r="X2" s="32">
        <f t="shared" si="4"/>
        <v>3689274454.8900003</v>
      </c>
      <c r="Y2" s="32">
        <f t="shared" si="4"/>
        <v>3781057768.4299994</v>
      </c>
      <c r="Z2" s="32">
        <f t="shared" si="4"/>
        <v>3867050632.1500006</v>
      </c>
      <c r="AA2" s="32">
        <f t="shared" si="4"/>
        <v>4138167838.0799999</v>
      </c>
      <c r="AB2" s="32">
        <f t="shared" ref="AB2" si="5">+AB3+AB9</f>
        <v>4582276154.9000006</v>
      </c>
    </row>
    <row r="3" spans="2:28">
      <c r="B3" t="s">
        <v>1679</v>
      </c>
      <c r="C3" s="32"/>
      <c r="D3" s="32">
        <f>SUM(D4:D8)</f>
        <v>1226909098.6999998</v>
      </c>
      <c r="E3" s="32">
        <f t="shared" ref="E3:U3" si="6">SUM(E4:E8)</f>
        <v>1327911602.71</v>
      </c>
      <c r="F3" s="32">
        <f t="shared" si="6"/>
        <v>1368354062.5200002</v>
      </c>
      <c r="G3" s="32">
        <f t="shared" si="6"/>
        <v>1375155856.6299999</v>
      </c>
      <c r="H3" s="32">
        <f t="shared" si="6"/>
        <v>1348342041.1500001</v>
      </c>
      <c r="I3" s="32">
        <f t="shared" si="6"/>
        <v>1414291093.4899998</v>
      </c>
      <c r="J3" s="32">
        <f t="shared" si="6"/>
        <v>1539554596.3100002</v>
      </c>
      <c r="K3" s="32">
        <f t="shared" si="6"/>
        <v>1633905641.3899999</v>
      </c>
      <c r="L3" s="32">
        <f t="shared" si="6"/>
        <v>1821676047.8299999</v>
      </c>
      <c r="M3" s="32">
        <f t="shared" si="6"/>
        <v>1833075346.0300002</v>
      </c>
      <c r="N3" s="32">
        <f t="shared" si="6"/>
        <v>1605125491.2500002</v>
      </c>
      <c r="O3" s="32">
        <f t="shared" si="6"/>
        <v>1564095963.1400003</v>
      </c>
      <c r="P3" s="32">
        <f t="shared" si="6"/>
        <v>1401992313.5599999</v>
      </c>
      <c r="Q3" s="32">
        <f t="shared" si="6"/>
        <v>1423955559</v>
      </c>
      <c r="R3" s="32">
        <f t="shared" si="6"/>
        <v>1612637249.6800001</v>
      </c>
      <c r="S3" s="32">
        <f t="shared" si="6"/>
        <v>1572783666.98</v>
      </c>
      <c r="T3" s="32">
        <f t="shared" si="6"/>
        <v>1761099135.77</v>
      </c>
      <c r="U3" s="32">
        <f t="shared" si="6"/>
        <v>1895421123.96</v>
      </c>
      <c r="V3" s="32">
        <f t="shared" ref="V3:AA3" si="7">SUM(V4:V8)</f>
        <v>1944754597.9800003</v>
      </c>
      <c r="W3" s="32">
        <f t="shared" si="7"/>
        <v>2037558592.5599999</v>
      </c>
      <c r="X3" s="32">
        <f t="shared" si="7"/>
        <v>2221156572.7600002</v>
      </c>
      <c r="Y3" s="32">
        <f t="shared" si="7"/>
        <v>2427271573.9799995</v>
      </c>
      <c r="Z3" s="32">
        <f t="shared" si="7"/>
        <v>2471235149.7500005</v>
      </c>
      <c r="AA3" s="32">
        <f t="shared" si="7"/>
        <v>2712672981.9000001</v>
      </c>
      <c r="AB3" s="32">
        <f t="shared" ref="AB3" si="8">SUM(AB4:AB8)</f>
        <v>2991196408.4900002</v>
      </c>
    </row>
    <row r="4" spans="2:28">
      <c r="B4" s="32" t="s">
        <v>621</v>
      </c>
      <c r="D4" s="32">
        <f>SUMIF($C$18:$C$68,$B4,D$18:D$68)</f>
        <v>1221613010.0999999</v>
      </c>
      <c r="E4" s="32">
        <f t="shared" ref="E4:AB6" si="9">SUMIF($C$18:$C$68,$B4,E$18:E$68)</f>
        <v>1321612691.3099999</v>
      </c>
      <c r="F4" s="32">
        <f t="shared" si="9"/>
        <v>1362553681.8600001</v>
      </c>
      <c r="G4" s="32">
        <f t="shared" si="9"/>
        <v>1368035237.29</v>
      </c>
      <c r="H4" s="32">
        <f t="shared" si="9"/>
        <v>1316391999.01</v>
      </c>
      <c r="I4" s="32">
        <f t="shared" si="9"/>
        <v>1381305400.54</v>
      </c>
      <c r="J4" s="32">
        <f t="shared" si="9"/>
        <v>1440791854.3400002</v>
      </c>
      <c r="K4" s="32">
        <f t="shared" si="9"/>
        <v>1501210350.9499998</v>
      </c>
      <c r="L4" s="32">
        <f t="shared" si="9"/>
        <v>1586513310.4300001</v>
      </c>
      <c r="M4" s="32">
        <f t="shared" si="9"/>
        <v>1591066506.0300002</v>
      </c>
      <c r="N4" s="32">
        <f t="shared" si="9"/>
        <v>1393830075.8400002</v>
      </c>
      <c r="O4" s="32">
        <f t="shared" si="9"/>
        <v>1353259890.6300001</v>
      </c>
      <c r="P4" s="32">
        <f t="shared" si="9"/>
        <v>1185000649.04</v>
      </c>
      <c r="Q4" s="32">
        <f t="shared" si="9"/>
        <v>1163624264.3600001</v>
      </c>
      <c r="R4" s="32">
        <f t="shared" si="9"/>
        <v>1342369460.0999999</v>
      </c>
      <c r="S4" s="32">
        <f t="shared" si="9"/>
        <v>1327157832.1100001</v>
      </c>
      <c r="T4" s="32">
        <f t="shared" si="9"/>
        <v>1507482139.26</v>
      </c>
      <c r="U4" s="32">
        <f t="shared" si="9"/>
        <v>1621468827.73</v>
      </c>
      <c r="V4" s="32">
        <f t="shared" si="9"/>
        <v>1579080663.0100002</v>
      </c>
      <c r="W4" s="32">
        <f t="shared" si="9"/>
        <v>1651841933.4000001</v>
      </c>
      <c r="X4" s="2402">
        <f t="shared" si="9"/>
        <v>1738224275.54</v>
      </c>
      <c r="Y4" s="2402">
        <f t="shared" si="9"/>
        <v>1801901463.5599999</v>
      </c>
      <c r="Z4" s="2402">
        <f t="shared" si="9"/>
        <v>1895756391.4300001</v>
      </c>
      <c r="AA4" s="2402">
        <f t="shared" si="9"/>
        <v>2013781442.53</v>
      </c>
      <c r="AB4" s="2402">
        <f t="shared" si="9"/>
        <v>2309962960.4300003</v>
      </c>
    </row>
    <row r="5" spans="2:28">
      <c r="B5" s="32" t="s">
        <v>624</v>
      </c>
      <c r="C5" s="32"/>
      <c r="D5" s="32">
        <f>SUMIF($C$18:$C$68,$B5,D$18:D$68)</f>
        <v>0</v>
      </c>
      <c r="E5" s="32">
        <f t="shared" si="9"/>
        <v>0</v>
      </c>
      <c r="F5" s="32">
        <f t="shared" si="9"/>
        <v>0</v>
      </c>
      <c r="G5" s="32">
        <f t="shared" si="9"/>
        <v>0</v>
      </c>
      <c r="H5" s="32">
        <f t="shared" si="9"/>
        <v>0</v>
      </c>
      <c r="I5" s="32">
        <f t="shared" si="9"/>
        <v>0</v>
      </c>
      <c r="J5" s="32">
        <f t="shared" si="9"/>
        <v>59295000</v>
      </c>
      <c r="K5" s="32">
        <f t="shared" si="9"/>
        <v>89408375.629999995</v>
      </c>
      <c r="L5" s="32">
        <f t="shared" si="9"/>
        <v>168239657.38</v>
      </c>
      <c r="M5" s="32">
        <f t="shared" si="9"/>
        <v>166969848.81</v>
      </c>
      <c r="N5" s="32">
        <f t="shared" si="9"/>
        <v>178357002.75</v>
      </c>
      <c r="O5" s="32">
        <f t="shared" si="9"/>
        <v>89036038.900000006</v>
      </c>
      <c r="P5" s="32">
        <f t="shared" si="9"/>
        <v>101532354.16</v>
      </c>
      <c r="Q5" s="32">
        <f t="shared" si="9"/>
        <v>99013247.210000008</v>
      </c>
      <c r="R5" s="32">
        <f t="shared" si="9"/>
        <v>150484719.18000001</v>
      </c>
      <c r="S5" s="32">
        <f t="shared" si="9"/>
        <v>122547403.97</v>
      </c>
      <c r="T5" s="32">
        <f t="shared" si="9"/>
        <v>106577194.73999999</v>
      </c>
      <c r="U5" s="32">
        <f t="shared" si="9"/>
        <v>147101945.69999999</v>
      </c>
      <c r="V5" s="32">
        <f t="shared" si="9"/>
        <v>172683061</v>
      </c>
      <c r="W5" s="32">
        <f t="shared" si="9"/>
        <v>187836619.62</v>
      </c>
      <c r="X5" s="2402">
        <f t="shared" si="9"/>
        <v>194317712.11000001</v>
      </c>
      <c r="Y5" s="2402">
        <f t="shared" si="9"/>
        <v>181168167.5</v>
      </c>
      <c r="Z5" s="2402">
        <f t="shared" si="9"/>
        <v>182273334.66</v>
      </c>
      <c r="AA5" s="2402">
        <f t="shared" si="9"/>
        <v>187498057.18000001</v>
      </c>
      <c r="AB5" s="2402">
        <f t="shared" si="9"/>
        <v>190826432.91</v>
      </c>
    </row>
    <row r="6" spans="2:28">
      <c r="B6" t="s">
        <v>625</v>
      </c>
      <c r="C6" s="32"/>
      <c r="D6" s="32">
        <f>SUMIF($C$18:$C$68,$B6,D$18:D$68)</f>
        <v>0</v>
      </c>
      <c r="E6" s="32">
        <f t="shared" si="9"/>
        <v>0</v>
      </c>
      <c r="F6" s="32">
        <f t="shared" si="9"/>
        <v>0</v>
      </c>
      <c r="G6" s="32">
        <f t="shared" si="9"/>
        <v>0</v>
      </c>
      <c r="H6" s="32">
        <f t="shared" si="9"/>
        <v>0</v>
      </c>
      <c r="I6" s="32">
        <f t="shared" si="9"/>
        <v>0</v>
      </c>
      <c r="J6" s="32">
        <f t="shared" si="9"/>
        <v>0</v>
      </c>
      <c r="K6" s="32">
        <f t="shared" si="9"/>
        <v>0</v>
      </c>
      <c r="L6" s="32">
        <f t="shared" si="9"/>
        <v>0</v>
      </c>
      <c r="M6" s="32">
        <f t="shared" si="9"/>
        <v>0</v>
      </c>
      <c r="N6" s="32">
        <f t="shared" si="9"/>
        <v>0</v>
      </c>
      <c r="O6" s="32">
        <f t="shared" si="9"/>
        <v>73500000</v>
      </c>
      <c r="P6" s="32">
        <f t="shared" si="9"/>
        <v>73500000</v>
      </c>
      <c r="Q6" s="32">
        <f t="shared" si="9"/>
        <v>108500000</v>
      </c>
      <c r="R6" s="32">
        <f t="shared" si="9"/>
        <v>67500000</v>
      </c>
      <c r="S6" s="32">
        <f t="shared" si="9"/>
        <v>73500000</v>
      </c>
      <c r="T6" s="32">
        <f t="shared" si="9"/>
        <v>95061000</v>
      </c>
      <c r="U6" s="32">
        <f t="shared" si="9"/>
        <v>74973626.580000013</v>
      </c>
      <c r="V6" s="32">
        <f t="shared" si="9"/>
        <v>59108000</v>
      </c>
      <c r="W6" s="32">
        <f t="shared" si="9"/>
        <v>60634755</v>
      </c>
      <c r="X6" s="2402">
        <f t="shared" si="9"/>
        <v>51568000</v>
      </c>
      <c r="Y6" s="2402">
        <f t="shared" si="9"/>
        <v>50409232.780000001</v>
      </c>
      <c r="Z6" s="2402">
        <f t="shared" si="9"/>
        <v>78989300.670000002</v>
      </c>
      <c r="AA6" s="2402">
        <f t="shared" si="9"/>
        <v>141903469.05000001</v>
      </c>
      <c r="AB6" s="2402">
        <f t="shared" si="9"/>
        <v>34455046.119999997</v>
      </c>
    </row>
    <row r="7" spans="2:28">
      <c r="B7" t="str">
        <f>+B67</f>
        <v>Other State Funds:  Aquatic Lands (02R-1); Economic Development Strategic Reserve (09R-1); Geoduck Aquaculture (12P-1); Biotoxin (15M-1); Aerospace Training (17R-1); Workforce Education Investment (24J-1); Dedicated Marijuana (315-1); Pension Funding Stablilization (489-1); Accident (608-1); Medical Aid (609-1); Health Professions (747-1), and capital funds appropriated in the 2023-25 Operating Budget</v>
      </c>
      <c r="C7" s="32"/>
      <c r="D7" s="32">
        <f>VLOOKUP("Grand Total",$A70:D94,COLUMN(D:D),0)</f>
        <v>5296088.5999999996</v>
      </c>
      <c r="E7" s="32">
        <f>VLOOKUP("Grand Total",$A70:E94,COLUMN(E:E),0)</f>
        <v>6298911.4000000004</v>
      </c>
      <c r="F7" s="32">
        <f>VLOOKUP("Grand Total",$A70:F94,COLUMN(F:F),0)</f>
        <v>5800380.6600000011</v>
      </c>
      <c r="G7" s="32">
        <f>VLOOKUP("Grand Total",$A70:G94,COLUMN(G:G),0)</f>
        <v>7120619.3399999999</v>
      </c>
      <c r="H7" s="32">
        <f>VLOOKUP("Grand Total",$A70:H94,COLUMN(H:H),0)</f>
        <v>5873960.3799999999</v>
      </c>
      <c r="I7" s="32">
        <f>VLOOKUP("Grand Total",$A70:I94,COLUMN(I:I),0)</f>
        <v>6163775.620000001</v>
      </c>
      <c r="J7" s="32">
        <f>VLOOKUP("Grand Total",$A70:J94,COLUMN(J:J),0)</f>
        <v>6057428.8399999999</v>
      </c>
      <c r="K7" s="32">
        <f>VLOOKUP("Grand Total",$A70:K94,COLUMN(K:K),0)</f>
        <v>8942228.290000001</v>
      </c>
      <c r="L7" s="32">
        <f>VLOOKUP("Grand Total",$A70:L94,COLUMN(L:L),0)</f>
        <v>34257101.530000001</v>
      </c>
      <c r="M7" s="32">
        <f>VLOOKUP("Grand Total",$A70:M94,COLUMN(M:M),0)</f>
        <v>39950050.549999997</v>
      </c>
      <c r="N7" s="32">
        <f>VLOOKUP("Grand Total",$A70:N94,COLUMN(N:N),0)</f>
        <v>6596537.5299999993</v>
      </c>
      <c r="O7" s="32">
        <f>VLOOKUP("Grand Total",$A70:O94,COLUMN(O:O),0)</f>
        <v>6910538.9100000001</v>
      </c>
      <c r="P7" s="32">
        <f>VLOOKUP("Grand Total",$A70:P94,COLUMN(P:P),0)</f>
        <v>10206801.59</v>
      </c>
      <c r="Q7" s="32">
        <f>VLOOKUP("Grand Total",$A70:Q94,COLUMN(Q:Q),0)</f>
        <v>16818729.579999998</v>
      </c>
      <c r="R7" s="32">
        <f>VLOOKUP("Grand Total",$A70:R94,COLUMN(R:R),0)</f>
        <v>16161314.449999999</v>
      </c>
      <c r="S7" s="32">
        <f>VLOOKUP("Grand Total",$A70:S94,COLUMN(S:S),0)</f>
        <v>17962858.589999996</v>
      </c>
      <c r="T7" s="32">
        <f>VLOOKUP("Grand Total",$A70:T94,COLUMN(T:T),0)</f>
        <v>18179839.34</v>
      </c>
      <c r="U7" s="32">
        <f>VLOOKUP("Grand Total",$A70:U94,COLUMN(U:U),0)</f>
        <v>18111078.32</v>
      </c>
      <c r="V7" s="32">
        <f>VLOOKUP("Grand Total",$A70:V94,COLUMN(V:V),0)</f>
        <v>99598220.899999991</v>
      </c>
      <c r="W7" s="32">
        <f>VLOOKUP("Grand Total",$A70:W94,COLUMN(W:W),0)</f>
        <v>103906864.95000002</v>
      </c>
      <c r="X7" s="2402">
        <f>VLOOKUP("Grand Total",$A70:X94,COLUMN(X:X),0)</f>
        <v>203100072.09</v>
      </c>
      <c r="Y7" s="2402">
        <f>VLOOKUP("Grand Total",$A70:Y94,COLUMN(Y:Y),0)</f>
        <v>360155880.92000002</v>
      </c>
      <c r="Z7" s="2402">
        <f>VLOOKUP("Grand Total",$A70:Z94,COLUMN(Z:Z),0)</f>
        <v>282333709.94</v>
      </c>
      <c r="AA7" s="2402">
        <f>VLOOKUP("Grand Total",$A70:AA94,COLUMN(AA:AA),0)</f>
        <v>336750818.40000004</v>
      </c>
      <c r="AB7" s="2402">
        <f>VLOOKUP("Grand Total",$A70:AB94,COLUMN(AB:AB),0)</f>
        <v>422515939.98000002</v>
      </c>
    </row>
    <row r="8" spans="2:28">
      <c r="B8" t="str">
        <f>+B94</f>
        <v>Preventive Facility Maint &amp; Repairs</v>
      </c>
      <c r="C8" s="32"/>
      <c r="D8" s="32"/>
      <c r="E8" s="32"/>
      <c r="F8" s="32"/>
      <c r="G8" s="32"/>
      <c r="H8" s="32">
        <f>VLOOKUP("Grand Total",$A$96:E119,COLUMN(E:E),0)</f>
        <v>26076081.760000002</v>
      </c>
      <c r="I8" s="32">
        <f>VLOOKUP("Grand Total",$A$96:F119,COLUMN(F:F),0)</f>
        <v>26821917.329999998</v>
      </c>
      <c r="J8" s="32">
        <f>VLOOKUP("Grand Total",$A$96:G119,COLUMN(G:G),0)</f>
        <v>33410313.130000003</v>
      </c>
      <c r="K8" s="32">
        <f>VLOOKUP("Grand Total",$A$96:H119,COLUMN(H:H),0)</f>
        <v>34344686.519999996</v>
      </c>
      <c r="L8" s="32">
        <f>VLOOKUP("Grand Total",$A$96:I119,COLUMN(I:I),0)</f>
        <v>32665978.489999998</v>
      </c>
      <c r="M8" s="32">
        <f>VLOOKUP("Grand Total",$A$96:J119,COLUMN(J:J),0)</f>
        <v>35088940.640000001</v>
      </c>
      <c r="N8" s="32">
        <f>VLOOKUP("Grand Total",$A$96:K119,COLUMN(K:K),0)</f>
        <v>26341875.129999999</v>
      </c>
      <c r="O8" s="32">
        <f>VLOOKUP("Grand Total",$A$96:L119,COLUMN(L:L),0)</f>
        <v>41389494.700000003</v>
      </c>
      <c r="P8" s="32">
        <f>VLOOKUP("Grand Total",$A$96:M119,COLUMN(M:M),0)</f>
        <v>31752508.770000003</v>
      </c>
      <c r="Q8" s="32">
        <f>VLOOKUP("Grand Total",$A$96:N119,COLUMN(N:N),0)</f>
        <v>35999317.850000001</v>
      </c>
      <c r="R8" s="32">
        <f>VLOOKUP("Grand Total",$A$96:O119,COLUMN(O:O),0)</f>
        <v>36121755.950000003</v>
      </c>
      <c r="S8" s="32">
        <f>VLOOKUP("Grand Total",$A$96:P119,COLUMN(P:P),0)</f>
        <v>31615572.309999999</v>
      </c>
      <c r="T8" s="32">
        <f>VLOOKUP("Grand Total",$A$96:Q119,COLUMN(Q:Q),0)</f>
        <v>33798962.43</v>
      </c>
      <c r="U8" s="32">
        <f>VLOOKUP("Grand Total",$A$96:R119,COLUMN(R:R),0)</f>
        <v>33765645.629999995</v>
      </c>
      <c r="V8" s="32">
        <f>VLOOKUP("Grand Total",$A$96:S119,COLUMN(S:S),0)</f>
        <v>34284653.07</v>
      </c>
      <c r="W8" s="32">
        <f>VLOOKUP("Grand Total",$A$96:T119,COLUMN(T:T),0)</f>
        <v>33338419.59</v>
      </c>
      <c r="X8" s="2402">
        <f>VLOOKUP("Grand Total",$A$96:U119,COLUMN(U:U),0)</f>
        <v>33946513.019999996</v>
      </c>
      <c r="Y8" s="2402">
        <f>VLOOKUP("Grand Total",$A$96:V119,COLUMN(V:V),0)</f>
        <v>33636829.219999999</v>
      </c>
      <c r="Z8" s="2402">
        <f>VLOOKUP("Grand Total",$A$96:W119,COLUMN(W:W),0)</f>
        <v>31882413.050000001</v>
      </c>
      <c r="AA8" s="2402">
        <f>VLOOKUP("Grand Total",$A$96:X119,COLUMN(X:X),0)</f>
        <v>32739194.740000002</v>
      </c>
      <c r="AB8" s="2402">
        <f>VLOOKUP("Grand Total",$A$96:Y119,COLUMN(Y:Y),0)</f>
        <v>33436029.049999997</v>
      </c>
    </row>
    <row r="9" spans="2:28">
      <c r="B9" t="s">
        <v>638</v>
      </c>
      <c r="C9" s="32"/>
      <c r="D9" s="32">
        <f>SUMIF($C$18:$C$68,$B9,D$18:D$68)</f>
        <v>396364932.29999995</v>
      </c>
      <c r="E9" s="32">
        <f t="shared" ref="E9:AB9" si="10">SUMIF($C$18:$C$68,$B9,E$18:E$68)</f>
        <v>408389940.68000001</v>
      </c>
      <c r="F9" s="32">
        <f t="shared" si="10"/>
        <v>444226252.80999994</v>
      </c>
      <c r="G9" s="32">
        <f t="shared" si="10"/>
        <v>508499309.21999991</v>
      </c>
      <c r="H9" s="32">
        <f t="shared" si="10"/>
        <v>552732968.29999995</v>
      </c>
      <c r="I9" s="32">
        <f t="shared" si="10"/>
        <v>625829206.74000001</v>
      </c>
      <c r="J9" s="32">
        <f t="shared" si="10"/>
        <v>643995589.48000002</v>
      </c>
      <c r="K9" s="32">
        <f t="shared" si="10"/>
        <v>707016101.64999998</v>
      </c>
      <c r="L9" s="32">
        <f t="shared" si="10"/>
        <v>760718770.73000002</v>
      </c>
      <c r="M9" s="32">
        <f t="shared" si="10"/>
        <v>814416998.43999994</v>
      </c>
      <c r="N9" s="32">
        <f t="shared" si="10"/>
        <v>882542038.57999992</v>
      </c>
      <c r="O9" s="32">
        <f t="shared" si="10"/>
        <v>1057294479.1099999</v>
      </c>
      <c r="P9" s="32">
        <f t="shared" si="10"/>
        <v>1195199211.1300001</v>
      </c>
      <c r="Q9" s="32">
        <f t="shared" si="10"/>
        <v>1334316907.1099999</v>
      </c>
      <c r="R9" s="32">
        <f t="shared" si="10"/>
        <v>1315661323.8100002</v>
      </c>
      <c r="S9" s="32">
        <f t="shared" si="10"/>
        <v>1470572552.5800002</v>
      </c>
      <c r="T9" s="32">
        <f t="shared" si="10"/>
        <v>1448374269.4900002</v>
      </c>
      <c r="U9" s="32">
        <f t="shared" si="10"/>
        <v>1422033401.7800002</v>
      </c>
      <c r="V9" s="32">
        <f t="shared" si="10"/>
        <v>1524510094.73</v>
      </c>
      <c r="W9" s="32">
        <f t="shared" si="10"/>
        <v>1440924465.73</v>
      </c>
      <c r="X9" s="2402">
        <f t="shared" si="10"/>
        <v>1468117882.1299999</v>
      </c>
      <c r="Y9" s="2402">
        <f t="shared" si="10"/>
        <v>1353786194.45</v>
      </c>
      <c r="Z9" s="2402">
        <f t="shared" si="10"/>
        <v>1395815482.4000001</v>
      </c>
      <c r="AA9" s="2402">
        <f t="shared" si="10"/>
        <v>1425494856.1799998</v>
      </c>
      <c r="AB9" s="2402">
        <f t="shared" si="10"/>
        <v>1591079746.4100001</v>
      </c>
    </row>
    <row r="10" spans="2:28">
      <c r="C10" s="32"/>
      <c r="D10" s="32"/>
      <c r="E10" s="32"/>
      <c r="F10" s="32"/>
      <c r="G10" s="32"/>
      <c r="H10" s="32"/>
      <c r="I10" s="32"/>
      <c r="J10" s="32"/>
      <c r="K10" s="32"/>
      <c r="L10" s="32"/>
      <c r="M10" s="32"/>
      <c r="N10" s="32"/>
      <c r="O10" s="32"/>
      <c r="P10" s="32"/>
      <c r="Q10" s="32"/>
      <c r="R10" s="32"/>
      <c r="S10" s="32"/>
      <c r="T10" s="32"/>
      <c r="U10" s="32"/>
      <c r="V10" s="32"/>
      <c r="W10" s="32"/>
      <c r="X10" s="2402"/>
      <c r="Y10" s="2402"/>
      <c r="Z10" s="2402"/>
      <c r="AA10" s="32"/>
    </row>
    <row r="11" spans="2:28">
      <c r="B11" t="s">
        <v>1876</v>
      </c>
      <c r="C11" s="32"/>
      <c r="D11" s="32"/>
      <c r="E11" s="32"/>
      <c r="F11" s="32"/>
      <c r="G11" s="32"/>
      <c r="H11" s="32"/>
      <c r="I11" s="32"/>
      <c r="J11" s="32"/>
      <c r="K11" s="32"/>
      <c r="L11" s="32"/>
      <c r="M11" s="32"/>
      <c r="N11" s="32"/>
      <c r="O11" s="32"/>
      <c r="P11" s="32"/>
      <c r="Q11" s="32"/>
      <c r="R11" s="32"/>
      <c r="S11" s="32"/>
      <c r="T11" s="32"/>
      <c r="U11" s="32"/>
      <c r="V11" s="32"/>
      <c r="W11" s="32"/>
      <c r="X11" s="2402"/>
      <c r="Y11" s="2402"/>
      <c r="Z11" s="2402"/>
      <c r="AA11" s="32"/>
    </row>
    <row r="12" spans="2:28">
      <c r="C12" s="32"/>
      <c r="D12" s="32"/>
      <c r="E12" s="32"/>
      <c r="T12" s="32"/>
      <c r="U12" s="32"/>
    </row>
    <row r="13" spans="2:28">
      <c r="B13" t="s">
        <v>1875</v>
      </c>
    </row>
    <row r="14" spans="2:28">
      <c r="B14" s="1291" t="s">
        <v>1621</v>
      </c>
      <c r="C14" t="s">
        <v>603</v>
      </c>
    </row>
    <row r="15" spans="2:28">
      <c r="F15" s="32"/>
    </row>
    <row r="16" spans="2:28">
      <c r="B16" s="1291" t="s">
        <v>1559</v>
      </c>
      <c r="D16" s="1291" t="s">
        <v>1182</v>
      </c>
    </row>
    <row r="17" spans="1:29">
      <c r="B17" s="1291" t="s">
        <v>1618</v>
      </c>
      <c r="C17" s="1291" t="s">
        <v>619</v>
      </c>
      <c r="D17" s="1744" t="s">
        <v>428</v>
      </c>
      <c r="E17" s="1744" t="s">
        <v>429</v>
      </c>
      <c r="F17" s="1744" t="s">
        <v>430</v>
      </c>
      <c r="G17" s="1744" t="s">
        <v>137</v>
      </c>
      <c r="H17" s="1744" t="s">
        <v>176</v>
      </c>
      <c r="I17" s="1744" t="s">
        <v>292</v>
      </c>
      <c r="J17" s="1744" t="s">
        <v>380</v>
      </c>
      <c r="K17" s="1744" t="s">
        <v>381</v>
      </c>
      <c r="L17" s="1744" t="s">
        <v>612</v>
      </c>
      <c r="M17" s="1744" t="s">
        <v>613</v>
      </c>
      <c r="N17" s="1744" t="s">
        <v>614</v>
      </c>
      <c r="O17" s="1744" t="s">
        <v>615</v>
      </c>
      <c r="P17" s="1744" t="s">
        <v>805</v>
      </c>
      <c r="Q17" s="1744" t="s">
        <v>1163</v>
      </c>
      <c r="R17" s="1744" t="s">
        <v>1178</v>
      </c>
      <c r="S17" s="1744" t="s">
        <v>1179</v>
      </c>
      <c r="T17" s="1744" t="s">
        <v>1628</v>
      </c>
      <c r="U17" s="1744" t="s">
        <v>1629</v>
      </c>
      <c r="V17" s="1744" t="s">
        <v>1689</v>
      </c>
      <c r="W17" s="1744" t="s">
        <v>1690</v>
      </c>
      <c r="X17" s="1744" t="s">
        <v>1798</v>
      </c>
      <c r="Y17" s="1744" t="s">
        <v>1803</v>
      </c>
      <c r="Z17" s="1744" t="s">
        <v>1877</v>
      </c>
      <c r="AA17" s="1744" t="s">
        <v>1878</v>
      </c>
      <c r="AB17" s="1744" t="s">
        <v>1952</v>
      </c>
      <c r="AC17" s="1744" t="s">
        <v>1951</v>
      </c>
    </row>
    <row r="18" spans="1:29">
      <c r="A18" t="str">
        <f>+B18&amp;C18</f>
        <v>340001-1</v>
      </c>
      <c r="B18" t="s">
        <v>1164</v>
      </c>
      <c r="C18" t="s">
        <v>621</v>
      </c>
      <c r="D18" s="32"/>
      <c r="E18" s="32"/>
      <c r="F18" s="32"/>
      <c r="G18" s="32"/>
      <c r="H18" s="32"/>
      <c r="I18" s="32"/>
      <c r="J18" s="32"/>
      <c r="K18" s="32"/>
      <c r="L18" s="32"/>
      <c r="M18" s="32"/>
      <c r="N18" s="32"/>
      <c r="O18" s="32"/>
      <c r="P18" s="32"/>
      <c r="Q18" s="32">
        <v>216904957.90000001</v>
      </c>
      <c r="R18" s="32">
        <v>250385968.12</v>
      </c>
      <c r="S18" s="32">
        <v>254861077.68000001</v>
      </c>
      <c r="T18" s="32">
        <v>271468595.06999999</v>
      </c>
      <c r="U18" s="32">
        <v>240658139.82999998</v>
      </c>
      <c r="V18" s="32">
        <v>243579467.28</v>
      </c>
      <c r="W18" s="32">
        <v>269059979.00999999</v>
      </c>
      <c r="X18" s="32">
        <v>279818429.15999997</v>
      </c>
      <c r="Y18" s="32">
        <v>296268658.11000001</v>
      </c>
      <c r="Z18" s="32">
        <v>281195468.11000001</v>
      </c>
      <c r="AA18" s="32">
        <v>244713116.75</v>
      </c>
      <c r="AB18" s="32">
        <v>319021328.33000004</v>
      </c>
      <c r="AC18" s="32">
        <v>127501528.80999999</v>
      </c>
    </row>
    <row r="19" spans="1:29">
      <c r="A19" t="str">
        <f t="shared" ref="A19:A53" si="11">+B19&amp;C19</f>
        <v>340001-8</v>
      </c>
      <c r="B19" t="s">
        <v>1164</v>
      </c>
      <c r="C19" t="s">
        <v>633</v>
      </c>
      <c r="D19" s="32"/>
      <c r="E19" s="32"/>
      <c r="F19" s="32"/>
      <c r="G19" s="32"/>
      <c r="H19" s="32"/>
      <c r="I19" s="32"/>
      <c r="J19" s="32"/>
      <c r="K19" s="32"/>
      <c r="L19" s="32"/>
      <c r="M19" s="32"/>
      <c r="N19" s="32"/>
      <c r="O19" s="32"/>
      <c r="P19" s="32"/>
      <c r="Q19" s="32"/>
      <c r="R19" s="32"/>
      <c r="S19" s="32"/>
      <c r="T19" s="32"/>
      <c r="U19" s="32"/>
      <c r="V19" s="32"/>
      <c r="W19" s="32"/>
      <c r="X19" s="32"/>
      <c r="Y19" s="32">
        <v>4956609</v>
      </c>
      <c r="Z19" s="32"/>
      <c r="AA19" s="32"/>
      <c r="AB19" s="32"/>
      <c r="AC19" s="32"/>
    </row>
    <row r="20" spans="1:29">
      <c r="A20" t="str">
        <f t="shared" si="11"/>
        <v>34008A-1</v>
      </c>
      <c r="B20" t="s">
        <v>1164</v>
      </c>
      <c r="C20" t="s">
        <v>624</v>
      </c>
      <c r="D20" s="32"/>
      <c r="E20" s="32"/>
      <c r="F20" s="32"/>
      <c r="G20" s="32"/>
      <c r="H20" s="32"/>
      <c r="I20" s="32"/>
      <c r="J20" s="32"/>
      <c r="K20" s="32"/>
      <c r="L20" s="32"/>
      <c r="M20" s="32"/>
      <c r="N20" s="32"/>
      <c r="O20" s="32"/>
      <c r="P20" s="32"/>
      <c r="Q20" s="32"/>
      <c r="R20" s="32">
        <v>51784350.5</v>
      </c>
      <c r="S20" s="32">
        <v>26775649.499999996</v>
      </c>
      <c r="T20" s="32">
        <v>2057524.7700000003</v>
      </c>
      <c r="U20" s="32">
        <v>38613475.229999997</v>
      </c>
      <c r="V20" s="32">
        <v>52731000</v>
      </c>
      <c r="W20" s="32">
        <v>51560000</v>
      </c>
      <c r="X20" s="32">
        <v>52600155.520000003</v>
      </c>
      <c r="Y20" s="32">
        <v>40887844.479999997</v>
      </c>
      <c r="Z20" s="32">
        <v>42828000</v>
      </c>
      <c r="AA20" s="32">
        <v>42660000</v>
      </c>
      <c r="AB20" s="32">
        <v>42916748</v>
      </c>
      <c r="AC20" s="32">
        <v>17546426.739999998</v>
      </c>
    </row>
    <row r="21" spans="1:29">
      <c r="A21" t="str">
        <f t="shared" si="11"/>
        <v>34017F-1</v>
      </c>
      <c r="B21" t="s">
        <v>1164</v>
      </c>
      <c r="C21" t="s">
        <v>625</v>
      </c>
      <c r="D21" s="32"/>
      <c r="E21" s="32"/>
      <c r="F21" s="32"/>
      <c r="G21" s="32"/>
      <c r="H21" s="32"/>
      <c r="I21" s="32"/>
      <c r="J21" s="32"/>
      <c r="K21" s="32"/>
      <c r="L21" s="32"/>
      <c r="M21" s="32"/>
      <c r="N21" s="32"/>
      <c r="O21" s="32"/>
      <c r="P21" s="32"/>
      <c r="Q21" s="32">
        <v>108500000</v>
      </c>
      <c r="R21" s="32">
        <v>67500000</v>
      </c>
      <c r="S21" s="32">
        <v>73500000</v>
      </c>
      <c r="T21" s="32">
        <v>95061000</v>
      </c>
      <c r="U21" s="32">
        <v>74973626.580000013</v>
      </c>
      <c r="V21" s="32">
        <v>59108000</v>
      </c>
      <c r="W21" s="32">
        <v>60634755</v>
      </c>
      <c r="X21" s="32">
        <v>51568000</v>
      </c>
      <c r="Y21" s="32">
        <v>50409232.780000001</v>
      </c>
      <c r="Z21" s="32">
        <v>78989300.670000002</v>
      </c>
      <c r="AA21" s="32">
        <v>141903469.05000001</v>
      </c>
      <c r="AB21" s="32">
        <v>34455046.119999997</v>
      </c>
      <c r="AC21" s="32">
        <v>14800890</v>
      </c>
    </row>
    <row r="22" spans="1:29">
      <c r="A22" t="str">
        <f t="shared" si="11"/>
        <v>343001-1</v>
      </c>
      <c r="B22" t="s">
        <v>620</v>
      </c>
      <c r="C22" t="s">
        <v>621</v>
      </c>
      <c r="D22" s="32">
        <v>106710889.2</v>
      </c>
      <c r="E22" s="32">
        <v>129123044.03</v>
      </c>
      <c r="F22" s="32">
        <v>125863460.89</v>
      </c>
      <c r="G22" s="32">
        <v>138130201.38</v>
      </c>
      <c r="H22" s="32">
        <v>149955959.56</v>
      </c>
      <c r="I22" s="32">
        <v>174325823.59999999</v>
      </c>
      <c r="J22" s="32">
        <v>162107801.28999999</v>
      </c>
      <c r="K22" s="32">
        <v>169328287.61000001</v>
      </c>
      <c r="L22" s="32">
        <v>170248090.25999999</v>
      </c>
      <c r="M22" s="32">
        <v>195031000</v>
      </c>
      <c r="N22" s="32">
        <v>194733992.44</v>
      </c>
      <c r="O22" s="32">
        <v>187919850.75</v>
      </c>
      <c r="P22" s="32">
        <v>218926951.81999999</v>
      </c>
      <c r="Q22" s="32"/>
      <c r="R22" s="32"/>
      <c r="S22" s="32"/>
      <c r="T22" s="32"/>
      <c r="U22" s="32"/>
      <c r="V22" s="32"/>
      <c r="W22" s="32"/>
      <c r="X22" s="32"/>
      <c r="Y22" s="32"/>
      <c r="Z22" s="32"/>
      <c r="AA22" s="32"/>
      <c r="AB22" s="32"/>
      <c r="AC22" s="32"/>
    </row>
    <row r="23" spans="1:29">
      <c r="A23" t="str">
        <f t="shared" si="11"/>
        <v>34308A-1</v>
      </c>
      <c r="B23" t="s">
        <v>620</v>
      </c>
      <c r="C23" t="s">
        <v>624</v>
      </c>
      <c r="D23" s="32"/>
      <c r="E23" s="32"/>
      <c r="F23" s="32"/>
      <c r="G23" s="32"/>
      <c r="H23" s="32"/>
      <c r="I23" s="32"/>
      <c r="J23" s="32">
        <v>29263000</v>
      </c>
      <c r="K23" s="32">
        <v>33647000</v>
      </c>
      <c r="L23" s="32">
        <v>63573289.93</v>
      </c>
      <c r="M23" s="32">
        <v>43008085.32</v>
      </c>
      <c r="N23" s="32">
        <v>59984612.07</v>
      </c>
      <c r="O23" s="32">
        <v>-29913948.460000001</v>
      </c>
      <c r="P23" s="32"/>
      <c r="Q23" s="32"/>
      <c r="R23" s="32"/>
      <c r="S23" s="32"/>
      <c r="T23" s="32"/>
      <c r="U23" s="32"/>
      <c r="V23" s="32"/>
      <c r="W23" s="32"/>
      <c r="X23" s="32"/>
      <c r="Y23" s="32"/>
      <c r="Z23" s="32"/>
      <c r="AA23" s="32"/>
      <c r="AB23" s="32"/>
      <c r="AC23" s="32"/>
    </row>
    <row r="24" spans="1:29">
      <c r="A24" t="str">
        <f t="shared" si="11"/>
        <v>34317F-1</v>
      </c>
      <c r="B24" t="s">
        <v>620</v>
      </c>
      <c r="C24" t="s">
        <v>625</v>
      </c>
      <c r="D24" s="32"/>
      <c r="E24" s="32"/>
      <c r="F24" s="32"/>
      <c r="G24" s="32"/>
      <c r="H24" s="32"/>
      <c r="I24" s="32"/>
      <c r="J24" s="32"/>
      <c r="K24" s="32"/>
      <c r="L24" s="32"/>
      <c r="M24" s="32"/>
      <c r="N24" s="32"/>
      <c r="O24" s="32">
        <v>73500000</v>
      </c>
      <c r="P24" s="32">
        <v>73500000</v>
      </c>
      <c r="Q24" s="32"/>
      <c r="R24" s="32"/>
      <c r="S24" s="32"/>
      <c r="T24" s="32"/>
      <c r="U24" s="32"/>
      <c r="V24" s="32"/>
      <c r="W24" s="32"/>
      <c r="X24" s="32"/>
      <c r="Y24" s="32"/>
      <c r="Z24" s="32"/>
      <c r="AA24" s="32"/>
      <c r="AB24" s="32"/>
      <c r="AC24" s="32"/>
    </row>
    <row r="25" spans="1:29">
      <c r="A25" t="str">
        <f t="shared" si="11"/>
        <v>360001-1</v>
      </c>
      <c r="B25" t="s">
        <v>139</v>
      </c>
      <c r="C25" t="s">
        <v>621</v>
      </c>
      <c r="D25" s="32">
        <v>316574839.05000001</v>
      </c>
      <c r="E25" s="32">
        <v>335810879.15999997</v>
      </c>
      <c r="F25" s="32">
        <v>345476776.48000002</v>
      </c>
      <c r="G25" s="32">
        <v>333762499.59000003</v>
      </c>
      <c r="H25" s="32">
        <v>311628000</v>
      </c>
      <c r="I25" s="32">
        <v>325106318</v>
      </c>
      <c r="J25" s="32">
        <v>337460326.07000005</v>
      </c>
      <c r="K25" s="32">
        <v>351957484.44</v>
      </c>
      <c r="L25" s="32">
        <v>373689189.84000003</v>
      </c>
      <c r="M25" s="32">
        <v>358707247.52999997</v>
      </c>
      <c r="N25" s="32">
        <v>269570994.29000002</v>
      </c>
      <c r="O25" s="32">
        <v>259702097.26000002</v>
      </c>
      <c r="P25" s="32">
        <v>201255990.61000001</v>
      </c>
      <c r="Q25" s="32">
        <v>201669864.11999997</v>
      </c>
      <c r="R25" s="32">
        <v>247021218.26999998</v>
      </c>
      <c r="S25" s="32">
        <v>237597919.31</v>
      </c>
      <c r="T25" s="32">
        <v>279418973.22000003</v>
      </c>
      <c r="U25" s="32">
        <v>317222201.39000005</v>
      </c>
      <c r="V25" s="32">
        <v>310916215.52000004</v>
      </c>
      <c r="W25" s="32">
        <v>325829286.88999999</v>
      </c>
      <c r="X25" s="32">
        <v>340647042.82999998</v>
      </c>
      <c r="Y25" s="32">
        <v>354253803.03999996</v>
      </c>
      <c r="Z25" s="32">
        <v>391266503.81999999</v>
      </c>
      <c r="AA25" s="32">
        <v>424716112</v>
      </c>
      <c r="AB25" s="32">
        <v>521308220.80000001</v>
      </c>
      <c r="AC25" s="32">
        <v>172771630.86000001</v>
      </c>
    </row>
    <row r="26" spans="1:29">
      <c r="A26" t="str">
        <f t="shared" si="11"/>
        <v>360001-8</v>
      </c>
      <c r="B26" t="s">
        <v>139</v>
      </c>
      <c r="C26" t="s">
        <v>633</v>
      </c>
      <c r="D26" s="32"/>
      <c r="E26" s="32"/>
      <c r="F26" s="32"/>
      <c r="G26" s="32"/>
      <c r="H26" s="32"/>
      <c r="I26" s="32"/>
      <c r="J26" s="32"/>
      <c r="K26" s="32"/>
      <c r="L26" s="32"/>
      <c r="M26" s="32"/>
      <c r="N26" s="32">
        <v>43971000</v>
      </c>
      <c r="O26" s="32"/>
      <c r="P26" s="32"/>
      <c r="Q26" s="32"/>
      <c r="R26" s="32"/>
      <c r="S26" s="32"/>
      <c r="T26" s="32"/>
      <c r="U26" s="32"/>
      <c r="V26" s="32"/>
      <c r="W26" s="32"/>
      <c r="X26" s="32"/>
      <c r="Y26" s="32"/>
      <c r="Z26" s="32"/>
      <c r="AA26" s="32"/>
      <c r="AB26" s="32"/>
      <c r="AC26" s="32"/>
    </row>
    <row r="27" spans="1:29">
      <c r="A27" t="str">
        <f t="shared" si="11"/>
        <v>36008A-1</v>
      </c>
      <c r="B27" t="s">
        <v>139</v>
      </c>
      <c r="C27" t="s">
        <v>624</v>
      </c>
      <c r="D27" s="32"/>
      <c r="E27" s="32"/>
      <c r="F27" s="32"/>
      <c r="G27" s="32"/>
      <c r="H27" s="32"/>
      <c r="I27" s="32"/>
      <c r="J27" s="32">
        <v>3057000</v>
      </c>
      <c r="K27" s="32">
        <v>7691000</v>
      </c>
      <c r="L27" s="32">
        <v>15915977.6</v>
      </c>
      <c r="M27" s="32">
        <v>27214139.949999999</v>
      </c>
      <c r="N27" s="32">
        <v>26345000</v>
      </c>
      <c r="O27" s="32">
        <v>28188992</v>
      </c>
      <c r="P27" s="32">
        <v>10726000</v>
      </c>
      <c r="Q27" s="32">
        <v>7853000</v>
      </c>
      <c r="R27" s="32">
        <v>6999000</v>
      </c>
      <c r="S27" s="32">
        <v>6999000</v>
      </c>
      <c r="T27" s="32">
        <v>12999000</v>
      </c>
      <c r="U27" s="32">
        <v>15089000</v>
      </c>
      <c r="V27" s="32">
        <v>16079220.600000001</v>
      </c>
      <c r="W27" s="32">
        <v>16971779.399999999</v>
      </c>
      <c r="X27" s="32">
        <v>19441440.279999997</v>
      </c>
      <c r="Y27" s="32">
        <v>17153559.710000001</v>
      </c>
      <c r="Z27" s="32">
        <v>18355091.82</v>
      </c>
      <c r="AA27" s="32">
        <v>18664908.119999997</v>
      </c>
      <c r="AB27" s="32">
        <v>23225314.300000001</v>
      </c>
      <c r="AC27" s="32">
        <v>8282723.1399999997</v>
      </c>
    </row>
    <row r="28" spans="1:29">
      <c r="A28" t="str">
        <f t="shared" si="11"/>
        <v>360149-6</v>
      </c>
      <c r="B28" t="s">
        <v>139</v>
      </c>
      <c r="C28" t="s">
        <v>638</v>
      </c>
      <c r="D28" s="32">
        <v>127674159.77</v>
      </c>
      <c r="E28" s="32">
        <v>133131840.59</v>
      </c>
      <c r="F28" s="32">
        <v>151465769.59999999</v>
      </c>
      <c r="G28" s="32">
        <v>173713053.09999999</v>
      </c>
      <c r="H28" s="32">
        <v>178506405.97</v>
      </c>
      <c r="I28" s="32">
        <v>207331714.28</v>
      </c>
      <c r="J28" s="32">
        <v>212733469.08000001</v>
      </c>
      <c r="K28" s="32">
        <v>250613094.23999998</v>
      </c>
      <c r="L28" s="32">
        <v>269930997.05000001</v>
      </c>
      <c r="M28" s="32">
        <v>294543323.93000001</v>
      </c>
      <c r="N28" s="32">
        <v>297368743.63</v>
      </c>
      <c r="O28" s="32">
        <v>419606555.73000002</v>
      </c>
      <c r="P28" s="32">
        <v>453353420.5</v>
      </c>
      <c r="Q28" s="32">
        <v>533580801.07999998</v>
      </c>
      <c r="R28" s="32">
        <v>483990688.99000001</v>
      </c>
      <c r="S28" s="32">
        <v>603008370.88</v>
      </c>
      <c r="T28" s="32">
        <v>560378321.38</v>
      </c>
      <c r="U28" s="32">
        <v>602892754.04999995</v>
      </c>
      <c r="V28" s="32">
        <v>689234650.17999995</v>
      </c>
      <c r="W28" s="32">
        <v>629867039.49000001</v>
      </c>
      <c r="X28" s="32">
        <v>622302852.54999995</v>
      </c>
      <c r="Y28" s="32">
        <v>627751211.58000004</v>
      </c>
      <c r="Z28" s="32">
        <v>618438708.35000002</v>
      </c>
      <c r="AA28" s="32">
        <v>648193657.38</v>
      </c>
      <c r="AB28" s="32">
        <v>772500654.22000003</v>
      </c>
      <c r="AC28" s="32">
        <v>329903760.13999999</v>
      </c>
    </row>
    <row r="29" spans="1:29">
      <c r="A29" t="str">
        <f t="shared" si="11"/>
        <v>365001-1</v>
      </c>
      <c r="B29" t="s">
        <v>140</v>
      </c>
      <c r="C29" t="s">
        <v>621</v>
      </c>
      <c r="D29" s="32">
        <v>183312061</v>
      </c>
      <c r="E29" s="32">
        <v>197165897</v>
      </c>
      <c r="F29" s="32">
        <v>201270031</v>
      </c>
      <c r="G29" s="32">
        <v>194177664.47999999</v>
      </c>
      <c r="H29" s="32">
        <v>186232200</v>
      </c>
      <c r="I29" s="32">
        <v>191235427.26000002</v>
      </c>
      <c r="J29" s="32">
        <v>206409000</v>
      </c>
      <c r="K29" s="32">
        <v>213133015</v>
      </c>
      <c r="L29" s="32">
        <v>232087037.57999998</v>
      </c>
      <c r="M29" s="32">
        <v>223360076.93000001</v>
      </c>
      <c r="N29" s="32">
        <v>169462000</v>
      </c>
      <c r="O29" s="32">
        <v>170685294.81</v>
      </c>
      <c r="P29" s="32">
        <v>134423876.84999999</v>
      </c>
      <c r="Q29" s="32">
        <v>133699950</v>
      </c>
      <c r="R29" s="32">
        <v>156854000</v>
      </c>
      <c r="S29" s="32">
        <v>153044000</v>
      </c>
      <c r="T29" s="32">
        <v>181340195.36000001</v>
      </c>
      <c r="U29" s="32">
        <v>207355804.63999999</v>
      </c>
      <c r="V29" s="32">
        <v>200116000</v>
      </c>
      <c r="W29" s="32">
        <v>213081062</v>
      </c>
      <c r="X29" s="32">
        <v>222366850</v>
      </c>
      <c r="Y29" s="32">
        <v>225638852.73999998</v>
      </c>
      <c r="Z29" s="32">
        <v>246492000</v>
      </c>
      <c r="AA29" s="32">
        <v>264611000</v>
      </c>
      <c r="AB29" s="32">
        <v>281902750</v>
      </c>
      <c r="AC29" s="32">
        <v>140050008.41</v>
      </c>
    </row>
    <row r="30" spans="1:29">
      <c r="A30" t="str">
        <f t="shared" si="11"/>
        <v>365001-8</v>
      </c>
      <c r="B30" t="s">
        <v>140</v>
      </c>
      <c r="C30" t="s">
        <v>633</v>
      </c>
      <c r="D30" s="32"/>
      <c r="E30" s="32"/>
      <c r="F30" s="32"/>
      <c r="G30" s="32"/>
      <c r="H30" s="32"/>
      <c r="I30" s="32"/>
      <c r="J30" s="32"/>
      <c r="K30" s="32"/>
      <c r="L30" s="32"/>
      <c r="M30" s="32"/>
      <c r="N30" s="32">
        <v>15772000</v>
      </c>
      <c r="O30" s="32"/>
      <c r="P30" s="32"/>
      <c r="Q30" s="32"/>
      <c r="R30" s="32"/>
      <c r="S30" s="32"/>
      <c r="T30" s="32"/>
      <c r="U30" s="32"/>
      <c r="V30" s="32"/>
      <c r="W30" s="32"/>
      <c r="X30" s="32"/>
      <c r="Y30" s="32"/>
      <c r="Z30" s="32">
        <v>0</v>
      </c>
      <c r="AA30" s="32"/>
      <c r="AB30" s="32"/>
      <c r="AC30" s="32"/>
    </row>
    <row r="31" spans="1:29">
      <c r="A31" t="str">
        <f t="shared" si="11"/>
        <v>36508A-1</v>
      </c>
      <c r="B31" t="s">
        <v>140</v>
      </c>
      <c r="C31" t="s">
        <v>624</v>
      </c>
      <c r="D31" s="32"/>
      <c r="E31" s="32"/>
      <c r="F31" s="32"/>
      <c r="G31" s="32"/>
      <c r="H31" s="32"/>
      <c r="I31" s="32"/>
      <c r="J31" s="32">
        <v>3248000</v>
      </c>
      <c r="K31" s="32">
        <v>7914000</v>
      </c>
      <c r="L31" s="32">
        <v>12491000</v>
      </c>
      <c r="M31" s="32">
        <v>21393000</v>
      </c>
      <c r="N31" s="32">
        <v>17699000</v>
      </c>
      <c r="O31" s="32">
        <v>16736000</v>
      </c>
      <c r="P31" s="32">
        <v>16533000</v>
      </c>
      <c r="Q31" s="32">
        <v>16532000</v>
      </c>
      <c r="R31" s="32">
        <v>16998000</v>
      </c>
      <c r="S31" s="32">
        <v>16997000</v>
      </c>
      <c r="T31" s="32">
        <v>16998000</v>
      </c>
      <c r="U31" s="32">
        <v>16997000</v>
      </c>
      <c r="V31" s="32">
        <v>16998000</v>
      </c>
      <c r="W31" s="32">
        <v>16997000</v>
      </c>
      <c r="X31" s="32">
        <v>16998000</v>
      </c>
      <c r="Y31" s="32">
        <v>16997000</v>
      </c>
      <c r="Z31" s="32">
        <v>16998000</v>
      </c>
      <c r="AA31" s="32">
        <v>16997000</v>
      </c>
      <c r="AB31" s="32">
        <v>16998000</v>
      </c>
      <c r="AC31" s="32">
        <v>5668500</v>
      </c>
    </row>
    <row r="32" spans="1:29">
      <c r="A32" t="str">
        <f t="shared" si="11"/>
        <v>365149-6</v>
      </c>
      <c r="B32" t="s">
        <v>140</v>
      </c>
      <c r="C32" t="s">
        <v>638</v>
      </c>
      <c r="D32" s="32">
        <v>59158815</v>
      </c>
      <c r="E32" s="32">
        <v>60034705.789999999</v>
      </c>
      <c r="F32" s="32">
        <v>65809928.000000007</v>
      </c>
      <c r="G32" s="32">
        <v>79113495.060000002</v>
      </c>
      <c r="H32" s="32">
        <v>85744856.939999998</v>
      </c>
      <c r="I32" s="32">
        <v>96329895</v>
      </c>
      <c r="J32" s="32">
        <v>102385691</v>
      </c>
      <c r="K32" s="32">
        <v>109147748</v>
      </c>
      <c r="L32" s="32">
        <v>119035328.65000001</v>
      </c>
      <c r="M32" s="32">
        <v>132519500.72</v>
      </c>
      <c r="N32" s="32">
        <v>147233987.88999999</v>
      </c>
      <c r="O32" s="32">
        <v>157946722.03999999</v>
      </c>
      <c r="P32" s="32">
        <v>209361648.06999999</v>
      </c>
      <c r="Q32" s="32">
        <v>230253084.59999999</v>
      </c>
      <c r="R32" s="32">
        <v>239482592.41</v>
      </c>
      <c r="S32" s="32">
        <v>253636263.59999999</v>
      </c>
      <c r="T32" s="32">
        <v>266779504.82999998</v>
      </c>
      <c r="U32" s="32">
        <v>225202244</v>
      </c>
      <c r="V32" s="32">
        <v>243745705.71000001</v>
      </c>
      <c r="W32" s="32">
        <v>250448663.21000001</v>
      </c>
      <c r="X32" s="32">
        <v>242949196.05000001</v>
      </c>
      <c r="Y32" s="32">
        <v>231190758.50999999</v>
      </c>
      <c r="Z32" s="32">
        <v>234781507.75</v>
      </c>
      <c r="AA32" s="32">
        <v>257515696.47999999</v>
      </c>
      <c r="AB32" s="32">
        <v>226453244.13</v>
      </c>
      <c r="AC32" s="32">
        <v>83311110</v>
      </c>
    </row>
    <row r="33" spans="1:29">
      <c r="A33" t="str">
        <f t="shared" si="11"/>
        <v>370001-1</v>
      </c>
      <c r="B33" t="s">
        <v>141</v>
      </c>
      <c r="C33" t="s">
        <v>621</v>
      </c>
      <c r="D33" s="32">
        <v>41668078</v>
      </c>
      <c r="E33" s="32">
        <v>43970171</v>
      </c>
      <c r="F33" s="32">
        <v>45591632</v>
      </c>
      <c r="G33" s="32">
        <v>43906379</v>
      </c>
      <c r="H33" s="32">
        <v>41648800</v>
      </c>
      <c r="I33" s="32">
        <v>43187971</v>
      </c>
      <c r="J33" s="32">
        <v>46277000</v>
      </c>
      <c r="K33" s="32">
        <v>47123040</v>
      </c>
      <c r="L33" s="32">
        <v>48911000</v>
      </c>
      <c r="M33" s="32">
        <v>45771000</v>
      </c>
      <c r="N33" s="32">
        <v>34689000</v>
      </c>
      <c r="O33" s="32">
        <v>35126000</v>
      </c>
      <c r="P33" s="32">
        <v>26240000</v>
      </c>
      <c r="Q33" s="32">
        <v>25762000</v>
      </c>
      <c r="R33" s="32">
        <v>31383000</v>
      </c>
      <c r="S33" s="32">
        <v>31525000</v>
      </c>
      <c r="T33" s="32">
        <v>38603000</v>
      </c>
      <c r="U33" s="32">
        <v>48158000</v>
      </c>
      <c r="V33" s="32">
        <v>50213000</v>
      </c>
      <c r="W33" s="32">
        <v>52025651.899999999</v>
      </c>
      <c r="X33" s="32">
        <v>55072386</v>
      </c>
      <c r="Y33" s="32">
        <v>56791515</v>
      </c>
      <c r="Z33" s="32">
        <v>58296000</v>
      </c>
      <c r="AA33" s="32">
        <v>62135000</v>
      </c>
      <c r="AB33" s="32">
        <v>65664000</v>
      </c>
      <c r="AC33" s="32">
        <v>28930340</v>
      </c>
    </row>
    <row r="34" spans="1:29">
      <c r="A34" t="str">
        <f t="shared" si="11"/>
        <v>370001-8</v>
      </c>
      <c r="B34" t="s">
        <v>141</v>
      </c>
      <c r="C34" t="s">
        <v>633</v>
      </c>
      <c r="D34" s="32"/>
      <c r="E34" s="32"/>
      <c r="F34" s="32"/>
      <c r="G34" s="32"/>
      <c r="H34" s="32"/>
      <c r="I34" s="32"/>
      <c r="J34" s="32"/>
      <c r="K34" s="32"/>
      <c r="L34" s="32"/>
      <c r="M34" s="32"/>
      <c r="N34" s="32">
        <v>5522000</v>
      </c>
      <c r="O34" s="32"/>
      <c r="P34" s="32"/>
      <c r="Q34" s="32"/>
      <c r="R34" s="32"/>
      <c r="S34" s="32"/>
      <c r="T34" s="32"/>
      <c r="U34" s="32"/>
      <c r="V34" s="32"/>
      <c r="W34" s="32"/>
      <c r="X34" s="32"/>
      <c r="Y34" s="32"/>
      <c r="Z34" s="32"/>
      <c r="AA34" s="32"/>
      <c r="AB34" s="32"/>
      <c r="AC34" s="32"/>
    </row>
    <row r="35" spans="1:29">
      <c r="A35" t="str">
        <f t="shared" si="11"/>
        <v>37008A-1</v>
      </c>
      <c r="B35" t="s">
        <v>141</v>
      </c>
      <c r="C35" t="s">
        <v>624</v>
      </c>
      <c r="D35" s="32"/>
      <c r="E35" s="32"/>
      <c r="F35" s="32"/>
      <c r="G35" s="32"/>
      <c r="H35" s="32"/>
      <c r="I35" s="32"/>
      <c r="J35" s="32">
        <v>2147000</v>
      </c>
      <c r="K35" s="32">
        <v>4314000</v>
      </c>
      <c r="L35" s="32">
        <v>6707000</v>
      </c>
      <c r="M35" s="32">
        <v>8046000</v>
      </c>
      <c r="N35" s="32">
        <v>8046000</v>
      </c>
      <c r="O35" s="32">
        <v>7995000</v>
      </c>
      <c r="P35" s="32">
        <v>8046000</v>
      </c>
      <c r="Q35" s="32">
        <v>8041000</v>
      </c>
      <c r="R35" s="32">
        <v>7790000</v>
      </c>
      <c r="S35" s="32">
        <v>7151000</v>
      </c>
      <c r="T35" s="32">
        <v>8304000</v>
      </c>
      <c r="U35" s="32">
        <v>8414000</v>
      </c>
      <c r="V35" s="32">
        <v>8304000</v>
      </c>
      <c r="W35" s="32">
        <v>8294000</v>
      </c>
      <c r="X35" s="32">
        <v>8380000</v>
      </c>
      <c r="Y35" s="32">
        <v>8414000</v>
      </c>
      <c r="Z35" s="32">
        <v>8424000</v>
      </c>
      <c r="AA35" s="32">
        <v>8414000</v>
      </c>
      <c r="AB35" s="32">
        <v>8424000</v>
      </c>
      <c r="AC35" s="32">
        <v>3418000</v>
      </c>
    </row>
    <row r="36" spans="1:29">
      <c r="A36" t="str">
        <f t="shared" si="11"/>
        <v>370149-6</v>
      </c>
      <c r="B36" t="s">
        <v>141</v>
      </c>
      <c r="C36" t="s">
        <v>638</v>
      </c>
      <c r="D36" s="32">
        <v>17726943.710000001</v>
      </c>
      <c r="E36" s="32">
        <v>19951349.68</v>
      </c>
      <c r="F36" s="32">
        <v>19036059.350000001</v>
      </c>
      <c r="G36" s="32">
        <v>22716384.66</v>
      </c>
      <c r="H36" s="32">
        <v>26257200.579999998</v>
      </c>
      <c r="I36" s="32">
        <v>30953376.59</v>
      </c>
      <c r="J36" s="32">
        <v>29548331.68</v>
      </c>
      <c r="K36" s="32">
        <v>33600601.82</v>
      </c>
      <c r="L36" s="32">
        <v>35731798.759999998</v>
      </c>
      <c r="M36" s="32">
        <v>36890347.950000003</v>
      </c>
      <c r="N36" s="32">
        <v>41774249.490000002</v>
      </c>
      <c r="O36" s="32">
        <v>43719018.549999997</v>
      </c>
      <c r="P36" s="32">
        <v>55052933.520000003</v>
      </c>
      <c r="Q36" s="32">
        <v>58752223.740000002</v>
      </c>
      <c r="R36" s="32">
        <v>61393748.32</v>
      </c>
      <c r="S36" s="32">
        <v>68591747.760000005</v>
      </c>
      <c r="T36" s="32">
        <v>66424794.710000001</v>
      </c>
      <c r="U36" s="32">
        <v>58330602.969999999</v>
      </c>
      <c r="V36" s="32">
        <v>61940408.839999996</v>
      </c>
      <c r="W36" s="32">
        <v>65102322.75</v>
      </c>
      <c r="X36" s="32">
        <v>69004671.5</v>
      </c>
      <c r="Y36" s="32">
        <v>54399728.090000004</v>
      </c>
      <c r="Z36" s="32">
        <v>49298750.870000005</v>
      </c>
      <c r="AA36" s="32">
        <v>48528785.050000004</v>
      </c>
      <c r="AB36" s="32">
        <v>51230620.770000003</v>
      </c>
      <c r="AC36" s="32">
        <v>11492198.51</v>
      </c>
    </row>
    <row r="37" spans="1:29">
      <c r="A37" t="str">
        <f t="shared" si="11"/>
        <v>375001-1</v>
      </c>
      <c r="B37" t="s">
        <v>142</v>
      </c>
      <c r="C37" t="s">
        <v>621</v>
      </c>
      <c r="D37" s="32">
        <v>42130066</v>
      </c>
      <c r="E37" s="32">
        <v>44321897.450000003</v>
      </c>
      <c r="F37" s="32">
        <v>44143528.199999996</v>
      </c>
      <c r="G37" s="32">
        <v>41599184.879999995</v>
      </c>
      <c r="H37" s="32">
        <v>40391978.43</v>
      </c>
      <c r="I37" s="32">
        <v>42713795.400000006</v>
      </c>
      <c r="J37" s="32">
        <v>45563000</v>
      </c>
      <c r="K37" s="32">
        <v>46902259</v>
      </c>
      <c r="L37" s="32">
        <v>47691000</v>
      </c>
      <c r="M37" s="32">
        <v>45275000</v>
      </c>
      <c r="N37" s="32">
        <v>30289000</v>
      </c>
      <c r="O37" s="32">
        <v>32337000</v>
      </c>
      <c r="P37" s="32">
        <v>23263000</v>
      </c>
      <c r="Q37" s="32">
        <v>21882546.969999999</v>
      </c>
      <c r="R37" s="32">
        <v>29730000</v>
      </c>
      <c r="S37" s="32">
        <v>29239000</v>
      </c>
      <c r="T37" s="32">
        <v>36958000</v>
      </c>
      <c r="U37" s="32">
        <v>47752000</v>
      </c>
      <c r="V37" s="32">
        <v>48136000</v>
      </c>
      <c r="W37" s="32">
        <v>51471000</v>
      </c>
      <c r="X37" s="32">
        <v>54365000</v>
      </c>
      <c r="Y37" s="32">
        <v>56301000</v>
      </c>
      <c r="Z37" s="32">
        <v>60220000</v>
      </c>
      <c r="AA37" s="32">
        <v>64862000</v>
      </c>
      <c r="AB37" s="32">
        <v>68904000</v>
      </c>
      <c r="AC37" s="32">
        <v>27405600</v>
      </c>
    </row>
    <row r="38" spans="1:29">
      <c r="A38" t="str">
        <f t="shared" si="11"/>
        <v>375001-8</v>
      </c>
      <c r="B38" t="s">
        <v>142</v>
      </c>
      <c r="C38" t="s">
        <v>633</v>
      </c>
      <c r="D38" s="32"/>
      <c r="E38" s="32"/>
      <c r="F38" s="32"/>
      <c r="G38" s="32"/>
      <c r="H38" s="32"/>
      <c r="I38" s="32"/>
      <c r="J38" s="32"/>
      <c r="K38" s="32"/>
      <c r="L38" s="32"/>
      <c r="M38" s="32"/>
      <c r="N38" s="32">
        <v>6975000</v>
      </c>
      <c r="O38" s="32"/>
      <c r="P38" s="32"/>
      <c r="Q38" s="32"/>
      <c r="R38" s="32"/>
      <c r="S38" s="32"/>
      <c r="T38" s="32"/>
      <c r="U38" s="32"/>
      <c r="V38" s="32"/>
      <c r="W38" s="32"/>
      <c r="X38" s="32"/>
      <c r="Y38" s="32"/>
      <c r="Z38" s="32"/>
      <c r="AA38" s="32"/>
      <c r="AB38" s="32"/>
      <c r="AC38" s="32"/>
    </row>
    <row r="39" spans="1:29">
      <c r="A39" t="str">
        <f t="shared" si="11"/>
        <v>37508A-1</v>
      </c>
      <c r="B39" t="s">
        <v>142</v>
      </c>
      <c r="C39" t="s">
        <v>624</v>
      </c>
      <c r="D39" s="32"/>
      <c r="E39" s="32"/>
      <c r="F39" s="32"/>
      <c r="G39" s="32"/>
      <c r="H39" s="32"/>
      <c r="I39" s="32"/>
      <c r="J39" s="32">
        <v>2147000</v>
      </c>
      <c r="K39" s="32">
        <v>4314000</v>
      </c>
      <c r="L39" s="32">
        <v>6681000</v>
      </c>
      <c r="M39" s="32">
        <v>9538000</v>
      </c>
      <c r="N39" s="32">
        <v>9538000</v>
      </c>
      <c r="O39" s="32">
        <v>9474000</v>
      </c>
      <c r="P39" s="32">
        <v>9538000</v>
      </c>
      <c r="Q39" s="32">
        <v>9538000</v>
      </c>
      <c r="R39" s="32">
        <v>9538000</v>
      </c>
      <c r="S39" s="32">
        <v>9538000</v>
      </c>
      <c r="T39" s="32">
        <v>9538000</v>
      </c>
      <c r="U39" s="32">
        <v>9602000</v>
      </c>
      <c r="V39" s="32">
        <v>9538000</v>
      </c>
      <c r="W39" s="32">
        <v>9538000</v>
      </c>
      <c r="X39" s="32">
        <v>9538000</v>
      </c>
      <c r="Y39" s="32">
        <v>9538000</v>
      </c>
      <c r="Z39" s="32">
        <v>9538000</v>
      </c>
      <c r="AA39" s="32">
        <v>9538000</v>
      </c>
      <c r="AB39" s="32">
        <v>9538000</v>
      </c>
      <c r="AC39" s="32">
        <v>3651691</v>
      </c>
    </row>
    <row r="40" spans="1:29">
      <c r="A40" t="str">
        <f t="shared" si="11"/>
        <v>375149-6</v>
      </c>
      <c r="B40" t="s">
        <v>142</v>
      </c>
      <c r="C40" t="s">
        <v>638</v>
      </c>
      <c r="D40" s="32">
        <v>16506809.040000001</v>
      </c>
      <c r="E40" s="32">
        <v>17230346.449999999</v>
      </c>
      <c r="F40" s="32">
        <v>17801917.539999999</v>
      </c>
      <c r="G40" s="32">
        <v>23923062.829999998</v>
      </c>
      <c r="H40" s="32">
        <v>26517258.300000001</v>
      </c>
      <c r="I40" s="32">
        <v>27699628.870000001</v>
      </c>
      <c r="J40" s="32">
        <v>28915117.75</v>
      </c>
      <c r="K40" s="32">
        <v>30019645.57</v>
      </c>
      <c r="L40" s="32">
        <v>33594240.030000001</v>
      </c>
      <c r="M40" s="32">
        <v>37189561.75</v>
      </c>
      <c r="N40" s="32">
        <v>45096361.329999998</v>
      </c>
      <c r="O40" s="32">
        <v>45630175.890000001</v>
      </c>
      <c r="P40" s="32">
        <v>57591834</v>
      </c>
      <c r="Q40" s="32">
        <v>59140264.950000003</v>
      </c>
      <c r="R40" s="32">
        <v>64999810.939999998</v>
      </c>
      <c r="S40" s="32">
        <v>62238506.329999998</v>
      </c>
      <c r="T40" s="32">
        <v>60600058.960000001</v>
      </c>
      <c r="U40" s="32">
        <v>58655192.620000005</v>
      </c>
      <c r="V40" s="32">
        <v>54139380.410000004</v>
      </c>
      <c r="W40" s="32">
        <v>57315397.620000005</v>
      </c>
      <c r="X40" s="32">
        <v>56616726.519999996</v>
      </c>
      <c r="Y40" s="32">
        <v>50155044.350000001</v>
      </c>
      <c r="Z40" s="32">
        <v>54211256.520000003</v>
      </c>
      <c r="AA40" s="32">
        <v>56193897.169999994</v>
      </c>
      <c r="AB40" s="32">
        <v>56804850.289999999</v>
      </c>
      <c r="AC40" s="32">
        <v>18430134.890000001</v>
      </c>
    </row>
    <row r="41" spans="1:29">
      <c r="A41" t="str">
        <f t="shared" si="11"/>
        <v>376001-1</v>
      </c>
      <c r="B41" t="s">
        <v>143</v>
      </c>
      <c r="C41" t="s">
        <v>621</v>
      </c>
      <c r="D41" s="32">
        <v>22388343</v>
      </c>
      <c r="E41" s="32">
        <v>24869694</v>
      </c>
      <c r="F41" s="32">
        <v>25413818</v>
      </c>
      <c r="G41" s="32">
        <v>24342161</v>
      </c>
      <c r="H41" s="32">
        <v>23121200</v>
      </c>
      <c r="I41" s="32">
        <v>24204730</v>
      </c>
      <c r="J41" s="32">
        <v>25648000</v>
      </c>
      <c r="K41" s="32">
        <v>26856726</v>
      </c>
      <c r="L41" s="32">
        <v>29747000</v>
      </c>
      <c r="M41" s="32">
        <v>27973000</v>
      </c>
      <c r="N41" s="32">
        <v>20514000</v>
      </c>
      <c r="O41" s="32">
        <v>17728000</v>
      </c>
      <c r="P41" s="32">
        <v>15635000</v>
      </c>
      <c r="Q41" s="32">
        <v>15165000</v>
      </c>
      <c r="R41" s="32">
        <v>18350000</v>
      </c>
      <c r="S41" s="32">
        <v>17230000</v>
      </c>
      <c r="T41" s="32">
        <v>22302000</v>
      </c>
      <c r="U41" s="32">
        <v>25744000</v>
      </c>
      <c r="V41" s="32">
        <v>26608000</v>
      </c>
      <c r="W41" s="32">
        <v>28134126.57</v>
      </c>
      <c r="X41" s="32">
        <v>30208000</v>
      </c>
      <c r="Y41" s="32">
        <v>30839000</v>
      </c>
      <c r="Z41" s="32">
        <v>31983624.18</v>
      </c>
      <c r="AA41" s="32">
        <v>35530124.039999999</v>
      </c>
      <c r="AB41" s="32">
        <v>38495577.710000001</v>
      </c>
      <c r="AC41" s="32">
        <v>16159763.18</v>
      </c>
    </row>
    <row r="42" spans="1:29">
      <c r="A42" t="str">
        <f t="shared" si="11"/>
        <v>376001-8</v>
      </c>
      <c r="B42" t="s">
        <v>143</v>
      </c>
      <c r="C42" t="s">
        <v>633</v>
      </c>
      <c r="D42" s="32"/>
      <c r="E42" s="32"/>
      <c r="F42" s="32"/>
      <c r="G42" s="32"/>
      <c r="H42" s="32"/>
      <c r="I42" s="32"/>
      <c r="J42" s="32"/>
      <c r="K42" s="32"/>
      <c r="L42" s="32"/>
      <c r="M42" s="32"/>
      <c r="N42" s="32">
        <v>2366000</v>
      </c>
      <c r="O42" s="32"/>
      <c r="P42" s="32"/>
      <c r="Q42" s="32"/>
      <c r="R42" s="32"/>
      <c r="S42" s="32"/>
      <c r="T42" s="32"/>
      <c r="U42" s="32"/>
      <c r="V42" s="32"/>
      <c r="W42" s="32"/>
      <c r="X42" s="32"/>
      <c r="Y42" s="32"/>
      <c r="Z42" s="32"/>
      <c r="AA42" s="32"/>
      <c r="AB42" s="32"/>
      <c r="AC42" s="32"/>
    </row>
    <row r="43" spans="1:29">
      <c r="A43" t="str">
        <f t="shared" si="11"/>
        <v>37608A-1</v>
      </c>
      <c r="B43" t="s">
        <v>143</v>
      </c>
      <c r="C43" t="s">
        <v>624</v>
      </c>
      <c r="D43" s="32"/>
      <c r="E43" s="32"/>
      <c r="F43" s="32"/>
      <c r="G43" s="32"/>
      <c r="H43" s="32"/>
      <c r="I43" s="32"/>
      <c r="J43" s="32">
        <v>705000</v>
      </c>
      <c r="K43" s="32">
        <v>1411000</v>
      </c>
      <c r="L43" s="32">
        <v>2033000</v>
      </c>
      <c r="M43" s="32">
        <v>2692000</v>
      </c>
      <c r="N43" s="32">
        <v>2725000</v>
      </c>
      <c r="O43" s="32">
        <v>2692000</v>
      </c>
      <c r="P43" s="32">
        <v>2725000</v>
      </c>
      <c r="Q43" s="32">
        <v>2725000</v>
      </c>
      <c r="R43" s="32">
        <v>2725000</v>
      </c>
      <c r="S43" s="32">
        <v>2725000</v>
      </c>
      <c r="T43" s="32">
        <v>2725000</v>
      </c>
      <c r="U43" s="32">
        <v>2768000</v>
      </c>
      <c r="V43" s="32">
        <v>2725000</v>
      </c>
      <c r="W43" s="32">
        <v>2725000</v>
      </c>
      <c r="X43" s="32">
        <v>2725000</v>
      </c>
      <c r="Y43" s="32">
        <v>2725000</v>
      </c>
      <c r="Z43" s="32">
        <v>2725000</v>
      </c>
      <c r="AA43" s="32">
        <v>2725000</v>
      </c>
      <c r="AB43" s="32">
        <v>2725000</v>
      </c>
      <c r="AC43" s="32">
        <v>990909.12</v>
      </c>
    </row>
    <row r="44" spans="1:29">
      <c r="A44" t="str">
        <f t="shared" si="11"/>
        <v>376149-6</v>
      </c>
      <c r="B44" t="s">
        <v>143</v>
      </c>
      <c r="C44" t="s">
        <v>638</v>
      </c>
      <c r="D44" s="32">
        <v>14291208.32</v>
      </c>
      <c r="E44" s="32">
        <v>14460499.970000001</v>
      </c>
      <c r="F44" s="32">
        <v>14194184.360000001</v>
      </c>
      <c r="G44" s="32">
        <v>15702712.899999999</v>
      </c>
      <c r="H44" s="32">
        <v>13274209.52</v>
      </c>
      <c r="I44" s="32">
        <v>24748583.609999999</v>
      </c>
      <c r="J44" s="32">
        <v>19978517.77</v>
      </c>
      <c r="K44" s="32">
        <v>20713069.140000001</v>
      </c>
      <c r="L44" s="32">
        <v>20395574.68</v>
      </c>
      <c r="M44" s="32">
        <v>24487150.119999997</v>
      </c>
      <c r="N44" s="32">
        <v>26162580.919999998</v>
      </c>
      <c r="O44" s="32">
        <v>30020329.18</v>
      </c>
      <c r="P44" s="32">
        <v>33544503.109999999</v>
      </c>
      <c r="Q44" s="32">
        <v>33837467.630000003</v>
      </c>
      <c r="R44" s="32">
        <v>32829827.59</v>
      </c>
      <c r="S44" s="32">
        <v>32136535.25</v>
      </c>
      <c r="T44" s="32">
        <v>41436917.089999996</v>
      </c>
      <c r="U44" s="32">
        <v>31142328.23</v>
      </c>
      <c r="V44" s="32">
        <v>30301325.209999997</v>
      </c>
      <c r="W44" s="32">
        <v>23046931.539999999</v>
      </c>
      <c r="X44" s="32">
        <v>19932535.949999999</v>
      </c>
      <c r="Y44" s="32">
        <v>10596029.789999999</v>
      </c>
      <c r="Z44" s="32">
        <v>3156455.88</v>
      </c>
      <c r="AA44" s="32">
        <v>14669580.25</v>
      </c>
      <c r="AB44" s="32">
        <v>13733925.84</v>
      </c>
      <c r="AC44" s="32">
        <v>5343181.75</v>
      </c>
    </row>
    <row r="45" spans="1:29">
      <c r="A45" t="str">
        <f t="shared" si="11"/>
        <v>380001-1</v>
      </c>
      <c r="B45" t="s">
        <v>144</v>
      </c>
      <c r="C45" t="s">
        <v>621</v>
      </c>
      <c r="D45" s="32">
        <v>53392330</v>
      </c>
      <c r="E45" s="32">
        <v>56611624.979999997</v>
      </c>
      <c r="F45" s="32">
        <v>59840388</v>
      </c>
      <c r="G45" s="32">
        <v>57965646.050000004</v>
      </c>
      <c r="H45" s="32">
        <v>54031436.829999998</v>
      </c>
      <c r="I45" s="32">
        <v>56409101.410000004</v>
      </c>
      <c r="J45" s="32">
        <v>58964000</v>
      </c>
      <c r="K45" s="32">
        <v>61331508</v>
      </c>
      <c r="L45" s="32">
        <v>66773998.5</v>
      </c>
      <c r="M45" s="32">
        <v>64450000</v>
      </c>
      <c r="N45" s="32">
        <v>43146000</v>
      </c>
      <c r="O45" s="32">
        <v>46354916.479999997</v>
      </c>
      <c r="P45" s="32">
        <v>33729000</v>
      </c>
      <c r="Q45" s="32">
        <v>32786000</v>
      </c>
      <c r="R45" s="32">
        <v>39456414.909999996</v>
      </c>
      <c r="S45" s="32">
        <v>43005000</v>
      </c>
      <c r="T45" s="32">
        <v>53401000</v>
      </c>
      <c r="U45" s="32">
        <v>67188000</v>
      </c>
      <c r="V45" s="32">
        <v>70475000</v>
      </c>
      <c r="W45" s="32">
        <v>74902000</v>
      </c>
      <c r="X45" s="32">
        <v>78664000</v>
      </c>
      <c r="Y45" s="32">
        <v>81724000</v>
      </c>
      <c r="Z45" s="32">
        <v>84528000</v>
      </c>
      <c r="AA45" s="32">
        <v>92158000</v>
      </c>
      <c r="AB45" s="32">
        <v>99066000</v>
      </c>
      <c r="AC45" s="32">
        <v>35576860</v>
      </c>
    </row>
    <row r="46" spans="1:29">
      <c r="A46" t="str">
        <f t="shared" si="11"/>
        <v>380001-8</v>
      </c>
      <c r="B46" t="s">
        <v>144</v>
      </c>
      <c r="C46" t="s">
        <v>633</v>
      </c>
      <c r="D46" s="32"/>
      <c r="E46" s="32"/>
      <c r="F46" s="32"/>
      <c r="G46" s="32"/>
      <c r="H46" s="32"/>
      <c r="I46" s="32"/>
      <c r="J46" s="32"/>
      <c r="K46" s="32"/>
      <c r="L46" s="32"/>
      <c r="M46" s="32"/>
      <c r="N46" s="32">
        <v>8885000</v>
      </c>
      <c r="O46" s="32"/>
      <c r="P46" s="32"/>
      <c r="Q46" s="32"/>
      <c r="R46" s="32"/>
      <c r="S46" s="32"/>
      <c r="T46" s="32"/>
      <c r="U46" s="32"/>
      <c r="V46" s="32"/>
      <c r="W46" s="32"/>
      <c r="X46" s="32"/>
      <c r="Y46" s="32"/>
      <c r="Z46" s="32"/>
      <c r="AA46" s="32"/>
      <c r="AB46" s="32"/>
      <c r="AC46" s="32"/>
    </row>
    <row r="47" spans="1:29">
      <c r="A47" t="str">
        <f t="shared" si="11"/>
        <v>38008A-1</v>
      </c>
      <c r="B47" t="s">
        <v>144</v>
      </c>
      <c r="C47" t="s">
        <v>624</v>
      </c>
      <c r="D47" s="32"/>
      <c r="E47" s="32"/>
      <c r="F47" s="32"/>
      <c r="G47" s="32"/>
      <c r="H47" s="32"/>
      <c r="I47" s="32"/>
      <c r="J47" s="32">
        <v>1158000</v>
      </c>
      <c r="K47" s="32">
        <v>2317000</v>
      </c>
      <c r="L47" s="32">
        <v>5110000</v>
      </c>
      <c r="M47" s="32">
        <v>6735000</v>
      </c>
      <c r="N47" s="32">
        <v>6518000</v>
      </c>
      <c r="O47" s="32">
        <v>6398489.6600000001</v>
      </c>
      <c r="P47" s="32">
        <v>6647000</v>
      </c>
      <c r="Q47" s="32">
        <v>6557000</v>
      </c>
      <c r="R47" s="32">
        <v>7891282.9799999995</v>
      </c>
      <c r="S47" s="32">
        <v>5003716.8100000005</v>
      </c>
      <c r="T47" s="32">
        <v>6803000</v>
      </c>
      <c r="U47" s="32">
        <v>6934000</v>
      </c>
      <c r="V47" s="32">
        <v>6919000</v>
      </c>
      <c r="W47" s="32">
        <v>6912000</v>
      </c>
      <c r="X47" s="32">
        <v>6915500</v>
      </c>
      <c r="Y47" s="32">
        <v>6915500</v>
      </c>
      <c r="Z47" s="32">
        <v>6919000</v>
      </c>
      <c r="AA47" s="32">
        <v>6912000</v>
      </c>
      <c r="AB47" s="32">
        <v>6919000</v>
      </c>
      <c r="AC47" s="32">
        <v>2343692</v>
      </c>
    </row>
    <row r="48" spans="1:29">
      <c r="A48" t="str">
        <f t="shared" si="11"/>
        <v>380149-6</v>
      </c>
      <c r="B48" t="s">
        <v>144</v>
      </c>
      <c r="C48" t="s">
        <v>638</v>
      </c>
      <c r="D48" s="32">
        <v>26898128.649999999</v>
      </c>
      <c r="E48" s="32">
        <v>28823412.760000002</v>
      </c>
      <c r="F48" s="32">
        <v>29845664.490000002</v>
      </c>
      <c r="G48" s="32">
        <v>34609505.149999999</v>
      </c>
      <c r="H48" s="32">
        <v>38443412.159999996</v>
      </c>
      <c r="I48" s="32">
        <v>40113201.75</v>
      </c>
      <c r="J48" s="32">
        <v>41945573.310000002</v>
      </c>
      <c r="K48" s="32">
        <v>45652683.420000002</v>
      </c>
      <c r="L48" s="32">
        <v>49078327.530000001</v>
      </c>
      <c r="M48" s="32">
        <v>51612887.690000005</v>
      </c>
      <c r="N48" s="32">
        <v>67469161.890000001</v>
      </c>
      <c r="O48" s="32">
        <v>67662909.019999996</v>
      </c>
      <c r="P48" s="32">
        <v>78671891.450000003</v>
      </c>
      <c r="Q48" s="32">
        <v>83921379.890000015</v>
      </c>
      <c r="R48" s="32">
        <v>84504162.890000001</v>
      </c>
      <c r="S48" s="32">
        <v>90869549.299999997</v>
      </c>
      <c r="T48" s="32">
        <v>88267996.560000002</v>
      </c>
      <c r="U48" s="32">
        <v>86687813.950000003</v>
      </c>
      <c r="V48" s="32">
        <v>90360874.13000001</v>
      </c>
      <c r="W48" s="32">
        <v>93609927.5</v>
      </c>
      <c r="X48" s="32">
        <v>99272470.379999995</v>
      </c>
      <c r="Y48" s="32">
        <v>90780725.090000004</v>
      </c>
      <c r="Z48" s="32">
        <v>102306227.77</v>
      </c>
      <c r="AA48" s="32">
        <v>107138018.71000001</v>
      </c>
      <c r="AB48" s="32">
        <v>105237060.73999999</v>
      </c>
      <c r="AC48" s="32">
        <v>40930699.689999998</v>
      </c>
    </row>
    <row r="49" spans="1:29">
      <c r="A49" t="str">
        <f t="shared" si="11"/>
        <v>699001-1</v>
      </c>
      <c r="B49" t="s">
        <v>145</v>
      </c>
      <c r="C49" t="s">
        <v>621</v>
      </c>
      <c r="D49" s="32">
        <v>455436403.85000002</v>
      </c>
      <c r="E49" s="32">
        <v>489739483.69</v>
      </c>
      <c r="F49" s="32">
        <v>514954047.29000002</v>
      </c>
      <c r="G49" s="32">
        <v>534151500.91000003</v>
      </c>
      <c r="H49" s="32">
        <v>509382424.19</v>
      </c>
      <c r="I49" s="32">
        <v>524122233.87</v>
      </c>
      <c r="J49" s="32">
        <v>558362726.98000002</v>
      </c>
      <c r="K49" s="32">
        <v>584578030.89999998</v>
      </c>
      <c r="L49" s="32">
        <v>617365994.25</v>
      </c>
      <c r="M49" s="32">
        <v>630499181.57000005</v>
      </c>
      <c r="N49" s="32">
        <v>631425089.11000001</v>
      </c>
      <c r="O49" s="32">
        <v>603406731.33000004</v>
      </c>
      <c r="P49" s="32">
        <v>531526829.76000005</v>
      </c>
      <c r="Q49" s="32">
        <v>515753945.37000006</v>
      </c>
      <c r="R49" s="32">
        <v>569188858.79999995</v>
      </c>
      <c r="S49" s="32">
        <v>560655835.12</v>
      </c>
      <c r="T49" s="32">
        <v>623990375.61000001</v>
      </c>
      <c r="U49" s="32">
        <v>667390681.87</v>
      </c>
      <c r="V49" s="32">
        <v>629036980.21000004</v>
      </c>
      <c r="W49" s="32">
        <v>637338827.02999997</v>
      </c>
      <c r="X49" s="32">
        <v>677082567.55000007</v>
      </c>
      <c r="Y49" s="32">
        <v>700084634.66999996</v>
      </c>
      <c r="Z49" s="32">
        <v>741774795.31999993</v>
      </c>
      <c r="AA49" s="32">
        <v>825056089.74000001</v>
      </c>
      <c r="AB49" s="32">
        <v>915601083.59000003</v>
      </c>
      <c r="AC49" s="32">
        <v>366791929.83999997</v>
      </c>
    </row>
    <row r="50" spans="1:29">
      <c r="A50" t="str">
        <f t="shared" si="11"/>
        <v>699001-8</v>
      </c>
      <c r="B50" t="s">
        <v>145</v>
      </c>
      <c r="C50" t="s">
        <v>633</v>
      </c>
      <c r="D50" s="32"/>
      <c r="E50" s="32"/>
      <c r="F50" s="32"/>
      <c r="G50" s="32"/>
      <c r="H50" s="32"/>
      <c r="I50" s="32"/>
      <c r="J50" s="32"/>
      <c r="K50" s="32"/>
      <c r="L50" s="32"/>
      <c r="M50" s="32"/>
      <c r="N50" s="32">
        <v>17171000</v>
      </c>
      <c r="O50" s="32">
        <v>0</v>
      </c>
      <c r="P50" s="32"/>
      <c r="Q50" s="32"/>
      <c r="R50" s="32"/>
      <c r="S50" s="32"/>
      <c r="T50" s="32"/>
      <c r="U50" s="32"/>
      <c r="V50" s="32"/>
      <c r="W50" s="32"/>
      <c r="X50" s="32"/>
      <c r="Y50" s="32"/>
      <c r="Z50" s="32"/>
      <c r="AA50" s="32"/>
      <c r="AB50" s="32"/>
      <c r="AC50" s="32"/>
    </row>
    <row r="51" spans="1:29">
      <c r="A51" t="str">
        <f t="shared" si="11"/>
        <v>69908A-1</v>
      </c>
      <c r="B51" t="s">
        <v>145</v>
      </c>
      <c r="C51" t="s">
        <v>624</v>
      </c>
      <c r="D51" s="32"/>
      <c r="E51" s="32"/>
      <c r="F51" s="32"/>
      <c r="G51" s="32"/>
      <c r="H51" s="32"/>
      <c r="I51" s="32"/>
      <c r="J51" s="32">
        <v>17570000</v>
      </c>
      <c r="K51" s="32">
        <v>27800375.629999999</v>
      </c>
      <c r="L51" s="32">
        <v>55728389.850000001</v>
      </c>
      <c r="M51" s="32">
        <v>48343623.539999999</v>
      </c>
      <c r="N51" s="32">
        <v>47501390.68</v>
      </c>
      <c r="O51" s="32">
        <v>47465505.699999996</v>
      </c>
      <c r="P51" s="32">
        <v>47317354.159999996</v>
      </c>
      <c r="Q51" s="32">
        <v>47767247.210000001</v>
      </c>
      <c r="R51" s="32">
        <v>46759085.699999996</v>
      </c>
      <c r="S51" s="32">
        <v>47358037.659999996</v>
      </c>
      <c r="T51" s="32">
        <v>47152669.969999999</v>
      </c>
      <c r="U51" s="32">
        <v>48684470.470000006</v>
      </c>
      <c r="V51" s="32">
        <v>59388840.400000006</v>
      </c>
      <c r="W51" s="32">
        <v>74838840.219999999</v>
      </c>
      <c r="X51" s="32">
        <v>77719616.310000002</v>
      </c>
      <c r="Y51" s="32">
        <v>78537263.310000002</v>
      </c>
      <c r="Z51" s="32">
        <v>76486242.840000004</v>
      </c>
      <c r="AA51" s="32">
        <v>81587149.060000002</v>
      </c>
      <c r="AB51" s="32">
        <v>80080370.609999999</v>
      </c>
      <c r="AC51" s="32">
        <v>23674944.510000002</v>
      </c>
    </row>
    <row r="52" spans="1:29">
      <c r="A52" t="str">
        <f t="shared" si="11"/>
        <v>699149-6</v>
      </c>
      <c r="B52" t="s">
        <v>145</v>
      </c>
      <c r="C52" t="s">
        <v>638</v>
      </c>
      <c r="D52" s="32">
        <v>134108867.81</v>
      </c>
      <c r="E52" s="32">
        <v>134757785.44</v>
      </c>
      <c r="F52" s="32">
        <v>146072729.47</v>
      </c>
      <c r="G52" s="32">
        <v>158721095.52000001</v>
      </c>
      <c r="H52" s="32">
        <v>183989624.82999998</v>
      </c>
      <c r="I52" s="32">
        <v>198652806.63999999</v>
      </c>
      <c r="J52" s="32">
        <v>208488888.89000002</v>
      </c>
      <c r="K52" s="32">
        <v>217269259.46000001</v>
      </c>
      <c r="L52" s="32">
        <v>232952504.03</v>
      </c>
      <c r="M52" s="32">
        <v>237174226.28</v>
      </c>
      <c r="N52" s="32">
        <v>257436953.42999998</v>
      </c>
      <c r="O52" s="32">
        <v>292708768.69999999</v>
      </c>
      <c r="P52" s="32">
        <v>307622980.48000002</v>
      </c>
      <c r="Q52" s="32">
        <v>334831685.21999997</v>
      </c>
      <c r="R52" s="32">
        <v>348460492.67000002</v>
      </c>
      <c r="S52" s="32">
        <v>360091579.46000004</v>
      </c>
      <c r="T52" s="32">
        <v>364486675.95999998</v>
      </c>
      <c r="U52" s="32">
        <v>359122465.96000004</v>
      </c>
      <c r="V52" s="32">
        <v>354787750.25</v>
      </c>
      <c r="W52" s="32">
        <v>321534183.62</v>
      </c>
      <c r="X52" s="32">
        <v>358039429.18000001</v>
      </c>
      <c r="Y52" s="32">
        <v>288912697.04000002</v>
      </c>
      <c r="Z52" s="32">
        <v>333622575.25999999</v>
      </c>
      <c r="AA52" s="32">
        <v>293255221.13999999</v>
      </c>
      <c r="AB52" s="32">
        <v>365119390.42000002</v>
      </c>
      <c r="AC52" s="32">
        <v>218521827.97</v>
      </c>
    </row>
    <row r="53" spans="1:29">
      <c r="A53" t="str">
        <f t="shared" si="11"/>
        <v>69917C-1</v>
      </c>
      <c r="B53" t="s">
        <v>145</v>
      </c>
      <c r="C53" t="s">
        <v>657</v>
      </c>
      <c r="D53" s="32"/>
      <c r="E53" s="32"/>
      <c r="F53" s="32"/>
      <c r="G53" s="32"/>
      <c r="H53" s="32"/>
      <c r="I53" s="32"/>
      <c r="J53" s="32"/>
      <c r="K53" s="32"/>
      <c r="L53" s="32"/>
      <c r="M53" s="32"/>
      <c r="N53" s="32"/>
      <c r="O53" s="32">
        <v>18491235.07</v>
      </c>
      <c r="P53" s="32"/>
      <c r="Q53" s="32"/>
      <c r="R53" s="32"/>
      <c r="S53" s="32"/>
      <c r="T53" s="32"/>
      <c r="U53" s="32"/>
      <c r="V53" s="32"/>
      <c r="W53" s="32"/>
      <c r="X53" s="32"/>
      <c r="Y53" s="32"/>
      <c r="Z53" s="32"/>
      <c r="AA53" s="32"/>
      <c r="AB53" s="32"/>
      <c r="AC53" s="32"/>
    </row>
    <row r="54" spans="1:29">
      <c r="B54" t="s">
        <v>138</v>
      </c>
      <c r="D54" s="32">
        <v>1617977942.4000001</v>
      </c>
      <c r="E54" s="32">
        <v>1730002631.99</v>
      </c>
      <c r="F54" s="32">
        <v>1806779934.6700001</v>
      </c>
      <c r="G54" s="32">
        <v>1876534546.5100002</v>
      </c>
      <c r="H54" s="32">
        <v>1869124967.3099999</v>
      </c>
      <c r="I54" s="32">
        <v>2007134607.2799997</v>
      </c>
      <c r="J54" s="32">
        <v>2144082443.8200002</v>
      </c>
      <c r="K54" s="32">
        <v>2297634828.23</v>
      </c>
      <c r="L54" s="32">
        <v>2515471738.54</v>
      </c>
      <c r="M54" s="32">
        <v>2572453353.2800002</v>
      </c>
      <c r="N54" s="32">
        <v>2555391117.1699996</v>
      </c>
      <c r="O54" s="32">
        <v>2591581643.71</v>
      </c>
      <c r="P54" s="32">
        <v>2555232214.3299999</v>
      </c>
      <c r="Q54" s="32">
        <v>2705454418.6799998</v>
      </c>
      <c r="R54" s="32">
        <v>2876015503.0900002</v>
      </c>
      <c r="S54" s="32">
        <v>2993777788.6599994</v>
      </c>
      <c r="T54" s="32">
        <v>3157494603.4899998</v>
      </c>
      <c r="U54" s="32">
        <v>3265577801.7899995</v>
      </c>
      <c r="V54" s="32">
        <v>3335381818.7400002</v>
      </c>
      <c r="W54" s="32">
        <v>3341237773.7499995</v>
      </c>
      <c r="X54" s="32">
        <v>3452227869.7799997</v>
      </c>
      <c r="Y54" s="32">
        <v>3392221667.29</v>
      </c>
      <c r="Z54" s="32">
        <v>3552834509.1599998</v>
      </c>
      <c r="AA54" s="32">
        <v>3768677824.9399996</v>
      </c>
      <c r="AB54" s="32">
        <v>4126324185.8700004</v>
      </c>
      <c r="AC54" s="32">
        <v>1703498350.5599997</v>
      </c>
    </row>
    <row r="55" spans="1:29">
      <c r="V55" s="32"/>
    </row>
    <row r="56" spans="1:29">
      <c r="V56" s="32"/>
    </row>
    <row r="67" spans="1:29">
      <c r="B67" t="str">
        <f>+OperatingFunds!B136</f>
        <v>Other State Funds:  Aquatic Lands (02R-1); Economic Development Strategic Reserve (09R-1); Geoduck Aquaculture (12P-1); Biotoxin (15M-1); Aerospace Training (17R-1); Workforce Education Investment (24J-1); Dedicated Marijuana (315-1); Pension Funding Stablilization (489-1); Accident (608-1); Medical Aid (609-1); Health Professions (747-1), and capital funds appropriated in the 2023-25 Operating Budget</v>
      </c>
    </row>
    <row r="69" spans="1:29">
      <c r="B69" t="s">
        <v>1875</v>
      </c>
    </row>
    <row r="70" spans="1:29">
      <c r="B70" s="1291" t="s">
        <v>1621</v>
      </c>
      <c r="C70" t="s">
        <v>1624</v>
      </c>
    </row>
    <row r="71" spans="1:29">
      <c r="B71" s="1291" t="s">
        <v>1626</v>
      </c>
      <c r="C71" t="s">
        <v>603</v>
      </c>
      <c r="G71" s="32"/>
    </row>
    <row r="72" spans="1:29">
      <c r="F72" s="32"/>
    </row>
    <row r="73" spans="1:29">
      <c r="B73" s="1291" t="s">
        <v>1559</v>
      </c>
      <c r="D73" s="1291" t="s">
        <v>1182</v>
      </c>
    </row>
    <row r="74" spans="1:29">
      <c r="B74" s="1291" t="s">
        <v>1618</v>
      </c>
      <c r="C74" s="1291" t="s">
        <v>619</v>
      </c>
      <c r="D74" s="1744" t="s">
        <v>428</v>
      </c>
      <c r="E74" s="1744" t="s">
        <v>429</v>
      </c>
      <c r="F74" s="1744" t="s">
        <v>430</v>
      </c>
      <c r="G74" s="1744" t="s">
        <v>137</v>
      </c>
      <c r="H74" s="1744" t="s">
        <v>176</v>
      </c>
      <c r="I74" s="1744" t="s">
        <v>292</v>
      </c>
      <c r="J74" s="1744" t="s">
        <v>380</v>
      </c>
      <c r="K74" s="1744" t="s">
        <v>381</v>
      </c>
      <c r="L74" s="1744" t="s">
        <v>612</v>
      </c>
      <c r="M74" s="1744" t="s">
        <v>613</v>
      </c>
      <c r="N74" s="1744" t="s">
        <v>614</v>
      </c>
      <c r="O74" s="1744" t="s">
        <v>615</v>
      </c>
      <c r="P74" s="1744" t="s">
        <v>805</v>
      </c>
      <c r="Q74" s="1744" t="s">
        <v>1163</v>
      </c>
      <c r="R74" s="1744" t="s">
        <v>1178</v>
      </c>
      <c r="S74" s="1744" t="s">
        <v>1179</v>
      </c>
      <c r="T74" s="1744" t="s">
        <v>1628</v>
      </c>
      <c r="U74" s="1744" t="s">
        <v>1629</v>
      </c>
      <c r="V74" s="1744" t="s">
        <v>1689</v>
      </c>
      <c r="W74" s="1744" t="s">
        <v>1690</v>
      </c>
      <c r="X74" s="1744" t="s">
        <v>1798</v>
      </c>
      <c r="Y74" s="1744" t="s">
        <v>1803</v>
      </c>
      <c r="Z74" s="1744" t="s">
        <v>1877</v>
      </c>
      <c r="AA74" s="1744" t="s">
        <v>1878</v>
      </c>
      <c r="AB74" s="1744" t="s">
        <v>1952</v>
      </c>
      <c r="AC74" s="1744" t="s">
        <v>1951</v>
      </c>
    </row>
    <row r="75" spans="1:29">
      <c r="A75" t="str">
        <f>+B75&amp;C75</f>
        <v>340</v>
      </c>
      <c r="B75" t="s">
        <v>1164</v>
      </c>
      <c r="D75" s="32"/>
      <c r="E75" s="32"/>
      <c r="F75" s="32"/>
      <c r="G75" s="32"/>
      <c r="H75" s="32"/>
      <c r="I75" s="32"/>
      <c r="J75" s="32"/>
      <c r="K75" s="32"/>
      <c r="L75" s="32"/>
      <c r="M75" s="32"/>
      <c r="N75" s="32"/>
      <c r="O75" s="32"/>
      <c r="P75" s="32"/>
      <c r="Q75" s="32"/>
      <c r="R75" s="32"/>
      <c r="S75" s="32"/>
      <c r="T75" s="32"/>
      <c r="U75" s="32">
        <v>60986.270000000004</v>
      </c>
      <c r="V75" s="32">
        <v>1425283.44</v>
      </c>
      <c r="W75" s="32">
        <v>3951582.3400000003</v>
      </c>
      <c r="X75" s="32">
        <v>41697464.710000001</v>
      </c>
      <c r="Y75" s="32">
        <v>127204470.59999999</v>
      </c>
      <c r="Z75" s="32">
        <v>108111592.55</v>
      </c>
      <c r="AA75" s="32">
        <v>114260004.23</v>
      </c>
      <c r="AB75" s="32">
        <v>164109519.16</v>
      </c>
      <c r="AC75" s="32">
        <v>76911780.609999999</v>
      </c>
    </row>
    <row r="76" spans="1:29">
      <c r="A76" t="str">
        <f t="shared" ref="A76:A93" si="12">+B76&amp;C76</f>
        <v>360</v>
      </c>
      <c r="B76" t="s">
        <v>139</v>
      </c>
      <c r="D76" s="32">
        <v>5296088.5999999996</v>
      </c>
      <c r="E76" s="32">
        <v>6298911.4000000004</v>
      </c>
      <c r="F76" s="32">
        <v>5800380.6600000011</v>
      </c>
      <c r="G76" s="32">
        <v>7120619.3399999999</v>
      </c>
      <c r="H76" s="32">
        <v>5873960.3799999999</v>
      </c>
      <c r="I76" s="32">
        <v>6013775.620000001</v>
      </c>
      <c r="J76" s="32">
        <v>6057428.8399999999</v>
      </c>
      <c r="K76" s="32">
        <v>6894228.290000001</v>
      </c>
      <c r="L76" s="32">
        <v>6488101.5299999993</v>
      </c>
      <c r="M76" s="32">
        <v>6381050.5499999998</v>
      </c>
      <c r="N76" s="32">
        <v>6596537.5299999993</v>
      </c>
      <c r="O76" s="32">
        <v>6910538.9100000001</v>
      </c>
      <c r="P76" s="32">
        <v>6187801.5899999999</v>
      </c>
      <c r="Q76" s="32">
        <v>8815229.6400000006</v>
      </c>
      <c r="R76" s="32">
        <v>7781238.1899999995</v>
      </c>
      <c r="S76" s="32">
        <v>9572682.589999998</v>
      </c>
      <c r="T76" s="32">
        <v>9655463.3399999999</v>
      </c>
      <c r="U76" s="32">
        <v>9516756.0500000007</v>
      </c>
      <c r="V76" s="32">
        <v>36518033.769999996</v>
      </c>
      <c r="W76" s="32">
        <v>35557651.550000012</v>
      </c>
      <c r="X76" s="32">
        <v>48050579.410000004</v>
      </c>
      <c r="Y76" s="32">
        <v>61423650.74000001</v>
      </c>
      <c r="Z76" s="32">
        <v>35854387.039999999</v>
      </c>
      <c r="AA76" s="32">
        <v>39308538.699999996</v>
      </c>
      <c r="AB76" s="32">
        <v>46788052.269999996</v>
      </c>
      <c r="AC76" s="32">
        <v>19159497.710000001</v>
      </c>
    </row>
    <row r="77" spans="1:29">
      <c r="A77" t="str">
        <f t="shared" si="12"/>
        <v>365</v>
      </c>
      <c r="B77" t="s">
        <v>140</v>
      </c>
      <c r="D77" s="32"/>
      <c r="E77" s="32"/>
      <c r="F77" s="32"/>
      <c r="G77" s="32"/>
      <c r="H77" s="32"/>
      <c r="I77" s="32">
        <v>150000</v>
      </c>
      <c r="J77" s="32"/>
      <c r="K77" s="32">
        <v>293000</v>
      </c>
      <c r="L77" s="32">
        <v>1225000</v>
      </c>
      <c r="M77" s="32">
        <v>1225000</v>
      </c>
      <c r="N77" s="32"/>
      <c r="O77" s="32"/>
      <c r="P77" s="32"/>
      <c r="Q77" s="32"/>
      <c r="R77" s="32"/>
      <c r="S77" s="32"/>
      <c r="T77" s="32">
        <v>138000</v>
      </c>
      <c r="U77" s="32">
        <v>138000</v>
      </c>
      <c r="V77" s="32">
        <v>16040000</v>
      </c>
      <c r="W77" s="32">
        <v>16011000</v>
      </c>
      <c r="X77" s="32">
        <v>22724000</v>
      </c>
      <c r="Y77" s="32">
        <v>29051000</v>
      </c>
      <c r="Z77" s="32">
        <v>15374000</v>
      </c>
      <c r="AA77" s="32">
        <v>17467000</v>
      </c>
      <c r="AB77" s="32">
        <v>23737000</v>
      </c>
      <c r="AC77" s="32">
        <v>7191610.8799999999</v>
      </c>
    </row>
    <row r="78" spans="1:29">
      <c r="A78" t="str">
        <f t="shared" si="12"/>
        <v>370</v>
      </c>
      <c r="B78" t="s">
        <v>141</v>
      </c>
      <c r="D78" s="32"/>
      <c r="E78" s="32"/>
      <c r="F78" s="32"/>
      <c r="G78" s="32"/>
      <c r="H78" s="32"/>
      <c r="I78" s="32"/>
      <c r="J78" s="32"/>
      <c r="K78" s="32">
        <v>110000</v>
      </c>
      <c r="L78" s="32">
        <v>2379000</v>
      </c>
      <c r="M78" s="32">
        <v>2379000</v>
      </c>
      <c r="N78" s="32"/>
      <c r="O78" s="32"/>
      <c r="P78" s="32"/>
      <c r="Q78" s="32"/>
      <c r="R78" s="32"/>
      <c r="S78" s="32"/>
      <c r="T78" s="32"/>
      <c r="U78" s="32"/>
      <c r="V78" s="32"/>
      <c r="W78" s="32"/>
      <c r="X78" s="32">
        <v>1995000</v>
      </c>
      <c r="Y78" s="32">
        <v>2455000</v>
      </c>
      <c r="Z78" s="32">
        <v>2605000</v>
      </c>
      <c r="AA78" s="32">
        <v>12639000</v>
      </c>
      <c r="AB78" s="32">
        <v>12374000</v>
      </c>
      <c r="AC78" s="32">
        <v>5166000</v>
      </c>
    </row>
    <row r="79" spans="1:29">
      <c r="A79" t="str">
        <f t="shared" si="12"/>
        <v>375</v>
      </c>
      <c r="B79" t="s">
        <v>142</v>
      </c>
      <c r="D79" s="32"/>
      <c r="E79" s="32"/>
      <c r="F79" s="32"/>
      <c r="G79" s="32"/>
      <c r="H79" s="32"/>
      <c r="I79" s="32"/>
      <c r="J79" s="32"/>
      <c r="K79" s="32">
        <v>103000</v>
      </c>
      <c r="L79" s="32">
        <v>2165000</v>
      </c>
      <c r="M79" s="32">
        <v>2165000</v>
      </c>
      <c r="N79" s="32"/>
      <c r="O79" s="32"/>
      <c r="P79" s="32"/>
      <c r="Q79" s="32"/>
      <c r="R79" s="32"/>
      <c r="S79" s="32"/>
      <c r="T79" s="32"/>
      <c r="U79" s="32"/>
      <c r="V79" s="32">
        <v>1998500</v>
      </c>
      <c r="W79" s="32">
        <v>1998500</v>
      </c>
      <c r="X79" s="32">
        <v>3595000</v>
      </c>
      <c r="Y79" s="32">
        <v>4010000</v>
      </c>
      <c r="Z79" s="32">
        <v>2049002</v>
      </c>
      <c r="AA79" s="32">
        <v>3097998</v>
      </c>
      <c r="AB79" s="32">
        <v>7948835</v>
      </c>
      <c r="AC79" s="32">
        <v>2992411</v>
      </c>
    </row>
    <row r="80" spans="1:29">
      <c r="A80" t="str">
        <f t="shared" si="12"/>
        <v>376</v>
      </c>
      <c r="B80" t="s">
        <v>143</v>
      </c>
      <c r="D80" s="32"/>
      <c r="E80" s="32"/>
      <c r="F80" s="32"/>
      <c r="G80" s="32"/>
      <c r="H80" s="32"/>
      <c r="I80" s="32"/>
      <c r="J80" s="32"/>
      <c r="K80" s="32">
        <v>75000</v>
      </c>
      <c r="L80" s="32"/>
      <c r="M80" s="32"/>
      <c r="N80" s="32"/>
      <c r="O80" s="32"/>
      <c r="P80" s="32"/>
      <c r="Q80" s="32"/>
      <c r="R80" s="32"/>
      <c r="S80" s="32"/>
      <c r="T80" s="32"/>
      <c r="U80" s="32"/>
      <c r="V80" s="32">
        <v>42000</v>
      </c>
      <c r="W80" s="32">
        <v>40000</v>
      </c>
      <c r="X80" s="32">
        <v>1413000</v>
      </c>
      <c r="Y80" s="32">
        <v>1994000</v>
      </c>
      <c r="Z80" s="32">
        <v>1993000</v>
      </c>
      <c r="AA80" s="32">
        <v>1993000</v>
      </c>
      <c r="AB80" s="32">
        <v>2817000</v>
      </c>
      <c r="AC80" s="32">
        <v>1274166.6199999999</v>
      </c>
    </row>
    <row r="81" spans="1:29">
      <c r="A81" t="str">
        <f t="shared" si="12"/>
        <v>380</v>
      </c>
      <c r="B81" t="s">
        <v>144</v>
      </c>
      <c r="D81" s="32"/>
      <c r="E81" s="32"/>
      <c r="F81" s="32"/>
      <c r="G81" s="32"/>
      <c r="H81" s="32"/>
      <c r="I81" s="32"/>
      <c r="J81" s="32"/>
      <c r="K81" s="32">
        <v>161000</v>
      </c>
      <c r="L81" s="32"/>
      <c r="M81" s="32"/>
      <c r="N81" s="32"/>
      <c r="O81" s="32"/>
      <c r="P81" s="32"/>
      <c r="Q81" s="32"/>
      <c r="R81" s="32"/>
      <c r="S81" s="32"/>
      <c r="T81" s="32"/>
      <c r="U81" s="32"/>
      <c r="V81" s="32">
        <v>444467.69</v>
      </c>
      <c r="W81" s="32">
        <v>712000</v>
      </c>
      <c r="X81" s="32">
        <v>3093520.83</v>
      </c>
      <c r="Y81" s="32">
        <v>3533729.17</v>
      </c>
      <c r="Z81" s="32">
        <v>4096437.5</v>
      </c>
      <c r="AA81" s="32">
        <v>6017645.8300000001</v>
      </c>
      <c r="AB81" s="32">
        <v>11392854.17</v>
      </c>
      <c r="AC81" s="32">
        <v>4112436.66</v>
      </c>
    </row>
    <row r="82" spans="1:29">
      <c r="A82" t="str">
        <f t="shared" si="12"/>
        <v>699</v>
      </c>
      <c r="B82" t="s">
        <v>145</v>
      </c>
      <c r="D82" s="32"/>
      <c r="E82" s="32"/>
      <c r="F82" s="32"/>
      <c r="G82" s="32"/>
      <c r="H82" s="32"/>
      <c r="I82" s="32"/>
      <c r="J82" s="32"/>
      <c r="K82" s="32">
        <v>1276000</v>
      </c>
      <c r="L82" s="32">
        <v>22000000</v>
      </c>
      <c r="M82" s="32">
        <v>27800000</v>
      </c>
      <c r="N82" s="32"/>
      <c r="O82" s="32"/>
      <c r="P82" s="32">
        <v>4019000</v>
      </c>
      <c r="Q82" s="32">
        <v>8003499.9399999995</v>
      </c>
      <c r="R82" s="32">
        <v>8380076.2599999998</v>
      </c>
      <c r="S82" s="32">
        <v>8390176</v>
      </c>
      <c r="T82" s="32">
        <v>8386376</v>
      </c>
      <c r="U82" s="32">
        <v>8395336</v>
      </c>
      <c r="V82" s="32">
        <v>43129936</v>
      </c>
      <c r="W82" s="32">
        <v>45636131.060000002</v>
      </c>
      <c r="X82" s="32">
        <v>80531507.140000001</v>
      </c>
      <c r="Y82" s="32">
        <v>130484030.41000001</v>
      </c>
      <c r="Z82" s="32">
        <v>112250290.84999999</v>
      </c>
      <c r="AA82" s="32">
        <v>141967631.64000002</v>
      </c>
      <c r="AB82" s="32">
        <v>153348679.38</v>
      </c>
      <c r="AC82" s="32">
        <v>37222988.969999999</v>
      </c>
    </row>
    <row r="83" spans="1:29">
      <c r="A83" t="str">
        <f t="shared" si="12"/>
        <v>343</v>
      </c>
      <c r="B83" t="s">
        <v>620</v>
      </c>
      <c r="D83" s="32"/>
      <c r="E83" s="32"/>
      <c r="F83" s="32"/>
      <c r="G83" s="32"/>
      <c r="H83" s="32"/>
      <c r="I83" s="32"/>
      <c r="J83" s="32"/>
      <c r="K83" s="32">
        <v>30000</v>
      </c>
      <c r="L83" s="32"/>
      <c r="M83" s="32"/>
      <c r="N83" s="32"/>
      <c r="O83" s="32"/>
      <c r="P83" s="32"/>
      <c r="Q83" s="32"/>
      <c r="R83" s="32"/>
      <c r="S83" s="32"/>
      <c r="T83" s="32"/>
      <c r="U83" s="32"/>
      <c r="V83" s="32"/>
      <c r="W83" s="32"/>
      <c r="X83" s="32"/>
      <c r="Y83" s="32"/>
      <c r="Z83" s="32"/>
      <c r="AA83" s="32"/>
      <c r="AB83" s="32"/>
      <c r="AC83" s="32"/>
    </row>
    <row r="84" spans="1:29">
      <c r="A84" t="str">
        <f t="shared" si="12"/>
        <v>Grand Total</v>
      </c>
      <c r="B84" t="s">
        <v>138</v>
      </c>
      <c r="D84" s="32">
        <v>5296088.5999999996</v>
      </c>
      <c r="E84" s="32">
        <v>6298911.4000000004</v>
      </c>
      <c r="F84" s="32">
        <v>5800380.6600000011</v>
      </c>
      <c r="G84" s="32">
        <v>7120619.3399999999</v>
      </c>
      <c r="H84" s="32">
        <v>5873960.3799999999</v>
      </c>
      <c r="I84" s="32">
        <v>6163775.620000001</v>
      </c>
      <c r="J84" s="32">
        <v>6057428.8399999999</v>
      </c>
      <c r="K84" s="32">
        <v>8942228.290000001</v>
      </c>
      <c r="L84" s="32">
        <v>34257101.530000001</v>
      </c>
      <c r="M84" s="32">
        <v>39950050.549999997</v>
      </c>
      <c r="N84" s="32">
        <v>6596537.5299999993</v>
      </c>
      <c r="O84" s="32">
        <v>6910538.9100000001</v>
      </c>
      <c r="P84" s="32">
        <v>10206801.59</v>
      </c>
      <c r="Q84" s="32">
        <v>16818729.579999998</v>
      </c>
      <c r="R84" s="32">
        <v>16161314.449999999</v>
      </c>
      <c r="S84" s="32">
        <v>17962858.589999996</v>
      </c>
      <c r="T84" s="32">
        <v>18179839.34</v>
      </c>
      <c r="U84" s="32">
        <v>18111078.32</v>
      </c>
      <c r="V84" s="32">
        <v>99598220.899999991</v>
      </c>
      <c r="W84" s="32">
        <v>103906864.95000002</v>
      </c>
      <c r="X84" s="32">
        <v>203100072.09</v>
      </c>
      <c r="Y84" s="32">
        <v>360155880.92000002</v>
      </c>
      <c r="Z84" s="32">
        <v>282333709.94</v>
      </c>
      <c r="AA84" s="32">
        <v>336750818.40000004</v>
      </c>
      <c r="AB84" s="32">
        <v>422515939.98000002</v>
      </c>
      <c r="AC84" s="32">
        <v>154030892.44999999</v>
      </c>
    </row>
    <row r="85" spans="1:29">
      <c r="A85" t="str">
        <f t="shared" si="12"/>
        <v/>
      </c>
    </row>
    <row r="86" spans="1:29">
      <c r="A86" t="str">
        <f t="shared" si="12"/>
        <v/>
      </c>
    </row>
    <row r="87" spans="1:29">
      <c r="A87" t="str">
        <f t="shared" si="12"/>
        <v/>
      </c>
    </row>
    <row r="88" spans="1:29">
      <c r="A88" t="str">
        <f t="shared" si="12"/>
        <v/>
      </c>
    </row>
    <row r="89" spans="1:29">
      <c r="A89" t="str">
        <f t="shared" si="12"/>
        <v/>
      </c>
    </row>
    <row r="90" spans="1:29">
      <c r="A90" t="str">
        <f t="shared" si="12"/>
        <v/>
      </c>
    </row>
    <row r="91" spans="1:29">
      <c r="A91" t="str">
        <f t="shared" si="12"/>
        <v/>
      </c>
    </row>
    <row r="92" spans="1:29">
      <c r="A92" t="str">
        <f t="shared" si="12"/>
        <v/>
      </c>
    </row>
    <row r="93" spans="1:29">
      <c r="A93" t="str">
        <f t="shared" si="12"/>
        <v/>
      </c>
    </row>
    <row r="94" spans="1:29">
      <c r="B94" t="s">
        <v>1698</v>
      </c>
    </row>
    <row r="96" spans="1:29">
      <c r="B96" t="s">
        <v>1875</v>
      </c>
    </row>
    <row r="97" spans="1:26">
      <c r="B97" s="1291" t="s">
        <v>1621</v>
      </c>
      <c r="C97" t="s">
        <v>1624</v>
      </c>
    </row>
    <row r="98" spans="1:26">
      <c r="B98" s="1291" t="s">
        <v>1626</v>
      </c>
      <c r="C98" t="s">
        <v>603</v>
      </c>
    </row>
    <row r="100" spans="1:26">
      <c r="B100" s="1291" t="s">
        <v>1559</v>
      </c>
      <c r="E100" s="1291" t="s">
        <v>1182</v>
      </c>
    </row>
    <row r="101" spans="1:26">
      <c r="B101" s="1291" t="s">
        <v>1618</v>
      </c>
      <c r="C101" s="1291" t="s">
        <v>619</v>
      </c>
      <c r="D101" s="1291" t="s">
        <v>1625</v>
      </c>
      <c r="E101" s="1744" t="s">
        <v>176</v>
      </c>
      <c r="F101" s="1744" t="s">
        <v>292</v>
      </c>
      <c r="G101" s="1744" t="s">
        <v>380</v>
      </c>
      <c r="H101" s="1744" t="s">
        <v>381</v>
      </c>
      <c r="I101" s="1744" t="s">
        <v>612</v>
      </c>
      <c r="J101" s="1744" t="s">
        <v>613</v>
      </c>
      <c r="K101" s="1744" t="s">
        <v>614</v>
      </c>
      <c r="L101" s="1744" t="s">
        <v>615</v>
      </c>
      <c r="M101" s="1744" t="s">
        <v>805</v>
      </c>
      <c r="N101" s="1744" t="s">
        <v>1163</v>
      </c>
      <c r="O101" s="1744" t="s">
        <v>1178</v>
      </c>
      <c r="P101" s="1744" t="s">
        <v>1179</v>
      </c>
      <c r="Q101" s="1744" t="s">
        <v>1628</v>
      </c>
      <c r="R101" s="1744" t="s">
        <v>1629</v>
      </c>
      <c r="S101" s="1744" t="s">
        <v>1689</v>
      </c>
      <c r="T101" s="1744" t="s">
        <v>1690</v>
      </c>
      <c r="U101" s="1744" t="s">
        <v>1798</v>
      </c>
      <c r="V101" s="1744" t="s">
        <v>1803</v>
      </c>
      <c r="W101" s="1744" t="s">
        <v>1877</v>
      </c>
      <c r="X101" s="1744" t="s">
        <v>1878</v>
      </c>
      <c r="Y101" s="1744" t="s">
        <v>1952</v>
      </c>
      <c r="Z101" s="1744" t="s">
        <v>1951</v>
      </c>
    </row>
    <row r="102" spans="1:26">
      <c r="A102" t="str">
        <f>+B102</f>
        <v>360</v>
      </c>
      <c r="B102" t="s">
        <v>139</v>
      </c>
      <c r="E102" s="32">
        <v>10795789.380000001</v>
      </c>
      <c r="F102" s="32">
        <v>9312210.6199999992</v>
      </c>
      <c r="G102" s="32">
        <v>12816138.16</v>
      </c>
      <c r="H102" s="32">
        <v>13008861.84</v>
      </c>
      <c r="I102" s="32">
        <v>11442828.380000001</v>
      </c>
      <c r="J102" s="32">
        <v>14382171.619999999</v>
      </c>
      <c r="K102" s="32">
        <v>7269391.7300000004</v>
      </c>
      <c r="L102" s="32">
        <v>13471608.27</v>
      </c>
      <c r="M102" s="32">
        <v>11835231.48</v>
      </c>
      <c r="N102" s="32">
        <v>13989768.52</v>
      </c>
      <c r="O102" s="32">
        <v>14792322.380000001</v>
      </c>
      <c r="P102" s="32">
        <v>11032677.619999999</v>
      </c>
      <c r="Q102" s="32">
        <v>12913000</v>
      </c>
      <c r="R102" s="32">
        <v>12912000</v>
      </c>
      <c r="S102" s="32">
        <v>12912500</v>
      </c>
      <c r="T102" s="32">
        <v>12912500</v>
      </c>
      <c r="U102" s="32">
        <v>12912499.560000001</v>
      </c>
      <c r="V102" s="32">
        <v>12912500.439999999</v>
      </c>
      <c r="W102" s="32">
        <v>12912500.039999999</v>
      </c>
      <c r="X102" s="32">
        <v>12912499.960000001</v>
      </c>
      <c r="Y102" s="32">
        <v>12912580.369999999</v>
      </c>
      <c r="Z102" s="32">
        <v>18292708.390000001</v>
      </c>
    </row>
    <row r="103" spans="1:26">
      <c r="A103" t="str">
        <f t="shared" ref="A103:A109" si="13">+B103</f>
        <v>365</v>
      </c>
      <c r="B103" t="s">
        <v>140</v>
      </c>
      <c r="E103" s="32">
        <v>3938000</v>
      </c>
      <c r="F103" s="32">
        <v>3938000</v>
      </c>
      <c r="G103" s="32">
        <v>5057000</v>
      </c>
      <c r="H103" s="32">
        <v>5058000</v>
      </c>
      <c r="I103" s="32">
        <v>5057000</v>
      </c>
      <c r="J103" s="32">
        <v>5058000</v>
      </c>
      <c r="K103" s="32">
        <v>14187000</v>
      </c>
      <c r="L103" s="32">
        <v>14188000</v>
      </c>
      <c r="M103" s="32">
        <v>5057000</v>
      </c>
      <c r="N103" s="32">
        <v>5058000</v>
      </c>
      <c r="O103" s="32">
        <v>5057000</v>
      </c>
      <c r="P103" s="32">
        <v>5058000</v>
      </c>
      <c r="Q103" s="32">
        <v>5056976.5199999996</v>
      </c>
      <c r="R103" s="32">
        <v>5058023.4800000004</v>
      </c>
      <c r="S103" s="32">
        <v>5057000</v>
      </c>
      <c r="T103" s="32">
        <v>5058000</v>
      </c>
      <c r="U103" s="32">
        <v>5058000</v>
      </c>
      <c r="V103" s="32">
        <v>5057000</v>
      </c>
      <c r="W103" s="32">
        <v>5057000</v>
      </c>
      <c r="X103" s="32">
        <v>5058000</v>
      </c>
      <c r="Y103" s="32">
        <v>5057000</v>
      </c>
      <c r="Z103" s="32">
        <v>1686000</v>
      </c>
    </row>
    <row r="104" spans="1:26">
      <c r="A104" t="str">
        <f t="shared" si="13"/>
        <v>370</v>
      </c>
      <c r="B104" t="s">
        <v>141</v>
      </c>
      <c r="E104" s="32">
        <v>42312.87</v>
      </c>
      <c r="F104" s="32">
        <v>1683687.1099999999</v>
      </c>
      <c r="G104" s="32">
        <v>765049.19</v>
      </c>
      <c r="H104" s="32">
        <v>1451950.81</v>
      </c>
      <c r="I104" s="32">
        <v>1213040.5899999999</v>
      </c>
      <c r="J104" s="32">
        <v>1003959.4099999999</v>
      </c>
      <c r="K104" s="32">
        <v>1108500</v>
      </c>
      <c r="L104" s="32">
        <v>3300500</v>
      </c>
      <c r="M104" s="32">
        <v>1108500</v>
      </c>
      <c r="N104" s="32">
        <v>1108500</v>
      </c>
      <c r="O104" s="32">
        <v>1108500</v>
      </c>
      <c r="P104" s="32">
        <v>1108500</v>
      </c>
      <c r="Q104" s="32">
        <v>1108500</v>
      </c>
      <c r="R104" s="32">
        <v>1108500</v>
      </c>
      <c r="S104" s="32">
        <v>1108500</v>
      </c>
      <c r="T104" s="32">
        <v>1108500</v>
      </c>
      <c r="U104" s="32">
        <v>1108500</v>
      </c>
      <c r="V104" s="32">
        <v>1108500</v>
      </c>
      <c r="W104" s="32"/>
      <c r="X104" s="32"/>
      <c r="Y104" s="32">
        <v>1108500</v>
      </c>
      <c r="Z104" s="32">
        <v>461875</v>
      </c>
    </row>
    <row r="105" spans="1:26">
      <c r="A105" t="str">
        <f t="shared" si="13"/>
        <v>375</v>
      </c>
      <c r="B105" t="s">
        <v>142</v>
      </c>
      <c r="E105" s="32">
        <v>800000</v>
      </c>
      <c r="F105" s="32">
        <v>1086000</v>
      </c>
      <c r="G105" s="32">
        <v>1211000</v>
      </c>
      <c r="H105" s="32">
        <v>1211000</v>
      </c>
      <c r="I105" s="32">
        <v>1211000</v>
      </c>
      <c r="J105" s="32">
        <v>1211000</v>
      </c>
      <c r="K105" s="32">
        <v>1211000</v>
      </c>
      <c r="L105" s="32">
        <v>3195999.15</v>
      </c>
      <c r="M105" s="32">
        <v>1211000</v>
      </c>
      <c r="N105" s="32">
        <v>1211000</v>
      </c>
      <c r="O105" s="32">
        <v>1211000</v>
      </c>
      <c r="P105" s="32">
        <v>1211000</v>
      </c>
      <c r="Q105" s="32">
        <v>1211000</v>
      </c>
      <c r="R105" s="32">
        <v>1211000</v>
      </c>
      <c r="S105" s="32">
        <v>1211000</v>
      </c>
      <c r="T105" s="32">
        <v>1211000</v>
      </c>
      <c r="U105" s="32">
        <v>1211000</v>
      </c>
      <c r="V105" s="32">
        <v>1211000</v>
      </c>
      <c r="W105" s="32">
        <v>1211001</v>
      </c>
      <c r="X105" s="32">
        <v>1210999</v>
      </c>
      <c r="Y105" s="32">
        <v>1233164</v>
      </c>
      <c r="Z105" s="32">
        <v>504583</v>
      </c>
    </row>
    <row r="106" spans="1:26">
      <c r="A106" t="str">
        <f t="shared" si="13"/>
        <v>376</v>
      </c>
      <c r="B106" t="s">
        <v>143</v>
      </c>
      <c r="E106" s="32">
        <v>248559.49</v>
      </c>
      <c r="F106" s="32">
        <v>485440.07</v>
      </c>
      <c r="G106" s="32">
        <v>199758.19</v>
      </c>
      <c r="H106" s="32">
        <v>560241.80999999994</v>
      </c>
      <c r="I106" s="32">
        <v>540018.88</v>
      </c>
      <c r="J106" s="32">
        <v>219981.12</v>
      </c>
      <c r="K106" s="32">
        <v>758983.4</v>
      </c>
      <c r="L106" s="32">
        <v>3226387.28</v>
      </c>
      <c r="M106" s="32">
        <v>588465.98</v>
      </c>
      <c r="N106" s="32">
        <v>170360.63999999998</v>
      </c>
      <c r="O106" s="32">
        <v>747572.81</v>
      </c>
      <c r="P106" s="32">
        <v>31.010000000000218</v>
      </c>
      <c r="Q106" s="32">
        <v>757629.25</v>
      </c>
      <c r="R106" s="32">
        <v>25370.75</v>
      </c>
      <c r="S106" s="32">
        <v>830000</v>
      </c>
      <c r="T106" s="32"/>
      <c r="U106" s="32">
        <v>745575.49</v>
      </c>
      <c r="V106" s="32">
        <v>134334.97</v>
      </c>
      <c r="W106" s="32">
        <v>466357.42</v>
      </c>
      <c r="X106" s="32">
        <v>413642.25</v>
      </c>
      <c r="Y106" s="32">
        <v>726871.28</v>
      </c>
      <c r="Z106" s="32">
        <v>153128.43</v>
      </c>
    </row>
    <row r="107" spans="1:26">
      <c r="A107" t="str">
        <f t="shared" si="13"/>
        <v>380</v>
      </c>
      <c r="B107" t="s">
        <v>144</v>
      </c>
      <c r="E107" s="32">
        <v>1407000</v>
      </c>
      <c r="F107" s="32">
        <v>1407000</v>
      </c>
      <c r="G107" s="32">
        <v>1807000</v>
      </c>
      <c r="H107" s="32">
        <v>1807000</v>
      </c>
      <c r="I107" s="32">
        <v>1807000</v>
      </c>
      <c r="J107" s="32">
        <v>1807000</v>
      </c>
      <c r="K107" s="32">
        <v>1807000</v>
      </c>
      <c r="L107" s="32">
        <v>4007000</v>
      </c>
      <c r="M107" s="32">
        <v>1807000</v>
      </c>
      <c r="N107" s="32">
        <v>1807000</v>
      </c>
      <c r="O107" s="32">
        <v>1807000</v>
      </c>
      <c r="P107" s="32">
        <v>1806999.68</v>
      </c>
      <c r="Q107" s="32">
        <v>1807000</v>
      </c>
      <c r="R107" s="32">
        <v>1807000</v>
      </c>
      <c r="S107" s="32">
        <v>2077000</v>
      </c>
      <c r="T107" s="32">
        <v>1537000</v>
      </c>
      <c r="U107" s="32">
        <v>1802497.24</v>
      </c>
      <c r="V107" s="32">
        <v>1806999.33</v>
      </c>
      <c r="W107" s="32">
        <v>1805785.91</v>
      </c>
      <c r="X107" s="32">
        <v>1807000</v>
      </c>
      <c r="Y107" s="32">
        <v>1807000</v>
      </c>
      <c r="Z107" s="32">
        <v>759766.3</v>
      </c>
    </row>
    <row r="108" spans="1:26">
      <c r="A108" t="str">
        <f t="shared" si="13"/>
        <v>699</v>
      </c>
      <c r="B108" t="s">
        <v>145</v>
      </c>
      <c r="E108" s="32">
        <v>8844420.0199999996</v>
      </c>
      <c r="F108" s="32">
        <v>8909579.5299999993</v>
      </c>
      <c r="G108" s="32">
        <v>11554367.59</v>
      </c>
      <c r="H108" s="32">
        <v>11247632.060000001</v>
      </c>
      <c r="I108" s="32">
        <v>11395090.640000001</v>
      </c>
      <c r="J108" s="32">
        <v>11406828.49</v>
      </c>
      <c r="K108" s="32">
        <v>0</v>
      </c>
      <c r="L108" s="32">
        <v>0</v>
      </c>
      <c r="M108" s="32">
        <v>10145311.310000001</v>
      </c>
      <c r="N108" s="32">
        <v>12654688.690000001</v>
      </c>
      <c r="O108" s="32">
        <v>11398360.76</v>
      </c>
      <c r="P108" s="32">
        <v>11398364</v>
      </c>
      <c r="Q108" s="32">
        <v>10944856.66</v>
      </c>
      <c r="R108" s="32">
        <v>11643751.399999999</v>
      </c>
      <c r="S108" s="32">
        <v>11088653.07</v>
      </c>
      <c r="T108" s="32">
        <v>11511419.59</v>
      </c>
      <c r="U108" s="32">
        <v>11108440.73</v>
      </c>
      <c r="V108" s="32">
        <v>11406494.48</v>
      </c>
      <c r="W108" s="32">
        <v>10429768.68</v>
      </c>
      <c r="X108" s="32">
        <v>11337053.529999999</v>
      </c>
      <c r="Y108" s="32">
        <v>10590913.4</v>
      </c>
      <c r="Z108" s="32">
        <v>1259150.46</v>
      </c>
    </row>
    <row r="109" spans="1:26">
      <c r="A109" t="str">
        <f t="shared" si="13"/>
        <v>Grand Total</v>
      </c>
      <c r="B109" t="s">
        <v>138</v>
      </c>
      <c r="E109" s="32">
        <v>26076081.760000002</v>
      </c>
      <c r="F109" s="32">
        <v>26821917.329999998</v>
      </c>
      <c r="G109" s="32">
        <v>33410313.130000003</v>
      </c>
      <c r="H109" s="32">
        <v>34344686.519999996</v>
      </c>
      <c r="I109" s="32">
        <v>32665978.489999998</v>
      </c>
      <c r="J109" s="32">
        <v>35088940.640000001</v>
      </c>
      <c r="K109" s="32">
        <v>26341875.129999999</v>
      </c>
      <c r="L109" s="32">
        <v>41389494.700000003</v>
      </c>
      <c r="M109" s="32">
        <v>31752508.770000003</v>
      </c>
      <c r="N109" s="32">
        <v>35999317.850000001</v>
      </c>
      <c r="O109" s="32">
        <v>36121755.950000003</v>
      </c>
      <c r="P109" s="32">
        <v>31615572.309999999</v>
      </c>
      <c r="Q109" s="32">
        <v>33798962.43</v>
      </c>
      <c r="R109" s="32">
        <v>33765645.629999995</v>
      </c>
      <c r="S109" s="32">
        <v>34284653.07</v>
      </c>
      <c r="T109" s="32">
        <v>33338419.59</v>
      </c>
      <c r="U109" s="32">
        <v>33946513.019999996</v>
      </c>
      <c r="V109" s="32">
        <v>33636829.219999999</v>
      </c>
      <c r="W109" s="32">
        <v>31882413.050000001</v>
      </c>
      <c r="X109" s="32">
        <v>32739194.740000002</v>
      </c>
      <c r="Y109" s="32">
        <v>33436029.049999997</v>
      </c>
      <c r="Z109" s="32">
        <v>23117211.580000002</v>
      </c>
    </row>
    <row r="114" spans="3:29">
      <c r="E114" s="32"/>
      <c r="F114" s="32"/>
      <c r="G114" s="32"/>
      <c r="H114" s="32"/>
      <c r="I114" s="32"/>
      <c r="J114" s="32"/>
      <c r="K114" s="32"/>
      <c r="L114" s="32"/>
      <c r="M114" s="32"/>
      <c r="N114" s="32"/>
      <c r="O114" s="32"/>
      <c r="P114" s="32"/>
      <c r="Q114" s="32"/>
      <c r="R114" s="32"/>
      <c r="S114" s="32"/>
      <c r="T114" s="32"/>
      <c r="U114" s="32"/>
      <c r="V114" s="32"/>
      <c r="W114" s="32"/>
      <c r="X114" s="32"/>
      <c r="Y114" s="32"/>
    </row>
    <row r="115" spans="3:29">
      <c r="E115" s="32"/>
      <c r="F115" s="32"/>
      <c r="G115" s="32"/>
      <c r="H115" s="32"/>
      <c r="I115" s="32"/>
      <c r="J115" s="32"/>
      <c r="K115" s="32"/>
      <c r="L115" s="32"/>
      <c r="M115" s="32"/>
      <c r="N115" s="32"/>
      <c r="O115" s="32"/>
      <c r="P115" s="32"/>
      <c r="Q115" s="32"/>
      <c r="R115" s="32"/>
      <c r="S115" s="32"/>
      <c r="T115" s="32"/>
      <c r="U115" s="32"/>
      <c r="V115" s="32"/>
      <c r="W115" s="32"/>
      <c r="X115" s="32"/>
      <c r="Y115" s="32"/>
    </row>
    <row r="119" spans="3:29">
      <c r="C119" t="s">
        <v>1833</v>
      </c>
    </row>
    <row r="121" spans="3:29">
      <c r="C121" t="s">
        <v>1875</v>
      </c>
    </row>
    <row r="122" spans="3:29">
      <c r="C122" s="2388" t="s">
        <v>1621</v>
      </c>
      <c r="D122" s="2389" t="s">
        <v>1624</v>
      </c>
    </row>
    <row r="123" spans="3:29">
      <c r="C123" s="2388" t="s">
        <v>1618</v>
      </c>
      <c r="D123" s="2389" t="s">
        <v>603</v>
      </c>
    </row>
    <row r="125" spans="3:29">
      <c r="C125" s="2388" t="s">
        <v>1559</v>
      </c>
      <c r="D125" s="2388" t="s">
        <v>1182</v>
      </c>
      <c r="E125" s="2389"/>
      <c r="F125" s="2389"/>
      <c r="G125" s="2389"/>
      <c r="H125" s="2389"/>
      <c r="I125" s="2389"/>
      <c r="J125" s="2389"/>
      <c r="K125" s="2389"/>
      <c r="L125" s="2389"/>
      <c r="M125" s="2389"/>
      <c r="N125" s="2389"/>
      <c r="O125" s="2389"/>
      <c r="P125" s="2389"/>
      <c r="Q125" s="2389"/>
      <c r="R125" s="2389"/>
      <c r="S125" s="2389"/>
      <c r="T125" s="2389"/>
      <c r="U125" s="2389"/>
      <c r="V125" s="2389"/>
      <c r="W125" s="2389"/>
      <c r="X125" s="2389"/>
      <c r="Y125" s="2389"/>
      <c r="Z125" s="2389"/>
      <c r="AA125" s="2389"/>
      <c r="AB125" s="2389"/>
      <c r="AC125" s="2389"/>
    </row>
    <row r="126" spans="3:29">
      <c r="C126" s="2388" t="s">
        <v>619</v>
      </c>
      <c r="D126" s="2390" t="s">
        <v>428</v>
      </c>
      <c r="E126" s="2390" t="s">
        <v>429</v>
      </c>
      <c r="F126" s="2390" t="s">
        <v>430</v>
      </c>
      <c r="G126" s="2390" t="s">
        <v>137</v>
      </c>
      <c r="H126" s="2390" t="s">
        <v>176</v>
      </c>
      <c r="I126" s="2390" t="s">
        <v>292</v>
      </c>
      <c r="J126" s="2390" t="s">
        <v>380</v>
      </c>
      <c r="K126" s="2390" t="s">
        <v>381</v>
      </c>
      <c r="L126" s="2390" t="s">
        <v>612</v>
      </c>
      <c r="M126" s="2390" t="s">
        <v>613</v>
      </c>
      <c r="N126" s="2390" t="s">
        <v>614</v>
      </c>
      <c r="O126" s="2390" t="s">
        <v>615</v>
      </c>
      <c r="P126" s="2390" t="s">
        <v>805</v>
      </c>
      <c r="Q126" s="2390" t="s">
        <v>1163</v>
      </c>
      <c r="R126" s="2390" t="s">
        <v>1178</v>
      </c>
      <c r="S126" s="2390" t="s">
        <v>1179</v>
      </c>
      <c r="T126" s="2390" t="s">
        <v>1628</v>
      </c>
      <c r="U126" s="2390" t="s">
        <v>1629</v>
      </c>
      <c r="V126" s="2390" t="s">
        <v>1689</v>
      </c>
      <c r="W126" s="2390" t="s">
        <v>1690</v>
      </c>
      <c r="X126" s="2390" t="s">
        <v>1798</v>
      </c>
      <c r="Y126" s="2390" t="s">
        <v>1803</v>
      </c>
      <c r="Z126" s="2390" t="s">
        <v>1877</v>
      </c>
      <c r="AA126" s="2390" t="s">
        <v>1878</v>
      </c>
      <c r="AB126" s="2390" t="s">
        <v>1952</v>
      </c>
      <c r="AC126" s="2390" t="s">
        <v>1951</v>
      </c>
    </row>
    <row r="127" spans="3:29">
      <c r="C127" s="2389" t="s">
        <v>621</v>
      </c>
      <c r="D127" s="2387">
        <v>10218997944.82</v>
      </c>
      <c r="E127" s="2387">
        <v>10826700419.280003</v>
      </c>
      <c r="F127" s="2387">
        <v>11213422859.289995</v>
      </c>
      <c r="G127" s="2387">
        <v>11328198525.15</v>
      </c>
      <c r="H127" s="2387">
        <v>11451245261.069998</v>
      </c>
      <c r="I127" s="2387">
        <v>12218621955.320004</v>
      </c>
      <c r="J127" s="2387">
        <v>13621666218.4</v>
      </c>
      <c r="K127" s="2387">
        <v>14143124628.839998</v>
      </c>
      <c r="L127" s="2387">
        <v>14615246589.619999</v>
      </c>
      <c r="M127" s="2387">
        <v>14616376460.200008</v>
      </c>
      <c r="N127" s="2387">
        <v>15035562635</v>
      </c>
      <c r="O127" s="2387">
        <v>14823059998.040009</v>
      </c>
      <c r="P127" s="2387">
        <v>15278636517.789995</v>
      </c>
      <c r="Q127" s="2387">
        <v>15479278099.219999</v>
      </c>
      <c r="R127" s="2387">
        <v>16079063494.289995</v>
      </c>
      <c r="S127" s="2387">
        <v>16670376920.139997</v>
      </c>
      <c r="T127" s="2387">
        <v>18170575314.410004</v>
      </c>
      <c r="U127" s="2387">
        <v>19338703869.579994</v>
      </c>
      <c r="V127" s="2387">
        <v>20447536016.049992</v>
      </c>
      <c r="W127" s="2387">
        <v>22936621717.490002</v>
      </c>
      <c r="X127" s="2387">
        <v>23966827276.769989</v>
      </c>
      <c r="Y127" s="2387">
        <v>24583384390.280006</v>
      </c>
      <c r="Z127" s="2387">
        <v>27966893500.250015</v>
      </c>
      <c r="AA127" s="2387">
        <v>31013641063.55999</v>
      </c>
      <c r="AB127" s="2387">
        <v>32396978907.900009</v>
      </c>
      <c r="AC127" s="2387">
        <v>15774897882.819998</v>
      </c>
    </row>
    <row r="128" spans="3:29">
      <c r="C128" s="2389" t="s">
        <v>644</v>
      </c>
      <c r="D128" s="2387">
        <v>551150.1100000001</v>
      </c>
      <c r="E128" s="2387">
        <v>150582.03</v>
      </c>
      <c r="F128" s="2387">
        <v>944825.82999999984</v>
      </c>
      <c r="G128" s="2387">
        <v>6216149.1499999994</v>
      </c>
      <c r="H128" s="2387">
        <v>881774.16</v>
      </c>
      <c r="I128" s="2387">
        <v>954361.85</v>
      </c>
      <c r="J128" s="2387">
        <v>839035</v>
      </c>
      <c r="K128" s="2387">
        <v>435656.21</v>
      </c>
      <c r="L128" s="2387">
        <v>676244.39999999991</v>
      </c>
      <c r="M128" s="2387">
        <v>847539.64</v>
      </c>
      <c r="N128" s="2387"/>
      <c r="O128" s="2387">
        <v>35000</v>
      </c>
      <c r="P128" s="2387">
        <v>589987.05000000005</v>
      </c>
      <c r="Q128" s="2387"/>
      <c r="R128" s="2387">
        <v>100000</v>
      </c>
      <c r="S128" s="2387">
        <v>778720.5</v>
      </c>
      <c r="T128" s="2387">
        <v>500000</v>
      </c>
      <c r="U128" s="2387">
        <v>100000</v>
      </c>
      <c r="V128" s="2387">
        <v>850000</v>
      </c>
      <c r="W128" s="2387">
        <v>163576.07</v>
      </c>
      <c r="X128" s="2387">
        <v>60000</v>
      </c>
      <c r="Y128" s="2387">
        <v>761681</v>
      </c>
      <c r="Z128" s="2387">
        <v>2531974.0599999996</v>
      </c>
      <c r="AA128" s="2387">
        <v>2549957.48</v>
      </c>
      <c r="AB128" s="2387">
        <v>1187817.22</v>
      </c>
      <c r="AC128" s="2387"/>
    </row>
    <row r="129" spans="3:29">
      <c r="C129" s="2389" t="s">
        <v>1596</v>
      </c>
      <c r="D129" s="2387">
        <v>61286270.940000013</v>
      </c>
      <c r="E129" s="2387">
        <v>63795866.300000004</v>
      </c>
      <c r="F129" s="2387">
        <v>67748401.189999998</v>
      </c>
      <c r="G129" s="2387">
        <v>72120032.830000013</v>
      </c>
      <c r="H129" s="2387">
        <v>87322767.860000014</v>
      </c>
      <c r="I129" s="2387">
        <v>93641578.979999989</v>
      </c>
      <c r="J129" s="2387">
        <v>74183664.239999995</v>
      </c>
      <c r="K129" s="2387">
        <v>81873823.229999989</v>
      </c>
      <c r="L129" s="2387">
        <v>86728668.25999999</v>
      </c>
      <c r="M129" s="2387">
        <v>98236126.489999995</v>
      </c>
      <c r="N129" s="2387">
        <v>0</v>
      </c>
      <c r="O129" s="2387"/>
      <c r="P129" s="2387"/>
      <c r="Q129" s="2387"/>
      <c r="R129" s="2387"/>
      <c r="S129" s="2387"/>
      <c r="T129" s="2387"/>
      <c r="U129" s="2387"/>
      <c r="V129" s="2387"/>
      <c r="W129" s="2387"/>
      <c r="X129" s="2387"/>
      <c r="Y129" s="2387"/>
      <c r="Z129" s="2387"/>
      <c r="AA129" s="2387"/>
      <c r="AB129" s="2387"/>
      <c r="AC129" s="2387"/>
    </row>
    <row r="130" spans="3:29">
      <c r="C130" s="2389" t="s">
        <v>624</v>
      </c>
      <c r="D130" s="2387"/>
      <c r="E130" s="2387"/>
      <c r="F130" s="2387"/>
      <c r="G130" s="2387"/>
      <c r="H130" s="2387"/>
      <c r="I130" s="2387"/>
      <c r="J130" s="2387">
        <v>69512000</v>
      </c>
      <c r="K130" s="2387">
        <v>104266375.63</v>
      </c>
      <c r="L130" s="2387">
        <v>269731486.19999999</v>
      </c>
      <c r="M130" s="2387">
        <v>273038888.78000003</v>
      </c>
      <c r="N130" s="2387">
        <v>254123996.92999998</v>
      </c>
      <c r="O130" s="2387">
        <v>157813041.45999998</v>
      </c>
      <c r="P130" s="2387">
        <v>126754479.73999999</v>
      </c>
      <c r="Q130" s="2387">
        <v>100588880.86</v>
      </c>
      <c r="R130" s="2387">
        <v>303782674.72000003</v>
      </c>
      <c r="S130" s="2387">
        <v>368555974.97000003</v>
      </c>
      <c r="T130" s="2387">
        <v>161475858.84</v>
      </c>
      <c r="U130" s="2387">
        <v>272364655.90999997</v>
      </c>
      <c r="V130" s="2387">
        <v>399293893.84999996</v>
      </c>
      <c r="W130" s="2387">
        <v>641216265.29999995</v>
      </c>
      <c r="X130" s="2387">
        <v>1232521632.8599999</v>
      </c>
      <c r="Y130" s="2387">
        <v>1182851771.74</v>
      </c>
      <c r="Z130" s="2387">
        <v>599055570.00999999</v>
      </c>
      <c r="AA130" s="2387">
        <v>1462634618.02</v>
      </c>
      <c r="AB130" s="2387">
        <v>1266140944.6000001</v>
      </c>
      <c r="AC130" s="2387">
        <v>130869805.17999999</v>
      </c>
    </row>
    <row r="131" spans="3:29">
      <c r="C131" s="2389" t="s">
        <v>1597</v>
      </c>
      <c r="D131" s="2387"/>
      <c r="E131" s="2387"/>
      <c r="F131" s="2387"/>
      <c r="G131" s="2387"/>
      <c r="H131" s="2387"/>
      <c r="I131" s="2387"/>
      <c r="J131" s="2387">
        <v>4086685.5700000003</v>
      </c>
      <c r="K131" s="2387">
        <v>7980345.7399999993</v>
      </c>
      <c r="L131" s="2387">
        <v>6330181.9100000001</v>
      </c>
      <c r="M131" s="2387">
        <v>6352993.0000000009</v>
      </c>
      <c r="N131" s="2387"/>
      <c r="O131" s="2387"/>
      <c r="P131" s="2387"/>
      <c r="Q131" s="2387"/>
      <c r="R131" s="2387"/>
      <c r="S131" s="2387"/>
      <c r="T131" s="2387"/>
      <c r="U131" s="2387"/>
      <c r="V131" s="2387"/>
      <c r="W131" s="2387"/>
      <c r="X131" s="2387"/>
      <c r="Y131" s="2387"/>
      <c r="Z131" s="2387"/>
      <c r="AA131" s="2387"/>
      <c r="AB131" s="2387"/>
      <c r="AC131" s="2387"/>
    </row>
    <row r="132" spans="3:29">
      <c r="C132" s="2389" t="s">
        <v>1575</v>
      </c>
      <c r="D132" s="2387">
        <v>42702185.009999998</v>
      </c>
      <c r="E132" s="2387">
        <v>36454854.859999992</v>
      </c>
      <c r="F132" s="2387">
        <v>43518853.610000007</v>
      </c>
      <c r="G132" s="2387">
        <v>53065053.999999985</v>
      </c>
      <c r="H132" s="2387">
        <v>32306122.500000004</v>
      </c>
      <c r="I132" s="2387">
        <v>29702862.560000002</v>
      </c>
      <c r="J132" s="2387">
        <v>26852421.060000002</v>
      </c>
      <c r="K132" s="2387">
        <v>32607083.719999999</v>
      </c>
      <c r="L132" s="2387">
        <v>50194244.300000012</v>
      </c>
      <c r="M132" s="2387">
        <v>35433845.210000001</v>
      </c>
      <c r="N132" s="2387"/>
      <c r="O132" s="2387"/>
      <c r="P132" s="2387"/>
      <c r="Q132" s="2387"/>
      <c r="R132" s="2387"/>
      <c r="S132" s="2387"/>
      <c r="T132" s="2387"/>
      <c r="U132" s="2387"/>
      <c r="V132" s="2387"/>
      <c r="W132" s="2387"/>
      <c r="X132" s="2387"/>
      <c r="Y132" s="2387"/>
      <c r="Z132" s="2387"/>
      <c r="AA132" s="2387"/>
      <c r="AB132" s="2387"/>
      <c r="AC132" s="2387"/>
    </row>
    <row r="133" spans="3:29">
      <c r="C133" s="2389" t="s">
        <v>657</v>
      </c>
      <c r="D133" s="2387"/>
      <c r="E133" s="2387"/>
      <c r="F133" s="2387"/>
      <c r="G133" s="2387"/>
      <c r="H133" s="2387"/>
      <c r="I133" s="2387"/>
      <c r="J133" s="2387"/>
      <c r="K133" s="2387"/>
      <c r="L133" s="2387"/>
      <c r="M133" s="2387"/>
      <c r="N133" s="2387"/>
      <c r="O133" s="2387">
        <v>18491235.07</v>
      </c>
      <c r="P133" s="2387"/>
      <c r="Q133" s="2387"/>
      <c r="R133" s="2387"/>
      <c r="S133" s="2387"/>
      <c r="T133" s="2387"/>
      <c r="U133" s="2387"/>
      <c r="V133" s="2387"/>
      <c r="W133" s="2387"/>
      <c r="X133" s="2387"/>
      <c r="Y133" s="2387"/>
      <c r="Z133" s="2387"/>
      <c r="AA133" s="2387"/>
      <c r="AB133" s="2387"/>
      <c r="AC133" s="2387"/>
    </row>
    <row r="134" spans="3:29">
      <c r="C134" s="2389" t="s">
        <v>625</v>
      </c>
      <c r="D134" s="2387"/>
      <c r="E134" s="2387"/>
      <c r="F134" s="2387"/>
      <c r="G134" s="2387"/>
      <c r="H134" s="2387"/>
      <c r="I134" s="2387"/>
      <c r="J134" s="2387"/>
      <c r="K134" s="2387"/>
      <c r="L134" s="2387"/>
      <c r="M134" s="2387"/>
      <c r="N134" s="2387"/>
      <c r="O134" s="2387">
        <v>113500000</v>
      </c>
      <c r="P134" s="2387">
        <v>113500000</v>
      </c>
      <c r="Q134" s="2387">
        <v>146500000</v>
      </c>
      <c r="R134" s="2387">
        <v>107500000</v>
      </c>
      <c r="S134" s="2387">
        <v>113500000</v>
      </c>
      <c r="T134" s="2387">
        <v>135061000</v>
      </c>
      <c r="U134" s="2387">
        <v>126711344.39000002</v>
      </c>
      <c r="V134" s="2387">
        <v>121338431.21000001</v>
      </c>
      <c r="W134" s="2387">
        <v>136583862.40000001</v>
      </c>
      <c r="X134" s="2387">
        <v>127172954.48</v>
      </c>
      <c r="Y134" s="2387">
        <v>132931313.59</v>
      </c>
      <c r="Z134" s="2387">
        <v>184232119.64000002</v>
      </c>
      <c r="AA134" s="2387">
        <v>246229662.86999997</v>
      </c>
      <c r="AB134" s="2387">
        <v>162047495.53</v>
      </c>
      <c r="AC134" s="2387">
        <v>60096792.980000004</v>
      </c>
    </row>
    <row r="135" spans="3:29">
      <c r="C135" s="2389" t="s">
        <v>1598</v>
      </c>
      <c r="D135" s="2387">
        <v>71971070.340000004</v>
      </c>
      <c r="E135" s="2387">
        <v>68601338.109999999</v>
      </c>
      <c r="F135" s="2387">
        <v>45840605.170000002</v>
      </c>
      <c r="G135" s="2387">
        <v>61215957.079999998</v>
      </c>
      <c r="H135" s="2387">
        <v>47537180.25</v>
      </c>
      <c r="I135" s="2387">
        <v>57018774.49000001</v>
      </c>
      <c r="J135" s="2387">
        <v>46297592.849999994</v>
      </c>
      <c r="K135" s="2387">
        <v>61852495.170000002</v>
      </c>
      <c r="L135" s="2387">
        <v>52057508.560000002</v>
      </c>
      <c r="M135" s="2387">
        <v>58721121.810000002</v>
      </c>
      <c r="N135" s="2387">
        <v>0</v>
      </c>
      <c r="O135" s="2387"/>
      <c r="P135" s="2387"/>
      <c r="Q135" s="2387"/>
      <c r="R135" s="2387"/>
      <c r="S135" s="2387"/>
      <c r="T135" s="2387"/>
      <c r="U135" s="2387"/>
      <c r="V135" s="2387"/>
      <c r="W135" s="2387"/>
      <c r="X135" s="2387"/>
      <c r="Y135" s="2387"/>
      <c r="Z135" s="2387"/>
      <c r="AA135" s="2387"/>
      <c r="AB135" s="2387"/>
      <c r="AC135" s="2387"/>
    </row>
    <row r="136" spans="3:29">
      <c r="C136" s="2389" t="s">
        <v>1809</v>
      </c>
      <c r="D136" s="2387"/>
      <c r="E136" s="2387"/>
      <c r="F136" s="2387"/>
      <c r="G136" s="2387"/>
      <c r="H136" s="2387"/>
      <c r="I136" s="2387"/>
      <c r="J136" s="2387"/>
      <c r="K136" s="2387"/>
      <c r="L136" s="2387"/>
      <c r="M136" s="2387"/>
      <c r="N136" s="2387"/>
      <c r="O136" s="2387"/>
      <c r="P136" s="2387"/>
      <c r="Q136" s="2387"/>
      <c r="R136" s="2387"/>
      <c r="S136" s="2387"/>
      <c r="T136" s="2387"/>
      <c r="U136" s="2387"/>
      <c r="V136" s="2387"/>
      <c r="W136" s="2387"/>
      <c r="X136" s="2387">
        <v>106851126.66</v>
      </c>
      <c r="Y136" s="2387">
        <v>263087155.34999996</v>
      </c>
      <c r="Z136" s="2387">
        <v>303082393.95999998</v>
      </c>
      <c r="AA136" s="2387">
        <v>330820632.83000004</v>
      </c>
      <c r="AB136" s="2387">
        <v>424694164.06999999</v>
      </c>
      <c r="AC136" s="2387">
        <v>155154285.44000003</v>
      </c>
    </row>
    <row r="137" spans="3:29">
      <c r="C137" s="2389" t="s">
        <v>1599</v>
      </c>
      <c r="D137" s="2387"/>
      <c r="E137" s="2387"/>
      <c r="F137" s="2387">
        <v>174820303.82000002</v>
      </c>
      <c r="G137" s="2387">
        <v>195172421.16</v>
      </c>
      <c r="H137" s="2387">
        <v>214098560.5</v>
      </c>
      <c r="I137" s="2387">
        <v>195511998.78</v>
      </c>
      <c r="J137" s="2387">
        <v>280759462.19999999</v>
      </c>
      <c r="K137" s="2387">
        <v>349553537.19</v>
      </c>
      <c r="L137" s="2387">
        <v>423369000</v>
      </c>
      <c r="M137" s="2387">
        <v>74910000</v>
      </c>
      <c r="N137" s="2387"/>
      <c r="O137" s="2387"/>
      <c r="P137" s="2387"/>
      <c r="Q137" s="2387"/>
      <c r="R137" s="2387"/>
      <c r="S137" s="2387"/>
      <c r="T137" s="2387"/>
      <c r="U137" s="2387"/>
      <c r="V137" s="2387"/>
      <c r="W137" s="2387"/>
      <c r="X137" s="2387"/>
      <c r="Y137" s="2387"/>
      <c r="Z137" s="2387"/>
      <c r="AA137" s="2387"/>
      <c r="AB137" s="2387"/>
      <c r="AC137" s="2387"/>
    </row>
    <row r="138" spans="3:29">
      <c r="C138" s="2389" t="s">
        <v>626</v>
      </c>
      <c r="D138" s="2387"/>
      <c r="E138" s="2387"/>
      <c r="F138" s="2387"/>
      <c r="G138" s="2387"/>
      <c r="H138" s="2387"/>
      <c r="I138" s="2387"/>
      <c r="J138" s="2387">
        <v>3124</v>
      </c>
      <c r="K138" s="2387">
        <v>49037875.990000002</v>
      </c>
      <c r="L138" s="2387">
        <v>188294000</v>
      </c>
      <c r="M138" s="2387">
        <v>259695000</v>
      </c>
      <c r="N138" s="2387"/>
      <c r="O138" s="2387"/>
      <c r="P138" s="2387"/>
      <c r="Q138" s="2387"/>
      <c r="R138" s="2387"/>
      <c r="S138" s="2387"/>
      <c r="T138" s="2387"/>
      <c r="U138" s="2387"/>
      <c r="V138" s="2387">
        <v>231327082.89000002</v>
      </c>
      <c r="W138" s="2387">
        <v>230558698.56999999</v>
      </c>
      <c r="X138" s="2387">
        <v>235966641.25999999</v>
      </c>
      <c r="Y138" s="2387">
        <v>239112281.66</v>
      </c>
      <c r="Z138" s="2387">
        <v>7100000</v>
      </c>
      <c r="AA138" s="2387"/>
      <c r="AB138" s="2387"/>
      <c r="AC138" s="2387"/>
    </row>
    <row r="139" spans="3:29">
      <c r="C139" s="2389" t="s">
        <v>1846</v>
      </c>
      <c r="D139" s="2387"/>
      <c r="E139" s="2387"/>
      <c r="F139" s="2387"/>
      <c r="G139" s="2387"/>
      <c r="H139" s="2387"/>
      <c r="I139" s="2387"/>
      <c r="J139" s="2387"/>
      <c r="K139" s="2387"/>
      <c r="L139" s="2387"/>
      <c r="M139" s="2387"/>
      <c r="N139" s="2387"/>
      <c r="O139" s="2387"/>
      <c r="P139" s="2387"/>
      <c r="Q139" s="2387"/>
      <c r="R139" s="2387"/>
      <c r="S139" s="2387"/>
      <c r="T139" s="2387"/>
      <c r="U139" s="2387"/>
      <c r="V139" s="2387"/>
      <c r="W139" s="2387">
        <v>105200000</v>
      </c>
      <c r="X139" s="2387"/>
      <c r="Y139" s="2387"/>
      <c r="Z139" s="2387"/>
      <c r="AA139" s="2387"/>
      <c r="AB139" s="2387"/>
      <c r="AC139" s="2387"/>
    </row>
    <row r="140" spans="3:29">
      <c r="C140" s="2389" t="s">
        <v>1600</v>
      </c>
      <c r="D140" s="2387">
        <v>442078046.26999998</v>
      </c>
      <c r="E140" s="2387">
        <v>516499475.24000001</v>
      </c>
      <c r="F140" s="2387">
        <v>675479585.54999995</v>
      </c>
      <c r="G140" s="2387">
        <v>605665332.09000015</v>
      </c>
      <c r="H140" s="2387">
        <v>611980576.19000006</v>
      </c>
      <c r="I140" s="2387">
        <v>566671021.42999995</v>
      </c>
      <c r="J140" s="2387">
        <v>588031317.51000011</v>
      </c>
      <c r="K140" s="2387">
        <v>628274632.46000004</v>
      </c>
      <c r="L140" s="2387">
        <v>725874669.96000016</v>
      </c>
      <c r="M140" s="2387">
        <v>720668747.90999997</v>
      </c>
      <c r="N140" s="2387">
        <v>0</v>
      </c>
      <c r="O140" s="2387"/>
      <c r="P140" s="2387"/>
      <c r="Q140" s="2387"/>
      <c r="R140" s="2387"/>
      <c r="S140" s="2387"/>
      <c r="T140" s="2387"/>
      <c r="U140" s="2387"/>
      <c r="V140" s="2387"/>
      <c r="W140" s="2387"/>
      <c r="X140" s="2387"/>
      <c r="Y140" s="2387"/>
      <c r="Z140" s="2387"/>
      <c r="AA140" s="2387"/>
      <c r="AB140" s="2387"/>
      <c r="AC140" s="2387"/>
    </row>
    <row r="141" spans="3:29">
      <c r="C141" s="2389" t="s">
        <v>138</v>
      </c>
      <c r="D141" s="2387">
        <v>10837586667.490002</v>
      </c>
      <c r="E141" s="2387">
        <v>11512202535.820004</v>
      </c>
      <c r="F141" s="2387">
        <v>12221775434.459995</v>
      </c>
      <c r="G141" s="2387">
        <v>12321653471.459999</v>
      </c>
      <c r="H141" s="2387">
        <v>12445372242.529999</v>
      </c>
      <c r="I141" s="2387">
        <v>13162122553.410004</v>
      </c>
      <c r="J141" s="2387">
        <v>14712231520.83</v>
      </c>
      <c r="K141" s="2387">
        <v>15459006454.179996</v>
      </c>
      <c r="L141" s="2387">
        <v>16418502593.209999</v>
      </c>
      <c r="M141" s="2387">
        <v>16144280723.040007</v>
      </c>
      <c r="N141" s="2387">
        <v>15289686631.93</v>
      </c>
      <c r="O141" s="2387">
        <v>15112899274.570007</v>
      </c>
      <c r="P141" s="2387">
        <v>15519480984.579994</v>
      </c>
      <c r="Q141" s="2387">
        <v>15726366980.08</v>
      </c>
      <c r="R141" s="2387">
        <v>16490446169.009995</v>
      </c>
      <c r="S141" s="2387">
        <v>17153211615.609997</v>
      </c>
      <c r="T141" s="2387">
        <v>18467612173.250004</v>
      </c>
      <c r="U141" s="2387">
        <v>19737879869.879993</v>
      </c>
      <c r="V141" s="2387">
        <v>21200345423.999989</v>
      </c>
      <c r="W141" s="2387">
        <v>24050344119.830002</v>
      </c>
      <c r="X141" s="2387">
        <v>25669399632.029987</v>
      </c>
      <c r="Y141" s="2387">
        <v>26402128593.620007</v>
      </c>
      <c r="Z141" s="2387">
        <v>29062895557.920013</v>
      </c>
      <c r="AA141" s="2387">
        <v>33055875934.759991</v>
      </c>
      <c r="AB141" s="2387">
        <v>34251049329.320007</v>
      </c>
      <c r="AC141" s="2387">
        <v>16121018766.419998</v>
      </c>
    </row>
    <row r="142" spans="3:29">
      <c r="Z142" s="32"/>
    </row>
    <row r="148" spans="2:29">
      <c r="B148" s="1291" t="s">
        <v>1621</v>
      </c>
      <c r="C148" t="s">
        <v>1624</v>
      </c>
    </row>
    <row r="149" spans="2:29">
      <c r="B149" s="1291" t="s">
        <v>1626</v>
      </c>
      <c r="C149" t="s">
        <v>603</v>
      </c>
      <c r="G149" s="32"/>
    </row>
    <row r="150" spans="2:29">
      <c r="F150" s="32"/>
    </row>
    <row r="151" spans="2:29">
      <c r="B151" s="1291" t="s">
        <v>1559</v>
      </c>
      <c r="D151" s="1291" t="s">
        <v>1182</v>
      </c>
    </row>
    <row r="152" spans="2:29">
      <c r="B152" s="1291" t="s">
        <v>619</v>
      </c>
      <c r="C152" s="1291" t="s">
        <v>1618</v>
      </c>
      <c r="D152" s="1744" t="s">
        <v>428</v>
      </c>
      <c r="E152" s="1744" t="s">
        <v>429</v>
      </c>
      <c r="F152" s="1744" t="s">
        <v>430</v>
      </c>
      <c r="G152" s="1744" t="s">
        <v>137</v>
      </c>
      <c r="H152" s="1744" t="s">
        <v>176</v>
      </c>
      <c r="I152" s="1744" t="s">
        <v>292</v>
      </c>
      <c r="J152" s="1744" t="s">
        <v>380</v>
      </c>
      <c r="K152" s="1744" t="s">
        <v>381</v>
      </c>
      <c r="L152" s="1744" t="s">
        <v>612</v>
      </c>
      <c r="M152" s="1744" t="s">
        <v>613</v>
      </c>
      <c r="N152" s="1744" t="s">
        <v>614</v>
      </c>
      <c r="O152" s="1744" t="s">
        <v>615</v>
      </c>
      <c r="P152" s="1744" t="s">
        <v>805</v>
      </c>
      <c r="Q152" s="1744" t="s">
        <v>1163</v>
      </c>
      <c r="R152" s="1744" t="s">
        <v>1178</v>
      </c>
      <c r="S152" s="1744" t="s">
        <v>1179</v>
      </c>
      <c r="T152" s="1744" t="s">
        <v>1628</v>
      </c>
      <c r="U152" s="1744" t="s">
        <v>1629</v>
      </c>
      <c r="V152" s="1744" t="s">
        <v>1689</v>
      </c>
      <c r="W152" s="1744" t="s">
        <v>1690</v>
      </c>
      <c r="X152" s="1744" t="s">
        <v>1798</v>
      </c>
      <c r="Y152" s="1744" t="s">
        <v>1803</v>
      </c>
      <c r="Z152" s="1744" t="s">
        <v>1877</v>
      </c>
      <c r="AA152" s="1744" t="s">
        <v>1878</v>
      </c>
      <c r="AB152" s="1744" t="s">
        <v>1952</v>
      </c>
      <c r="AC152" s="1744" t="s">
        <v>1951</v>
      </c>
    </row>
    <row r="153" spans="2:29">
      <c r="B153" t="s">
        <v>1226</v>
      </c>
      <c r="D153" s="32"/>
      <c r="E153" s="32"/>
      <c r="F153" s="32"/>
      <c r="G153" s="32"/>
      <c r="H153" s="32"/>
      <c r="I153" s="32"/>
      <c r="J153" s="32"/>
      <c r="K153" s="32"/>
      <c r="L153" s="32"/>
      <c r="M153" s="32"/>
      <c r="N153" s="32"/>
      <c r="O153" s="32"/>
      <c r="P153" s="32"/>
      <c r="Q153" s="32"/>
      <c r="R153" s="32">
        <v>3967.75</v>
      </c>
      <c r="S153" s="32">
        <v>696032.25</v>
      </c>
      <c r="T153" s="32">
        <v>604575.59</v>
      </c>
      <c r="U153" s="32">
        <v>940955.90999999992</v>
      </c>
      <c r="V153" s="32">
        <v>343359.41</v>
      </c>
      <c r="W153" s="32">
        <v>1006640.59</v>
      </c>
      <c r="X153" s="32">
        <v>360222.07</v>
      </c>
      <c r="Y153" s="32">
        <v>1234777.8999999999</v>
      </c>
      <c r="Z153" s="32">
        <v>564957.17999999993</v>
      </c>
      <c r="AA153" s="32">
        <v>1064895.8900000001</v>
      </c>
      <c r="AB153" s="32">
        <v>526455.5</v>
      </c>
      <c r="AC153" s="32">
        <v>268948.71000000002</v>
      </c>
    </row>
    <row r="154" spans="2:29">
      <c r="B154" t="s">
        <v>654</v>
      </c>
      <c r="D154" s="32"/>
      <c r="E154" s="32"/>
      <c r="F154" s="32"/>
      <c r="G154" s="32"/>
      <c r="H154" s="32"/>
      <c r="I154" s="32"/>
      <c r="J154" s="32"/>
      <c r="K154" s="32"/>
      <c r="L154" s="32"/>
      <c r="M154" s="32"/>
      <c r="N154" s="32"/>
      <c r="O154" s="32"/>
      <c r="P154" s="32">
        <v>4019000</v>
      </c>
      <c r="Q154" s="32">
        <v>8003499.9399999995</v>
      </c>
      <c r="R154" s="32">
        <v>8380076.2599999998</v>
      </c>
      <c r="S154" s="32">
        <v>8390176</v>
      </c>
      <c r="T154" s="32">
        <v>8386376</v>
      </c>
      <c r="U154" s="32">
        <v>8395336</v>
      </c>
      <c r="V154" s="32">
        <v>9124936</v>
      </c>
      <c r="W154" s="32">
        <v>11744131.060000001</v>
      </c>
      <c r="X154" s="32">
        <v>11215340.99</v>
      </c>
      <c r="Y154" s="32">
        <v>11166216.43</v>
      </c>
      <c r="Z154" s="32">
        <v>10394452.74</v>
      </c>
      <c r="AA154" s="32">
        <v>10031468.02</v>
      </c>
      <c r="AB154" s="32">
        <v>10039697.98</v>
      </c>
      <c r="AC154" s="32">
        <v>769704.46</v>
      </c>
    </row>
    <row r="155" spans="2:29">
      <c r="B155" t="s">
        <v>645</v>
      </c>
      <c r="D155" s="32"/>
      <c r="E155" s="32"/>
      <c r="F155" s="32"/>
      <c r="G155" s="32"/>
      <c r="H155" s="32"/>
      <c r="I155" s="32">
        <v>150000</v>
      </c>
      <c r="J155" s="32"/>
      <c r="K155" s="32"/>
      <c r="L155" s="32"/>
      <c r="M155" s="32"/>
      <c r="N155" s="32"/>
      <c r="O155" s="32"/>
      <c r="P155" s="32"/>
      <c r="Q155" s="32"/>
      <c r="R155" s="32"/>
      <c r="S155" s="32"/>
      <c r="T155" s="32"/>
      <c r="U155" s="32"/>
      <c r="V155" s="32">
        <v>396000</v>
      </c>
      <c r="W155" s="32">
        <v>396000</v>
      </c>
      <c r="X155" s="32">
        <v>396000</v>
      </c>
      <c r="Y155" s="32">
        <v>396000</v>
      </c>
      <c r="Z155" s="32">
        <v>396000</v>
      </c>
      <c r="AA155" s="32">
        <v>396000</v>
      </c>
      <c r="AB155" s="32">
        <v>396000</v>
      </c>
      <c r="AC155" s="32">
        <v>99000</v>
      </c>
    </row>
    <row r="156" spans="2:29">
      <c r="B156" t="s">
        <v>650</v>
      </c>
      <c r="D156" s="32"/>
      <c r="E156" s="32"/>
      <c r="F156" s="32"/>
      <c r="G156" s="32"/>
      <c r="H156" s="32"/>
      <c r="I156" s="32"/>
      <c r="J156" s="32"/>
      <c r="K156" s="32"/>
      <c r="L156" s="32"/>
      <c r="M156" s="32"/>
      <c r="N156" s="32"/>
      <c r="O156" s="32"/>
      <c r="P156" s="32"/>
      <c r="Q156" s="32"/>
      <c r="R156" s="32"/>
      <c r="S156" s="32"/>
      <c r="T156" s="32"/>
      <c r="U156" s="32"/>
      <c r="V156" s="32">
        <v>38000</v>
      </c>
      <c r="W156" s="32">
        <v>38000</v>
      </c>
      <c r="X156" s="32">
        <v>38000</v>
      </c>
      <c r="Y156" s="32">
        <v>38000</v>
      </c>
      <c r="Z156" s="32">
        <v>38002</v>
      </c>
      <c r="AA156" s="32">
        <v>37998</v>
      </c>
      <c r="AB156" s="32">
        <v>15835</v>
      </c>
      <c r="AC156" s="32">
        <v>15831</v>
      </c>
    </row>
    <row r="157" spans="2:29">
      <c r="B157" t="s">
        <v>635</v>
      </c>
      <c r="D157" s="32"/>
      <c r="E157" s="32"/>
      <c r="F157" s="32">
        <v>662721.69999999995</v>
      </c>
      <c r="G157" s="32">
        <v>440278.3</v>
      </c>
      <c r="H157" s="32"/>
      <c r="I157" s="32"/>
      <c r="J157" s="32"/>
      <c r="K157" s="32"/>
      <c r="L157" s="32"/>
      <c r="M157" s="32"/>
      <c r="N157" s="32"/>
      <c r="O157" s="32"/>
      <c r="P157" s="32"/>
      <c r="Q157" s="32"/>
      <c r="R157" s="32"/>
      <c r="S157" s="32"/>
      <c r="T157" s="32"/>
      <c r="U157" s="32"/>
      <c r="V157" s="32">
        <v>742982</v>
      </c>
      <c r="W157" s="32">
        <v>309018</v>
      </c>
      <c r="X157" s="32">
        <v>773004</v>
      </c>
      <c r="Y157" s="32">
        <v>772996</v>
      </c>
      <c r="Z157" s="32">
        <v>773519</v>
      </c>
      <c r="AA157" s="32">
        <v>772481</v>
      </c>
      <c r="AB157" s="32">
        <v>773000</v>
      </c>
      <c r="AC157" s="32"/>
    </row>
    <row r="158" spans="2:29">
      <c r="B158" t="s">
        <v>653</v>
      </c>
      <c r="D158" s="32"/>
      <c r="E158" s="32"/>
      <c r="F158" s="32"/>
      <c r="G158" s="32"/>
      <c r="H158" s="32"/>
      <c r="I158" s="32"/>
      <c r="J158" s="32"/>
      <c r="K158" s="32"/>
      <c r="L158" s="32"/>
      <c r="M158" s="32"/>
      <c r="N158" s="32"/>
      <c r="O158" s="32"/>
      <c r="P158" s="32"/>
      <c r="Q158" s="32"/>
      <c r="R158" s="32"/>
      <c r="S158" s="32"/>
      <c r="T158" s="32"/>
      <c r="U158" s="32"/>
      <c r="V158" s="32">
        <v>444467.69</v>
      </c>
      <c r="W158" s="32">
        <v>712000</v>
      </c>
      <c r="X158" s="32">
        <v>691520.83</v>
      </c>
      <c r="Y158" s="32">
        <v>692729.17</v>
      </c>
      <c r="Z158" s="32">
        <v>693437.5</v>
      </c>
      <c r="AA158" s="32">
        <v>693645.83</v>
      </c>
      <c r="AB158" s="32">
        <v>693354.17</v>
      </c>
      <c r="AC158" s="32">
        <v>191195.66</v>
      </c>
    </row>
    <row r="159" spans="2:29">
      <c r="B159" t="s">
        <v>652</v>
      </c>
      <c r="D159" s="32"/>
      <c r="E159" s="32"/>
      <c r="F159" s="32"/>
      <c r="G159" s="32"/>
      <c r="H159" s="32"/>
      <c r="I159" s="32"/>
      <c r="J159" s="32"/>
      <c r="K159" s="32"/>
      <c r="L159" s="32"/>
      <c r="M159" s="32"/>
      <c r="N159" s="32"/>
      <c r="O159" s="32"/>
      <c r="P159" s="32"/>
      <c r="Q159" s="32"/>
      <c r="R159" s="32"/>
      <c r="S159" s="32"/>
      <c r="T159" s="32"/>
      <c r="U159" s="32"/>
      <c r="V159" s="32">
        <v>40000</v>
      </c>
      <c r="W159" s="32">
        <v>40000</v>
      </c>
      <c r="X159" s="32">
        <v>40000</v>
      </c>
      <c r="Y159" s="32">
        <v>40000</v>
      </c>
      <c r="Z159" s="32">
        <v>40000</v>
      </c>
      <c r="AA159" s="32">
        <v>40000</v>
      </c>
      <c r="AB159" s="32">
        <v>40000</v>
      </c>
      <c r="AC159" s="32">
        <v>16666.7</v>
      </c>
    </row>
    <row r="160" spans="2:29">
      <c r="B160" t="s">
        <v>1180</v>
      </c>
      <c r="D160" s="32"/>
      <c r="E160" s="32"/>
      <c r="F160" s="32"/>
      <c r="G160" s="32"/>
      <c r="H160" s="32"/>
      <c r="I160" s="32"/>
      <c r="J160" s="32"/>
      <c r="K160" s="32"/>
      <c r="L160" s="32"/>
      <c r="M160" s="32"/>
      <c r="N160" s="32"/>
      <c r="O160" s="32"/>
      <c r="P160" s="32"/>
      <c r="Q160" s="32">
        <v>1484031.24</v>
      </c>
      <c r="R160" s="32">
        <v>1396744.93</v>
      </c>
      <c r="S160" s="32">
        <v>1548302.5899999999</v>
      </c>
      <c r="T160" s="32">
        <v>1455223.6199999999</v>
      </c>
      <c r="U160" s="32">
        <v>1529369.17</v>
      </c>
      <c r="V160" s="32">
        <v>1967311.43</v>
      </c>
      <c r="W160" s="32">
        <v>1049817.8500000001</v>
      </c>
      <c r="X160" s="32">
        <v>1200109.68</v>
      </c>
      <c r="Y160" s="32">
        <v>1865117.1</v>
      </c>
      <c r="Z160" s="32">
        <v>1413642.66</v>
      </c>
      <c r="AA160" s="32">
        <v>1650767.49</v>
      </c>
      <c r="AB160" s="32">
        <v>1460777.55</v>
      </c>
      <c r="AC160" s="32">
        <v>643520.21</v>
      </c>
    </row>
    <row r="161" spans="2:29">
      <c r="B161" t="s">
        <v>1743</v>
      </c>
      <c r="D161" s="32"/>
      <c r="E161" s="32"/>
      <c r="F161" s="32"/>
      <c r="G161" s="32"/>
      <c r="H161" s="32"/>
      <c r="I161" s="32"/>
      <c r="J161" s="32"/>
      <c r="K161" s="32"/>
      <c r="L161" s="32"/>
      <c r="M161" s="32"/>
      <c r="N161" s="32"/>
      <c r="O161" s="32"/>
      <c r="P161" s="32"/>
      <c r="Q161" s="32"/>
      <c r="R161" s="32">
        <v>93009.58</v>
      </c>
      <c r="S161" s="32">
        <v>206990.42</v>
      </c>
      <c r="T161" s="32"/>
      <c r="U161" s="32"/>
      <c r="V161" s="32"/>
      <c r="W161" s="32">
        <v>145167.49</v>
      </c>
      <c r="X161" s="32">
        <v>402580.98000000004</v>
      </c>
      <c r="Y161" s="32">
        <v>397419.02</v>
      </c>
      <c r="Z161" s="32"/>
      <c r="AA161" s="32"/>
      <c r="AB161" s="32">
        <v>0</v>
      </c>
      <c r="AC161" s="32"/>
    </row>
    <row r="162" spans="2:29">
      <c r="B162" t="s">
        <v>639</v>
      </c>
      <c r="D162" s="32"/>
      <c r="E162" s="32"/>
      <c r="F162" s="32"/>
      <c r="G162" s="32"/>
      <c r="H162" s="32"/>
      <c r="I162" s="32"/>
      <c r="J162" s="32"/>
      <c r="K162" s="32"/>
      <c r="L162" s="32"/>
      <c r="M162" s="32"/>
      <c r="N162" s="32">
        <v>150811.05000000002</v>
      </c>
      <c r="O162" s="32">
        <v>147990.69999999998</v>
      </c>
      <c r="P162" s="32">
        <v>146645.28</v>
      </c>
      <c r="Q162" s="32">
        <v>203354.71</v>
      </c>
      <c r="R162" s="32">
        <v>171628.83000000002</v>
      </c>
      <c r="S162" s="32">
        <v>218371.17</v>
      </c>
      <c r="T162" s="32">
        <v>170276.84999999998</v>
      </c>
      <c r="U162" s="32">
        <v>321723.15000000002</v>
      </c>
      <c r="V162" s="32">
        <v>224014.18</v>
      </c>
      <c r="W162" s="32">
        <v>371936.5</v>
      </c>
      <c r="X162" s="32">
        <v>287516.32</v>
      </c>
      <c r="Y162" s="32">
        <v>323483.68</v>
      </c>
      <c r="Z162" s="32">
        <v>298553.25</v>
      </c>
      <c r="AA162" s="32">
        <v>310446.75</v>
      </c>
      <c r="AB162" s="32">
        <v>204471.15</v>
      </c>
      <c r="AC162" s="32">
        <v>215745.57</v>
      </c>
    </row>
    <row r="163" spans="2:29">
      <c r="B163" t="s">
        <v>1676</v>
      </c>
      <c r="D163" s="32"/>
      <c r="E163" s="32"/>
      <c r="F163" s="32"/>
      <c r="G163" s="32"/>
      <c r="H163" s="32"/>
      <c r="I163" s="32"/>
      <c r="J163" s="32"/>
      <c r="K163" s="32"/>
      <c r="L163" s="32"/>
      <c r="M163" s="32"/>
      <c r="N163" s="32"/>
      <c r="O163" s="32"/>
      <c r="P163" s="32"/>
      <c r="Q163" s="32"/>
      <c r="R163" s="32"/>
      <c r="S163" s="32"/>
      <c r="T163" s="32"/>
      <c r="U163" s="32">
        <v>60986.270000000004</v>
      </c>
      <c r="V163" s="32">
        <v>55189.439999999995</v>
      </c>
      <c r="W163" s="32">
        <v>48676.340000000004</v>
      </c>
      <c r="X163" s="32">
        <v>37702.39</v>
      </c>
      <c r="Y163" s="32">
        <v>39470.6</v>
      </c>
      <c r="Z163" s="32">
        <v>32961.14</v>
      </c>
      <c r="AA163" s="32">
        <v>32563.940000000002</v>
      </c>
      <c r="AB163" s="32">
        <v>32208.179999999997</v>
      </c>
      <c r="AC163" s="32">
        <v>9593.7900000000009</v>
      </c>
    </row>
    <row r="164" spans="2:29">
      <c r="B164" t="s">
        <v>1809</v>
      </c>
      <c r="D164" s="32"/>
      <c r="E164" s="32"/>
      <c r="F164" s="32"/>
      <c r="G164" s="32"/>
      <c r="H164" s="32"/>
      <c r="I164" s="32"/>
      <c r="J164" s="32"/>
      <c r="K164" s="32"/>
      <c r="L164" s="32"/>
      <c r="M164" s="32"/>
      <c r="N164" s="32"/>
      <c r="O164" s="32"/>
      <c r="P164" s="32"/>
      <c r="Q164" s="32"/>
      <c r="R164" s="32"/>
      <c r="S164" s="32"/>
      <c r="T164" s="32"/>
      <c r="U164" s="32"/>
      <c r="V164" s="32"/>
      <c r="W164" s="32"/>
      <c r="X164" s="32">
        <v>103257154.72999999</v>
      </c>
      <c r="Y164" s="32">
        <v>257440110.97000003</v>
      </c>
      <c r="Z164" s="32">
        <v>259981207.14000002</v>
      </c>
      <c r="AA164" s="32">
        <v>313133599.01999998</v>
      </c>
      <c r="AB164" s="32">
        <v>400019287.45999998</v>
      </c>
      <c r="AC164" s="32">
        <v>148212755.13</v>
      </c>
    </row>
    <row r="165" spans="2:29">
      <c r="B165" t="s">
        <v>1578</v>
      </c>
      <c r="D165" s="32"/>
      <c r="E165" s="32"/>
      <c r="F165" s="32"/>
      <c r="G165" s="32"/>
      <c r="H165" s="32"/>
      <c r="I165" s="32"/>
      <c r="J165" s="32"/>
      <c r="K165" s="32"/>
      <c r="L165" s="32"/>
      <c r="M165" s="32"/>
      <c r="N165" s="32"/>
      <c r="O165" s="32"/>
      <c r="P165" s="32"/>
      <c r="Q165" s="32"/>
      <c r="R165" s="32"/>
      <c r="S165" s="32"/>
      <c r="T165" s="32">
        <v>365000</v>
      </c>
      <c r="U165" s="32">
        <v>364995.64</v>
      </c>
      <c r="V165" s="32">
        <v>385000</v>
      </c>
      <c r="W165" s="32">
        <v>385000.00000000006</v>
      </c>
      <c r="X165" s="32">
        <v>393950.95</v>
      </c>
      <c r="Y165" s="32">
        <v>403981.87999999995</v>
      </c>
      <c r="Z165" s="32">
        <v>401000</v>
      </c>
      <c r="AA165" s="32">
        <v>499999.99000000005</v>
      </c>
      <c r="AB165" s="32">
        <v>535399.47</v>
      </c>
      <c r="AC165" s="32">
        <v>185452.29</v>
      </c>
    </row>
    <row r="166" spans="2:29">
      <c r="B166" t="s">
        <v>626</v>
      </c>
      <c r="D166" s="32"/>
      <c r="E166" s="32"/>
      <c r="F166" s="32"/>
      <c r="G166" s="32"/>
      <c r="H166" s="32"/>
      <c r="I166" s="32"/>
      <c r="J166" s="32"/>
      <c r="K166" s="32">
        <v>2652000</v>
      </c>
      <c r="L166" s="32">
        <v>27769000</v>
      </c>
      <c r="M166" s="32">
        <v>33569000</v>
      </c>
      <c r="N166" s="32"/>
      <c r="O166" s="32"/>
      <c r="P166" s="32"/>
      <c r="Q166" s="32"/>
      <c r="R166" s="32"/>
      <c r="S166" s="32"/>
      <c r="T166" s="32"/>
      <c r="U166" s="32"/>
      <c r="V166" s="32">
        <v>77868561.379999995</v>
      </c>
      <c r="W166" s="32">
        <v>76555438.620000005</v>
      </c>
      <c r="X166" s="32">
        <v>77062000</v>
      </c>
      <c r="Y166" s="32">
        <v>77060000</v>
      </c>
      <c r="Z166" s="32"/>
      <c r="AA166" s="32"/>
      <c r="AB166" s="32"/>
      <c r="AC166" s="32"/>
    </row>
    <row r="167" spans="2:29">
      <c r="B167" t="s">
        <v>642</v>
      </c>
      <c r="D167" s="32">
        <v>2386506.42</v>
      </c>
      <c r="E167" s="32">
        <v>3390493.58</v>
      </c>
      <c r="F167" s="32">
        <v>2714687.02</v>
      </c>
      <c r="G167" s="32">
        <v>3166312.98</v>
      </c>
      <c r="H167" s="32">
        <v>2900531.0300000003</v>
      </c>
      <c r="I167" s="32">
        <v>3030846.97</v>
      </c>
      <c r="J167" s="32">
        <v>3227552.02</v>
      </c>
      <c r="K167" s="32">
        <v>2977105.1100000003</v>
      </c>
      <c r="L167" s="32">
        <v>3213480.9299999997</v>
      </c>
      <c r="M167" s="32">
        <v>3284671.15</v>
      </c>
      <c r="N167" s="32">
        <v>3387545.3</v>
      </c>
      <c r="O167" s="32">
        <v>3297896.8000000003</v>
      </c>
      <c r="P167" s="32">
        <v>2991624.9</v>
      </c>
      <c r="Q167" s="32">
        <v>3689375.1</v>
      </c>
      <c r="R167" s="32">
        <v>3494824.55</v>
      </c>
      <c r="S167" s="32">
        <v>3173853.71</v>
      </c>
      <c r="T167" s="32">
        <v>3679442.7399999998</v>
      </c>
      <c r="U167" s="32">
        <v>3371327.7199999997</v>
      </c>
      <c r="V167" s="32">
        <v>3577563.42</v>
      </c>
      <c r="W167" s="32">
        <v>3826889.45</v>
      </c>
      <c r="X167" s="32">
        <v>3330818.4299999997</v>
      </c>
      <c r="Y167" s="32">
        <v>4493288.57</v>
      </c>
      <c r="Z167" s="32">
        <v>3941082.85</v>
      </c>
      <c r="AA167" s="32">
        <v>4031574.15</v>
      </c>
      <c r="AB167" s="32">
        <v>3711400.7</v>
      </c>
      <c r="AC167" s="32">
        <v>1767268.11</v>
      </c>
    </row>
    <row r="168" spans="2:29">
      <c r="B168" t="s">
        <v>643</v>
      </c>
      <c r="D168" s="32">
        <v>2909582.18</v>
      </c>
      <c r="E168" s="32">
        <v>2908417.8200000003</v>
      </c>
      <c r="F168" s="32">
        <v>2422971.94</v>
      </c>
      <c r="G168" s="32">
        <v>3514028.06</v>
      </c>
      <c r="H168" s="32">
        <v>2973429.35</v>
      </c>
      <c r="I168" s="32">
        <v>2982928.65</v>
      </c>
      <c r="J168" s="32">
        <v>2829876.8200000003</v>
      </c>
      <c r="K168" s="32">
        <v>3313123.18</v>
      </c>
      <c r="L168" s="32">
        <v>3274620.6</v>
      </c>
      <c r="M168" s="32">
        <v>3096379.4000000004</v>
      </c>
      <c r="N168" s="32">
        <v>3058181.1799999997</v>
      </c>
      <c r="O168" s="32">
        <v>3464651.41</v>
      </c>
      <c r="P168" s="32">
        <v>3049531.41</v>
      </c>
      <c r="Q168" s="32">
        <v>3438468.5900000003</v>
      </c>
      <c r="R168" s="32">
        <v>2621062.5499999998</v>
      </c>
      <c r="S168" s="32">
        <v>3729132.4499999997</v>
      </c>
      <c r="T168" s="32">
        <v>3518944.54</v>
      </c>
      <c r="U168" s="32">
        <v>3126384.4600000004</v>
      </c>
      <c r="V168" s="32">
        <v>3297741.9499999997</v>
      </c>
      <c r="W168" s="32">
        <v>3651243.0500000003</v>
      </c>
      <c r="X168" s="32">
        <v>3614150.72</v>
      </c>
      <c r="Y168" s="32">
        <v>3792289.6</v>
      </c>
      <c r="Z168" s="32">
        <v>3364894.48</v>
      </c>
      <c r="AA168" s="32">
        <v>4055378.32</v>
      </c>
      <c r="AB168" s="32">
        <v>4068052.82</v>
      </c>
      <c r="AC168" s="32">
        <v>1635210.82</v>
      </c>
    </row>
    <row r="169" spans="2:29">
      <c r="B169" t="s">
        <v>1637</v>
      </c>
      <c r="D169" s="32"/>
      <c r="E169" s="32"/>
      <c r="F169" s="32"/>
      <c r="G169" s="32"/>
      <c r="H169" s="32"/>
      <c r="I169" s="32"/>
      <c r="J169" s="32"/>
      <c r="K169" s="32"/>
      <c r="L169" s="32"/>
      <c r="M169" s="32"/>
      <c r="N169" s="32"/>
      <c r="O169" s="32"/>
      <c r="P169" s="32"/>
      <c r="Q169" s="32"/>
      <c r="R169" s="32"/>
      <c r="S169" s="32"/>
      <c r="T169" s="32"/>
      <c r="U169" s="32"/>
      <c r="V169" s="32">
        <v>1093094</v>
      </c>
      <c r="W169" s="32">
        <v>3626906</v>
      </c>
      <c r="X169" s="32"/>
      <c r="Y169" s="32"/>
      <c r="Z169" s="32"/>
      <c r="AA169" s="32"/>
      <c r="AB169" s="32">
        <v>0</v>
      </c>
      <c r="AC169" s="32"/>
    </row>
    <row r="170" spans="2:29">
      <c r="B170" t="s">
        <v>138</v>
      </c>
      <c r="D170" s="32">
        <v>5296088.5999999996</v>
      </c>
      <c r="E170" s="32">
        <v>6298911.4000000004</v>
      </c>
      <c r="F170" s="32">
        <v>5800380.6600000001</v>
      </c>
      <c r="G170" s="32">
        <v>7120619.3399999999</v>
      </c>
      <c r="H170" s="32">
        <v>5873960.3800000008</v>
      </c>
      <c r="I170" s="32">
        <v>6163775.6200000001</v>
      </c>
      <c r="J170" s="32">
        <v>6057428.8399999999</v>
      </c>
      <c r="K170" s="32">
        <v>8942228.290000001</v>
      </c>
      <c r="L170" s="32">
        <v>34257101.530000001</v>
      </c>
      <c r="M170" s="32">
        <v>39950050.549999997</v>
      </c>
      <c r="N170" s="32">
        <v>6596537.5299999993</v>
      </c>
      <c r="O170" s="32">
        <v>6910538.9100000001</v>
      </c>
      <c r="P170" s="32">
        <v>10206801.59</v>
      </c>
      <c r="Q170" s="32">
        <v>16818729.580000002</v>
      </c>
      <c r="R170" s="32">
        <v>16161314.449999999</v>
      </c>
      <c r="S170" s="32">
        <v>17962858.59</v>
      </c>
      <c r="T170" s="32">
        <v>18179839.34</v>
      </c>
      <c r="U170" s="32">
        <v>18111078.32</v>
      </c>
      <c r="V170" s="32">
        <v>99598220.900000006</v>
      </c>
      <c r="W170" s="32">
        <v>103906864.95</v>
      </c>
      <c r="X170" s="32">
        <v>203100072.09</v>
      </c>
      <c r="Y170" s="32">
        <v>360155880.92000002</v>
      </c>
      <c r="Z170" s="32">
        <v>282333709.94000006</v>
      </c>
      <c r="AA170" s="32">
        <v>336750818.39999998</v>
      </c>
      <c r="AB170" s="32">
        <v>422515939.98000002</v>
      </c>
      <c r="AC170" s="32">
        <v>154030892.44999999</v>
      </c>
    </row>
  </sheetData>
  <pageMargins left="0.7" right="0.7" top="0.75" bottom="0.75" header="0.3" footer="0.3"/>
  <pageSetup orientation="portrait"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FFFF00"/>
  </sheetPr>
  <dimension ref="A1:Q40"/>
  <sheetViews>
    <sheetView workbookViewId="0">
      <selection sqref="A1:N1"/>
    </sheetView>
  </sheetViews>
  <sheetFormatPr defaultRowHeight="12.75"/>
  <cols>
    <col min="1" max="1" width="2.375" style="355" customWidth="1"/>
    <col min="2" max="2" width="5.875" style="355" customWidth="1"/>
    <col min="3" max="4" width="8.625" style="355" customWidth="1"/>
    <col min="5" max="5" width="6.5" style="355" customWidth="1"/>
    <col min="6" max="7" width="6.5" style="372" customWidth="1"/>
    <col min="8" max="11" width="6.5" style="355" customWidth="1"/>
    <col min="12" max="12" width="1.25" style="355" customWidth="1"/>
    <col min="13" max="14" width="6.5" style="355" customWidth="1"/>
    <col min="15" max="16384" width="9" style="355"/>
  </cols>
  <sheetData>
    <row r="1" spans="1:17" s="562" customFormat="1" ht="20.100000000000001" customHeight="1">
      <c r="A1" s="2724" t="s">
        <v>177</v>
      </c>
      <c r="B1" s="2724"/>
      <c r="C1" s="2724"/>
      <c r="D1" s="2724"/>
      <c r="E1" s="2724"/>
      <c r="F1" s="2724"/>
      <c r="G1" s="2724"/>
      <c r="H1" s="2724"/>
      <c r="I1" s="2724"/>
      <c r="J1" s="2724"/>
      <c r="K1" s="2724"/>
      <c r="L1" s="2724"/>
      <c r="M1" s="2724"/>
      <c r="N1" s="2724"/>
      <c r="O1" s="2021"/>
    </row>
    <row r="2" spans="1:17" s="562" customFormat="1" ht="18" customHeight="1">
      <c r="A2" s="2725" t="s">
        <v>1717</v>
      </c>
      <c r="B2" s="2725"/>
      <c r="C2" s="2725"/>
      <c r="D2" s="2725"/>
      <c r="E2" s="2725"/>
      <c r="F2" s="2725"/>
      <c r="G2" s="2725"/>
      <c r="H2" s="2725"/>
      <c r="I2" s="2725"/>
      <c r="J2" s="2725"/>
      <c r="K2" s="2725"/>
      <c r="L2" s="2725"/>
      <c r="M2" s="2725"/>
      <c r="N2" s="2725"/>
      <c r="O2" s="2022"/>
    </row>
    <row r="3" spans="1:17" s="562" customFormat="1" ht="15" customHeight="1">
      <c r="A3" s="2726" t="s">
        <v>365</v>
      </c>
      <c r="B3" s="2726"/>
      <c r="C3" s="2726"/>
      <c r="D3" s="2726"/>
      <c r="E3" s="2726"/>
      <c r="F3" s="2726"/>
      <c r="G3" s="2726"/>
      <c r="H3" s="2726"/>
      <c r="I3" s="2726"/>
      <c r="J3" s="2726"/>
      <c r="K3" s="2726"/>
      <c r="L3" s="2726"/>
      <c r="M3" s="2726"/>
      <c r="N3" s="2726"/>
      <c r="O3" s="2023"/>
    </row>
    <row r="4" spans="1:17" s="562" customFormat="1" ht="24.75" customHeight="1">
      <c r="A4" s="2024"/>
      <c r="B4" s="2024"/>
      <c r="C4" s="2024"/>
      <c r="D4" s="2024"/>
      <c r="E4" s="2024"/>
      <c r="F4" s="2024"/>
      <c r="G4" s="2024"/>
      <c r="H4" s="2024"/>
      <c r="I4" s="2024"/>
      <c r="J4" s="2024"/>
      <c r="K4" s="2024"/>
      <c r="L4" s="2024"/>
      <c r="M4" s="2024"/>
      <c r="N4" s="2024"/>
      <c r="O4" s="2024"/>
    </row>
    <row r="5" spans="1:17" s="566" customFormat="1" ht="17.25" customHeight="1">
      <c r="A5" s="2025"/>
      <c r="B5" s="2026"/>
      <c r="C5" s="2026"/>
      <c r="D5" s="2026"/>
      <c r="E5" s="2727" t="s">
        <v>366</v>
      </c>
      <c r="F5" s="2728"/>
      <c r="G5" s="2728"/>
      <c r="H5" s="2728"/>
      <c r="I5" s="2728"/>
      <c r="J5" s="2728"/>
      <c r="K5" s="2729"/>
      <c r="L5" s="2026"/>
      <c r="M5" s="2727" t="s">
        <v>1718</v>
      </c>
      <c r="N5" s="2729"/>
      <c r="O5" s="2026"/>
    </row>
    <row r="6" spans="1:17" s="566" customFormat="1" ht="6" customHeight="1">
      <c r="A6" s="2027"/>
      <c r="B6" s="2027"/>
      <c r="C6" s="2027"/>
      <c r="D6" s="2027"/>
      <c r="E6" s="2028"/>
      <c r="F6" s="2029"/>
      <c r="G6" s="2029"/>
      <c r="H6" s="2030"/>
      <c r="I6" s="2030"/>
      <c r="J6" s="2030"/>
      <c r="K6" s="2025"/>
      <c r="L6" s="2030"/>
      <c r="M6" s="2025"/>
      <c r="N6" s="2025"/>
      <c r="O6" s="2025"/>
    </row>
    <row r="7" spans="1:17" s="562" customFormat="1" ht="20.25" customHeight="1">
      <c r="A7" s="2031"/>
      <c r="B7" s="2031"/>
      <c r="C7" s="2031"/>
      <c r="D7" s="2031"/>
      <c r="E7" s="2032" t="s">
        <v>505</v>
      </c>
      <c r="F7" s="2032" t="s">
        <v>790</v>
      </c>
      <c r="G7" s="2032" t="s">
        <v>789</v>
      </c>
      <c r="H7" s="2032" t="s">
        <v>1584</v>
      </c>
      <c r="I7" s="2032" t="s">
        <v>1585</v>
      </c>
      <c r="J7" s="2032" t="s">
        <v>1616</v>
      </c>
      <c r="K7" s="2032" t="s">
        <v>1617</v>
      </c>
      <c r="L7" s="2033"/>
      <c r="M7" s="2032" t="s">
        <v>1719</v>
      </c>
      <c r="N7" s="2032" t="s">
        <v>1720</v>
      </c>
      <c r="O7" s="2023"/>
      <c r="P7" s="1435"/>
    </row>
    <row r="8" spans="1:17" s="562" customFormat="1" ht="15" customHeight="1">
      <c r="A8" s="2031"/>
      <c r="B8" s="2031"/>
      <c r="C8" s="2031"/>
      <c r="D8" s="2031"/>
      <c r="E8" s="2034"/>
      <c r="F8" s="2034"/>
      <c r="G8" s="2023"/>
      <c r="H8" s="2023"/>
      <c r="I8" s="2023"/>
      <c r="J8" s="2023"/>
      <c r="K8" s="2023"/>
      <c r="L8" s="2034"/>
      <c r="O8" s="2023"/>
    </row>
    <row r="9" spans="1:17" s="562" customFormat="1" ht="18" customHeight="1">
      <c r="A9" s="2035" t="s">
        <v>8</v>
      </c>
      <c r="B9" s="2035"/>
      <c r="C9" s="2036"/>
      <c r="D9" s="2036"/>
      <c r="E9" s="2037">
        <f t="shared" ref="E9:K9" si="0">E10+E11</f>
        <v>175010</v>
      </c>
      <c r="F9" s="2037">
        <f t="shared" si="0"/>
        <v>166112</v>
      </c>
      <c r="G9" s="2037">
        <f t="shared" si="0"/>
        <v>160977</v>
      </c>
      <c r="H9" s="2037">
        <f t="shared" si="0"/>
        <v>157991</v>
      </c>
      <c r="I9" s="2037">
        <f t="shared" si="0"/>
        <v>155095</v>
      </c>
      <c r="J9" s="2037">
        <f t="shared" si="0"/>
        <v>153988</v>
      </c>
      <c r="K9" s="2037">
        <f t="shared" si="0"/>
        <v>151342</v>
      </c>
      <c r="L9" s="2037"/>
      <c r="M9" s="2038">
        <f>M10+M11</f>
        <v>149787</v>
      </c>
      <c r="N9" s="2038">
        <f>N10+N11</f>
        <v>148596</v>
      </c>
      <c r="O9" s="2023"/>
      <c r="P9" s="572"/>
      <c r="Q9" s="572"/>
    </row>
    <row r="10" spans="1:17" s="562" customFormat="1" ht="18" customHeight="1">
      <c r="A10" s="2039" t="s">
        <v>504</v>
      </c>
      <c r="B10" s="2035"/>
      <c r="C10" s="2036"/>
      <c r="D10" s="2036"/>
      <c r="E10" s="2040">
        <v>162328</v>
      </c>
      <c r="F10" s="2040">
        <v>153395</v>
      </c>
      <c r="G10" s="2040">
        <v>147433</v>
      </c>
      <c r="H10" s="2040">
        <v>143292</v>
      </c>
      <c r="I10" s="2040">
        <v>138724</v>
      </c>
      <c r="J10" s="2040">
        <v>135653</v>
      </c>
      <c r="K10" s="2040">
        <v>131135</v>
      </c>
      <c r="L10" s="2040"/>
      <c r="M10" s="2041">
        <v>127318</v>
      </c>
      <c r="N10" s="2041">
        <v>123612</v>
      </c>
      <c r="O10" s="2023"/>
      <c r="P10" s="572"/>
      <c r="Q10" s="572"/>
    </row>
    <row r="11" spans="1:17" s="562" customFormat="1" ht="18" customHeight="1">
      <c r="A11" s="2039" t="s">
        <v>1721</v>
      </c>
      <c r="B11" s="2034"/>
      <c r="C11" s="2034"/>
      <c r="D11" s="2034"/>
      <c r="E11" s="2040">
        <v>12682</v>
      </c>
      <c r="F11" s="2040">
        <v>12717</v>
      </c>
      <c r="G11" s="2040">
        <v>13544</v>
      </c>
      <c r="H11" s="2040">
        <v>14699</v>
      </c>
      <c r="I11" s="2040">
        <v>16371</v>
      </c>
      <c r="J11" s="2040">
        <v>18335</v>
      </c>
      <c r="K11" s="2040">
        <v>20207</v>
      </c>
      <c r="L11" s="2040"/>
      <c r="M11" s="2041">
        <v>22469</v>
      </c>
      <c r="N11" s="2041">
        <v>24984</v>
      </c>
      <c r="O11" s="2023"/>
      <c r="P11" s="572"/>
      <c r="Q11" s="572"/>
    </row>
    <row r="12" spans="1:17" s="562" customFormat="1" ht="18" customHeight="1">
      <c r="A12" s="2039"/>
      <c r="B12" s="2034"/>
      <c r="C12" s="2034"/>
      <c r="D12" s="2034"/>
      <c r="E12" s="2023"/>
      <c r="F12" s="2023"/>
      <c r="G12" s="2023"/>
      <c r="H12" s="2023"/>
      <c r="I12" s="2023"/>
      <c r="J12" s="2023"/>
      <c r="K12" s="2023"/>
      <c r="L12" s="2040"/>
      <c r="M12" s="2041"/>
      <c r="N12" s="2038"/>
      <c r="O12" s="2023"/>
    </row>
    <row r="13" spans="1:17" s="562" customFormat="1" ht="18" customHeight="1">
      <c r="A13" s="2036" t="s">
        <v>370</v>
      </c>
      <c r="B13" s="2036"/>
      <c r="C13" s="2036"/>
      <c r="D13" s="2036"/>
      <c r="E13" s="2037">
        <f t="shared" ref="E13:K13" si="1">SUM(E14:E20)</f>
        <v>103214</v>
      </c>
      <c r="F13" s="2037">
        <f t="shared" si="1"/>
        <v>104702</v>
      </c>
      <c r="G13" s="2037">
        <f t="shared" si="1"/>
        <v>105092</v>
      </c>
      <c r="H13" s="2037">
        <f t="shared" si="1"/>
        <v>106038</v>
      </c>
      <c r="I13" s="2037">
        <f t="shared" si="1"/>
        <v>107935</v>
      </c>
      <c r="J13" s="2037">
        <f t="shared" si="1"/>
        <v>109834</v>
      </c>
      <c r="K13" s="2037">
        <f t="shared" si="1"/>
        <v>111221</v>
      </c>
      <c r="L13" s="2037"/>
      <c r="M13" s="2037">
        <f>SUM(M14:M20)</f>
        <v>113034</v>
      </c>
      <c r="N13" s="2037">
        <f>SUM(N14:N20)</f>
        <v>114886</v>
      </c>
      <c r="O13" s="2023"/>
      <c r="P13" s="572"/>
      <c r="Q13" s="572"/>
    </row>
    <row r="14" spans="1:17" s="562" customFormat="1" ht="18" customHeight="1">
      <c r="A14" s="2039" t="s">
        <v>1722</v>
      </c>
      <c r="B14" s="2039"/>
      <c r="C14" s="2034"/>
      <c r="D14" s="2034"/>
      <c r="E14" s="2040">
        <v>42303</v>
      </c>
      <c r="F14" s="2040">
        <v>42718</v>
      </c>
      <c r="G14" s="2040">
        <v>43487</v>
      </c>
      <c r="H14" s="2040">
        <v>44709</v>
      </c>
      <c r="I14" s="2040">
        <v>45886</v>
      </c>
      <c r="J14" s="2040">
        <v>47089</v>
      </c>
      <c r="K14" s="2040">
        <v>47917</v>
      </c>
      <c r="L14" s="2040"/>
      <c r="M14" s="2041">
        <v>49037</v>
      </c>
      <c r="N14" s="2041">
        <v>50183</v>
      </c>
      <c r="O14" s="2023"/>
      <c r="P14" s="572"/>
      <c r="Q14" s="572"/>
    </row>
    <row r="15" spans="1:17" s="562" customFormat="1" ht="18" customHeight="1">
      <c r="A15" s="2042" t="s">
        <v>371</v>
      </c>
      <c r="B15" s="2039"/>
      <c r="C15" s="2034"/>
      <c r="D15" s="2034"/>
      <c r="E15" s="2040">
        <v>24233</v>
      </c>
      <c r="F15" s="2040">
        <v>25284</v>
      </c>
      <c r="G15" s="2040">
        <v>25189</v>
      </c>
      <c r="H15" s="2040">
        <v>25092</v>
      </c>
      <c r="I15" s="2040">
        <v>25954</v>
      </c>
      <c r="J15" s="2040">
        <v>26322</v>
      </c>
      <c r="K15" s="2040">
        <v>26630</v>
      </c>
      <c r="L15" s="2040"/>
      <c r="M15" s="2041">
        <v>27165</v>
      </c>
      <c r="N15" s="2041">
        <v>27710</v>
      </c>
      <c r="O15" s="2023"/>
      <c r="P15" s="572"/>
      <c r="Q15" s="572"/>
    </row>
    <row r="16" spans="1:17" s="562" customFormat="1" ht="18" customHeight="1">
      <c r="A16" s="2039" t="s">
        <v>372</v>
      </c>
      <c r="B16" s="2039"/>
      <c r="C16" s="2034"/>
      <c r="D16" s="2034"/>
      <c r="E16" s="2040">
        <v>9640</v>
      </c>
      <c r="F16" s="2040">
        <v>9914</v>
      </c>
      <c r="G16" s="2040">
        <v>10170</v>
      </c>
      <c r="H16" s="2040">
        <v>10236</v>
      </c>
      <c r="I16" s="2040">
        <v>10395</v>
      </c>
      <c r="J16" s="2040">
        <v>10366</v>
      </c>
      <c r="K16" s="2040">
        <v>10242</v>
      </c>
      <c r="L16" s="2040"/>
      <c r="M16" s="2041">
        <v>10245</v>
      </c>
      <c r="N16" s="2041">
        <v>10247</v>
      </c>
      <c r="O16" s="2023"/>
      <c r="P16" s="572"/>
      <c r="Q16" s="572"/>
    </row>
    <row r="17" spans="1:17" s="562" customFormat="1" ht="18" customHeight="1">
      <c r="A17" s="2039" t="s">
        <v>373</v>
      </c>
      <c r="B17" s="2039"/>
      <c r="C17" s="2034"/>
      <c r="D17" s="2034"/>
      <c r="E17" s="2040">
        <v>9832</v>
      </c>
      <c r="F17" s="2040">
        <v>9581</v>
      </c>
      <c r="G17" s="2040">
        <v>9376</v>
      </c>
      <c r="H17" s="2040">
        <v>9292</v>
      </c>
      <c r="I17" s="2040">
        <v>9097</v>
      </c>
      <c r="J17" s="2040">
        <v>9389</v>
      </c>
      <c r="K17" s="2040">
        <v>9715</v>
      </c>
      <c r="L17" s="2040"/>
      <c r="M17" s="2041">
        <v>9863</v>
      </c>
      <c r="N17" s="2041">
        <v>10014</v>
      </c>
      <c r="O17" s="2023"/>
      <c r="P17" s="572"/>
      <c r="Q17" s="572"/>
    </row>
    <row r="18" spans="1:17" s="562" customFormat="1" ht="18" customHeight="1">
      <c r="A18" s="2039" t="s">
        <v>374</v>
      </c>
      <c r="B18" s="2039"/>
      <c r="C18" s="2034"/>
      <c r="D18" s="2034"/>
      <c r="E18" s="2040">
        <v>4559</v>
      </c>
      <c r="F18" s="2040">
        <v>4558</v>
      </c>
      <c r="G18" s="2040">
        <v>4354</v>
      </c>
      <c r="H18" s="2040">
        <v>4144</v>
      </c>
      <c r="I18" s="2040">
        <v>4007</v>
      </c>
      <c r="J18" s="2040">
        <v>3992</v>
      </c>
      <c r="K18" s="2040">
        <v>3922</v>
      </c>
      <c r="L18" s="2040"/>
      <c r="M18" s="2041">
        <v>3851</v>
      </c>
      <c r="N18" s="2041">
        <v>3781</v>
      </c>
      <c r="O18" s="2023"/>
      <c r="P18" s="572"/>
      <c r="Q18" s="572"/>
    </row>
    <row r="19" spans="1:17" s="562" customFormat="1" ht="18" customHeight="1">
      <c r="A19" s="2042" t="s">
        <v>375</v>
      </c>
      <c r="B19" s="2039"/>
      <c r="C19" s="2034"/>
      <c r="D19" s="2034"/>
      <c r="E19" s="2040">
        <v>12647</v>
      </c>
      <c r="F19" s="2040">
        <v>12647</v>
      </c>
      <c r="G19" s="2040">
        <v>12516</v>
      </c>
      <c r="H19" s="2040">
        <v>12565</v>
      </c>
      <c r="I19" s="2040">
        <v>12596</v>
      </c>
      <c r="J19" s="2040">
        <v>12676</v>
      </c>
      <c r="K19" s="2040">
        <v>12795</v>
      </c>
      <c r="L19" s="2040"/>
      <c r="M19" s="2041">
        <v>12873</v>
      </c>
      <c r="N19" s="2041">
        <v>12951</v>
      </c>
      <c r="O19" s="2023"/>
      <c r="P19" s="572"/>
      <c r="Q19" s="572"/>
    </row>
    <row r="20" spans="1:17" s="562" customFormat="1" ht="18" customHeight="1">
      <c r="A20" s="2034"/>
      <c r="B20" s="2034"/>
      <c r="C20" s="2034"/>
      <c r="D20" s="2034"/>
      <c r="E20" s="2040" t="s">
        <v>386</v>
      </c>
      <c r="F20" s="2023"/>
      <c r="G20" s="2023"/>
      <c r="H20" s="2023"/>
      <c r="I20" s="2023"/>
      <c r="J20" s="2040" t="s">
        <v>386</v>
      </c>
      <c r="K20" s="2040" t="s">
        <v>386</v>
      </c>
      <c r="L20" s="2040"/>
      <c r="M20" s="2041"/>
      <c r="N20" s="2038"/>
      <c r="O20" s="2023"/>
    </row>
    <row r="21" spans="1:17" s="562" customFormat="1" ht="18" customHeight="1">
      <c r="A21" s="2036" t="s">
        <v>1723</v>
      </c>
      <c r="B21" s="2036"/>
      <c r="C21" s="2034"/>
      <c r="D21" s="2034"/>
      <c r="E21" s="2037">
        <f t="shared" ref="E21:K21" si="2">E10+E13</f>
        <v>265542</v>
      </c>
      <c r="F21" s="2037">
        <f t="shared" si="2"/>
        <v>258097</v>
      </c>
      <c r="G21" s="2037">
        <f t="shared" si="2"/>
        <v>252525</v>
      </c>
      <c r="H21" s="2037">
        <f t="shared" si="2"/>
        <v>249330</v>
      </c>
      <c r="I21" s="2037">
        <f t="shared" si="2"/>
        <v>246659</v>
      </c>
      <c r="J21" s="2037">
        <f t="shared" si="2"/>
        <v>245487</v>
      </c>
      <c r="K21" s="2037">
        <f t="shared" si="2"/>
        <v>242356</v>
      </c>
      <c r="L21" s="2037"/>
      <c r="M21" s="2037">
        <f>M10+M13</f>
        <v>240352</v>
      </c>
      <c r="N21" s="2037">
        <f>N10+N13</f>
        <v>238498</v>
      </c>
      <c r="O21" s="2023"/>
    </row>
    <row r="22" spans="1:17" s="562" customFormat="1" ht="15" customHeight="1">
      <c r="A22" s="2043"/>
      <c r="B22" s="2043"/>
      <c r="C22" s="2044"/>
      <c r="D22" s="2044"/>
      <c r="E22" s="2045"/>
      <c r="F22" s="2046"/>
      <c r="G22" s="2046"/>
      <c r="H22" s="2044"/>
      <c r="I22" s="2047"/>
      <c r="J22" s="2047"/>
      <c r="K22" s="2047"/>
      <c r="L22" s="2047"/>
      <c r="M22" s="2048"/>
      <c r="N22" s="2048"/>
      <c r="O22" s="2023"/>
    </row>
    <row r="23" spans="1:17" s="562" customFormat="1" ht="15" customHeight="1">
      <c r="A23" s="2023"/>
      <c r="B23" s="2023"/>
      <c r="C23" s="2023"/>
      <c r="D23" s="2023"/>
      <c r="E23" s="2031"/>
      <c r="F23" s="2049"/>
      <c r="G23" s="2049"/>
      <c r="H23" s="2031"/>
      <c r="I23" s="2050"/>
      <c r="J23" s="2050"/>
      <c r="K23" s="2023"/>
      <c r="L23" s="2050"/>
      <c r="M23" s="2023"/>
      <c r="N23" s="2023"/>
      <c r="O23" s="2023"/>
    </row>
    <row r="24" spans="1:17" s="562" customFormat="1" ht="31.5" customHeight="1">
      <c r="A24" s="2051" t="s">
        <v>376</v>
      </c>
      <c r="B24" s="2730" t="s">
        <v>1724</v>
      </c>
      <c r="C24" s="2730"/>
      <c r="D24" s="2730"/>
      <c r="E24" s="2730"/>
      <c r="F24" s="2730"/>
      <c r="G24" s="2730"/>
      <c r="H24" s="2730"/>
      <c r="I24" s="2730"/>
      <c r="J24" s="2730"/>
      <c r="K24" s="2730"/>
      <c r="L24" s="2730"/>
      <c r="M24" s="2730"/>
      <c r="N24" s="2730"/>
      <c r="O24" s="2031"/>
    </row>
    <row r="25" spans="1:17" s="566" customFormat="1" ht="15.75" customHeight="1">
      <c r="A25" s="2051" t="s">
        <v>377</v>
      </c>
      <c r="B25" s="2052" t="s">
        <v>1725</v>
      </c>
      <c r="C25" s="2052"/>
      <c r="D25" s="2052"/>
      <c r="E25" s="2052"/>
      <c r="F25" s="2052"/>
      <c r="G25" s="2052"/>
      <c r="H25" s="2052"/>
      <c r="I25" s="2052"/>
      <c r="J25" s="2052"/>
      <c r="K25" s="2052"/>
      <c r="L25" s="2052"/>
      <c r="M25" s="2052"/>
      <c r="N25" s="2052"/>
      <c r="O25" s="2027"/>
    </row>
    <row r="26" spans="1:17" s="562" customFormat="1" ht="15" customHeight="1">
      <c r="A26" s="2053"/>
      <c r="B26" s="2054"/>
      <c r="C26" s="2055"/>
      <c r="D26" s="2049"/>
      <c r="E26" s="2049"/>
      <c r="F26" s="2049"/>
      <c r="G26" s="2049"/>
      <c r="H26" s="2049"/>
      <c r="I26" s="2056"/>
      <c r="J26" s="2056"/>
      <c r="K26" s="2023"/>
      <c r="L26" s="2056"/>
      <c r="M26" s="2023"/>
      <c r="N26" s="2023"/>
      <c r="O26" s="2023"/>
    </row>
    <row r="27" spans="1:17" s="562" customFormat="1" ht="12.75" customHeight="1">
      <c r="A27" s="2057" t="s">
        <v>1726</v>
      </c>
      <c r="B27" s="2058"/>
      <c r="C27" s="2058"/>
      <c r="D27" s="2049"/>
      <c r="E27" s="2049"/>
      <c r="F27" s="2049"/>
      <c r="G27" s="2049"/>
      <c r="H27" s="2049"/>
      <c r="I27" s="2056"/>
      <c r="J27" s="2056"/>
      <c r="K27" s="2023"/>
      <c r="L27" s="2056"/>
      <c r="M27" s="2023"/>
      <c r="N27" s="2023"/>
      <c r="O27" s="2023"/>
    </row>
    <row r="28" spans="1:17" s="562" customFormat="1" ht="15.75" customHeight="1">
      <c r="A28" s="2034"/>
      <c r="B28" s="2730" t="s">
        <v>1727</v>
      </c>
      <c r="C28" s="2730"/>
      <c r="D28" s="2730"/>
      <c r="E28" s="2730"/>
      <c r="F28" s="2730"/>
      <c r="G28" s="2730"/>
      <c r="H28" s="2730"/>
      <c r="I28" s="2730"/>
      <c r="J28" s="2730"/>
      <c r="K28" s="2730"/>
      <c r="L28" s="2730"/>
      <c r="M28" s="2730"/>
      <c r="N28" s="2730"/>
      <c r="O28" s="2023"/>
    </row>
    <row r="29" spans="1:17" ht="15.75" customHeight="1">
      <c r="A29" s="2059"/>
      <c r="B29" s="2060" t="s">
        <v>1728</v>
      </c>
      <c r="C29" s="2060"/>
      <c r="D29" s="2060"/>
      <c r="E29" s="2060"/>
      <c r="F29" s="2054"/>
      <c r="G29" s="2054"/>
      <c r="H29" s="2060"/>
      <c r="I29" s="2060"/>
      <c r="J29" s="2060"/>
      <c r="K29" s="2034"/>
      <c r="L29" s="2034"/>
      <c r="M29" s="2034"/>
      <c r="N29" s="2034"/>
      <c r="O29" s="2034"/>
    </row>
    <row r="30" spans="1:17" ht="12.75" customHeight="1">
      <c r="B30" s="564"/>
      <c r="F30" s="355"/>
      <c r="G30" s="355"/>
    </row>
    <row r="31" spans="1:17" ht="15" customHeight="1">
      <c r="A31" s="2061" t="s">
        <v>1729</v>
      </c>
      <c r="B31" s="2062"/>
      <c r="C31" s="2034"/>
      <c r="D31" s="2034"/>
      <c r="E31" s="2034"/>
      <c r="F31" s="2034"/>
      <c r="G31" s="2034"/>
      <c r="H31" s="2063"/>
      <c r="I31" s="2034"/>
      <c r="J31" s="2034"/>
      <c r="K31" s="2034"/>
      <c r="L31" s="2034"/>
    </row>
    <row r="32" spans="1:17" ht="31.7" customHeight="1">
      <c r="A32" s="2034"/>
      <c r="B32" s="2731" t="s">
        <v>1730</v>
      </c>
      <c r="C32" s="2731"/>
      <c r="D32" s="2731"/>
      <c r="E32" s="2731"/>
      <c r="F32" s="2731"/>
      <c r="G32" s="2731"/>
      <c r="H32" s="2731"/>
      <c r="I32" s="2731"/>
      <c r="J32" s="2731"/>
      <c r="K32" s="2731"/>
      <c r="L32" s="2731"/>
      <c r="M32" s="2731"/>
      <c r="N32" s="2731"/>
    </row>
    <row r="33" spans="1:12" s="562" customFormat="1" ht="15" customHeight="1">
      <c r="A33" s="370"/>
      <c r="B33" s="2064"/>
      <c r="C33" s="2064"/>
      <c r="D33" s="2064"/>
      <c r="E33" s="2064"/>
      <c r="F33" s="2064"/>
      <c r="G33" s="2064"/>
      <c r="H33" s="346"/>
      <c r="I33" s="563"/>
      <c r="J33" s="563"/>
      <c r="L33" s="563"/>
    </row>
    <row r="34" spans="1:12" s="562" customFormat="1" ht="15" customHeight="1">
      <c r="A34" s="355"/>
      <c r="B34" s="369"/>
      <c r="C34" s="346"/>
      <c r="D34" s="346"/>
      <c r="E34" s="346"/>
      <c r="F34" s="346"/>
      <c r="G34" s="346"/>
      <c r="H34" s="346"/>
      <c r="I34" s="563"/>
      <c r="J34" s="563"/>
      <c r="L34" s="563"/>
    </row>
    <row r="35" spans="1:12" s="562" customFormat="1" ht="15" customHeight="1">
      <c r="A35" s="346"/>
      <c r="B35" s="346"/>
      <c r="C35" s="346"/>
      <c r="D35" s="346"/>
      <c r="E35" s="346"/>
      <c r="F35" s="346"/>
      <c r="G35" s="346"/>
      <c r="H35" s="346"/>
      <c r="I35" s="563"/>
      <c r="J35" s="563"/>
      <c r="L35" s="563"/>
    </row>
    <row r="36" spans="1:12" s="562" customFormat="1" ht="16.5" customHeight="1">
      <c r="A36" s="346"/>
      <c r="B36" s="346"/>
      <c r="C36" s="346"/>
      <c r="D36" s="346"/>
      <c r="E36" s="346"/>
      <c r="F36" s="346"/>
      <c r="G36" s="346"/>
      <c r="H36" s="346"/>
      <c r="I36" s="563"/>
      <c r="J36" s="563"/>
      <c r="L36" s="563"/>
    </row>
    <row r="37" spans="1:12" s="562" customFormat="1" ht="15">
      <c r="A37" s="373"/>
      <c r="B37" s="373"/>
      <c r="C37" s="345"/>
      <c r="D37" s="345"/>
      <c r="E37" s="345"/>
      <c r="F37" s="346"/>
      <c r="G37" s="346"/>
      <c r="H37" s="345"/>
    </row>
    <row r="38" spans="1:12">
      <c r="A38" s="374"/>
      <c r="B38" s="374"/>
      <c r="C38" s="345"/>
      <c r="D38" s="345"/>
      <c r="E38" s="345"/>
      <c r="F38" s="346"/>
      <c r="G38" s="346"/>
      <c r="H38" s="345"/>
    </row>
    <row r="39" spans="1:12">
      <c r="A39" s="374"/>
      <c r="B39" s="374"/>
    </row>
    <row r="40" spans="1:12">
      <c r="A40" s="374"/>
      <c r="B40" s="374"/>
    </row>
  </sheetData>
  <mergeCells count="8">
    <mergeCell ref="B28:N28"/>
    <mergeCell ref="B32:N32"/>
    <mergeCell ref="A1:N1"/>
    <mergeCell ref="A2:N2"/>
    <mergeCell ref="A3:N3"/>
    <mergeCell ref="E5:K5"/>
    <mergeCell ref="M5:N5"/>
    <mergeCell ref="B24:N24"/>
  </mergeCells>
  <printOptions horizontalCentered="1"/>
  <pageMargins left="0.4" right="0.4" top="0.7" bottom="0.5" header="0.5" footer="0.35"/>
  <pageSetup firstPageNumber="247" orientation="portrait" useFirstPageNumber="1"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M52"/>
  <sheetViews>
    <sheetView workbookViewId="0">
      <selection sqref="A1:I1"/>
    </sheetView>
  </sheetViews>
  <sheetFormatPr defaultColWidth="15.125" defaultRowHeight="12.75"/>
  <cols>
    <col min="1" max="1" width="28.75" style="1881" customWidth="1"/>
    <col min="2" max="2" width="9.625" style="1881" bestFit="1" customWidth="1"/>
    <col min="3" max="3" width="8" style="1881" customWidth="1"/>
    <col min="4" max="4" width="9.125" style="1881" bestFit="1" customWidth="1"/>
    <col min="5" max="5" width="9.25" style="1881" bestFit="1" customWidth="1"/>
    <col min="6" max="6" width="9.75" style="1881" bestFit="1" customWidth="1"/>
    <col min="7" max="8" width="9.125" style="1881" bestFit="1" customWidth="1"/>
    <col min="9" max="9" width="8.625" style="1881" bestFit="1" customWidth="1"/>
    <col min="10" max="10" width="2.5" style="1881" customWidth="1"/>
    <col min="11" max="256" width="15.125" style="1881"/>
    <col min="257" max="257" width="28.75" style="1881" customWidth="1"/>
    <col min="258" max="258" width="9.625" style="1881" bestFit="1" customWidth="1"/>
    <col min="259" max="259" width="8" style="1881" customWidth="1"/>
    <col min="260" max="260" width="9.125" style="1881" bestFit="1" customWidth="1"/>
    <col min="261" max="261" width="9.25" style="1881" bestFit="1" customWidth="1"/>
    <col min="262" max="262" width="9.75" style="1881" bestFit="1" customWidth="1"/>
    <col min="263" max="264" width="9.125" style="1881" bestFit="1" customWidth="1"/>
    <col min="265" max="265" width="8.625" style="1881" bestFit="1" customWidth="1"/>
    <col min="266" max="266" width="2.5" style="1881" customWidth="1"/>
    <col min="267" max="512" width="15.125" style="1881"/>
    <col min="513" max="513" width="28.75" style="1881" customWidth="1"/>
    <col min="514" max="514" width="9.625" style="1881" bestFit="1" customWidth="1"/>
    <col min="515" max="515" width="8" style="1881" customWidth="1"/>
    <col min="516" max="516" width="9.125" style="1881" bestFit="1" customWidth="1"/>
    <col min="517" max="517" width="9.25" style="1881" bestFit="1" customWidth="1"/>
    <col min="518" max="518" width="9.75" style="1881" bestFit="1" customWidth="1"/>
    <col min="519" max="520" width="9.125" style="1881" bestFit="1" customWidth="1"/>
    <col min="521" max="521" width="8.625" style="1881" bestFit="1" customWidth="1"/>
    <col min="522" max="522" width="2.5" style="1881" customWidth="1"/>
    <col min="523" max="768" width="15.125" style="1881"/>
    <col min="769" max="769" width="28.75" style="1881" customWidth="1"/>
    <col min="770" max="770" width="9.625" style="1881" bestFit="1" customWidth="1"/>
    <col min="771" max="771" width="8" style="1881" customWidth="1"/>
    <col min="772" max="772" width="9.125" style="1881" bestFit="1" customWidth="1"/>
    <col min="773" max="773" width="9.25" style="1881" bestFit="1" customWidth="1"/>
    <col min="774" max="774" width="9.75" style="1881" bestFit="1" customWidth="1"/>
    <col min="775" max="776" width="9.125" style="1881" bestFit="1" customWidth="1"/>
    <col min="777" max="777" width="8.625" style="1881" bestFit="1" customWidth="1"/>
    <col min="778" max="778" width="2.5" style="1881" customWidth="1"/>
    <col min="779" max="1024" width="15.125" style="1881"/>
    <col min="1025" max="1025" width="28.75" style="1881" customWidth="1"/>
    <col min="1026" max="1026" width="9.625" style="1881" bestFit="1" customWidth="1"/>
    <col min="1027" max="1027" width="8" style="1881" customWidth="1"/>
    <col min="1028" max="1028" width="9.125" style="1881" bestFit="1" customWidth="1"/>
    <col min="1029" max="1029" width="9.25" style="1881" bestFit="1" customWidth="1"/>
    <col min="1030" max="1030" width="9.75" style="1881" bestFit="1" customWidth="1"/>
    <col min="1031" max="1032" width="9.125" style="1881" bestFit="1" customWidth="1"/>
    <col min="1033" max="1033" width="8.625" style="1881" bestFit="1" customWidth="1"/>
    <col min="1034" max="1034" width="2.5" style="1881" customWidth="1"/>
    <col min="1035" max="1280" width="15.125" style="1881"/>
    <col min="1281" max="1281" width="28.75" style="1881" customWidth="1"/>
    <col min="1282" max="1282" width="9.625" style="1881" bestFit="1" customWidth="1"/>
    <col min="1283" max="1283" width="8" style="1881" customWidth="1"/>
    <col min="1284" max="1284" width="9.125" style="1881" bestFit="1" customWidth="1"/>
    <col min="1285" max="1285" width="9.25" style="1881" bestFit="1" customWidth="1"/>
    <col min="1286" max="1286" width="9.75" style="1881" bestFit="1" customWidth="1"/>
    <col min="1287" max="1288" width="9.125" style="1881" bestFit="1" customWidth="1"/>
    <col min="1289" max="1289" width="8.625" style="1881" bestFit="1" customWidth="1"/>
    <col min="1290" max="1290" width="2.5" style="1881" customWidth="1"/>
    <col min="1291" max="1536" width="15.125" style="1881"/>
    <col min="1537" max="1537" width="28.75" style="1881" customWidth="1"/>
    <col min="1538" max="1538" width="9.625" style="1881" bestFit="1" customWidth="1"/>
    <col min="1539" max="1539" width="8" style="1881" customWidth="1"/>
    <col min="1540" max="1540" width="9.125" style="1881" bestFit="1" customWidth="1"/>
    <col min="1541" max="1541" width="9.25" style="1881" bestFit="1" customWidth="1"/>
    <col min="1542" max="1542" width="9.75" style="1881" bestFit="1" customWidth="1"/>
    <col min="1543" max="1544" width="9.125" style="1881" bestFit="1" customWidth="1"/>
    <col min="1545" max="1545" width="8.625" style="1881" bestFit="1" customWidth="1"/>
    <col min="1546" max="1546" width="2.5" style="1881" customWidth="1"/>
    <col min="1547" max="1792" width="15.125" style="1881"/>
    <col min="1793" max="1793" width="28.75" style="1881" customWidth="1"/>
    <col min="1794" max="1794" width="9.625" style="1881" bestFit="1" customWidth="1"/>
    <col min="1795" max="1795" width="8" style="1881" customWidth="1"/>
    <col min="1796" max="1796" width="9.125" style="1881" bestFit="1" customWidth="1"/>
    <col min="1797" max="1797" width="9.25" style="1881" bestFit="1" customWidth="1"/>
    <col min="1798" max="1798" width="9.75" style="1881" bestFit="1" customWidth="1"/>
    <col min="1799" max="1800" width="9.125" style="1881" bestFit="1" customWidth="1"/>
    <col min="1801" max="1801" width="8.625" style="1881" bestFit="1" customWidth="1"/>
    <col min="1802" max="1802" width="2.5" style="1881" customWidth="1"/>
    <col min="1803" max="2048" width="15.125" style="1881"/>
    <col min="2049" max="2049" width="28.75" style="1881" customWidth="1"/>
    <col min="2050" max="2050" width="9.625" style="1881" bestFit="1" customWidth="1"/>
    <col min="2051" max="2051" width="8" style="1881" customWidth="1"/>
    <col min="2052" max="2052" width="9.125" style="1881" bestFit="1" customWidth="1"/>
    <col min="2053" max="2053" width="9.25" style="1881" bestFit="1" customWidth="1"/>
    <col min="2054" max="2054" width="9.75" style="1881" bestFit="1" customWidth="1"/>
    <col min="2055" max="2056" width="9.125" style="1881" bestFit="1" customWidth="1"/>
    <col min="2057" max="2057" width="8.625" style="1881" bestFit="1" customWidth="1"/>
    <col min="2058" max="2058" width="2.5" style="1881" customWidth="1"/>
    <col min="2059" max="2304" width="15.125" style="1881"/>
    <col min="2305" max="2305" width="28.75" style="1881" customWidth="1"/>
    <col min="2306" max="2306" width="9.625" style="1881" bestFit="1" customWidth="1"/>
    <col min="2307" max="2307" width="8" style="1881" customWidth="1"/>
    <col min="2308" max="2308" width="9.125" style="1881" bestFit="1" customWidth="1"/>
    <col min="2309" max="2309" width="9.25" style="1881" bestFit="1" customWidth="1"/>
    <col min="2310" max="2310" width="9.75" style="1881" bestFit="1" customWidth="1"/>
    <col min="2311" max="2312" width="9.125" style="1881" bestFit="1" customWidth="1"/>
    <col min="2313" max="2313" width="8.625" style="1881" bestFit="1" customWidth="1"/>
    <col min="2314" max="2314" width="2.5" style="1881" customWidth="1"/>
    <col min="2315" max="2560" width="15.125" style="1881"/>
    <col min="2561" max="2561" width="28.75" style="1881" customWidth="1"/>
    <col min="2562" max="2562" width="9.625" style="1881" bestFit="1" customWidth="1"/>
    <col min="2563" max="2563" width="8" style="1881" customWidth="1"/>
    <col min="2564" max="2564" width="9.125" style="1881" bestFit="1" customWidth="1"/>
    <col min="2565" max="2565" width="9.25" style="1881" bestFit="1" customWidth="1"/>
    <col min="2566" max="2566" width="9.75" style="1881" bestFit="1" customWidth="1"/>
    <col min="2567" max="2568" width="9.125" style="1881" bestFit="1" customWidth="1"/>
    <col min="2569" max="2569" width="8.625" style="1881" bestFit="1" customWidth="1"/>
    <col min="2570" max="2570" width="2.5" style="1881" customWidth="1"/>
    <col min="2571" max="2816" width="15.125" style="1881"/>
    <col min="2817" max="2817" width="28.75" style="1881" customWidth="1"/>
    <col min="2818" max="2818" width="9.625" style="1881" bestFit="1" customWidth="1"/>
    <col min="2819" max="2819" width="8" style="1881" customWidth="1"/>
    <col min="2820" max="2820" width="9.125" style="1881" bestFit="1" customWidth="1"/>
    <col min="2821" max="2821" width="9.25" style="1881" bestFit="1" customWidth="1"/>
    <col min="2822" max="2822" width="9.75" style="1881" bestFit="1" customWidth="1"/>
    <col min="2823" max="2824" width="9.125" style="1881" bestFit="1" customWidth="1"/>
    <col min="2825" max="2825" width="8.625" style="1881" bestFit="1" customWidth="1"/>
    <col min="2826" max="2826" width="2.5" style="1881" customWidth="1"/>
    <col min="2827" max="3072" width="15.125" style="1881"/>
    <col min="3073" max="3073" width="28.75" style="1881" customWidth="1"/>
    <col min="3074" max="3074" width="9.625" style="1881" bestFit="1" customWidth="1"/>
    <col min="3075" max="3075" width="8" style="1881" customWidth="1"/>
    <col min="3076" max="3076" width="9.125" style="1881" bestFit="1" customWidth="1"/>
    <col min="3077" max="3077" width="9.25" style="1881" bestFit="1" customWidth="1"/>
    <col min="3078" max="3078" width="9.75" style="1881" bestFit="1" customWidth="1"/>
    <col min="3079" max="3080" width="9.125" style="1881" bestFit="1" customWidth="1"/>
    <col min="3081" max="3081" width="8.625" style="1881" bestFit="1" customWidth="1"/>
    <col min="3082" max="3082" width="2.5" style="1881" customWidth="1"/>
    <col min="3083" max="3328" width="15.125" style="1881"/>
    <col min="3329" max="3329" width="28.75" style="1881" customWidth="1"/>
    <col min="3330" max="3330" width="9.625" style="1881" bestFit="1" customWidth="1"/>
    <col min="3331" max="3331" width="8" style="1881" customWidth="1"/>
    <col min="3332" max="3332" width="9.125" style="1881" bestFit="1" customWidth="1"/>
    <col min="3333" max="3333" width="9.25" style="1881" bestFit="1" customWidth="1"/>
    <col min="3334" max="3334" width="9.75" style="1881" bestFit="1" customWidth="1"/>
    <col min="3335" max="3336" width="9.125" style="1881" bestFit="1" customWidth="1"/>
    <col min="3337" max="3337" width="8.625" style="1881" bestFit="1" customWidth="1"/>
    <col min="3338" max="3338" width="2.5" style="1881" customWidth="1"/>
    <col min="3339" max="3584" width="15.125" style="1881"/>
    <col min="3585" max="3585" width="28.75" style="1881" customWidth="1"/>
    <col min="3586" max="3586" width="9.625" style="1881" bestFit="1" customWidth="1"/>
    <col min="3587" max="3587" width="8" style="1881" customWidth="1"/>
    <col min="3588" max="3588" width="9.125" style="1881" bestFit="1" customWidth="1"/>
    <col min="3589" max="3589" width="9.25" style="1881" bestFit="1" customWidth="1"/>
    <col min="3590" max="3590" width="9.75" style="1881" bestFit="1" customWidth="1"/>
    <col min="3591" max="3592" width="9.125" style="1881" bestFit="1" customWidth="1"/>
    <col min="3593" max="3593" width="8.625" style="1881" bestFit="1" customWidth="1"/>
    <col min="3594" max="3594" width="2.5" style="1881" customWidth="1"/>
    <col min="3595" max="3840" width="15.125" style="1881"/>
    <col min="3841" max="3841" width="28.75" style="1881" customWidth="1"/>
    <col min="3842" max="3842" width="9.625" style="1881" bestFit="1" customWidth="1"/>
    <col min="3843" max="3843" width="8" style="1881" customWidth="1"/>
    <col min="3844" max="3844" width="9.125" style="1881" bestFit="1" customWidth="1"/>
    <col min="3845" max="3845" width="9.25" style="1881" bestFit="1" customWidth="1"/>
    <col min="3846" max="3846" width="9.75" style="1881" bestFit="1" customWidth="1"/>
    <col min="3847" max="3848" width="9.125" style="1881" bestFit="1" customWidth="1"/>
    <col min="3849" max="3849" width="8.625" style="1881" bestFit="1" customWidth="1"/>
    <col min="3850" max="3850" width="2.5" style="1881" customWidth="1"/>
    <col min="3851" max="4096" width="15.125" style="1881"/>
    <col min="4097" max="4097" width="28.75" style="1881" customWidth="1"/>
    <col min="4098" max="4098" width="9.625" style="1881" bestFit="1" customWidth="1"/>
    <col min="4099" max="4099" width="8" style="1881" customWidth="1"/>
    <col min="4100" max="4100" width="9.125" style="1881" bestFit="1" customWidth="1"/>
    <col min="4101" max="4101" width="9.25" style="1881" bestFit="1" customWidth="1"/>
    <col min="4102" max="4102" width="9.75" style="1881" bestFit="1" customWidth="1"/>
    <col min="4103" max="4104" width="9.125" style="1881" bestFit="1" customWidth="1"/>
    <col min="4105" max="4105" width="8.625" style="1881" bestFit="1" customWidth="1"/>
    <col min="4106" max="4106" width="2.5" style="1881" customWidth="1"/>
    <col min="4107" max="4352" width="15.125" style="1881"/>
    <col min="4353" max="4353" width="28.75" style="1881" customWidth="1"/>
    <col min="4354" max="4354" width="9.625" style="1881" bestFit="1" customWidth="1"/>
    <col min="4355" max="4355" width="8" style="1881" customWidth="1"/>
    <col min="4356" max="4356" width="9.125" style="1881" bestFit="1" customWidth="1"/>
    <col min="4357" max="4357" width="9.25" style="1881" bestFit="1" customWidth="1"/>
    <col min="4358" max="4358" width="9.75" style="1881" bestFit="1" customWidth="1"/>
    <col min="4359" max="4360" width="9.125" style="1881" bestFit="1" customWidth="1"/>
    <col min="4361" max="4361" width="8.625" style="1881" bestFit="1" customWidth="1"/>
    <col min="4362" max="4362" width="2.5" style="1881" customWidth="1"/>
    <col min="4363" max="4608" width="15.125" style="1881"/>
    <col min="4609" max="4609" width="28.75" style="1881" customWidth="1"/>
    <col min="4610" max="4610" width="9.625" style="1881" bestFit="1" customWidth="1"/>
    <col min="4611" max="4611" width="8" style="1881" customWidth="1"/>
    <col min="4612" max="4612" width="9.125" style="1881" bestFit="1" customWidth="1"/>
    <col min="4613" max="4613" width="9.25" style="1881" bestFit="1" customWidth="1"/>
    <col min="4614" max="4614" width="9.75" style="1881" bestFit="1" customWidth="1"/>
    <col min="4615" max="4616" width="9.125" style="1881" bestFit="1" customWidth="1"/>
    <col min="4617" max="4617" width="8.625" style="1881" bestFit="1" customWidth="1"/>
    <col min="4618" max="4618" width="2.5" style="1881" customWidth="1"/>
    <col min="4619" max="4864" width="15.125" style="1881"/>
    <col min="4865" max="4865" width="28.75" style="1881" customWidth="1"/>
    <col min="4866" max="4866" width="9.625" style="1881" bestFit="1" customWidth="1"/>
    <col min="4867" max="4867" width="8" style="1881" customWidth="1"/>
    <col min="4868" max="4868" width="9.125" style="1881" bestFit="1" customWidth="1"/>
    <col min="4869" max="4869" width="9.25" style="1881" bestFit="1" customWidth="1"/>
    <col min="4870" max="4870" width="9.75" style="1881" bestFit="1" customWidth="1"/>
    <col min="4871" max="4872" width="9.125" style="1881" bestFit="1" customWidth="1"/>
    <col min="4873" max="4873" width="8.625" style="1881" bestFit="1" customWidth="1"/>
    <col min="4874" max="4874" width="2.5" style="1881" customWidth="1"/>
    <col min="4875" max="5120" width="15.125" style="1881"/>
    <col min="5121" max="5121" width="28.75" style="1881" customWidth="1"/>
    <col min="5122" max="5122" width="9.625" style="1881" bestFit="1" customWidth="1"/>
    <col min="5123" max="5123" width="8" style="1881" customWidth="1"/>
    <col min="5124" max="5124" width="9.125" style="1881" bestFit="1" customWidth="1"/>
    <col min="5125" max="5125" width="9.25" style="1881" bestFit="1" customWidth="1"/>
    <col min="5126" max="5126" width="9.75" style="1881" bestFit="1" customWidth="1"/>
    <col min="5127" max="5128" width="9.125" style="1881" bestFit="1" customWidth="1"/>
    <col min="5129" max="5129" width="8.625" style="1881" bestFit="1" customWidth="1"/>
    <col min="5130" max="5130" width="2.5" style="1881" customWidth="1"/>
    <col min="5131" max="5376" width="15.125" style="1881"/>
    <col min="5377" max="5377" width="28.75" style="1881" customWidth="1"/>
    <col min="5378" max="5378" width="9.625" style="1881" bestFit="1" customWidth="1"/>
    <col min="5379" max="5379" width="8" style="1881" customWidth="1"/>
    <col min="5380" max="5380" width="9.125" style="1881" bestFit="1" customWidth="1"/>
    <col min="5381" max="5381" width="9.25" style="1881" bestFit="1" customWidth="1"/>
    <col min="5382" max="5382" width="9.75" style="1881" bestFit="1" customWidth="1"/>
    <col min="5383" max="5384" width="9.125" style="1881" bestFit="1" customWidth="1"/>
    <col min="5385" max="5385" width="8.625" style="1881" bestFit="1" customWidth="1"/>
    <col min="5386" max="5386" width="2.5" style="1881" customWidth="1"/>
    <col min="5387" max="5632" width="15.125" style="1881"/>
    <col min="5633" max="5633" width="28.75" style="1881" customWidth="1"/>
    <col min="5634" max="5634" width="9.625" style="1881" bestFit="1" customWidth="1"/>
    <col min="5635" max="5635" width="8" style="1881" customWidth="1"/>
    <col min="5636" max="5636" width="9.125" style="1881" bestFit="1" customWidth="1"/>
    <col min="5637" max="5637" width="9.25" style="1881" bestFit="1" customWidth="1"/>
    <col min="5638" max="5638" width="9.75" style="1881" bestFit="1" customWidth="1"/>
    <col min="5639" max="5640" width="9.125" style="1881" bestFit="1" customWidth="1"/>
    <col min="5641" max="5641" width="8.625" style="1881" bestFit="1" customWidth="1"/>
    <col min="5642" max="5642" width="2.5" style="1881" customWidth="1"/>
    <col min="5643" max="5888" width="15.125" style="1881"/>
    <col min="5889" max="5889" width="28.75" style="1881" customWidth="1"/>
    <col min="5890" max="5890" width="9.625" style="1881" bestFit="1" customWidth="1"/>
    <col min="5891" max="5891" width="8" style="1881" customWidth="1"/>
    <col min="5892" max="5892" width="9.125" style="1881" bestFit="1" customWidth="1"/>
    <col min="5893" max="5893" width="9.25" style="1881" bestFit="1" customWidth="1"/>
    <col min="5894" max="5894" width="9.75" style="1881" bestFit="1" customWidth="1"/>
    <col min="5895" max="5896" width="9.125" style="1881" bestFit="1" customWidth="1"/>
    <col min="5897" max="5897" width="8.625" style="1881" bestFit="1" customWidth="1"/>
    <col min="5898" max="5898" width="2.5" style="1881" customWidth="1"/>
    <col min="5899" max="6144" width="15.125" style="1881"/>
    <col min="6145" max="6145" width="28.75" style="1881" customWidth="1"/>
    <col min="6146" max="6146" width="9.625" style="1881" bestFit="1" customWidth="1"/>
    <col min="6147" max="6147" width="8" style="1881" customWidth="1"/>
    <col min="6148" max="6148" width="9.125" style="1881" bestFit="1" customWidth="1"/>
    <col min="6149" max="6149" width="9.25" style="1881" bestFit="1" customWidth="1"/>
    <col min="6150" max="6150" width="9.75" style="1881" bestFit="1" customWidth="1"/>
    <col min="6151" max="6152" width="9.125" style="1881" bestFit="1" customWidth="1"/>
    <col min="6153" max="6153" width="8.625" style="1881" bestFit="1" customWidth="1"/>
    <col min="6154" max="6154" width="2.5" style="1881" customWidth="1"/>
    <col min="6155" max="6400" width="15.125" style="1881"/>
    <col min="6401" max="6401" width="28.75" style="1881" customWidth="1"/>
    <col min="6402" max="6402" width="9.625" style="1881" bestFit="1" customWidth="1"/>
    <col min="6403" max="6403" width="8" style="1881" customWidth="1"/>
    <col min="6404" max="6404" width="9.125" style="1881" bestFit="1" customWidth="1"/>
    <col min="6405" max="6405" width="9.25" style="1881" bestFit="1" customWidth="1"/>
    <col min="6406" max="6406" width="9.75" style="1881" bestFit="1" customWidth="1"/>
    <col min="6407" max="6408" width="9.125" style="1881" bestFit="1" customWidth="1"/>
    <col min="6409" max="6409" width="8.625" style="1881" bestFit="1" customWidth="1"/>
    <col min="6410" max="6410" width="2.5" style="1881" customWidth="1"/>
    <col min="6411" max="6656" width="15.125" style="1881"/>
    <col min="6657" max="6657" width="28.75" style="1881" customWidth="1"/>
    <col min="6658" max="6658" width="9.625" style="1881" bestFit="1" customWidth="1"/>
    <col min="6659" max="6659" width="8" style="1881" customWidth="1"/>
    <col min="6660" max="6660" width="9.125" style="1881" bestFit="1" customWidth="1"/>
    <col min="6661" max="6661" width="9.25" style="1881" bestFit="1" customWidth="1"/>
    <col min="6662" max="6662" width="9.75" style="1881" bestFit="1" customWidth="1"/>
    <col min="6663" max="6664" width="9.125" style="1881" bestFit="1" customWidth="1"/>
    <col min="6665" max="6665" width="8.625" style="1881" bestFit="1" customWidth="1"/>
    <col min="6666" max="6666" width="2.5" style="1881" customWidth="1"/>
    <col min="6667" max="6912" width="15.125" style="1881"/>
    <col min="6913" max="6913" width="28.75" style="1881" customWidth="1"/>
    <col min="6914" max="6914" width="9.625" style="1881" bestFit="1" customWidth="1"/>
    <col min="6915" max="6915" width="8" style="1881" customWidth="1"/>
    <col min="6916" max="6916" width="9.125" style="1881" bestFit="1" customWidth="1"/>
    <col min="6917" max="6917" width="9.25" style="1881" bestFit="1" customWidth="1"/>
    <col min="6918" max="6918" width="9.75" style="1881" bestFit="1" customWidth="1"/>
    <col min="6919" max="6920" width="9.125" style="1881" bestFit="1" customWidth="1"/>
    <col min="6921" max="6921" width="8.625" style="1881" bestFit="1" customWidth="1"/>
    <col min="6922" max="6922" width="2.5" style="1881" customWidth="1"/>
    <col min="6923" max="7168" width="15.125" style="1881"/>
    <col min="7169" max="7169" width="28.75" style="1881" customWidth="1"/>
    <col min="7170" max="7170" width="9.625" style="1881" bestFit="1" customWidth="1"/>
    <col min="7171" max="7171" width="8" style="1881" customWidth="1"/>
    <col min="7172" max="7172" width="9.125" style="1881" bestFit="1" customWidth="1"/>
    <col min="7173" max="7173" width="9.25" style="1881" bestFit="1" customWidth="1"/>
    <col min="7174" max="7174" width="9.75" style="1881" bestFit="1" customWidth="1"/>
    <col min="7175" max="7176" width="9.125" style="1881" bestFit="1" customWidth="1"/>
    <col min="7177" max="7177" width="8.625" style="1881" bestFit="1" customWidth="1"/>
    <col min="7178" max="7178" width="2.5" style="1881" customWidth="1"/>
    <col min="7179" max="7424" width="15.125" style="1881"/>
    <col min="7425" max="7425" width="28.75" style="1881" customWidth="1"/>
    <col min="7426" max="7426" width="9.625" style="1881" bestFit="1" customWidth="1"/>
    <col min="7427" max="7427" width="8" style="1881" customWidth="1"/>
    <col min="7428" max="7428" width="9.125" style="1881" bestFit="1" customWidth="1"/>
    <col min="7429" max="7429" width="9.25" style="1881" bestFit="1" customWidth="1"/>
    <col min="7430" max="7430" width="9.75" style="1881" bestFit="1" customWidth="1"/>
    <col min="7431" max="7432" width="9.125" style="1881" bestFit="1" customWidth="1"/>
    <col min="7433" max="7433" width="8.625" style="1881" bestFit="1" customWidth="1"/>
    <col min="7434" max="7434" width="2.5" style="1881" customWidth="1"/>
    <col min="7435" max="7680" width="15.125" style="1881"/>
    <col min="7681" max="7681" width="28.75" style="1881" customWidth="1"/>
    <col min="7682" max="7682" width="9.625" style="1881" bestFit="1" customWidth="1"/>
    <col min="7683" max="7683" width="8" style="1881" customWidth="1"/>
    <col min="7684" max="7684" width="9.125" style="1881" bestFit="1" customWidth="1"/>
    <col min="7685" max="7685" width="9.25" style="1881" bestFit="1" customWidth="1"/>
    <col min="7686" max="7686" width="9.75" style="1881" bestFit="1" customWidth="1"/>
    <col min="7687" max="7688" width="9.125" style="1881" bestFit="1" customWidth="1"/>
    <col min="7689" max="7689" width="8.625" style="1881" bestFit="1" customWidth="1"/>
    <col min="7690" max="7690" width="2.5" style="1881" customWidth="1"/>
    <col min="7691" max="7936" width="15.125" style="1881"/>
    <col min="7937" max="7937" width="28.75" style="1881" customWidth="1"/>
    <col min="7938" max="7938" width="9.625" style="1881" bestFit="1" customWidth="1"/>
    <col min="7939" max="7939" width="8" style="1881" customWidth="1"/>
    <col min="7940" max="7940" width="9.125" style="1881" bestFit="1" customWidth="1"/>
    <col min="7941" max="7941" width="9.25" style="1881" bestFit="1" customWidth="1"/>
    <col min="7942" max="7942" width="9.75" style="1881" bestFit="1" customWidth="1"/>
    <col min="7943" max="7944" width="9.125" style="1881" bestFit="1" customWidth="1"/>
    <col min="7945" max="7945" width="8.625" style="1881" bestFit="1" customWidth="1"/>
    <col min="7946" max="7946" width="2.5" style="1881" customWidth="1"/>
    <col min="7947" max="8192" width="15.125" style="1881"/>
    <col min="8193" max="8193" width="28.75" style="1881" customWidth="1"/>
    <col min="8194" max="8194" width="9.625" style="1881" bestFit="1" customWidth="1"/>
    <col min="8195" max="8195" width="8" style="1881" customWidth="1"/>
    <col min="8196" max="8196" width="9.125" style="1881" bestFit="1" customWidth="1"/>
    <col min="8197" max="8197" width="9.25" style="1881" bestFit="1" customWidth="1"/>
    <col min="8198" max="8198" width="9.75" style="1881" bestFit="1" customWidth="1"/>
    <col min="8199" max="8200" width="9.125" style="1881" bestFit="1" customWidth="1"/>
    <col min="8201" max="8201" width="8.625" style="1881" bestFit="1" customWidth="1"/>
    <col min="8202" max="8202" width="2.5" style="1881" customWidth="1"/>
    <col min="8203" max="8448" width="15.125" style="1881"/>
    <col min="8449" max="8449" width="28.75" style="1881" customWidth="1"/>
    <col min="8450" max="8450" width="9.625" style="1881" bestFit="1" customWidth="1"/>
    <col min="8451" max="8451" width="8" style="1881" customWidth="1"/>
    <col min="8452" max="8452" width="9.125" style="1881" bestFit="1" customWidth="1"/>
    <col min="8453" max="8453" width="9.25" style="1881" bestFit="1" customWidth="1"/>
    <col min="8454" max="8454" width="9.75" style="1881" bestFit="1" customWidth="1"/>
    <col min="8455" max="8456" width="9.125" style="1881" bestFit="1" customWidth="1"/>
    <col min="8457" max="8457" width="8.625" style="1881" bestFit="1" customWidth="1"/>
    <col min="8458" max="8458" width="2.5" style="1881" customWidth="1"/>
    <col min="8459" max="8704" width="15.125" style="1881"/>
    <col min="8705" max="8705" width="28.75" style="1881" customWidth="1"/>
    <col min="8706" max="8706" width="9.625" style="1881" bestFit="1" customWidth="1"/>
    <col min="8707" max="8707" width="8" style="1881" customWidth="1"/>
    <col min="8708" max="8708" width="9.125" style="1881" bestFit="1" customWidth="1"/>
    <col min="8709" max="8709" width="9.25" style="1881" bestFit="1" customWidth="1"/>
    <col min="8710" max="8710" width="9.75" style="1881" bestFit="1" customWidth="1"/>
    <col min="8711" max="8712" width="9.125" style="1881" bestFit="1" customWidth="1"/>
    <col min="8713" max="8713" width="8.625" style="1881" bestFit="1" customWidth="1"/>
    <col min="8714" max="8714" width="2.5" style="1881" customWidth="1"/>
    <col min="8715" max="8960" width="15.125" style="1881"/>
    <col min="8961" max="8961" width="28.75" style="1881" customWidth="1"/>
    <col min="8962" max="8962" width="9.625" style="1881" bestFit="1" customWidth="1"/>
    <col min="8963" max="8963" width="8" style="1881" customWidth="1"/>
    <col min="8964" max="8964" width="9.125" style="1881" bestFit="1" customWidth="1"/>
    <col min="8965" max="8965" width="9.25" style="1881" bestFit="1" customWidth="1"/>
    <col min="8966" max="8966" width="9.75" style="1881" bestFit="1" customWidth="1"/>
    <col min="8967" max="8968" width="9.125" style="1881" bestFit="1" customWidth="1"/>
    <col min="8969" max="8969" width="8.625" style="1881" bestFit="1" customWidth="1"/>
    <col min="8970" max="8970" width="2.5" style="1881" customWidth="1"/>
    <col min="8971" max="9216" width="15.125" style="1881"/>
    <col min="9217" max="9217" width="28.75" style="1881" customWidth="1"/>
    <col min="9218" max="9218" width="9.625" style="1881" bestFit="1" customWidth="1"/>
    <col min="9219" max="9219" width="8" style="1881" customWidth="1"/>
    <col min="9220" max="9220" width="9.125" style="1881" bestFit="1" customWidth="1"/>
    <col min="9221" max="9221" width="9.25" style="1881" bestFit="1" customWidth="1"/>
    <col min="9222" max="9222" width="9.75" style="1881" bestFit="1" customWidth="1"/>
    <col min="9223" max="9224" width="9.125" style="1881" bestFit="1" customWidth="1"/>
    <col min="9225" max="9225" width="8.625" style="1881" bestFit="1" customWidth="1"/>
    <col min="9226" max="9226" width="2.5" style="1881" customWidth="1"/>
    <col min="9227" max="9472" width="15.125" style="1881"/>
    <col min="9473" max="9473" width="28.75" style="1881" customWidth="1"/>
    <col min="9474" max="9474" width="9.625" style="1881" bestFit="1" customWidth="1"/>
    <col min="9475" max="9475" width="8" style="1881" customWidth="1"/>
    <col min="9476" max="9476" width="9.125" style="1881" bestFit="1" customWidth="1"/>
    <col min="9477" max="9477" width="9.25" style="1881" bestFit="1" customWidth="1"/>
    <col min="9478" max="9478" width="9.75" style="1881" bestFit="1" customWidth="1"/>
    <col min="9479" max="9480" width="9.125" style="1881" bestFit="1" customWidth="1"/>
    <col min="9481" max="9481" width="8.625" style="1881" bestFit="1" customWidth="1"/>
    <col min="9482" max="9482" width="2.5" style="1881" customWidth="1"/>
    <col min="9483" max="9728" width="15.125" style="1881"/>
    <col min="9729" max="9729" width="28.75" style="1881" customWidth="1"/>
    <col min="9730" max="9730" width="9.625" style="1881" bestFit="1" customWidth="1"/>
    <col min="9731" max="9731" width="8" style="1881" customWidth="1"/>
    <col min="9732" max="9732" width="9.125" style="1881" bestFit="1" customWidth="1"/>
    <col min="9733" max="9733" width="9.25" style="1881" bestFit="1" customWidth="1"/>
    <col min="9734" max="9734" width="9.75" style="1881" bestFit="1" customWidth="1"/>
    <col min="9735" max="9736" width="9.125" style="1881" bestFit="1" customWidth="1"/>
    <col min="9737" max="9737" width="8.625" style="1881" bestFit="1" customWidth="1"/>
    <col min="9738" max="9738" width="2.5" style="1881" customWidth="1"/>
    <col min="9739" max="9984" width="15.125" style="1881"/>
    <col min="9985" max="9985" width="28.75" style="1881" customWidth="1"/>
    <col min="9986" max="9986" width="9.625" style="1881" bestFit="1" customWidth="1"/>
    <col min="9987" max="9987" width="8" style="1881" customWidth="1"/>
    <col min="9988" max="9988" width="9.125" style="1881" bestFit="1" customWidth="1"/>
    <col min="9989" max="9989" width="9.25" style="1881" bestFit="1" customWidth="1"/>
    <col min="9990" max="9990" width="9.75" style="1881" bestFit="1" customWidth="1"/>
    <col min="9991" max="9992" width="9.125" style="1881" bestFit="1" customWidth="1"/>
    <col min="9993" max="9993" width="8.625" style="1881" bestFit="1" customWidth="1"/>
    <col min="9994" max="9994" width="2.5" style="1881" customWidth="1"/>
    <col min="9995" max="10240" width="15.125" style="1881"/>
    <col min="10241" max="10241" width="28.75" style="1881" customWidth="1"/>
    <col min="10242" max="10242" width="9.625" style="1881" bestFit="1" customWidth="1"/>
    <col min="10243" max="10243" width="8" style="1881" customWidth="1"/>
    <col min="10244" max="10244" width="9.125" style="1881" bestFit="1" customWidth="1"/>
    <col min="10245" max="10245" width="9.25" style="1881" bestFit="1" customWidth="1"/>
    <col min="10246" max="10246" width="9.75" style="1881" bestFit="1" customWidth="1"/>
    <col min="10247" max="10248" width="9.125" style="1881" bestFit="1" customWidth="1"/>
    <col min="10249" max="10249" width="8.625" style="1881" bestFit="1" customWidth="1"/>
    <col min="10250" max="10250" width="2.5" style="1881" customWidth="1"/>
    <col min="10251" max="10496" width="15.125" style="1881"/>
    <col min="10497" max="10497" width="28.75" style="1881" customWidth="1"/>
    <col min="10498" max="10498" width="9.625" style="1881" bestFit="1" customWidth="1"/>
    <col min="10499" max="10499" width="8" style="1881" customWidth="1"/>
    <col min="10500" max="10500" width="9.125" style="1881" bestFit="1" customWidth="1"/>
    <col min="10501" max="10501" width="9.25" style="1881" bestFit="1" customWidth="1"/>
    <col min="10502" max="10502" width="9.75" style="1881" bestFit="1" customWidth="1"/>
    <col min="10503" max="10504" width="9.125" style="1881" bestFit="1" customWidth="1"/>
    <col min="10505" max="10505" width="8.625" style="1881" bestFit="1" customWidth="1"/>
    <col min="10506" max="10506" width="2.5" style="1881" customWidth="1"/>
    <col min="10507" max="10752" width="15.125" style="1881"/>
    <col min="10753" max="10753" width="28.75" style="1881" customWidth="1"/>
    <col min="10754" max="10754" width="9.625" style="1881" bestFit="1" customWidth="1"/>
    <col min="10755" max="10755" width="8" style="1881" customWidth="1"/>
    <col min="10756" max="10756" width="9.125" style="1881" bestFit="1" customWidth="1"/>
    <col min="10757" max="10757" width="9.25" style="1881" bestFit="1" customWidth="1"/>
    <col min="10758" max="10758" width="9.75" style="1881" bestFit="1" customWidth="1"/>
    <col min="10759" max="10760" width="9.125" style="1881" bestFit="1" customWidth="1"/>
    <col min="10761" max="10761" width="8.625" style="1881" bestFit="1" customWidth="1"/>
    <col min="10762" max="10762" width="2.5" style="1881" customWidth="1"/>
    <col min="10763" max="11008" width="15.125" style="1881"/>
    <col min="11009" max="11009" width="28.75" style="1881" customWidth="1"/>
    <col min="11010" max="11010" width="9.625" style="1881" bestFit="1" customWidth="1"/>
    <col min="11011" max="11011" width="8" style="1881" customWidth="1"/>
    <col min="11012" max="11012" width="9.125" style="1881" bestFit="1" customWidth="1"/>
    <col min="11013" max="11013" width="9.25" style="1881" bestFit="1" customWidth="1"/>
    <col min="11014" max="11014" width="9.75" style="1881" bestFit="1" customWidth="1"/>
    <col min="11015" max="11016" width="9.125" style="1881" bestFit="1" customWidth="1"/>
    <col min="11017" max="11017" width="8.625" style="1881" bestFit="1" customWidth="1"/>
    <col min="11018" max="11018" width="2.5" style="1881" customWidth="1"/>
    <col min="11019" max="11264" width="15.125" style="1881"/>
    <col min="11265" max="11265" width="28.75" style="1881" customWidth="1"/>
    <col min="11266" max="11266" width="9.625" style="1881" bestFit="1" customWidth="1"/>
    <col min="11267" max="11267" width="8" style="1881" customWidth="1"/>
    <col min="11268" max="11268" width="9.125" style="1881" bestFit="1" customWidth="1"/>
    <col min="11269" max="11269" width="9.25" style="1881" bestFit="1" customWidth="1"/>
    <col min="11270" max="11270" width="9.75" style="1881" bestFit="1" customWidth="1"/>
    <col min="11271" max="11272" width="9.125" style="1881" bestFit="1" customWidth="1"/>
    <col min="11273" max="11273" width="8.625" style="1881" bestFit="1" customWidth="1"/>
    <col min="11274" max="11274" width="2.5" style="1881" customWidth="1"/>
    <col min="11275" max="11520" width="15.125" style="1881"/>
    <col min="11521" max="11521" width="28.75" style="1881" customWidth="1"/>
    <col min="11522" max="11522" width="9.625" style="1881" bestFit="1" customWidth="1"/>
    <col min="11523" max="11523" width="8" style="1881" customWidth="1"/>
    <col min="11524" max="11524" width="9.125" style="1881" bestFit="1" customWidth="1"/>
    <col min="11525" max="11525" width="9.25" style="1881" bestFit="1" customWidth="1"/>
    <col min="11526" max="11526" width="9.75" style="1881" bestFit="1" customWidth="1"/>
    <col min="11527" max="11528" width="9.125" style="1881" bestFit="1" customWidth="1"/>
    <col min="11529" max="11529" width="8.625" style="1881" bestFit="1" customWidth="1"/>
    <col min="11530" max="11530" width="2.5" style="1881" customWidth="1"/>
    <col min="11531" max="11776" width="15.125" style="1881"/>
    <col min="11777" max="11777" width="28.75" style="1881" customWidth="1"/>
    <col min="11778" max="11778" width="9.625" style="1881" bestFit="1" customWidth="1"/>
    <col min="11779" max="11779" width="8" style="1881" customWidth="1"/>
    <col min="11780" max="11780" width="9.125" style="1881" bestFit="1" customWidth="1"/>
    <col min="11781" max="11781" width="9.25" style="1881" bestFit="1" customWidth="1"/>
    <col min="11782" max="11782" width="9.75" style="1881" bestFit="1" customWidth="1"/>
    <col min="11783" max="11784" width="9.125" style="1881" bestFit="1" customWidth="1"/>
    <col min="11785" max="11785" width="8.625" style="1881" bestFit="1" customWidth="1"/>
    <col min="11786" max="11786" width="2.5" style="1881" customWidth="1"/>
    <col min="11787" max="12032" width="15.125" style="1881"/>
    <col min="12033" max="12033" width="28.75" style="1881" customWidth="1"/>
    <col min="12034" max="12034" width="9.625" style="1881" bestFit="1" customWidth="1"/>
    <col min="12035" max="12035" width="8" style="1881" customWidth="1"/>
    <col min="12036" max="12036" width="9.125" style="1881" bestFit="1" customWidth="1"/>
    <col min="12037" max="12037" width="9.25" style="1881" bestFit="1" customWidth="1"/>
    <col min="12038" max="12038" width="9.75" style="1881" bestFit="1" customWidth="1"/>
    <col min="12039" max="12040" width="9.125" style="1881" bestFit="1" customWidth="1"/>
    <col min="12041" max="12041" width="8.625" style="1881" bestFit="1" customWidth="1"/>
    <col min="12042" max="12042" width="2.5" style="1881" customWidth="1"/>
    <col min="12043" max="12288" width="15.125" style="1881"/>
    <col min="12289" max="12289" width="28.75" style="1881" customWidth="1"/>
    <col min="12290" max="12290" width="9.625" style="1881" bestFit="1" customWidth="1"/>
    <col min="12291" max="12291" width="8" style="1881" customWidth="1"/>
    <col min="12292" max="12292" width="9.125" style="1881" bestFit="1" customWidth="1"/>
    <col min="12293" max="12293" width="9.25" style="1881" bestFit="1" customWidth="1"/>
    <col min="12294" max="12294" width="9.75" style="1881" bestFit="1" customWidth="1"/>
    <col min="12295" max="12296" width="9.125" style="1881" bestFit="1" customWidth="1"/>
    <col min="12297" max="12297" width="8.625" style="1881" bestFit="1" customWidth="1"/>
    <col min="12298" max="12298" width="2.5" style="1881" customWidth="1"/>
    <col min="12299" max="12544" width="15.125" style="1881"/>
    <col min="12545" max="12545" width="28.75" style="1881" customWidth="1"/>
    <col min="12546" max="12546" width="9.625" style="1881" bestFit="1" customWidth="1"/>
    <col min="12547" max="12547" width="8" style="1881" customWidth="1"/>
    <col min="12548" max="12548" width="9.125" style="1881" bestFit="1" customWidth="1"/>
    <col min="12549" max="12549" width="9.25" style="1881" bestFit="1" customWidth="1"/>
    <col min="12550" max="12550" width="9.75" style="1881" bestFit="1" customWidth="1"/>
    <col min="12551" max="12552" width="9.125" style="1881" bestFit="1" customWidth="1"/>
    <col min="12553" max="12553" width="8.625" style="1881" bestFit="1" customWidth="1"/>
    <col min="12554" max="12554" width="2.5" style="1881" customWidth="1"/>
    <col min="12555" max="12800" width="15.125" style="1881"/>
    <col min="12801" max="12801" width="28.75" style="1881" customWidth="1"/>
    <col min="12802" max="12802" width="9.625" style="1881" bestFit="1" customWidth="1"/>
    <col min="12803" max="12803" width="8" style="1881" customWidth="1"/>
    <col min="12804" max="12804" width="9.125" style="1881" bestFit="1" customWidth="1"/>
    <col min="12805" max="12805" width="9.25" style="1881" bestFit="1" customWidth="1"/>
    <col min="12806" max="12806" width="9.75" style="1881" bestFit="1" customWidth="1"/>
    <col min="12807" max="12808" width="9.125" style="1881" bestFit="1" customWidth="1"/>
    <col min="12809" max="12809" width="8.625" style="1881" bestFit="1" customWidth="1"/>
    <col min="12810" max="12810" width="2.5" style="1881" customWidth="1"/>
    <col min="12811" max="13056" width="15.125" style="1881"/>
    <col min="13057" max="13057" width="28.75" style="1881" customWidth="1"/>
    <col min="13058" max="13058" width="9.625" style="1881" bestFit="1" customWidth="1"/>
    <col min="13059" max="13059" width="8" style="1881" customWidth="1"/>
    <col min="13060" max="13060" width="9.125" style="1881" bestFit="1" customWidth="1"/>
    <col min="13061" max="13061" width="9.25" style="1881" bestFit="1" customWidth="1"/>
    <col min="13062" max="13062" width="9.75" style="1881" bestFit="1" customWidth="1"/>
    <col min="13063" max="13064" width="9.125" style="1881" bestFit="1" customWidth="1"/>
    <col min="13065" max="13065" width="8.625" style="1881" bestFit="1" customWidth="1"/>
    <col min="13066" max="13066" width="2.5" style="1881" customWidth="1"/>
    <col min="13067" max="13312" width="15.125" style="1881"/>
    <col min="13313" max="13313" width="28.75" style="1881" customWidth="1"/>
    <col min="13314" max="13314" width="9.625" style="1881" bestFit="1" customWidth="1"/>
    <col min="13315" max="13315" width="8" style="1881" customWidth="1"/>
    <col min="13316" max="13316" width="9.125" style="1881" bestFit="1" customWidth="1"/>
    <col min="13317" max="13317" width="9.25" style="1881" bestFit="1" customWidth="1"/>
    <col min="13318" max="13318" width="9.75" style="1881" bestFit="1" customWidth="1"/>
    <col min="13319" max="13320" width="9.125" style="1881" bestFit="1" customWidth="1"/>
    <col min="13321" max="13321" width="8.625" style="1881" bestFit="1" customWidth="1"/>
    <col min="13322" max="13322" width="2.5" style="1881" customWidth="1"/>
    <col min="13323" max="13568" width="15.125" style="1881"/>
    <col min="13569" max="13569" width="28.75" style="1881" customWidth="1"/>
    <col min="13570" max="13570" width="9.625" style="1881" bestFit="1" customWidth="1"/>
    <col min="13571" max="13571" width="8" style="1881" customWidth="1"/>
    <col min="13572" max="13572" width="9.125" style="1881" bestFit="1" customWidth="1"/>
    <col min="13573" max="13573" width="9.25" style="1881" bestFit="1" customWidth="1"/>
    <col min="13574" max="13574" width="9.75" style="1881" bestFit="1" customWidth="1"/>
    <col min="13575" max="13576" width="9.125" style="1881" bestFit="1" customWidth="1"/>
    <col min="13577" max="13577" width="8.625" style="1881" bestFit="1" customWidth="1"/>
    <col min="13578" max="13578" width="2.5" style="1881" customWidth="1"/>
    <col min="13579" max="13824" width="15.125" style="1881"/>
    <col min="13825" max="13825" width="28.75" style="1881" customWidth="1"/>
    <col min="13826" max="13826" width="9.625" style="1881" bestFit="1" customWidth="1"/>
    <col min="13827" max="13827" width="8" style="1881" customWidth="1"/>
    <col min="13828" max="13828" width="9.125" style="1881" bestFit="1" customWidth="1"/>
    <col min="13829" max="13829" width="9.25" style="1881" bestFit="1" customWidth="1"/>
    <col min="13830" max="13830" width="9.75" style="1881" bestFit="1" customWidth="1"/>
    <col min="13831" max="13832" width="9.125" style="1881" bestFit="1" customWidth="1"/>
    <col min="13833" max="13833" width="8.625" style="1881" bestFit="1" customWidth="1"/>
    <col min="13834" max="13834" width="2.5" style="1881" customWidth="1"/>
    <col min="13835" max="14080" width="15.125" style="1881"/>
    <col min="14081" max="14081" width="28.75" style="1881" customWidth="1"/>
    <col min="14082" max="14082" width="9.625" style="1881" bestFit="1" customWidth="1"/>
    <col min="14083" max="14083" width="8" style="1881" customWidth="1"/>
    <col min="14084" max="14084" width="9.125" style="1881" bestFit="1" customWidth="1"/>
    <col min="14085" max="14085" width="9.25" style="1881" bestFit="1" customWidth="1"/>
    <col min="14086" max="14086" width="9.75" style="1881" bestFit="1" customWidth="1"/>
    <col min="14087" max="14088" width="9.125" style="1881" bestFit="1" customWidth="1"/>
    <col min="14089" max="14089" width="8.625" style="1881" bestFit="1" customWidth="1"/>
    <col min="14090" max="14090" width="2.5" style="1881" customWidth="1"/>
    <col min="14091" max="14336" width="15.125" style="1881"/>
    <col min="14337" max="14337" width="28.75" style="1881" customWidth="1"/>
    <col min="14338" max="14338" width="9.625" style="1881" bestFit="1" customWidth="1"/>
    <col min="14339" max="14339" width="8" style="1881" customWidth="1"/>
    <col min="14340" max="14340" width="9.125" style="1881" bestFit="1" customWidth="1"/>
    <col min="14341" max="14341" width="9.25" style="1881" bestFit="1" customWidth="1"/>
    <col min="14342" max="14342" width="9.75" style="1881" bestFit="1" customWidth="1"/>
    <col min="14343" max="14344" width="9.125" style="1881" bestFit="1" customWidth="1"/>
    <col min="14345" max="14345" width="8.625" style="1881" bestFit="1" customWidth="1"/>
    <col min="14346" max="14346" width="2.5" style="1881" customWidth="1"/>
    <col min="14347" max="14592" width="15.125" style="1881"/>
    <col min="14593" max="14593" width="28.75" style="1881" customWidth="1"/>
    <col min="14594" max="14594" width="9.625" style="1881" bestFit="1" customWidth="1"/>
    <col min="14595" max="14595" width="8" style="1881" customWidth="1"/>
    <col min="14596" max="14596" width="9.125" style="1881" bestFit="1" customWidth="1"/>
    <col min="14597" max="14597" width="9.25" style="1881" bestFit="1" customWidth="1"/>
    <col min="14598" max="14598" width="9.75" style="1881" bestFit="1" customWidth="1"/>
    <col min="14599" max="14600" width="9.125" style="1881" bestFit="1" customWidth="1"/>
    <col min="14601" max="14601" width="8.625" style="1881" bestFit="1" customWidth="1"/>
    <col min="14602" max="14602" width="2.5" style="1881" customWidth="1"/>
    <col min="14603" max="14848" width="15.125" style="1881"/>
    <col min="14849" max="14849" width="28.75" style="1881" customWidth="1"/>
    <col min="14850" max="14850" width="9.625" style="1881" bestFit="1" customWidth="1"/>
    <col min="14851" max="14851" width="8" style="1881" customWidth="1"/>
    <col min="14852" max="14852" width="9.125" style="1881" bestFit="1" customWidth="1"/>
    <col min="14853" max="14853" width="9.25" style="1881" bestFit="1" customWidth="1"/>
    <col min="14854" max="14854" width="9.75" style="1881" bestFit="1" customWidth="1"/>
    <col min="14855" max="14856" width="9.125" style="1881" bestFit="1" customWidth="1"/>
    <col min="14857" max="14857" width="8.625" style="1881" bestFit="1" customWidth="1"/>
    <col min="14858" max="14858" width="2.5" style="1881" customWidth="1"/>
    <col min="14859" max="15104" width="15.125" style="1881"/>
    <col min="15105" max="15105" width="28.75" style="1881" customWidth="1"/>
    <col min="15106" max="15106" width="9.625" style="1881" bestFit="1" customWidth="1"/>
    <col min="15107" max="15107" width="8" style="1881" customWidth="1"/>
    <col min="15108" max="15108" width="9.125" style="1881" bestFit="1" customWidth="1"/>
    <col min="15109" max="15109" width="9.25" style="1881" bestFit="1" customWidth="1"/>
    <col min="15110" max="15110" width="9.75" style="1881" bestFit="1" customWidth="1"/>
    <col min="15111" max="15112" width="9.125" style="1881" bestFit="1" customWidth="1"/>
    <col min="15113" max="15113" width="8.625" style="1881" bestFit="1" customWidth="1"/>
    <col min="15114" max="15114" width="2.5" style="1881" customWidth="1"/>
    <col min="15115" max="15360" width="15.125" style="1881"/>
    <col min="15361" max="15361" width="28.75" style="1881" customWidth="1"/>
    <col min="15362" max="15362" width="9.625" style="1881" bestFit="1" customWidth="1"/>
    <col min="15363" max="15363" width="8" style="1881" customWidth="1"/>
    <col min="15364" max="15364" width="9.125" style="1881" bestFit="1" customWidth="1"/>
    <col min="15365" max="15365" width="9.25" style="1881" bestFit="1" customWidth="1"/>
    <col min="15366" max="15366" width="9.75" style="1881" bestFit="1" customWidth="1"/>
    <col min="15367" max="15368" width="9.125" style="1881" bestFit="1" customWidth="1"/>
    <col min="15369" max="15369" width="8.625" style="1881" bestFit="1" customWidth="1"/>
    <col min="15370" max="15370" width="2.5" style="1881" customWidth="1"/>
    <col min="15371" max="15616" width="15.125" style="1881"/>
    <col min="15617" max="15617" width="28.75" style="1881" customWidth="1"/>
    <col min="15618" max="15618" width="9.625" style="1881" bestFit="1" customWidth="1"/>
    <col min="15619" max="15619" width="8" style="1881" customWidth="1"/>
    <col min="15620" max="15620" width="9.125" style="1881" bestFit="1" customWidth="1"/>
    <col min="15621" max="15621" width="9.25" style="1881" bestFit="1" customWidth="1"/>
    <col min="15622" max="15622" width="9.75" style="1881" bestFit="1" customWidth="1"/>
    <col min="15623" max="15624" width="9.125" style="1881" bestFit="1" customWidth="1"/>
    <col min="15625" max="15625" width="8.625" style="1881" bestFit="1" customWidth="1"/>
    <col min="15626" max="15626" width="2.5" style="1881" customWidth="1"/>
    <col min="15627" max="15872" width="15.125" style="1881"/>
    <col min="15873" max="15873" width="28.75" style="1881" customWidth="1"/>
    <col min="15874" max="15874" width="9.625" style="1881" bestFit="1" customWidth="1"/>
    <col min="15875" max="15875" width="8" style="1881" customWidth="1"/>
    <col min="15876" max="15876" width="9.125" style="1881" bestFit="1" customWidth="1"/>
    <col min="15877" max="15877" width="9.25" style="1881" bestFit="1" customWidth="1"/>
    <col min="15878" max="15878" width="9.75" style="1881" bestFit="1" customWidth="1"/>
    <col min="15879" max="15880" width="9.125" style="1881" bestFit="1" customWidth="1"/>
    <col min="15881" max="15881" width="8.625" style="1881" bestFit="1" customWidth="1"/>
    <col min="15882" max="15882" width="2.5" style="1881" customWidth="1"/>
    <col min="15883" max="16128" width="15.125" style="1881"/>
    <col min="16129" max="16129" width="28.75" style="1881" customWidth="1"/>
    <col min="16130" max="16130" width="9.625" style="1881" bestFit="1" customWidth="1"/>
    <col min="16131" max="16131" width="8" style="1881" customWidth="1"/>
    <col min="16132" max="16132" width="9.125" style="1881" bestFit="1" customWidth="1"/>
    <col min="16133" max="16133" width="9.25" style="1881" bestFit="1" customWidth="1"/>
    <col min="16134" max="16134" width="9.75" style="1881" bestFit="1" customWidth="1"/>
    <col min="16135" max="16136" width="9.125" style="1881" bestFit="1" customWidth="1"/>
    <col min="16137" max="16137" width="8.625" style="1881" bestFit="1" customWidth="1"/>
    <col min="16138" max="16138" width="2.5" style="1881" customWidth="1"/>
    <col min="16139" max="16384" width="15.125" style="1881"/>
  </cols>
  <sheetData>
    <row r="1" spans="1:10" ht="41.45" customHeight="1">
      <c r="A1" s="2742"/>
      <c r="B1" s="2742"/>
      <c r="C1" s="2742"/>
      <c r="D1" s="2742"/>
      <c r="E1" s="2742"/>
      <c r="F1" s="2742"/>
      <c r="G1" s="2742"/>
      <c r="H1" s="2742"/>
      <c r="I1" s="2742"/>
    </row>
    <row r="2" spans="1:10" s="1882" customFormat="1">
      <c r="A2" s="2743" t="s">
        <v>297</v>
      </c>
      <c r="B2" s="2743"/>
      <c r="C2" s="2743"/>
      <c r="D2" s="2743"/>
      <c r="E2" s="2743"/>
      <c r="F2" s="2743"/>
      <c r="G2" s="2743"/>
      <c r="H2" s="2743"/>
      <c r="I2" s="2743"/>
    </row>
    <row r="3" spans="1:10" s="1884" customFormat="1" ht="15.75">
      <c r="A3" s="2744" t="s">
        <v>1171</v>
      </c>
      <c r="B3" s="2744"/>
      <c r="C3" s="2744"/>
      <c r="D3" s="2744"/>
      <c r="E3" s="2744"/>
      <c r="F3" s="2744"/>
      <c r="G3" s="2744"/>
      <c r="H3" s="2744"/>
      <c r="I3" s="2744"/>
      <c r="J3" s="1883"/>
    </row>
    <row r="4" spans="1:10" s="1884" customFormat="1">
      <c r="A4" s="2744" t="s">
        <v>1703</v>
      </c>
      <c r="B4" s="2744"/>
      <c r="C4" s="2744"/>
      <c r="D4" s="2744"/>
      <c r="E4" s="2744"/>
      <c r="F4" s="2744"/>
      <c r="G4" s="2744"/>
      <c r="H4" s="2744"/>
      <c r="I4" s="2744"/>
      <c r="J4" s="1883"/>
    </row>
    <row r="5" spans="1:10" s="1884" customFormat="1">
      <c r="A5" s="1885"/>
      <c r="B5" s="1885"/>
      <c r="C5" s="1885"/>
      <c r="D5" s="1885"/>
      <c r="E5" s="1885"/>
      <c r="F5" s="1885"/>
      <c r="G5" s="1885"/>
      <c r="I5" s="1885"/>
    </row>
    <row r="6" spans="1:10" s="1882" customFormat="1" ht="15.75">
      <c r="A6" s="1886"/>
      <c r="B6" s="2745" t="s">
        <v>592</v>
      </c>
      <c r="C6" s="2746"/>
      <c r="D6" s="2746"/>
      <c r="E6" s="2746"/>
      <c r="F6" s="2747"/>
      <c r="G6" s="1887"/>
      <c r="H6" s="2748" t="s">
        <v>77</v>
      </c>
      <c r="I6" s="2749"/>
    </row>
    <row r="7" spans="1:10" s="1882" customFormat="1" ht="15.75">
      <c r="A7" s="1888" t="s">
        <v>485</v>
      </c>
      <c r="B7" s="1889" t="s">
        <v>1704</v>
      </c>
      <c r="C7" s="1889" t="s">
        <v>1705</v>
      </c>
      <c r="D7" s="1889" t="s">
        <v>1706</v>
      </c>
      <c r="E7" s="1889" t="s">
        <v>1707</v>
      </c>
      <c r="F7" s="1890" t="s">
        <v>465</v>
      </c>
      <c r="G7" s="1891" t="s">
        <v>1591</v>
      </c>
      <c r="H7" s="1892" t="s">
        <v>464</v>
      </c>
      <c r="I7" s="1893"/>
      <c r="J7" s="1894"/>
    </row>
    <row r="8" spans="1:10" s="1882" customFormat="1" ht="13.5" thickBot="1">
      <c r="A8" s="1895" t="s">
        <v>310</v>
      </c>
      <c r="B8" s="1896" t="s">
        <v>311</v>
      </c>
      <c r="C8" s="1897" t="s">
        <v>484</v>
      </c>
      <c r="D8" s="1898" t="s">
        <v>311</v>
      </c>
      <c r="E8" s="1899" t="s">
        <v>483</v>
      </c>
      <c r="F8" s="1898" t="s">
        <v>1617</v>
      </c>
      <c r="G8" s="1898" t="s">
        <v>1617</v>
      </c>
      <c r="H8" s="1900" t="s">
        <v>315</v>
      </c>
      <c r="I8" s="1901" t="s">
        <v>316</v>
      </c>
      <c r="J8" s="1894"/>
    </row>
    <row r="9" spans="1:10" s="1882" customFormat="1" ht="13.5" thickTop="1">
      <c r="A9" s="1902" t="s">
        <v>2</v>
      </c>
      <c r="B9" s="1903" t="s">
        <v>451</v>
      </c>
      <c r="C9" s="1904">
        <v>49517.7</v>
      </c>
      <c r="D9" s="1905">
        <v>48565</v>
      </c>
      <c r="E9" s="1905">
        <v>45668.5</v>
      </c>
      <c r="F9" s="1905">
        <v>47917.066666666666</v>
      </c>
      <c r="G9" s="1906">
        <v>37162</v>
      </c>
      <c r="H9" s="1907">
        <v>10755.066666666666</v>
      </c>
      <c r="I9" s="1908">
        <v>0.28941032954810469</v>
      </c>
    </row>
    <row r="10" spans="1:10" s="1914" customFormat="1">
      <c r="A10" s="1909" t="s">
        <v>1159</v>
      </c>
      <c r="B10" s="1903" t="s">
        <v>451</v>
      </c>
      <c r="C10" s="1910">
        <v>39899.5</v>
      </c>
      <c r="D10" s="1910">
        <v>39157.5</v>
      </c>
      <c r="E10" s="1910">
        <v>36762.5</v>
      </c>
      <c r="F10" s="1910">
        <v>38606.5</v>
      </c>
      <c r="G10" s="1911">
        <v>32703</v>
      </c>
      <c r="H10" s="1912">
        <v>5903.5</v>
      </c>
      <c r="I10" s="1913"/>
    </row>
    <row r="11" spans="1:10" s="1914" customFormat="1">
      <c r="A11" s="1909" t="s">
        <v>479</v>
      </c>
      <c r="B11" s="1903" t="s">
        <v>451</v>
      </c>
      <c r="C11" s="1910">
        <v>5106.7</v>
      </c>
      <c r="D11" s="1910">
        <v>5028.6000000000004</v>
      </c>
      <c r="E11" s="1910">
        <v>4776.7</v>
      </c>
      <c r="F11" s="1910">
        <v>4970.666666666667</v>
      </c>
      <c r="G11" s="1911">
        <v>2045</v>
      </c>
      <c r="H11" s="1912">
        <v>2925.666666666667</v>
      </c>
      <c r="I11" s="1913"/>
    </row>
    <row r="12" spans="1:10" s="1914" customFormat="1">
      <c r="A12" s="1909" t="s">
        <v>478</v>
      </c>
      <c r="B12" s="1903" t="s">
        <v>451</v>
      </c>
      <c r="C12" s="1910">
        <v>4511.5</v>
      </c>
      <c r="D12" s="1910">
        <v>4378.8999999999996</v>
      </c>
      <c r="E12" s="1910">
        <v>4129.3</v>
      </c>
      <c r="F12" s="1910">
        <v>4339.9000000000005</v>
      </c>
      <c r="G12" s="1911">
        <v>2414</v>
      </c>
      <c r="H12" s="1912">
        <v>1925.9000000000005</v>
      </c>
      <c r="I12" s="1913"/>
    </row>
    <row r="13" spans="1:10" s="1882" customFormat="1">
      <c r="A13" s="1915" t="s">
        <v>590</v>
      </c>
      <c r="B13" s="1903" t="s">
        <v>451</v>
      </c>
      <c r="C13" s="1916">
        <v>27595.199999999997</v>
      </c>
      <c r="D13" s="1917">
        <v>246</v>
      </c>
      <c r="E13" s="1917">
        <v>25592.799999999999</v>
      </c>
      <c r="F13" s="1918">
        <v>26630.083333333336</v>
      </c>
      <c r="G13" s="1919">
        <v>22538</v>
      </c>
      <c r="H13" s="1920">
        <v>4092.0833333333358</v>
      </c>
      <c r="I13" s="1921">
        <v>0.18156372940515289</v>
      </c>
    </row>
    <row r="14" spans="1:10" s="1914" customFormat="1">
      <c r="A14" s="1922" t="s">
        <v>589</v>
      </c>
      <c r="B14" s="1903" t="s">
        <v>451</v>
      </c>
      <c r="C14" s="1923">
        <v>23318.5</v>
      </c>
      <c r="D14" s="1903"/>
      <c r="E14" s="1923">
        <v>21553.8</v>
      </c>
      <c r="F14" s="1924">
        <v>22436.15</v>
      </c>
      <c r="G14" s="1925">
        <v>19250</v>
      </c>
      <c r="H14" s="1926">
        <v>3186.1500000000015</v>
      </c>
      <c r="I14" s="1913">
        <v>0.16551428571428578</v>
      </c>
    </row>
    <row r="15" spans="1:10" s="1914" customFormat="1">
      <c r="A15" s="1927" t="s">
        <v>474</v>
      </c>
      <c r="B15" s="1903" t="s">
        <v>451</v>
      </c>
      <c r="C15" s="1923">
        <v>1322.8</v>
      </c>
      <c r="D15" s="1903"/>
      <c r="E15" s="1923">
        <v>1207</v>
      </c>
      <c r="F15" s="1924">
        <v>1264.9000000000001</v>
      </c>
      <c r="G15" s="1925">
        <v>865</v>
      </c>
      <c r="H15" s="1926">
        <v>399.90000000000009</v>
      </c>
      <c r="I15" s="1913">
        <v>0.46231213872832383</v>
      </c>
    </row>
    <row r="16" spans="1:10" s="1914" customFormat="1">
      <c r="A16" s="1922" t="s">
        <v>473</v>
      </c>
      <c r="B16" s="1903" t="s">
        <v>451</v>
      </c>
      <c r="C16" s="1923">
        <v>2702.6</v>
      </c>
      <c r="D16" s="1903"/>
      <c r="E16" s="1923">
        <v>2599.4</v>
      </c>
      <c r="F16" s="1924">
        <v>2651</v>
      </c>
      <c r="G16" s="1925">
        <v>2113</v>
      </c>
      <c r="H16" s="1926">
        <v>538</v>
      </c>
      <c r="I16" s="1913">
        <v>0.25461429247515383</v>
      </c>
    </row>
    <row r="17" spans="1:13" s="1882" customFormat="1" ht="15.75">
      <c r="A17" s="1928" t="s">
        <v>1606</v>
      </c>
      <c r="B17" s="1929">
        <v>104.19999999999999</v>
      </c>
      <c r="C17" s="1929">
        <v>251.29999999999998</v>
      </c>
      <c r="D17" s="1929">
        <v>246</v>
      </c>
      <c r="E17" s="1929">
        <v>232.60000000000002</v>
      </c>
      <c r="F17" s="1929">
        <v>278.0333333333333</v>
      </c>
      <c r="G17" s="1930">
        <v>310</v>
      </c>
      <c r="H17" s="1931">
        <v>-31.966666666666697</v>
      </c>
      <c r="I17" s="1921">
        <v>-0.10311827956989257</v>
      </c>
    </row>
    <row r="18" spans="1:13" s="1914" customFormat="1">
      <c r="A18" s="1932" t="s">
        <v>93</v>
      </c>
      <c r="B18" s="1933">
        <v>15.6</v>
      </c>
      <c r="C18" s="1933">
        <v>48.1</v>
      </c>
      <c r="D18" s="1933">
        <v>51.4</v>
      </c>
      <c r="E18" s="1933">
        <v>46.9</v>
      </c>
      <c r="F18" s="1934">
        <v>54</v>
      </c>
      <c r="G18" s="1935"/>
      <c r="H18" s="1936"/>
      <c r="I18" s="1937"/>
    </row>
    <row r="19" spans="1:13" s="1914" customFormat="1">
      <c r="A19" s="1932" t="s">
        <v>96</v>
      </c>
      <c r="B19" s="1933">
        <v>0</v>
      </c>
      <c r="C19" s="1933">
        <v>0</v>
      </c>
      <c r="D19" s="1933">
        <v>0</v>
      </c>
      <c r="E19" s="1933">
        <v>0</v>
      </c>
      <c r="F19" s="1934">
        <v>0</v>
      </c>
      <c r="G19" s="1935"/>
      <c r="H19" s="1936"/>
      <c r="I19" s="1937"/>
    </row>
    <row r="20" spans="1:13" s="1914" customFormat="1">
      <c r="A20" s="1932" t="s">
        <v>98</v>
      </c>
      <c r="B20" s="1933">
        <v>88.6</v>
      </c>
      <c r="C20" s="1933">
        <v>177.5</v>
      </c>
      <c r="D20" s="1933">
        <v>158.6</v>
      </c>
      <c r="E20" s="1933">
        <v>160.4</v>
      </c>
      <c r="F20" s="1934">
        <v>195.03333333333333</v>
      </c>
      <c r="G20" s="1935"/>
      <c r="H20" s="1936"/>
      <c r="I20" s="1937"/>
    </row>
    <row r="21" spans="1:13" s="1914" customFormat="1">
      <c r="A21" s="1938" t="s">
        <v>1150</v>
      </c>
      <c r="B21" s="1939">
        <v>0</v>
      </c>
      <c r="C21" s="1933">
        <v>25.7</v>
      </c>
      <c r="D21" s="1933">
        <v>36</v>
      </c>
      <c r="E21" s="1933">
        <v>25.3</v>
      </c>
      <c r="F21" s="1934">
        <v>29</v>
      </c>
      <c r="G21" s="1940">
        <v>25</v>
      </c>
      <c r="H21" s="1941"/>
      <c r="I21" s="1942"/>
    </row>
    <row r="22" spans="1:13" s="1882" customFormat="1" ht="17.25" customHeight="1">
      <c r="A22" s="1943" t="s">
        <v>5</v>
      </c>
      <c r="B22" s="1903" t="s">
        <v>451</v>
      </c>
      <c r="C22" s="1944">
        <v>10094.4</v>
      </c>
      <c r="D22" s="1944">
        <v>9771.7999999999993</v>
      </c>
      <c r="E22" s="1944">
        <v>9279.1</v>
      </c>
      <c r="F22" s="1945">
        <v>9715.0999999999985</v>
      </c>
      <c r="G22" s="1946">
        <v>9105</v>
      </c>
      <c r="H22" s="1931">
        <v>610.09999999999854</v>
      </c>
      <c r="I22" s="1921">
        <v>6.7007138934651128E-2</v>
      </c>
    </row>
    <row r="23" spans="1:13" s="1882" customFormat="1">
      <c r="A23" s="1943" t="s">
        <v>4</v>
      </c>
      <c r="B23" s="1903" t="s">
        <v>451</v>
      </c>
      <c r="C23" s="1944">
        <v>10770.7</v>
      </c>
      <c r="D23" s="1944">
        <v>9850.6</v>
      </c>
      <c r="E23" s="1944">
        <v>9744.2999999999993</v>
      </c>
      <c r="F23" s="1945">
        <v>10241.866666666667</v>
      </c>
      <c r="G23" s="1946">
        <v>8734</v>
      </c>
      <c r="H23" s="1931">
        <v>1507.8666666666668</v>
      </c>
      <c r="I23" s="1921">
        <v>0.17264330967101749</v>
      </c>
    </row>
    <row r="24" spans="1:13" s="1882" customFormat="1">
      <c r="A24" s="1943" t="s">
        <v>6</v>
      </c>
      <c r="B24" s="1929" t="s">
        <v>451</v>
      </c>
      <c r="C24" s="1944">
        <v>4093.9</v>
      </c>
      <c r="D24" s="1944">
        <v>3934.9</v>
      </c>
      <c r="E24" s="1944">
        <v>3736</v>
      </c>
      <c r="F24" s="1947">
        <v>3921.6</v>
      </c>
      <c r="G24" s="1946">
        <v>4213</v>
      </c>
      <c r="H24" s="1931">
        <v>-291.40000000000009</v>
      </c>
      <c r="I24" s="1921">
        <v>-6.9166864467125583E-2</v>
      </c>
    </row>
    <row r="25" spans="1:13" s="1882" customFormat="1" ht="13.5" thickBot="1">
      <c r="A25" s="1915" t="s">
        <v>7</v>
      </c>
      <c r="B25" s="1903" t="s">
        <v>451</v>
      </c>
      <c r="C25" s="1944">
        <v>13509.7</v>
      </c>
      <c r="D25" s="1944">
        <v>12832.8</v>
      </c>
      <c r="E25" s="1944">
        <v>12042.8</v>
      </c>
      <c r="F25" s="1947">
        <v>12795.1</v>
      </c>
      <c r="G25" s="1948">
        <v>11762</v>
      </c>
      <c r="H25" s="1931">
        <v>1033.1000000000004</v>
      </c>
      <c r="I25" s="1949">
        <v>8.7833701751402857E-2</v>
      </c>
    </row>
    <row r="26" spans="1:13" s="1882" customFormat="1" ht="13.5" thickTop="1">
      <c r="A26" s="1950" t="s">
        <v>472</v>
      </c>
      <c r="B26" s="1951" t="str">
        <f>B24</f>
        <v>-</v>
      </c>
      <c r="C26" s="1951">
        <f>C9+C13+C22+C23+C24+C25</f>
        <v>115581.59999999998</v>
      </c>
      <c r="D26" s="1951">
        <f>D9+D13+D22+D23+D24+D25</f>
        <v>85201.1</v>
      </c>
      <c r="E26" s="1951">
        <f>E9+E13+E22+E23+E24+E25</f>
        <v>106063.50000000001</v>
      </c>
      <c r="F26" s="1951">
        <f>F9+F13+F22+F23+F24+F25</f>
        <v>111220.81666666668</v>
      </c>
      <c r="G26" s="1952">
        <v>93514</v>
      </c>
      <c r="H26" s="1951">
        <f>F26-G26</f>
        <v>17706.81666666668</v>
      </c>
      <c r="I26" s="1953">
        <f>H26/G26</f>
        <v>0.18934936658325685</v>
      </c>
    </row>
    <row r="27" spans="1:13" s="1882" customFormat="1">
      <c r="A27" s="1954"/>
      <c r="B27" s="1955"/>
      <c r="C27" s="1955"/>
      <c r="D27" s="1955"/>
      <c r="E27" s="1955"/>
      <c r="F27" s="1955"/>
      <c r="G27" s="1955"/>
      <c r="H27" s="1955"/>
      <c r="I27" s="1956"/>
    </row>
    <row r="28" spans="1:13" s="1882" customFormat="1">
      <c r="A28" s="2734" t="s">
        <v>588</v>
      </c>
      <c r="B28" s="2737" t="s">
        <v>77</v>
      </c>
      <c r="C28" s="2738"/>
      <c r="D28" s="2738"/>
      <c r="E28" s="2738"/>
      <c r="F28" s="2739"/>
      <c r="G28" s="1957"/>
      <c r="H28" s="2740" t="s">
        <v>77</v>
      </c>
      <c r="I28" s="2741"/>
    </row>
    <row r="29" spans="1:13" s="1882" customFormat="1" ht="15.75">
      <c r="A29" s="2735"/>
      <c r="B29" s="1889" t="s">
        <v>1704</v>
      </c>
      <c r="C29" s="1889" t="s">
        <v>1705</v>
      </c>
      <c r="D29" s="1889" t="s">
        <v>1706</v>
      </c>
      <c r="E29" s="1889" t="s">
        <v>1707</v>
      </c>
      <c r="F29" s="1890" t="s">
        <v>465</v>
      </c>
      <c r="G29" s="1891" t="s">
        <v>1591</v>
      </c>
      <c r="H29" s="1892" t="s">
        <v>464</v>
      </c>
      <c r="I29" s="1893"/>
    </row>
    <row r="30" spans="1:13" s="1882" customFormat="1" ht="13.5" thickBot="1">
      <c r="A30" s="2736"/>
      <c r="B30" s="1896" t="s">
        <v>311</v>
      </c>
      <c r="C30" s="1897" t="s">
        <v>484</v>
      </c>
      <c r="D30" s="1958" t="s">
        <v>311</v>
      </c>
      <c r="E30" s="1899" t="s">
        <v>483</v>
      </c>
      <c r="F30" s="1898" t="s">
        <v>1617</v>
      </c>
      <c r="G30" s="1898" t="s">
        <v>1617</v>
      </c>
      <c r="H30" s="1900" t="s">
        <v>315</v>
      </c>
      <c r="I30" s="1901" t="s">
        <v>316</v>
      </c>
    </row>
    <row r="31" spans="1:13" s="1882" customFormat="1" ht="26.25" thickTop="1">
      <c r="A31" s="1959" t="s">
        <v>582</v>
      </c>
      <c r="B31" s="1944">
        <v>41869</v>
      </c>
      <c r="C31" s="1944">
        <v>111441</v>
      </c>
      <c r="D31" s="1944">
        <v>107556</v>
      </c>
      <c r="E31" s="1960">
        <v>102948</v>
      </c>
      <c r="F31" s="1961">
        <v>121271.33333333333</v>
      </c>
      <c r="G31" s="1962">
        <v>132062</v>
      </c>
      <c r="H31" s="1963">
        <v>-10790.666666666672</v>
      </c>
      <c r="I31" s="1921">
        <v>-8.170909623257766E-2</v>
      </c>
      <c r="K31" s="1964"/>
      <c r="L31" s="1964"/>
      <c r="M31" s="1964"/>
    </row>
    <row r="32" spans="1:13" s="1972" customFormat="1">
      <c r="A32" s="1965" t="s">
        <v>581</v>
      </c>
      <c r="B32" s="1904">
        <v>3372</v>
      </c>
      <c r="C32" s="1966">
        <v>6384</v>
      </c>
      <c r="D32" s="1966">
        <v>6556</v>
      </c>
      <c r="E32" s="1967">
        <v>6614</v>
      </c>
      <c r="F32" s="1968">
        <v>7642</v>
      </c>
      <c r="G32" s="1969">
        <v>7170</v>
      </c>
      <c r="H32" s="1970">
        <v>472</v>
      </c>
      <c r="I32" s="1921">
        <v>6.5829846582984658E-2</v>
      </c>
      <c r="J32" s="1971"/>
    </row>
    <row r="33" spans="1:10" s="1979" customFormat="1">
      <c r="A33" s="1973" t="s">
        <v>460</v>
      </c>
      <c r="B33" s="1974">
        <v>3322</v>
      </c>
      <c r="C33" s="1974">
        <v>6173</v>
      </c>
      <c r="D33" s="1974">
        <v>6291</v>
      </c>
      <c r="E33" s="1975">
        <v>6105</v>
      </c>
      <c r="F33" s="1912">
        <v>7297</v>
      </c>
      <c r="G33" s="1976"/>
      <c r="H33" s="1977"/>
      <c r="I33" s="1921"/>
      <c r="J33" s="1978"/>
    </row>
    <row r="34" spans="1:10" s="1979" customFormat="1">
      <c r="A34" s="1973" t="s">
        <v>459</v>
      </c>
      <c r="B34" s="1974">
        <v>50</v>
      </c>
      <c r="C34" s="1974">
        <v>211</v>
      </c>
      <c r="D34" s="1974">
        <v>265</v>
      </c>
      <c r="E34" s="1975">
        <v>509</v>
      </c>
      <c r="F34" s="1912">
        <v>345</v>
      </c>
      <c r="G34" s="1980"/>
      <c r="H34" s="1977"/>
      <c r="I34" s="1921"/>
      <c r="J34" s="1978"/>
    </row>
    <row r="35" spans="1:10" s="1882" customFormat="1" ht="15.75">
      <c r="A35" s="1981" t="s">
        <v>1607</v>
      </c>
      <c r="B35" s="1982">
        <v>488</v>
      </c>
      <c r="C35" s="1982">
        <v>1735</v>
      </c>
      <c r="D35" s="1982">
        <v>1919</v>
      </c>
      <c r="E35" s="1983">
        <v>1884</v>
      </c>
      <c r="F35" s="1968">
        <v>2008.6666666666667</v>
      </c>
      <c r="G35" s="1984">
        <v>220</v>
      </c>
      <c r="H35" s="1984">
        <v>1788.6666666666667</v>
      </c>
      <c r="I35" s="1921">
        <v>8.1303030303030308</v>
      </c>
    </row>
    <row r="36" spans="1:10" s="1882" customFormat="1" ht="15.75">
      <c r="A36" s="1985" t="s">
        <v>1608</v>
      </c>
      <c r="B36" s="1929">
        <v>69.900000000000006</v>
      </c>
      <c r="C36" s="1929">
        <v>192.3</v>
      </c>
      <c r="D36" s="1929">
        <v>156</v>
      </c>
      <c r="E36" s="1986">
        <v>183.2</v>
      </c>
      <c r="F36" s="1929">
        <v>212.95</v>
      </c>
      <c r="G36" s="1984">
        <v>165</v>
      </c>
      <c r="H36" s="1931">
        <v>47.949999999999989</v>
      </c>
      <c r="I36" s="1921">
        <v>0.29060606060606053</v>
      </c>
    </row>
    <row r="37" spans="1:10" s="1914" customFormat="1">
      <c r="A37" s="1938" t="s">
        <v>455</v>
      </c>
      <c r="B37" s="1933">
        <v>27.7</v>
      </c>
      <c r="C37" s="1933">
        <v>54.7</v>
      </c>
      <c r="D37" s="1933">
        <v>55.3</v>
      </c>
      <c r="E37" s="1933">
        <v>54</v>
      </c>
      <c r="F37" s="1934">
        <v>63.9</v>
      </c>
      <c r="G37" s="1987"/>
      <c r="H37" s="1988"/>
      <c r="I37" s="1942"/>
    </row>
    <row r="38" spans="1:10" s="1914" customFormat="1">
      <c r="A38" s="1938" t="s">
        <v>454</v>
      </c>
      <c r="B38" s="1933">
        <v>42.2</v>
      </c>
      <c r="C38" s="1933">
        <v>91.7</v>
      </c>
      <c r="D38" s="1933">
        <v>93.2</v>
      </c>
      <c r="E38" s="1933">
        <v>83.7</v>
      </c>
      <c r="F38" s="1934">
        <v>103.60000000000001</v>
      </c>
      <c r="G38" s="1987"/>
      <c r="H38" s="1988"/>
      <c r="I38" s="1942"/>
    </row>
    <row r="39" spans="1:10" s="1914" customFormat="1">
      <c r="A39" s="1938" t="s">
        <v>453</v>
      </c>
      <c r="B39" s="1933">
        <v>0</v>
      </c>
      <c r="C39" s="1933">
        <v>8.9</v>
      </c>
      <c r="D39" s="1933">
        <v>7.5</v>
      </c>
      <c r="E39" s="1933">
        <v>7.6</v>
      </c>
      <c r="F39" s="1934">
        <v>8</v>
      </c>
      <c r="G39" s="1987"/>
      <c r="H39" s="1988"/>
      <c r="I39" s="1942"/>
    </row>
    <row r="40" spans="1:10" s="1914" customFormat="1" ht="13.5" thickBot="1">
      <c r="A40" s="1938" t="s">
        <v>1152</v>
      </c>
      <c r="B40" s="1933">
        <v>0</v>
      </c>
      <c r="C40" s="1933">
        <v>37</v>
      </c>
      <c r="D40" s="1933">
        <v>0</v>
      </c>
      <c r="E40" s="1933">
        <v>37.9</v>
      </c>
      <c r="F40" s="1924">
        <v>37.450000000000003</v>
      </c>
      <c r="G40" s="1912">
        <v>30</v>
      </c>
      <c r="H40" s="1988"/>
      <c r="I40" s="1942"/>
    </row>
    <row r="41" spans="1:10" s="1995" customFormat="1" ht="16.5" thickTop="1">
      <c r="A41" s="1989" t="s">
        <v>1609</v>
      </c>
      <c r="B41" s="1990">
        <f>B31+B32+B35+B3</f>
        <v>45729</v>
      </c>
      <c r="C41" s="1990">
        <f>C31+C32+C35+C36</f>
        <v>119752.3</v>
      </c>
      <c r="D41" s="1990">
        <f>D31+D32+D35+D36</f>
        <v>116187</v>
      </c>
      <c r="E41" s="1990">
        <f>E31+E32+E35+E36</f>
        <v>111629.2</v>
      </c>
      <c r="F41" s="1990">
        <f>F31+F32+F35+F36</f>
        <v>131134.95000000001</v>
      </c>
      <c r="G41" s="1991">
        <v>139927</v>
      </c>
      <c r="H41" s="1992">
        <f>F41-G41</f>
        <v>-8792.0499999999884</v>
      </c>
      <c r="I41" s="1993">
        <f>H41/G41</f>
        <v>-6.2833120126923242E-2</v>
      </c>
      <c r="J41" s="1994"/>
    </row>
    <row r="42" spans="1:10" s="1882" customFormat="1" ht="13.5" thickBot="1">
      <c r="A42" s="1996"/>
      <c r="B42" s="1997"/>
      <c r="C42" s="1998"/>
      <c r="D42" s="1998"/>
      <c r="E42" s="1998"/>
      <c r="F42" s="1998"/>
      <c r="G42" s="1997"/>
      <c r="H42" s="1999"/>
      <c r="I42" s="2000"/>
    </row>
    <row r="43" spans="1:10" s="1884" customFormat="1" ht="15" thickTop="1" thickBot="1">
      <c r="A43" s="2001" t="s">
        <v>448</v>
      </c>
      <c r="B43" s="2002"/>
      <c r="C43" s="2002"/>
      <c r="D43" s="2003"/>
      <c r="E43" s="2003"/>
      <c r="F43" s="2004">
        <f>F41+F26</f>
        <v>242355.76666666669</v>
      </c>
      <c r="G43" s="2004">
        <v>233441</v>
      </c>
      <c r="H43" s="2004">
        <f>H41+H26</f>
        <v>8914.7666666666919</v>
      </c>
      <c r="I43" s="2005">
        <f>H43/G43</f>
        <v>3.8188521582184332E-2</v>
      </c>
    </row>
    <row r="44" spans="1:10" s="1884" customFormat="1" ht="14.25" thickTop="1">
      <c r="A44" s="2006"/>
      <c r="B44" s="2007"/>
      <c r="C44" s="2007"/>
      <c r="D44" s="2008"/>
      <c r="E44" s="2008"/>
      <c r="F44" s="2008"/>
      <c r="G44" s="2008"/>
      <c r="H44" s="2008"/>
      <c r="I44" s="2009"/>
    </row>
    <row r="45" spans="1:10" s="2017" customFormat="1">
      <c r="A45" s="2010" t="s">
        <v>574</v>
      </c>
      <c r="B45" s="2011">
        <v>1</v>
      </c>
      <c r="C45" s="2012">
        <v>20807</v>
      </c>
      <c r="D45" s="2012">
        <v>20398</v>
      </c>
      <c r="E45" s="2012">
        <v>19414</v>
      </c>
      <c r="F45" s="2013">
        <f>SUM(B45:E45)/3</f>
        <v>20206.666666666668</v>
      </c>
      <c r="G45" s="2014">
        <v>11558</v>
      </c>
      <c r="H45" s="2015">
        <f>F45-G45</f>
        <v>8648.6666666666679</v>
      </c>
      <c r="I45" s="2016">
        <f>H45/G45</f>
        <v>0.74828401684259105</v>
      </c>
    </row>
    <row r="46" spans="1:10" s="1884" customFormat="1">
      <c r="A46" s="2018"/>
      <c r="B46" s="2007"/>
      <c r="C46" s="2007"/>
      <c r="D46" s="2008"/>
      <c r="E46" s="2008"/>
      <c r="F46" s="2008"/>
      <c r="G46" s="2008"/>
      <c r="H46" s="2019"/>
      <c r="I46" s="2009"/>
    </row>
    <row r="47" spans="1:10" ht="54" customHeight="1">
      <c r="A47" s="2733" t="s">
        <v>1592</v>
      </c>
      <c r="B47" s="2733"/>
      <c r="C47" s="2733"/>
      <c r="D47" s="2733"/>
      <c r="E47" s="2733"/>
      <c r="F47" s="2733"/>
      <c r="G47" s="2733"/>
      <c r="H47" s="2733"/>
      <c r="I47" s="2733"/>
      <c r="J47" s="2733"/>
    </row>
    <row r="48" spans="1:10" ht="30" customHeight="1">
      <c r="A48" s="2732" t="s">
        <v>1682</v>
      </c>
      <c r="B48" s="2732"/>
      <c r="C48" s="2732"/>
      <c r="D48" s="2732"/>
      <c r="E48" s="2732"/>
      <c r="F48" s="2732"/>
      <c r="G48" s="2732"/>
      <c r="H48" s="2732"/>
      <c r="I48" s="2732"/>
      <c r="J48" s="2732"/>
    </row>
    <row r="49" spans="1:10" ht="15.75">
      <c r="A49" s="2732" t="s">
        <v>1681</v>
      </c>
      <c r="B49" s="2732"/>
      <c r="C49" s="2732"/>
      <c r="D49" s="2732"/>
      <c r="E49" s="2732"/>
      <c r="F49" s="2732"/>
      <c r="G49" s="2732"/>
      <c r="H49" s="2732"/>
      <c r="I49" s="2732"/>
      <c r="J49" s="2732"/>
    </row>
    <row r="50" spans="1:10" ht="27.75" customHeight="1">
      <c r="A50" s="2732" t="s">
        <v>1612</v>
      </c>
      <c r="B50" s="2732"/>
      <c r="C50" s="2732"/>
      <c r="D50" s="2732"/>
      <c r="E50" s="2732"/>
      <c r="F50" s="2732"/>
      <c r="G50" s="2732"/>
      <c r="H50" s="2732"/>
      <c r="I50" s="2732"/>
      <c r="J50" s="2732"/>
    </row>
    <row r="51" spans="1:10" ht="15.75">
      <c r="A51" s="2732" t="s">
        <v>1613</v>
      </c>
      <c r="B51" s="2732"/>
      <c r="C51" s="2732"/>
      <c r="D51" s="2732"/>
      <c r="E51" s="2732"/>
      <c r="F51" s="2732"/>
      <c r="G51" s="2732"/>
      <c r="H51" s="2732"/>
      <c r="I51" s="2732"/>
      <c r="J51" s="2732"/>
    </row>
    <row r="52" spans="1:10" ht="15.75">
      <c r="A52" s="2733" t="s">
        <v>1614</v>
      </c>
      <c r="B52" s="2733"/>
      <c r="C52" s="2733"/>
      <c r="D52" s="2733"/>
      <c r="E52" s="2733"/>
      <c r="F52" s="2733"/>
      <c r="G52" s="2733"/>
      <c r="H52" s="2733"/>
      <c r="I52" s="2733"/>
      <c r="J52" s="2733"/>
    </row>
  </sheetData>
  <mergeCells count="15">
    <mergeCell ref="A1:I1"/>
    <mergeCell ref="A2:I2"/>
    <mergeCell ref="A3:I3"/>
    <mergeCell ref="A4:I4"/>
    <mergeCell ref="B6:F6"/>
    <mergeCell ref="H6:I6"/>
    <mergeCell ref="A50:J50"/>
    <mergeCell ref="A51:J51"/>
    <mergeCell ref="A52:J52"/>
    <mergeCell ref="A28:A30"/>
    <mergeCell ref="B28:F28"/>
    <mergeCell ref="H28:I28"/>
    <mergeCell ref="A47:J47"/>
    <mergeCell ref="A48:J48"/>
    <mergeCell ref="A49:J49"/>
  </mergeCells>
  <pageMargins left="0.7" right="0.7" top="0.75" bottom="0.75" header="0.3" footer="0.3"/>
  <pageSetup paperSize="0" orientation="portrait" horizontalDpi="0" verticalDpi="0" copies="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03DB1-512D-474F-AA43-1817EB936112}">
  <sheetPr codeName="Sheet44">
    <tabColor rgb="FFFFFF00"/>
  </sheetPr>
  <dimension ref="A1:J54"/>
  <sheetViews>
    <sheetView workbookViewId="0">
      <selection activeCell="A22" sqref="A22"/>
    </sheetView>
  </sheetViews>
  <sheetFormatPr defaultRowHeight="15"/>
  <cols>
    <col min="1" max="1" width="28.5" style="2072" customWidth="1"/>
    <col min="2" max="2" width="9.625" style="2072" bestFit="1" customWidth="1"/>
    <col min="3" max="3" width="8" style="2072" customWidth="1"/>
    <col min="4" max="4" width="9.125" style="2072" bestFit="1" customWidth="1"/>
    <col min="5" max="5" width="9.25" style="2072" bestFit="1" customWidth="1"/>
    <col min="6" max="6" width="9.75" style="2072" bestFit="1" customWidth="1"/>
    <col min="7" max="8" width="9.125" style="2072" bestFit="1" customWidth="1"/>
    <col min="9" max="9" width="8.625" style="2072" bestFit="1" customWidth="1"/>
    <col min="10" max="10" width="0" style="2072" hidden="1" customWidth="1"/>
    <col min="11" max="16384" width="9" style="2072"/>
  </cols>
  <sheetData>
    <row r="1" spans="1:10">
      <c r="A1" s="2070"/>
      <c r="B1" s="2071"/>
      <c r="C1" s="2071"/>
      <c r="D1" s="2071"/>
      <c r="E1" s="2071"/>
      <c r="F1" s="2071"/>
      <c r="G1" s="2071"/>
      <c r="H1" s="2071"/>
      <c r="I1" s="2071"/>
      <c r="J1" s="2071"/>
    </row>
    <row r="2" spans="1:10">
      <c r="A2" s="2750" t="s">
        <v>297</v>
      </c>
      <c r="B2" s="2750"/>
      <c r="C2" s="2750"/>
      <c r="D2" s="2750"/>
      <c r="E2" s="2750"/>
      <c r="F2" s="2750"/>
      <c r="G2" s="2750"/>
      <c r="H2" s="2750"/>
      <c r="I2" s="2750"/>
      <c r="J2" s="2750"/>
    </row>
    <row r="3" spans="1:10" ht="15.75">
      <c r="A3" s="2751" t="s">
        <v>1788</v>
      </c>
      <c r="B3" s="2751"/>
      <c r="C3" s="2751"/>
      <c r="D3" s="2751"/>
      <c r="E3" s="2751"/>
      <c r="F3" s="2751"/>
      <c r="G3" s="2751"/>
      <c r="H3" s="2751"/>
      <c r="I3" s="2751"/>
      <c r="J3" s="2751"/>
    </row>
    <row r="4" spans="1:10">
      <c r="A4" s="2751" t="s">
        <v>1789</v>
      </c>
      <c r="B4" s="2751"/>
      <c r="C4" s="2751"/>
      <c r="D4" s="2751"/>
      <c r="E4" s="2751"/>
      <c r="F4" s="2751"/>
      <c r="G4" s="2751"/>
      <c r="H4" s="2751"/>
      <c r="I4" s="2751"/>
      <c r="J4" s="2073"/>
    </row>
    <row r="5" spans="1:10">
      <c r="A5" s="2074"/>
      <c r="B5" s="2074"/>
      <c r="C5" s="2074"/>
      <c r="D5" s="2074"/>
      <c r="E5" s="2074"/>
      <c r="F5" s="2074"/>
      <c r="G5" s="2074"/>
      <c r="H5" s="2075"/>
      <c r="I5" s="2074"/>
      <c r="J5" s="2075"/>
    </row>
    <row r="6" spans="1:10">
      <c r="A6" s="2076"/>
      <c r="B6" s="2752" t="s">
        <v>300</v>
      </c>
      <c r="C6" s="2753"/>
      <c r="D6" s="2753"/>
      <c r="E6" s="2753"/>
      <c r="F6" s="2754"/>
      <c r="G6" s="2755" t="s">
        <v>1790</v>
      </c>
      <c r="H6" s="2757" t="s">
        <v>77</v>
      </c>
      <c r="I6" s="2758"/>
      <c r="J6" s="2077" t="s">
        <v>1791</v>
      </c>
    </row>
    <row r="7" spans="1:10">
      <c r="A7" s="2078" t="s">
        <v>485</v>
      </c>
      <c r="B7" s="2079" t="s">
        <v>1799</v>
      </c>
      <c r="C7" s="2079" t="s">
        <v>1800</v>
      </c>
      <c r="D7" s="2079" t="s">
        <v>1801</v>
      </c>
      <c r="E7" s="2079" t="s">
        <v>1802</v>
      </c>
      <c r="F7" s="2080" t="s">
        <v>465</v>
      </c>
      <c r="G7" s="2756"/>
      <c r="H7" s="2759" t="s">
        <v>464</v>
      </c>
      <c r="I7" s="2760"/>
      <c r="J7" s="2081" t="s">
        <v>1792</v>
      </c>
    </row>
    <row r="8" spans="1:10" ht="15.75" thickBot="1">
      <c r="A8" s="2082" t="s">
        <v>310</v>
      </c>
      <c r="B8" s="2079" t="s">
        <v>311</v>
      </c>
      <c r="C8" s="2083" t="s">
        <v>484</v>
      </c>
      <c r="D8" s="2084" t="s">
        <v>311</v>
      </c>
      <c r="E8" s="2083" t="s">
        <v>483</v>
      </c>
      <c r="F8" s="2084" t="s">
        <v>1719</v>
      </c>
      <c r="G8" s="2085" t="s">
        <v>1719</v>
      </c>
      <c r="H8" s="2086" t="s">
        <v>315</v>
      </c>
      <c r="I8" s="2087" t="s">
        <v>316</v>
      </c>
      <c r="J8" s="2088" t="s">
        <v>505</v>
      </c>
    </row>
    <row r="9" spans="1:10" ht="15.75" thickTop="1">
      <c r="A9" s="2089" t="s">
        <v>2</v>
      </c>
      <c r="B9" s="2090"/>
      <c r="C9" s="2091">
        <v>49912</v>
      </c>
      <c r="D9" s="2092">
        <v>49683</v>
      </c>
      <c r="E9" s="2092">
        <v>46621</v>
      </c>
      <c r="F9" s="2093">
        <v>48738.666666666664</v>
      </c>
      <c r="G9" s="2094">
        <v>37162</v>
      </c>
      <c r="H9" s="2095">
        <v>11576.666666666664</v>
      </c>
      <c r="I9" s="2096">
        <v>0.31151893511292889</v>
      </c>
      <c r="J9" s="2097"/>
    </row>
    <row r="10" spans="1:10">
      <c r="A10" s="2098" t="s">
        <v>1159</v>
      </c>
      <c r="B10" s="2099"/>
      <c r="C10" s="2100">
        <v>39815</v>
      </c>
      <c r="D10" s="2101">
        <v>39805</v>
      </c>
      <c r="E10" s="2101">
        <v>37310</v>
      </c>
      <c r="F10" s="2102">
        <v>38976.666666666664</v>
      </c>
      <c r="G10" s="2103">
        <v>32703</v>
      </c>
      <c r="H10" s="2104">
        <v>6273.6666666666642</v>
      </c>
      <c r="I10" s="2105">
        <v>0.19183764996075786</v>
      </c>
      <c r="J10" s="2106"/>
    </row>
    <row r="11" spans="1:10">
      <c r="A11" s="2098" t="s">
        <v>479</v>
      </c>
      <c r="B11" s="2099"/>
      <c r="C11" s="2100">
        <v>5338</v>
      </c>
      <c r="D11" s="2101">
        <v>5241</v>
      </c>
      <c r="E11" s="2101">
        <v>5011</v>
      </c>
      <c r="F11" s="2102">
        <v>5196.666666666667</v>
      </c>
      <c r="G11" s="2103">
        <v>2045</v>
      </c>
      <c r="H11" s="2104">
        <v>3151.666666666667</v>
      </c>
      <c r="I11" s="2105">
        <v>1.541157294213529</v>
      </c>
      <c r="J11" s="2106"/>
    </row>
    <row r="12" spans="1:10">
      <c r="A12" s="2098" t="s">
        <v>478</v>
      </c>
      <c r="B12" s="2099"/>
      <c r="C12" s="2100">
        <v>4759</v>
      </c>
      <c r="D12" s="2101">
        <v>4637</v>
      </c>
      <c r="E12" s="2101">
        <v>4300</v>
      </c>
      <c r="F12" s="2102">
        <v>4565.333333333333</v>
      </c>
      <c r="G12" s="2103">
        <v>2414</v>
      </c>
      <c r="H12" s="2104">
        <v>2151.333333333333</v>
      </c>
      <c r="I12" s="2105">
        <v>0.89119027892847269</v>
      </c>
      <c r="J12" s="2106"/>
    </row>
    <row r="13" spans="1:10">
      <c r="A13" s="2107" t="s">
        <v>590</v>
      </c>
      <c r="B13" s="2108"/>
      <c r="C13" s="2109">
        <v>27938</v>
      </c>
      <c r="D13" s="2110">
        <v>296</v>
      </c>
      <c r="E13" s="2111">
        <v>25835</v>
      </c>
      <c r="F13" s="2112">
        <v>26970.5</v>
      </c>
      <c r="G13" s="2113">
        <v>22538</v>
      </c>
      <c r="H13" s="2114">
        <v>4432.5</v>
      </c>
      <c r="I13" s="2115">
        <v>0.19666784985358063</v>
      </c>
      <c r="J13" s="2116"/>
    </row>
    <row r="14" spans="1:10">
      <c r="A14" s="2117" t="s">
        <v>589</v>
      </c>
      <c r="B14" s="2099"/>
      <c r="C14" s="2100">
        <v>23545</v>
      </c>
      <c r="D14" s="2118">
        <v>84</v>
      </c>
      <c r="E14" s="2101">
        <v>21611</v>
      </c>
      <c r="F14" s="2119">
        <v>22620</v>
      </c>
      <c r="G14" s="2120">
        <v>19250</v>
      </c>
      <c r="H14" s="2121">
        <v>3370</v>
      </c>
      <c r="I14" s="2122">
        <v>0.17506493506493506</v>
      </c>
      <c r="J14" s="2123"/>
    </row>
    <row r="15" spans="1:10">
      <c r="A15" s="2098" t="s">
        <v>474</v>
      </c>
      <c r="B15" s="2099"/>
      <c r="C15" s="2100">
        <v>1404</v>
      </c>
      <c r="D15" s="2118"/>
      <c r="E15" s="2101">
        <v>1323</v>
      </c>
      <c r="F15" s="2119">
        <v>1363.5</v>
      </c>
      <c r="G15" s="2120">
        <v>865</v>
      </c>
      <c r="H15" s="2121">
        <v>498.5</v>
      </c>
      <c r="I15" s="2122">
        <v>0.57630057803468204</v>
      </c>
      <c r="J15" s="2123"/>
    </row>
    <row r="16" spans="1:10">
      <c r="A16" s="2117" t="s">
        <v>473</v>
      </c>
      <c r="B16" s="2099"/>
      <c r="C16" s="2100">
        <v>2769</v>
      </c>
      <c r="D16" s="2118"/>
      <c r="E16" s="2101">
        <v>2667</v>
      </c>
      <c r="F16" s="2119">
        <v>2718</v>
      </c>
      <c r="G16" s="2120">
        <v>2113</v>
      </c>
      <c r="H16" s="2121">
        <v>605</v>
      </c>
      <c r="I16" s="2122">
        <v>0.28632276384287741</v>
      </c>
      <c r="J16" s="2123"/>
    </row>
    <row r="17" spans="1:10" ht="15.75">
      <c r="A17" s="2117" t="s">
        <v>1606</v>
      </c>
      <c r="B17" s="2124">
        <v>141</v>
      </c>
      <c r="C17" s="2125">
        <v>220</v>
      </c>
      <c r="D17" s="2126">
        <v>212</v>
      </c>
      <c r="E17" s="2126">
        <v>234</v>
      </c>
      <c r="F17" s="2124">
        <v>269</v>
      </c>
      <c r="G17" s="2127">
        <v>310</v>
      </c>
      <c r="H17" s="2128">
        <v>-41</v>
      </c>
      <c r="I17" s="2129">
        <v>-0.13225806451612904</v>
      </c>
      <c r="J17" s="2130"/>
    </row>
    <row r="18" spans="1:10">
      <c r="A18" s="2131" t="s">
        <v>93</v>
      </c>
      <c r="B18" s="2132">
        <v>19</v>
      </c>
      <c r="C18" s="2133">
        <v>40</v>
      </c>
      <c r="D18" s="2101">
        <v>38</v>
      </c>
      <c r="E18" s="2134">
        <v>32</v>
      </c>
      <c r="F18" s="2135">
        <v>43</v>
      </c>
      <c r="G18" s="2136"/>
      <c r="H18" s="2137"/>
      <c r="I18" s="2138"/>
      <c r="J18" s="2139"/>
    </row>
    <row r="19" spans="1:10">
      <c r="A19" s="2131" t="s">
        <v>96</v>
      </c>
      <c r="B19" s="2140">
        <v>0</v>
      </c>
      <c r="C19" s="2141">
        <v>0</v>
      </c>
      <c r="D19" s="2101">
        <v>0</v>
      </c>
      <c r="E19" s="2134">
        <v>0</v>
      </c>
      <c r="F19" s="2135">
        <v>0</v>
      </c>
      <c r="G19" s="2136"/>
      <c r="H19" s="2137"/>
      <c r="I19" s="2138"/>
      <c r="J19" s="2139"/>
    </row>
    <row r="20" spans="1:10">
      <c r="A20" s="2131" t="s">
        <v>98</v>
      </c>
      <c r="B20" s="2140">
        <v>98</v>
      </c>
      <c r="C20" s="2141">
        <v>155</v>
      </c>
      <c r="D20" s="2101">
        <v>153</v>
      </c>
      <c r="E20" s="2134">
        <v>168</v>
      </c>
      <c r="F20" s="2135">
        <v>191.33333333333334</v>
      </c>
      <c r="G20" s="2136"/>
      <c r="H20" s="2137"/>
      <c r="I20" s="2138"/>
      <c r="J20" s="2139"/>
    </row>
    <row r="21" spans="1:10">
      <c r="A21" s="2142" t="s">
        <v>1150</v>
      </c>
      <c r="B21" s="2143">
        <v>24</v>
      </c>
      <c r="C21" s="2141">
        <v>25</v>
      </c>
      <c r="D21" s="2101">
        <v>21</v>
      </c>
      <c r="E21" s="2134">
        <v>34</v>
      </c>
      <c r="F21" s="2144">
        <v>34.666666666666664</v>
      </c>
      <c r="G21" s="2145">
        <v>25</v>
      </c>
      <c r="H21" s="2146"/>
      <c r="I21" s="2147"/>
      <c r="J21" s="2139"/>
    </row>
    <row r="22" spans="1:10">
      <c r="A22" s="2142"/>
      <c r="B22" s="2385"/>
      <c r="C22" s="2133"/>
      <c r="D22" s="2101"/>
      <c r="E22" s="2134"/>
      <c r="F22" s="2144"/>
      <c r="G22" s="2386"/>
      <c r="H22" s="2207"/>
      <c r="I22" s="2147"/>
      <c r="J22" s="2139"/>
    </row>
    <row r="23" spans="1:10">
      <c r="A23" s="2148" t="s">
        <v>5</v>
      </c>
      <c r="B23" s="2108"/>
      <c r="C23" s="2149">
        <v>10326</v>
      </c>
      <c r="D23" s="2150">
        <v>9958</v>
      </c>
      <c r="E23" s="2150">
        <v>9437</v>
      </c>
      <c r="F23" s="2151">
        <v>9907</v>
      </c>
      <c r="G23" s="2152">
        <v>9105</v>
      </c>
      <c r="H23" s="2128">
        <v>802</v>
      </c>
      <c r="I23" s="2129">
        <v>8.808347062053816E-2</v>
      </c>
      <c r="J23" s="2153"/>
    </row>
    <row r="24" spans="1:10">
      <c r="A24" s="2148" t="s">
        <v>4</v>
      </c>
      <c r="B24" s="2154"/>
      <c r="C24" s="2149">
        <v>11415</v>
      </c>
      <c r="D24" s="2150">
        <v>10211</v>
      </c>
      <c r="E24" s="2150">
        <v>10220</v>
      </c>
      <c r="F24" s="2151">
        <v>10615.333333333334</v>
      </c>
      <c r="G24" s="2152">
        <v>8734</v>
      </c>
      <c r="H24" s="2128">
        <v>1881.3333333333339</v>
      </c>
      <c r="I24" s="2129">
        <v>0.21540340432028096</v>
      </c>
      <c r="J24" s="2151"/>
    </row>
    <row r="25" spans="1:10">
      <c r="A25" s="2148" t="s">
        <v>6</v>
      </c>
      <c r="B25" s="2155"/>
      <c r="C25" s="2149">
        <v>3877</v>
      </c>
      <c r="D25" s="2150">
        <v>3598</v>
      </c>
      <c r="E25" s="2150">
        <v>3410</v>
      </c>
      <c r="F25" s="2156">
        <v>3628.3333333333335</v>
      </c>
      <c r="G25" s="2152">
        <v>4213</v>
      </c>
      <c r="H25" s="2128">
        <v>-584.66666666666652</v>
      </c>
      <c r="I25" s="2129">
        <v>-0.13877680196218051</v>
      </c>
      <c r="J25" s="2151"/>
    </row>
    <row r="26" spans="1:10" ht="15.75" thickBot="1">
      <c r="A26" s="2107" t="s">
        <v>7</v>
      </c>
      <c r="B26" s="2108"/>
      <c r="C26" s="2149">
        <v>13949</v>
      </c>
      <c r="D26" s="2150">
        <v>13245</v>
      </c>
      <c r="E26" s="2150">
        <v>12426</v>
      </c>
      <c r="F26" s="2156">
        <v>13206.666666666666</v>
      </c>
      <c r="G26" s="2157">
        <v>11762</v>
      </c>
      <c r="H26" s="2128">
        <v>1444.6666666666661</v>
      </c>
      <c r="I26" s="2129">
        <v>0.12282491639743802</v>
      </c>
      <c r="J26" s="2158"/>
    </row>
    <row r="27" spans="1:10" ht="15.75" thickTop="1">
      <c r="A27" s="2159" t="s">
        <v>472</v>
      </c>
      <c r="B27" s="2160"/>
      <c r="C27" s="2160">
        <v>117417</v>
      </c>
      <c r="D27" s="2160">
        <v>86991</v>
      </c>
      <c r="E27" s="2160">
        <v>107949</v>
      </c>
      <c r="F27" s="2160">
        <v>113066.49999999999</v>
      </c>
      <c r="G27" s="2161">
        <v>93514</v>
      </c>
      <c r="H27" s="2160">
        <v>19552.499999999985</v>
      </c>
      <c r="I27" s="2162">
        <v>0.2090863400132599</v>
      </c>
      <c r="J27" s="2163"/>
    </row>
    <row r="28" spans="1:10">
      <c r="A28" s="2164"/>
      <c r="B28" s="2165"/>
      <c r="C28" s="2165"/>
      <c r="D28" s="2165"/>
      <c r="E28" s="2165"/>
      <c r="F28" s="2165"/>
      <c r="G28" s="2165"/>
      <c r="H28" s="2165"/>
      <c r="I28" s="2166"/>
      <c r="J28" s="2165"/>
    </row>
    <row r="29" spans="1:10">
      <c r="A29" s="2765" t="s">
        <v>588</v>
      </c>
      <c r="B29" s="2768" t="s">
        <v>77</v>
      </c>
      <c r="C29" s="2769"/>
      <c r="D29" s="2769"/>
      <c r="E29" s="2769"/>
      <c r="F29" s="2770"/>
      <c r="G29" s="2167"/>
      <c r="H29" s="2771" t="s">
        <v>77</v>
      </c>
      <c r="I29" s="2758"/>
      <c r="J29" s="2168" t="s">
        <v>1791</v>
      </c>
    </row>
    <row r="30" spans="1:10" ht="15.75">
      <c r="A30" s="2766"/>
      <c r="B30" s="2079" t="s">
        <v>1799</v>
      </c>
      <c r="C30" s="2079" t="s">
        <v>1800</v>
      </c>
      <c r="D30" s="2079" t="s">
        <v>1801</v>
      </c>
      <c r="E30" s="2079" t="s">
        <v>1802</v>
      </c>
      <c r="F30" s="2080" t="s">
        <v>465</v>
      </c>
      <c r="G30" s="2081" t="s">
        <v>1591</v>
      </c>
      <c r="H30" s="2772" t="s">
        <v>464</v>
      </c>
      <c r="I30" s="2773"/>
      <c r="J30" s="2081" t="s">
        <v>1792</v>
      </c>
    </row>
    <row r="31" spans="1:10" ht="15.75" thickBot="1">
      <c r="A31" s="2767"/>
      <c r="B31" s="2169" t="s">
        <v>311</v>
      </c>
      <c r="C31" s="2170" t="s">
        <v>484</v>
      </c>
      <c r="D31" s="2171" t="s">
        <v>311</v>
      </c>
      <c r="E31" s="2083" t="s">
        <v>483</v>
      </c>
      <c r="F31" s="2084" t="s">
        <v>1719</v>
      </c>
      <c r="G31" s="2084" t="s">
        <v>1719</v>
      </c>
      <c r="H31" s="2172" t="s">
        <v>315</v>
      </c>
      <c r="I31" s="2173" t="s">
        <v>316</v>
      </c>
      <c r="J31" s="2088" t="s">
        <v>505</v>
      </c>
    </row>
    <row r="32" spans="1:10" ht="26.25" thickTop="1">
      <c r="A32" s="2174" t="s">
        <v>582</v>
      </c>
      <c r="B32" s="2149">
        <v>41081</v>
      </c>
      <c r="C32" s="2175">
        <v>109421</v>
      </c>
      <c r="D32" s="2176">
        <v>104682</v>
      </c>
      <c r="E32" s="2177">
        <v>99064</v>
      </c>
      <c r="F32" s="2178">
        <v>118082.66666666667</v>
      </c>
      <c r="G32" s="2179">
        <v>132062</v>
      </c>
      <c r="H32" s="2180">
        <v>-13979.333333333328</v>
      </c>
      <c r="I32" s="2096">
        <v>-0.10585432095026071</v>
      </c>
      <c r="J32" s="2181"/>
    </row>
    <row r="33" spans="1:10">
      <c r="A33" s="2182" t="s">
        <v>581</v>
      </c>
      <c r="B33" s="2183">
        <v>3083</v>
      </c>
      <c r="C33" s="2183">
        <v>5879</v>
      </c>
      <c r="D33" s="2184">
        <v>6184</v>
      </c>
      <c r="E33" s="2185">
        <v>6421</v>
      </c>
      <c r="F33" s="2186">
        <v>7189</v>
      </c>
      <c r="G33" s="2187">
        <v>7170</v>
      </c>
      <c r="H33" s="2187">
        <v>-7170</v>
      </c>
      <c r="I33" s="2129"/>
      <c r="J33" s="2188"/>
    </row>
    <row r="34" spans="1:10">
      <c r="A34" s="2189" t="s">
        <v>460</v>
      </c>
      <c r="B34" s="2190">
        <v>3050</v>
      </c>
      <c r="C34" s="2191">
        <v>5677</v>
      </c>
      <c r="D34" s="2192">
        <v>5873</v>
      </c>
      <c r="E34" s="2193">
        <v>5931</v>
      </c>
      <c r="F34" s="2194">
        <v>6843.666666666667</v>
      </c>
      <c r="G34" s="2195"/>
      <c r="H34" s="2196"/>
      <c r="I34" s="2129"/>
      <c r="J34" s="2139"/>
    </row>
    <row r="35" spans="1:10">
      <c r="A35" s="2189" t="s">
        <v>459</v>
      </c>
      <c r="B35" s="2190">
        <v>33</v>
      </c>
      <c r="C35" s="2191">
        <v>202</v>
      </c>
      <c r="D35" s="2192">
        <v>311</v>
      </c>
      <c r="E35" s="2193">
        <v>490</v>
      </c>
      <c r="F35" s="2194">
        <v>345.33333333333331</v>
      </c>
      <c r="G35" s="2197"/>
      <c r="H35" s="2196"/>
      <c r="I35" s="2129"/>
      <c r="J35" s="2139"/>
    </row>
    <row r="36" spans="1:10" ht="15.75">
      <c r="A36" s="2198" t="s">
        <v>1607</v>
      </c>
      <c r="B36" s="2199">
        <v>749</v>
      </c>
      <c r="C36" s="2200">
        <v>2798</v>
      </c>
      <c r="D36" s="2184">
        <v>2869</v>
      </c>
      <c r="E36" s="2201">
        <v>2789</v>
      </c>
      <c r="F36" s="2178">
        <v>3068.3333333333335</v>
      </c>
      <c r="G36" s="2202">
        <v>220</v>
      </c>
      <c r="H36" s="2202">
        <v>-220</v>
      </c>
      <c r="I36" s="2129"/>
      <c r="J36" s="2130"/>
    </row>
    <row r="37" spans="1:10" ht="15.75">
      <c r="A37" s="2203" t="s">
        <v>1608</v>
      </c>
      <c r="B37" s="2154">
        <v>51</v>
      </c>
      <c r="C37" s="2154">
        <v>200</v>
      </c>
      <c r="D37" s="2110">
        <v>171</v>
      </c>
      <c r="E37" s="2126">
        <v>218</v>
      </c>
      <c r="F37" s="2154">
        <v>225.66666666666666</v>
      </c>
      <c r="G37" s="2202">
        <v>165</v>
      </c>
      <c r="H37" s="2202">
        <v>-165</v>
      </c>
      <c r="I37" s="2129">
        <v>-1</v>
      </c>
      <c r="J37" s="2130"/>
    </row>
    <row r="38" spans="1:10">
      <c r="A38" s="2204" t="s">
        <v>455</v>
      </c>
      <c r="B38" s="2125">
        <v>22</v>
      </c>
      <c r="C38" s="2191">
        <v>74</v>
      </c>
      <c r="D38" s="2101">
        <v>73</v>
      </c>
      <c r="E38" s="2134">
        <v>76</v>
      </c>
      <c r="F38" s="2205">
        <v>81.666666666666671</v>
      </c>
      <c r="G38" s="2206"/>
      <c r="H38" s="2207"/>
      <c r="I38" s="2147"/>
      <c r="J38" s="2139"/>
    </row>
    <row r="39" spans="1:10">
      <c r="A39" s="2204" t="s">
        <v>454</v>
      </c>
      <c r="B39" s="2125">
        <v>29</v>
      </c>
      <c r="C39" s="2191">
        <v>80</v>
      </c>
      <c r="D39" s="2101">
        <v>88</v>
      </c>
      <c r="E39" s="2134">
        <v>95</v>
      </c>
      <c r="F39" s="2205">
        <v>97.333333333333329</v>
      </c>
      <c r="G39" s="2206"/>
      <c r="H39" s="2207"/>
      <c r="I39" s="2147"/>
      <c r="J39" s="2139"/>
    </row>
    <row r="40" spans="1:10">
      <c r="A40" s="2204" t="s">
        <v>453</v>
      </c>
      <c r="B40" s="2124"/>
      <c r="C40" s="2191">
        <v>9</v>
      </c>
      <c r="D40" s="2101">
        <v>10</v>
      </c>
      <c r="E40" s="2134">
        <v>10</v>
      </c>
      <c r="F40" s="2205">
        <v>9.6666666666666661</v>
      </c>
      <c r="G40" s="2206"/>
      <c r="H40" s="2207"/>
      <c r="I40" s="2147"/>
      <c r="J40" s="2139"/>
    </row>
    <row r="41" spans="1:10">
      <c r="A41" s="2204" t="s">
        <v>1152</v>
      </c>
      <c r="B41" s="2124"/>
      <c r="C41" s="2191">
        <v>37</v>
      </c>
      <c r="D41" s="2102"/>
      <c r="E41" s="2134">
        <v>37</v>
      </c>
      <c r="F41" s="2205">
        <v>37</v>
      </c>
      <c r="G41" s="2104">
        <v>30</v>
      </c>
      <c r="H41" s="2207"/>
      <c r="I41" s="2147"/>
      <c r="J41" s="2139"/>
    </row>
    <row r="42" spans="1:10" ht="15.75" thickBot="1">
      <c r="A42" s="2204" t="s">
        <v>577</v>
      </c>
      <c r="B42" s="2124"/>
      <c r="C42" s="2208"/>
      <c r="D42" s="2209"/>
      <c r="E42" s="2209"/>
      <c r="F42" s="2210"/>
      <c r="G42" s="2104">
        <v>10</v>
      </c>
      <c r="H42" s="2207"/>
      <c r="I42" s="2147"/>
      <c r="J42" s="2139"/>
    </row>
    <row r="43" spans="1:10" ht="16.5" thickTop="1">
      <c r="A43" s="2211" t="s">
        <v>1609</v>
      </c>
      <c r="B43" s="2212">
        <v>44964</v>
      </c>
      <c r="C43" s="2212">
        <v>118298</v>
      </c>
      <c r="D43" s="2212">
        <v>113906</v>
      </c>
      <c r="E43" s="2212">
        <v>108492</v>
      </c>
      <c r="F43" s="2212">
        <v>128565.66666666667</v>
      </c>
      <c r="G43" s="2213">
        <v>139927</v>
      </c>
      <c r="H43" s="2214">
        <v>-11361.333333333328</v>
      </c>
      <c r="I43" s="2215">
        <v>-8.1194718198298599E-2</v>
      </c>
      <c r="J43" s="2216"/>
    </row>
    <row r="44" spans="1:10" ht="15.75" thickBot="1">
      <c r="A44" s="2217"/>
      <c r="B44" s="2218"/>
      <c r="C44" s="2219"/>
      <c r="D44" s="2219"/>
      <c r="E44" s="2219"/>
      <c r="F44" s="2219"/>
      <c r="G44" s="2218"/>
      <c r="H44" s="2220"/>
      <c r="I44" s="2221"/>
      <c r="J44" s="2222"/>
    </row>
    <row r="45" spans="1:10" ht="16.5" thickTop="1" thickBot="1">
      <c r="A45" s="2223" t="s">
        <v>448</v>
      </c>
      <c r="B45" s="2224"/>
      <c r="C45" s="2224"/>
      <c r="D45" s="2225"/>
      <c r="E45" s="2225"/>
      <c r="F45" s="2226">
        <v>241632.16666666666</v>
      </c>
      <c r="G45" s="2227">
        <v>233441</v>
      </c>
      <c r="H45" s="2227">
        <v>8191.166666666657</v>
      </c>
      <c r="I45" s="2228">
        <v>3.5088809020980279E-2</v>
      </c>
      <c r="J45" s="2075"/>
    </row>
    <row r="46" spans="1:10" ht="15.75" thickTop="1">
      <c r="A46" s="2229"/>
      <c r="B46" s="2230"/>
      <c r="C46" s="2230"/>
      <c r="D46" s="2231"/>
      <c r="E46" s="2231"/>
      <c r="F46" s="2231"/>
      <c r="G46" s="2231"/>
      <c r="H46" s="2231"/>
      <c r="I46" s="2232"/>
      <c r="J46" s="2075"/>
    </row>
    <row r="47" spans="1:10">
      <c r="A47" s="2233" t="s">
        <v>574</v>
      </c>
      <c r="B47" s="2234">
        <v>1</v>
      </c>
      <c r="C47" s="2235">
        <v>22708</v>
      </c>
      <c r="D47" s="2236">
        <v>22131</v>
      </c>
      <c r="E47" s="2237">
        <v>21138</v>
      </c>
      <c r="F47" s="2238">
        <v>21992.666666666668</v>
      </c>
      <c r="G47" s="2239">
        <v>11558</v>
      </c>
      <c r="H47" s="2240">
        <v>10434.666666666668</v>
      </c>
      <c r="I47" s="2241">
        <v>0.90280902116859907</v>
      </c>
      <c r="J47" s="2070"/>
    </row>
    <row r="48" spans="1:10">
      <c r="A48" s="2242"/>
      <c r="B48" s="2230"/>
      <c r="C48" s="2230"/>
      <c r="D48" s="2231"/>
      <c r="E48" s="2231"/>
      <c r="F48" s="2231"/>
      <c r="G48" s="2231"/>
      <c r="H48" s="2243"/>
      <c r="I48" s="2232"/>
      <c r="J48" s="2071"/>
    </row>
    <row r="49" spans="1:10" ht="87.75" customHeight="1">
      <c r="A49" s="2774" t="s">
        <v>1793</v>
      </c>
      <c r="B49" s="2774"/>
      <c r="C49" s="2774"/>
      <c r="D49" s="2774"/>
      <c r="E49" s="2774"/>
      <c r="F49" s="2774"/>
      <c r="G49" s="2774"/>
      <c r="H49" s="2774"/>
      <c r="I49" s="2774"/>
      <c r="J49" s="2244"/>
    </row>
    <row r="50" spans="1:10" ht="16.5">
      <c r="A50" s="2763" t="s">
        <v>1794</v>
      </c>
      <c r="B50" s="2763"/>
      <c r="C50" s="2763"/>
      <c r="D50" s="2763"/>
      <c r="E50" s="2763"/>
      <c r="F50" s="2763"/>
      <c r="G50" s="2763"/>
      <c r="H50" s="2763"/>
      <c r="I50" s="2763"/>
      <c r="J50" s="2763"/>
    </row>
    <row r="51" spans="1:10" ht="15.75">
      <c r="A51" s="2761" t="s">
        <v>1681</v>
      </c>
      <c r="B51" s="2761"/>
      <c r="C51" s="2761"/>
      <c r="D51" s="2761"/>
      <c r="E51" s="2761"/>
      <c r="F51" s="2761"/>
      <c r="G51" s="2761"/>
      <c r="H51" s="2761"/>
      <c r="I51" s="2761"/>
      <c r="J51" s="2761"/>
    </row>
    <row r="52" spans="1:10" ht="32.25" customHeight="1">
      <c r="A52" s="2762" t="s">
        <v>1795</v>
      </c>
      <c r="B52" s="2761"/>
      <c r="C52" s="2761"/>
      <c r="D52" s="2761"/>
      <c r="E52" s="2761"/>
      <c r="F52" s="2761"/>
      <c r="G52" s="2761"/>
      <c r="H52" s="2761"/>
      <c r="I52" s="2761"/>
      <c r="J52" s="2761"/>
    </row>
    <row r="53" spans="1:10" ht="16.5">
      <c r="A53" s="2763" t="s">
        <v>1796</v>
      </c>
      <c r="B53" s="2763"/>
      <c r="C53" s="2763"/>
      <c r="D53" s="2763"/>
      <c r="E53" s="2763"/>
      <c r="F53" s="2763"/>
      <c r="G53" s="2763"/>
      <c r="H53" s="2763"/>
      <c r="I53" s="2763"/>
      <c r="J53" s="2763"/>
    </row>
    <row r="54" spans="1:10" ht="16.5">
      <c r="A54" s="2764" t="s">
        <v>1797</v>
      </c>
      <c r="B54" s="2764"/>
      <c r="C54" s="2764"/>
      <c r="D54" s="2764"/>
      <c r="E54" s="2764"/>
      <c r="F54" s="2764"/>
      <c r="G54" s="2764"/>
      <c r="H54" s="2764"/>
      <c r="I54" s="2764"/>
      <c r="J54" s="2764"/>
    </row>
  </sheetData>
  <mergeCells count="17">
    <mergeCell ref="A51:J51"/>
    <mergeCell ref="A52:J52"/>
    <mergeCell ref="A53:J53"/>
    <mergeCell ref="A54:J54"/>
    <mergeCell ref="A29:A31"/>
    <mergeCell ref="B29:F29"/>
    <mergeCell ref="H29:I29"/>
    <mergeCell ref="H30:I30"/>
    <mergeCell ref="A49:I49"/>
    <mergeCell ref="A50:J50"/>
    <mergeCell ref="A2:J2"/>
    <mergeCell ref="A3:J3"/>
    <mergeCell ref="A4:I4"/>
    <mergeCell ref="B6:F6"/>
    <mergeCell ref="G6:G7"/>
    <mergeCell ref="H6:I6"/>
    <mergeCell ref="H7:I7"/>
  </mergeCells>
  <pageMargins left="0.7" right="0.7" top="0.75" bottom="0.75" header="0.3" footer="0.3"/>
  <pageSetup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D2ACB-EEE9-4A38-826C-77C4D4CEE595}">
  <sheetPr codeName="Sheet45">
    <tabColor rgb="FFFFFF00"/>
  </sheetPr>
  <dimension ref="A1:L54"/>
  <sheetViews>
    <sheetView workbookViewId="0">
      <selection activeCell="F28" sqref="F28"/>
    </sheetView>
  </sheetViews>
  <sheetFormatPr defaultRowHeight="15"/>
  <cols>
    <col min="1" max="1" width="28.5" style="2245" customWidth="1"/>
    <col min="2" max="2" width="9.625" style="2245" bestFit="1" customWidth="1"/>
    <col min="3" max="3" width="8" style="2245" customWidth="1"/>
    <col min="4" max="4" width="9.125" style="2245" bestFit="1" customWidth="1"/>
    <col min="5" max="5" width="9.25" style="2245" bestFit="1" customWidth="1"/>
    <col min="6" max="6" width="9.75" style="2245" bestFit="1" customWidth="1"/>
    <col min="7" max="8" width="9.125" style="2245" bestFit="1" customWidth="1"/>
    <col min="9" max="9" width="8.625" style="2245" bestFit="1" customWidth="1"/>
    <col min="10" max="10" width="0" style="2245" hidden="1" customWidth="1"/>
    <col min="11" max="16384" width="9" style="2245"/>
  </cols>
  <sheetData>
    <row r="1" spans="1:12">
      <c r="A1" s="2071"/>
      <c r="B1" s="2071"/>
      <c r="C1" s="2071"/>
      <c r="D1" s="2071"/>
      <c r="E1" s="2071"/>
      <c r="F1" s="2071"/>
      <c r="G1" s="2071"/>
      <c r="H1" s="2071"/>
      <c r="I1" s="2071"/>
      <c r="J1" s="2071"/>
    </row>
    <row r="2" spans="1:12">
      <c r="A2" s="2786" t="s">
        <v>297</v>
      </c>
      <c r="B2" s="2786"/>
      <c r="C2" s="2786"/>
      <c r="D2" s="2786"/>
      <c r="E2" s="2786"/>
      <c r="F2" s="2786"/>
      <c r="G2" s="2786"/>
      <c r="H2" s="2786"/>
      <c r="I2" s="2786"/>
      <c r="J2" s="2786"/>
    </row>
    <row r="3" spans="1:12" ht="15.75">
      <c r="A3" s="2787" t="s">
        <v>1836</v>
      </c>
      <c r="B3" s="2787"/>
      <c r="C3" s="2787"/>
      <c r="D3" s="2787"/>
      <c r="E3" s="2787"/>
      <c r="F3" s="2787"/>
      <c r="G3" s="2787"/>
      <c r="H3" s="2787"/>
      <c r="I3" s="2787"/>
      <c r="J3" s="2787"/>
    </row>
    <row r="4" spans="1:12">
      <c r="A4" s="2787" t="s">
        <v>1789</v>
      </c>
      <c r="B4" s="2787"/>
      <c r="C4" s="2787"/>
      <c r="D4" s="2787"/>
      <c r="E4" s="2787"/>
      <c r="F4" s="2787"/>
      <c r="G4" s="2787"/>
      <c r="H4" s="2787"/>
      <c r="I4" s="2787"/>
      <c r="J4" s="2246"/>
    </row>
    <row r="5" spans="1:12">
      <c r="A5" s="2247"/>
      <c r="B5" s="2247"/>
      <c r="C5" s="2247"/>
      <c r="D5" s="2247"/>
      <c r="E5" s="2247"/>
      <c r="F5" s="2247"/>
      <c r="G5" s="2247"/>
      <c r="H5" s="2075"/>
      <c r="I5" s="2247"/>
      <c r="J5" s="2075"/>
    </row>
    <row r="6" spans="1:12">
      <c r="A6" s="2248"/>
      <c r="B6" s="2788" t="s">
        <v>300</v>
      </c>
      <c r="C6" s="2789"/>
      <c r="D6" s="2789"/>
      <c r="E6" s="2789"/>
      <c r="F6" s="2790"/>
      <c r="G6" s="2791" t="s">
        <v>1790</v>
      </c>
      <c r="H6" s="2793" t="s">
        <v>77</v>
      </c>
      <c r="I6" s="2783"/>
      <c r="J6" s="2249" t="s">
        <v>1791</v>
      </c>
    </row>
    <row r="7" spans="1:12">
      <c r="A7" s="2250" t="s">
        <v>485</v>
      </c>
      <c r="B7" s="2251" t="s">
        <v>1799</v>
      </c>
      <c r="C7" s="2251" t="s">
        <v>1800</v>
      </c>
      <c r="D7" s="2251" t="s">
        <v>1801</v>
      </c>
      <c r="E7" s="2251" t="s">
        <v>1802</v>
      </c>
      <c r="F7" s="2252" t="s">
        <v>465</v>
      </c>
      <c r="G7" s="2792"/>
      <c r="H7" s="2794" t="s">
        <v>464</v>
      </c>
      <c r="I7" s="2795"/>
      <c r="J7" s="2253" t="s">
        <v>1792</v>
      </c>
    </row>
    <row r="8" spans="1:12" ht="15.75" thickBot="1">
      <c r="A8" s="2254" t="s">
        <v>310</v>
      </c>
      <c r="B8" s="2251" t="s">
        <v>311</v>
      </c>
      <c r="C8" s="2255" t="s">
        <v>484</v>
      </c>
      <c r="D8" s="2256" t="s">
        <v>311</v>
      </c>
      <c r="E8" s="2255" t="s">
        <v>483</v>
      </c>
      <c r="F8" s="2256" t="s">
        <v>1719</v>
      </c>
      <c r="G8" s="2257" t="s">
        <v>1719</v>
      </c>
      <c r="H8" s="2258" t="s">
        <v>315</v>
      </c>
      <c r="I8" s="2259" t="s">
        <v>316</v>
      </c>
      <c r="J8" s="2260" t="s">
        <v>505</v>
      </c>
    </row>
    <row r="9" spans="1:12" ht="15.75" thickTop="1">
      <c r="A9" s="2261" t="s">
        <v>2</v>
      </c>
      <c r="B9" s="2090"/>
      <c r="C9" s="2262">
        <f>C10+C11+C12</f>
        <v>49912</v>
      </c>
      <c r="D9" s="2263">
        <f>D10+D11+D12</f>
        <v>49683</v>
      </c>
      <c r="E9" s="2263">
        <f>E10+E11+E12</f>
        <v>46621</v>
      </c>
      <c r="F9" s="2093">
        <v>48738.666666666664</v>
      </c>
      <c r="G9" s="2264">
        <v>37162</v>
      </c>
      <c r="H9" s="2095">
        <v>11576.666666666664</v>
      </c>
      <c r="I9" s="2096">
        <v>0.31151893511292889</v>
      </c>
      <c r="J9" s="2265"/>
    </row>
    <row r="10" spans="1:12">
      <c r="A10" s="2266" t="s">
        <v>1159</v>
      </c>
      <c r="B10" s="2099"/>
      <c r="C10" s="2267">
        <v>39815</v>
      </c>
      <c r="D10" s="2268">
        <v>39805</v>
      </c>
      <c r="E10" s="2268">
        <v>37310</v>
      </c>
      <c r="F10" s="2269">
        <v>38976.666666666664</v>
      </c>
      <c r="G10" s="2103">
        <v>32703</v>
      </c>
      <c r="H10" s="2104">
        <v>6273.6666666666642</v>
      </c>
      <c r="I10" s="2105">
        <v>0.19183764996075786</v>
      </c>
      <c r="J10" s="2270"/>
    </row>
    <row r="11" spans="1:12">
      <c r="A11" s="2266" t="s">
        <v>479</v>
      </c>
      <c r="B11" s="2099"/>
      <c r="C11" s="2267">
        <v>5338</v>
      </c>
      <c r="D11" s="2268">
        <v>5241</v>
      </c>
      <c r="E11" s="2268">
        <v>5011</v>
      </c>
      <c r="F11" s="2269">
        <v>5196.666666666667</v>
      </c>
      <c r="G11" s="2103">
        <v>2045</v>
      </c>
      <c r="H11" s="2104">
        <v>3151.666666666667</v>
      </c>
      <c r="I11" s="2105">
        <v>1.541157294213529</v>
      </c>
      <c r="J11" s="2270"/>
    </row>
    <row r="12" spans="1:12">
      <c r="A12" s="2266" t="s">
        <v>478</v>
      </c>
      <c r="B12" s="2099"/>
      <c r="C12" s="2267">
        <v>4759</v>
      </c>
      <c r="D12" s="2268">
        <v>4637</v>
      </c>
      <c r="E12" s="2268">
        <v>4300</v>
      </c>
      <c r="F12" s="2269">
        <v>4565.333333333333</v>
      </c>
      <c r="G12" s="2103">
        <v>2414</v>
      </c>
      <c r="H12" s="2104">
        <v>2151.333333333333</v>
      </c>
      <c r="I12" s="2105">
        <v>0.89119027892847269</v>
      </c>
      <c r="J12" s="2270"/>
    </row>
    <row r="13" spans="1:12">
      <c r="A13" s="2271" t="s">
        <v>590</v>
      </c>
      <c r="B13" s="2108"/>
      <c r="C13" s="2272">
        <f>C14+C15+C16+C17</f>
        <v>27850</v>
      </c>
      <c r="D13" s="2110">
        <f>D14+D15+D16+D17</f>
        <v>215</v>
      </c>
      <c r="E13" s="2273">
        <f>E14+E15+E16+E17</f>
        <v>25835</v>
      </c>
      <c r="F13" s="2274">
        <f>SUM(F14:F17,F22)</f>
        <v>27054.5</v>
      </c>
      <c r="G13" s="2113">
        <v>22538</v>
      </c>
      <c r="H13" s="2114">
        <v>4432.5</v>
      </c>
      <c r="I13" s="2115">
        <v>0.19666784985358063</v>
      </c>
      <c r="J13" s="2275"/>
      <c r="K13" s="2276"/>
      <c r="L13" s="2276"/>
    </row>
    <row r="14" spans="1:12">
      <c r="A14" s="2277" t="s">
        <v>589</v>
      </c>
      <c r="B14" s="2099"/>
      <c r="C14" s="2267">
        <v>23455</v>
      </c>
      <c r="D14" s="2118"/>
      <c r="E14" s="2268">
        <v>21611</v>
      </c>
      <c r="F14" s="2278">
        <v>22620</v>
      </c>
      <c r="G14" s="2120">
        <v>19250</v>
      </c>
      <c r="H14" s="2279">
        <v>3370</v>
      </c>
      <c r="I14" s="2122">
        <v>0.17506493506493506</v>
      </c>
      <c r="J14" s="2280"/>
    </row>
    <row r="15" spans="1:12">
      <c r="A15" s="2266" t="s">
        <v>474</v>
      </c>
      <c r="B15" s="2099"/>
      <c r="C15" s="2267">
        <v>1404</v>
      </c>
      <c r="D15" s="2118"/>
      <c r="E15" s="2268">
        <v>1323</v>
      </c>
      <c r="F15" s="2278">
        <v>1363.5</v>
      </c>
      <c r="G15" s="2120">
        <v>865</v>
      </c>
      <c r="H15" s="2279">
        <v>498.5</v>
      </c>
      <c r="I15" s="2122">
        <v>0.57630057803468204</v>
      </c>
      <c r="J15" s="2280"/>
    </row>
    <row r="16" spans="1:12">
      <c r="A16" s="2277" t="s">
        <v>473</v>
      </c>
      <c r="B16" s="2099"/>
      <c r="C16" s="2267">
        <v>2769</v>
      </c>
      <c r="D16" s="2118"/>
      <c r="E16" s="2268">
        <v>2667</v>
      </c>
      <c r="F16" s="2278">
        <v>2718</v>
      </c>
      <c r="G16" s="2120">
        <v>2113</v>
      </c>
      <c r="H16" s="2279">
        <v>605</v>
      </c>
      <c r="I16" s="2122">
        <v>0.28632276384287741</v>
      </c>
      <c r="J16" s="2280"/>
    </row>
    <row r="17" spans="1:10" ht="15.75">
      <c r="A17" s="2277" t="s">
        <v>1606</v>
      </c>
      <c r="B17" s="2124">
        <v>142</v>
      </c>
      <c r="C17" s="2281">
        <f>C18+C19+C20+C21</f>
        <v>222</v>
      </c>
      <c r="D17" s="2282">
        <f>D18+D19+D20+D21</f>
        <v>215</v>
      </c>
      <c r="E17" s="2282">
        <f>E18+E19+E21+E20</f>
        <v>234</v>
      </c>
      <c r="F17" s="2124">
        <v>269</v>
      </c>
      <c r="G17" s="2283">
        <v>310</v>
      </c>
      <c r="H17" s="2284">
        <v>-41</v>
      </c>
      <c r="I17" s="2129">
        <v>-0.13225806451612904</v>
      </c>
      <c r="J17" s="2130"/>
    </row>
    <row r="18" spans="1:10">
      <c r="A18" s="2285" t="s">
        <v>93</v>
      </c>
      <c r="B18" s="2286">
        <v>20</v>
      </c>
      <c r="C18" s="2287">
        <v>42</v>
      </c>
      <c r="D18" s="2288">
        <v>41</v>
      </c>
      <c r="E18" s="2289">
        <v>32</v>
      </c>
      <c r="F18" s="2135">
        <v>43</v>
      </c>
      <c r="G18" s="2290"/>
      <c r="H18" s="2137"/>
      <c r="I18" s="2138"/>
      <c r="J18" s="2139"/>
    </row>
    <row r="19" spans="1:10">
      <c r="A19" s="2285" t="s">
        <v>96</v>
      </c>
      <c r="B19" s="2291">
        <v>0</v>
      </c>
      <c r="C19" s="2292">
        <v>0</v>
      </c>
      <c r="D19" s="2288">
        <v>0</v>
      </c>
      <c r="E19" s="2289">
        <v>0</v>
      </c>
      <c r="F19" s="2135">
        <v>0</v>
      </c>
      <c r="G19" s="2290"/>
      <c r="H19" s="2137"/>
      <c r="I19" s="2138"/>
      <c r="J19" s="2139"/>
    </row>
    <row r="20" spans="1:10">
      <c r="A20" s="2285" t="s">
        <v>98</v>
      </c>
      <c r="B20" s="2291">
        <v>98</v>
      </c>
      <c r="C20" s="2292">
        <v>155</v>
      </c>
      <c r="D20" s="2288">
        <v>153</v>
      </c>
      <c r="E20" s="2289">
        <v>168</v>
      </c>
      <c r="F20" s="2135">
        <v>191.33333333333334</v>
      </c>
      <c r="G20" s="2290"/>
      <c r="H20" s="2137"/>
      <c r="I20" s="2138"/>
      <c r="J20" s="2139"/>
    </row>
    <row r="21" spans="1:10">
      <c r="A21" s="2293" t="s">
        <v>1150</v>
      </c>
      <c r="B21" s="2294">
        <v>24</v>
      </c>
      <c r="C21" s="2292">
        <v>25</v>
      </c>
      <c r="D21" s="2288">
        <v>21</v>
      </c>
      <c r="E21" s="2289">
        <v>34</v>
      </c>
      <c r="F21" s="2144">
        <v>34.666666666666664</v>
      </c>
      <c r="G21" s="2295">
        <v>25</v>
      </c>
      <c r="H21" s="2146"/>
      <c r="I21" s="2147"/>
      <c r="J21" s="2139"/>
    </row>
    <row r="22" spans="1:10">
      <c r="A22" s="2296" t="s">
        <v>1837</v>
      </c>
      <c r="B22" s="2297"/>
      <c r="C22" s="2298">
        <v>90</v>
      </c>
      <c r="D22" s="2299">
        <v>84</v>
      </c>
      <c r="E22" s="2300">
        <v>78</v>
      </c>
      <c r="F22" s="2144">
        <f>SUM(C22:E22)/3</f>
        <v>84</v>
      </c>
      <c r="G22" s="2295"/>
      <c r="H22" s="2301"/>
      <c r="I22" s="2147"/>
      <c r="J22" s="2139"/>
    </row>
    <row r="23" spans="1:10">
      <c r="A23" s="2302" t="s">
        <v>5</v>
      </c>
      <c r="B23" s="2108"/>
      <c r="C23" s="2303">
        <v>10061</v>
      </c>
      <c r="D23" s="2304">
        <v>9771</v>
      </c>
      <c r="E23" s="2304">
        <v>9200</v>
      </c>
      <c r="F23" s="2305">
        <v>9907</v>
      </c>
      <c r="G23" s="2306">
        <v>9105</v>
      </c>
      <c r="H23" s="2284">
        <v>802</v>
      </c>
      <c r="I23" s="2129">
        <v>8.808347062053816E-2</v>
      </c>
      <c r="J23" s="2307"/>
    </row>
    <row r="24" spans="1:10">
      <c r="A24" s="2302" t="s">
        <v>4</v>
      </c>
      <c r="B24" s="2154"/>
      <c r="C24" s="2303">
        <v>11415</v>
      </c>
      <c r="D24" s="2304">
        <v>10211</v>
      </c>
      <c r="E24" s="2304">
        <v>10207</v>
      </c>
      <c r="F24" s="2305">
        <v>10615.333333333334</v>
      </c>
      <c r="G24" s="2306">
        <v>8734</v>
      </c>
      <c r="H24" s="2284">
        <v>1881.3333333333339</v>
      </c>
      <c r="I24" s="2129">
        <v>0.21540340432028096</v>
      </c>
      <c r="J24" s="2305"/>
    </row>
    <row r="25" spans="1:10">
      <c r="A25" s="2302" t="s">
        <v>6</v>
      </c>
      <c r="B25" s="2308"/>
      <c r="C25" s="2303">
        <v>3877</v>
      </c>
      <c r="D25" s="2304">
        <v>3598</v>
      </c>
      <c r="E25" s="2304">
        <v>3410</v>
      </c>
      <c r="F25" s="2309">
        <v>3628.3333333333335</v>
      </c>
      <c r="G25" s="2306">
        <v>4213</v>
      </c>
      <c r="H25" s="2284">
        <v>-584.66666666666652</v>
      </c>
      <c r="I25" s="2129">
        <v>-0.13877680196218051</v>
      </c>
      <c r="J25" s="2305"/>
    </row>
    <row r="26" spans="1:10" ht="15.75" thickBot="1">
      <c r="A26" s="2271" t="s">
        <v>7</v>
      </c>
      <c r="B26" s="2108"/>
      <c r="C26" s="2303">
        <v>13949</v>
      </c>
      <c r="D26" s="2304">
        <v>13245</v>
      </c>
      <c r="E26" s="2304">
        <v>12426</v>
      </c>
      <c r="F26" s="2309">
        <v>13206.666666666666</v>
      </c>
      <c r="G26" s="2310">
        <v>11762</v>
      </c>
      <c r="H26" s="2284">
        <v>1444.6666666666661</v>
      </c>
      <c r="I26" s="2129">
        <v>0.12282491639743802</v>
      </c>
      <c r="J26" s="2311"/>
    </row>
    <row r="27" spans="1:10" ht="15.75" thickTop="1">
      <c r="A27" s="2312" t="s">
        <v>472</v>
      </c>
      <c r="B27" s="2313"/>
      <c r="C27" s="2313">
        <f>C9+C13+C22+C23+C24+C25+C26</f>
        <v>117154</v>
      </c>
      <c r="D27" s="2313">
        <f>D9+D13+D22+D23+D24+D25+D26</f>
        <v>86807</v>
      </c>
      <c r="E27" s="2313">
        <f>E9+E13+E22+E23+E24+E25+E26</f>
        <v>107777</v>
      </c>
      <c r="F27" s="2313">
        <f>SUM(F9,F13,F23:F26)</f>
        <v>113150.49999999999</v>
      </c>
      <c r="G27" s="2314">
        <v>93514</v>
      </c>
      <c r="H27" s="2313">
        <v>19552.499999999985</v>
      </c>
      <c r="I27" s="2315">
        <v>0.2090863400132599</v>
      </c>
      <c r="J27" s="2316"/>
    </row>
    <row r="28" spans="1:10">
      <c r="A28" s="2317"/>
      <c r="B28" s="2318"/>
      <c r="C28" s="2318"/>
      <c r="D28" s="2318"/>
      <c r="E28" s="2318"/>
      <c r="F28" s="2318"/>
      <c r="G28" s="2318"/>
      <c r="H28" s="2318"/>
      <c r="I28" s="2166"/>
      <c r="J28" s="2318"/>
    </row>
    <row r="29" spans="1:10">
      <c r="A29" s="2778" t="s">
        <v>588</v>
      </c>
      <c r="B29" s="2779" t="s">
        <v>77</v>
      </c>
      <c r="C29" s="2780"/>
      <c r="D29" s="2780"/>
      <c r="E29" s="2780"/>
      <c r="F29" s="2781"/>
      <c r="G29" s="2319"/>
      <c r="H29" s="2782" t="s">
        <v>77</v>
      </c>
      <c r="I29" s="2783"/>
      <c r="J29" s="2320" t="s">
        <v>1791</v>
      </c>
    </row>
    <row r="30" spans="1:10" ht="15.75">
      <c r="A30" s="2766"/>
      <c r="B30" s="2251" t="s">
        <v>1799</v>
      </c>
      <c r="C30" s="2251" t="s">
        <v>1800</v>
      </c>
      <c r="D30" s="2251" t="s">
        <v>1801</v>
      </c>
      <c r="E30" s="2251" t="s">
        <v>1802</v>
      </c>
      <c r="F30" s="2252" t="s">
        <v>465</v>
      </c>
      <c r="G30" s="2253" t="s">
        <v>1591</v>
      </c>
      <c r="H30" s="2784" t="s">
        <v>464</v>
      </c>
      <c r="I30" s="2785"/>
      <c r="J30" s="2253" t="s">
        <v>1792</v>
      </c>
    </row>
    <row r="31" spans="1:10" ht="15.75" thickBot="1">
      <c r="A31" s="2767"/>
      <c r="B31" s="2321" t="s">
        <v>311</v>
      </c>
      <c r="C31" s="2322" t="s">
        <v>484</v>
      </c>
      <c r="D31" s="2323" t="s">
        <v>311</v>
      </c>
      <c r="E31" s="2255" t="s">
        <v>483</v>
      </c>
      <c r="F31" s="2256" t="s">
        <v>1719</v>
      </c>
      <c r="G31" s="2256" t="s">
        <v>1719</v>
      </c>
      <c r="H31" s="2324" t="s">
        <v>315</v>
      </c>
      <c r="I31" s="2325" t="s">
        <v>316</v>
      </c>
      <c r="J31" s="2260" t="s">
        <v>505</v>
      </c>
    </row>
    <row r="32" spans="1:10" ht="26.25" thickTop="1">
      <c r="A32" s="2174" t="s">
        <v>582</v>
      </c>
      <c r="B32" s="2303">
        <v>41081</v>
      </c>
      <c r="C32" s="2272">
        <v>109421</v>
      </c>
      <c r="D32" s="2299">
        <v>104682</v>
      </c>
      <c r="E32" s="2326">
        <v>99064</v>
      </c>
      <c r="F32" s="2327">
        <v>118082.66666666667</v>
      </c>
      <c r="G32" s="2328">
        <v>132062</v>
      </c>
      <c r="H32" s="2329">
        <v>-13979.333333333328</v>
      </c>
      <c r="I32" s="2096">
        <v>-0.10585432095026071</v>
      </c>
      <c r="J32" s="2330"/>
    </row>
    <row r="33" spans="1:10">
      <c r="A33" s="2182" t="s">
        <v>581</v>
      </c>
      <c r="B33" s="2331">
        <v>3083</v>
      </c>
      <c r="C33" s="2331">
        <f>C34+C35</f>
        <v>5879</v>
      </c>
      <c r="D33" s="2332">
        <f>(D34+D35)</f>
        <v>6184</v>
      </c>
      <c r="E33" s="2333">
        <f>E34+E35</f>
        <v>6421</v>
      </c>
      <c r="F33" s="2334">
        <v>7189</v>
      </c>
      <c r="G33" s="2335">
        <v>7170</v>
      </c>
      <c r="H33" s="2335">
        <v>-7170</v>
      </c>
      <c r="I33" s="2129"/>
      <c r="J33" s="2336"/>
    </row>
    <row r="34" spans="1:10">
      <c r="A34" s="2189" t="s">
        <v>460</v>
      </c>
      <c r="B34" s="2337">
        <v>3050</v>
      </c>
      <c r="C34" s="2338">
        <v>5677</v>
      </c>
      <c r="D34" s="2339">
        <v>5873</v>
      </c>
      <c r="E34" s="2340">
        <v>5931</v>
      </c>
      <c r="F34" s="2341">
        <v>6843.666666666667</v>
      </c>
      <c r="G34" s="2195"/>
      <c r="H34" s="2196"/>
      <c r="I34" s="2129"/>
      <c r="J34" s="2139"/>
    </row>
    <row r="35" spans="1:10">
      <c r="A35" s="2189" t="s">
        <v>459</v>
      </c>
      <c r="B35" s="2337">
        <v>33</v>
      </c>
      <c r="C35" s="2338">
        <v>202</v>
      </c>
      <c r="D35" s="2339">
        <v>311</v>
      </c>
      <c r="E35" s="2340">
        <v>490</v>
      </c>
      <c r="F35" s="2341">
        <v>345.33333333333331</v>
      </c>
      <c r="G35" s="2342"/>
      <c r="H35" s="2196"/>
      <c r="I35" s="2129"/>
      <c r="J35" s="2139"/>
    </row>
    <row r="36" spans="1:10" ht="15.75">
      <c r="A36" s="2343" t="s">
        <v>1607</v>
      </c>
      <c r="B36" s="2344">
        <v>749</v>
      </c>
      <c r="C36" s="2200">
        <v>2798</v>
      </c>
      <c r="D36" s="2299">
        <v>2869</v>
      </c>
      <c r="E36" s="2345">
        <v>2789</v>
      </c>
      <c r="F36" s="2327">
        <v>3068.3333333333335</v>
      </c>
      <c r="G36" s="2346">
        <v>220</v>
      </c>
      <c r="H36" s="2346">
        <v>-220</v>
      </c>
      <c r="I36" s="2129"/>
      <c r="J36" s="2130"/>
    </row>
    <row r="37" spans="1:10" ht="15.75">
      <c r="A37" s="2296" t="s">
        <v>1608</v>
      </c>
      <c r="B37" s="2154">
        <v>60</v>
      </c>
      <c r="C37" s="2154">
        <f>C38+C39+C40+C41+C42</f>
        <v>215</v>
      </c>
      <c r="D37" s="2110">
        <f>D38+D39+D40+D41</f>
        <v>180</v>
      </c>
      <c r="E37" s="2300">
        <f>E38+E39+E40+E41</f>
        <v>223</v>
      </c>
      <c r="F37" s="2154">
        <v>225.66666666666666</v>
      </c>
      <c r="G37" s="2346">
        <v>165</v>
      </c>
      <c r="H37" s="2346">
        <v>-165</v>
      </c>
      <c r="I37" s="2129">
        <v>-1</v>
      </c>
      <c r="J37" s="2130"/>
    </row>
    <row r="38" spans="1:10">
      <c r="A38" s="2293" t="s">
        <v>455</v>
      </c>
      <c r="B38" s="2281">
        <v>28</v>
      </c>
      <c r="C38" s="2338">
        <v>79</v>
      </c>
      <c r="D38" s="2268">
        <v>77</v>
      </c>
      <c r="E38" s="2282">
        <v>79</v>
      </c>
      <c r="F38" s="2205">
        <v>81.666666666666671</v>
      </c>
      <c r="G38" s="2206"/>
      <c r="H38" s="2301"/>
      <c r="I38" s="2147"/>
      <c r="J38" s="2139"/>
    </row>
    <row r="39" spans="1:10">
      <c r="A39" s="2293" t="s">
        <v>454</v>
      </c>
      <c r="B39" s="2281">
        <v>32</v>
      </c>
      <c r="C39" s="2338">
        <v>90</v>
      </c>
      <c r="D39" s="2268">
        <v>93</v>
      </c>
      <c r="E39" s="2282">
        <v>97</v>
      </c>
      <c r="F39" s="2205">
        <v>97.333333333333329</v>
      </c>
      <c r="G39" s="2206"/>
      <c r="H39" s="2301"/>
      <c r="I39" s="2147"/>
      <c r="J39" s="2139"/>
    </row>
    <row r="40" spans="1:10">
      <c r="A40" s="2293" t="s">
        <v>453</v>
      </c>
      <c r="B40" s="2124"/>
      <c r="C40" s="2338">
        <v>9</v>
      </c>
      <c r="D40" s="2268">
        <v>10</v>
      </c>
      <c r="E40" s="2282">
        <v>10</v>
      </c>
      <c r="F40" s="2205">
        <v>9.6666666666666661</v>
      </c>
      <c r="G40" s="2206"/>
      <c r="H40" s="2301"/>
      <c r="I40" s="2147"/>
      <c r="J40" s="2139"/>
    </row>
    <row r="41" spans="1:10">
      <c r="A41" s="2293" t="s">
        <v>1152</v>
      </c>
      <c r="B41" s="2124"/>
      <c r="C41" s="2338">
        <v>37</v>
      </c>
      <c r="D41" s="2269"/>
      <c r="E41" s="2282">
        <v>37</v>
      </c>
      <c r="F41" s="2205">
        <v>37</v>
      </c>
      <c r="G41" s="2104">
        <v>30</v>
      </c>
      <c r="H41" s="2301"/>
      <c r="I41" s="2147"/>
      <c r="J41" s="2139"/>
    </row>
    <row r="42" spans="1:10" ht="15.75" thickBot="1">
      <c r="A42" s="2293" t="s">
        <v>577</v>
      </c>
      <c r="B42" s="2124"/>
      <c r="C42" s="2347"/>
      <c r="D42" s="2348"/>
      <c r="E42" s="2348"/>
      <c r="F42" s="2210"/>
      <c r="G42" s="2104">
        <v>10</v>
      </c>
      <c r="H42" s="2301"/>
      <c r="I42" s="2147"/>
      <c r="J42" s="2139"/>
    </row>
    <row r="43" spans="1:10" ht="16.5" thickTop="1">
      <c r="A43" s="2349" t="s">
        <v>1609</v>
      </c>
      <c r="B43" s="2350">
        <v>44964</v>
      </c>
      <c r="C43" s="2350">
        <f>C32+C33+C36+C37</f>
        <v>118313</v>
      </c>
      <c r="D43" s="2350">
        <f>D32+D33+D36+D37</f>
        <v>113915</v>
      </c>
      <c r="E43" s="2350">
        <f>E32+E33+E36+E37</f>
        <v>108497</v>
      </c>
      <c r="F43" s="2350">
        <v>128565.66666666667</v>
      </c>
      <c r="G43" s="2351">
        <v>139927</v>
      </c>
      <c r="H43" s="2214">
        <v>-11361.333333333328</v>
      </c>
      <c r="I43" s="2215">
        <v>-8.1194718198298599E-2</v>
      </c>
      <c r="J43" s="2216"/>
    </row>
    <row r="44" spans="1:10" ht="15.75" thickBot="1">
      <c r="A44" s="2352"/>
      <c r="B44" s="2353"/>
      <c r="C44" s="2354"/>
      <c r="D44" s="2354"/>
      <c r="E44" s="2354"/>
      <c r="F44" s="2354"/>
      <c r="G44" s="2353"/>
      <c r="H44" s="2355"/>
      <c r="I44" s="2356"/>
      <c r="J44" s="2222"/>
    </row>
    <row r="45" spans="1:10" ht="16.5" thickTop="1" thickBot="1">
      <c r="A45" s="2357" t="s">
        <v>448</v>
      </c>
      <c r="B45" s="2358"/>
      <c r="C45" s="2358"/>
      <c r="D45" s="2359"/>
      <c r="E45" s="2359"/>
      <c r="F45" s="2360">
        <v>241632.16666666666</v>
      </c>
      <c r="G45" s="2361">
        <v>233441</v>
      </c>
      <c r="H45" s="2361">
        <v>8191.166666666657</v>
      </c>
      <c r="I45" s="2228">
        <v>3.5088809020980279E-2</v>
      </c>
      <c r="J45" s="2075"/>
    </row>
    <row r="46" spans="1:10" ht="15.75" thickTop="1">
      <c r="A46" s="2362"/>
      <c r="B46" s="2363"/>
      <c r="C46" s="2363"/>
      <c r="D46" s="2364"/>
      <c r="E46" s="2364"/>
      <c r="F46" s="2364"/>
      <c r="G46" s="2364"/>
      <c r="H46" s="2364"/>
      <c r="I46" s="2365"/>
      <c r="J46" s="2075"/>
    </row>
    <row r="47" spans="1:10">
      <c r="A47" s="2233" t="s">
        <v>574</v>
      </c>
      <c r="B47" s="2366">
        <v>1</v>
      </c>
      <c r="C47" s="2235">
        <v>22708</v>
      </c>
      <c r="D47" s="2236">
        <v>22131</v>
      </c>
      <c r="E47" s="2237">
        <v>21138</v>
      </c>
      <c r="F47" s="2238">
        <v>21992.666666666668</v>
      </c>
      <c r="G47" s="2239">
        <v>11558</v>
      </c>
      <c r="H47" s="2240">
        <v>10434.666666666668</v>
      </c>
      <c r="I47" s="2241">
        <v>0.90280902116859907</v>
      </c>
      <c r="J47" s="2071"/>
    </row>
    <row r="48" spans="1:10">
      <c r="A48" s="2367"/>
      <c r="B48" s="2363"/>
      <c r="C48" s="2363"/>
      <c r="D48" s="2364"/>
      <c r="E48" s="2364"/>
      <c r="F48" s="2364"/>
      <c r="G48" s="2364"/>
      <c r="H48" s="2368"/>
      <c r="I48" s="2365"/>
      <c r="J48" s="2071"/>
    </row>
    <row r="49" spans="1:10" ht="87.75" customHeight="1">
      <c r="A49" s="2774" t="s">
        <v>1793</v>
      </c>
      <c r="B49" s="2774"/>
      <c r="C49" s="2774"/>
      <c r="D49" s="2774"/>
      <c r="E49" s="2774"/>
      <c r="F49" s="2774"/>
      <c r="G49" s="2774"/>
      <c r="H49" s="2774"/>
      <c r="I49" s="2774"/>
      <c r="J49" s="2244"/>
    </row>
    <row r="50" spans="1:10" ht="16.5">
      <c r="A50" s="2777" t="s">
        <v>1794</v>
      </c>
      <c r="B50" s="2777"/>
      <c r="C50" s="2777"/>
      <c r="D50" s="2777"/>
      <c r="E50" s="2777"/>
      <c r="F50" s="2777"/>
      <c r="G50" s="2777"/>
      <c r="H50" s="2777"/>
      <c r="I50" s="2777"/>
      <c r="J50" s="2777"/>
    </row>
    <row r="51" spans="1:10" ht="15.75">
      <c r="A51" s="2775" t="s">
        <v>1681</v>
      </c>
      <c r="B51" s="2775"/>
      <c r="C51" s="2775"/>
      <c r="D51" s="2775"/>
      <c r="E51" s="2775"/>
      <c r="F51" s="2775"/>
      <c r="G51" s="2775"/>
      <c r="H51" s="2775"/>
      <c r="I51" s="2775"/>
      <c r="J51" s="2775"/>
    </row>
    <row r="52" spans="1:10" ht="32.25" customHeight="1">
      <c r="A52" s="2776" t="s">
        <v>1795</v>
      </c>
      <c r="B52" s="2775"/>
      <c r="C52" s="2775"/>
      <c r="D52" s="2775"/>
      <c r="E52" s="2775"/>
      <c r="F52" s="2775"/>
      <c r="G52" s="2775"/>
      <c r="H52" s="2775"/>
      <c r="I52" s="2775"/>
      <c r="J52" s="2775"/>
    </row>
    <row r="53" spans="1:10" ht="16.5">
      <c r="A53" s="2777" t="s">
        <v>1796</v>
      </c>
      <c r="B53" s="2777"/>
      <c r="C53" s="2777"/>
      <c r="D53" s="2777"/>
      <c r="E53" s="2777"/>
      <c r="F53" s="2777"/>
      <c r="G53" s="2777"/>
      <c r="H53" s="2777"/>
      <c r="I53" s="2777"/>
      <c r="J53" s="2777"/>
    </row>
    <row r="54" spans="1:10" ht="16.5">
      <c r="A54" s="2764" t="s">
        <v>1797</v>
      </c>
      <c r="B54" s="2764"/>
      <c r="C54" s="2764"/>
      <c r="D54" s="2764"/>
      <c r="E54" s="2764"/>
      <c r="F54" s="2764"/>
      <c r="G54" s="2764"/>
      <c r="H54" s="2764"/>
      <c r="I54" s="2764"/>
      <c r="J54" s="2764"/>
    </row>
  </sheetData>
  <mergeCells count="17">
    <mergeCell ref="A2:J2"/>
    <mergeCell ref="A3:J3"/>
    <mergeCell ref="A4:I4"/>
    <mergeCell ref="B6:F6"/>
    <mergeCell ref="G6:G7"/>
    <mergeCell ref="H6:I6"/>
    <mergeCell ref="H7:I7"/>
    <mergeCell ref="A51:J51"/>
    <mergeCell ref="A52:J52"/>
    <mergeCell ref="A53:J53"/>
    <mergeCell ref="A54:J54"/>
    <mergeCell ref="A29:A31"/>
    <mergeCell ref="B29:F29"/>
    <mergeCell ref="H29:I29"/>
    <mergeCell ref="H30:I30"/>
    <mergeCell ref="A49:I49"/>
    <mergeCell ref="A50:J50"/>
  </mergeCells>
  <pageMargins left="0.7" right="0.7" top="0.75" bottom="0.75" header="0.3" footer="0.3"/>
  <pageSetup paperSize="0" orientation="portrait" horizontalDpi="0" verticalDpi="0" copies="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52F83-0261-42AD-9CEB-2CA06F3E9534}">
  <sheetPr codeName="Sheet47">
    <tabColor rgb="FFFFFF00"/>
  </sheetPr>
  <dimension ref="A1:J54"/>
  <sheetViews>
    <sheetView zoomScale="90" zoomScaleNormal="90" workbookViewId="0">
      <selection activeCell="F27" sqref="F27"/>
    </sheetView>
  </sheetViews>
  <sheetFormatPr defaultRowHeight="15"/>
  <cols>
    <col min="1" max="1" width="28.5" style="2394" customWidth="1"/>
    <col min="2" max="2" width="9.625" style="2394" bestFit="1" customWidth="1"/>
    <col min="3" max="3" width="8" style="2394" customWidth="1"/>
    <col min="4" max="4" width="9.125" style="2394" bestFit="1" customWidth="1"/>
    <col min="5" max="5" width="9.25" style="2394" bestFit="1" customWidth="1"/>
    <col min="6" max="6" width="9.75" style="2394" customWidth="1"/>
    <col min="7" max="8" width="9.125" style="2394" bestFit="1" customWidth="1"/>
    <col min="9" max="9" width="8.625" style="2394" bestFit="1" customWidth="1"/>
    <col min="10" max="10" width="0" style="2394" hidden="1" customWidth="1"/>
    <col min="11" max="16384" width="9" style="2394"/>
  </cols>
  <sheetData>
    <row r="1" spans="1:10">
      <c r="A1" s="2071"/>
      <c r="B1" s="2071"/>
      <c r="C1" s="2071"/>
      <c r="D1" s="2071"/>
      <c r="E1" s="2071"/>
      <c r="F1" s="2071"/>
      <c r="G1" s="2071"/>
      <c r="H1" s="2071"/>
      <c r="I1" s="2071"/>
      <c r="J1" s="2071"/>
    </row>
    <row r="2" spans="1:10">
      <c r="A2" s="2786" t="s">
        <v>297</v>
      </c>
      <c r="B2" s="2786"/>
      <c r="C2" s="2786"/>
      <c r="D2" s="2786"/>
      <c r="E2" s="2786"/>
      <c r="F2" s="2786"/>
      <c r="G2" s="2786"/>
      <c r="H2" s="2786"/>
      <c r="I2" s="2786"/>
      <c r="J2" s="2786"/>
    </row>
    <row r="3" spans="1:10" ht="15.75">
      <c r="A3" s="2787" t="s">
        <v>1836</v>
      </c>
      <c r="B3" s="2787"/>
      <c r="C3" s="2787"/>
      <c r="D3" s="2787"/>
      <c r="E3" s="2787"/>
      <c r="F3" s="2787"/>
      <c r="G3" s="2787"/>
      <c r="H3" s="2787"/>
      <c r="I3" s="2787"/>
      <c r="J3" s="2787"/>
    </row>
    <row r="4" spans="1:10">
      <c r="A4" s="2787" t="s">
        <v>1847</v>
      </c>
      <c r="B4" s="2787"/>
      <c r="C4" s="2787"/>
      <c r="D4" s="2787"/>
      <c r="E4" s="2787"/>
      <c r="F4" s="2787"/>
      <c r="G4" s="2787"/>
      <c r="H4" s="2787"/>
      <c r="I4" s="2787"/>
      <c r="J4" s="2393"/>
    </row>
    <row r="5" spans="1:10">
      <c r="A5" s="2247"/>
      <c r="B5" s="2247"/>
      <c r="C5" s="2247"/>
      <c r="D5" s="2247"/>
      <c r="E5" s="2247"/>
      <c r="F5" s="2247"/>
      <c r="G5" s="2247"/>
      <c r="H5" s="2075"/>
      <c r="I5" s="2247"/>
      <c r="J5" s="2075"/>
    </row>
    <row r="6" spans="1:10">
      <c r="A6" s="2248"/>
      <c r="B6" s="2788" t="s">
        <v>300</v>
      </c>
      <c r="C6" s="2789"/>
      <c r="D6" s="2789"/>
      <c r="E6" s="2789"/>
      <c r="F6" s="2790"/>
      <c r="G6" s="2791" t="s">
        <v>1790</v>
      </c>
      <c r="H6" s="2796" t="s">
        <v>77</v>
      </c>
      <c r="I6" s="2797"/>
      <c r="J6" s="2249" t="s">
        <v>1791</v>
      </c>
    </row>
    <row r="7" spans="1:10">
      <c r="A7" s="2250" t="s">
        <v>485</v>
      </c>
      <c r="B7" s="2251" t="s">
        <v>1848</v>
      </c>
      <c r="C7" s="2251" t="s">
        <v>1849</v>
      </c>
      <c r="D7" s="2251" t="s">
        <v>1850</v>
      </c>
      <c r="E7" s="2251" t="s">
        <v>1851</v>
      </c>
      <c r="F7" s="2252" t="s">
        <v>465</v>
      </c>
      <c r="G7" s="2792"/>
      <c r="H7" s="2794" t="s">
        <v>464</v>
      </c>
      <c r="I7" s="2795"/>
      <c r="J7" s="2253" t="s">
        <v>1792</v>
      </c>
    </row>
    <row r="8" spans="1:10" ht="15.75" thickBot="1">
      <c r="A8" s="2254" t="s">
        <v>310</v>
      </c>
      <c r="B8" s="2251" t="s">
        <v>311</v>
      </c>
      <c r="C8" s="2255" t="s">
        <v>484</v>
      </c>
      <c r="D8" s="2256" t="s">
        <v>311</v>
      </c>
      <c r="E8" s="2255" t="s">
        <v>483</v>
      </c>
      <c r="F8" s="2256" t="s">
        <v>1720</v>
      </c>
      <c r="G8" s="2257" t="s">
        <v>1719</v>
      </c>
      <c r="H8" s="2258" t="s">
        <v>315</v>
      </c>
      <c r="I8" s="2259" t="s">
        <v>316</v>
      </c>
      <c r="J8" s="2260" t="s">
        <v>505</v>
      </c>
    </row>
    <row r="9" spans="1:10" ht="15.75" thickTop="1">
      <c r="A9" s="2261" t="s">
        <v>2</v>
      </c>
      <c r="B9" s="2090"/>
      <c r="C9" s="2262">
        <f>C10+C11+C12</f>
        <v>51574</v>
      </c>
      <c r="D9" s="2263">
        <f>D10+D11+D12</f>
        <v>50468</v>
      </c>
      <c r="E9" s="2263">
        <f>E10+E11+E12</f>
        <v>47368</v>
      </c>
      <c r="F9" s="2093">
        <f>F10+F11+F12</f>
        <v>49803.333333333328</v>
      </c>
      <c r="G9" s="2264">
        <v>37162</v>
      </c>
      <c r="H9" s="2095">
        <f t="shared" ref="H9:H27" si="0">F9-G9</f>
        <v>12641.333333333328</v>
      </c>
      <c r="I9" s="2096">
        <f t="shared" ref="I9:I27" si="1">H9/G9</f>
        <v>0.3401682722494303</v>
      </c>
      <c r="J9" s="2265"/>
    </row>
    <row r="10" spans="1:10">
      <c r="A10" s="2266" t="s">
        <v>1159</v>
      </c>
      <c r="B10" s="2099"/>
      <c r="C10" s="2267">
        <v>41475</v>
      </c>
      <c r="D10" s="2268">
        <v>40554</v>
      </c>
      <c r="E10" s="2268">
        <v>38070</v>
      </c>
      <c r="F10" s="2395">
        <f>(C10+D10+E10)/3</f>
        <v>40033</v>
      </c>
      <c r="G10" s="2103">
        <v>32703</v>
      </c>
      <c r="H10" s="2104">
        <f t="shared" si="0"/>
        <v>7330</v>
      </c>
      <c r="I10" s="2105">
        <f t="shared" si="1"/>
        <v>0.22413845824542092</v>
      </c>
      <c r="J10" s="2270"/>
    </row>
    <row r="11" spans="1:10">
      <c r="A11" s="2266" t="s">
        <v>479</v>
      </c>
      <c r="B11" s="2099"/>
      <c r="C11" s="2267">
        <v>5252</v>
      </c>
      <c r="D11" s="2268">
        <v>5174</v>
      </c>
      <c r="E11" s="2268">
        <v>4945</v>
      </c>
      <c r="F11" s="2395">
        <f t="shared" ref="F11:F12" si="2">(C11+D11+E11)/3</f>
        <v>5123.666666666667</v>
      </c>
      <c r="G11" s="2103">
        <v>2045</v>
      </c>
      <c r="H11" s="2104">
        <f t="shared" si="0"/>
        <v>3078.666666666667</v>
      </c>
      <c r="I11" s="2105">
        <f t="shared" si="1"/>
        <v>1.5054604726976366</v>
      </c>
      <c r="J11" s="2270"/>
    </row>
    <row r="12" spans="1:10">
      <c r="A12" s="2266" t="s">
        <v>478</v>
      </c>
      <c r="B12" s="2099"/>
      <c r="C12" s="2267">
        <v>4847</v>
      </c>
      <c r="D12" s="2268">
        <v>4740</v>
      </c>
      <c r="E12" s="2268">
        <v>4353</v>
      </c>
      <c r="F12" s="2395">
        <f t="shared" si="2"/>
        <v>4646.666666666667</v>
      </c>
      <c r="G12" s="2103">
        <v>2414</v>
      </c>
      <c r="H12" s="2104">
        <f t="shared" si="0"/>
        <v>2232.666666666667</v>
      </c>
      <c r="I12" s="2105">
        <f t="shared" si="1"/>
        <v>0.92488262910798136</v>
      </c>
      <c r="J12" s="2270"/>
    </row>
    <row r="13" spans="1:10">
      <c r="A13" s="2271" t="s">
        <v>590</v>
      </c>
      <c r="B13" s="2108"/>
      <c r="C13" s="2272">
        <f>C14+C15+C16+C17</f>
        <v>28603</v>
      </c>
      <c r="D13" s="2110">
        <f>D14+D15+D16+D17</f>
        <v>194</v>
      </c>
      <c r="E13" s="2273">
        <f>E14+E15+E16+E17</f>
        <v>26246</v>
      </c>
      <c r="F13" s="2274">
        <f>F14+F15+F16+F17+F22</f>
        <v>27613.333333333332</v>
      </c>
      <c r="G13" s="2113">
        <v>22538</v>
      </c>
      <c r="H13" s="2114">
        <f t="shared" si="0"/>
        <v>5075.3333333333321</v>
      </c>
      <c r="I13" s="2115">
        <f t="shared" si="1"/>
        <v>0.22519004939805359</v>
      </c>
      <c r="J13" s="2275"/>
    </row>
    <row r="14" spans="1:10">
      <c r="A14" s="2277" t="s">
        <v>589</v>
      </c>
      <c r="B14" s="2099"/>
      <c r="C14" s="2267">
        <v>24218</v>
      </c>
      <c r="D14" s="2118"/>
      <c r="E14" s="2268">
        <v>22124</v>
      </c>
      <c r="F14" s="2278">
        <f>(C14+E14)/2</f>
        <v>23171</v>
      </c>
      <c r="G14" s="2120">
        <v>19250</v>
      </c>
      <c r="H14" s="2279">
        <f t="shared" si="0"/>
        <v>3921</v>
      </c>
      <c r="I14" s="2122">
        <f t="shared" si="1"/>
        <v>0.2036883116883117</v>
      </c>
      <c r="J14" s="2280"/>
    </row>
    <row r="15" spans="1:10">
      <c r="A15" s="2266" t="s">
        <v>474</v>
      </c>
      <c r="B15" s="2099"/>
      <c r="C15" s="2267">
        <v>1355</v>
      </c>
      <c r="D15" s="2118"/>
      <c r="E15" s="2268">
        <v>1263</v>
      </c>
      <c r="F15" s="2278">
        <f>(C15+E15)/2</f>
        <v>1309</v>
      </c>
      <c r="G15" s="2120">
        <v>865</v>
      </c>
      <c r="H15" s="2279">
        <f t="shared" si="0"/>
        <v>444</v>
      </c>
      <c r="I15" s="2122">
        <f t="shared" si="1"/>
        <v>0.51329479768786124</v>
      </c>
      <c r="J15" s="2280"/>
    </row>
    <row r="16" spans="1:10">
      <c r="A16" s="2277" t="s">
        <v>473</v>
      </c>
      <c r="B16" s="2099"/>
      <c r="C16" s="2267">
        <v>2788</v>
      </c>
      <c r="D16" s="2118"/>
      <c r="E16" s="2268">
        <v>2670</v>
      </c>
      <c r="F16" s="2278">
        <f>(C16+E16)/2</f>
        <v>2729</v>
      </c>
      <c r="G16" s="2120">
        <v>2113</v>
      </c>
      <c r="H16" s="2279">
        <f t="shared" si="0"/>
        <v>616</v>
      </c>
      <c r="I16" s="2122">
        <f t="shared" si="1"/>
        <v>0.29152863227638431</v>
      </c>
      <c r="J16" s="2280"/>
    </row>
    <row r="17" spans="1:10" ht="15.75">
      <c r="A17" s="2277" t="s">
        <v>1606</v>
      </c>
      <c r="B17" s="2124">
        <f>B18+B19+B20+B21</f>
        <v>98</v>
      </c>
      <c r="C17" s="2281">
        <v>242</v>
      </c>
      <c r="D17" s="2282">
        <v>194</v>
      </c>
      <c r="E17" s="2282">
        <v>189</v>
      </c>
      <c r="F17" s="2124">
        <f>F18+F19+F20+F21</f>
        <v>241</v>
      </c>
      <c r="G17" s="2283">
        <v>310</v>
      </c>
      <c r="H17" s="2284">
        <f>F17-G17</f>
        <v>-69</v>
      </c>
      <c r="I17" s="2129">
        <f>H17/G17</f>
        <v>-0.22258064516129034</v>
      </c>
      <c r="J17" s="2130"/>
    </row>
    <row r="18" spans="1:10">
      <c r="A18" s="2285" t="s">
        <v>93</v>
      </c>
      <c r="B18" s="2286">
        <v>15</v>
      </c>
      <c r="C18" s="2287">
        <v>23</v>
      </c>
      <c r="D18" s="2288">
        <v>16</v>
      </c>
      <c r="E18" s="2289">
        <v>11</v>
      </c>
      <c r="F18" s="2135">
        <f>(B18+C18+D18+E18)/3</f>
        <v>21.666666666666668</v>
      </c>
      <c r="G18" s="2290"/>
      <c r="H18" s="2137"/>
      <c r="I18" s="2138"/>
      <c r="J18" s="2139"/>
    </row>
    <row r="19" spans="1:10">
      <c r="A19" s="2285" t="s">
        <v>96</v>
      </c>
      <c r="B19" s="2291">
        <v>0</v>
      </c>
      <c r="C19" s="2292">
        <v>0</v>
      </c>
      <c r="D19" s="2288">
        <v>0</v>
      </c>
      <c r="E19" s="2289">
        <v>0</v>
      </c>
      <c r="F19" s="2135">
        <v>0</v>
      </c>
      <c r="G19" s="2290"/>
      <c r="H19" s="2137"/>
      <c r="I19" s="2138"/>
      <c r="J19" s="2139"/>
    </row>
    <row r="20" spans="1:10">
      <c r="A20" s="2285" t="s">
        <v>98</v>
      </c>
      <c r="B20" s="2291">
        <v>59</v>
      </c>
      <c r="C20" s="2292">
        <v>197</v>
      </c>
      <c r="D20" s="2288">
        <v>158</v>
      </c>
      <c r="E20" s="2289">
        <v>144</v>
      </c>
      <c r="F20" s="2135">
        <f>(B20+C20+D20+E20)/3</f>
        <v>186</v>
      </c>
      <c r="G20" s="2290"/>
      <c r="H20" s="2137"/>
      <c r="I20" s="2138"/>
      <c r="J20" s="2139"/>
    </row>
    <row r="21" spans="1:10">
      <c r="A21" s="2293" t="s">
        <v>1150</v>
      </c>
      <c r="B21" s="2294">
        <v>24</v>
      </c>
      <c r="C21" s="2292">
        <v>22</v>
      </c>
      <c r="D21" s="2288">
        <v>20</v>
      </c>
      <c r="E21" s="2289">
        <v>34</v>
      </c>
      <c r="F21" s="2144">
        <f>(B21+C21+D21+E21)/3</f>
        <v>33.333333333333336</v>
      </c>
      <c r="G21" s="2295">
        <v>25</v>
      </c>
      <c r="H21" s="2146">
        <f>F21-G21</f>
        <v>8.3333333333333357</v>
      </c>
      <c r="I21" s="2147">
        <f>H21/G21</f>
        <v>0.33333333333333343</v>
      </c>
      <c r="J21" s="2139"/>
    </row>
    <row r="22" spans="1:10">
      <c r="A22" s="2410" t="s">
        <v>1837</v>
      </c>
      <c r="B22" s="2297"/>
      <c r="C22" s="2298">
        <v>174</v>
      </c>
      <c r="D22" s="2299">
        <v>168</v>
      </c>
      <c r="E22" s="2300">
        <v>148</v>
      </c>
      <c r="F22" s="2144">
        <f>SUM(C22:E22)/3</f>
        <v>163.33333333333334</v>
      </c>
      <c r="G22" s="2295"/>
      <c r="H22" s="2301"/>
      <c r="I22" s="2147"/>
      <c r="J22" s="2139"/>
    </row>
    <row r="23" spans="1:10">
      <c r="A23" s="2302" t="s">
        <v>5</v>
      </c>
      <c r="B23" s="2108"/>
      <c r="C23" s="2303">
        <v>10229</v>
      </c>
      <c r="D23" s="2304">
        <v>9856</v>
      </c>
      <c r="E23" s="2304">
        <v>9338</v>
      </c>
      <c r="F23" s="2305">
        <f>SUM(C23+D23+E23)/3</f>
        <v>9807.6666666666661</v>
      </c>
      <c r="G23" s="2306">
        <v>9105</v>
      </c>
      <c r="H23" s="2284">
        <f t="shared" si="0"/>
        <v>702.66666666666606</v>
      </c>
      <c r="I23" s="2129">
        <f t="shared" si="1"/>
        <v>7.7173714076514674E-2</v>
      </c>
      <c r="J23" s="2307"/>
    </row>
    <row r="24" spans="1:10">
      <c r="A24" s="2302" t="s">
        <v>4</v>
      </c>
      <c r="B24" s="2154"/>
      <c r="C24" s="2303">
        <v>11162</v>
      </c>
      <c r="D24" s="2304">
        <v>9867</v>
      </c>
      <c r="E24" s="2304">
        <v>9841</v>
      </c>
      <c r="F24" s="2305">
        <f>SUM(C24+D24+E24)/3</f>
        <v>10290</v>
      </c>
      <c r="G24" s="2306">
        <v>8734</v>
      </c>
      <c r="H24" s="2284">
        <f t="shared" si="0"/>
        <v>1556</v>
      </c>
      <c r="I24" s="2129">
        <f t="shared" si="1"/>
        <v>0.17815433936340738</v>
      </c>
      <c r="J24" s="2305"/>
    </row>
    <row r="25" spans="1:10">
      <c r="A25" s="2302" t="s">
        <v>6</v>
      </c>
      <c r="B25" s="2308"/>
      <c r="C25" s="2303">
        <v>3292</v>
      </c>
      <c r="D25" s="2304">
        <v>3114</v>
      </c>
      <c r="E25" s="2304">
        <v>2907</v>
      </c>
      <c r="F25" s="2309">
        <f>(C25+D25+E25)/3</f>
        <v>3104.3333333333335</v>
      </c>
      <c r="G25" s="2306">
        <v>4213</v>
      </c>
      <c r="H25" s="2284">
        <f t="shared" si="0"/>
        <v>-1108.6666666666665</v>
      </c>
      <c r="I25" s="2129">
        <f t="shared" si="1"/>
        <v>-0.26315373051665475</v>
      </c>
      <c r="J25" s="2305"/>
    </row>
    <row r="26" spans="1:10" ht="15.75" thickBot="1">
      <c r="A26" s="2271" t="s">
        <v>7</v>
      </c>
      <c r="B26" s="2108"/>
      <c r="C26" s="2303">
        <v>14126</v>
      </c>
      <c r="D26" s="2304">
        <v>13437</v>
      </c>
      <c r="E26" s="2304">
        <v>12504</v>
      </c>
      <c r="F26" s="2309">
        <f>SUM(C26+D26+E26)/3</f>
        <v>13355.666666666666</v>
      </c>
      <c r="G26" s="2310">
        <v>11762</v>
      </c>
      <c r="H26" s="2284">
        <f t="shared" si="0"/>
        <v>1593.6666666666661</v>
      </c>
      <c r="I26" s="2129">
        <f t="shared" si="1"/>
        <v>0.13549283001757065</v>
      </c>
      <c r="J26" s="2311"/>
    </row>
    <row r="27" spans="1:10" ht="15.75" thickTop="1">
      <c r="A27" s="2312" t="s">
        <v>472</v>
      </c>
      <c r="B27" s="2313"/>
      <c r="C27" s="2313">
        <f>C9+C13+C22+C23+C24+C25+C26</f>
        <v>119160</v>
      </c>
      <c r="D27" s="2313">
        <f>D9+D13+D22+D23+D24+D25+D26</f>
        <v>87104</v>
      </c>
      <c r="E27" s="2313">
        <f>E9+E13+E22+E23+E24+E25+E26</f>
        <v>108352</v>
      </c>
      <c r="F27" s="2313">
        <f>F9+F13+F23+F24+F25+F26</f>
        <v>113974.33333333333</v>
      </c>
      <c r="G27" s="2314">
        <v>93849</v>
      </c>
      <c r="H27" s="2313">
        <f t="shared" si="0"/>
        <v>20125.333333333328</v>
      </c>
      <c r="I27" s="2315">
        <f t="shared" si="1"/>
        <v>0.21444376960152295</v>
      </c>
      <c r="J27" s="2316"/>
    </row>
    <row r="28" spans="1:10">
      <c r="A28" s="2317"/>
      <c r="B28" s="2318"/>
      <c r="C28" s="2318"/>
      <c r="D28" s="2318"/>
      <c r="E28" s="2318"/>
      <c r="F28" s="2318"/>
      <c r="G28" s="2318"/>
      <c r="H28" s="2318"/>
      <c r="I28" s="2166"/>
      <c r="J28" s="2318"/>
    </row>
    <row r="29" spans="1:10">
      <c r="A29" s="2778" t="s">
        <v>588</v>
      </c>
      <c r="B29" s="2779" t="s">
        <v>77</v>
      </c>
      <c r="C29" s="2780"/>
      <c r="D29" s="2780"/>
      <c r="E29" s="2780"/>
      <c r="F29" s="2781"/>
      <c r="G29" s="2319"/>
      <c r="H29" s="2798" t="s">
        <v>77</v>
      </c>
      <c r="I29" s="2797"/>
      <c r="J29" s="2320" t="s">
        <v>1791</v>
      </c>
    </row>
    <row r="30" spans="1:10" ht="15.75">
      <c r="A30" s="2766"/>
      <c r="B30" s="2251" t="s">
        <v>1848</v>
      </c>
      <c r="C30" s="2251" t="s">
        <v>1849</v>
      </c>
      <c r="D30" s="2251" t="s">
        <v>1850</v>
      </c>
      <c r="E30" s="2251" t="s">
        <v>1851</v>
      </c>
      <c r="F30" s="2252" t="s">
        <v>465</v>
      </c>
      <c r="G30" s="2253" t="s">
        <v>1591</v>
      </c>
      <c r="H30" s="2784" t="s">
        <v>464</v>
      </c>
      <c r="I30" s="2785"/>
      <c r="J30" s="2253" t="s">
        <v>1792</v>
      </c>
    </row>
    <row r="31" spans="1:10" ht="15.75" thickBot="1">
      <c r="A31" s="2767"/>
      <c r="B31" s="2321" t="s">
        <v>311</v>
      </c>
      <c r="C31" s="2322" t="s">
        <v>484</v>
      </c>
      <c r="D31" s="2323" t="s">
        <v>311</v>
      </c>
      <c r="E31" s="2255" t="s">
        <v>483</v>
      </c>
      <c r="F31" s="2396" t="s">
        <v>1720</v>
      </c>
      <c r="G31" s="2256" t="s">
        <v>1720</v>
      </c>
      <c r="H31" s="2324" t="s">
        <v>315</v>
      </c>
      <c r="I31" s="2325" t="s">
        <v>316</v>
      </c>
      <c r="J31" s="2260" t="s">
        <v>505</v>
      </c>
    </row>
    <row r="32" spans="1:10" ht="26.25" thickTop="1">
      <c r="A32" s="2174" t="s">
        <v>582</v>
      </c>
      <c r="B32" s="2303">
        <v>39801</v>
      </c>
      <c r="C32" s="2272">
        <v>105158</v>
      </c>
      <c r="D32" s="2299">
        <v>99572</v>
      </c>
      <c r="E32" s="2326">
        <v>93204</v>
      </c>
      <c r="F32" s="2327">
        <f>(B32+C32+D32+E32)/3</f>
        <v>112578.33333333333</v>
      </c>
      <c r="G32" s="2328">
        <v>120300</v>
      </c>
      <c r="H32" s="2329">
        <f>F32-G32</f>
        <v>-7721.6666666666715</v>
      </c>
      <c r="I32" s="2096">
        <f>H32/G32</f>
        <v>-6.4186755333887541E-2</v>
      </c>
      <c r="J32" s="2330"/>
    </row>
    <row r="33" spans="1:10">
      <c r="A33" s="2182" t="s">
        <v>581</v>
      </c>
      <c r="B33" s="2331">
        <v>2868</v>
      </c>
      <c r="C33" s="2331">
        <f>C34+C35</f>
        <v>6196</v>
      </c>
      <c r="D33" s="2331">
        <f>D34+D35</f>
        <v>6545</v>
      </c>
      <c r="E33" s="2332">
        <f>(E34+E35)</f>
        <v>6799</v>
      </c>
      <c r="F33" s="2334">
        <f>(B33+C33+D33+E33)/3</f>
        <v>7469.333333333333</v>
      </c>
      <c r="G33" s="2335">
        <v>7170</v>
      </c>
      <c r="H33" s="2397">
        <f>F33-G33</f>
        <v>299.33333333333303</v>
      </c>
      <c r="I33" s="2129">
        <f>H33/G33</f>
        <v>4.1748024174802376E-2</v>
      </c>
      <c r="J33" s="2336"/>
    </row>
    <row r="34" spans="1:10">
      <c r="A34" s="2189" t="s">
        <v>460</v>
      </c>
      <c r="B34" s="2337">
        <v>2836</v>
      </c>
      <c r="C34" s="2338">
        <v>5986</v>
      </c>
      <c r="D34" s="2339">
        <v>6263</v>
      </c>
      <c r="E34" s="2340">
        <v>6049</v>
      </c>
      <c r="F34" s="2341">
        <f>(B34+C34+D34+E34)/3</f>
        <v>7044.666666666667</v>
      </c>
      <c r="G34" s="2195"/>
      <c r="H34" s="2196"/>
      <c r="I34" s="2129"/>
      <c r="J34" s="2139"/>
    </row>
    <row r="35" spans="1:10">
      <c r="A35" s="2189" t="s">
        <v>459</v>
      </c>
      <c r="B35" s="2337">
        <v>32</v>
      </c>
      <c r="C35" s="2338">
        <v>210</v>
      </c>
      <c r="D35" s="2339">
        <v>282</v>
      </c>
      <c r="E35" s="2340">
        <v>750</v>
      </c>
      <c r="F35" s="2341">
        <f>(B35+C35+D35+E35)/3</f>
        <v>424.66666666666669</v>
      </c>
      <c r="G35" s="2342"/>
      <c r="H35" s="2196"/>
      <c r="I35" s="2129"/>
      <c r="J35" s="2139"/>
    </row>
    <row r="36" spans="1:10" ht="15.75">
      <c r="A36" s="2343" t="s">
        <v>1607</v>
      </c>
      <c r="B36" s="2344">
        <v>993</v>
      </c>
      <c r="C36" s="2200">
        <v>3359</v>
      </c>
      <c r="D36" s="2299">
        <v>3376</v>
      </c>
      <c r="E36" s="2345">
        <v>3280</v>
      </c>
      <c r="F36" s="2327">
        <f>(B36+C36+D36+E36)/3</f>
        <v>3669.3333333333335</v>
      </c>
      <c r="G36" s="2346">
        <v>220</v>
      </c>
      <c r="H36" s="2346">
        <f>F36-G36</f>
        <v>3449.3333333333335</v>
      </c>
      <c r="I36" s="2129">
        <f>H36/G36</f>
        <v>15.67878787878788</v>
      </c>
      <c r="J36" s="2130"/>
    </row>
    <row r="37" spans="1:10" ht="15.75">
      <c r="A37" s="2296" t="s">
        <v>1608</v>
      </c>
      <c r="B37" s="2154">
        <v>80</v>
      </c>
      <c r="C37" s="2154">
        <f>C38+C39+C40+C41+C42</f>
        <v>255</v>
      </c>
      <c r="D37" s="2110">
        <f>D38+D39+D40+D41+E42</f>
        <v>202</v>
      </c>
      <c r="E37" s="2300">
        <f>E38+E39+E40+E41+E42</f>
        <v>215</v>
      </c>
      <c r="F37" s="2154">
        <f>F38+F39+F40+F41+F42</f>
        <v>263.83333333333337</v>
      </c>
      <c r="G37" s="2346">
        <v>165</v>
      </c>
      <c r="H37" s="2346">
        <f>F37-G37</f>
        <v>98.833333333333371</v>
      </c>
      <c r="I37" s="2129">
        <f>H37/G37</f>
        <v>0.59898989898989918</v>
      </c>
      <c r="J37" s="2130"/>
    </row>
    <row r="38" spans="1:10">
      <c r="A38" s="2293" t="s">
        <v>455</v>
      </c>
      <c r="B38" s="2281">
        <v>35</v>
      </c>
      <c r="C38" s="2338">
        <v>73</v>
      </c>
      <c r="D38" s="2268">
        <v>69</v>
      </c>
      <c r="E38" s="2282">
        <v>56</v>
      </c>
      <c r="F38" s="2205">
        <v>77.666666666666671</v>
      </c>
      <c r="G38" s="2206"/>
      <c r="H38" s="2301"/>
      <c r="I38" s="2147"/>
      <c r="J38" s="2139"/>
    </row>
    <row r="39" spans="1:10">
      <c r="A39" s="2293" t="s">
        <v>454</v>
      </c>
      <c r="B39" s="2281">
        <v>41</v>
      </c>
      <c r="C39" s="2338">
        <v>131</v>
      </c>
      <c r="D39" s="2268">
        <v>124</v>
      </c>
      <c r="E39" s="2282">
        <v>110</v>
      </c>
      <c r="F39" s="2205">
        <v>135.33333333333334</v>
      </c>
      <c r="G39" s="2206"/>
      <c r="H39" s="2301"/>
      <c r="I39" s="2147"/>
      <c r="J39" s="2139"/>
    </row>
    <row r="40" spans="1:10">
      <c r="A40" s="2293" t="s">
        <v>453</v>
      </c>
      <c r="B40" s="2124">
        <v>4</v>
      </c>
      <c r="C40" s="2338">
        <v>4</v>
      </c>
      <c r="D40" s="2268">
        <v>4</v>
      </c>
      <c r="E40" s="2282">
        <v>4</v>
      </c>
      <c r="F40" s="2205">
        <v>5.333333333333333</v>
      </c>
      <c r="G40" s="2206"/>
      <c r="H40" s="2301"/>
      <c r="I40" s="2147"/>
      <c r="J40" s="2139"/>
    </row>
    <row r="41" spans="1:10">
      <c r="A41" s="2293" t="s">
        <v>1152</v>
      </c>
      <c r="B41" s="2124">
        <v>0</v>
      </c>
      <c r="C41" s="2338">
        <v>41</v>
      </c>
      <c r="D41" s="2269">
        <v>0</v>
      </c>
      <c r="E41" s="2282">
        <v>40</v>
      </c>
      <c r="F41" s="2205">
        <v>40.5</v>
      </c>
      <c r="G41" s="2104">
        <v>30</v>
      </c>
      <c r="H41" s="2301"/>
      <c r="I41" s="2147"/>
      <c r="J41" s="2139"/>
    </row>
    <row r="42" spans="1:10" ht="15.75" thickBot="1">
      <c r="A42" s="2293" t="s">
        <v>1852</v>
      </c>
      <c r="B42" s="2124">
        <v>0</v>
      </c>
      <c r="C42" s="2338">
        <v>6</v>
      </c>
      <c r="D42" s="2269">
        <v>4</v>
      </c>
      <c r="E42" s="2269">
        <v>5</v>
      </c>
      <c r="F42" s="2205">
        <v>5</v>
      </c>
      <c r="G42" s="2104">
        <v>10</v>
      </c>
      <c r="H42" s="2301"/>
      <c r="I42" s="2147"/>
      <c r="J42" s="2139"/>
    </row>
    <row r="43" spans="1:10" ht="16.5" thickTop="1">
      <c r="A43" s="2349" t="s">
        <v>1609</v>
      </c>
      <c r="B43" s="2350">
        <f>B32+B33+B36+B37</f>
        <v>43742</v>
      </c>
      <c r="C43" s="2350">
        <f>C32+C33+C36+C37</f>
        <v>114968</v>
      </c>
      <c r="D43" s="2350">
        <f t="shared" ref="D43:F43" si="3">D32+D33+D36+D37</f>
        <v>109695</v>
      </c>
      <c r="E43" s="2350">
        <f t="shared" si="3"/>
        <v>103498</v>
      </c>
      <c r="F43" s="2350">
        <f t="shared" si="3"/>
        <v>123980.83333333331</v>
      </c>
      <c r="G43" s="2351">
        <v>139927</v>
      </c>
      <c r="H43" s="2214">
        <f>F43-G43</f>
        <v>-15946.166666666686</v>
      </c>
      <c r="I43" s="2215">
        <f>H43/G43</f>
        <v>-0.11396061279571981</v>
      </c>
      <c r="J43" s="2216"/>
    </row>
    <row r="44" spans="1:10" ht="15.75" thickBot="1">
      <c r="A44" s="2352"/>
      <c r="B44" s="2353"/>
      <c r="C44" s="2354"/>
      <c r="D44" s="2354"/>
      <c r="E44" s="2354"/>
      <c r="F44" s="2354"/>
      <c r="G44" s="2353"/>
      <c r="H44" s="2355"/>
      <c r="I44" s="2356"/>
      <c r="J44" s="2222"/>
    </row>
    <row r="45" spans="1:10" ht="16.5" thickTop="1" thickBot="1">
      <c r="A45" s="2357" t="s">
        <v>448</v>
      </c>
      <c r="B45" s="2358"/>
      <c r="C45" s="2358"/>
      <c r="D45" s="2359"/>
      <c r="E45" s="2359"/>
      <c r="F45" s="2360">
        <f>F27+F43</f>
        <v>237955.16666666663</v>
      </c>
      <c r="G45" s="2361">
        <v>233776</v>
      </c>
      <c r="H45" s="2361">
        <f>H43+H27</f>
        <v>4179.1666666666424</v>
      </c>
      <c r="I45" s="2228">
        <f>H45/G45</f>
        <v>1.7876799443341671E-2</v>
      </c>
      <c r="J45" s="2075"/>
    </row>
    <row r="46" spans="1:10" ht="15.75" thickTop="1">
      <c r="A46" s="2362"/>
      <c r="B46" s="2363"/>
      <c r="C46" s="2363"/>
      <c r="D46" s="2364"/>
      <c r="E46" s="2364"/>
      <c r="F46" s="2364"/>
      <c r="G46" s="2364"/>
      <c r="H46" s="2364"/>
      <c r="I46" s="2365"/>
      <c r="J46" s="2075"/>
    </row>
    <row r="47" spans="1:10">
      <c r="A47" s="2233" t="s">
        <v>574</v>
      </c>
      <c r="B47" s="2366">
        <v>3</v>
      </c>
      <c r="C47" s="2235">
        <v>24194</v>
      </c>
      <c r="D47" s="2236">
        <v>23743</v>
      </c>
      <c r="E47" s="2237">
        <v>22402</v>
      </c>
      <c r="F47" s="2238">
        <f>(B47+C47+D47+E47)/3</f>
        <v>23447.333333333332</v>
      </c>
      <c r="G47" s="2239">
        <v>11558</v>
      </c>
      <c r="H47" s="2240">
        <f>F47-G47</f>
        <v>11889.333333333332</v>
      </c>
      <c r="I47" s="2241">
        <f>H47/G47</f>
        <v>1.0286670127473034</v>
      </c>
      <c r="J47" s="2071"/>
    </row>
    <row r="48" spans="1:10">
      <c r="A48" s="2367"/>
      <c r="B48" s="2363"/>
      <c r="C48" s="2363"/>
      <c r="D48" s="2364"/>
      <c r="E48" s="2364"/>
      <c r="F48" s="2364"/>
      <c r="G48" s="2364"/>
      <c r="H48" s="2368"/>
      <c r="I48" s="2365"/>
      <c r="J48" s="2071"/>
    </row>
    <row r="49" spans="1:10" ht="87" customHeight="1">
      <c r="A49" s="2774" t="s">
        <v>1793</v>
      </c>
      <c r="B49" s="2774"/>
      <c r="C49" s="2774"/>
      <c r="D49" s="2774"/>
      <c r="E49" s="2774"/>
      <c r="F49" s="2774"/>
      <c r="G49" s="2774"/>
      <c r="H49" s="2774"/>
      <c r="I49" s="2774"/>
      <c r="J49" s="2244"/>
    </row>
    <row r="50" spans="1:10" ht="42" customHeight="1">
      <c r="A50" s="2777" t="s">
        <v>1794</v>
      </c>
      <c r="B50" s="2777"/>
      <c r="C50" s="2777"/>
      <c r="D50" s="2777"/>
      <c r="E50" s="2777"/>
      <c r="F50" s="2777"/>
      <c r="G50" s="2777"/>
      <c r="H50" s="2777"/>
      <c r="I50" s="2777"/>
      <c r="J50" s="2777"/>
    </row>
    <row r="51" spans="1:10" ht="27.75" customHeight="1">
      <c r="A51" s="2775" t="s">
        <v>1681</v>
      </c>
      <c r="B51" s="2775"/>
      <c r="C51" s="2775"/>
      <c r="D51" s="2775"/>
      <c r="E51" s="2775"/>
      <c r="F51" s="2775"/>
      <c r="G51" s="2775"/>
      <c r="H51" s="2775"/>
      <c r="I51" s="2775"/>
      <c r="J51" s="2775"/>
    </row>
    <row r="52" spans="1:10" ht="30" customHeight="1">
      <c r="A52" s="2776" t="s">
        <v>1853</v>
      </c>
      <c r="B52" s="2775"/>
      <c r="C52" s="2775"/>
      <c r="D52" s="2775"/>
      <c r="E52" s="2775"/>
      <c r="F52" s="2775"/>
      <c r="G52" s="2775"/>
      <c r="H52" s="2775"/>
      <c r="I52" s="2775"/>
      <c r="J52" s="2775"/>
    </row>
    <row r="53" spans="1:10" ht="20.25" customHeight="1">
      <c r="A53" s="2777" t="s">
        <v>1796</v>
      </c>
      <c r="B53" s="2777"/>
      <c r="C53" s="2777"/>
      <c r="D53" s="2777"/>
      <c r="E53" s="2777"/>
      <c r="F53" s="2777"/>
      <c r="G53" s="2777"/>
      <c r="H53" s="2777"/>
      <c r="I53" s="2777"/>
      <c r="J53" s="2777"/>
    </row>
    <row r="54" spans="1:10" ht="22.5" customHeight="1">
      <c r="A54" s="2764" t="s">
        <v>1797</v>
      </c>
      <c r="B54" s="2764"/>
      <c r="C54" s="2764"/>
      <c r="D54" s="2764"/>
      <c r="E54" s="2764"/>
      <c r="F54" s="2764"/>
      <c r="G54" s="2764"/>
      <c r="H54" s="2764"/>
      <c r="I54" s="2764"/>
      <c r="J54" s="2764"/>
    </row>
  </sheetData>
  <mergeCells count="17">
    <mergeCell ref="A51:J51"/>
    <mergeCell ref="A52:J52"/>
    <mergeCell ref="A53:J53"/>
    <mergeCell ref="A54:J54"/>
    <mergeCell ref="A29:A31"/>
    <mergeCell ref="B29:F29"/>
    <mergeCell ref="H29:I29"/>
    <mergeCell ref="H30:I30"/>
    <mergeCell ref="A49:I49"/>
    <mergeCell ref="A50:J50"/>
    <mergeCell ref="A2:J2"/>
    <mergeCell ref="A3:J3"/>
    <mergeCell ref="A4:I4"/>
    <mergeCell ref="B6:F6"/>
    <mergeCell ref="G6:G7"/>
    <mergeCell ref="H6:I6"/>
    <mergeCell ref="H7:I7"/>
  </mergeCells>
  <pageMargins left="0.7" right="0.7" top="0.5" bottom="0.5" header="0.3" footer="0.3"/>
  <pageSetup scale="75"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433DA-A45A-4B9F-8995-73569170B52C}">
  <sheetPr codeName="Sheet48">
    <tabColor rgb="FFFFFF00"/>
  </sheetPr>
  <dimension ref="A1:J54"/>
  <sheetViews>
    <sheetView zoomScale="90" zoomScaleNormal="90" workbookViewId="0">
      <selection activeCell="F22" sqref="F22"/>
    </sheetView>
  </sheetViews>
  <sheetFormatPr defaultRowHeight="15"/>
  <cols>
    <col min="1" max="1" width="28.5" style="2404" customWidth="1"/>
    <col min="2" max="2" width="9.625" style="2404" bestFit="1" customWidth="1"/>
    <col min="3" max="3" width="8" style="2404" customWidth="1"/>
    <col min="4" max="4" width="9.125" style="2404" bestFit="1" customWidth="1"/>
    <col min="5" max="5" width="9.25" style="2404" bestFit="1" customWidth="1"/>
    <col min="6" max="6" width="9.75" style="2404" customWidth="1"/>
    <col min="7" max="8" width="9.125" style="2404" bestFit="1" customWidth="1"/>
    <col min="9" max="9" width="8.625" style="2404" bestFit="1" customWidth="1"/>
    <col min="10" max="10" width="0" style="2404" hidden="1" customWidth="1"/>
    <col min="11" max="16384" width="9" style="2404"/>
  </cols>
  <sheetData>
    <row r="1" spans="1:10">
      <c r="A1" s="2071"/>
      <c r="B1" s="2071"/>
      <c r="C1" s="2071"/>
      <c r="D1" s="2071"/>
      <c r="E1" s="2071"/>
      <c r="F1" s="2071"/>
      <c r="G1" s="2071"/>
      <c r="H1" s="2071"/>
      <c r="I1" s="2071"/>
      <c r="J1" s="2071"/>
    </row>
    <row r="2" spans="1:10">
      <c r="A2" s="2786" t="s">
        <v>297</v>
      </c>
      <c r="B2" s="2786"/>
      <c r="C2" s="2786"/>
      <c r="D2" s="2786"/>
      <c r="E2" s="2786"/>
      <c r="F2" s="2786"/>
      <c r="G2" s="2786"/>
      <c r="H2" s="2786"/>
      <c r="I2" s="2786"/>
      <c r="J2" s="2786"/>
    </row>
    <row r="3" spans="1:10" ht="15.75">
      <c r="A3" s="2787" t="s">
        <v>1836</v>
      </c>
      <c r="B3" s="2787"/>
      <c r="C3" s="2787"/>
      <c r="D3" s="2787"/>
      <c r="E3" s="2787"/>
      <c r="F3" s="2787"/>
      <c r="G3" s="2787"/>
      <c r="H3" s="2787"/>
      <c r="I3" s="2787"/>
      <c r="J3" s="2787"/>
    </row>
    <row r="4" spans="1:10">
      <c r="A4" s="2787" t="s">
        <v>1872</v>
      </c>
      <c r="B4" s="2787"/>
      <c r="C4" s="2787"/>
      <c r="D4" s="2787"/>
      <c r="E4" s="2787"/>
      <c r="F4" s="2787"/>
      <c r="G4" s="2787"/>
      <c r="H4" s="2787"/>
      <c r="I4" s="2787"/>
      <c r="J4" s="2403"/>
    </row>
    <row r="5" spans="1:10">
      <c r="A5" s="2247"/>
      <c r="B5" s="2247"/>
      <c r="C5" s="2247"/>
      <c r="D5" s="2247"/>
      <c r="E5" s="2247"/>
      <c r="F5" s="2247"/>
      <c r="G5" s="2247"/>
      <c r="H5" s="2075"/>
      <c r="I5" s="2247"/>
      <c r="J5" s="2075"/>
    </row>
    <row r="6" spans="1:10">
      <c r="A6" s="2248"/>
      <c r="B6" s="2788" t="s">
        <v>300</v>
      </c>
      <c r="C6" s="2789"/>
      <c r="D6" s="2789"/>
      <c r="E6" s="2789"/>
      <c r="F6" s="2790"/>
      <c r="G6" s="2791" t="s">
        <v>1790</v>
      </c>
      <c r="H6" s="2799" t="s">
        <v>77</v>
      </c>
      <c r="I6" s="2800"/>
      <c r="J6" s="2249" t="s">
        <v>1791</v>
      </c>
    </row>
    <row r="7" spans="1:10">
      <c r="A7" s="2250" t="s">
        <v>485</v>
      </c>
      <c r="B7" s="2251" t="s">
        <v>1930</v>
      </c>
      <c r="C7" s="2251" t="s">
        <v>1931</v>
      </c>
      <c r="D7" s="2251" t="s">
        <v>1932</v>
      </c>
      <c r="E7" s="2251" t="s">
        <v>1933</v>
      </c>
      <c r="F7" s="2252" t="s">
        <v>465</v>
      </c>
      <c r="G7" s="2792"/>
      <c r="H7" s="2794" t="s">
        <v>464</v>
      </c>
      <c r="I7" s="2795"/>
      <c r="J7" s="2253" t="s">
        <v>1792</v>
      </c>
    </row>
    <row r="8" spans="1:10" ht="15.75" thickBot="1">
      <c r="A8" s="2254" t="s">
        <v>310</v>
      </c>
      <c r="B8" s="2251" t="s">
        <v>311</v>
      </c>
      <c r="C8" s="2255" t="s">
        <v>484</v>
      </c>
      <c r="D8" s="2256" t="s">
        <v>311</v>
      </c>
      <c r="E8" s="2255" t="s">
        <v>483</v>
      </c>
      <c r="F8" s="2256" t="s">
        <v>1839</v>
      </c>
      <c r="G8" s="2257" t="s">
        <v>1839</v>
      </c>
      <c r="H8" s="2258" t="s">
        <v>315</v>
      </c>
      <c r="I8" s="2259" t="s">
        <v>316</v>
      </c>
      <c r="J8" s="2260" t="s">
        <v>505</v>
      </c>
    </row>
    <row r="9" spans="1:10" ht="15.75" thickTop="1">
      <c r="A9" s="2261" t="s">
        <v>2</v>
      </c>
      <c r="B9" s="2090"/>
      <c r="C9" s="2262">
        <v>51841</v>
      </c>
      <c r="D9" s="2263">
        <v>50329</v>
      </c>
      <c r="E9" s="2263">
        <v>47671</v>
      </c>
      <c r="F9" s="2093">
        <v>49947.000000000007</v>
      </c>
      <c r="G9" s="2264">
        <v>37162</v>
      </c>
      <c r="H9" s="2095">
        <v>12785.000000000007</v>
      </c>
      <c r="I9" s="2096">
        <v>0.34403422851299736</v>
      </c>
      <c r="J9" s="2265"/>
    </row>
    <row r="10" spans="1:10">
      <c r="A10" s="2266" t="s">
        <v>1159</v>
      </c>
      <c r="B10" s="2099"/>
      <c r="C10" s="2267">
        <v>41709</v>
      </c>
      <c r="D10" s="2268">
        <v>40435</v>
      </c>
      <c r="E10" s="2268">
        <v>38295</v>
      </c>
      <c r="F10" s="2395">
        <v>40146.333333333336</v>
      </c>
      <c r="G10" s="2103">
        <v>32703</v>
      </c>
      <c r="H10" s="2104">
        <v>7443.3333333333358</v>
      </c>
      <c r="I10" s="2105">
        <v>0.22760399147886543</v>
      </c>
      <c r="J10" s="2270"/>
    </row>
    <row r="11" spans="1:10">
      <c r="A11" s="2266" t="s">
        <v>479</v>
      </c>
      <c r="B11" s="2099"/>
      <c r="C11" s="2267">
        <v>5240</v>
      </c>
      <c r="D11" s="2268">
        <v>5133</v>
      </c>
      <c r="E11" s="2268">
        <v>4913</v>
      </c>
      <c r="F11" s="2395">
        <v>5095.333333333333</v>
      </c>
      <c r="G11" s="2103">
        <v>2045</v>
      </c>
      <c r="H11" s="2104">
        <v>3050.333333333333</v>
      </c>
      <c r="I11" s="2105">
        <v>1.49160554197229</v>
      </c>
      <c r="J11" s="2270"/>
    </row>
    <row r="12" spans="1:10">
      <c r="A12" s="2266" t="s">
        <v>478</v>
      </c>
      <c r="B12" s="2099"/>
      <c r="C12" s="2267">
        <v>4892</v>
      </c>
      <c r="D12" s="2268">
        <v>4761</v>
      </c>
      <c r="E12" s="2268">
        <v>4463</v>
      </c>
      <c r="F12" s="2395">
        <v>4705.333333333333</v>
      </c>
      <c r="G12" s="2103">
        <v>2414</v>
      </c>
      <c r="H12" s="2104">
        <v>2291.333333333333</v>
      </c>
      <c r="I12" s="2105">
        <v>0.94918530792598721</v>
      </c>
      <c r="J12" s="2270"/>
    </row>
    <row r="13" spans="1:10">
      <c r="A13" s="2271" t="s">
        <v>590</v>
      </c>
      <c r="B13" s="2108"/>
      <c r="C13" s="2272">
        <v>28547</v>
      </c>
      <c r="D13" s="2110">
        <v>236</v>
      </c>
      <c r="E13" s="2273">
        <v>26148</v>
      </c>
      <c r="F13" s="2274">
        <f>SUM(F14:F17,F22)</f>
        <v>27684.666666666664</v>
      </c>
      <c r="G13" s="2113">
        <v>22538</v>
      </c>
      <c r="H13" s="2114">
        <v>4863.3333333333321</v>
      </c>
      <c r="I13" s="2115">
        <v>0.21578371343212938</v>
      </c>
      <c r="J13" s="2275"/>
    </row>
    <row r="14" spans="1:10">
      <c r="A14" s="2277" t="s">
        <v>589</v>
      </c>
      <c r="B14" s="2099"/>
      <c r="C14" s="2267">
        <v>24152</v>
      </c>
      <c r="D14" s="2118"/>
      <c r="E14" s="2268">
        <v>22037</v>
      </c>
      <c r="F14" s="2278">
        <v>23094.5</v>
      </c>
      <c r="G14" s="2120">
        <v>19250</v>
      </c>
      <c r="H14" s="2279">
        <v>3844.5</v>
      </c>
      <c r="I14" s="2122">
        <v>0.19971428571428571</v>
      </c>
      <c r="J14" s="2280"/>
    </row>
    <row r="15" spans="1:10">
      <c r="A15" s="2266" t="s">
        <v>474</v>
      </c>
      <c r="B15" s="2099"/>
      <c r="C15" s="2267">
        <v>1334</v>
      </c>
      <c r="D15" s="2118"/>
      <c r="E15" s="2268">
        <v>1237</v>
      </c>
      <c r="F15" s="2278">
        <v>1285.5</v>
      </c>
      <c r="G15" s="2120">
        <v>865</v>
      </c>
      <c r="H15" s="2279">
        <v>420.5</v>
      </c>
      <c r="I15" s="2122">
        <v>0.48612716763005781</v>
      </c>
      <c r="J15" s="2280"/>
    </row>
    <row r="16" spans="1:10">
      <c r="A16" s="2277" t="s">
        <v>473</v>
      </c>
      <c r="B16" s="2099"/>
      <c r="C16" s="2267">
        <v>2859</v>
      </c>
      <c r="D16" s="2118"/>
      <c r="E16" s="2268">
        <v>2681</v>
      </c>
      <c r="F16" s="2278">
        <v>2770</v>
      </c>
      <c r="G16" s="2120">
        <v>2113</v>
      </c>
      <c r="H16" s="2279">
        <v>657</v>
      </c>
      <c r="I16" s="2122">
        <v>0.31093232371036439</v>
      </c>
      <c r="J16" s="2280"/>
    </row>
    <row r="17" spans="1:10" ht="15.75">
      <c r="A17" s="2277" t="s">
        <v>1606</v>
      </c>
      <c r="B17" s="2124">
        <v>123</v>
      </c>
      <c r="C17" s="2281">
        <v>202</v>
      </c>
      <c r="D17" s="2282">
        <v>236</v>
      </c>
      <c r="E17" s="2282">
        <v>193</v>
      </c>
      <c r="F17" s="2124">
        <v>251.33333333333334</v>
      </c>
      <c r="G17" s="2283">
        <v>310</v>
      </c>
      <c r="H17" s="2284">
        <v>-58.666666666666657</v>
      </c>
      <c r="I17" s="2129">
        <v>-0.18924731182795695</v>
      </c>
      <c r="J17" s="2130"/>
    </row>
    <row r="18" spans="1:10">
      <c r="A18" s="2285" t="s">
        <v>93</v>
      </c>
      <c r="B18" s="2286">
        <v>6</v>
      </c>
      <c r="C18" s="2287">
        <v>7</v>
      </c>
      <c r="D18" s="2288">
        <v>5</v>
      </c>
      <c r="E18" s="2289">
        <v>4</v>
      </c>
      <c r="F18" s="2135">
        <v>7.333333333333333</v>
      </c>
      <c r="G18" s="2290"/>
      <c r="H18" s="2137"/>
      <c r="I18" s="2138"/>
      <c r="J18" s="2139"/>
    </row>
    <row r="19" spans="1:10">
      <c r="A19" s="2285" t="s">
        <v>96</v>
      </c>
      <c r="B19" s="2291">
        <v>0</v>
      </c>
      <c r="C19" s="2292">
        <v>0</v>
      </c>
      <c r="D19" s="2288">
        <v>0</v>
      </c>
      <c r="E19" s="2289">
        <v>0</v>
      </c>
      <c r="F19" s="2135">
        <v>0</v>
      </c>
      <c r="G19" s="2290"/>
      <c r="H19" s="2137"/>
      <c r="I19" s="2138"/>
      <c r="J19" s="2139"/>
    </row>
    <row r="20" spans="1:10">
      <c r="A20" s="2285" t="s">
        <v>98</v>
      </c>
      <c r="B20" s="2291">
        <v>96</v>
      </c>
      <c r="C20" s="2292">
        <v>170</v>
      </c>
      <c r="D20" s="2288">
        <v>206</v>
      </c>
      <c r="E20" s="2289">
        <v>153</v>
      </c>
      <c r="F20" s="2135">
        <v>208.33333333333334</v>
      </c>
      <c r="G20" s="2290"/>
      <c r="H20" s="2137"/>
      <c r="I20" s="2138"/>
      <c r="J20" s="2139"/>
    </row>
    <row r="21" spans="1:10">
      <c r="A21" s="2293" t="s">
        <v>1150</v>
      </c>
      <c r="B21" s="2294">
        <v>21</v>
      </c>
      <c r="C21" s="2292">
        <v>25</v>
      </c>
      <c r="D21" s="2288">
        <v>25</v>
      </c>
      <c r="E21" s="2289">
        <v>36</v>
      </c>
      <c r="F21" s="2144">
        <v>35.666666666666664</v>
      </c>
      <c r="G21" s="2295">
        <v>25</v>
      </c>
      <c r="H21" s="2146">
        <v>10.666666666666664</v>
      </c>
      <c r="I21" s="2147">
        <v>0.42666666666666658</v>
      </c>
      <c r="J21" s="2139"/>
    </row>
    <row r="22" spans="1:10">
      <c r="A22" s="2410" t="s">
        <v>1837</v>
      </c>
      <c r="B22" s="2406">
        <v>54</v>
      </c>
      <c r="C22" s="2298">
        <v>292</v>
      </c>
      <c r="D22" s="2299">
        <v>284</v>
      </c>
      <c r="E22" s="2300">
        <v>220</v>
      </c>
      <c r="F22" s="2405">
        <f>SUM(B22:E22)/3</f>
        <v>283.33333333333331</v>
      </c>
      <c r="G22" s="2295"/>
      <c r="H22" s="2301"/>
      <c r="I22" s="2147"/>
      <c r="J22" s="2139"/>
    </row>
    <row r="23" spans="1:10">
      <c r="A23" s="2302" t="s">
        <v>5</v>
      </c>
      <c r="B23" s="2108"/>
      <c r="C23" s="2303">
        <v>11340</v>
      </c>
      <c r="D23" s="2304">
        <v>10757</v>
      </c>
      <c r="E23" s="2304">
        <v>10264</v>
      </c>
      <c r="F23" s="2305">
        <v>10787</v>
      </c>
      <c r="G23" s="2306">
        <v>9105</v>
      </c>
      <c r="H23" s="2284">
        <v>1682</v>
      </c>
      <c r="I23" s="2129">
        <v>0.18473366282262493</v>
      </c>
      <c r="J23" s="2307"/>
    </row>
    <row r="24" spans="1:10">
      <c r="A24" s="2302" t="s">
        <v>4</v>
      </c>
      <c r="B24" s="2154"/>
      <c r="C24" s="2303">
        <v>10828</v>
      </c>
      <c r="D24" s="2304">
        <v>8729</v>
      </c>
      <c r="E24" s="2304">
        <v>8867</v>
      </c>
      <c r="F24" s="2305">
        <v>9474.6666666666661</v>
      </c>
      <c r="G24" s="2306">
        <v>8734</v>
      </c>
      <c r="H24" s="2284">
        <v>740.66666666666606</v>
      </c>
      <c r="I24" s="2129">
        <v>8.4802686817800094E-2</v>
      </c>
      <c r="J24" s="2305"/>
    </row>
    <row r="25" spans="1:10">
      <c r="A25" s="2302" t="s">
        <v>6</v>
      </c>
      <c r="B25" s="2308"/>
      <c r="C25" s="2303">
        <v>2450</v>
      </c>
      <c r="D25" s="2304">
        <v>1940</v>
      </c>
      <c r="E25" s="2304">
        <v>3130</v>
      </c>
      <c r="F25" s="2309">
        <v>2506.6666666666665</v>
      </c>
      <c r="G25" s="2306">
        <v>4213</v>
      </c>
      <c r="H25" s="2284">
        <v>-1706.3333333333335</v>
      </c>
      <c r="I25" s="2129">
        <v>-0.40501621963762957</v>
      </c>
      <c r="J25" s="2305"/>
    </row>
    <row r="26" spans="1:10" ht="15.75" thickBot="1">
      <c r="A26" s="2271" t="s">
        <v>7</v>
      </c>
      <c r="B26" s="2108"/>
      <c r="C26" s="2303">
        <v>14161</v>
      </c>
      <c r="D26" s="2304">
        <v>12852</v>
      </c>
      <c r="E26" s="2304">
        <v>12341</v>
      </c>
      <c r="F26" s="2309">
        <v>13118</v>
      </c>
      <c r="G26" s="2310">
        <v>11762</v>
      </c>
      <c r="H26" s="2284">
        <v>1356</v>
      </c>
      <c r="I26" s="2129">
        <v>0.1152865158986567</v>
      </c>
      <c r="J26" s="2311"/>
    </row>
    <row r="27" spans="1:10" ht="15.75" thickTop="1">
      <c r="A27" s="2312" t="s">
        <v>472</v>
      </c>
      <c r="B27" s="2313"/>
      <c r="C27" s="2313">
        <v>119459</v>
      </c>
      <c r="D27" s="2313">
        <v>85127</v>
      </c>
      <c r="E27" s="2313">
        <v>108641</v>
      </c>
      <c r="F27" s="2313">
        <f>SUM(F9,F13,F23:F26)</f>
        <v>113518.00000000001</v>
      </c>
      <c r="G27" s="2314">
        <v>93849</v>
      </c>
      <c r="H27" s="2313">
        <v>19669.000000000015</v>
      </c>
      <c r="I27" s="2315">
        <v>0.20958134876237375</v>
      </c>
      <c r="J27" s="2316"/>
    </row>
    <row r="28" spans="1:10">
      <c r="A28" s="2317"/>
      <c r="B28" s="2318"/>
      <c r="C28" s="2318"/>
      <c r="D28" s="2318"/>
      <c r="E28" s="2318"/>
      <c r="F28" s="2318"/>
      <c r="G28" s="2318"/>
      <c r="H28" s="2318"/>
      <c r="I28" s="2166"/>
      <c r="J28" s="2318"/>
    </row>
    <row r="29" spans="1:10">
      <c r="A29" s="2778" t="s">
        <v>588</v>
      </c>
      <c r="B29" s="2779" t="s">
        <v>77</v>
      </c>
      <c r="C29" s="2780"/>
      <c r="D29" s="2780"/>
      <c r="E29" s="2780"/>
      <c r="F29" s="2781"/>
      <c r="G29" s="2319"/>
      <c r="H29" s="2801" t="s">
        <v>77</v>
      </c>
      <c r="I29" s="2800"/>
      <c r="J29" s="2320" t="s">
        <v>1791</v>
      </c>
    </row>
    <row r="30" spans="1:10" ht="15.75">
      <c r="A30" s="2766"/>
      <c r="B30" s="2251" t="s">
        <v>1930</v>
      </c>
      <c r="C30" s="2251" t="s">
        <v>1931</v>
      </c>
      <c r="D30" s="2251" t="s">
        <v>1932</v>
      </c>
      <c r="E30" s="2251" t="s">
        <v>1933</v>
      </c>
      <c r="F30" s="2252" t="s">
        <v>465</v>
      </c>
      <c r="G30" s="2253" t="s">
        <v>1591</v>
      </c>
      <c r="H30" s="2784" t="s">
        <v>464</v>
      </c>
      <c r="I30" s="2785"/>
      <c r="J30" s="2253" t="s">
        <v>1792</v>
      </c>
    </row>
    <row r="31" spans="1:10" ht="15.75" thickBot="1">
      <c r="A31" s="2767"/>
      <c r="B31" s="2321" t="s">
        <v>311</v>
      </c>
      <c r="C31" s="2322" t="s">
        <v>484</v>
      </c>
      <c r="D31" s="2323" t="s">
        <v>311</v>
      </c>
      <c r="E31" s="2255" t="s">
        <v>483</v>
      </c>
      <c r="F31" s="2396" t="s">
        <v>1839</v>
      </c>
      <c r="G31" s="2256" t="s">
        <v>1839</v>
      </c>
      <c r="H31" s="2324" t="s">
        <v>315</v>
      </c>
      <c r="I31" s="2325" t="s">
        <v>316</v>
      </c>
      <c r="J31" s="2260" t="s">
        <v>505</v>
      </c>
    </row>
    <row r="32" spans="1:10" ht="26.25" thickTop="1">
      <c r="A32" s="2174" t="s">
        <v>582</v>
      </c>
      <c r="B32" s="2303">
        <v>38123</v>
      </c>
      <c r="C32" s="2272">
        <v>102456</v>
      </c>
      <c r="D32" s="2299">
        <v>95910</v>
      </c>
      <c r="E32" s="2326">
        <v>80891</v>
      </c>
      <c r="F32" s="2178">
        <v>105793.33333333333</v>
      </c>
      <c r="G32" s="2328">
        <v>120300</v>
      </c>
      <c r="H32" s="2329">
        <v>-14506.666666666672</v>
      </c>
      <c r="I32" s="2096">
        <v>-0.12058742033804382</v>
      </c>
      <c r="J32" s="2330"/>
    </row>
    <row r="33" spans="1:10">
      <c r="A33" s="2182" t="s">
        <v>581</v>
      </c>
      <c r="B33" s="2331">
        <v>3149</v>
      </c>
      <c r="C33" s="2331">
        <v>6428</v>
      </c>
      <c r="D33" s="2331">
        <v>6676</v>
      </c>
      <c r="E33" s="2332">
        <v>5756</v>
      </c>
      <c r="F33" s="2186">
        <v>7336.333333333333</v>
      </c>
      <c r="G33" s="2335">
        <v>7170</v>
      </c>
      <c r="H33" s="2397">
        <v>166.33333333333303</v>
      </c>
      <c r="I33" s="2129">
        <v>2.3198512319851188E-2</v>
      </c>
      <c r="J33" s="2336"/>
    </row>
    <row r="34" spans="1:10">
      <c r="A34" s="2189" t="s">
        <v>460</v>
      </c>
      <c r="B34" s="2337">
        <v>3079</v>
      </c>
      <c r="C34" s="2338">
        <v>6116</v>
      </c>
      <c r="D34" s="2339">
        <v>6324</v>
      </c>
      <c r="E34" s="2340">
        <v>5356</v>
      </c>
      <c r="F34" s="2341">
        <v>6958.333333333333</v>
      </c>
      <c r="G34" s="2195"/>
      <c r="H34" s="2196"/>
      <c r="I34" s="2129"/>
      <c r="J34" s="2139"/>
    </row>
    <row r="35" spans="1:10">
      <c r="A35" s="2189" t="s">
        <v>459</v>
      </c>
      <c r="B35" s="2337">
        <v>70</v>
      </c>
      <c r="C35" s="2338">
        <v>312</v>
      </c>
      <c r="D35" s="2339">
        <v>352</v>
      </c>
      <c r="E35" s="2340">
        <v>400</v>
      </c>
      <c r="F35" s="2341">
        <v>378</v>
      </c>
      <c r="G35" s="2342"/>
      <c r="H35" s="2196"/>
      <c r="I35" s="2129"/>
      <c r="J35" s="2139"/>
    </row>
    <row r="36" spans="1:10" ht="15.75">
      <c r="A36" s="2343" t="s">
        <v>1607</v>
      </c>
      <c r="B36" s="2344">
        <v>1127</v>
      </c>
      <c r="C36" s="2200">
        <v>3916</v>
      </c>
      <c r="D36" s="2299">
        <v>4144</v>
      </c>
      <c r="E36" s="2345">
        <v>3913</v>
      </c>
      <c r="F36" s="2178">
        <v>4366.666666666667</v>
      </c>
      <c r="G36" s="2346">
        <v>220</v>
      </c>
      <c r="H36" s="2346">
        <v>4146.666666666667</v>
      </c>
      <c r="I36" s="2129">
        <v>18.848484848484851</v>
      </c>
      <c r="J36" s="2130"/>
    </row>
    <row r="37" spans="1:10" ht="15.75">
      <c r="A37" s="2296" t="s">
        <v>1608</v>
      </c>
      <c r="B37" s="2154">
        <v>75</v>
      </c>
      <c r="C37" s="2154">
        <v>222</v>
      </c>
      <c r="D37" s="2110">
        <v>387</v>
      </c>
      <c r="E37" s="2300">
        <v>204</v>
      </c>
      <c r="F37" s="2154">
        <v>347.66666666666669</v>
      </c>
      <c r="G37" s="2346">
        <v>165</v>
      </c>
      <c r="H37" s="2346">
        <v>182.66666666666669</v>
      </c>
      <c r="I37" s="2129">
        <v>1.1070707070707071</v>
      </c>
      <c r="J37" s="2130"/>
    </row>
    <row r="38" spans="1:10">
      <c r="A38" s="2293" t="s">
        <v>455</v>
      </c>
      <c r="B38" s="2281">
        <v>24</v>
      </c>
      <c r="C38" s="2338">
        <v>45</v>
      </c>
      <c r="D38" s="2268">
        <v>46</v>
      </c>
      <c r="E38" s="2282">
        <v>50</v>
      </c>
      <c r="F38" s="2205">
        <v>55</v>
      </c>
      <c r="G38" s="2206"/>
      <c r="H38" s="2301"/>
      <c r="I38" s="2147"/>
      <c r="J38" s="2139"/>
    </row>
    <row r="39" spans="1:10">
      <c r="A39" s="2293" t="s">
        <v>454</v>
      </c>
      <c r="B39" s="2281">
        <v>51</v>
      </c>
      <c r="C39" s="2338">
        <v>77</v>
      </c>
      <c r="D39" s="2268">
        <v>59</v>
      </c>
      <c r="E39" s="2282">
        <v>52</v>
      </c>
      <c r="F39" s="2205">
        <v>79.666666666666671</v>
      </c>
      <c r="G39" s="2206"/>
      <c r="H39" s="2301"/>
      <c r="I39" s="2147"/>
      <c r="J39" s="2139"/>
    </row>
    <row r="40" spans="1:10">
      <c r="A40" s="2293" t="s">
        <v>453</v>
      </c>
      <c r="B40" s="2124">
        <v>0</v>
      </c>
      <c r="C40" s="2338">
        <v>34</v>
      </c>
      <c r="D40" s="2268">
        <v>38</v>
      </c>
      <c r="E40" s="2282">
        <v>42</v>
      </c>
      <c r="F40" s="2205">
        <v>38</v>
      </c>
      <c r="G40" s="2206"/>
      <c r="H40" s="2301"/>
      <c r="I40" s="2147"/>
      <c r="J40" s="2139"/>
    </row>
    <row r="41" spans="1:10">
      <c r="A41" s="2293" t="s">
        <v>1152</v>
      </c>
      <c r="B41" s="2124">
        <v>0</v>
      </c>
      <c r="C41" s="2338">
        <v>42</v>
      </c>
      <c r="D41" s="2269">
        <v>225</v>
      </c>
      <c r="E41" s="2282">
        <v>41</v>
      </c>
      <c r="F41" s="2205">
        <v>154</v>
      </c>
      <c r="G41" s="2104">
        <v>30</v>
      </c>
      <c r="H41" s="2301"/>
      <c r="I41" s="2147"/>
      <c r="J41" s="2139"/>
    </row>
    <row r="42" spans="1:10" ht="15.75" thickBot="1">
      <c r="A42" s="2293" t="s">
        <v>1852</v>
      </c>
      <c r="B42" s="2124">
        <v>0</v>
      </c>
      <c r="C42" s="2338">
        <v>24</v>
      </c>
      <c r="D42" s="2269">
        <v>20</v>
      </c>
      <c r="E42" s="2269">
        <v>19</v>
      </c>
      <c r="F42" s="2205">
        <v>21</v>
      </c>
      <c r="G42" s="2104">
        <v>10</v>
      </c>
      <c r="H42" s="2301"/>
      <c r="I42" s="2147"/>
      <c r="J42" s="2139"/>
    </row>
    <row r="43" spans="1:10" ht="16.5" thickTop="1">
      <c r="A43" s="2349" t="s">
        <v>1609</v>
      </c>
      <c r="B43" s="2350">
        <v>42474</v>
      </c>
      <c r="C43" s="2350">
        <v>113022</v>
      </c>
      <c r="D43" s="2350">
        <v>107117</v>
      </c>
      <c r="E43" s="2350">
        <v>90764</v>
      </c>
      <c r="F43" s="2350">
        <v>117844</v>
      </c>
      <c r="G43" s="2351">
        <v>139927</v>
      </c>
      <c r="H43" s="2214">
        <v>-22083</v>
      </c>
      <c r="I43" s="2215">
        <v>-0.15781800510266067</v>
      </c>
      <c r="J43" s="2216"/>
    </row>
    <row r="44" spans="1:10" ht="15.75" thickBot="1">
      <c r="A44" s="2352"/>
      <c r="B44" s="2353"/>
      <c r="C44" s="2354"/>
      <c r="D44" s="2354"/>
      <c r="E44" s="2354"/>
      <c r="F44" s="2354"/>
      <c r="G44" s="2353"/>
      <c r="H44" s="2355"/>
      <c r="I44" s="2356"/>
      <c r="J44" s="2222"/>
    </row>
    <row r="45" spans="1:10" ht="16.5" thickTop="1" thickBot="1">
      <c r="A45" s="2357" t="s">
        <v>448</v>
      </c>
      <c r="B45" s="2358"/>
      <c r="C45" s="2358"/>
      <c r="D45" s="2359"/>
      <c r="E45" s="2359"/>
      <c r="F45" s="2360">
        <v>231362</v>
      </c>
      <c r="G45" s="2361">
        <v>233776</v>
      </c>
      <c r="H45" s="2361">
        <v>-2413.9999999999854</v>
      </c>
      <c r="I45" s="2228">
        <v>-1.0326124153035321E-2</v>
      </c>
      <c r="J45" s="2075"/>
    </row>
    <row r="46" spans="1:10" ht="15.75" thickTop="1">
      <c r="A46" s="2362"/>
      <c r="B46" s="2363"/>
      <c r="C46" s="2363"/>
      <c r="D46" s="2364"/>
      <c r="E46" s="2364"/>
      <c r="F46" s="2364"/>
      <c r="G46" s="2364"/>
      <c r="H46" s="2364"/>
      <c r="I46" s="2232"/>
      <c r="J46" s="2075"/>
    </row>
    <row r="47" spans="1:10">
      <c r="A47" s="2233" t="s">
        <v>574</v>
      </c>
      <c r="B47" s="2366">
        <v>1</v>
      </c>
      <c r="C47" s="2235">
        <v>24951</v>
      </c>
      <c r="D47" s="2236">
        <v>24527</v>
      </c>
      <c r="E47" s="2237">
        <v>23142</v>
      </c>
      <c r="F47" s="2238">
        <v>24207</v>
      </c>
      <c r="G47" s="2239">
        <v>11558</v>
      </c>
      <c r="H47" s="2240">
        <v>12649</v>
      </c>
      <c r="I47" s="2241">
        <v>1.0943934936840283</v>
      </c>
      <c r="J47" s="2071"/>
    </row>
    <row r="48" spans="1:10">
      <c r="A48" s="2367"/>
      <c r="B48" s="2363"/>
      <c r="C48" s="2363"/>
      <c r="D48" s="2364"/>
      <c r="E48" s="2364"/>
      <c r="F48" s="2364"/>
      <c r="G48" s="2364"/>
      <c r="H48" s="2368"/>
      <c r="I48" s="2232"/>
      <c r="J48" s="2071"/>
    </row>
    <row r="49" spans="1:10" ht="81.75" customHeight="1">
      <c r="A49" s="2774" t="s">
        <v>1871</v>
      </c>
      <c r="B49" s="2774"/>
      <c r="C49" s="2774"/>
      <c r="D49" s="2774"/>
      <c r="E49" s="2774"/>
      <c r="F49" s="2774"/>
      <c r="G49" s="2774"/>
      <c r="H49" s="2774"/>
      <c r="I49" s="2774"/>
      <c r="J49" s="2244"/>
    </row>
    <row r="50" spans="1:10" ht="42" customHeight="1">
      <c r="A50" s="2777" t="s">
        <v>1794</v>
      </c>
      <c r="B50" s="2777"/>
      <c r="C50" s="2777"/>
      <c r="D50" s="2777"/>
      <c r="E50" s="2777"/>
      <c r="F50" s="2777"/>
      <c r="G50" s="2777"/>
      <c r="H50" s="2777"/>
      <c r="I50" s="2777"/>
      <c r="J50" s="2777"/>
    </row>
    <row r="51" spans="1:10" ht="27.75" customHeight="1">
      <c r="A51" s="2775" t="s">
        <v>1681</v>
      </c>
      <c r="B51" s="2775"/>
      <c r="C51" s="2775"/>
      <c r="D51" s="2775"/>
      <c r="E51" s="2775"/>
      <c r="F51" s="2775"/>
      <c r="G51" s="2775"/>
      <c r="H51" s="2775"/>
      <c r="I51" s="2775"/>
      <c r="J51" s="2775"/>
    </row>
    <row r="52" spans="1:10" ht="30" customHeight="1">
      <c r="A52" s="2776" t="s">
        <v>1870</v>
      </c>
      <c r="B52" s="2775"/>
      <c r="C52" s="2775"/>
      <c r="D52" s="2775"/>
      <c r="E52" s="2775"/>
      <c r="F52" s="2775"/>
      <c r="G52" s="2775"/>
      <c r="H52" s="2775"/>
      <c r="I52" s="2775"/>
      <c r="J52" s="2775"/>
    </row>
    <row r="53" spans="1:10" ht="20.25" customHeight="1">
      <c r="A53" s="2777" t="s">
        <v>1796</v>
      </c>
      <c r="B53" s="2777"/>
      <c r="C53" s="2777"/>
      <c r="D53" s="2777"/>
      <c r="E53" s="2777"/>
      <c r="F53" s="2777"/>
      <c r="G53" s="2777"/>
      <c r="H53" s="2777"/>
      <c r="I53" s="2777"/>
      <c r="J53" s="2777"/>
    </row>
    <row r="54" spans="1:10" ht="22.5" customHeight="1">
      <c r="A54" s="2764" t="s">
        <v>1797</v>
      </c>
      <c r="B54" s="2764"/>
      <c r="C54" s="2764"/>
      <c r="D54" s="2764"/>
      <c r="E54" s="2764"/>
      <c r="F54" s="2764"/>
      <c r="G54" s="2764"/>
      <c r="H54" s="2764"/>
      <c r="I54" s="2764"/>
      <c r="J54" s="2764"/>
    </row>
  </sheetData>
  <mergeCells count="17">
    <mergeCell ref="A53:J53"/>
    <mergeCell ref="A54:J54"/>
    <mergeCell ref="A29:A31"/>
    <mergeCell ref="A49:I49"/>
    <mergeCell ref="H30:I30"/>
    <mergeCell ref="H29:I29"/>
    <mergeCell ref="B29:F29"/>
    <mergeCell ref="A50:J50"/>
    <mergeCell ref="A51:J51"/>
    <mergeCell ref="A52:J52"/>
    <mergeCell ref="A2:J2"/>
    <mergeCell ref="A3:J3"/>
    <mergeCell ref="A4:I4"/>
    <mergeCell ref="B6:F6"/>
    <mergeCell ref="G6:G7"/>
    <mergeCell ref="H6:I6"/>
    <mergeCell ref="H7:I7"/>
  </mergeCells>
  <pageMargins left="0.7" right="0.7" top="0.5" bottom="0.5" header="0.3" footer="0.3"/>
  <pageSetup scale="7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G141"/>
  <sheetViews>
    <sheetView workbookViewId="0"/>
  </sheetViews>
  <sheetFormatPr defaultColWidth="8" defaultRowHeight="12.75"/>
  <cols>
    <col min="1" max="1" width="8.875" style="67" bestFit="1" customWidth="1"/>
    <col min="2" max="2" width="35.125" style="67" customWidth="1"/>
    <col min="3" max="3" width="10.375" style="67" customWidth="1"/>
    <col min="4" max="4" width="9.75" style="67" bestFit="1" customWidth="1"/>
    <col min="5" max="5" width="17.625" style="67" bestFit="1" customWidth="1"/>
    <col min="6" max="6" width="9" style="67" bestFit="1" customWidth="1"/>
    <col min="7" max="7" width="7.375" style="67" bestFit="1" customWidth="1"/>
    <col min="8" max="16384" width="8" style="67"/>
  </cols>
  <sheetData>
    <row r="1" spans="1:7">
      <c r="A1" s="67" t="s">
        <v>244</v>
      </c>
    </row>
    <row r="4" spans="1:7">
      <c r="A4" s="183" t="s">
        <v>245</v>
      </c>
      <c r="B4" s="184" t="s">
        <v>246</v>
      </c>
      <c r="C4" s="185"/>
    </row>
    <row r="5" spans="1:7">
      <c r="B5" s="184" t="s">
        <v>2</v>
      </c>
      <c r="C5" s="185"/>
    </row>
    <row r="6" spans="1:7">
      <c r="B6" s="184" t="s">
        <v>247</v>
      </c>
      <c r="C6" s="185"/>
    </row>
    <row r="7" spans="1:7">
      <c r="B7" s="185" t="s">
        <v>248</v>
      </c>
      <c r="C7" s="185"/>
    </row>
    <row r="9" spans="1:7">
      <c r="C9" s="186"/>
    </row>
    <row r="10" spans="1:7">
      <c r="C10" s="67" t="s">
        <v>77</v>
      </c>
      <c r="E10" s="187" t="s">
        <v>126</v>
      </c>
      <c r="F10" s="188">
        <f>C11+C30+C48+C62+C76+C90+C105+C121+C138</f>
        <v>1317794</v>
      </c>
      <c r="G10" s="72">
        <f t="shared" ref="G10:G16" si="0">F10/$F$17</f>
        <v>0.32675181725221747</v>
      </c>
    </row>
    <row r="11" spans="1:7">
      <c r="B11" s="183" t="s">
        <v>249</v>
      </c>
      <c r="C11" s="189">
        <v>311628</v>
      </c>
      <c r="D11" s="189"/>
      <c r="E11" s="190" t="s">
        <v>250</v>
      </c>
      <c r="F11" s="191">
        <f>C14+C33+C49+C63+C77+C91+C107+C139</f>
        <v>1125975</v>
      </c>
      <c r="G11" s="72">
        <f t="shared" si="0"/>
        <v>0.27918959824567841</v>
      </c>
    </row>
    <row r="12" spans="1:7">
      <c r="B12" s="183" t="s">
        <v>251</v>
      </c>
      <c r="C12" s="67">
        <v>0</v>
      </c>
      <c r="E12" s="190" t="s">
        <v>252</v>
      </c>
      <c r="F12" s="191">
        <f>C16+C35+C51+C65+C79+C93+C109</f>
        <v>552732</v>
      </c>
      <c r="G12" s="72">
        <f t="shared" si="0"/>
        <v>0.13705191058196703</v>
      </c>
    </row>
    <row r="13" spans="1:7">
      <c r="B13" s="183" t="s">
        <v>253</v>
      </c>
      <c r="C13" s="67">
        <v>0</v>
      </c>
      <c r="E13" s="190" t="s">
        <v>254</v>
      </c>
      <c r="F13" s="191">
        <f>C15+C34+C50+C64+C78+C92+C108+C140</f>
        <v>529992</v>
      </c>
      <c r="G13" s="72">
        <f t="shared" si="0"/>
        <v>0.13141344483973766</v>
      </c>
    </row>
    <row r="14" spans="1:7">
      <c r="B14" s="183" t="s">
        <v>255</v>
      </c>
      <c r="C14" s="189">
        <v>803286</v>
      </c>
      <c r="E14" s="190" t="s">
        <v>256</v>
      </c>
      <c r="F14" s="191">
        <f>C17</f>
        <v>437674</v>
      </c>
      <c r="G14" s="72">
        <f t="shared" si="0"/>
        <v>0.10852286082957353</v>
      </c>
    </row>
    <row r="15" spans="1:7">
      <c r="B15" s="183" t="s">
        <v>257</v>
      </c>
      <c r="C15" s="189">
        <v>335840</v>
      </c>
      <c r="E15" s="190" t="s">
        <v>258</v>
      </c>
      <c r="F15" s="191">
        <f>F17-SUM(F10:F14)-F16</f>
        <v>45171</v>
      </c>
      <c r="G15" s="72">
        <f t="shared" si="0"/>
        <v>1.1200313810125038E-2</v>
      </c>
    </row>
    <row r="16" spans="1:7">
      <c r="B16" s="183" t="s">
        <v>259</v>
      </c>
      <c r="C16" s="189">
        <v>178506</v>
      </c>
      <c r="D16" s="189"/>
      <c r="E16" s="190" t="s">
        <v>260</v>
      </c>
      <c r="F16" s="192">
        <v>23674</v>
      </c>
      <c r="G16" s="72">
        <f t="shared" si="0"/>
        <v>5.8700544407008955E-3</v>
      </c>
    </row>
    <row r="17" spans="1:7">
      <c r="B17" s="183" t="s">
        <v>261</v>
      </c>
      <c r="C17" s="189">
        <v>437674</v>
      </c>
      <c r="E17" s="193" t="s">
        <v>9</v>
      </c>
      <c r="F17" s="194">
        <f>C20+C38+C52+C66+C80+C95+C112+C129+C141+F16</f>
        <v>4033012</v>
      </c>
      <c r="G17" s="72">
        <f>SUM(G10:G15)</f>
        <v>0.99412994555929912</v>
      </c>
    </row>
    <row r="18" spans="1:7">
      <c r="B18" s="183" t="s">
        <v>262</v>
      </c>
      <c r="C18" s="189">
        <v>2901</v>
      </c>
    </row>
    <row r="19" spans="1:7">
      <c r="B19" s="183" t="s">
        <v>263</v>
      </c>
      <c r="C19" s="195">
        <v>2973</v>
      </c>
    </row>
    <row r="20" spans="1:7">
      <c r="B20" s="196" t="s">
        <v>264</v>
      </c>
      <c r="C20" s="197">
        <v>2072809</v>
      </c>
    </row>
    <row r="23" spans="1:7">
      <c r="A23" s="183" t="s">
        <v>265</v>
      </c>
      <c r="B23" s="184" t="s">
        <v>246</v>
      </c>
      <c r="C23" s="185"/>
    </row>
    <row r="24" spans="1:7">
      <c r="B24" s="184" t="s">
        <v>3</v>
      </c>
      <c r="C24" s="185"/>
    </row>
    <row r="25" spans="1:7">
      <c r="B25" s="184" t="s">
        <v>247</v>
      </c>
      <c r="C25" s="185"/>
    </row>
    <row r="26" spans="1:7">
      <c r="B26" s="185" t="s">
        <v>248</v>
      </c>
      <c r="C26" s="185"/>
    </row>
    <row r="28" spans="1:7">
      <c r="C28" s="186"/>
    </row>
    <row r="29" spans="1:7">
      <c r="C29" s="67" t="s">
        <v>77</v>
      </c>
    </row>
    <row r="30" spans="1:7">
      <c r="B30" s="183" t="s">
        <v>249</v>
      </c>
      <c r="C30" s="189">
        <v>186232</v>
      </c>
      <c r="D30" s="189"/>
    </row>
    <row r="31" spans="1:7">
      <c r="B31" s="183" t="s">
        <v>266</v>
      </c>
      <c r="C31" s="67">
        <v>0</v>
      </c>
    </row>
    <row r="32" spans="1:7">
      <c r="B32" s="183" t="s">
        <v>267</v>
      </c>
      <c r="C32" s="189">
        <v>9650</v>
      </c>
    </row>
    <row r="33" spans="1:4">
      <c r="B33" s="183" t="s">
        <v>255</v>
      </c>
      <c r="C33" s="189">
        <v>115256</v>
      </c>
    </row>
    <row r="34" spans="1:4">
      <c r="B34" s="183" t="s">
        <v>257</v>
      </c>
      <c r="C34" s="189">
        <v>66447</v>
      </c>
    </row>
    <row r="35" spans="1:4">
      <c r="B35" s="183" t="s">
        <v>259</v>
      </c>
      <c r="C35" s="189">
        <v>85745</v>
      </c>
      <c r="D35" s="189"/>
    </row>
    <row r="36" spans="1:4">
      <c r="B36" s="183" t="s">
        <v>268</v>
      </c>
      <c r="C36" s="67">
        <v>16</v>
      </c>
    </row>
    <row r="37" spans="1:4">
      <c r="B37" s="183" t="s">
        <v>269</v>
      </c>
      <c r="C37" s="195">
        <v>3840</v>
      </c>
    </row>
    <row r="38" spans="1:4">
      <c r="B38" s="196" t="s">
        <v>264</v>
      </c>
      <c r="C38" s="197">
        <v>467185</v>
      </c>
    </row>
    <row r="41" spans="1:4">
      <c r="A41" s="183" t="s">
        <v>270</v>
      </c>
      <c r="B41" s="184" t="s">
        <v>246</v>
      </c>
      <c r="C41" s="185"/>
    </row>
    <row r="42" spans="1:4">
      <c r="B42" s="184" t="s">
        <v>4</v>
      </c>
      <c r="C42" s="185"/>
    </row>
    <row r="43" spans="1:4">
      <c r="B43" s="184" t="s">
        <v>247</v>
      </c>
      <c r="C43" s="185"/>
    </row>
    <row r="44" spans="1:4">
      <c r="B44" s="185" t="s">
        <v>248</v>
      </c>
      <c r="C44" s="185"/>
    </row>
    <row r="46" spans="1:4">
      <c r="C46" s="186"/>
    </row>
    <row r="47" spans="1:4">
      <c r="C47" s="67" t="s">
        <v>77</v>
      </c>
    </row>
    <row r="48" spans="1:4">
      <c r="B48" s="183" t="s">
        <v>249</v>
      </c>
      <c r="C48" s="189">
        <v>41649</v>
      </c>
      <c r="D48" s="189"/>
    </row>
    <row r="49" spans="1:4">
      <c r="B49" s="183" t="s">
        <v>255</v>
      </c>
      <c r="C49" s="189">
        <v>11297</v>
      </c>
    </row>
    <row r="50" spans="1:4">
      <c r="B50" s="183" t="s">
        <v>257</v>
      </c>
      <c r="C50" s="189">
        <v>9528</v>
      </c>
    </row>
    <row r="51" spans="1:4">
      <c r="B51" s="183" t="s">
        <v>259</v>
      </c>
      <c r="C51" s="195">
        <v>26257</v>
      </c>
      <c r="D51" s="189"/>
    </row>
    <row r="52" spans="1:4">
      <c r="B52" s="196" t="s">
        <v>264</v>
      </c>
      <c r="C52" s="197">
        <v>88731</v>
      </c>
    </row>
    <row r="55" spans="1:4">
      <c r="A55" s="183" t="s">
        <v>271</v>
      </c>
      <c r="B55" s="184" t="s">
        <v>246</v>
      </c>
      <c r="C55" s="185"/>
    </row>
    <row r="56" spans="1:4">
      <c r="B56" s="184" t="s">
        <v>5</v>
      </c>
      <c r="C56" s="185"/>
    </row>
    <row r="57" spans="1:4">
      <c r="B57" s="184" t="s">
        <v>247</v>
      </c>
      <c r="C57" s="185"/>
    </row>
    <row r="58" spans="1:4">
      <c r="B58" s="185" t="s">
        <v>248</v>
      </c>
      <c r="C58" s="185"/>
    </row>
    <row r="60" spans="1:4">
      <c r="C60" s="186"/>
    </row>
    <row r="61" spans="1:4">
      <c r="C61" s="67" t="s">
        <v>77</v>
      </c>
    </row>
    <row r="62" spans="1:4">
      <c r="B62" s="183" t="s">
        <v>249</v>
      </c>
      <c r="C62" s="189">
        <v>40392</v>
      </c>
      <c r="D62" s="189"/>
    </row>
    <row r="63" spans="1:4">
      <c r="B63" s="183" t="s">
        <v>255</v>
      </c>
      <c r="C63" s="189">
        <v>20960</v>
      </c>
    </row>
    <row r="64" spans="1:4">
      <c r="B64" s="183" t="s">
        <v>257</v>
      </c>
      <c r="C64" s="189">
        <v>13233</v>
      </c>
    </row>
    <row r="65" spans="1:4">
      <c r="B65" s="183" t="s">
        <v>259</v>
      </c>
      <c r="C65" s="195">
        <v>26517</v>
      </c>
      <c r="D65" s="189"/>
    </row>
    <row r="66" spans="1:4">
      <c r="B66" s="196" t="s">
        <v>264</v>
      </c>
      <c r="C66" s="197">
        <v>101103</v>
      </c>
    </row>
    <row r="69" spans="1:4">
      <c r="A69" s="183" t="s">
        <v>272</v>
      </c>
      <c r="B69" s="184" t="s">
        <v>246</v>
      </c>
      <c r="C69" s="185"/>
    </row>
    <row r="70" spans="1:4">
      <c r="B70" s="184" t="s">
        <v>6</v>
      </c>
      <c r="C70" s="185"/>
    </row>
    <row r="71" spans="1:4">
      <c r="B71" s="184" t="s">
        <v>247</v>
      </c>
      <c r="C71" s="185"/>
    </row>
    <row r="72" spans="1:4">
      <c r="B72" s="185" t="s">
        <v>248</v>
      </c>
      <c r="C72" s="185"/>
    </row>
    <row r="74" spans="1:4">
      <c r="C74" s="186"/>
    </row>
    <row r="75" spans="1:4">
      <c r="C75" s="67" t="s">
        <v>77</v>
      </c>
    </row>
    <row r="76" spans="1:4">
      <c r="B76" s="183" t="s">
        <v>249</v>
      </c>
      <c r="C76" s="189">
        <v>23121</v>
      </c>
      <c r="D76" s="189"/>
    </row>
    <row r="77" spans="1:4">
      <c r="B77" s="183" t="s">
        <v>255</v>
      </c>
      <c r="C77" s="189">
        <v>4097</v>
      </c>
      <c r="D77" s="189"/>
    </row>
    <row r="78" spans="1:4">
      <c r="B78" s="183" t="s">
        <v>257</v>
      </c>
      <c r="C78" s="67">
        <v>-59</v>
      </c>
    </row>
    <row r="79" spans="1:4">
      <c r="B79" s="183" t="s">
        <v>259</v>
      </c>
      <c r="C79" s="195">
        <v>13274</v>
      </c>
      <c r="D79" s="189"/>
    </row>
    <row r="80" spans="1:4">
      <c r="B80" s="196" t="s">
        <v>264</v>
      </c>
      <c r="C80" s="197">
        <v>40434</v>
      </c>
    </row>
    <row r="81" spans="1:4">
      <c r="D81" s="189"/>
    </row>
    <row r="83" spans="1:4">
      <c r="A83" s="183" t="s">
        <v>273</v>
      </c>
      <c r="B83" s="184" t="s">
        <v>246</v>
      </c>
      <c r="C83" s="185"/>
    </row>
    <row r="84" spans="1:4">
      <c r="B84" s="184" t="s">
        <v>7</v>
      </c>
      <c r="C84" s="185"/>
    </row>
    <row r="85" spans="1:4">
      <c r="B85" s="184" t="s">
        <v>247</v>
      </c>
      <c r="C85" s="185"/>
    </row>
    <row r="86" spans="1:4">
      <c r="B86" s="185" t="s">
        <v>248</v>
      </c>
      <c r="C86" s="185"/>
    </row>
    <row r="88" spans="1:4">
      <c r="C88" s="186"/>
    </row>
    <row r="89" spans="1:4">
      <c r="C89" s="67" t="s">
        <v>77</v>
      </c>
    </row>
    <row r="90" spans="1:4">
      <c r="B90" s="183" t="s">
        <v>249</v>
      </c>
      <c r="C90" s="189">
        <v>54031</v>
      </c>
      <c r="D90" s="189"/>
    </row>
    <row r="91" spans="1:4">
      <c r="B91" s="183" t="s">
        <v>255</v>
      </c>
      <c r="C91" s="189">
        <v>8430</v>
      </c>
      <c r="D91" s="189"/>
    </row>
    <row r="92" spans="1:4">
      <c r="B92" s="183" t="s">
        <v>257</v>
      </c>
      <c r="C92" s="189">
        <v>20020</v>
      </c>
    </row>
    <row r="93" spans="1:4">
      <c r="B93" s="183" t="s">
        <v>259</v>
      </c>
      <c r="C93" s="189">
        <v>38443</v>
      </c>
      <c r="D93" s="189"/>
    </row>
    <row r="94" spans="1:4">
      <c r="B94" s="183" t="s">
        <v>274</v>
      </c>
      <c r="C94" s="198">
        <v>24</v>
      </c>
    </row>
    <row r="95" spans="1:4">
      <c r="B95" s="196" t="s">
        <v>264</v>
      </c>
      <c r="C95" s="197">
        <v>120950</v>
      </c>
    </row>
    <row r="98" spans="1:4">
      <c r="A98" s="183" t="s">
        <v>275</v>
      </c>
      <c r="B98" s="184" t="s">
        <v>246</v>
      </c>
      <c r="C98" s="185"/>
    </row>
    <row r="99" spans="1:4">
      <c r="B99" s="184" t="s">
        <v>276</v>
      </c>
      <c r="C99" s="185"/>
    </row>
    <row r="100" spans="1:4">
      <c r="B100" s="184" t="s">
        <v>247</v>
      </c>
      <c r="C100" s="185"/>
    </row>
    <row r="101" spans="1:4">
      <c r="B101" s="185" t="s">
        <v>248</v>
      </c>
      <c r="C101" s="185"/>
    </row>
    <row r="103" spans="1:4">
      <c r="C103" s="186"/>
    </row>
    <row r="104" spans="1:4">
      <c r="C104" s="67" t="s">
        <v>77</v>
      </c>
    </row>
    <row r="105" spans="1:4">
      <c r="B105" s="183" t="s">
        <v>249</v>
      </c>
      <c r="C105" s="189">
        <v>509382</v>
      </c>
      <c r="D105" s="189"/>
    </row>
    <row r="106" spans="1:4">
      <c r="B106" s="183" t="s">
        <v>277</v>
      </c>
      <c r="C106" s="189">
        <v>1006</v>
      </c>
    </row>
    <row r="107" spans="1:4">
      <c r="B107" s="183" t="s">
        <v>255</v>
      </c>
      <c r="C107" s="189">
        <v>162466</v>
      </c>
    </row>
    <row r="108" spans="1:4">
      <c r="B108" s="183" t="s">
        <v>257</v>
      </c>
      <c r="C108" s="189">
        <v>84587</v>
      </c>
    </row>
    <row r="109" spans="1:4">
      <c r="B109" s="183" t="s">
        <v>259</v>
      </c>
      <c r="C109" s="189">
        <v>183990</v>
      </c>
      <c r="D109" s="189"/>
    </row>
    <row r="110" spans="1:4">
      <c r="B110" s="183" t="s">
        <v>274</v>
      </c>
      <c r="C110" s="67">
        <v>144</v>
      </c>
    </row>
    <row r="111" spans="1:4">
      <c r="B111" s="183" t="s">
        <v>269</v>
      </c>
      <c r="C111" s="195">
        <v>11530</v>
      </c>
    </row>
    <row r="112" spans="1:4">
      <c r="B112" s="196" t="s">
        <v>264</v>
      </c>
      <c r="C112" s="197">
        <v>953104</v>
      </c>
    </row>
    <row r="115" spans="1:3">
      <c r="A115" s="183" t="s">
        <v>278</v>
      </c>
      <c r="B115" s="184" t="s">
        <v>246</v>
      </c>
      <c r="C115" s="185"/>
    </row>
    <row r="116" spans="1:3">
      <c r="B116" s="184" t="s">
        <v>11</v>
      </c>
      <c r="C116" s="185"/>
    </row>
    <row r="117" spans="1:3">
      <c r="B117" s="184" t="s">
        <v>247</v>
      </c>
      <c r="C117" s="185"/>
    </row>
    <row r="118" spans="1:3">
      <c r="B118" s="185" t="s">
        <v>1</v>
      </c>
      <c r="C118" s="185"/>
    </row>
    <row r="120" spans="1:3">
      <c r="C120" s="186" t="s">
        <v>77</v>
      </c>
    </row>
    <row r="121" spans="1:3">
      <c r="B121" s="183" t="s">
        <v>249</v>
      </c>
      <c r="C121" s="189">
        <v>149956</v>
      </c>
    </row>
    <row r="122" spans="1:3">
      <c r="B122" s="183" t="s">
        <v>279</v>
      </c>
      <c r="C122" s="189">
        <v>3953</v>
      </c>
    </row>
    <row r="123" spans="1:3">
      <c r="B123" s="183" t="s">
        <v>280</v>
      </c>
      <c r="C123" s="189">
        <v>3885</v>
      </c>
    </row>
    <row r="124" spans="1:3">
      <c r="B124" s="183" t="s">
        <v>274</v>
      </c>
      <c r="C124" s="67">
        <v>128</v>
      </c>
    </row>
    <row r="125" spans="1:3">
      <c r="B125" s="183" t="s">
        <v>281</v>
      </c>
      <c r="C125" s="189">
        <v>1452</v>
      </c>
    </row>
    <row r="126" spans="1:3">
      <c r="B126" s="183" t="s">
        <v>282</v>
      </c>
      <c r="C126" s="67">
        <v>740</v>
      </c>
    </row>
    <row r="127" spans="1:3">
      <c r="B127" s="183" t="s">
        <v>283</v>
      </c>
      <c r="C127" s="189">
        <v>2863</v>
      </c>
    </row>
    <row r="128" spans="1:3">
      <c r="B128" s="183" t="s">
        <v>284</v>
      </c>
      <c r="C128" s="198">
        <v>63</v>
      </c>
    </row>
    <row r="129" spans="1:3">
      <c r="B129" s="196" t="s">
        <v>264</v>
      </c>
      <c r="C129" s="197">
        <v>163040</v>
      </c>
    </row>
    <row r="132" spans="1:3">
      <c r="A132" s="183" t="s">
        <v>285</v>
      </c>
      <c r="B132" s="184" t="s">
        <v>246</v>
      </c>
      <c r="C132" s="185"/>
    </row>
    <row r="133" spans="1:3">
      <c r="B133" s="184" t="s">
        <v>70</v>
      </c>
      <c r="C133" s="185"/>
    </row>
    <row r="134" spans="1:3">
      <c r="B134" s="184" t="s">
        <v>247</v>
      </c>
      <c r="C134" s="185"/>
    </row>
    <row r="135" spans="1:3">
      <c r="B135" s="185" t="s">
        <v>1</v>
      </c>
      <c r="C135" s="185"/>
    </row>
    <row r="137" spans="1:3">
      <c r="C137" s="186" t="s">
        <v>77</v>
      </c>
    </row>
    <row r="138" spans="1:3">
      <c r="B138" s="183" t="s">
        <v>249</v>
      </c>
      <c r="C138" s="189">
        <v>1403</v>
      </c>
    </row>
    <row r="139" spans="1:3">
      <c r="B139" s="183" t="s">
        <v>255</v>
      </c>
      <c r="C139" s="67">
        <v>183</v>
      </c>
    </row>
    <row r="140" spans="1:3">
      <c r="B140" s="183" t="s">
        <v>257</v>
      </c>
      <c r="C140" s="198">
        <v>396</v>
      </c>
    </row>
    <row r="141" spans="1:3">
      <c r="B141" s="196" t="s">
        <v>264</v>
      </c>
      <c r="C141" s="197">
        <v>1982</v>
      </c>
    </row>
  </sheetData>
  <phoneticPr fontId="44" type="noConversion"/>
  <pageMargins left="0.75" right="0.75" top="1" bottom="1" header="0.5" footer="0.5"/>
  <pageSetup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AG195"/>
  <sheetViews>
    <sheetView zoomScaleNormal="100" workbookViewId="0">
      <pane xSplit="1" ySplit="6" topLeftCell="D7" activePane="bottomRight" state="frozen"/>
      <selection pane="topRight" activeCell="B1" sqref="B1"/>
      <selection pane="bottomLeft" activeCell="A7" sqref="A7"/>
      <selection pane="bottomRight" activeCell="A8" sqref="A8"/>
    </sheetView>
  </sheetViews>
  <sheetFormatPr defaultRowHeight="12.75"/>
  <cols>
    <col min="1" max="1" width="27.625" style="1" customWidth="1"/>
    <col min="2" max="19" width="8.625" style="1" hidden="1" customWidth="1"/>
    <col min="20" max="29" width="8.625" style="1" customWidth="1"/>
    <col min="30" max="16384" width="9" style="1"/>
  </cols>
  <sheetData>
    <row r="1" spans="1:33">
      <c r="A1" s="1" t="str">
        <f>+OperatingFunds!B1</f>
        <v>Last updated: 18 December 2024</v>
      </c>
      <c r="Q1"/>
      <c r="R1"/>
      <c r="S1"/>
    </row>
    <row r="2" spans="1:33">
      <c r="A2" s="4" t="s">
        <v>10</v>
      </c>
      <c r="K2" s="8"/>
      <c r="L2" s="8"/>
      <c r="M2" s="8"/>
      <c r="Q2"/>
      <c r="R2"/>
      <c r="S2"/>
    </row>
    <row r="3" spans="1:33" ht="15.75">
      <c r="A3" s="376" t="s">
        <v>1855</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row>
    <row r="4" spans="1:33">
      <c r="A4" s="5" t="s">
        <v>1</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row>
    <row r="5" spans="1:33">
      <c r="H5" s="13"/>
      <c r="I5" s="13"/>
      <c r="J5" s="13"/>
      <c r="K5" s="13"/>
      <c r="L5" s="13"/>
      <c r="M5" s="13"/>
      <c r="N5" s="13"/>
      <c r="O5" s="13"/>
      <c r="P5" s="13"/>
      <c r="Q5" s="2"/>
      <c r="R5"/>
      <c r="S5" s="410"/>
      <c r="T5" s="410"/>
      <c r="U5" s="5"/>
      <c r="V5" s="2"/>
      <c r="W5" s="5"/>
      <c r="X5" s="2"/>
      <c r="Y5" s="2" t="str">
        <f>TRIM(+OperatingFunds!AD5)</f>
        <v/>
      </c>
      <c r="Z5" s="2"/>
      <c r="AA5" s="2"/>
      <c r="AB5" s="410"/>
      <c r="AC5" s="2407"/>
      <c r="AD5" s="2"/>
      <c r="AE5" s="2451"/>
      <c r="AF5" s="2451" t="s">
        <v>1977</v>
      </c>
      <c r="AG5" s="2" t="s">
        <v>1928</v>
      </c>
    </row>
    <row r="6" spans="1:33">
      <c r="B6" s="2" t="s">
        <v>1647</v>
      </c>
      <c r="C6" s="2" t="str">
        <f>+"FY"&amp;C30</f>
        <v>FY1995</v>
      </c>
      <c r="D6" s="2" t="str">
        <f>+"FY"&amp;D30</f>
        <v>FY1996</v>
      </c>
      <c r="E6" s="2" t="str">
        <f>+"FY"&amp;E30</f>
        <v>FY1997</v>
      </c>
      <c r="F6" s="2" t="str">
        <f>+"FY"&amp;F30</f>
        <v>FY1998</v>
      </c>
      <c r="G6" s="2" t="str">
        <f>+"FY"&amp;G30</f>
        <v>FY1999</v>
      </c>
      <c r="H6" s="2" t="str">
        <f t="shared" ref="H6:V6" si="0">+"FY"&amp;D162</f>
        <v>FY2000</v>
      </c>
      <c r="I6" s="2" t="str">
        <f t="shared" si="0"/>
        <v>FY2001</v>
      </c>
      <c r="J6" s="2" t="str">
        <f t="shared" si="0"/>
        <v>FY2002</v>
      </c>
      <c r="K6" s="2" t="str">
        <f t="shared" si="0"/>
        <v>FY2003</v>
      </c>
      <c r="L6" s="2" t="str">
        <f t="shared" si="0"/>
        <v>FY2004</v>
      </c>
      <c r="M6" s="2" t="str">
        <f t="shared" si="0"/>
        <v>FY2005</v>
      </c>
      <c r="N6" s="2" t="str">
        <f t="shared" si="0"/>
        <v>FY2006</v>
      </c>
      <c r="O6" s="2" t="str">
        <f t="shared" si="0"/>
        <v>FY2007</v>
      </c>
      <c r="P6" s="2" t="str">
        <f t="shared" si="0"/>
        <v>FY2008</v>
      </c>
      <c r="Q6" s="2" t="str">
        <f t="shared" si="0"/>
        <v>FY2009</v>
      </c>
      <c r="R6" s="2" t="str">
        <f t="shared" si="0"/>
        <v>FY2010</v>
      </c>
      <c r="S6" s="2" t="str">
        <f t="shared" si="0"/>
        <v>FY2011</v>
      </c>
      <c r="T6" s="2" t="str">
        <f t="shared" si="0"/>
        <v>FY2012</v>
      </c>
      <c r="U6" s="2" t="str">
        <f t="shared" si="0"/>
        <v>FY2013</v>
      </c>
      <c r="V6" s="2" t="str">
        <f t="shared" si="0"/>
        <v>FY2014</v>
      </c>
      <c r="W6" s="2" t="str">
        <f t="shared" ref="W6:AE6" si="1">+"FY"&amp;B176</f>
        <v>FY2015</v>
      </c>
      <c r="X6" s="2" t="str">
        <f t="shared" si="1"/>
        <v>FY2016</v>
      </c>
      <c r="Y6" s="2" t="str">
        <f t="shared" si="1"/>
        <v>FY2017</v>
      </c>
      <c r="Z6" s="2" t="str">
        <f t="shared" si="1"/>
        <v>FY2018</v>
      </c>
      <c r="AA6" s="2" t="str">
        <f t="shared" si="1"/>
        <v>FY2019</v>
      </c>
      <c r="AB6" s="2" t="str">
        <f t="shared" si="1"/>
        <v>FY2020</v>
      </c>
      <c r="AC6" s="2" t="str">
        <f t="shared" si="1"/>
        <v>FY2021</v>
      </c>
      <c r="AD6" s="2" t="str">
        <f t="shared" si="1"/>
        <v>FY2022</v>
      </c>
      <c r="AE6" s="2" t="str">
        <f t="shared" si="1"/>
        <v>FY2023</v>
      </c>
      <c r="AF6" s="2" t="str">
        <f t="shared" ref="AF6" si="2">+"FY"&amp;K176</f>
        <v>FY2024</v>
      </c>
      <c r="AG6" s="2" t="str">
        <f t="shared" ref="AG6" si="3">+"FY"&amp;L176</f>
        <v>FY2025</v>
      </c>
    </row>
    <row r="7" spans="1:33">
      <c r="R7"/>
      <c r="S7"/>
    </row>
    <row r="8" spans="1:33">
      <c r="A8" s="1" t="s">
        <v>2</v>
      </c>
      <c r="B8" s="3">
        <f t="shared" ref="B8:G8" si="4">+B31/1000</f>
        <v>80546.591</v>
      </c>
      <c r="C8" s="3">
        <f t="shared" si="4"/>
        <v>93538.895000000004</v>
      </c>
      <c r="D8" s="3">
        <f t="shared" si="4"/>
        <v>96769.54</v>
      </c>
      <c r="E8" s="3">
        <f t="shared" si="4"/>
        <v>104704.927</v>
      </c>
      <c r="F8" s="3">
        <f t="shared" si="4"/>
        <v>111894.625</v>
      </c>
      <c r="G8" s="3">
        <f t="shared" si="4"/>
        <v>118055.989</v>
      </c>
      <c r="H8" s="3">
        <f t="shared" ref="H8:S13" si="5">+D163/1000</f>
        <v>126289.77259000002</v>
      </c>
      <c r="I8" s="3">
        <f t="shared" si="5"/>
        <v>133419.50145999997</v>
      </c>
      <c r="J8" s="3">
        <f t="shared" si="5"/>
        <v>151094.92456000001</v>
      </c>
      <c r="K8" s="3">
        <f t="shared" si="5"/>
        <v>173264.73618999991</v>
      </c>
      <c r="L8" s="3">
        <f t="shared" si="5"/>
        <v>183104.05669</v>
      </c>
      <c r="M8" s="3">
        <f t="shared" si="5"/>
        <v>204784.39222999997</v>
      </c>
      <c r="N8" s="3">
        <f t="shared" si="5"/>
        <v>225754.54895000011</v>
      </c>
      <c r="O8" s="3">
        <f t="shared" si="5"/>
        <v>250532.31284999999</v>
      </c>
      <c r="P8" s="3">
        <f t="shared" si="5"/>
        <v>282509.95507999993</v>
      </c>
      <c r="Q8" s="3">
        <f t="shared" si="5"/>
        <v>334931.4254100002</v>
      </c>
      <c r="R8" s="3">
        <f t="shared" si="5"/>
        <v>339292.64828999992</v>
      </c>
      <c r="S8" s="3">
        <f t="shared" si="5"/>
        <v>368083.4201799999</v>
      </c>
      <c r="T8" s="3">
        <f t="shared" ref="T8:T13" si="6">+P163/1000</f>
        <v>460148.10950000002</v>
      </c>
      <c r="U8" s="3">
        <f t="shared" ref="U8:U13" si="7">+Q163/1000</f>
        <v>538620.55468000006</v>
      </c>
      <c r="V8" s="3">
        <f t="shared" ref="V8:V13" si="8">+R163/1000</f>
        <v>551505.42764999985</v>
      </c>
      <c r="W8" s="3">
        <f t="shared" ref="W8:X13" si="9">+B178/1000</f>
        <v>573776.23176999995</v>
      </c>
      <c r="X8" s="3">
        <f t="shared" si="9"/>
        <v>598404.06814999972</v>
      </c>
      <c r="Y8" s="3">
        <f t="shared" ref="Y8:Y13" si="10">+D178/1000</f>
        <v>600256.51176999987</v>
      </c>
      <c r="Z8" s="3">
        <f t="shared" ref="Z8:AA13" si="11">+E178/1000</f>
        <v>719298.5116699998</v>
      </c>
      <c r="AA8" s="3">
        <f t="shared" si="11"/>
        <v>701348.36277000012</v>
      </c>
      <c r="AB8" s="3">
        <f t="shared" ref="AB8:AB13" si="12">+G178/1000</f>
        <v>709168.76342000044</v>
      </c>
      <c r="AC8" s="3">
        <f t="shared" ref="AC8:AC13" si="13">+H178/1000</f>
        <v>742586.6421500002</v>
      </c>
      <c r="AD8" s="3">
        <f t="shared" ref="AD8:AD13" si="14">+I178/1000</f>
        <v>720982.9535599997</v>
      </c>
      <c r="AE8" s="3">
        <f t="shared" ref="AE8:AE13" si="15">+J178/1000</f>
        <v>742528.09271000011</v>
      </c>
      <c r="AF8" s="3">
        <f t="shared" ref="AF8:AF13" si="16">+K178/1000</f>
        <v>904514.73463000066</v>
      </c>
      <c r="AG8" s="3">
        <f t="shared" ref="AG8:AG13" si="17">+L178/1000</f>
        <v>717648</v>
      </c>
    </row>
    <row r="9" spans="1:33">
      <c r="A9" s="1" t="s">
        <v>3</v>
      </c>
      <c r="B9" s="3">
        <f t="shared" ref="B9:G9" si="18">+B32/1000</f>
        <v>41078.383999999998</v>
      </c>
      <c r="C9" s="3">
        <f t="shared" si="18"/>
        <v>50626.353000000003</v>
      </c>
      <c r="D9" s="3">
        <f t="shared" si="18"/>
        <v>51268.031999999999</v>
      </c>
      <c r="E9" s="3">
        <f t="shared" si="18"/>
        <v>54503.648000000001</v>
      </c>
      <c r="F9" s="3">
        <f t="shared" si="18"/>
        <v>55325.83</v>
      </c>
      <c r="G9" s="3">
        <f t="shared" si="18"/>
        <v>57456.796999999999</v>
      </c>
      <c r="H9" s="3">
        <f t="shared" si="5"/>
        <v>59077.108740000003</v>
      </c>
      <c r="I9" s="3">
        <f t="shared" si="5"/>
        <v>61680.684689999995</v>
      </c>
      <c r="J9" s="3">
        <f t="shared" si="5"/>
        <v>67548.299180000016</v>
      </c>
      <c r="K9" s="3">
        <f t="shared" si="5"/>
        <v>78560.005370000028</v>
      </c>
      <c r="L9" s="3">
        <f t="shared" si="5"/>
        <v>84610.484900000025</v>
      </c>
      <c r="M9" s="3">
        <f t="shared" si="5"/>
        <v>97994.003940000039</v>
      </c>
      <c r="N9" s="3">
        <f t="shared" si="5"/>
        <v>102714.57546999998</v>
      </c>
      <c r="O9" s="3">
        <f t="shared" si="5"/>
        <v>107702.29092999997</v>
      </c>
      <c r="P9" s="3">
        <f t="shared" si="5"/>
        <v>119582.83235999999</v>
      </c>
      <c r="Q9" s="3">
        <f t="shared" si="5"/>
        <v>135619.02896</v>
      </c>
      <c r="R9" s="3">
        <f t="shared" si="5"/>
        <v>154801.51861000003</v>
      </c>
      <c r="S9" s="3">
        <f t="shared" si="5"/>
        <v>177467.54544999995</v>
      </c>
      <c r="T9" s="3">
        <f t="shared" si="6"/>
        <v>209304.15735000002</v>
      </c>
      <c r="U9" s="3">
        <f t="shared" si="7"/>
        <v>244333.11046000003</v>
      </c>
      <c r="V9" s="3">
        <f t="shared" si="8"/>
        <v>243118.43221999996</v>
      </c>
      <c r="W9" s="3">
        <f t="shared" si="9"/>
        <v>249987.55471999999</v>
      </c>
      <c r="X9" s="3">
        <f t="shared" si="9"/>
        <v>240280.35462</v>
      </c>
      <c r="Y9" s="3">
        <f t="shared" si="10"/>
        <v>223323.73832</v>
      </c>
      <c r="Z9" s="3">
        <f t="shared" si="11"/>
        <v>243702.61537999997</v>
      </c>
      <c r="AA9" s="3">
        <f t="shared" si="11"/>
        <v>259683.27709999998</v>
      </c>
      <c r="AB9" s="3">
        <f t="shared" si="12"/>
        <v>267877.94427000004</v>
      </c>
      <c r="AC9" s="3">
        <f t="shared" si="13"/>
        <v>267637.42994999996</v>
      </c>
      <c r="AD9" s="3">
        <f t="shared" si="14"/>
        <v>262740.74153</v>
      </c>
      <c r="AE9" s="3">
        <f t="shared" si="15"/>
        <v>250865.57342999999</v>
      </c>
      <c r="AF9" s="3">
        <f t="shared" si="16"/>
        <v>247318.6336</v>
      </c>
      <c r="AG9" s="3">
        <f t="shared" si="17"/>
        <v>241835</v>
      </c>
    </row>
    <row r="10" spans="1:33">
      <c r="A10" s="1" t="s">
        <v>4</v>
      </c>
      <c r="B10" s="3">
        <f t="shared" ref="B10:G10" si="19">+B33/1000</f>
        <v>14452.218999999999</v>
      </c>
      <c r="C10" s="3">
        <f t="shared" si="19"/>
        <v>16812.39</v>
      </c>
      <c r="D10" s="3">
        <f t="shared" si="19"/>
        <v>16456.27</v>
      </c>
      <c r="E10" s="3">
        <f t="shared" si="19"/>
        <v>15986.790999999999</v>
      </c>
      <c r="F10" s="3">
        <f t="shared" si="19"/>
        <v>16476.585999999999</v>
      </c>
      <c r="G10" s="3">
        <f t="shared" si="19"/>
        <v>17522.492999999999</v>
      </c>
      <c r="H10" s="3">
        <f t="shared" si="5"/>
        <v>18878.776270000002</v>
      </c>
      <c r="I10" s="3">
        <f t="shared" si="5"/>
        <v>20723.204139999998</v>
      </c>
      <c r="J10" s="3">
        <f t="shared" si="5"/>
        <v>22300.61911</v>
      </c>
      <c r="K10" s="3">
        <f t="shared" si="5"/>
        <v>26474.943080000001</v>
      </c>
      <c r="L10" s="3">
        <f t="shared" si="5"/>
        <v>28360.55256</v>
      </c>
      <c r="M10" s="3">
        <f t="shared" si="5"/>
        <v>30704.459429999995</v>
      </c>
      <c r="N10" s="3">
        <f t="shared" si="5"/>
        <v>33018.064900000005</v>
      </c>
      <c r="O10" s="3">
        <f t="shared" si="5"/>
        <v>35974.246850000003</v>
      </c>
      <c r="P10" s="3">
        <f t="shared" si="5"/>
        <v>37528.25765</v>
      </c>
      <c r="Q10" s="3">
        <f t="shared" si="5"/>
        <v>39262.048859999995</v>
      </c>
      <c r="R10" s="3">
        <f t="shared" si="5"/>
        <v>44031.828829999999</v>
      </c>
      <c r="S10" s="3">
        <f t="shared" si="5"/>
        <v>49261.182999999997</v>
      </c>
      <c r="T10" s="3">
        <f t="shared" si="6"/>
        <v>57152.342519999998</v>
      </c>
      <c r="U10" s="3">
        <f t="shared" si="7"/>
        <v>63596.757109999999</v>
      </c>
      <c r="V10" s="3">
        <f t="shared" si="8"/>
        <v>65429.633099999999</v>
      </c>
      <c r="W10" s="3">
        <f t="shared" si="9"/>
        <v>67581.336469999995</v>
      </c>
      <c r="X10" s="3">
        <f t="shared" si="9"/>
        <v>66276.512599999987</v>
      </c>
      <c r="Y10" s="3">
        <f t="shared" si="10"/>
        <v>58389.020630000014</v>
      </c>
      <c r="Z10" s="3">
        <f t="shared" si="11"/>
        <v>61700.12876</v>
      </c>
      <c r="AA10" s="3">
        <f t="shared" si="11"/>
        <v>60503.748100000004</v>
      </c>
      <c r="AB10" s="3">
        <f t="shared" si="12"/>
        <v>69406.223700000002</v>
      </c>
      <c r="AC10" s="3">
        <f t="shared" si="13"/>
        <v>70230.90036</v>
      </c>
      <c r="AD10" s="3">
        <f t="shared" si="14"/>
        <v>64819.831809999996</v>
      </c>
      <c r="AE10" s="3">
        <f t="shared" si="15"/>
        <v>55183.874659999994</v>
      </c>
      <c r="AF10" s="3">
        <f t="shared" si="16"/>
        <v>45393.537340000003</v>
      </c>
      <c r="AG10" s="3">
        <f t="shared" si="17"/>
        <v>47007</v>
      </c>
    </row>
    <row r="11" spans="1:33">
      <c r="A11" s="1" t="s">
        <v>5</v>
      </c>
      <c r="B11" s="3">
        <f t="shared" ref="B11:G11" si="20">+B34/1000</f>
        <v>12681.946</v>
      </c>
      <c r="C11" s="3">
        <f t="shared" si="20"/>
        <v>14954.797</v>
      </c>
      <c r="D11" s="3">
        <f t="shared" si="20"/>
        <v>15197.796</v>
      </c>
      <c r="E11" s="3">
        <f t="shared" si="20"/>
        <v>16189.431</v>
      </c>
      <c r="F11" s="3">
        <f t="shared" si="20"/>
        <v>17037.347000000002</v>
      </c>
      <c r="G11" s="3">
        <f t="shared" si="20"/>
        <v>17388.904999999999</v>
      </c>
      <c r="H11" s="3">
        <f t="shared" si="5"/>
        <v>18157.917799999999</v>
      </c>
      <c r="I11" s="3">
        <f t="shared" si="5"/>
        <v>18065.56853</v>
      </c>
      <c r="J11" s="3">
        <f t="shared" si="5"/>
        <v>19636.140100000001</v>
      </c>
      <c r="K11" s="3">
        <f t="shared" si="5"/>
        <v>22857.389880000002</v>
      </c>
      <c r="L11" s="3">
        <f t="shared" si="5"/>
        <v>24494.525559999998</v>
      </c>
      <c r="M11" s="3">
        <f t="shared" si="5"/>
        <v>27665.377630000003</v>
      </c>
      <c r="N11" s="3">
        <f t="shared" si="5"/>
        <v>30570.354349999998</v>
      </c>
      <c r="O11" s="3">
        <f t="shared" si="5"/>
        <v>33219.286639999998</v>
      </c>
      <c r="P11" s="3">
        <f t="shared" si="5"/>
        <v>34535.33746000001</v>
      </c>
      <c r="Q11" s="3">
        <f t="shared" si="5"/>
        <v>35865.959639999994</v>
      </c>
      <c r="R11" s="3">
        <f t="shared" si="5"/>
        <v>43041.037009999993</v>
      </c>
      <c r="S11" s="3">
        <f t="shared" si="5"/>
        <v>50308.889379999986</v>
      </c>
      <c r="T11" s="3">
        <f t="shared" si="6"/>
        <v>57447.298459999984</v>
      </c>
      <c r="U11" s="3">
        <f t="shared" si="7"/>
        <v>66231.157779999994</v>
      </c>
      <c r="V11" s="3">
        <f t="shared" si="8"/>
        <v>61369.281590000006</v>
      </c>
      <c r="W11" s="3">
        <f t="shared" si="9"/>
        <v>63422.456639999997</v>
      </c>
      <c r="X11" s="3">
        <f t="shared" si="9"/>
        <v>60782.217859999997</v>
      </c>
      <c r="Y11" s="3">
        <f t="shared" si="10"/>
        <v>52492.311249999999</v>
      </c>
      <c r="Z11" s="3">
        <f t="shared" si="11"/>
        <v>56117.562160000001</v>
      </c>
      <c r="AA11" s="3">
        <f t="shared" si="11"/>
        <v>62960.336370000005</v>
      </c>
      <c r="AB11" s="3">
        <f t="shared" si="12"/>
        <v>58789.744519999986</v>
      </c>
      <c r="AC11" s="3">
        <f t="shared" si="13"/>
        <v>54177.634720000009</v>
      </c>
      <c r="AD11" s="3">
        <f t="shared" si="14"/>
        <v>52321.941179999994</v>
      </c>
      <c r="AE11" s="3">
        <f t="shared" si="15"/>
        <v>50100.217439999993</v>
      </c>
      <c r="AF11" s="3">
        <f t="shared" si="16"/>
        <v>51706.204130000006</v>
      </c>
      <c r="AG11" s="3">
        <f t="shared" si="17"/>
        <v>64397</v>
      </c>
    </row>
    <row r="12" spans="1:33">
      <c r="A12" s="1" t="s">
        <v>6</v>
      </c>
      <c r="B12" s="3">
        <f t="shared" ref="B12:G12" si="21">+B35/1000</f>
        <v>8798.8150000000005</v>
      </c>
      <c r="C12" s="3">
        <f t="shared" si="21"/>
        <v>10213.776</v>
      </c>
      <c r="D12" s="3">
        <f t="shared" si="21"/>
        <v>10845.367</v>
      </c>
      <c r="E12" s="3">
        <f t="shared" si="21"/>
        <v>11594.266</v>
      </c>
      <c r="F12" s="3">
        <f t="shared" si="21"/>
        <v>12658.493</v>
      </c>
      <c r="G12" s="3">
        <f t="shared" si="21"/>
        <v>13922.457</v>
      </c>
      <c r="H12" s="3">
        <f t="shared" si="5"/>
        <v>13907.239670000003</v>
      </c>
      <c r="I12" s="3">
        <f t="shared" si="5"/>
        <v>14403.041090000002</v>
      </c>
      <c r="J12" s="3">
        <f t="shared" si="5"/>
        <v>15558.818440000001</v>
      </c>
      <c r="K12" s="3">
        <f t="shared" si="5"/>
        <v>15843.64733</v>
      </c>
      <c r="L12" s="3">
        <f t="shared" si="5"/>
        <v>12978.173260000005</v>
      </c>
      <c r="M12" s="3">
        <f t="shared" si="5"/>
        <v>25342.573900000007</v>
      </c>
      <c r="N12" s="3">
        <f t="shared" si="5"/>
        <v>20088.412800000002</v>
      </c>
      <c r="O12" s="3">
        <f t="shared" si="5"/>
        <v>21205.354890000002</v>
      </c>
      <c r="P12" s="3">
        <f t="shared" si="5"/>
        <v>23347.77461</v>
      </c>
      <c r="Q12" s="3">
        <f t="shared" si="5"/>
        <v>26618.617940000004</v>
      </c>
      <c r="R12" s="3">
        <f t="shared" si="5"/>
        <v>23674.432500000003</v>
      </c>
      <c r="S12" s="3">
        <f t="shared" si="5"/>
        <v>29976.610700000005</v>
      </c>
      <c r="T12" s="3">
        <f t="shared" si="6"/>
        <v>32677.048140000003</v>
      </c>
      <c r="U12" s="3">
        <f t="shared" si="7"/>
        <v>32808.264009999999</v>
      </c>
      <c r="V12" s="3">
        <f t="shared" si="8"/>
        <v>32355.575950000002</v>
      </c>
      <c r="W12" s="3">
        <f t="shared" si="9"/>
        <v>32143.213680000001</v>
      </c>
      <c r="X12" s="3">
        <f t="shared" si="9"/>
        <v>31804.764760000002</v>
      </c>
      <c r="Y12" s="3">
        <f t="shared" si="10"/>
        <v>27948.702819999999</v>
      </c>
      <c r="Z12" s="3">
        <f t="shared" si="11"/>
        <v>26586.460999999996</v>
      </c>
      <c r="AA12" s="3">
        <f t="shared" si="11"/>
        <v>21513.707589999998</v>
      </c>
      <c r="AB12" s="3">
        <f t="shared" si="12"/>
        <v>18195.640210000001</v>
      </c>
      <c r="AC12" s="3">
        <f t="shared" si="13"/>
        <v>14032.385149999996</v>
      </c>
      <c r="AD12" s="3">
        <f t="shared" si="14"/>
        <v>12689.114059999998</v>
      </c>
      <c r="AE12" s="3">
        <f t="shared" si="15"/>
        <v>14262.041469999998</v>
      </c>
      <c r="AF12" s="3">
        <f t="shared" si="16"/>
        <v>12789.124149999998</v>
      </c>
      <c r="AG12" s="3">
        <f t="shared" si="17"/>
        <v>37917</v>
      </c>
    </row>
    <row r="13" spans="1:33">
      <c r="A13" s="1" t="s">
        <v>7</v>
      </c>
      <c r="B13" s="3">
        <f t="shared" ref="B13:G13" si="22">+B36/1000</f>
        <v>15712.322</v>
      </c>
      <c r="C13" s="3">
        <f t="shared" si="22"/>
        <v>20506.911</v>
      </c>
      <c r="D13" s="3">
        <f t="shared" si="22"/>
        <v>20186.971000000001</v>
      </c>
      <c r="E13" s="3">
        <f t="shared" si="22"/>
        <v>22150.456999999999</v>
      </c>
      <c r="F13" s="3">
        <f t="shared" si="22"/>
        <v>24279.699000000001</v>
      </c>
      <c r="G13" s="3">
        <f t="shared" si="22"/>
        <v>25804.859</v>
      </c>
      <c r="H13" s="3">
        <f t="shared" si="5"/>
        <v>25317.728480000002</v>
      </c>
      <c r="I13" s="3">
        <f t="shared" si="5"/>
        <v>30737.289549999998</v>
      </c>
      <c r="J13" s="3">
        <f t="shared" si="5"/>
        <v>30328.21267999999</v>
      </c>
      <c r="K13" s="3">
        <f t="shared" si="5"/>
        <v>33840.12698999999</v>
      </c>
      <c r="L13" s="3">
        <f t="shared" si="5"/>
        <v>37958.130849999994</v>
      </c>
      <c r="M13" s="3">
        <f t="shared" si="5"/>
        <v>42490.997799999997</v>
      </c>
      <c r="N13" s="3">
        <f t="shared" si="5"/>
        <v>44496.799770000005</v>
      </c>
      <c r="O13" s="3">
        <f t="shared" si="5"/>
        <v>47769.819699999985</v>
      </c>
      <c r="P13" s="3">
        <f t="shared" si="5"/>
        <v>50668.237529999991</v>
      </c>
      <c r="Q13" s="3">
        <f t="shared" si="5"/>
        <v>56105.232160000014</v>
      </c>
      <c r="R13" s="3">
        <f t="shared" si="5"/>
        <v>62312.922009999987</v>
      </c>
      <c r="S13" s="3">
        <f t="shared" si="5"/>
        <v>69758.065659999993</v>
      </c>
      <c r="T13" s="3">
        <f t="shared" si="6"/>
        <v>81614.492389999985</v>
      </c>
      <c r="U13" s="3">
        <f t="shared" si="7"/>
        <v>91589.405130000014</v>
      </c>
      <c r="V13" s="3">
        <f t="shared" si="8"/>
        <v>91679.917119999998</v>
      </c>
      <c r="W13" s="3">
        <f t="shared" si="9"/>
        <v>92168.933369999984</v>
      </c>
      <c r="X13" s="3">
        <f t="shared" si="9"/>
        <v>90150.971950000006</v>
      </c>
      <c r="Y13" s="3">
        <f t="shared" si="10"/>
        <v>74395.931419999994</v>
      </c>
      <c r="Z13" s="3">
        <f t="shared" si="11"/>
        <v>79327.125750000007</v>
      </c>
      <c r="AA13" s="3">
        <f t="shared" si="11"/>
        <v>94999.453400000013</v>
      </c>
      <c r="AB13" s="3">
        <f t="shared" si="12"/>
        <v>91965.388609999995</v>
      </c>
      <c r="AC13" s="3">
        <f t="shared" si="13"/>
        <v>114323.76693999999</v>
      </c>
      <c r="AD13" s="3">
        <f t="shared" si="14"/>
        <v>93785.912910000028</v>
      </c>
      <c r="AE13" s="3">
        <f t="shared" si="15"/>
        <v>95168.680649999995</v>
      </c>
      <c r="AF13" s="3">
        <f t="shared" si="16"/>
        <v>99186.211469999995</v>
      </c>
      <c r="AG13" s="3">
        <f t="shared" si="17"/>
        <v>90415</v>
      </c>
    </row>
    <row r="14" spans="1:33">
      <c r="A14" s="199" t="s">
        <v>290</v>
      </c>
      <c r="B14" s="42">
        <f t="shared" ref="B14:H14" si="23">SUM(B8:B13)</f>
        <v>173270.277</v>
      </c>
      <c r="C14" s="42">
        <f t="shared" si="23"/>
        <v>206653.12200000003</v>
      </c>
      <c r="D14" s="42">
        <f t="shared" si="23"/>
        <v>210723.97599999997</v>
      </c>
      <c r="E14" s="42">
        <f t="shared" si="23"/>
        <v>225129.52000000002</v>
      </c>
      <c r="F14" s="42">
        <f t="shared" si="23"/>
        <v>237672.58000000002</v>
      </c>
      <c r="G14" s="42">
        <f t="shared" si="23"/>
        <v>250151.49999999997</v>
      </c>
      <c r="H14" s="42">
        <f t="shared" si="23"/>
        <v>261628.54355000003</v>
      </c>
      <c r="I14" s="42">
        <f t="shared" ref="I14:P14" si="24">SUM(I8:I13)</f>
        <v>279029.28945999994</v>
      </c>
      <c r="J14" s="42">
        <f t="shared" si="24"/>
        <v>306467.01407000003</v>
      </c>
      <c r="K14" s="42">
        <f t="shared" si="24"/>
        <v>350840.84883999988</v>
      </c>
      <c r="L14" s="42">
        <f t="shared" si="24"/>
        <v>371505.92382000003</v>
      </c>
      <c r="M14" s="42">
        <f t="shared" si="24"/>
        <v>428981.80493000004</v>
      </c>
      <c r="N14" s="42">
        <f t="shared" si="24"/>
        <v>456642.75624000008</v>
      </c>
      <c r="O14" s="42">
        <f t="shared" si="24"/>
        <v>496403.31185999996</v>
      </c>
      <c r="P14" s="42">
        <f t="shared" si="24"/>
        <v>548172.39468999999</v>
      </c>
      <c r="Q14" s="42">
        <f t="shared" ref="Q14:W14" si="25">SUM(Q8:Q13)</f>
        <v>628402.3129700002</v>
      </c>
      <c r="R14" s="42">
        <f t="shared" si="25"/>
        <v>667154.38724999991</v>
      </c>
      <c r="S14" s="42">
        <f t="shared" si="25"/>
        <v>744855.71436999971</v>
      </c>
      <c r="T14" s="42">
        <f t="shared" si="25"/>
        <v>898343.44835999992</v>
      </c>
      <c r="U14" s="42">
        <f t="shared" si="25"/>
        <v>1037179.2491700001</v>
      </c>
      <c r="V14" s="42">
        <f t="shared" si="25"/>
        <v>1045458.2676299998</v>
      </c>
      <c r="W14" s="42">
        <f t="shared" si="25"/>
        <v>1079079.7266500001</v>
      </c>
      <c r="X14" s="42">
        <f t="shared" ref="X14:AC14" si="26">SUM(X8:X13)</f>
        <v>1087698.8899399997</v>
      </c>
      <c r="Y14" s="42">
        <f t="shared" si="26"/>
        <v>1036806.21621</v>
      </c>
      <c r="Z14" s="42">
        <f t="shared" si="26"/>
        <v>1186732.4047199995</v>
      </c>
      <c r="AA14" s="42">
        <f t="shared" si="26"/>
        <v>1201008.88533</v>
      </c>
      <c r="AB14" s="42">
        <f t="shared" si="26"/>
        <v>1215403.7047300006</v>
      </c>
      <c r="AC14" s="42">
        <f t="shared" si="26"/>
        <v>1262988.7592700003</v>
      </c>
      <c r="AD14" s="42">
        <f t="shared" ref="AD14:AE14" si="27">SUM(AD8:AD13)</f>
        <v>1207340.4950499998</v>
      </c>
      <c r="AE14" s="42">
        <f t="shared" si="27"/>
        <v>1208108.4803600002</v>
      </c>
      <c r="AF14" s="42">
        <f t="shared" ref="AF14:AG14" si="28">SUM(AF8:AF13)</f>
        <v>1360908.4453200006</v>
      </c>
      <c r="AG14" s="42">
        <f t="shared" si="28"/>
        <v>1199219</v>
      </c>
    </row>
    <row r="15" spans="1:33">
      <c r="B15"/>
      <c r="C15"/>
      <c r="D15"/>
      <c r="E15"/>
      <c r="F15"/>
      <c r="G15"/>
      <c r="H15"/>
      <c r="I15"/>
      <c r="J15"/>
      <c r="K15"/>
      <c r="L15"/>
      <c r="M15"/>
      <c r="N15"/>
      <c r="O15"/>
      <c r="P15"/>
      <c r="Q15"/>
      <c r="R15"/>
      <c r="S15"/>
      <c r="T15"/>
      <c r="U15"/>
      <c r="V15"/>
      <c r="W15"/>
      <c r="X15"/>
      <c r="Y15"/>
      <c r="Z15"/>
      <c r="AA15"/>
      <c r="AB15"/>
      <c r="AC15"/>
      <c r="AD15"/>
      <c r="AE15"/>
      <c r="AF15"/>
      <c r="AG15"/>
    </row>
    <row r="16" spans="1:33">
      <c r="A16" s="1" t="s">
        <v>276</v>
      </c>
      <c r="B16" s="3">
        <f t="shared" ref="B16:G16" si="29">+B37/1000</f>
        <v>87200.316999999995</v>
      </c>
      <c r="C16" s="3">
        <f t="shared" si="29"/>
        <v>106287.306</v>
      </c>
      <c r="D16" s="3">
        <f t="shared" si="29"/>
        <v>108207.531</v>
      </c>
      <c r="E16" s="3">
        <f t="shared" si="29"/>
        <v>111815.837</v>
      </c>
      <c r="F16" s="3">
        <f t="shared" si="29"/>
        <v>117517.928</v>
      </c>
      <c r="G16" s="3">
        <f t="shared" si="29"/>
        <v>124812.304</v>
      </c>
      <c r="H16" s="3">
        <f t="shared" ref="H16:S16" si="30">+D169/1000</f>
        <v>131551.77562999999</v>
      </c>
      <c r="I16" s="3">
        <f t="shared" si="30"/>
        <v>137605.95252000002</v>
      </c>
      <c r="J16" s="3">
        <f t="shared" si="30"/>
        <v>149990.15420999998</v>
      </c>
      <c r="K16" s="3">
        <f t="shared" si="30"/>
        <v>167827.98656999992</v>
      </c>
      <c r="L16" s="3">
        <f t="shared" si="30"/>
        <v>184067.77504000004</v>
      </c>
      <c r="M16" s="3">
        <f t="shared" si="30"/>
        <v>201478.93521999996</v>
      </c>
      <c r="N16" s="3">
        <f t="shared" si="30"/>
        <v>213104.94586999994</v>
      </c>
      <c r="O16" s="3">
        <f t="shared" si="30"/>
        <v>226654.55052000002</v>
      </c>
      <c r="P16" s="3">
        <f t="shared" si="30"/>
        <v>243474.71277999997</v>
      </c>
      <c r="Q16" s="3">
        <f t="shared" si="30"/>
        <v>248071.40036999999</v>
      </c>
      <c r="R16" s="3">
        <f t="shared" si="30"/>
        <v>257537.60518000001</v>
      </c>
      <c r="S16" s="3">
        <f t="shared" si="30"/>
        <v>290332.95234000002</v>
      </c>
      <c r="T16" s="3">
        <f>+P169/1000</f>
        <v>320222.17168000009</v>
      </c>
      <c r="U16" s="3">
        <f>+Q169/1000</f>
        <v>353122.45529999991</v>
      </c>
      <c r="V16" s="3">
        <f>+R169/1000</f>
        <v>363553.82499999995</v>
      </c>
      <c r="W16" s="3">
        <f t="shared" ref="W16:AC16" si="31">+B184/1000</f>
        <v>360082.6543199998</v>
      </c>
      <c r="X16" s="3">
        <f t="shared" si="31"/>
        <v>345401.21731000027</v>
      </c>
      <c r="Y16" s="3">
        <f t="shared" si="31"/>
        <v>343156.82683000009</v>
      </c>
      <c r="Z16" s="3">
        <f t="shared" si="31"/>
        <v>343317.13370000006</v>
      </c>
      <c r="AA16" s="3">
        <f t="shared" si="31"/>
        <v>333207.85423999996</v>
      </c>
      <c r="AB16" s="3">
        <f t="shared" si="31"/>
        <v>331269.42054000002</v>
      </c>
      <c r="AC16" s="3">
        <f t="shared" si="31"/>
        <v>319388.46764999977</v>
      </c>
      <c r="AD16" s="3">
        <f t="shared" ref="AD16" si="32">+I184/1000</f>
        <v>307088.91804999998</v>
      </c>
      <c r="AE16" s="3">
        <f t="shared" ref="AE16" si="33">+J184/1000</f>
        <v>286858.4515599999</v>
      </c>
      <c r="AF16" s="3">
        <f t="shared" ref="AF16" si="34">+K184/1000</f>
        <v>306558.72327999998</v>
      </c>
      <c r="AG16" s="3">
        <f t="shared" ref="AG16" si="35">+L184/1000</f>
        <v>365616</v>
      </c>
    </row>
    <row r="17" spans="1:33" ht="13.5" thickBot="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row>
    <row r="18" spans="1:33" ht="13.5" thickTop="1">
      <c r="A18" s="1" t="s">
        <v>9</v>
      </c>
      <c r="B18" s="39">
        <f t="shared" ref="B18:H18" si="36">+B16+B14</f>
        <v>260470.59399999998</v>
      </c>
      <c r="C18" s="39">
        <f t="shared" si="36"/>
        <v>312940.42800000001</v>
      </c>
      <c r="D18" s="39">
        <f t="shared" si="36"/>
        <v>318931.50699999998</v>
      </c>
      <c r="E18" s="39">
        <f t="shared" si="36"/>
        <v>336945.35700000002</v>
      </c>
      <c r="F18" s="39">
        <f t="shared" si="36"/>
        <v>355190.50800000003</v>
      </c>
      <c r="G18" s="39">
        <f t="shared" si="36"/>
        <v>374963.804</v>
      </c>
      <c r="H18" s="39">
        <f t="shared" si="36"/>
        <v>393180.31917999999</v>
      </c>
      <c r="I18" s="39">
        <f t="shared" ref="I18:P18" si="37">+I16+I14</f>
        <v>416635.24197999993</v>
      </c>
      <c r="J18" s="39">
        <f t="shared" si="37"/>
        <v>456457.16827999998</v>
      </c>
      <c r="K18" s="39">
        <f t="shared" si="37"/>
        <v>518668.83540999983</v>
      </c>
      <c r="L18" s="39">
        <f t="shared" si="37"/>
        <v>555573.69886000012</v>
      </c>
      <c r="M18" s="39">
        <f t="shared" si="37"/>
        <v>630460.74014999997</v>
      </c>
      <c r="N18" s="39">
        <f t="shared" si="37"/>
        <v>669747.70210999995</v>
      </c>
      <c r="O18" s="39">
        <f t="shared" si="37"/>
        <v>723057.86237999995</v>
      </c>
      <c r="P18" s="39">
        <f t="shared" si="37"/>
        <v>791647.10746999993</v>
      </c>
      <c r="Q18" s="39">
        <f t="shared" ref="Q18:W18" si="38">+Q16+Q14</f>
        <v>876473.71334000025</v>
      </c>
      <c r="R18" s="39">
        <f t="shared" si="38"/>
        <v>924691.99242999987</v>
      </c>
      <c r="S18" s="39">
        <f t="shared" si="38"/>
        <v>1035188.6667099998</v>
      </c>
      <c r="T18" s="39">
        <f t="shared" si="38"/>
        <v>1218565.62004</v>
      </c>
      <c r="U18" s="39">
        <f t="shared" si="38"/>
        <v>1390301.70447</v>
      </c>
      <c r="V18" s="39">
        <f t="shared" si="38"/>
        <v>1409012.0926299999</v>
      </c>
      <c r="W18" s="39">
        <f t="shared" si="38"/>
        <v>1439162.3809699998</v>
      </c>
      <c r="X18" s="39">
        <f t="shared" ref="X18:AC18" si="39">+X16+X14</f>
        <v>1433100.1072499999</v>
      </c>
      <c r="Y18" s="39">
        <f t="shared" si="39"/>
        <v>1379963.0430400001</v>
      </c>
      <c r="Z18" s="39">
        <f t="shared" si="39"/>
        <v>1530049.5384199996</v>
      </c>
      <c r="AA18" s="39">
        <f t="shared" si="39"/>
        <v>1534216.73957</v>
      </c>
      <c r="AB18" s="39">
        <f t="shared" si="39"/>
        <v>1546673.1252700007</v>
      </c>
      <c r="AC18" s="39">
        <f t="shared" si="39"/>
        <v>1582377.22692</v>
      </c>
      <c r="AD18" s="39">
        <f t="shared" ref="AD18:AE18" si="40">+AD16+AD14</f>
        <v>1514429.4130999998</v>
      </c>
      <c r="AE18" s="39">
        <f t="shared" si="40"/>
        <v>1494966.9319200001</v>
      </c>
      <c r="AF18" s="39">
        <f t="shared" ref="AF18:AG18" si="41">+AF16+AF14</f>
        <v>1667467.1686000007</v>
      </c>
      <c r="AG18" s="39">
        <f t="shared" si="41"/>
        <v>1564835</v>
      </c>
    </row>
    <row r="19" spans="1:33">
      <c r="A19" s="199" t="s">
        <v>379</v>
      </c>
      <c r="B19" s="3"/>
      <c r="C19" s="3">
        <f>+C18+B18</f>
        <v>573411.022</v>
      </c>
      <c r="D19" s="3"/>
      <c r="E19" s="3">
        <f>+E18+D18</f>
        <v>655876.86400000006</v>
      </c>
      <c r="F19" s="3"/>
      <c r="G19" s="3">
        <f>+G18+F18</f>
        <v>730154.31200000003</v>
      </c>
      <c r="H19" s="3"/>
      <c r="I19" s="3">
        <f>+I18+H18</f>
        <v>809815.56115999992</v>
      </c>
      <c r="J19" s="3"/>
      <c r="K19" s="3">
        <f>+K18+J18</f>
        <v>975126.00368999981</v>
      </c>
      <c r="L19" s="3"/>
      <c r="M19" s="3">
        <f>+M18+L18</f>
        <v>1186034.4390100001</v>
      </c>
      <c r="N19" s="3"/>
      <c r="O19" s="3">
        <f>+O18+N18</f>
        <v>1392805.5644899998</v>
      </c>
      <c r="P19"/>
      <c r="Q19" s="3">
        <f>+Q18+P18</f>
        <v>1668120.8208100002</v>
      </c>
      <c r="R19"/>
      <c r="S19" s="3">
        <f>+S18+R18</f>
        <v>1959880.6591399997</v>
      </c>
      <c r="T19"/>
      <c r="U19" s="3">
        <f>+U18+T18</f>
        <v>2608867.3245099997</v>
      </c>
      <c r="V19"/>
      <c r="W19" s="3">
        <f>+W18+V18</f>
        <v>2848174.4735999997</v>
      </c>
      <c r="X19"/>
      <c r="Y19" s="3">
        <f>+Y18+X18</f>
        <v>2813063.1502900003</v>
      </c>
      <c r="Z19"/>
      <c r="AA19" s="3">
        <f>+AA18+Z18</f>
        <v>3064266.2779899994</v>
      </c>
      <c r="AB19"/>
      <c r="AC19" s="3">
        <f>+AC18+AB18</f>
        <v>3129050.3521900009</v>
      </c>
      <c r="AD19"/>
      <c r="AE19" s="3">
        <f>+AE18+AD18</f>
        <v>3009396.3450199999</v>
      </c>
      <c r="AF19"/>
      <c r="AG19" s="3">
        <f>+AG18+AF18</f>
        <v>3232302.1686000004</v>
      </c>
    </row>
    <row r="20" spans="1:33">
      <c r="H20" s="798" t="str">
        <f>IF(H18&lt;&gt;D170/1000,"Error","")</f>
        <v/>
      </c>
    </row>
    <row r="21" spans="1:33">
      <c r="A21" s="2446" t="s">
        <v>2029</v>
      </c>
    </row>
    <row r="23" spans="1:33" ht="13.5">
      <c r="A23" s="2446" t="s">
        <v>1856</v>
      </c>
      <c r="B23" s="411"/>
      <c r="C23" s="411"/>
      <c r="D23" s="411"/>
      <c r="E23" s="411"/>
      <c r="F23" s="411"/>
    </row>
    <row r="24" spans="1:33" ht="12.75" customHeight="1"/>
    <row r="25" spans="1:33" ht="12.75" customHeight="1">
      <c r="A25" s="1" t="str">
        <f>TRIM(+OperatingFunds!B170)</f>
        <v/>
      </c>
    </row>
    <row r="26" spans="1:33" ht="12.75" customHeight="1"/>
    <row r="27" spans="1:33" ht="12.75" customHeight="1">
      <c r="A27" s="627"/>
      <c r="B27" s="627"/>
      <c r="C27" s="627"/>
      <c r="D27" s="627"/>
      <c r="E27" s="627"/>
      <c r="F27" s="627"/>
      <c r="G27" s="627"/>
      <c r="H27" s="627"/>
      <c r="I27" s="627"/>
      <c r="J27" s="627"/>
      <c r="K27" s="627"/>
      <c r="L27" s="627"/>
      <c r="M27" s="627"/>
      <c r="N27" s="627"/>
      <c r="O27" s="627"/>
    </row>
    <row r="28" spans="1:33" ht="12.75" hidden="1" customHeight="1">
      <c r="A28" s="627"/>
      <c r="B28" s="627"/>
      <c r="C28" s="627"/>
      <c r="D28" s="627"/>
      <c r="E28" s="627"/>
      <c r="F28" s="627"/>
      <c r="G28" s="627"/>
      <c r="H28" s="627"/>
      <c r="I28" s="627"/>
      <c r="J28" s="627"/>
      <c r="K28" s="627"/>
      <c r="L28" s="627"/>
      <c r="M28" s="627"/>
      <c r="N28" s="627"/>
      <c r="O28" s="627"/>
    </row>
    <row r="29" spans="1:33" ht="12.75" hidden="1" customHeight="1">
      <c r="A29" s="628" t="s">
        <v>421</v>
      </c>
      <c r="B29" s="628" t="s">
        <v>135</v>
      </c>
      <c r="C29" s="629"/>
      <c r="D29" s="629"/>
      <c r="E29" s="629"/>
      <c r="F29" s="629"/>
      <c r="G29" s="629"/>
      <c r="H29" s="629"/>
      <c r="I29" s="629"/>
      <c r="J29" s="629"/>
      <c r="K29" s="629"/>
      <c r="L29" s="629"/>
      <c r="M29" s="629"/>
      <c r="N29" s="629"/>
      <c r="O29" s="630"/>
      <c r="P29"/>
    </row>
    <row r="30" spans="1:33" ht="12.75" hidden="1" customHeight="1">
      <c r="A30" s="628" t="s">
        <v>136</v>
      </c>
      <c r="B30" s="631" t="s">
        <v>422</v>
      </c>
      <c r="C30" s="632" t="s">
        <v>423</v>
      </c>
      <c r="D30" s="632" t="s">
        <v>424</v>
      </c>
      <c r="E30" s="632" t="s">
        <v>425</v>
      </c>
      <c r="F30" s="632" t="s">
        <v>426</v>
      </c>
      <c r="G30" s="632" t="s">
        <v>427</v>
      </c>
      <c r="H30" s="632" t="s">
        <v>428</v>
      </c>
      <c r="I30" s="632" t="s">
        <v>429</v>
      </c>
      <c r="J30" s="632" t="s">
        <v>430</v>
      </c>
      <c r="K30" s="632" t="s">
        <v>137</v>
      </c>
      <c r="L30" s="632" t="s">
        <v>176</v>
      </c>
      <c r="M30" s="632" t="s">
        <v>292</v>
      </c>
      <c r="N30" s="632" t="s">
        <v>380</v>
      </c>
      <c r="O30" s="633" t="s">
        <v>381</v>
      </c>
      <c r="P30"/>
    </row>
    <row r="31" spans="1:33" ht="12.75" hidden="1" customHeight="1">
      <c r="A31" s="631" t="s">
        <v>139</v>
      </c>
      <c r="B31" s="634">
        <v>80546591</v>
      </c>
      <c r="C31" s="635">
        <v>93538895</v>
      </c>
      <c r="D31" s="635">
        <v>96769540</v>
      </c>
      <c r="E31" s="635">
        <v>104704927</v>
      </c>
      <c r="F31" s="635">
        <v>111894625</v>
      </c>
      <c r="G31" s="635">
        <v>118055989</v>
      </c>
      <c r="H31" s="635">
        <v>126289772</v>
      </c>
      <c r="I31" s="635">
        <v>133419500</v>
      </c>
      <c r="J31" s="635">
        <v>151094924</v>
      </c>
      <c r="K31" s="635">
        <v>173264736</v>
      </c>
      <c r="L31" s="635">
        <v>183104057</v>
      </c>
      <c r="M31" s="635">
        <v>204784392</v>
      </c>
      <c r="N31" s="635">
        <v>225754548.95000005</v>
      </c>
      <c r="O31" s="636">
        <v>250532312.85000005</v>
      </c>
      <c r="P31"/>
    </row>
    <row r="32" spans="1:33" ht="12.75" hidden="1" customHeight="1">
      <c r="A32" s="637" t="s">
        <v>140</v>
      </c>
      <c r="B32" s="638">
        <v>41078384</v>
      </c>
      <c r="C32" s="639">
        <v>50626353</v>
      </c>
      <c r="D32" s="639">
        <v>51268032</v>
      </c>
      <c r="E32" s="639">
        <v>54503648</v>
      </c>
      <c r="F32" s="639">
        <v>55325830</v>
      </c>
      <c r="G32" s="639">
        <v>57456797</v>
      </c>
      <c r="H32" s="639">
        <v>59077108</v>
      </c>
      <c r="I32" s="639">
        <v>61680685</v>
      </c>
      <c r="J32" s="639">
        <v>67548300</v>
      </c>
      <c r="K32" s="639">
        <v>78560006</v>
      </c>
      <c r="L32" s="639">
        <v>84610485</v>
      </c>
      <c r="M32" s="639">
        <v>97994004</v>
      </c>
      <c r="N32" s="639">
        <v>102714575.47</v>
      </c>
      <c r="O32" s="640">
        <v>107702290.93000001</v>
      </c>
      <c r="P32"/>
    </row>
    <row r="33" spans="1:16" ht="12.75" hidden="1" customHeight="1">
      <c r="A33" s="637" t="s">
        <v>141</v>
      </c>
      <c r="B33" s="638">
        <v>14452219</v>
      </c>
      <c r="C33" s="639">
        <v>16812390</v>
      </c>
      <c r="D33" s="639">
        <v>16456270</v>
      </c>
      <c r="E33" s="639">
        <v>15986791</v>
      </c>
      <c r="F33" s="639">
        <v>16476586</v>
      </c>
      <c r="G33" s="639">
        <v>17522493</v>
      </c>
      <c r="H33" s="639">
        <v>18878775</v>
      </c>
      <c r="I33" s="639">
        <v>20723205</v>
      </c>
      <c r="J33" s="639">
        <v>22300619</v>
      </c>
      <c r="K33" s="639">
        <v>26474943</v>
      </c>
      <c r="L33" s="639">
        <v>28360552</v>
      </c>
      <c r="M33" s="639">
        <v>30704459</v>
      </c>
      <c r="N33" s="639">
        <v>33018064.900000002</v>
      </c>
      <c r="O33" s="640">
        <v>35974246.850000001</v>
      </c>
      <c r="P33"/>
    </row>
    <row r="34" spans="1:16" ht="12.75" hidden="1" customHeight="1">
      <c r="A34" s="637" t="s">
        <v>142</v>
      </c>
      <c r="B34" s="638">
        <v>12681946</v>
      </c>
      <c r="C34" s="639">
        <v>14954797</v>
      </c>
      <c r="D34" s="639">
        <v>15197796</v>
      </c>
      <c r="E34" s="639">
        <v>16189431</v>
      </c>
      <c r="F34" s="639">
        <v>17037347</v>
      </c>
      <c r="G34" s="639">
        <v>17388905</v>
      </c>
      <c r="H34" s="639">
        <v>18157919</v>
      </c>
      <c r="I34" s="639">
        <v>18065568</v>
      </c>
      <c r="J34" s="639">
        <v>19636140</v>
      </c>
      <c r="K34" s="639">
        <v>22857390</v>
      </c>
      <c r="L34" s="639">
        <v>24494526</v>
      </c>
      <c r="M34" s="639">
        <v>27665378</v>
      </c>
      <c r="N34" s="639">
        <v>30570354.350000001</v>
      </c>
      <c r="O34" s="640">
        <v>33219286.639999997</v>
      </c>
      <c r="P34"/>
    </row>
    <row r="35" spans="1:16" ht="12.75" hidden="1" customHeight="1">
      <c r="A35" s="637" t="s">
        <v>143</v>
      </c>
      <c r="B35" s="638">
        <v>8798815</v>
      </c>
      <c r="C35" s="639">
        <v>10213776</v>
      </c>
      <c r="D35" s="639">
        <v>10845367</v>
      </c>
      <c r="E35" s="639">
        <v>11594266</v>
      </c>
      <c r="F35" s="639">
        <v>12658493</v>
      </c>
      <c r="G35" s="639">
        <v>13922457</v>
      </c>
      <c r="H35" s="639">
        <v>13907240</v>
      </c>
      <c r="I35" s="639">
        <v>14403041</v>
      </c>
      <c r="J35" s="639">
        <v>15558819</v>
      </c>
      <c r="K35" s="639">
        <v>15843647</v>
      </c>
      <c r="L35" s="639">
        <v>12978174</v>
      </c>
      <c r="M35" s="639">
        <v>25342574</v>
      </c>
      <c r="N35" s="639">
        <v>20088412.799999997</v>
      </c>
      <c r="O35" s="640">
        <v>21205354.890000001</v>
      </c>
      <c r="P35"/>
    </row>
    <row r="36" spans="1:16" ht="12.75" hidden="1" customHeight="1">
      <c r="A36" s="637" t="s">
        <v>144</v>
      </c>
      <c r="B36" s="638">
        <v>15712322</v>
      </c>
      <c r="C36" s="639">
        <v>20506911</v>
      </c>
      <c r="D36" s="639">
        <v>20186971</v>
      </c>
      <c r="E36" s="639">
        <v>22150457</v>
      </c>
      <c r="F36" s="639">
        <v>24279699</v>
      </c>
      <c r="G36" s="639">
        <v>25804859</v>
      </c>
      <c r="H36" s="639">
        <v>25317729</v>
      </c>
      <c r="I36" s="639">
        <v>30737289</v>
      </c>
      <c r="J36" s="639">
        <v>30328213</v>
      </c>
      <c r="K36" s="639">
        <v>33840127</v>
      </c>
      <c r="L36" s="639">
        <v>37958132</v>
      </c>
      <c r="M36" s="639">
        <v>42490997</v>
      </c>
      <c r="N36" s="639">
        <v>44496799.770000003</v>
      </c>
      <c r="O36" s="640">
        <v>47769819.70000001</v>
      </c>
      <c r="P36"/>
    </row>
    <row r="37" spans="1:16" ht="12.75" hidden="1" customHeight="1">
      <c r="A37" s="637" t="s">
        <v>145</v>
      </c>
      <c r="B37" s="638">
        <v>87200317</v>
      </c>
      <c r="C37" s="639">
        <v>106287306</v>
      </c>
      <c r="D37" s="639">
        <v>108207531</v>
      </c>
      <c r="E37" s="639">
        <v>111815837</v>
      </c>
      <c r="F37" s="639">
        <v>117517928</v>
      </c>
      <c r="G37" s="639">
        <v>124812304</v>
      </c>
      <c r="H37" s="639">
        <v>131551777</v>
      </c>
      <c r="I37" s="639">
        <v>137605953</v>
      </c>
      <c r="J37" s="639">
        <v>149990155</v>
      </c>
      <c r="K37" s="639">
        <v>167827985</v>
      </c>
      <c r="L37" s="639">
        <v>184067776</v>
      </c>
      <c r="M37" s="639">
        <v>201478935</v>
      </c>
      <c r="N37" s="639">
        <v>213104945.87000003</v>
      </c>
      <c r="O37" s="640">
        <v>226654550.51999998</v>
      </c>
      <c r="P37"/>
    </row>
    <row r="38" spans="1:16" ht="12.75" hidden="1" customHeight="1">
      <c r="A38" s="641" t="s">
        <v>138</v>
      </c>
      <c r="B38" s="642">
        <v>260470594</v>
      </c>
      <c r="C38" s="643">
        <v>312940428</v>
      </c>
      <c r="D38" s="643">
        <v>318931507</v>
      </c>
      <c r="E38" s="643">
        <v>336945357</v>
      </c>
      <c r="F38" s="643">
        <v>355190508</v>
      </c>
      <c r="G38" s="643">
        <v>374963804</v>
      </c>
      <c r="H38" s="643">
        <v>393180320</v>
      </c>
      <c r="I38" s="643">
        <v>416635241</v>
      </c>
      <c r="J38" s="643">
        <v>456457170</v>
      </c>
      <c r="K38" s="643">
        <v>518668834</v>
      </c>
      <c r="L38" s="643">
        <v>555573702</v>
      </c>
      <c r="M38" s="643">
        <v>630460739</v>
      </c>
      <c r="N38" s="643">
        <v>669747702.11000013</v>
      </c>
      <c r="O38" s="644">
        <v>723057862.38000011</v>
      </c>
      <c r="P38"/>
    </row>
    <row r="39" spans="1:16" ht="12.75" hidden="1" customHeight="1"/>
    <row r="40" spans="1:16" ht="12.75" hidden="1" customHeight="1"/>
    <row r="41" spans="1:16" ht="12.75" hidden="1" customHeight="1"/>
    <row r="42" spans="1:16" ht="12.75" hidden="1" customHeight="1">
      <c r="A42" s="409" t="s">
        <v>439</v>
      </c>
      <c r="B42" s="409"/>
      <c r="C42" s="409"/>
      <c r="D42" s="409"/>
    </row>
    <row r="43" spans="1:16" ht="12.75" hidden="1" customHeight="1">
      <c r="A43" s="409" t="s">
        <v>438</v>
      </c>
      <c r="B43" s="409"/>
      <c r="C43" s="409"/>
      <c r="D43" s="409"/>
    </row>
    <row r="44" spans="1:16" ht="12.75" hidden="1" customHeight="1">
      <c r="A44" s="408" t="s">
        <v>1</v>
      </c>
      <c r="B44" s="408"/>
      <c r="C44" s="408"/>
      <c r="D44" s="408"/>
    </row>
    <row r="45" spans="1:16" ht="12.75" hidden="1" customHeight="1">
      <c r="A45" s="398"/>
      <c r="B45" s="398"/>
      <c r="C45" s="398"/>
      <c r="D45" s="398"/>
    </row>
    <row r="46" spans="1:16" ht="12.75" hidden="1" customHeight="1">
      <c r="A46" s="398"/>
      <c r="B46" s="400"/>
      <c r="C46" s="400"/>
      <c r="D46" s="400"/>
    </row>
    <row r="47" spans="1:16" ht="12.75" hidden="1" customHeight="1">
      <c r="A47" s="402"/>
      <c r="B47" s="407" t="s">
        <v>393</v>
      </c>
      <c r="C47" s="407" t="s">
        <v>77</v>
      </c>
      <c r="D47" s="407" t="s">
        <v>394</v>
      </c>
    </row>
    <row r="48" spans="1:16" ht="12.75" hidden="1" customHeight="1">
      <c r="A48" s="384" t="s">
        <v>177</v>
      </c>
      <c r="B48" s="406">
        <v>0</v>
      </c>
      <c r="C48" s="406">
        <v>791647</v>
      </c>
      <c r="D48" s="406">
        <v>791647</v>
      </c>
    </row>
    <row r="49" spans="1:19" ht="12.75" hidden="1" customHeight="1">
      <c r="A49" s="405" t="s">
        <v>362</v>
      </c>
      <c r="B49" s="400">
        <v>0</v>
      </c>
      <c r="C49" s="400">
        <v>791647</v>
      </c>
      <c r="D49" s="400">
        <v>791647</v>
      </c>
    </row>
    <row r="50" spans="1:19" ht="12.75" hidden="1" customHeight="1">
      <c r="A50" s="399"/>
      <c r="B50" s="398"/>
      <c r="C50" s="398"/>
      <c r="D50" s="398"/>
    </row>
    <row r="51" spans="1:19" ht="12.75" hidden="1" customHeight="1">
      <c r="A51" s="399"/>
      <c r="B51" s="398"/>
      <c r="C51" s="398"/>
      <c r="D51" s="398"/>
    </row>
    <row r="52" spans="1:19" ht="12.75" hidden="1" customHeight="1">
      <c r="A52" s="404" t="s">
        <v>177</v>
      </c>
      <c r="B52" s="398"/>
      <c r="C52" s="398"/>
      <c r="D52" s="398"/>
    </row>
    <row r="53" spans="1:19" ht="12.75" hidden="1" customHeight="1">
      <c r="A53" s="403" t="s">
        <v>437</v>
      </c>
      <c r="B53" s="398">
        <v>0</v>
      </c>
      <c r="C53" s="398">
        <v>282510</v>
      </c>
      <c r="D53" s="398">
        <v>282510</v>
      </c>
    </row>
    <row r="54" spans="1:19" ht="12.75" hidden="1" customHeight="1">
      <c r="A54" s="403" t="s">
        <v>436</v>
      </c>
      <c r="B54" s="398">
        <v>0</v>
      </c>
      <c r="C54" s="398">
        <v>119583</v>
      </c>
      <c r="D54" s="398">
        <v>119583</v>
      </c>
    </row>
    <row r="55" spans="1:19" ht="12.75" hidden="1" customHeight="1">
      <c r="A55" s="403" t="s">
        <v>435</v>
      </c>
      <c r="B55" s="398">
        <v>0</v>
      </c>
      <c r="C55" s="398">
        <v>37528</v>
      </c>
      <c r="D55" s="398">
        <v>37528</v>
      </c>
    </row>
    <row r="56" spans="1:19" ht="12.75" hidden="1" customHeight="1">
      <c r="A56" s="403" t="s">
        <v>434</v>
      </c>
      <c r="B56" s="398">
        <v>0</v>
      </c>
      <c r="C56" s="398">
        <v>34535</v>
      </c>
      <c r="D56" s="398">
        <v>34535</v>
      </c>
    </row>
    <row r="57" spans="1:19" ht="12.75" hidden="1" customHeight="1">
      <c r="A57" s="403" t="s">
        <v>433</v>
      </c>
      <c r="B57" s="398">
        <v>0</v>
      </c>
      <c r="C57" s="398">
        <v>23348</v>
      </c>
      <c r="D57" s="398">
        <v>23348</v>
      </c>
    </row>
    <row r="58" spans="1:19" ht="12.75" hidden="1" customHeight="1">
      <c r="A58" s="403" t="s">
        <v>432</v>
      </c>
      <c r="B58" s="398">
        <v>0</v>
      </c>
      <c r="C58" s="398">
        <v>50668</v>
      </c>
      <c r="D58" s="398">
        <v>50668</v>
      </c>
    </row>
    <row r="59" spans="1:19" ht="12.75" hidden="1" customHeight="1">
      <c r="A59" s="403" t="s">
        <v>431</v>
      </c>
      <c r="B59" s="402">
        <v>0</v>
      </c>
      <c r="C59" s="402">
        <v>243475</v>
      </c>
      <c r="D59" s="402">
        <v>243475</v>
      </c>
      <c r="S59" s="653"/>
    </row>
    <row r="60" spans="1:19" ht="12.75" hidden="1" customHeight="1">
      <c r="A60" s="401" t="s">
        <v>9</v>
      </c>
      <c r="B60" s="400">
        <v>0</v>
      </c>
      <c r="C60" s="400">
        <v>791647</v>
      </c>
      <c r="D60" s="400">
        <v>791647</v>
      </c>
    </row>
    <row r="61" spans="1:19" ht="12.75" hidden="1" customHeight="1">
      <c r="A61" s="399"/>
      <c r="B61" s="398"/>
      <c r="C61" s="398"/>
      <c r="D61" s="398"/>
      <c r="S61" s="653"/>
    </row>
    <row r="62" spans="1:19" ht="12.75" hidden="1" customHeight="1">
      <c r="A62" s="401" t="s">
        <v>363</v>
      </c>
      <c r="B62" s="400">
        <v>0</v>
      </c>
      <c r="C62" s="400">
        <v>791647</v>
      </c>
      <c r="D62" s="400">
        <v>791647</v>
      </c>
      <c r="S62" s="653"/>
    </row>
    <row r="63" spans="1:19" ht="12.75" hidden="1" customHeight="1">
      <c r="A63" s="399"/>
      <c r="B63" s="398"/>
      <c r="C63" s="398"/>
      <c r="D63" s="398"/>
    </row>
    <row r="64" spans="1:19" ht="12.75" hidden="1" customHeight="1">
      <c r="A64" s="399"/>
      <c r="B64" s="398"/>
      <c r="C64" s="398"/>
      <c r="D64" s="398"/>
      <c r="S64" s="653"/>
    </row>
    <row r="65" spans="1:19" ht="12.75" hidden="1" customHeight="1">
      <c r="A65" s="409" t="s">
        <v>551</v>
      </c>
      <c r="B65" s="409"/>
      <c r="C65" s="409"/>
      <c r="D65" s="409"/>
    </row>
    <row r="66" spans="1:19" ht="12.75" hidden="1" customHeight="1">
      <c r="A66" s="409" t="s">
        <v>438</v>
      </c>
      <c r="B66" s="409"/>
      <c r="C66" s="409"/>
      <c r="D66" s="409"/>
    </row>
    <row r="67" spans="1:19" ht="12.75" hidden="1" customHeight="1">
      <c r="A67" s="408" t="s">
        <v>1</v>
      </c>
      <c r="B67" s="408"/>
      <c r="C67" s="408"/>
      <c r="D67" s="408"/>
      <c r="S67" s="653"/>
    </row>
    <row r="68" spans="1:19" ht="12.75" hidden="1" customHeight="1">
      <c r="A68" s="398"/>
      <c r="B68" s="398"/>
      <c r="C68" s="398"/>
      <c r="D68" s="398"/>
      <c r="S68" s="653"/>
    </row>
    <row r="69" spans="1:19" ht="12.75" hidden="1" customHeight="1">
      <c r="A69" s="398"/>
      <c r="B69" s="400"/>
      <c r="C69" s="400"/>
      <c r="D69" s="400"/>
    </row>
    <row r="70" spans="1:19" ht="12.75" hidden="1" customHeight="1">
      <c r="A70" s="402"/>
      <c r="B70" s="407" t="s">
        <v>393</v>
      </c>
      <c r="C70" s="407" t="s">
        <v>77</v>
      </c>
      <c r="D70" s="407" t="s">
        <v>394</v>
      </c>
    </row>
    <row r="71" spans="1:19" ht="12.75" hidden="1" customHeight="1">
      <c r="A71" s="384" t="s">
        <v>177</v>
      </c>
      <c r="B71" s="406">
        <v>0</v>
      </c>
      <c r="C71" s="406">
        <v>876474</v>
      </c>
      <c r="D71" s="406">
        <v>876474</v>
      </c>
      <c r="S71" s="653"/>
    </row>
    <row r="72" spans="1:19" ht="12.75" hidden="1" customHeight="1">
      <c r="A72" s="405" t="s">
        <v>362</v>
      </c>
      <c r="B72" s="400">
        <v>0</v>
      </c>
      <c r="C72" s="400">
        <v>876474</v>
      </c>
      <c r="D72" s="400">
        <v>876474</v>
      </c>
      <c r="S72" s="653"/>
    </row>
    <row r="73" spans="1:19" ht="12.75" hidden="1" customHeight="1">
      <c r="A73" s="399"/>
      <c r="B73" s="398"/>
      <c r="C73" s="398"/>
      <c r="D73" s="398"/>
      <c r="S73" s="653"/>
    </row>
    <row r="74" spans="1:19" ht="12.75" hidden="1" customHeight="1">
      <c r="A74" s="399"/>
      <c r="B74" s="398"/>
      <c r="C74" s="398"/>
      <c r="D74" s="398"/>
    </row>
    <row r="75" spans="1:19" ht="12.75" hidden="1" customHeight="1">
      <c r="A75" s="404" t="s">
        <v>177</v>
      </c>
      <c r="B75" s="398"/>
      <c r="C75" s="398"/>
      <c r="D75" s="398"/>
      <c r="S75" s="653"/>
    </row>
    <row r="76" spans="1:19" ht="12.75" hidden="1" customHeight="1">
      <c r="A76" s="403" t="s">
        <v>437</v>
      </c>
      <c r="B76" s="398">
        <v>0</v>
      </c>
      <c r="C76" s="398">
        <v>334931</v>
      </c>
      <c r="D76" s="398">
        <v>334931</v>
      </c>
    </row>
    <row r="77" spans="1:19" ht="12.75" hidden="1" customHeight="1">
      <c r="A77" s="403" t="s">
        <v>436</v>
      </c>
      <c r="B77" s="398">
        <v>0</v>
      </c>
      <c r="C77" s="398">
        <v>135619</v>
      </c>
      <c r="D77" s="398">
        <v>135619</v>
      </c>
    </row>
    <row r="78" spans="1:19" ht="12.75" hidden="1" customHeight="1">
      <c r="A78" s="403" t="s">
        <v>435</v>
      </c>
      <c r="B78" s="398">
        <v>0</v>
      </c>
      <c r="C78" s="398">
        <v>39262</v>
      </c>
      <c r="D78" s="398">
        <v>39262</v>
      </c>
    </row>
    <row r="79" spans="1:19" ht="12.75" hidden="1" customHeight="1">
      <c r="A79" s="403" t="s">
        <v>434</v>
      </c>
      <c r="B79" s="398">
        <v>0</v>
      </c>
      <c r="C79" s="398">
        <v>35866</v>
      </c>
      <c r="D79" s="398">
        <v>35866</v>
      </c>
    </row>
    <row r="80" spans="1:19" ht="12.75" hidden="1" customHeight="1">
      <c r="A80" s="403" t="s">
        <v>433</v>
      </c>
      <c r="B80" s="398">
        <v>0</v>
      </c>
      <c r="C80" s="398">
        <v>26619</v>
      </c>
      <c r="D80" s="398">
        <v>26619</v>
      </c>
    </row>
    <row r="81" spans="1:4" ht="12.75" hidden="1" customHeight="1">
      <c r="A81" s="403" t="s">
        <v>432</v>
      </c>
      <c r="B81" s="398">
        <v>0</v>
      </c>
      <c r="C81" s="398">
        <v>56105</v>
      </c>
      <c r="D81" s="398">
        <v>56105</v>
      </c>
    </row>
    <row r="82" spans="1:4" ht="12.75" hidden="1" customHeight="1">
      <c r="A82" s="403" t="s">
        <v>431</v>
      </c>
      <c r="B82" s="402">
        <v>0</v>
      </c>
      <c r="C82" s="402">
        <v>248071</v>
      </c>
      <c r="D82" s="402">
        <v>248071</v>
      </c>
    </row>
    <row r="83" spans="1:4" ht="12.75" hidden="1" customHeight="1">
      <c r="A83" s="401" t="s">
        <v>9</v>
      </c>
      <c r="B83" s="400">
        <v>0</v>
      </c>
      <c r="C83" s="400">
        <v>876474</v>
      </c>
      <c r="D83" s="400">
        <v>876474</v>
      </c>
    </row>
    <row r="84" spans="1:4" ht="12.75" hidden="1" customHeight="1">
      <c r="A84" s="399"/>
      <c r="B84" s="398"/>
      <c r="C84" s="398"/>
      <c r="D84" s="398"/>
    </row>
    <row r="85" spans="1:4" ht="12.75" hidden="1" customHeight="1">
      <c r="A85" s="401" t="s">
        <v>363</v>
      </c>
      <c r="B85" s="400">
        <v>0</v>
      </c>
      <c r="C85" s="400">
        <v>876474</v>
      </c>
      <c r="D85" s="400">
        <v>876474</v>
      </c>
    </row>
    <row r="86" spans="1:4" ht="12.75" hidden="1" customHeight="1"/>
    <row r="87" spans="1:4" ht="12.75" hidden="1" customHeight="1"/>
    <row r="88" spans="1:4" ht="12.75" hidden="1" customHeight="1">
      <c r="A88" s="409" t="s">
        <v>552</v>
      </c>
      <c r="B88" s="409"/>
      <c r="C88" s="409"/>
      <c r="D88" s="409"/>
    </row>
    <row r="89" spans="1:4" ht="12.75" hidden="1" customHeight="1">
      <c r="A89" s="409" t="s">
        <v>553</v>
      </c>
      <c r="B89" s="409"/>
      <c r="C89" s="409"/>
      <c r="D89" s="409"/>
    </row>
    <row r="90" spans="1:4" ht="12.75" hidden="1" customHeight="1">
      <c r="A90" s="409" t="s">
        <v>420</v>
      </c>
      <c r="B90" s="409"/>
      <c r="C90" s="409"/>
      <c r="D90" s="409"/>
    </row>
    <row r="91" spans="1:4" ht="12.75" hidden="1" customHeight="1">
      <c r="A91" s="409" t="s">
        <v>438</v>
      </c>
      <c r="B91" s="409"/>
      <c r="C91" s="409"/>
      <c r="D91" s="409"/>
    </row>
    <row r="92" spans="1:4" ht="12.75" hidden="1" customHeight="1">
      <c r="A92" s="408" t="s">
        <v>1</v>
      </c>
      <c r="B92" s="408"/>
      <c r="C92" s="408"/>
      <c r="D92" s="408"/>
    </row>
    <row r="93" spans="1:4" ht="12.75" hidden="1" customHeight="1">
      <c r="A93" s="398"/>
      <c r="B93" s="398"/>
      <c r="C93" s="398"/>
      <c r="D93" s="398"/>
    </row>
    <row r="94" spans="1:4" ht="12.75" hidden="1" customHeight="1">
      <c r="A94" s="398"/>
      <c r="B94" s="400"/>
      <c r="C94" s="400"/>
      <c r="D94" s="400"/>
    </row>
    <row r="95" spans="1:4" ht="12.75" hidden="1" customHeight="1">
      <c r="A95" s="402"/>
      <c r="B95" s="407" t="s">
        <v>393</v>
      </c>
      <c r="C95" s="407" t="s">
        <v>77</v>
      </c>
      <c r="D95" s="407" t="s">
        <v>394</v>
      </c>
    </row>
    <row r="96" spans="1:4" ht="12.75" hidden="1" customHeight="1">
      <c r="A96" s="384" t="s">
        <v>177</v>
      </c>
      <c r="B96" s="406">
        <v>897273</v>
      </c>
      <c r="C96" s="406">
        <v>250506</v>
      </c>
      <c r="D96" s="406">
        <v>-646767</v>
      </c>
    </row>
    <row r="97" spans="1:4" ht="12.75" hidden="1" customHeight="1">
      <c r="A97" s="405" t="s">
        <v>362</v>
      </c>
      <c r="B97" s="400">
        <v>897273</v>
      </c>
      <c r="C97" s="400">
        <v>250506</v>
      </c>
      <c r="D97" s="400">
        <v>-646767</v>
      </c>
    </row>
    <row r="98" spans="1:4" ht="12.75" hidden="1" customHeight="1">
      <c r="A98" s="399"/>
      <c r="B98" s="398"/>
      <c r="C98" s="398"/>
      <c r="D98" s="398"/>
    </row>
    <row r="99" spans="1:4" ht="12.75" hidden="1" customHeight="1">
      <c r="A99" s="399"/>
      <c r="B99" s="398"/>
      <c r="C99" s="398"/>
      <c r="D99" s="398"/>
    </row>
    <row r="100" spans="1:4" ht="12.75" hidden="1" customHeight="1">
      <c r="A100" s="404" t="s">
        <v>177</v>
      </c>
      <c r="B100" s="398"/>
      <c r="C100" s="398"/>
      <c r="D100" s="398"/>
    </row>
    <row r="101" spans="1:4" ht="12.75" hidden="1" customHeight="1">
      <c r="A101" s="403" t="s">
        <v>437</v>
      </c>
      <c r="B101" s="398">
        <v>330558</v>
      </c>
      <c r="C101" s="398">
        <v>-1298</v>
      </c>
      <c r="D101" s="398">
        <v>-331856</v>
      </c>
    </row>
    <row r="102" spans="1:4" ht="12.75" hidden="1" customHeight="1">
      <c r="A102" s="403" t="s">
        <v>436</v>
      </c>
      <c r="B102" s="398">
        <v>145512</v>
      </c>
      <c r="C102" s="398">
        <v>79724</v>
      </c>
      <c r="D102" s="398">
        <v>-65788</v>
      </c>
    </row>
    <row r="103" spans="1:4" ht="12.75" hidden="1" customHeight="1">
      <c r="A103" s="403" t="s">
        <v>435</v>
      </c>
      <c r="B103" s="398">
        <v>41164</v>
      </c>
      <c r="C103" s="398">
        <v>15484</v>
      </c>
      <c r="D103" s="398">
        <v>-25680</v>
      </c>
    </row>
    <row r="104" spans="1:4" ht="12.75" hidden="1" customHeight="1">
      <c r="A104" s="403" t="s">
        <v>434</v>
      </c>
      <c r="B104" s="398">
        <v>40144</v>
      </c>
      <c r="C104" s="398">
        <v>17773</v>
      </c>
      <c r="D104" s="398">
        <v>-22371</v>
      </c>
    </row>
    <row r="105" spans="1:4" ht="12.75" hidden="1" customHeight="1">
      <c r="A105" s="403" t="s">
        <v>433</v>
      </c>
      <c r="B105" s="398">
        <v>25932</v>
      </c>
      <c r="C105" s="398">
        <v>10149</v>
      </c>
      <c r="D105" s="398">
        <v>-15783</v>
      </c>
    </row>
    <row r="106" spans="1:4" ht="12.75" hidden="1" customHeight="1">
      <c r="A106" s="403" t="s">
        <v>432</v>
      </c>
      <c r="B106" s="398">
        <v>56540</v>
      </c>
      <c r="C106" s="398">
        <v>22065</v>
      </c>
      <c r="D106" s="398">
        <v>-34475</v>
      </c>
    </row>
    <row r="107" spans="1:4" ht="12.75" hidden="1" customHeight="1">
      <c r="A107" s="403" t="s">
        <v>431</v>
      </c>
      <c r="B107" s="402">
        <v>257423</v>
      </c>
      <c r="C107" s="402">
        <v>106609</v>
      </c>
      <c r="D107" s="402">
        <v>-150814</v>
      </c>
    </row>
    <row r="108" spans="1:4" ht="12.75" hidden="1" customHeight="1">
      <c r="A108" s="401" t="s">
        <v>9</v>
      </c>
      <c r="B108" s="400">
        <v>897273</v>
      </c>
      <c r="C108" s="400">
        <v>250506</v>
      </c>
      <c r="D108" s="400">
        <v>-646767</v>
      </c>
    </row>
    <row r="109" spans="1:4" ht="12.75" hidden="1" customHeight="1">
      <c r="A109" s="399"/>
      <c r="B109" s="398"/>
      <c r="C109" s="398"/>
      <c r="D109" s="398"/>
    </row>
    <row r="110" spans="1:4" ht="12.75" hidden="1" customHeight="1">
      <c r="A110" s="401" t="s">
        <v>363</v>
      </c>
      <c r="B110" s="400">
        <v>897273</v>
      </c>
      <c r="C110" s="400">
        <v>250506</v>
      </c>
      <c r="D110" s="400">
        <v>-646767</v>
      </c>
    </row>
    <row r="111" spans="1:4" ht="12.75" hidden="1" customHeight="1"/>
    <row r="112" spans="1:4" ht="12.75" hidden="1" customHeight="1"/>
    <row r="113" spans="1:4" ht="12.75" hidden="1" customHeight="1">
      <c r="A113" s="409" t="s">
        <v>554</v>
      </c>
      <c r="B113" s="409"/>
      <c r="C113" s="409"/>
      <c r="D113" s="409"/>
    </row>
    <row r="114" spans="1:4" ht="12.75" hidden="1" customHeight="1">
      <c r="A114" s="409" t="s">
        <v>553</v>
      </c>
      <c r="B114" s="409"/>
      <c r="C114" s="409"/>
      <c r="D114" s="409"/>
    </row>
    <row r="115" spans="1:4" ht="12.75" hidden="1" customHeight="1">
      <c r="A115" s="409" t="s">
        <v>420</v>
      </c>
      <c r="B115" s="409"/>
      <c r="C115" s="409"/>
      <c r="D115" s="409"/>
    </row>
    <row r="116" spans="1:4" ht="12.75" hidden="1" customHeight="1">
      <c r="A116" s="409" t="s">
        <v>438</v>
      </c>
      <c r="B116" s="409"/>
      <c r="C116" s="409"/>
      <c r="D116" s="409"/>
    </row>
    <row r="117" spans="1:4" ht="12.75" hidden="1" customHeight="1">
      <c r="A117" s="408" t="s">
        <v>1</v>
      </c>
      <c r="B117" s="408"/>
      <c r="C117" s="408"/>
      <c r="D117" s="408"/>
    </row>
    <row r="118" spans="1:4" ht="12.75" hidden="1" customHeight="1">
      <c r="A118" s="398"/>
      <c r="B118" s="398"/>
      <c r="C118" s="398"/>
      <c r="D118" s="398"/>
    </row>
    <row r="119" spans="1:4" ht="12.75" hidden="1" customHeight="1">
      <c r="A119" s="398"/>
      <c r="B119" s="400"/>
      <c r="C119" s="400"/>
      <c r="D119" s="400"/>
    </row>
    <row r="120" spans="1:4" ht="12.75" hidden="1" customHeight="1">
      <c r="A120" s="402"/>
      <c r="B120" s="407" t="s">
        <v>393</v>
      </c>
      <c r="C120" s="407" t="s">
        <v>77</v>
      </c>
      <c r="D120" s="407" t="s">
        <v>394</v>
      </c>
    </row>
    <row r="121" spans="1:4" ht="12.75" hidden="1" customHeight="1">
      <c r="A121" s="384" t="s">
        <v>177</v>
      </c>
      <c r="B121" s="406">
        <v>956991</v>
      </c>
      <c r="C121" s="406">
        <v>0</v>
      </c>
      <c r="D121" s="406">
        <v>-956991</v>
      </c>
    </row>
    <row r="122" spans="1:4" ht="12.75" hidden="1" customHeight="1">
      <c r="A122" s="405" t="s">
        <v>362</v>
      </c>
      <c r="B122" s="400">
        <v>956991</v>
      </c>
      <c r="C122" s="400">
        <v>0</v>
      </c>
      <c r="D122" s="400">
        <v>-956991</v>
      </c>
    </row>
    <row r="123" spans="1:4" ht="12.75" hidden="1" customHeight="1">
      <c r="A123" s="399"/>
      <c r="B123" s="398"/>
      <c r="C123" s="398"/>
      <c r="D123" s="398"/>
    </row>
    <row r="124" spans="1:4" ht="12.75" hidden="1" customHeight="1">
      <c r="A124" s="399"/>
      <c r="B124" s="398"/>
      <c r="C124" s="398"/>
      <c r="D124" s="398"/>
    </row>
    <row r="125" spans="1:4" ht="12.75" hidden="1" customHeight="1">
      <c r="A125" s="404" t="s">
        <v>177</v>
      </c>
      <c r="B125" s="398"/>
      <c r="C125" s="398"/>
      <c r="D125" s="398"/>
    </row>
    <row r="126" spans="1:4" ht="12.75" hidden="1" customHeight="1">
      <c r="A126" s="403" t="s">
        <v>437</v>
      </c>
      <c r="B126" s="398">
        <v>330558</v>
      </c>
      <c r="C126" s="398">
        <v>0</v>
      </c>
      <c r="D126" s="398">
        <v>-330558</v>
      </c>
    </row>
    <row r="127" spans="1:4" ht="12.75" hidden="1" customHeight="1">
      <c r="A127" s="403" t="s">
        <v>436</v>
      </c>
      <c r="B127" s="398">
        <v>161358</v>
      </c>
      <c r="C127" s="398">
        <v>0</v>
      </c>
      <c r="D127" s="398">
        <v>-161358</v>
      </c>
    </row>
    <row r="128" spans="1:4" ht="12.75" hidden="1" customHeight="1">
      <c r="A128" s="403" t="s">
        <v>435</v>
      </c>
      <c r="B128" s="398">
        <v>46270</v>
      </c>
      <c r="C128" s="398">
        <v>0</v>
      </c>
      <c r="D128" s="398">
        <v>-46270</v>
      </c>
    </row>
    <row r="129" spans="1:4" ht="12.75" hidden="1" customHeight="1">
      <c r="A129" s="403" t="s">
        <v>434</v>
      </c>
      <c r="B129" s="398">
        <v>48890</v>
      </c>
      <c r="C129" s="398">
        <v>0</v>
      </c>
      <c r="D129" s="398">
        <v>-48890</v>
      </c>
    </row>
    <row r="130" spans="1:4" ht="12.75" hidden="1" customHeight="1">
      <c r="A130" s="403" t="s">
        <v>433</v>
      </c>
      <c r="B130" s="398">
        <v>27387</v>
      </c>
      <c r="C130" s="398">
        <v>0</v>
      </c>
      <c r="D130" s="398">
        <v>-27387</v>
      </c>
    </row>
    <row r="131" spans="1:4" ht="12.75" hidden="1" customHeight="1">
      <c r="A131" s="403" t="s">
        <v>432</v>
      </c>
      <c r="B131" s="398">
        <v>64684</v>
      </c>
      <c r="C131" s="398">
        <v>0</v>
      </c>
      <c r="D131" s="398">
        <v>-64684</v>
      </c>
    </row>
    <row r="132" spans="1:4" ht="12.75" hidden="1" customHeight="1">
      <c r="A132" s="403" t="s">
        <v>431</v>
      </c>
      <c r="B132" s="402">
        <v>277844</v>
      </c>
      <c r="C132" s="402">
        <v>0</v>
      </c>
      <c r="D132" s="402">
        <v>-277844</v>
      </c>
    </row>
    <row r="133" spans="1:4" ht="12.75" hidden="1" customHeight="1">
      <c r="A133" s="401" t="s">
        <v>9</v>
      </c>
      <c r="B133" s="400">
        <v>956991</v>
      </c>
      <c r="C133" s="400">
        <v>0</v>
      </c>
      <c r="D133" s="400">
        <v>-956991</v>
      </c>
    </row>
    <row r="134" spans="1:4" ht="12.75" hidden="1" customHeight="1">
      <c r="A134" s="399"/>
      <c r="B134" s="398"/>
      <c r="C134" s="398"/>
      <c r="D134" s="398"/>
    </row>
    <row r="135" spans="1:4" ht="12.75" hidden="1" customHeight="1">
      <c r="A135" s="401" t="s">
        <v>363</v>
      </c>
      <c r="B135" s="400">
        <v>956991</v>
      </c>
      <c r="C135" s="400">
        <v>0</v>
      </c>
      <c r="D135" s="400">
        <v>-956991</v>
      </c>
    </row>
    <row r="136" spans="1:4" ht="12.75" hidden="1" customHeight="1">
      <c r="A136" s="399"/>
      <c r="B136" s="398"/>
      <c r="C136" s="398"/>
      <c r="D136" s="398"/>
    </row>
    <row r="137" spans="1:4" ht="12.75" hidden="1" customHeight="1">
      <c r="A137" s="399"/>
      <c r="B137" s="398"/>
      <c r="C137" s="398"/>
      <c r="D137" s="398"/>
    </row>
    <row r="138" spans="1:4" ht="12.75" hidden="1" customHeight="1">
      <c r="A138" s="399"/>
      <c r="B138" s="398"/>
      <c r="C138" s="398"/>
      <c r="D138" s="398"/>
    </row>
    <row r="139" spans="1:4" ht="12.75" hidden="1" customHeight="1">
      <c r="A139" s="399"/>
      <c r="B139" s="398"/>
      <c r="C139" s="398"/>
      <c r="D139" s="398"/>
    </row>
    <row r="140" spans="1:4" ht="12.75" hidden="1" customHeight="1">
      <c r="A140" s="399"/>
      <c r="B140" s="398"/>
      <c r="C140" s="398"/>
      <c r="D140" s="398"/>
    </row>
    <row r="141" spans="1:4" ht="12.75" hidden="1" customHeight="1">
      <c r="A141" s="399"/>
      <c r="B141" s="398"/>
      <c r="C141" s="398"/>
      <c r="D141" s="398"/>
    </row>
    <row r="142" spans="1:4" ht="12.75" hidden="1" customHeight="1">
      <c r="A142" s="399"/>
      <c r="B142" s="398"/>
      <c r="C142" s="398"/>
      <c r="D142" s="398"/>
    </row>
    <row r="143" spans="1:4" ht="12.75" hidden="1" customHeight="1">
      <c r="A143" s="399"/>
      <c r="B143" s="398"/>
      <c r="C143" s="398"/>
      <c r="D143" s="398"/>
    </row>
    <row r="144" spans="1:4" ht="12.75" hidden="1" customHeight="1">
      <c r="A144" s="399"/>
      <c r="B144" s="398"/>
      <c r="C144" s="398"/>
      <c r="D144" s="398"/>
    </row>
    <row r="145" spans="1:19" ht="12.75" hidden="1" customHeight="1">
      <c r="A145" s="399"/>
      <c r="B145" s="398"/>
      <c r="C145" s="398"/>
      <c r="D145" s="398"/>
    </row>
    <row r="146" spans="1:19" ht="12.75" hidden="1" customHeight="1">
      <c r="B146" s="3">
        <f>+OperatingFunds!G57</f>
        <v>247332</v>
      </c>
      <c r="C146" s="3">
        <f>+OperatingFunds!H57</f>
        <v>312816</v>
      </c>
      <c r="D146" s="3">
        <f>+OperatingFunds!I57</f>
        <v>309792</v>
      </c>
      <c r="E146" s="3">
        <f>+OperatingFunds!J57</f>
        <v>328110</v>
      </c>
      <c r="F146" s="3">
        <f>+OperatingFunds!K57</f>
        <v>342284</v>
      </c>
      <c r="G146" s="3">
        <f>+OperatingFunds!L57</f>
        <v>381438</v>
      </c>
      <c r="H146" s="3">
        <f>+OperatingFunds!M57</f>
        <v>396364.93229999999</v>
      </c>
      <c r="I146" s="3">
        <f>+OperatingFunds!N57</f>
        <v>408389.94068</v>
      </c>
      <c r="J146" s="3">
        <f>+OperatingFunds!O57</f>
        <v>444226.25280999998</v>
      </c>
      <c r="K146" s="3">
        <f>+OperatingFunds!P57</f>
        <v>508499.30921999994</v>
      </c>
      <c r="L146" s="3">
        <f>+OperatingFunds!Q57</f>
        <v>552732.96829999995</v>
      </c>
      <c r="M146" s="3">
        <f>+OperatingFunds!R57</f>
        <v>625829.20674000005</v>
      </c>
      <c r="N146" s="3">
        <f>+OperatingFunds!S57</f>
        <v>643995.58947999997</v>
      </c>
      <c r="O146" s="3">
        <f>+OperatingFunds!T57</f>
        <v>707016.10164999997</v>
      </c>
      <c r="P146" s="3">
        <f>+OperatingFunds!U57</f>
        <v>760718.77072999999</v>
      </c>
      <c r="Q146" s="3">
        <f>+OperatingFunds!V57</f>
        <v>814416.99844</v>
      </c>
      <c r="R146" s="3">
        <f>+OperatingFunds!W57</f>
        <v>882542.03857999993</v>
      </c>
      <c r="S146" s="3">
        <f>+OperatingFunds!X57</f>
        <v>1057294.4791100002</v>
      </c>
    </row>
    <row r="147" spans="1:19" ht="12.75" hidden="1" customHeight="1">
      <c r="B147" s="3">
        <f>+B18-B146</f>
        <v>13138.593999999983</v>
      </c>
      <c r="C147" s="3">
        <f t="shared" ref="C147:R147" si="42">+C18-C146</f>
        <v>124.42800000001444</v>
      </c>
      <c r="D147" s="3">
        <f t="shared" si="42"/>
        <v>9139.5069999999832</v>
      </c>
      <c r="E147" s="3">
        <f t="shared" si="42"/>
        <v>8835.3570000000182</v>
      </c>
      <c r="F147" s="3">
        <f t="shared" si="42"/>
        <v>12906.508000000031</v>
      </c>
      <c r="G147" s="3">
        <f t="shared" si="42"/>
        <v>-6474.1959999999963</v>
      </c>
      <c r="H147" s="3">
        <f t="shared" si="42"/>
        <v>-3184.6131199999945</v>
      </c>
      <c r="I147" s="3">
        <f t="shared" si="42"/>
        <v>8245.3012999999337</v>
      </c>
      <c r="J147" s="3">
        <f t="shared" si="42"/>
        <v>12230.915470000007</v>
      </c>
      <c r="K147" s="3">
        <f t="shared" si="42"/>
        <v>10169.526189999888</v>
      </c>
      <c r="L147" s="3">
        <f t="shared" si="42"/>
        <v>2840.730560000171</v>
      </c>
      <c r="M147" s="3">
        <f t="shared" si="42"/>
        <v>4631.5334099999163</v>
      </c>
      <c r="N147" s="3">
        <f t="shared" si="42"/>
        <v>25752.112629999989</v>
      </c>
      <c r="O147" s="3">
        <f t="shared" si="42"/>
        <v>16041.76072999998</v>
      </c>
      <c r="P147" s="3">
        <f t="shared" si="42"/>
        <v>30928.336739999941</v>
      </c>
      <c r="Q147" s="3">
        <f t="shared" si="42"/>
        <v>62056.714900000254</v>
      </c>
      <c r="R147" s="3">
        <f t="shared" si="42"/>
        <v>42149.953849999933</v>
      </c>
      <c r="S147" s="3">
        <f>+S18-S146</f>
        <v>-22105.812400000403</v>
      </c>
    </row>
    <row r="148" spans="1:19" ht="12.75" hidden="1" customHeight="1"/>
    <row r="149" spans="1:19" ht="12.75" hidden="1" customHeight="1"/>
    <row r="150" spans="1:19" ht="12.75" hidden="1" customHeight="1"/>
    <row r="151" spans="1:19" ht="12.75" hidden="1" customHeight="1"/>
    <row r="152" spans="1:19" ht="12.75" hidden="1" customHeight="1"/>
    <row r="153" spans="1:19" ht="12.75" hidden="1" customHeight="1"/>
    <row r="154" spans="1:19" ht="12.75" hidden="1" customHeight="1">
      <c r="A154" s="1579" t="s">
        <v>601</v>
      </c>
      <c r="B154" s="1580" t="s">
        <v>603</v>
      </c>
      <c r="C154" s="799"/>
      <c r="D154" s="800"/>
      <c r="E154" s="801"/>
      <c r="F154" s="801"/>
      <c r="G154" s="802"/>
      <c r="H154" s="801"/>
      <c r="I154" s="801"/>
      <c r="J154" s="799"/>
      <c r="K154" s="799"/>
      <c r="L154" s="799"/>
      <c r="M154" s="799"/>
      <c r="N154" s="799"/>
      <c r="O154" s="799"/>
      <c r="P154" s="799"/>
      <c r="Q154" s="799"/>
    </row>
    <row r="155" spans="1:19" ht="12.75" hidden="1" customHeight="1">
      <c r="A155" s="1579" t="s">
        <v>602</v>
      </c>
      <c r="B155" s="1580" t="s">
        <v>603</v>
      </c>
      <c r="C155" s="799"/>
      <c r="D155" s="800"/>
      <c r="E155" s="801"/>
      <c r="F155" s="801"/>
      <c r="G155" s="802"/>
      <c r="H155" s="801"/>
      <c r="I155" s="801"/>
      <c r="J155" s="799"/>
      <c r="K155" s="799"/>
      <c r="L155" s="799"/>
      <c r="M155" s="799"/>
      <c r="N155" s="799"/>
      <c r="O155" s="799"/>
      <c r="P155" s="799"/>
      <c r="Q155" s="799"/>
    </row>
    <row r="156" spans="1:19" ht="12.75" hidden="1" customHeight="1">
      <c r="A156" s="1579" t="s">
        <v>604</v>
      </c>
      <c r="B156" s="1580" t="s">
        <v>603</v>
      </c>
      <c r="C156" s="799"/>
      <c r="D156" s="800"/>
      <c r="E156" s="801"/>
      <c r="F156" s="801"/>
      <c r="G156" s="802"/>
      <c r="H156" s="802"/>
      <c r="I156" s="802"/>
      <c r="J156" s="802"/>
      <c r="K156" s="799"/>
      <c r="L156" s="799"/>
      <c r="M156" s="799"/>
      <c r="N156" s="799"/>
      <c r="O156" s="802"/>
      <c r="Q156" s="799"/>
    </row>
    <row r="157" spans="1:19" ht="12.75" hidden="1" customHeight="1">
      <c r="A157" s="1579" t="s">
        <v>605</v>
      </c>
      <c r="B157" s="1580" t="s">
        <v>603</v>
      </c>
      <c r="C157" s="799"/>
      <c r="D157" s="800"/>
      <c r="E157" s="801"/>
      <c r="F157" s="801"/>
      <c r="G157" s="803"/>
      <c r="H157" s="803"/>
      <c r="I157" s="804"/>
      <c r="J157" s="803"/>
      <c r="K157" s="799"/>
      <c r="L157" s="799"/>
      <c r="M157" s="799"/>
      <c r="N157" s="799"/>
      <c r="O157" s="803"/>
      <c r="Q157" s="799"/>
    </row>
    <row r="158" spans="1:19" ht="12.75" hidden="1" customHeight="1">
      <c r="A158" s="1579" t="s">
        <v>606</v>
      </c>
      <c r="B158" s="1580" t="s">
        <v>603</v>
      </c>
      <c r="C158" s="799"/>
      <c r="D158" s="800"/>
      <c r="E158" s="799"/>
      <c r="F158" s="799"/>
      <c r="G158" s="799"/>
      <c r="H158" s="805"/>
      <c r="I158" s="805"/>
      <c r="J158" s="803"/>
      <c r="K158" s="805"/>
      <c r="L158" s="799"/>
      <c r="M158" s="799"/>
      <c r="N158" s="799"/>
      <c r="O158" s="799"/>
      <c r="P158" s="799"/>
      <c r="Q158" s="799"/>
    </row>
    <row r="159" spans="1:19" ht="12.75" hidden="1" customHeight="1">
      <c r="A159" s="799"/>
      <c r="B159" s="799"/>
      <c r="C159" s="799"/>
      <c r="D159" s="800"/>
      <c r="E159" s="799"/>
      <c r="F159" s="799"/>
      <c r="G159" s="799"/>
      <c r="H159" s="799"/>
      <c r="I159" s="799"/>
      <c r="J159" s="799"/>
      <c r="K159" s="799"/>
      <c r="L159" s="799"/>
      <c r="M159" s="799"/>
      <c r="N159" s="799"/>
      <c r="O159" s="799"/>
      <c r="P159" s="799"/>
      <c r="Q159" s="799"/>
    </row>
    <row r="160" spans="1:19" ht="12.75" hidden="1" customHeight="1">
      <c r="A160" s="1581" t="s">
        <v>607</v>
      </c>
      <c r="B160" s="1582"/>
      <c r="C160" s="1582"/>
      <c r="D160" s="1583" t="s">
        <v>608</v>
      </c>
      <c r="E160" s="1584" t="s">
        <v>135</v>
      </c>
      <c r="F160" s="1585"/>
      <c r="G160" s="1586"/>
      <c r="H160" s="1586"/>
      <c r="I160" s="1586"/>
      <c r="J160" s="1586"/>
      <c r="K160" s="1586"/>
      <c r="L160" s="1586"/>
      <c r="M160" s="1586"/>
      <c r="N160" s="1586"/>
      <c r="O160" s="1586"/>
      <c r="P160" s="1586"/>
      <c r="Q160" s="1586"/>
      <c r="R160" s="1586"/>
      <c r="S160" s="1587"/>
    </row>
    <row r="161" spans="1:23" ht="12.75" hidden="1" customHeight="1">
      <c r="A161" s="1588"/>
      <c r="B161" s="806"/>
      <c r="C161" s="806"/>
      <c r="D161" s="1589" t="s">
        <v>609</v>
      </c>
      <c r="E161" s="1590"/>
      <c r="F161" s="1590"/>
      <c r="G161" s="1590"/>
      <c r="H161" s="1590"/>
      <c r="I161" s="1590"/>
      <c r="J161" s="1590"/>
      <c r="K161" s="1590"/>
      <c r="L161" s="1590"/>
      <c r="M161" s="1590"/>
      <c r="N161" s="1590"/>
      <c r="O161" s="1590"/>
      <c r="P161" s="1590"/>
      <c r="Q161" s="1590"/>
      <c r="R161" s="1590"/>
      <c r="S161" s="1736"/>
      <c r="T161"/>
      <c r="U161"/>
      <c r="V161"/>
      <c r="W161"/>
    </row>
    <row r="162" spans="1:23" ht="12.75" hidden="1" customHeight="1">
      <c r="A162" s="1591" t="s">
        <v>136</v>
      </c>
      <c r="B162" s="1581" t="s">
        <v>610</v>
      </c>
      <c r="C162" s="1581" t="s">
        <v>611</v>
      </c>
      <c r="D162" s="1592" t="s">
        <v>428</v>
      </c>
      <c r="E162" s="1593" t="s">
        <v>429</v>
      </c>
      <c r="F162" s="1593" t="s">
        <v>430</v>
      </c>
      <c r="G162" s="1593" t="s">
        <v>137</v>
      </c>
      <c r="H162" s="1593" t="s">
        <v>176</v>
      </c>
      <c r="I162" s="1593" t="s">
        <v>292</v>
      </c>
      <c r="J162" s="1594" t="s">
        <v>380</v>
      </c>
      <c r="K162" s="1593" t="s">
        <v>381</v>
      </c>
      <c r="L162" s="1593" t="s">
        <v>612</v>
      </c>
      <c r="M162" s="1593" t="s">
        <v>613</v>
      </c>
      <c r="N162" s="1593" t="s">
        <v>614</v>
      </c>
      <c r="O162" s="1593" t="s">
        <v>615</v>
      </c>
      <c r="P162" s="1593" t="s">
        <v>805</v>
      </c>
      <c r="Q162" s="1593" t="s">
        <v>1163</v>
      </c>
      <c r="R162" s="1593" t="s">
        <v>1178</v>
      </c>
      <c r="S162" s="1737" t="s">
        <v>1179</v>
      </c>
      <c r="T162"/>
      <c r="U162"/>
      <c r="V162"/>
      <c r="W162"/>
    </row>
    <row r="163" spans="1:23" ht="12.75" hidden="1" customHeight="1">
      <c r="A163" s="1595" t="s">
        <v>139</v>
      </c>
      <c r="B163" s="1582"/>
      <c r="C163" s="1582"/>
      <c r="D163" s="1596">
        <v>126289772.59000002</v>
      </c>
      <c r="E163" s="1597">
        <v>133419501.45999998</v>
      </c>
      <c r="F163" s="1597">
        <v>151094924.56</v>
      </c>
      <c r="G163" s="1597">
        <v>173264736.18999991</v>
      </c>
      <c r="H163" s="1597">
        <v>183104056.69</v>
      </c>
      <c r="I163" s="1597">
        <v>204784392.22999996</v>
      </c>
      <c r="J163" s="1598">
        <v>225754548.95000011</v>
      </c>
      <c r="K163" s="1597">
        <v>250532312.84999999</v>
      </c>
      <c r="L163" s="1597">
        <v>282509955.07999992</v>
      </c>
      <c r="M163" s="1597">
        <v>334931425.41000021</v>
      </c>
      <c r="N163" s="1597">
        <v>339292648.2899999</v>
      </c>
      <c r="O163" s="1597">
        <v>368083420.17999989</v>
      </c>
      <c r="P163" s="1597">
        <v>460148109.5</v>
      </c>
      <c r="Q163" s="1597">
        <v>538620554.68000007</v>
      </c>
      <c r="R163" s="1597">
        <v>551505427.64999986</v>
      </c>
      <c r="S163" s="1738">
        <v>381307712.13</v>
      </c>
      <c r="T163"/>
      <c r="U163"/>
      <c r="V163"/>
      <c r="W163"/>
    </row>
    <row r="164" spans="1:23" ht="12.75" hidden="1" customHeight="1">
      <c r="A164" s="1595" t="s">
        <v>140</v>
      </c>
      <c r="B164" s="1582"/>
      <c r="C164" s="1582"/>
      <c r="D164" s="1596">
        <v>59077108.740000002</v>
      </c>
      <c r="E164" s="1597">
        <v>61680684.689999998</v>
      </c>
      <c r="F164" s="1597">
        <v>67548299.180000022</v>
      </c>
      <c r="G164" s="1597">
        <v>78560005.370000035</v>
      </c>
      <c r="H164" s="1597">
        <v>84610484.900000021</v>
      </c>
      <c r="I164" s="1597">
        <v>97994003.940000042</v>
      </c>
      <c r="J164" s="1598">
        <v>102714575.46999998</v>
      </c>
      <c r="K164" s="1597">
        <v>107702290.92999998</v>
      </c>
      <c r="L164" s="1597">
        <v>119582832.35999998</v>
      </c>
      <c r="M164" s="1597">
        <v>135619028.96000001</v>
      </c>
      <c r="N164" s="1597">
        <v>154801518.61000001</v>
      </c>
      <c r="O164" s="1597">
        <v>177467545.44999996</v>
      </c>
      <c r="P164" s="1597">
        <v>209304157.35000002</v>
      </c>
      <c r="Q164" s="1597">
        <v>244333110.46000004</v>
      </c>
      <c r="R164" s="1597">
        <v>243118432.21999997</v>
      </c>
      <c r="S164" s="1738">
        <v>245577827.24000001</v>
      </c>
      <c r="T164"/>
      <c r="U164"/>
      <c r="V164"/>
      <c r="W164"/>
    </row>
    <row r="165" spans="1:23" ht="12.75" hidden="1" customHeight="1">
      <c r="A165" s="1595" t="s">
        <v>141</v>
      </c>
      <c r="B165" s="1582"/>
      <c r="C165" s="1582"/>
      <c r="D165" s="1596">
        <v>18878776.270000003</v>
      </c>
      <c r="E165" s="1597">
        <v>20723204.139999997</v>
      </c>
      <c r="F165" s="1597">
        <v>22300619.109999999</v>
      </c>
      <c r="G165" s="1597">
        <v>26474943.080000002</v>
      </c>
      <c r="H165" s="1597">
        <v>28360552.559999999</v>
      </c>
      <c r="I165" s="1597">
        <v>30704459.429999996</v>
      </c>
      <c r="J165" s="1598">
        <v>33018064.900000006</v>
      </c>
      <c r="K165" s="1597">
        <v>35974246.850000001</v>
      </c>
      <c r="L165" s="1597">
        <v>37528257.649999999</v>
      </c>
      <c r="M165" s="1597">
        <v>39262048.859999992</v>
      </c>
      <c r="N165" s="1597">
        <v>44031828.829999998</v>
      </c>
      <c r="O165" s="1597">
        <v>49261183</v>
      </c>
      <c r="P165" s="1597">
        <v>57152342.519999996</v>
      </c>
      <c r="Q165" s="1597">
        <v>63596757.109999999</v>
      </c>
      <c r="R165" s="1597">
        <v>65429633.100000001</v>
      </c>
      <c r="S165" s="1738">
        <v>45834999.350000001</v>
      </c>
      <c r="T165"/>
      <c r="U165"/>
      <c r="V165"/>
      <c r="W165"/>
    </row>
    <row r="166" spans="1:23" ht="12.75" hidden="1" customHeight="1">
      <c r="A166" s="1595" t="s">
        <v>142</v>
      </c>
      <c r="B166" s="1582"/>
      <c r="C166" s="1582"/>
      <c r="D166" s="1596">
        <v>18157917.800000001</v>
      </c>
      <c r="E166" s="1597">
        <v>18065568.530000001</v>
      </c>
      <c r="F166" s="1597">
        <v>19636140.100000001</v>
      </c>
      <c r="G166" s="1597">
        <v>22857389.880000003</v>
      </c>
      <c r="H166" s="1597">
        <v>24494525.559999999</v>
      </c>
      <c r="I166" s="1597">
        <v>27665377.630000003</v>
      </c>
      <c r="J166" s="1598">
        <v>30570354.349999998</v>
      </c>
      <c r="K166" s="1597">
        <v>33219286.639999997</v>
      </c>
      <c r="L166" s="1597">
        <v>34535337.460000008</v>
      </c>
      <c r="M166" s="1597">
        <v>35865959.639999993</v>
      </c>
      <c r="N166" s="1597">
        <v>43041037.00999999</v>
      </c>
      <c r="O166" s="1597">
        <v>50308889.379999988</v>
      </c>
      <c r="P166" s="1597">
        <v>57447298.459999986</v>
      </c>
      <c r="Q166" s="1597">
        <v>66231157.780000001</v>
      </c>
      <c r="R166" s="1597">
        <v>61369281.590000004</v>
      </c>
      <c r="S166" s="1738">
        <v>43103939.730000004</v>
      </c>
      <c r="T166"/>
      <c r="U166"/>
      <c r="V166"/>
      <c r="W166"/>
    </row>
    <row r="167" spans="1:23" ht="12.75" hidden="1" customHeight="1">
      <c r="A167" s="1595" t="s">
        <v>143</v>
      </c>
      <c r="B167" s="1582"/>
      <c r="C167" s="1582"/>
      <c r="D167" s="1596">
        <v>13907239.670000002</v>
      </c>
      <c r="E167" s="1597">
        <v>14403041.090000002</v>
      </c>
      <c r="F167" s="1597">
        <v>15558818.440000001</v>
      </c>
      <c r="G167" s="1597">
        <v>15843647.33</v>
      </c>
      <c r="H167" s="1597">
        <v>12978173.260000005</v>
      </c>
      <c r="I167" s="1597">
        <v>25342573.900000006</v>
      </c>
      <c r="J167" s="1598">
        <v>20088412.800000001</v>
      </c>
      <c r="K167" s="1597">
        <v>21205354.890000001</v>
      </c>
      <c r="L167" s="1597">
        <v>23347774.609999999</v>
      </c>
      <c r="M167" s="1597">
        <v>26618617.940000005</v>
      </c>
      <c r="N167" s="1597">
        <v>23674432.500000004</v>
      </c>
      <c r="O167" s="1597">
        <v>29976610.700000003</v>
      </c>
      <c r="P167" s="1597">
        <v>32677048.140000004</v>
      </c>
      <c r="Q167" s="1597">
        <v>32808264.009999998</v>
      </c>
      <c r="R167" s="1597">
        <v>32355575.950000003</v>
      </c>
      <c r="S167" s="1738">
        <v>22004408.340000004</v>
      </c>
      <c r="T167"/>
      <c r="U167"/>
      <c r="V167"/>
      <c r="W167"/>
    </row>
    <row r="168" spans="1:23" ht="12.75" hidden="1" customHeight="1">
      <c r="A168" s="1595" t="s">
        <v>144</v>
      </c>
      <c r="B168" s="1582"/>
      <c r="C168" s="1582"/>
      <c r="D168" s="1596">
        <v>25317728.48</v>
      </c>
      <c r="E168" s="1597">
        <v>30737289.549999997</v>
      </c>
      <c r="F168" s="1597">
        <v>30328212.679999989</v>
      </c>
      <c r="G168" s="1597">
        <v>33840126.989999987</v>
      </c>
      <c r="H168" s="1597">
        <v>37958130.849999994</v>
      </c>
      <c r="I168" s="1597">
        <v>42490997.799999997</v>
      </c>
      <c r="J168" s="1598">
        <v>44496799.770000003</v>
      </c>
      <c r="K168" s="1597">
        <v>47769819.699999988</v>
      </c>
      <c r="L168" s="1597">
        <v>50668237.529999994</v>
      </c>
      <c r="M168" s="1597">
        <v>56105232.160000011</v>
      </c>
      <c r="N168" s="1597">
        <v>62312922.00999999</v>
      </c>
      <c r="O168" s="1597">
        <v>69758065.659999996</v>
      </c>
      <c r="P168" s="1597">
        <v>81614492.389999986</v>
      </c>
      <c r="Q168" s="1597">
        <v>91589405.13000001</v>
      </c>
      <c r="R168" s="1597">
        <v>91679917.120000005</v>
      </c>
      <c r="S168" s="1738">
        <v>86582196.87999998</v>
      </c>
      <c r="T168"/>
      <c r="U168"/>
      <c r="V168"/>
      <c r="W168"/>
    </row>
    <row r="169" spans="1:23" ht="12.75" hidden="1" customHeight="1">
      <c r="A169" s="1595" t="s">
        <v>145</v>
      </c>
      <c r="B169" s="1582"/>
      <c r="C169" s="1582"/>
      <c r="D169" s="1596">
        <v>131551775.63</v>
      </c>
      <c r="E169" s="1597">
        <v>137605952.52000001</v>
      </c>
      <c r="F169" s="1597">
        <v>149990154.20999998</v>
      </c>
      <c r="G169" s="1597">
        <v>167827986.56999993</v>
      </c>
      <c r="H169" s="1597">
        <v>184067775.04000005</v>
      </c>
      <c r="I169" s="1597">
        <v>201478935.21999997</v>
      </c>
      <c r="J169" s="1598">
        <v>213104945.86999995</v>
      </c>
      <c r="K169" s="1597">
        <v>226654550.52000001</v>
      </c>
      <c r="L169" s="1597">
        <v>243474712.77999997</v>
      </c>
      <c r="M169" s="1597">
        <v>248071400.36999997</v>
      </c>
      <c r="N169" s="1597">
        <v>257537605.18000001</v>
      </c>
      <c r="O169" s="1597">
        <v>290332952.34000003</v>
      </c>
      <c r="P169" s="1597">
        <v>320222171.68000007</v>
      </c>
      <c r="Q169" s="1597">
        <v>353122455.29999989</v>
      </c>
      <c r="R169" s="1597">
        <v>363553824.99999994</v>
      </c>
      <c r="S169" s="1738">
        <v>269649118.90999997</v>
      </c>
      <c r="T169"/>
      <c r="U169"/>
      <c r="V169"/>
      <c r="W169"/>
    </row>
    <row r="170" spans="1:23" ht="12.75" hidden="1" customHeight="1">
      <c r="A170" s="1599" t="s">
        <v>138</v>
      </c>
      <c r="B170" s="1600"/>
      <c r="C170" s="1601"/>
      <c r="D170" s="1602">
        <v>393180319.18000007</v>
      </c>
      <c r="E170" s="1603">
        <v>416635241.98000002</v>
      </c>
      <c r="F170" s="1603">
        <v>456457168.28000003</v>
      </c>
      <c r="G170" s="1603">
        <v>518668835.40999985</v>
      </c>
      <c r="H170" s="1603">
        <v>555573698.86000013</v>
      </c>
      <c r="I170" s="1603">
        <v>630460740.14999998</v>
      </c>
      <c r="J170" s="1604">
        <v>669747702.11000001</v>
      </c>
      <c r="K170" s="1603">
        <v>723057862.38</v>
      </c>
      <c r="L170" s="1603">
        <v>791647107.46999991</v>
      </c>
      <c r="M170" s="1603">
        <v>876473713.34000027</v>
      </c>
      <c r="N170" s="1603">
        <v>924691992.42999983</v>
      </c>
      <c r="O170" s="1603">
        <v>1035188666.7099999</v>
      </c>
      <c r="P170" s="1603">
        <v>1218565620.04</v>
      </c>
      <c r="Q170" s="1603">
        <v>1390301704.47</v>
      </c>
      <c r="R170" s="1603">
        <v>1409012092.6299999</v>
      </c>
      <c r="S170" s="1739">
        <v>1094060202.5799999</v>
      </c>
      <c r="T170"/>
      <c r="U170"/>
      <c r="V170"/>
      <c r="W170"/>
    </row>
    <row r="171" spans="1:23" ht="12.75" hidden="1" customHeight="1">
      <c r="A171" s="1740"/>
      <c r="B171" s="1740"/>
      <c r="C171" s="1741"/>
      <c r="D171" s="1742"/>
      <c r="E171" s="1742"/>
      <c r="F171" s="1742"/>
      <c r="G171" s="1742"/>
      <c r="H171" s="1742"/>
      <c r="I171" s="1742"/>
      <c r="J171" s="1743"/>
      <c r="K171" s="1742"/>
      <c r="L171" s="1742"/>
      <c r="M171" s="1742"/>
      <c r="N171" s="1742"/>
      <c r="O171" s="1742"/>
      <c r="P171" s="1742"/>
      <c r="Q171" s="1742"/>
      <c r="R171" s="1742"/>
      <c r="S171" s="1742"/>
      <c r="T171"/>
      <c r="U171"/>
      <c r="V171"/>
      <c r="W171"/>
    </row>
    <row r="172" spans="1:23" ht="12.75" hidden="1" customHeight="1">
      <c r="A172" s="2067"/>
      <c r="B172" s="2067"/>
      <c r="C172" s="2068"/>
      <c r="D172" s="2069"/>
      <c r="E172" s="2069"/>
      <c r="F172" s="2069"/>
      <c r="G172" s="2069"/>
      <c r="H172" s="1742"/>
      <c r="I172" s="1742"/>
      <c r="J172" s="1743"/>
      <c r="K172" s="1742"/>
      <c r="L172" s="1742"/>
      <c r="M172" s="1742"/>
      <c r="N172" s="1742"/>
      <c r="O172" s="1742"/>
      <c r="P172" s="1742"/>
      <c r="Q172" s="1742"/>
      <c r="R172" s="1742"/>
      <c r="S172" s="1742"/>
      <c r="T172"/>
      <c r="U172"/>
      <c r="V172"/>
      <c r="W172"/>
    </row>
    <row r="173" spans="1:23" ht="12.75" hidden="1" customHeight="1">
      <c r="A173" s="2822" t="s">
        <v>1621</v>
      </c>
      <c r="B173" s="627" t="s">
        <v>603</v>
      </c>
      <c r="C173" s="2068"/>
      <c r="D173" s="2069"/>
      <c r="E173" s="2069"/>
      <c r="F173" s="2069"/>
      <c r="G173" s="2069"/>
      <c r="H173" s="1742"/>
      <c r="I173" s="1742"/>
      <c r="J173" s="1743"/>
      <c r="K173" s="1742"/>
      <c r="L173" s="1742"/>
      <c r="M173" s="1742"/>
      <c r="N173" s="1742"/>
      <c r="O173" s="1742"/>
      <c r="P173" s="1742"/>
      <c r="Q173" s="1742"/>
      <c r="R173" s="1742"/>
      <c r="S173" s="1742"/>
      <c r="T173"/>
      <c r="U173"/>
      <c r="V173"/>
      <c r="W173"/>
    </row>
    <row r="174" spans="1:23" ht="12.75" hidden="1" customHeight="1">
      <c r="A174" s="627"/>
      <c r="B174" s="627"/>
      <c r="C174" s="627"/>
      <c r="D174" s="627"/>
      <c r="E174" s="627"/>
      <c r="F174" s="627"/>
      <c r="G174" s="627"/>
      <c r="I174" s="3"/>
    </row>
    <row r="175" spans="1:23" ht="12.75" hidden="1" customHeight="1">
      <c r="A175" s="2822" t="s">
        <v>1627</v>
      </c>
      <c r="B175" s="2822" t="s">
        <v>1620</v>
      </c>
      <c r="C175" s="627"/>
      <c r="D175" s="627"/>
      <c r="E175" s="627"/>
      <c r="F175" s="627"/>
      <c r="G175" s="627"/>
      <c r="H175" s="627"/>
      <c r="I175" s="627"/>
      <c r="J175" s="627"/>
      <c r="K175" s="627"/>
      <c r="L175" s="627"/>
    </row>
    <row r="176" spans="1:23" ht="12.75" hidden="1" customHeight="1">
      <c r="A176" s="627"/>
      <c r="B176" s="2823" t="s">
        <v>1179</v>
      </c>
      <c r="C176" s="2823" t="s">
        <v>1628</v>
      </c>
      <c r="D176" s="2823" t="s">
        <v>1629</v>
      </c>
      <c r="E176" s="2823" t="s">
        <v>1689</v>
      </c>
      <c r="F176" s="2823" t="s">
        <v>1690</v>
      </c>
      <c r="G176" s="2823" t="s">
        <v>1798</v>
      </c>
      <c r="H176" s="2823" t="s">
        <v>1803</v>
      </c>
      <c r="I176" s="2823" t="s">
        <v>1877</v>
      </c>
      <c r="J176" s="2823" t="s">
        <v>1878</v>
      </c>
      <c r="K176" s="2823" t="s">
        <v>1952</v>
      </c>
      <c r="L176" s="2823" t="s">
        <v>1951</v>
      </c>
    </row>
    <row r="177" spans="1:18" ht="12.75" hidden="1" customHeight="1">
      <c r="A177" s="2822" t="s">
        <v>1619</v>
      </c>
      <c r="B177" s="2823" t="s">
        <v>658</v>
      </c>
      <c r="C177" s="2823" t="s">
        <v>658</v>
      </c>
      <c r="D177" s="2823" t="s">
        <v>658</v>
      </c>
      <c r="E177" s="2823" t="s">
        <v>658</v>
      </c>
      <c r="F177" s="2823" t="s">
        <v>658</v>
      </c>
      <c r="G177" s="2823" t="s">
        <v>658</v>
      </c>
      <c r="H177" s="2823" t="s">
        <v>658</v>
      </c>
      <c r="I177" s="2823" t="s">
        <v>658</v>
      </c>
      <c r="J177" s="2823" t="s">
        <v>658</v>
      </c>
      <c r="K177" s="2823" t="s">
        <v>658</v>
      </c>
      <c r="L177" s="2823" t="s">
        <v>1879</v>
      </c>
    </row>
    <row r="178" spans="1:18" ht="12.75" hidden="1" customHeight="1">
      <c r="A178" s="2824" t="s">
        <v>139</v>
      </c>
      <c r="B178" s="2020">
        <v>573776231.76999998</v>
      </c>
      <c r="C178" s="2020">
        <v>598404068.14999974</v>
      </c>
      <c r="D178" s="2020">
        <v>600256511.76999986</v>
      </c>
      <c r="E178" s="2020">
        <v>719298511.66999984</v>
      </c>
      <c r="F178" s="2020">
        <v>701348362.7700001</v>
      </c>
      <c r="G178" s="2020">
        <v>709168763.42000043</v>
      </c>
      <c r="H178" s="2020">
        <v>742586642.15000021</v>
      </c>
      <c r="I178" s="2020">
        <v>720982953.5599997</v>
      </c>
      <c r="J178" s="2020">
        <v>742528092.71000016</v>
      </c>
      <c r="K178" s="2020">
        <v>904514734.63000071</v>
      </c>
      <c r="L178" s="2020">
        <v>717648000</v>
      </c>
      <c r="M178" s="2020"/>
      <c r="O178" s="627"/>
      <c r="P178" s="627"/>
      <c r="Q178" s="627"/>
      <c r="R178" s="3"/>
    </row>
    <row r="179" spans="1:18" ht="12.75" hidden="1" customHeight="1">
      <c r="A179" s="2824" t="s">
        <v>140</v>
      </c>
      <c r="B179" s="2020">
        <v>249987554.72</v>
      </c>
      <c r="C179" s="2020">
        <v>240280354.62</v>
      </c>
      <c r="D179" s="2020">
        <v>223323738.31999999</v>
      </c>
      <c r="E179" s="2020">
        <v>243702615.37999997</v>
      </c>
      <c r="F179" s="2020">
        <v>259683277.09999996</v>
      </c>
      <c r="G179" s="2020">
        <v>267877944.27000004</v>
      </c>
      <c r="H179" s="2020">
        <v>267637429.94999999</v>
      </c>
      <c r="I179" s="2020">
        <v>262740741.53</v>
      </c>
      <c r="J179" s="2020">
        <v>250865573.42999998</v>
      </c>
      <c r="K179" s="2020">
        <v>247318633.59999999</v>
      </c>
      <c r="L179" s="2020">
        <v>241835000</v>
      </c>
      <c r="M179" s="2020"/>
      <c r="O179" s="627"/>
      <c r="P179" s="627"/>
      <c r="Q179" s="627"/>
      <c r="R179" s="3"/>
    </row>
    <row r="180" spans="1:18" ht="12.75" hidden="1" customHeight="1">
      <c r="A180" s="2824" t="s">
        <v>141</v>
      </c>
      <c r="B180" s="2020">
        <v>67581336.469999999</v>
      </c>
      <c r="C180" s="2020">
        <v>66276512.599999994</v>
      </c>
      <c r="D180" s="2020">
        <v>58389020.63000001</v>
      </c>
      <c r="E180" s="2020">
        <v>61700128.759999998</v>
      </c>
      <c r="F180" s="2020">
        <v>60503748.100000001</v>
      </c>
      <c r="G180" s="2020">
        <v>69406223.700000003</v>
      </c>
      <c r="H180" s="2020">
        <v>70230900.359999999</v>
      </c>
      <c r="I180" s="2020">
        <v>64819831.809999995</v>
      </c>
      <c r="J180" s="2020">
        <v>55183874.659999996</v>
      </c>
      <c r="K180" s="2020">
        <v>45393537.340000004</v>
      </c>
      <c r="L180" s="2020">
        <v>47007000</v>
      </c>
      <c r="M180" s="2020"/>
      <c r="O180" s="627"/>
      <c r="P180" s="627"/>
      <c r="Q180" s="627"/>
      <c r="R180" s="3"/>
    </row>
    <row r="181" spans="1:18" ht="12.75" hidden="1" customHeight="1">
      <c r="A181" s="2824" t="s">
        <v>142</v>
      </c>
      <c r="B181" s="2020">
        <v>63422456.639999993</v>
      </c>
      <c r="C181" s="2020">
        <v>60782217.859999999</v>
      </c>
      <c r="D181" s="2020">
        <v>52492311.25</v>
      </c>
      <c r="E181" s="2020">
        <v>56117562.160000004</v>
      </c>
      <c r="F181" s="2020">
        <v>62960336.370000005</v>
      </c>
      <c r="G181" s="2020">
        <v>58789744.519999988</v>
      </c>
      <c r="H181" s="2020">
        <v>54177634.720000006</v>
      </c>
      <c r="I181" s="2020">
        <v>52321941.179999992</v>
      </c>
      <c r="J181" s="2020">
        <v>50100217.43999999</v>
      </c>
      <c r="K181" s="2020">
        <v>51706204.130000003</v>
      </c>
      <c r="L181" s="2020">
        <v>64397000</v>
      </c>
      <c r="M181" s="2020"/>
      <c r="O181" s="627"/>
      <c r="P181" s="627"/>
      <c r="Q181" s="627"/>
      <c r="R181" s="3"/>
    </row>
    <row r="182" spans="1:18" ht="12.75" hidden="1" customHeight="1">
      <c r="A182" s="2824" t="s">
        <v>143</v>
      </c>
      <c r="B182" s="2020">
        <v>32143213.68</v>
      </c>
      <c r="C182" s="2020">
        <v>31804764.760000002</v>
      </c>
      <c r="D182" s="2020">
        <v>27948702.82</v>
      </c>
      <c r="E182" s="2020">
        <v>26586460.999999996</v>
      </c>
      <c r="F182" s="2020">
        <v>21513707.59</v>
      </c>
      <c r="G182" s="2020">
        <v>18195640.210000001</v>
      </c>
      <c r="H182" s="2020">
        <v>14032385.149999997</v>
      </c>
      <c r="I182" s="2020">
        <v>12689114.059999999</v>
      </c>
      <c r="J182" s="2020">
        <v>14262041.469999999</v>
      </c>
      <c r="K182" s="2020">
        <v>12789124.149999999</v>
      </c>
      <c r="L182" s="2020">
        <v>37917000</v>
      </c>
      <c r="M182" s="2020"/>
      <c r="O182" s="627"/>
      <c r="P182" s="627"/>
      <c r="Q182" s="627"/>
      <c r="R182" s="3"/>
    </row>
    <row r="183" spans="1:18" ht="12.75" hidden="1" customHeight="1">
      <c r="A183" s="2824" t="s">
        <v>144</v>
      </c>
      <c r="B183" s="2020">
        <v>92168933.36999999</v>
      </c>
      <c r="C183" s="2020">
        <v>90150971.950000003</v>
      </c>
      <c r="D183" s="2020">
        <v>74395931.419999987</v>
      </c>
      <c r="E183" s="2020">
        <v>79327125.75</v>
      </c>
      <c r="F183" s="2020">
        <v>94999453.400000006</v>
      </c>
      <c r="G183" s="2020">
        <v>91965388.609999999</v>
      </c>
      <c r="H183" s="2020">
        <v>114323766.93999998</v>
      </c>
      <c r="I183" s="2020">
        <v>93785912.910000026</v>
      </c>
      <c r="J183" s="2020">
        <v>95168680.649999991</v>
      </c>
      <c r="K183" s="2020">
        <v>99186211.469999999</v>
      </c>
      <c r="L183" s="2020">
        <v>90415000</v>
      </c>
      <c r="M183" s="2020"/>
      <c r="O183" s="627"/>
      <c r="P183" s="627"/>
      <c r="Q183" s="627"/>
      <c r="R183" s="3"/>
    </row>
    <row r="184" spans="1:18" ht="12.75" hidden="1" customHeight="1">
      <c r="A184" s="2824" t="s">
        <v>145</v>
      </c>
      <c r="B184" s="2020">
        <v>360082654.31999981</v>
      </c>
      <c r="C184" s="2020">
        <v>345401217.31000024</v>
      </c>
      <c r="D184" s="2020">
        <v>343156826.8300001</v>
      </c>
      <c r="E184" s="2020">
        <v>343317133.70000005</v>
      </c>
      <c r="F184" s="2020">
        <v>333207854.23999995</v>
      </c>
      <c r="G184" s="2020">
        <v>331269420.54000002</v>
      </c>
      <c r="H184" s="2020">
        <v>319388467.6499998</v>
      </c>
      <c r="I184" s="2020">
        <v>307088918.04999995</v>
      </c>
      <c r="J184" s="2020">
        <v>286858451.55999988</v>
      </c>
      <c r="K184" s="2020">
        <v>306558723.27999997</v>
      </c>
      <c r="L184" s="2020">
        <v>365616000</v>
      </c>
      <c r="M184" s="2020"/>
      <c r="O184" s="627"/>
      <c r="P184" s="627"/>
      <c r="Q184" s="627"/>
      <c r="R184" s="3"/>
    </row>
    <row r="185" spans="1:18" ht="12.75" hidden="1" customHeight="1">
      <c r="A185" s="2824" t="s">
        <v>138</v>
      </c>
      <c r="B185" s="2501">
        <v>1439162380.9699998</v>
      </c>
      <c r="C185" s="2501">
        <v>1433100107.25</v>
      </c>
      <c r="D185" s="2501">
        <v>1379963043.04</v>
      </c>
      <c r="E185" s="2501">
        <v>1530049538.4199998</v>
      </c>
      <c r="F185" s="2501">
        <v>1534216739.5700002</v>
      </c>
      <c r="G185" s="2501">
        <v>1546673125.2700005</v>
      </c>
      <c r="H185" s="2501">
        <v>1582377226.9200001</v>
      </c>
      <c r="I185" s="2501">
        <v>1514429413.0999997</v>
      </c>
      <c r="J185" s="2501">
        <v>1494966931.9200001</v>
      </c>
      <c r="K185" s="2501">
        <v>1667467168.6000009</v>
      </c>
      <c r="L185" s="2501">
        <v>1564835000</v>
      </c>
      <c r="M185" s="2020"/>
      <c r="O185" s="627"/>
      <c r="P185" s="627"/>
      <c r="Q185" s="627"/>
      <c r="R185" s="3"/>
    </row>
    <row r="186" spans="1:18" ht="12.75" customHeight="1">
      <c r="A186" s="627"/>
      <c r="B186" s="627"/>
      <c r="C186" s="627"/>
      <c r="D186" s="2020"/>
      <c r="E186" s="2020"/>
      <c r="F186" s="2020"/>
      <c r="G186" s="627"/>
    </row>
    <row r="187" spans="1:18" ht="12.75" customHeight="1">
      <c r="A187" s="627"/>
      <c r="B187" s="627"/>
      <c r="C187" s="627"/>
      <c r="D187" s="627"/>
      <c r="E187" s="627"/>
      <c r="F187" s="627"/>
      <c r="G187" s="627"/>
    </row>
    <row r="188" spans="1:18" ht="12.75" customHeight="1">
      <c r="A188" s="627"/>
      <c r="B188" s="627"/>
      <c r="C188" s="627"/>
      <c r="D188" s="627"/>
      <c r="E188" s="627"/>
      <c r="F188" s="2020"/>
      <c r="G188" s="2020"/>
    </row>
    <row r="189" spans="1:18" ht="12.75" customHeight="1">
      <c r="A189"/>
      <c r="B189"/>
      <c r="C189"/>
      <c r="F189" s="3"/>
      <c r="G189" s="2020"/>
    </row>
    <row r="190" spans="1:18" ht="12.75" customHeight="1">
      <c r="A190"/>
      <c r="B190"/>
      <c r="C190"/>
      <c r="F190" s="3"/>
      <c r="G190" s="2020"/>
    </row>
    <row r="191" spans="1:18" ht="12.75" customHeight="1">
      <c r="A191"/>
      <c r="B191"/>
      <c r="C191"/>
      <c r="F191" s="3"/>
      <c r="G191" s="2020"/>
    </row>
    <row r="192" spans="1:18" ht="12.75" customHeight="1">
      <c r="A192"/>
      <c r="B192"/>
      <c r="C192"/>
      <c r="F192" s="3"/>
      <c r="G192" s="2020"/>
    </row>
    <row r="193" spans="6:7">
      <c r="F193" s="3"/>
      <c r="G193" s="2020"/>
    </row>
    <row r="194" spans="6:7">
      <c r="F194" s="3"/>
      <c r="G194" s="2020"/>
    </row>
    <row r="195" spans="6:7">
      <c r="F195" s="3"/>
      <c r="G195" s="2020"/>
    </row>
  </sheetData>
  <pageMargins left="0.5" right="0.5" top="0.5" bottom="0.5" header="0.25" footer="0.25"/>
  <pageSetup scale="74" fitToHeight="20" orientation="landscape" r:id="rId4"/>
  <headerFooter alignWithMargins="0"/>
  <legacyDrawing r:id="rId5"/>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DE431-0C13-4768-BA3A-078CFF1B135B}">
  <sheetPr codeName="Sheet49"/>
  <dimension ref="A1:J54"/>
  <sheetViews>
    <sheetView topLeftCell="A22" zoomScale="90" zoomScaleNormal="90" workbookViewId="0">
      <selection activeCell="G40" sqref="G40"/>
    </sheetView>
  </sheetViews>
  <sheetFormatPr defaultRowHeight="15"/>
  <cols>
    <col min="1" max="1" width="28.5" style="2411" customWidth="1"/>
    <col min="2" max="2" width="9.625" style="2411" bestFit="1" customWidth="1"/>
    <col min="3" max="3" width="8" style="2411" customWidth="1"/>
    <col min="4" max="4" width="9.125" style="2411" bestFit="1" customWidth="1"/>
    <col min="5" max="5" width="9.25" style="2411" bestFit="1" customWidth="1"/>
    <col min="6" max="6" width="9.75" style="2411" customWidth="1"/>
    <col min="7" max="8" width="9.125" style="2411" bestFit="1" customWidth="1"/>
    <col min="9" max="9" width="8.625" style="2411" bestFit="1" customWidth="1"/>
    <col min="10" max="10" width="0" style="2411" hidden="1" customWidth="1"/>
    <col min="11" max="16384" width="9" style="2411"/>
  </cols>
  <sheetData>
    <row r="1" spans="1:10">
      <c r="A1" s="2071"/>
      <c r="B1" s="2071"/>
      <c r="C1" s="2071"/>
      <c r="D1" s="2071"/>
      <c r="E1" s="2071"/>
      <c r="F1" s="2071"/>
      <c r="G1" s="2071"/>
      <c r="H1" s="2071"/>
      <c r="I1" s="2071"/>
      <c r="J1" s="2071"/>
    </row>
    <row r="2" spans="1:10">
      <c r="A2" s="2786" t="s">
        <v>297</v>
      </c>
      <c r="B2" s="2786"/>
      <c r="C2" s="2786"/>
      <c r="D2" s="2786"/>
      <c r="E2" s="2786"/>
      <c r="F2" s="2786"/>
      <c r="G2" s="2786"/>
      <c r="H2" s="2786"/>
      <c r="I2" s="2786"/>
      <c r="J2" s="2786"/>
    </row>
    <row r="3" spans="1:10" ht="15.75">
      <c r="A3" s="2787" t="s">
        <v>1836</v>
      </c>
      <c r="B3" s="2787"/>
      <c r="C3" s="2787"/>
      <c r="D3" s="2787"/>
      <c r="E3" s="2787"/>
      <c r="F3" s="2787"/>
      <c r="G3" s="2787"/>
      <c r="H3" s="2787"/>
      <c r="I3" s="2787"/>
      <c r="J3" s="2787"/>
    </row>
    <row r="4" spans="1:10">
      <c r="A4" s="2787" t="s">
        <v>1938</v>
      </c>
      <c r="B4" s="2787"/>
      <c r="C4" s="2787"/>
      <c r="D4" s="2787"/>
      <c r="E4" s="2787"/>
      <c r="F4" s="2787"/>
      <c r="G4" s="2787"/>
      <c r="H4" s="2787"/>
      <c r="I4" s="2787"/>
      <c r="J4" s="2409"/>
    </row>
    <row r="5" spans="1:10">
      <c r="A5" s="2247"/>
      <c r="B5" s="2247"/>
      <c r="C5" s="2247"/>
      <c r="D5" s="2247"/>
      <c r="E5" s="2247"/>
      <c r="F5" s="2247"/>
      <c r="G5" s="2247"/>
      <c r="H5" s="2075"/>
      <c r="I5" s="2247"/>
      <c r="J5" s="2075"/>
    </row>
    <row r="6" spans="1:10">
      <c r="A6" s="2248"/>
      <c r="B6" s="2788" t="s">
        <v>300</v>
      </c>
      <c r="C6" s="2789"/>
      <c r="D6" s="2789"/>
      <c r="E6" s="2789"/>
      <c r="F6" s="2790"/>
      <c r="G6" s="2791" t="s">
        <v>1790</v>
      </c>
      <c r="H6" s="2802" t="s">
        <v>77</v>
      </c>
      <c r="I6" s="2803"/>
      <c r="J6" s="2249" t="s">
        <v>1791</v>
      </c>
    </row>
    <row r="7" spans="1:10">
      <c r="A7" s="2250" t="s">
        <v>485</v>
      </c>
      <c r="B7" s="2251" t="s">
        <v>1939</v>
      </c>
      <c r="C7" s="2251" t="s">
        <v>1940</v>
      </c>
      <c r="D7" s="2251" t="s">
        <v>1941</v>
      </c>
      <c r="E7" s="2251" t="s">
        <v>1942</v>
      </c>
      <c r="F7" s="2252" t="s">
        <v>465</v>
      </c>
      <c r="G7" s="2792"/>
      <c r="H7" s="2794" t="s">
        <v>464</v>
      </c>
      <c r="I7" s="2795"/>
      <c r="J7" s="2253" t="s">
        <v>1792</v>
      </c>
    </row>
    <row r="8" spans="1:10" ht="15.75" thickBot="1">
      <c r="A8" s="2254" t="s">
        <v>310</v>
      </c>
      <c r="B8" s="2251" t="s">
        <v>311</v>
      </c>
      <c r="C8" s="2255" t="s">
        <v>484</v>
      </c>
      <c r="D8" s="2256" t="s">
        <v>311</v>
      </c>
      <c r="E8" s="2255" t="s">
        <v>483</v>
      </c>
      <c r="F8" s="2256" t="s">
        <v>1840</v>
      </c>
      <c r="G8" s="2257" t="s">
        <v>1839</v>
      </c>
      <c r="H8" s="2258" t="s">
        <v>315</v>
      </c>
      <c r="I8" s="2259" t="s">
        <v>316</v>
      </c>
      <c r="J8" s="2260" t="s">
        <v>505</v>
      </c>
    </row>
    <row r="9" spans="1:10" ht="15.75" thickTop="1">
      <c r="A9" s="2261" t="s">
        <v>2</v>
      </c>
      <c r="B9" s="2090"/>
      <c r="C9" s="2262">
        <f>C10+C11+C12</f>
        <v>51689</v>
      </c>
      <c r="D9" s="2263">
        <f>D10+D11+D12</f>
        <v>49708</v>
      </c>
      <c r="E9" s="2263">
        <f>E10+E11+E12</f>
        <v>46442</v>
      </c>
      <c r="F9" s="2093">
        <f>F10+F11+F12</f>
        <v>49279.666666666672</v>
      </c>
      <c r="G9" s="2264">
        <v>37162</v>
      </c>
      <c r="H9" s="2095">
        <f t="shared" ref="H9:H17" si="0">F9-G9</f>
        <v>12117.666666666672</v>
      </c>
      <c r="I9" s="2096">
        <f t="shared" ref="I9:I17" si="1">H9/G9</f>
        <v>0.3260768168200493</v>
      </c>
      <c r="J9" s="2265"/>
    </row>
    <row r="10" spans="1:10">
      <c r="A10" s="2266" t="s">
        <v>1159</v>
      </c>
      <c r="B10" s="2099"/>
      <c r="C10" s="2267">
        <v>41468</v>
      </c>
      <c r="D10" s="2268">
        <v>39901</v>
      </c>
      <c r="E10" s="2268">
        <v>37300</v>
      </c>
      <c r="F10" s="2395">
        <f>(C10+D10+E10)/3</f>
        <v>39556.333333333336</v>
      </c>
      <c r="G10" s="2103">
        <v>32703</v>
      </c>
      <c r="H10" s="2104">
        <f t="shared" si="0"/>
        <v>6853.3333333333358</v>
      </c>
      <c r="I10" s="2105">
        <f t="shared" si="1"/>
        <v>0.20956283317534585</v>
      </c>
      <c r="J10" s="2270"/>
    </row>
    <row r="11" spans="1:10">
      <c r="A11" s="2266" t="s">
        <v>479</v>
      </c>
      <c r="B11" s="2099"/>
      <c r="C11" s="2267">
        <v>5437</v>
      </c>
      <c r="D11" s="2268">
        <v>5191</v>
      </c>
      <c r="E11" s="2268">
        <v>4922</v>
      </c>
      <c r="F11" s="2395">
        <f>(C11+D11+E11)/3</f>
        <v>5183.333333333333</v>
      </c>
      <c r="G11" s="2103">
        <v>2045</v>
      </c>
      <c r="H11" s="2104">
        <f t="shared" si="0"/>
        <v>3138.333333333333</v>
      </c>
      <c r="I11" s="2105">
        <f t="shared" si="1"/>
        <v>1.5346373268133657</v>
      </c>
      <c r="J11" s="2270"/>
    </row>
    <row r="12" spans="1:10">
      <c r="A12" s="2266" t="s">
        <v>478</v>
      </c>
      <c r="B12" s="2099"/>
      <c r="C12" s="2267">
        <v>4784</v>
      </c>
      <c r="D12" s="2268">
        <v>4616</v>
      </c>
      <c r="E12" s="2268">
        <v>4220</v>
      </c>
      <c r="F12" s="2395">
        <f>(C12+D12+E12)/3</f>
        <v>4540</v>
      </c>
      <c r="G12" s="2103">
        <v>2414</v>
      </c>
      <c r="H12" s="2104">
        <f t="shared" si="0"/>
        <v>2126</v>
      </c>
      <c r="I12" s="2105">
        <f t="shared" si="1"/>
        <v>0.88069594034797016</v>
      </c>
      <c r="J12" s="2270"/>
    </row>
    <row r="13" spans="1:10">
      <c r="A13" s="2271" t="s">
        <v>590</v>
      </c>
      <c r="B13" s="2108"/>
      <c r="C13" s="2272">
        <f>C14+C15+C16+C17</f>
        <v>27752</v>
      </c>
      <c r="D13" s="2110">
        <f>D14+D15+D16+D17</f>
        <v>219</v>
      </c>
      <c r="E13" s="2273">
        <f>E14+E15+E16+E17</f>
        <v>25275</v>
      </c>
      <c r="F13" s="2274">
        <f>F14+F15+F16+F17+F22</f>
        <v>26935.5</v>
      </c>
      <c r="G13" s="2113">
        <v>22538</v>
      </c>
      <c r="H13" s="2114">
        <f t="shared" si="0"/>
        <v>4397.5</v>
      </c>
      <c r="I13" s="2115">
        <f t="shared" si="1"/>
        <v>0.19511491702901765</v>
      </c>
      <c r="J13" s="2275"/>
    </row>
    <row r="14" spans="1:10">
      <c r="A14" s="2277" t="s">
        <v>589</v>
      </c>
      <c r="B14" s="2099"/>
      <c r="C14" s="2267">
        <v>23500</v>
      </c>
      <c r="D14" s="2118"/>
      <c r="E14" s="2268">
        <v>21386</v>
      </c>
      <c r="F14" s="2278">
        <f>(C14+E14)/2</f>
        <v>22443</v>
      </c>
      <c r="G14" s="2120">
        <v>19250</v>
      </c>
      <c r="H14" s="2279">
        <f t="shared" si="0"/>
        <v>3193</v>
      </c>
      <c r="I14" s="2122">
        <f t="shared" si="1"/>
        <v>0.16587012987012986</v>
      </c>
      <c r="J14" s="2280"/>
    </row>
    <row r="15" spans="1:10">
      <c r="A15" s="2266" t="s">
        <v>474</v>
      </c>
      <c r="B15" s="2099"/>
      <c r="C15" s="2267">
        <v>1274</v>
      </c>
      <c r="D15" s="2118"/>
      <c r="E15" s="2268">
        <v>1131</v>
      </c>
      <c r="F15" s="2278">
        <f>(C15+E15)/2</f>
        <v>1202.5</v>
      </c>
      <c r="G15" s="2120">
        <v>865</v>
      </c>
      <c r="H15" s="2279">
        <f t="shared" si="0"/>
        <v>337.5</v>
      </c>
      <c r="I15" s="2122">
        <f t="shared" si="1"/>
        <v>0.39017341040462428</v>
      </c>
      <c r="J15" s="2280"/>
    </row>
    <row r="16" spans="1:10">
      <c r="A16" s="2277" t="s">
        <v>473</v>
      </c>
      <c r="B16" s="2099"/>
      <c r="C16" s="2267">
        <v>2750</v>
      </c>
      <c r="D16" s="2118"/>
      <c r="E16" s="2268">
        <v>2568</v>
      </c>
      <c r="F16" s="2278">
        <f>(C16+E16)/2</f>
        <v>2659</v>
      </c>
      <c r="G16" s="2120">
        <v>2113</v>
      </c>
      <c r="H16" s="2279">
        <f t="shared" si="0"/>
        <v>546</v>
      </c>
      <c r="I16" s="2122">
        <f t="shared" si="1"/>
        <v>0.25840037860861337</v>
      </c>
      <c r="J16" s="2280"/>
    </row>
    <row r="17" spans="1:10" ht="15.75">
      <c r="A17" s="2277" t="s">
        <v>1606</v>
      </c>
      <c r="B17" s="2124">
        <f>B18+B19+B20+B21</f>
        <v>86</v>
      </c>
      <c r="C17" s="2281">
        <f>C18+C19+C20+C21</f>
        <v>228</v>
      </c>
      <c r="D17" s="2282">
        <f>D18+D19+D20+D21</f>
        <v>219</v>
      </c>
      <c r="E17" s="2282">
        <f>E18+E19+E21+E20</f>
        <v>190</v>
      </c>
      <c r="F17" s="2124">
        <f>F18+F19+F20+F21</f>
        <v>241</v>
      </c>
      <c r="G17" s="2283">
        <v>310</v>
      </c>
      <c r="H17" s="2284">
        <f t="shared" si="0"/>
        <v>-69</v>
      </c>
      <c r="I17" s="2129">
        <f t="shared" si="1"/>
        <v>-0.22258064516129034</v>
      </c>
      <c r="J17" s="2130"/>
    </row>
    <row r="18" spans="1:10">
      <c r="A18" s="2285" t="s">
        <v>93</v>
      </c>
      <c r="B18" s="2286">
        <v>0</v>
      </c>
      <c r="C18" s="2287">
        <v>0</v>
      </c>
      <c r="D18" s="2288">
        <v>0</v>
      </c>
      <c r="E18" s="2289">
        <v>0</v>
      </c>
      <c r="F18" s="2135">
        <f>(B18+C18+D18+E18)/3</f>
        <v>0</v>
      </c>
      <c r="G18" s="2290"/>
      <c r="H18" s="2137"/>
      <c r="I18" s="2138"/>
      <c r="J18" s="2139"/>
    </row>
    <row r="19" spans="1:10">
      <c r="A19" s="2285" t="s">
        <v>96</v>
      </c>
      <c r="B19" s="2291">
        <v>0</v>
      </c>
      <c r="C19" s="2292">
        <v>0</v>
      </c>
      <c r="D19" s="2288">
        <v>0</v>
      </c>
      <c r="E19" s="2289">
        <v>0</v>
      </c>
      <c r="F19" s="2135">
        <v>0</v>
      </c>
      <c r="G19" s="2290"/>
      <c r="H19" s="2137"/>
      <c r="I19" s="2138"/>
      <c r="J19" s="2139"/>
    </row>
    <row r="20" spans="1:10">
      <c r="A20" s="2285" t="s">
        <v>98</v>
      </c>
      <c r="B20" s="2291">
        <v>66</v>
      </c>
      <c r="C20" s="2292">
        <v>203</v>
      </c>
      <c r="D20" s="2288">
        <v>195</v>
      </c>
      <c r="E20" s="2289">
        <v>148</v>
      </c>
      <c r="F20" s="2135">
        <f>(B20+C20+D20+E20)/3</f>
        <v>204</v>
      </c>
      <c r="G20" s="2290"/>
      <c r="H20" s="2137"/>
      <c r="I20" s="2138"/>
      <c r="J20" s="2139"/>
    </row>
    <row r="21" spans="1:10">
      <c r="A21" s="2293" t="s">
        <v>1150</v>
      </c>
      <c r="B21" s="2294">
        <v>20</v>
      </c>
      <c r="C21" s="2292">
        <v>25</v>
      </c>
      <c r="D21" s="2288">
        <v>24</v>
      </c>
      <c r="E21" s="2289">
        <v>42</v>
      </c>
      <c r="F21" s="2144">
        <f>(B21+C21+D21+E21)/3</f>
        <v>37</v>
      </c>
      <c r="G21" s="2295">
        <v>25</v>
      </c>
      <c r="H21" s="2146">
        <f>F21-G21</f>
        <v>12</v>
      </c>
      <c r="I21" s="2147">
        <f>H21/G21</f>
        <v>0.48</v>
      </c>
      <c r="J21" s="2139"/>
    </row>
    <row r="22" spans="1:10">
      <c r="A22" s="2296" t="s">
        <v>1837</v>
      </c>
      <c r="B22" s="2413">
        <v>95</v>
      </c>
      <c r="C22" s="2412">
        <v>388</v>
      </c>
      <c r="D22" s="2299">
        <v>368</v>
      </c>
      <c r="E22" s="2300">
        <v>319</v>
      </c>
      <c r="F22" s="2200">
        <f>SUM(B22:E22)/3</f>
        <v>390</v>
      </c>
      <c r="G22" s="2295"/>
      <c r="H22" s="2301"/>
      <c r="I22" s="2147"/>
      <c r="J22" s="2139"/>
    </row>
    <row r="23" spans="1:10">
      <c r="A23" s="2302" t="s">
        <v>5</v>
      </c>
      <c r="B23" s="2108"/>
      <c r="C23" s="2303">
        <v>10259</v>
      </c>
      <c r="D23" s="2304">
        <v>9672</v>
      </c>
      <c r="E23" s="2304">
        <v>9070</v>
      </c>
      <c r="F23" s="2305">
        <f>SUM(C23+D23+E23)/3</f>
        <v>9667</v>
      </c>
      <c r="G23" s="2306">
        <v>9105</v>
      </c>
      <c r="H23" s="2284">
        <f>F23-G23</f>
        <v>562</v>
      </c>
      <c r="I23" s="2129">
        <f>H23/G23</f>
        <v>6.1724327292696321E-2</v>
      </c>
      <c r="J23" s="2307"/>
    </row>
    <row r="24" spans="1:10">
      <c r="A24" s="2302" t="s">
        <v>4</v>
      </c>
      <c r="B24" s="2154"/>
      <c r="C24" s="2303">
        <v>9234</v>
      </c>
      <c r="D24" s="2304">
        <v>7648</v>
      </c>
      <c r="E24" s="2304">
        <v>7835</v>
      </c>
      <c r="F24" s="2305">
        <f>SUM(C24+D24+E24)/3</f>
        <v>8239</v>
      </c>
      <c r="G24" s="2306">
        <v>8734</v>
      </c>
      <c r="H24" s="2284">
        <f>F24-G24</f>
        <v>-495</v>
      </c>
      <c r="I24" s="2129">
        <f>H24/G24</f>
        <v>-5.6675062972292189E-2</v>
      </c>
      <c r="J24" s="2305"/>
    </row>
    <row r="25" spans="1:10">
      <c r="A25" s="2302" t="s">
        <v>6</v>
      </c>
      <c r="B25" s="2308"/>
      <c r="C25" s="2303">
        <v>1269</v>
      </c>
      <c r="D25" s="2304">
        <v>1780</v>
      </c>
      <c r="E25" s="2304">
        <v>2274</v>
      </c>
      <c r="F25" s="2309">
        <f>SUM(C25+D25+E25)/3</f>
        <v>1774.3333333333333</v>
      </c>
      <c r="G25" s="2306">
        <v>4213</v>
      </c>
      <c r="H25" s="2284">
        <f>F25-G25</f>
        <v>-2438.666666666667</v>
      </c>
      <c r="I25" s="2129">
        <f>H25/G25</f>
        <v>-0.57884326291637</v>
      </c>
      <c r="J25" s="2305"/>
    </row>
    <row r="26" spans="1:10" ht="15.75" thickBot="1">
      <c r="A26" s="2271" t="s">
        <v>7</v>
      </c>
      <c r="B26" s="2108"/>
      <c r="C26" s="2303">
        <v>13429</v>
      </c>
      <c r="D26" s="2304">
        <v>12205</v>
      </c>
      <c r="E26" s="2304">
        <v>11263</v>
      </c>
      <c r="F26" s="2309">
        <f>SUM(C26+D26+E26)/3</f>
        <v>12299</v>
      </c>
      <c r="G26" s="2310">
        <v>11762</v>
      </c>
      <c r="H26" s="2284">
        <f>F26-G26</f>
        <v>537</v>
      </c>
      <c r="I26" s="2129">
        <f>H26/G26</f>
        <v>4.5655500765175994E-2</v>
      </c>
      <c r="J26" s="2311"/>
    </row>
    <row r="27" spans="1:10" ht="15.75" thickTop="1">
      <c r="A27" s="2312" t="s">
        <v>472</v>
      </c>
      <c r="B27" s="2313"/>
      <c r="C27" s="2313">
        <f>C9+C13+C22+C23+C24+C25+C26</f>
        <v>114020</v>
      </c>
      <c r="D27" s="2313">
        <f>D9+D13+D22+D23+D24+D25+D26</f>
        <v>81600</v>
      </c>
      <c r="E27" s="2313">
        <f>E9+E13+E22+E23+E24+E25+E26</f>
        <v>102478</v>
      </c>
      <c r="F27" s="2313">
        <f>F9+F13+F23+F24+F25+F26</f>
        <v>108194.5</v>
      </c>
      <c r="G27" s="2314">
        <v>93849</v>
      </c>
      <c r="H27" s="2313">
        <f>F27-G27</f>
        <v>14345.5</v>
      </c>
      <c r="I27" s="2315">
        <f>H27/G27</f>
        <v>0.15285724941128834</v>
      </c>
      <c r="J27" s="2316"/>
    </row>
    <row r="28" spans="1:10">
      <c r="A28" s="2317"/>
      <c r="B28" s="2318"/>
      <c r="C28" s="2318"/>
      <c r="D28" s="2318"/>
      <c r="E28" s="2318"/>
      <c r="F28" s="2318"/>
      <c r="G28" s="2318"/>
      <c r="H28" s="2318"/>
      <c r="I28" s="2166"/>
      <c r="J28" s="2318"/>
    </row>
    <row r="29" spans="1:10">
      <c r="A29" s="2778" t="s">
        <v>588</v>
      </c>
      <c r="B29" s="2779" t="s">
        <v>77</v>
      </c>
      <c r="C29" s="2780"/>
      <c r="D29" s="2780"/>
      <c r="E29" s="2780"/>
      <c r="F29" s="2781"/>
      <c r="G29" s="2319"/>
      <c r="H29" s="2804" t="s">
        <v>77</v>
      </c>
      <c r="I29" s="2803"/>
      <c r="J29" s="2320" t="s">
        <v>1791</v>
      </c>
    </row>
    <row r="30" spans="1:10" ht="15.75">
      <c r="A30" s="2766"/>
      <c r="B30" s="2251" t="s">
        <v>1939</v>
      </c>
      <c r="C30" s="2251" t="s">
        <v>1940</v>
      </c>
      <c r="D30" s="2251" t="s">
        <v>1941</v>
      </c>
      <c r="E30" s="2251" t="s">
        <v>1942</v>
      </c>
      <c r="F30" s="2252" t="s">
        <v>465</v>
      </c>
      <c r="G30" s="2253" t="s">
        <v>1591</v>
      </c>
      <c r="H30" s="2784" t="s">
        <v>464</v>
      </c>
      <c r="I30" s="2785"/>
      <c r="J30" s="2253" t="s">
        <v>1792</v>
      </c>
    </row>
    <row r="31" spans="1:10" ht="15.75" thickBot="1">
      <c r="A31" s="2767"/>
      <c r="B31" s="2321" t="s">
        <v>311</v>
      </c>
      <c r="C31" s="2322" t="s">
        <v>484</v>
      </c>
      <c r="D31" s="2323" t="s">
        <v>311</v>
      </c>
      <c r="E31" s="2255" t="s">
        <v>483</v>
      </c>
      <c r="F31" s="2396" t="s">
        <v>1840</v>
      </c>
      <c r="G31" s="2256" t="s">
        <v>1840</v>
      </c>
      <c r="H31" s="2324" t="s">
        <v>315</v>
      </c>
      <c r="I31" s="2325" t="s">
        <v>316</v>
      </c>
      <c r="J31" s="2260" t="s">
        <v>505</v>
      </c>
    </row>
    <row r="32" spans="1:10" ht="26.25" thickTop="1">
      <c r="A32" s="2174" t="s">
        <v>582</v>
      </c>
      <c r="B32" s="2303">
        <v>36430</v>
      </c>
      <c r="C32" s="2272">
        <v>83694</v>
      </c>
      <c r="D32" s="2299">
        <v>79713</v>
      </c>
      <c r="E32" s="2326">
        <v>74418</v>
      </c>
      <c r="F32" s="2178">
        <f>(B32+C32+D32+E32)/3</f>
        <v>91418.333333333328</v>
      </c>
      <c r="G32" s="2328">
        <v>120300</v>
      </c>
      <c r="H32" s="2329">
        <f>F32-G32</f>
        <v>-28881.666666666672</v>
      </c>
      <c r="I32" s="2096">
        <f>H32/G32</f>
        <v>-0.24008035466888339</v>
      </c>
      <c r="J32" s="2330"/>
    </row>
    <row r="33" spans="1:10">
      <c r="A33" s="2182" t="s">
        <v>581</v>
      </c>
      <c r="B33" s="2331">
        <f>B34+B35</f>
        <v>3039</v>
      </c>
      <c r="C33" s="2331">
        <f>C34+C35</f>
        <v>6141</v>
      </c>
      <c r="D33" s="2331">
        <f>D34+D35</f>
        <v>6332</v>
      </c>
      <c r="E33" s="2332">
        <f>(E34+E35)</f>
        <v>6483</v>
      </c>
      <c r="F33" s="2186">
        <f>(B33+C33+D33+E33)/3</f>
        <v>7331.666666666667</v>
      </c>
      <c r="G33" s="2335">
        <v>7170</v>
      </c>
      <c r="H33" s="2397">
        <f>F33-G33</f>
        <v>161.66666666666697</v>
      </c>
      <c r="I33" s="2129">
        <f>H33/G33</f>
        <v>2.2547652254765269E-2</v>
      </c>
      <c r="J33" s="2336"/>
    </row>
    <row r="34" spans="1:10">
      <c r="A34" s="2189" t="s">
        <v>460</v>
      </c>
      <c r="B34" s="2337">
        <v>2921</v>
      </c>
      <c r="C34" s="2338">
        <v>5864</v>
      </c>
      <c r="D34" s="2339">
        <v>6019</v>
      </c>
      <c r="E34" s="2340">
        <v>5714</v>
      </c>
      <c r="F34" s="2341">
        <f>(B34+C34+D34+E34)/3</f>
        <v>6839.333333333333</v>
      </c>
      <c r="G34" s="2195"/>
      <c r="H34" s="2196"/>
      <c r="I34" s="2129"/>
      <c r="J34" s="2139"/>
    </row>
    <row r="35" spans="1:10">
      <c r="A35" s="2189" t="s">
        <v>459</v>
      </c>
      <c r="B35" s="2337">
        <v>118</v>
      </c>
      <c r="C35" s="2338">
        <v>277</v>
      </c>
      <c r="D35" s="2339">
        <v>313</v>
      </c>
      <c r="E35" s="2340">
        <v>769</v>
      </c>
      <c r="F35" s="2341">
        <f>(B35+C35+D35+E35)/3</f>
        <v>492.33333333333331</v>
      </c>
      <c r="G35" s="2342"/>
      <c r="H35" s="2196"/>
      <c r="I35" s="2129"/>
      <c r="J35" s="2139"/>
    </row>
    <row r="36" spans="1:10" ht="15.75">
      <c r="A36" s="2343" t="s">
        <v>1607</v>
      </c>
      <c r="B36" s="2344">
        <v>1368</v>
      </c>
      <c r="C36" s="2200">
        <v>4455</v>
      </c>
      <c r="D36" s="2299">
        <v>4474</v>
      </c>
      <c r="E36" s="2345">
        <v>4269</v>
      </c>
      <c r="F36" s="2178">
        <f>(B36+C36+D36+E36)/3</f>
        <v>4855.333333333333</v>
      </c>
      <c r="G36" s="2346">
        <v>220</v>
      </c>
      <c r="H36" s="2346">
        <f>F36-G36</f>
        <v>4635.333333333333</v>
      </c>
      <c r="I36" s="2129">
        <f>H36/G36</f>
        <v>21.069696969696967</v>
      </c>
      <c r="J36" s="2130"/>
    </row>
    <row r="37" spans="1:10" ht="15.75">
      <c r="A37" s="2296" t="s">
        <v>1608</v>
      </c>
      <c r="B37" s="2154">
        <f>B38+B39+B40+B41+B42</f>
        <v>248</v>
      </c>
      <c r="C37" s="2154">
        <f>C38+C39+C40+C41+C42</f>
        <v>714</v>
      </c>
      <c r="D37" s="2110">
        <f>D38+D39+D40+D41+D42</f>
        <v>674</v>
      </c>
      <c r="E37" s="2300">
        <f>E38+E39+E40+E41+E42</f>
        <v>605</v>
      </c>
      <c r="F37" s="2154">
        <f>F38+F39+F40+F41+F42</f>
        <v>758.16666666666663</v>
      </c>
      <c r="G37" s="2346">
        <v>165</v>
      </c>
      <c r="H37" s="2346">
        <f>F37-G37</f>
        <v>593.16666666666663</v>
      </c>
      <c r="I37" s="2129">
        <f>H37/G37</f>
        <v>3.5949494949494949</v>
      </c>
      <c r="J37" s="2130"/>
    </row>
    <row r="38" spans="1:10">
      <c r="A38" s="2293" t="s">
        <v>455</v>
      </c>
      <c r="B38" s="2281">
        <v>139</v>
      </c>
      <c r="C38" s="2338">
        <v>319</v>
      </c>
      <c r="D38" s="2268">
        <v>309</v>
      </c>
      <c r="E38" s="2282">
        <v>279</v>
      </c>
      <c r="F38" s="2205">
        <f>(B38+C38+D38+E38)/3</f>
        <v>348.66666666666669</v>
      </c>
      <c r="G38" s="2206"/>
      <c r="H38" s="2301"/>
      <c r="I38" s="2147"/>
      <c r="J38" s="2139"/>
    </row>
    <row r="39" spans="1:10">
      <c r="A39" s="2293" t="s">
        <v>454</v>
      </c>
      <c r="B39" s="2281">
        <v>79</v>
      </c>
      <c r="C39" s="2338">
        <v>189</v>
      </c>
      <c r="D39" s="2268">
        <v>200</v>
      </c>
      <c r="E39" s="2282">
        <v>173</v>
      </c>
      <c r="F39" s="2205">
        <f>(B39+C39+D39+E39)/3</f>
        <v>213.66666666666666</v>
      </c>
      <c r="G39" s="2206"/>
      <c r="H39" s="2301"/>
      <c r="I39" s="2147"/>
      <c r="J39" s="2139"/>
    </row>
    <row r="40" spans="1:10">
      <c r="A40" s="2293" t="s">
        <v>453</v>
      </c>
      <c r="B40" s="2124">
        <v>30</v>
      </c>
      <c r="C40" s="2338">
        <v>39</v>
      </c>
      <c r="D40" s="2268">
        <v>42</v>
      </c>
      <c r="E40" s="2282">
        <v>26</v>
      </c>
      <c r="F40" s="2205">
        <f>(B40+C40+D40+E40)/3</f>
        <v>45.666666666666664</v>
      </c>
      <c r="G40" s="2206"/>
      <c r="H40" s="2301"/>
      <c r="I40" s="2147"/>
      <c r="J40" s="2139"/>
    </row>
    <row r="41" spans="1:10">
      <c r="A41" s="2293" t="s">
        <v>1152</v>
      </c>
      <c r="B41" s="2124">
        <v>0</v>
      </c>
      <c r="C41" s="2338">
        <v>44</v>
      </c>
      <c r="D41" s="2269">
        <v>0</v>
      </c>
      <c r="E41" s="2282">
        <v>23</v>
      </c>
      <c r="F41" s="2205">
        <f>(B41+C41+D41+E41)/2</f>
        <v>33.5</v>
      </c>
      <c r="G41" s="2104">
        <v>30</v>
      </c>
      <c r="H41" s="2301"/>
      <c r="I41" s="2147"/>
      <c r="J41" s="2139"/>
    </row>
    <row r="42" spans="1:10" ht="15.75" thickBot="1">
      <c r="A42" s="2293" t="s">
        <v>1852</v>
      </c>
      <c r="B42" s="2124">
        <v>0</v>
      </c>
      <c r="C42" s="2338">
        <v>123</v>
      </c>
      <c r="D42" s="2269">
        <v>123</v>
      </c>
      <c r="E42" s="2269">
        <v>104</v>
      </c>
      <c r="F42" s="2205">
        <f>(B42+C42+D42+E42)/3</f>
        <v>116.66666666666667</v>
      </c>
      <c r="G42" s="2104">
        <v>30</v>
      </c>
      <c r="H42" s="2301"/>
      <c r="I42" s="2147"/>
      <c r="J42" s="2139"/>
    </row>
    <row r="43" spans="1:10" ht="16.5" thickTop="1">
      <c r="A43" s="2349" t="s">
        <v>1609</v>
      </c>
      <c r="B43" s="2350">
        <f>B32+B33+B36+B37</f>
        <v>41085</v>
      </c>
      <c r="C43" s="2350">
        <f>C32+C33+C36+C37</f>
        <v>95004</v>
      </c>
      <c r="D43" s="2350">
        <f>D32+D33+D36+D37</f>
        <v>91193</v>
      </c>
      <c r="E43" s="2350">
        <f>E32+E33+E36+E37</f>
        <v>85775</v>
      </c>
      <c r="F43" s="2350">
        <f>F32+F33+F36+F37</f>
        <v>104363.5</v>
      </c>
      <c r="G43" s="2351">
        <v>139927</v>
      </c>
      <c r="H43" s="2214">
        <f>F43-G43</f>
        <v>-35563.5</v>
      </c>
      <c r="I43" s="2215">
        <f>H43/G43</f>
        <v>-0.25415752499517608</v>
      </c>
      <c r="J43" s="2216"/>
    </row>
    <row r="44" spans="1:10" ht="15.75" thickBot="1">
      <c r="A44" s="2352"/>
      <c r="B44" s="2353"/>
      <c r="C44" s="2354"/>
      <c r="D44" s="2354"/>
      <c r="E44" s="2354"/>
      <c r="F44" s="2354"/>
      <c r="G44" s="2353"/>
      <c r="H44" s="2355"/>
      <c r="I44" s="2356"/>
      <c r="J44" s="2222"/>
    </row>
    <row r="45" spans="1:10" ht="16.5" thickTop="1" thickBot="1">
      <c r="A45" s="2357" t="s">
        <v>448</v>
      </c>
      <c r="B45" s="2358"/>
      <c r="C45" s="2358"/>
      <c r="D45" s="2359"/>
      <c r="E45" s="2359"/>
      <c r="F45" s="2360">
        <f>F27+F43</f>
        <v>212558</v>
      </c>
      <c r="G45" s="2361">
        <v>233776</v>
      </c>
      <c r="H45" s="2361">
        <f>H43+H27</f>
        <v>-21218</v>
      </c>
      <c r="I45" s="2228">
        <f>H45/G45</f>
        <v>-9.0762097050167675E-2</v>
      </c>
      <c r="J45" s="2075"/>
    </row>
    <row r="46" spans="1:10" ht="15.75" thickTop="1">
      <c r="A46" s="2362"/>
      <c r="B46" s="2363"/>
      <c r="C46" s="2363"/>
      <c r="D46" s="2364"/>
      <c r="E46" s="2364"/>
      <c r="F46" s="2364"/>
      <c r="G46" s="2364"/>
      <c r="H46" s="2364"/>
      <c r="I46" s="2232"/>
      <c r="J46" s="2075"/>
    </row>
    <row r="47" spans="1:10">
      <c r="A47" s="2233" t="s">
        <v>574</v>
      </c>
      <c r="B47" s="2366">
        <v>20</v>
      </c>
      <c r="C47" s="2235">
        <v>25864</v>
      </c>
      <c r="D47" s="2236">
        <v>24482</v>
      </c>
      <c r="E47" s="2237">
        <v>23155</v>
      </c>
      <c r="F47" s="2238">
        <f>(B47+C47+D47+E47)/3</f>
        <v>24507</v>
      </c>
      <c r="G47" s="2239">
        <v>11558</v>
      </c>
      <c r="H47" s="2240">
        <f>F47-G47</f>
        <v>12949</v>
      </c>
      <c r="I47" s="2241">
        <f>H47/G47</f>
        <v>1.1203495414431563</v>
      </c>
      <c r="J47" s="2071"/>
    </row>
    <row r="48" spans="1:10">
      <c r="A48" s="2367"/>
      <c r="B48" s="2363"/>
      <c r="C48" s="2363"/>
      <c r="D48" s="2364"/>
      <c r="E48" s="2364"/>
      <c r="F48" s="2364"/>
      <c r="G48" s="2364"/>
      <c r="H48" s="2368"/>
      <c r="I48" s="2232"/>
      <c r="J48" s="2071"/>
    </row>
    <row r="49" spans="1:10" ht="81.75" customHeight="1">
      <c r="A49" s="2774" t="s">
        <v>1871</v>
      </c>
      <c r="B49" s="2774"/>
      <c r="C49" s="2774"/>
      <c r="D49" s="2774"/>
      <c r="E49" s="2774"/>
      <c r="F49" s="2774"/>
      <c r="G49" s="2774"/>
      <c r="H49" s="2774"/>
      <c r="I49" s="2774"/>
      <c r="J49" s="2244"/>
    </row>
    <row r="50" spans="1:10" ht="42" customHeight="1">
      <c r="A50" s="2777" t="s">
        <v>1794</v>
      </c>
      <c r="B50" s="2777"/>
      <c r="C50" s="2777"/>
      <c r="D50" s="2777"/>
      <c r="E50" s="2777"/>
      <c r="F50" s="2777"/>
      <c r="G50" s="2777"/>
      <c r="H50" s="2777"/>
      <c r="I50" s="2777"/>
      <c r="J50" s="2777"/>
    </row>
    <row r="51" spans="1:10" ht="27.75" customHeight="1">
      <c r="A51" s="2775" t="s">
        <v>1681</v>
      </c>
      <c r="B51" s="2775"/>
      <c r="C51" s="2775"/>
      <c r="D51" s="2775"/>
      <c r="E51" s="2775"/>
      <c r="F51" s="2775"/>
      <c r="G51" s="2775"/>
      <c r="H51" s="2775"/>
      <c r="I51" s="2775"/>
      <c r="J51" s="2775"/>
    </row>
    <row r="52" spans="1:10" ht="30" customHeight="1">
      <c r="A52" s="2776" t="s">
        <v>1870</v>
      </c>
      <c r="B52" s="2775"/>
      <c r="C52" s="2775"/>
      <c r="D52" s="2775"/>
      <c r="E52" s="2775"/>
      <c r="F52" s="2775"/>
      <c r="G52" s="2775"/>
      <c r="H52" s="2775"/>
      <c r="I52" s="2775"/>
      <c r="J52" s="2775"/>
    </row>
    <row r="53" spans="1:10" ht="20.25" customHeight="1">
      <c r="A53" s="2777" t="s">
        <v>1796</v>
      </c>
      <c r="B53" s="2777"/>
      <c r="C53" s="2777"/>
      <c r="D53" s="2777"/>
      <c r="E53" s="2777"/>
      <c r="F53" s="2777"/>
      <c r="G53" s="2777"/>
      <c r="H53" s="2777"/>
      <c r="I53" s="2777"/>
      <c r="J53" s="2777"/>
    </row>
    <row r="54" spans="1:10" ht="22.5" customHeight="1">
      <c r="A54" s="2764" t="s">
        <v>1797</v>
      </c>
      <c r="B54" s="2764"/>
      <c r="C54" s="2764"/>
      <c r="D54" s="2764"/>
      <c r="E54" s="2764"/>
      <c r="F54" s="2764"/>
      <c r="G54" s="2764"/>
      <c r="H54" s="2764"/>
      <c r="I54" s="2764"/>
      <c r="J54" s="2764"/>
    </row>
  </sheetData>
  <mergeCells count="17">
    <mergeCell ref="A53:J53"/>
    <mergeCell ref="A54:J54"/>
    <mergeCell ref="A29:A31"/>
    <mergeCell ref="A49:I49"/>
    <mergeCell ref="H30:I30"/>
    <mergeCell ref="H29:I29"/>
    <mergeCell ref="B29:F29"/>
    <mergeCell ref="A50:J50"/>
    <mergeCell ref="A51:J51"/>
    <mergeCell ref="A52:J52"/>
    <mergeCell ref="A2:J2"/>
    <mergeCell ref="A3:J3"/>
    <mergeCell ref="A4:I4"/>
    <mergeCell ref="B6:F6"/>
    <mergeCell ref="G6:G7"/>
    <mergeCell ref="H6:I6"/>
    <mergeCell ref="H7:I7"/>
  </mergeCells>
  <pageMargins left="0.7" right="0.7" top="0.5" bottom="0.5" header="0.3" footer="0.3"/>
  <pageSetup scale="75"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C95FF-00D9-4542-96B1-24F0C1A799FE}">
  <sheetPr codeName="Sheet50"/>
  <dimension ref="A1:K55"/>
  <sheetViews>
    <sheetView showGridLines="0" zoomScale="90" zoomScaleNormal="90" workbookViewId="0">
      <selection activeCell="D10" sqref="D10"/>
    </sheetView>
  </sheetViews>
  <sheetFormatPr defaultColWidth="15.125" defaultRowHeight="12.75"/>
  <cols>
    <col min="1" max="1" width="28.5" style="2071" customWidth="1"/>
    <col min="2" max="2" width="9.625" style="2071" bestFit="1" customWidth="1"/>
    <col min="3" max="3" width="8" style="2071" customWidth="1"/>
    <col min="4" max="4" width="9.125" style="2071" bestFit="1" customWidth="1"/>
    <col min="5" max="5" width="9.25" style="2071" bestFit="1" customWidth="1"/>
    <col min="6" max="6" width="9.75" style="2071" bestFit="1" customWidth="1"/>
    <col min="7" max="8" width="9.125" style="2071" bestFit="1" customWidth="1"/>
    <col min="9" max="9" width="8.625" style="2071" bestFit="1" customWidth="1"/>
    <col min="10" max="10" width="4" style="2071" hidden="1" customWidth="1"/>
    <col min="11" max="11" width="7.625" style="2071" hidden="1" customWidth="1"/>
    <col min="12" max="256" width="15.125" style="2071"/>
    <col min="257" max="257" width="28.5" style="2071" customWidth="1"/>
    <col min="258" max="258" width="9.625" style="2071" bestFit="1" customWidth="1"/>
    <col min="259" max="259" width="8" style="2071" customWidth="1"/>
    <col min="260" max="260" width="9.125" style="2071" bestFit="1" customWidth="1"/>
    <col min="261" max="261" width="9.25" style="2071" bestFit="1" customWidth="1"/>
    <col min="262" max="262" width="9.75" style="2071" bestFit="1" customWidth="1"/>
    <col min="263" max="264" width="9.125" style="2071" bestFit="1" customWidth="1"/>
    <col min="265" max="265" width="8.625" style="2071" bestFit="1" customWidth="1"/>
    <col min="266" max="266" width="0" style="2071" hidden="1" customWidth="1"/>
    <col min="267" max="267" width="7.625" style="2071" bestFit="1" customWidth="1"/>
    <col min="268" max="512" width="15.125" style="2071"/>
    <col min="513" max="513" width="28.5" style="2071" customWidth="1"/>
    <col min="514" max="514" width="9.625" style="2071" bestFit="1" customWidth="1"/>
    <col min="515" max="515" width="8" style="2071" customWidth="1"/>
    <col min="516" max="516" width="9.125" style="2071" bestFit="1" customWidth="1"/>
    <col min="517" max="517" width="9.25" style="2071" bestFit="1" customWidth="1"/>
    <col min="518" max="518" width="9.75" style="2071" bestFit="1" customWidth="1"/>
    <col min="519" max="520" width="9.125" style="2071" bestFit="1" customWidth="1"/>
    <col min="521" max="521" width="8.625" style="2071" bestFit="1" customWidth="1"/>
    <col min="522" max="522" width="0" style="2071" hidden="1" customWidth="1"/>
    <col min="523" max="523" width="7.625" style="2071" bestFit="1" customWidth="1"/>
    <col min="524" max="768" width="15.125" style="2071"/>
    <col min="769" max="769" width="28.5" style="2071" customWidth="1"/>
    <col min="770" max="770" width="9.625" style="2071" bestFit="1" customWidth="1"/>
    <col min="771" max="771" width="8" style="2071" customWidth="1"/>
    <col min="772" max="772" width="9.125" style="2071" bestFit="1" customWidth="1"/>
    <col min="773" max="773" width="9.25" style="2071" bestFit="1" customWidth="1"/>
    <col min="774" max="774" width="9.75" style="2071" bestFit="1" customWidth="1"/>
    <col min="775" max="776" width="9.125" style="2071" bestFit="1" customWidth="1"/>
    <col min="777" max="777" width="8.625" style="2071" bestFit="1" customWidth="1"/>
    <col min="778" max="778" width="0" style="2071" hidden="1" customWidth="1"/>
    <col min="779" max="779" width="7.625" style="2071" bestFit="1" customWidth="1"/>
    <col min="780" max="1024" width="15.125" style="2071"/>
    <col min="1025" max="1025" width="28.5" style="2071" customWidth="1"/>
    <col min="1026" max="1026" width="9.625" style="2071" bestFit="1" customWidth="1"/>
    <col min="1027" max="1027" width="8" style="2071" customWidth="1"/>
    <col min="1028" max="1028" width="9.125" style="2071" bestFit="1" customWidth="1"/>
    <col min="1029" max="1029" width="9.25" style="2071" bestFit="1" customWidth="1"/>
    <col min="1030" max="1030" width="9.75" style="2071" bestFit="1" customWidth="1"/>
    <col min="1031" max="1032" width="9.125" style="2071" bestFit="1" customWidth="1"/>
    <col min="1033" max="1033" width="8.625" style="2071" bestFit="1" customWidth="1"/>
    <col min="1034" max="1034" width="0" style="2071" hidden="1" customWidth="1"/>
    <col min="1035" max="1035" width="7.625" style="2071" bestFit="1" customWidth="1"/>
    <col min="1036" max="1280" width="15.125" style="2071"/>
    <col min="1281" max="1281" width="28.5" style="2071" customWidth="1"/>
    <col min="1282" max="1282" width="9.625" style="2071" bestFit="1" customWidth="1"/>
    <col min="1283" max="1283" width="8" style="2071" customWidth="1"/>
    <col min="1284" max="1284" width="9.125" style="2071" bestFit="1" customWidth="1"/>
    <col min="1285" max="1285" width="9.25" style="2071" bestFit="1" customWidth="1"/>
    <col min="1286" max="1286" width="9.75" style="2071" bestFit="1" customWidth="1"/>
    <col min="1287" max="1288" width="9.125" style="2071" bestFit="1" customWidth="1"/>
    <col min="1289" max="1289" width="8.625" style="2071" bestFit="1" customWidth="1"/>
    <col min="1290" max="1290" width="0" style="2071" hidden="1" customWidth="1"/>
    <col min="1291" max="1291" width="7.625" style="2071" bestFit="1" customWidth="1"/>
    <col min="1292" max="1536" width="15.125" style="2071"/>
    <col min="1537" max="1537" width="28.5" style="2071" customWidth="1"/>
    <col min="1538" max="1538" width="9.625" style="2071" bestFit="1" customWidth="1"/>
    <col min="1539" max="1539" width="8" style="2071" customWidth="1"/>
    <col min="1540" max="1540" width="9.125" style="2071" bestFit="1" customWidth="1"/>
    <col min="1541" max="1541" width="9.25" style="2071" bestFit="1" customWidth="1"/>
    <col min="1542" max="1542" width="9.75" style="2071" bestFit="1" customWidth="1"/>
    <col min="1543" max="1544" width="9.125" style="2071" bestFit="1" customWidth="1"/>
    <col min="1545" max="1545" width="8.625" style="2071" bestFit="1" customWidth="1"/>
    <col min="1546" max="1546" width="0" style="2071" hidden="1" customWidth="1"/>
    <col min="1547" max="1547" width="7.625" style="2071" bestFit="1" customWidth="1"/>
    <col min="1548" max="1792" width="15.125" style="2071"/>
    <col min="1793" max="1793" width="28.5" style="2071" customWidth="1"/>
    <col min="1794" max="1794" width="9.625" style="2071" bestFit="1" customWidth="1"/>
    <col min="1795" max="1795" width="8" style="2071" customWidth="1"/>
    <col min="1796" max="1796" width="9.125" style="2071" bestFit="1" customWidth="1"/>
    <col min="1797" max="1797" width="9.25" style="2071" bestFit="1" customWidth="1"/>
    <col min="1798" max="1798" width="9.75" style="2071" bestFit="1" customWidth="1"/>
    <col min="1799" max="1800" width="9.125" style="2071" bestFit="1" customWidth="1"/>
    <col min="1801" max="1801" width="8.625" style="2071" bestFit="1" customWidth="1"/>
    <col min="1802" max="1802" width="0" style="2071" hidden="1" customWidth="1"/>
    <col min="1803" max="1803" width="7.625" style="2071" bestFit="1" customWidth="1"/>
    <col min="1804" max="2048" width="15.125" style="2071"/>
    <col min="2049" max="2049" width="28.5" style="2071" customWidth="1"/>
    <col min="2050" max="2050" width="9.625" style="2071" bestFit="1" customWidth="1"/>
    <col min="2051" max="2051" width="8" style="2071" customWidth="1"/>
    <col min="2052" max="2052" width="9.125" style="2071" bestFit="1" customWidth="1"/>
    <col min="2053" max="2053" width="9.25" style="2071" bestFit="1" customWidth="1"/>
    <col min="2054" max="2054" width="9.75" style="2071" bestFit="1" customWidth="1"/>
    <col min="2055" max="2056" width="9.125" style="2071" bestFit="1" customWidth="1"/>
    <col min="2057" max="2057" width="8.625" style="2071" bestFit="1" customWidth="1"/>
    <col min="2058" max="2058" width="0" style="2071" hidden="1" customWidth="1"/>
    <col min="2059" max="2059" width="7.625" style="2071" bestFit="1" customWidth="1"/>
    <col min="2060" max="2304" width="15.125" style="2071"/>
    <col min="2305" max="2305" width="28.5" style="2071" customWidth="1"/>
    <col min="2306" max="2306" width="9.625" style="2071" bestFit="1" customWidth="1"/>
    <col min="2307" max="2307" width="8" style="2071" customWidth="1"/>
    <col min="2308" max="2308" width="9.125" style="2071" bestFit="1" customWidth="1"/>
    <col min="2309" max="2309" width="9.25" style="2071" bestFit="1" customWidth="1"/>
    <col min="2310" max="2310" width="9.75" style="2071" bestFit="1" customWidth="1"/>
    <col min="2311" max="2312" width="9.125" style="2071" bestFit="1" customWidth="1"/>
    <col min="2313" max="2313" width="8.625" style="2071" bestFit="1" customWidth="1"/>
    <col min="2314" max="2314" width="0" style="2071" hidden="1" customWidth="1"/>
    <col min="2315" max="2315" width="7.625" style="2071" bestFit="1" customWidth="1"/>
    <col min="2316" max="2560" width="15.125" style="2071"/>
    <col min="2561" max="2561" width="28.5" style="2071" customWidth="1"/>
    <col min="2562" max="2562" width="9.625" style="2071" bestFit="1" customWidth="1"/>
    <col min="2563" max="2563" width="8" style="2071" customWidth="1"/>
    <col min="2564" max="2564" width="9.125" style="2071" bestFit="1" customWidth="1"/>
    <col min="2565" max="2565" width="9.25" style="2071" bestFit="1" customWidth="1"/>
    <col min="2566" max="2566" width="9.75" style="2071" bestFit="1" customWidth="1"/>
    <col min="2567" max="2568" width="9.125" style="2071" bestFit="1" customWidth="1"/>
    <col min="2569" max="2569" width="8.625" style="2071" bestFit="1" customWidth="1"/>
    <col min="2570" max="2570" width="0" style="2071" hidden="1" customWidth="1"/>
    <col min="2571" max="2571" width="7.625" style="2071" bestFit="1" customWidth="1"/>
    <col min="2572" max="2816" width="15.125" style="2071"/>
    <col min="2817" max="2817" width="28.5" style="2071" customWidth="1"/>
    <col min="2818" max="2818" width="9.625" style="2071" bestFit="1" customWidth="1"/>
    <col min="2819" max="2819" width="8" style="2071" customWidth="1"/>
    <col min="2820" max="2820" width="9.125" style="2071" bestFit="1" customWidth="1"/>
    <col min="2821" max="2821" width="9.25" style="2071" bestFit="1" customWidth="1"/>
    <col min="2822" max="2822" width="9.75" style="2071" bestFit="1" customWidth="1"/>
    <col min="2823" max="2824" width="9.125" style="2071" bestFit="1" customWidth="1"/>
    <col min="2825" max="2825" width="8.625" style="2071" bestFit="1" customWidth="1"/>
    <col min="2826" max="2826" width="0" style="2071" hidden="1" customWidth="1"/>
    <col min="2827" max="2827" width="7.625" style="2071" bestFit="1" customWidth="1"/>
    <col min="2828" max="3072" width="15.125" style="2071"/>
    <col min="3073" max="3073" width="28.5" style="2071" customWidth="1"/>
    <col min="3074" max="3074" width="9.625" style="2071" bestFit="1" customWidth="1"/>
    <col min="3075" max="3075" width="8" style="2071" customWidth="1"/>
    <col min="3076" max="3076" width="9.125" style="2071" bestFit="1" customWidth="1"/>
    <col min="3077" max="3077" width="9.25" style="2071" bestFit="1" customWidth="1"/>
    <col min="3078" max="3078" width="9.75" style="2071" bestFit="1" customWidth="1"/>
    <col min="3079" max="3080" width="9.125" style="2071" bestFit="1" customWidth="1"/>
    <col min="3081" max="3081" width="8.625" style="2071" bestFit="1" customWidth="1"/>
    <col min="3082" max="3082" width="0" style="2071" hidden="1" customWidth="1"/>
    <col min="3083" max="3083" width="7.625" style="2071" bestFit="1" customWidth="1"/>
    <col min="3084" max="3328" width="15.125" style="2071"/>
    <col min="3329" max="3329" width="28.5" style="2071" customWidth="1"/>
    <col min="3330" max="3330" width="9.625" style="2071" bestFit="1" customWidth="1"/>
    <col min="3331" max="3331" width="8" style="2071" customWidth="1"/>
    <col min="3332" max="3332" width="9.125" style="2071" bestFit="1" customWidth="1"/>
    <col min="3333" max="3333" width="9.25" style="2071" bestFit="1" customWidth="1"/>
    <col min="3334" max="3334" width="9.75" style="2071" bestFit="1" customWidth="1"/>
    <col min="3335" max="3336" width="9.125" style="2071" bestFit="1" customWidth="1"/>
    <col min="3337" max="3337" width="8.625" style="2071" bestFit="1" customWidth="1"/>
    <col min="3338" max="3338" width="0" style="2071" hidden="1" customWidth="1"/>
    <col min="3339" max="3339" width="7.625" style="2071" bestFit="1" customWidth="1"/>
    <col min="3340" max="3584" width="15.125" style="2071"/>
    <col min="3585" max="3585" width="28.5" style="2071" customWidth="1"/>
    <col min="3586" max="3586" width="9.625" style="2071" bestFit="1" customWidth="1"/>
    <col min="3587" max="3587" width="8" style="2071" customWidth="1"/>
    <col min="3588" max="3588" width="9.125" style="2071" bestFit="1" customWidth="1"/>
    <col min="3589" max="3589" width="9.25" style="2071" bestFit="1" customWidth="1"/>
    <col min="3590" max="3590" width="9.75" style="2071" bestFit="1" customWidth="1"/>
    <col min="3591" max="3592" width="9.125" style="2071" bestFit="1" customWidth="1"/>
    <col min="3593" max="3593" width="8.625" style="2071" bestFit="1" customWidth="1"/>
    <col min="3594" max="3594" width="0" style="2071" hidden="1" customWidth="1"/>
    <col min="3595" max="3595" width="7.625" style="2071" bestFit="1" customWidth="1"/>
    <col min="3596" max="3840" width="15.125" style="2071"/>
    <col min="3841" max="3841" width="28.5" style="2071" customWidth="1"/>
    <col min="3842" max="3842" width="9.625" style="2071" bestFit="1" customWidth="1"/>
    <col min="3843" max="3843" width="8" style="2071" customWidth="1"/>
    <col min="3844" max="3844" width="9.125" style="2071" bestFit="1" customWidth="1"/>
    <col min="3845" max="3845" width="9.25" style="2071" bestFit="1" customWidth="1"/>
    <col min="3846" max="3846" width="9.75" style="2071" bestFit="1" customWidth="1"/>
    <col min="3847" max="3848" width="9.125" style="2071" bestFit="1" customWidth="1"/>
    <col min="3849" max="3849" width="8.625" style="2071" bestFit="1" customWidth="1"/>
    <col min="3850" max="3850" width="0" style="2071" hidden="1" customWidth="1"/>
    <col min="3851" max="3851" width="7.625" style="2071" bestFit="1" customWidth="1"/>
    <col min="3852" max="4096" width="15.125" style="2071"/>
    <col min="4097" max="4097" width="28.5" style="2071" customWidth="1"/>
    <col min="4098" max="4098" width="9.625" style="2071" bestFit="1" customWidth="1"/>
    <col min="4099" max="4099" width="8" style="2071" customWidth="1"/>
    <col min="4100" max="4100" width="9.125" style="2071" bestFit="1" customWidth="1"/>
    <col min="4101" max="4101" width="9.25" style="2071" bestFit="1" customWidth="1"/>
    <col min="4102" max="4102" width="9.75" style="2071" bestFit="1" customWidth="1"/>
    <col min="4103" max="4104" width="9.125" style="2071" bestFit="1" customWidth="1"/>
    <col min="4105" max="4105" width="8.625" style="2071" bestFit="1" customWidth="1"/>
    <col min="4106" max="4106" width="0" style="2071" hidden="1" customWidth="1"/>
    <col min="4107" max="4107" width="7.625" style="2071" bestFit="1" customWidth="1"/>
    <col min="4108" max="4352" width="15.125" style="2071"/>
    <col min="4353" max="4353" width="28.5" style="2071" customWidth="1"/>
    <col min="4354" max="4354" width="9.625" style="2071" bestFit="1" customWidth="1"/>
    <col min="4355" max="4355" width="8" style="2071" customWidth="1"/>
    <col min="4356" max="4356" width="9.125" style="2071" bestFit="1" customWidth="1"/>
    <col min="4357" max="4357" width="9.25" style="2071" bestFit="1" customWidth="1"/>
    <col min="4358" max="4358" width="9.75" style="2071" bestFit="1" customWidth="1"/>
    <col min="4359" max="4360" width="9.125" style="2071" bestFit="1" customWidth="1"/>
    <col min="4361" max="4361" width="8.625" style="2071" bestFit="1" customWidth="1"/>
    <col min="4362" max="4362" width="0" style="2071" hidden="1" customWidth="1"/>
    <col min="4363" max="4363" width="7.625" style="2071" bestFit="1" customWidth="1"/>
    <col min="4364" max="4608" width="15.125" style="2071"/>
    <col min="4609" max="4609" width="28.5" style="2071" customWidth="1"/>
    <col min="4610" max="4610" width="9.625" style="2071" bestFit="1" customWidth="1"/>
    <col min="4611" max="4611" width="8" style="2071" customWidth="1"/>
    <col min="4612" max="4612" width="9.125" style="2071" bestFit="1" customWidth="1"/>
    <col min="4613" max="4613" width="9.25" style="2071" bestFit="1" customWidth="1"/>
    <col min="4614" max="4614" width="9.75" style="2071" bestFit="1" customWidth="1"/>
    <col min="4615" max="4616" width="9.125" style="2071" bestFit="1" customWidth="1"/>
    <col min="4617" max="4617" width="8.625" style="2071" bestFit="1" customWidth="1"/>
    <col min="4618" max="4618" width="0" style="2071" hidden="1" customWidth="1"/>
    <col min="4619" max="4619" width="7.625" style="2071" bestFit="1" customWidth="1"/>
    <col min="4620" max="4864" width="15.125" style="2071"/>
    <col min="4865" max="4865" width="28.5" style="2071" customWidth="1"/>
    <col min="4866" max="4866" width="9.625" style="2071" bestFit="1" customWidth="1"/>
    <col min="4867" max="4867" width="8" style="2071" customWidth="1"/>
    <col min="4868" max="4868" width="9.125" style="2071" bestFit="1" customWidth="1"/>
    <col min="4869" max="4869" width="9.25" style="2071" bestFit="1" customWidth="1"/>
    <col min="4870" max="4870" width="9.75" style="2071" bestFit="1" customWidth="1"/>
    <col min="4871" max="4872" width="9.125" style="2071" bestFit="1" customWidth="1"/>
    <col min="4873" max="4873" width="8.625" style="2071" bestFit="1" customWidth="1"/>
    <col min="4874" max="4874" width="0" style="2071" hidden="1" customWidth="1"/>
    <col min="4875" max="4875" width="7.625" style="2071" bestFit="1" customWidth="1"/>
    <col min="4876" max="5120" width="15.125" style="2071"/>
    <col min="5121" max="5121" width="28.5" style="2071" customWidth="1"/>
    <col min="5122" max="5122" width="9.625" style="2071" bestFit="1" customWidth="1"/>
    <col min="5123" max="5123" width="8" style="2071" customWidth="1"/>
    <col min="5124" max="5124" width="9.125" style="2071" bestFit="1" customWidth="1"/>
    <col min="5125" max="5125" width="9.25" style="2071" bestFit="1" customWidth="1"/>
    <col min="5126" max="5126" width="9.75" style="2071" bestFit="1" customWidth="1"/>
    <col min="5127" max="5128" width="9.125" style="2071" bestFit="1" customWidth="1"/>
    <col min="5129" max="5129" width="8.625" style="2071" bestFit="1" customWidth="1"/>
    <col min="5130" max="5130" width="0" style="2071" hidden="1" customWidth="1"/>
    <col min="5131" max="5131" width="7.625" style="2071" bestFit="1" customWidth="1"/>
    <col min="5132" max="5376" width="15.125" style="2071"/>
    <col min="5377" max="5377" width="28.5" style="2071" customWidth="1"/>
    <col min="5378" max="5378" width="9.625" style="2071" bestFit="1" customWidth="1"/>
    <col min="5379" max="5379" width="8" style="2071" customWidth="1"/>
    <col min="5380" max="5380" width="9.125" style="2071" bestFit="1" customWidth="1"/>
    <col min="5381" max="5381" width="9.25" style="2071" bestFit="1" customWidth="1"/>
    <col min="5382" max="5382" width="9.75" style="2071" bestFit="1" customWidth="1"/>
    <col min="5383" max="5384" width="9.125" style="2071" bestFit="1" customWidth="1"/>
    <col min="5385" max="5385" width="8.625" style="2071" bestFit="1" customWidth="1"/>
    <col min="5386" max="5386" width="0" style="2071" hidden="1" customWidth="1"/>
    <col min="5387" max="5387" width="7.625" style="2071" bestFit="1" customWidth="1"/>
    <col min="5388" max="5632" width="15.125" style="2071"/>
    <col min="5633" max="5633" width="28.5" style="2071" customWidth="1"/>
    <col min="5634" max="5634" width="9.625" style="2071" bestFit="1" customWidth="1"/>
    <col min="5635" max="5635" width="8" style="2071" customWidth="1"/>
    <col min="5636" max="5636" width="9.125" style="2071" bestFit="1" customWidth="1"/>
    <col min="5637" max="5637" width="9.25" style="2071" bestFit="1" customWidth="1"/>
    <col min="5638" max="5638" width="9.75" style="2071" bestFit="1" customWidth="1"/>
    <col min="5639" max="5640" width="9.125" style="2071" bestFit="1" customWidth="1"/>
    <col min="5641" max="5641" width="8.625" style="2071" bestFit="1" customWidth="1"/>
    <col min="5642" max="5642" width="0" style="2071" hidden="1" customWidth="1"/>
    <col min="5643" max="5643" width="7.625" style="2071" bestFit="1" customWidth="1"/>
    <col min="5644" max="5888" width="15.125" style="2071"/>
    <col min="5889" max="5889" width="28.5" style="2071" customWidth="1"/>
    <col min="5890" max="5890" width="9.625" style="2071" bestFit="1" customWidth="1"/>
    <col min="5891" max="5891" width="8" style="2071" customWidth="1"/>
    <col min="5892" max="5892" width="9.125" style="2071" bestFit="1" customWidth="1"/>
    <col min="5893" max="5893" width="9.25" style="2071" bestFit="1" customWidth="1"/>
    <col min="5894" max="5894" width="9.75" style="2071" bestFit="1" customWidth="1"/>
    <col min="5895" max="5896" width="9.125" style="2071" bestFit="1" customWidth="1"/>
    <col min="5897" max="5897" width="8.625" style="2071" bestFit="1" customWidth="1"/>
    <col min="5898" max="5898" width="0" style="2071" hidden="1" customWidth="1"/>
    <col min="5899" max="5899" width="7.625" style="2071" bestFit="1" customWidth="1"/>
    <col min="5900" max="6144" width="15.125" style="2071"/>
    <col min="6145" max="6145" width="28.5" style="2071" customWidth="1"/>
    <col min="6146" max="6146" width="9.625" style="2071" bestFit="1" customWidth="1"/>
    <col min="6147" max="6147" width="8" style="2071" customWidth="1"/>
    <col min="6148" max="6148" width="9.125" style="2071" bestFit="1" customWidth="1"/>
    <col min="6149" max="6149" width="9.25" style="2071" bestFit="1" customWidth="1"/>
    <col min="6150" max="6150" width="9.75" style="2071" bestFit="1" customWidth="1"/>
    <col min="6151" max="6152" width="9.125" style="2071" bestFit="1" customWidth="1"/>
    <col min="6153" max="6153" width="8.625" style="2071" bestFit="1" customWidth="1"/>
    <col min="6154" max="6154" width="0" style="2071" hidden="1" customWidth="1"/>
    <col min="6155" max="6155" width="7.625" style="2071" bestFit="1" customWidth="1"/>
    <col min="6156" max="6400" width="15.125" style="2071"/>
    <col min="6401" max="6401" width="28.5" style="2071" customWidth="1"/>
    <col min="6402" max="6402" width="9.625" style="2071" bestFit="1" customWidth="1"/>
    <col min="6403" max="6403" width="8" style="2071" customWidth="1"/>
    <col min="6404" max="6404" width="9.125" style="2071" bestFit="1" customWidth="1"/>
    <col min="6405" max="6405" width="9.25" style="2071" bestFit="1" customWidth="1"/>
    <col min="6406" max="6406" width="9.75" style="2071" bestFit="1" customWidth="1"/>
    <col min="6407" max="6408" width="9.125" style="2071" bestFit="1" customWidth="1"/>
    <col min="6409" max="6409" width="8.625" style="2071" bestFit="1" customWidth="1"/>
    <col min="6410" max="6410" width="0" style="2071" hidden="1" customWidth="1"/>
    <col min="6411" max="6411" width="7.625" style="2071" bestFit="1" customWidth="1"/>
    <col min="6412" max="6656" width="15.125" style="2071"/>
    <col min="6657" max="6657" width="28.5" style="2071" customWidth="1"/>
    <col min="6658" max="6658" width="9.625" style="2071" bestFit="1" customWidth="1"/>
    <col min="6659" max="6659" width="8" style="2071" customWidth="1"/>
    <col min="6660" max="6660" width="9.125" style="2071" bestFit="1" customWidth="1"/>
    <col min="6661" max="6661" width="9.25" style="2071" bestFit="1" customWidth="1"/>
    <col min="6662" max="6662" width="9.75" style="2071" bestFit="1" customWidth="1"/>
    <col min="6663" max="6664" width="9.125" style="2071" bestFit="1" customWidth="1"/>
    <col min="6665" max="6665" width="8.625" style="2071" bestFit="1" customWidth="1"/>
    <col min="6666" max="6666" width="0" style="2071" hidden="1" customWidth="1"/>
    <col min="6667" max="6667" width="7.625" style="2071" bestFit="1" customWidth="1"/>
    <col min="6668" max="6912" width="15.125" style="2071"/>
    <col min="6913" max="6913" width="28.5" style="2071" customWidth="1"/>
    <col min="6914" max="6914" width="9.625" style="2071" bestFit="1" customWidth="1"/>
    <col min="6915" max="6915" width="8" style="2071" customWidth="1"/>
    <col min="6916" max="6916" width="9.125" style="2071" bestFit="1" customWidth="1"/>
    <col min="6917" max="6917" width="9.25" style="2071" bestFit="1" customWidth="1"/>
    <col min="6918" max="6918" width="9.75" style="2071" bestFit="1" customWidth="1"/>
    <col min="6919" max="6920" width="9.125" style="2071" bestFit="1" customWidth="1"/>
    <col min="6921" max="6921" width="8.625" style="2071" bestFit="1" customWidth="1"/>
    <col min="6922" max="6922" width="0" style="2071" hidden="1" customWidth="1"/>
    <col min="6923" max="6923" width="7.625" style="2071" bestFit="1" customWidth="1"/>
    <col min="6924" max="7168" width="15.125" style="2071"/>
    <col min="7169" max="7169" width="28.5" style="2071" customWidth="1"/>
    <col min="7170" max="7170" width="9.625" style="2071" bestFit="1" customWidth="1"/>
    <col min="7171" max="7171" width="8" style="2071" customWidth="1"/>
    <col min="7172" max="7172" width="9.125" style="2071" bestFit="1" customWidth="1"/>
    <col min="7173" max="7173" width="9.25" style="2071" bestFit="1" customWidth="1"/>
    <col min="7174" max="7174" width="9.75" style="2071" bestFit="1" customWidth="1"/>
    <col min="7175" max="7176" width="9.125" style="2071" bestFit="1" customWidth="1"/>
    <col min="7177" max="7177" width="8.625" style="2071" bestFit="1" customWidth="1"/>
    <col min="7178" max="7178" width="0" style="2071" hidden="1" customWidth="1"/>
    <col min="7179" max="7179" width="7.625" style="2071" bestFit="1" customWidth="1"/>
    <col min="7180" max="7424" width="15.125" style="2071"/>
    <col min="7425" max="7425" width="28.5" style="2071" customWidth="1"/>
    <col min="7426" max="7426" width="9.625" style="2071" bestFit="1" customWidth="1"/>
    <col min="7427" max="7427" width="8" style="2071" customWidth="1"/>
    <col min="7428" max="7428" width="9.125" style="2071" bestFit="1" customWidth="1"/>
    <col min="7429" max="7429" width="9.25" style="2071" bestFit="1" customWidth="1"/>
    <col min="7430" max="7430" width="9.75" style="2071" bestFit="1" customWidth="1"/>
    <col min="7431" max="7432" width="9.125" style="2071" bestFit="1" customWidth="1"/>
    <col min="7433" max="7433" width="8.625" style="2071" bestFit="1" customWidth="1"/>
    <col min="7434" max="7434" width="0" style="2071" hidden="1" customWidth="1"/>
    <col min="7435" max="7435" width="7.625" style="2071" bestFit="1" customWidth="1"/>
    <col min="7436" max="7680" width="15.125" style="2071"/>
    <col min="7681" max="7681" width="28.5" style="2071" customWidth="1"/>
    <col min="7682" max="7682" width="9.625" style="2071" bestFit="1" customWidth="1"/>
    <col min="7683" max="7683" width="8" style="2071" customWidth="1"/>
    <col min="7684" max="7684" width="9.125" style="2071" bestFit="1" customWidth="1"/>
    <col min="7685" max="7685" width="9.25" style="2071" bestFit="1" customWidth="1"/>
    <col min="7686" max="7686" width="9.75" style="2071" bestFit="1" customWidth="1"/>
    <col min="7687" max="7688" width="9.125" style="2071" bestFit="1" customWidth="1"/>
    <col min="7689" max="7689" width="8.625" style="2071" bestFit="1" customWidth="1"/>
    <col min="7690" max="7690" width="0" style="2071" hidden="1" customWidth="1"/>
    <col min="7691" max="7691" width="7.625" style="2071" bestFit="1" customWidth="1"/>
    <col min="7692" max="7936" width="15.125" style="2071"/>
    <col min="7937" max="7937" width="28.5" style="2071" customWidth="1"/>
    <col min="7938" max="7938" width="9.625" style="2071" bestFit="1" customWidth="1"/>
    <col min="7939" max="7939" width="8" style="2071" customWidth="1"/>
    <col min="7940" max="7940" width="9.125" style="2071" bestFit="1" customWidth="1"/>
    <col min="7941" max="7941" width="9.25" style="2071" bestFit="1" customWidth="1"/>
    <col min="7942" max="7942" width="9.75" style="2071" bestFit="1" customWidth="1"/>
    <col min="7943" max="7944" width="9.125" style="2071" bestFit="1" customWidth="1"/>
    <col min="7945" max="7945" width="8.625" style="2071" bestFit="1" customWidth="1"/>
    <col min="7946" max="7946" width="0" style="2071" hidden="1" customWidth="1"/>
    <col min="7947" max="7947" width="7.625" style="2071" bestFit="1" customWidth="1"/>
    <col min="7948" max="8192" width="15.125" style="2071"/>
    <col min="8193" max="8193" width="28.5" style="2071" customWidth="1"/>
    <col min="8194" max="8194" width="9.625" style="2071" bestFit="1" customWidth="1"/>
    <col min="8195" max="8195" width="8" style="2071" customWidth="1"/>
    <col min="8196" max="8196" width="9.125" style="2071" bestFit="1" customWidth="1"/>
    <col min="8197" max="8197" width="9.25" style="2071" bestFit="1" customWidth="1"/>
    <col min="8198" max="8198" width="9.75" style="2071" bestFit="1" customWidth="1"/>
    <col min="8199" max="8200" width="9.125" style="2071" bestFit="1" customWidth="1"/>
    <col min="8201" max="8201" width="8.625" style="2071" bestFit="1" customWidth="1"/>
    <col min="8202" max="8202" width="0" style="2071" hidden="1" customWidth="1"/>
    <col min="8203" max="8203" width="7.625" style="2071" bestFit="1" customWidth="1"/>
    <col min="8204" max="8448" width="15.125" style="2071"/>
    <col min="8449" max="8449" width="28.5" style="2071" customWidth="1"/>
    <col min="8450" max="8450" width="9.625" style="2071" bestFit="1" customWidth="1"/>
    <col min="8451" max="8451" width="8" style="2071" customWidth="1"/>
    <col min="8452" max="8452" width="9.125" style="2071" bestFit="1" customWidth="1"/>
    <col min="8453" max="8453" width="9.25" style="2071" bestFit="1" customWidth="1"/>
    <col min="8454" max="8454" width="9.75" style="2071" bestFit="1" customWidth="1"/>
    <col min="8455" max="8456" width="9.125" style="2071" bestFit="1" customWidth="1"/>
    <col min="8457" max="8457" width="8.625" style="2071" bestFit="1" customWidth="1"/>
    <col min="8458" max="8458" width="0" style="2071" hidden="1" customWidth="1"/>
    <col min="8459" max="8459" width="7.625" style="2071" bestFit="1" customWidth="1"/>
    <col min="8460" max="8704" width="15.125" style="2071"/>
    <col min="8705" max="8705" width="28.5" style="2071" customWidth="1"/>
    <col min="8706" max="8706" width="9.625" style="2071" bestFit="1" customWidth="1"/>
    <col min="8707" max="8707" width="8" style="2071" customWidth="1"/>
    <col min="8708" max="8708" width="9.125" style="2071" bestFit="1" customWidth="1"/>
    <col min="8709" max="8709" width="9.25" style="2071" bestFit="1" customWidth="1"/>
    <col min="8710" max="8710" width="9.75" style="2071" bestFit="1" customWidth="1"/>
    <col min="8711" max="8712" width="9.125" style="2071" bestFit="1" customWidth="1"/>
    <col min="8713" max="8713" width="8.625" style="2071" bestFit="1" customWidth="1"/>
    <col min="8714" max="8714" width="0" style="2071" hidden="1" customWidth="1"/>
    <col min="8715" max="8715" width="7.625" style="2071" bestFit="1" customWidth="1"/>
    <col min="8716" max="8960" width="15.125" style="2071"/>
    <col min="8961" max="8961" width="28.5" style="2071" customWidth="1"/>
    <col min="8962" max="8962" width="9.625" style="2071" bestFit="1" customWidth="1"/>
    <col min="8963" max="8963" width="8" style="2071" customWidth="1"/>
    <col min="8964" max="8964" width="9.125" style="2071" bestFit="1" customWidth="1"/>
    <col min="8965" max="8965" width="9.25" style="2071" bestFit="1" customWidth="1"/>
    <col min="8966" max="8966" width="9.75" style="2071" bestFit="1" customWidth="1"/>
    <col min="8967" max="8968" width="9.125" style="2071" bestFit="1" customWidth="1"/>
    <col min="8969" max="8969" width="8.625" style="2071" bestFit="1" customWidth="1"/>
    <col min="8970" max="8970" width="0" style="2071" hidden="1" customWidth="1"/>
    <col min="8971" max="8971" width="7.625" style="2071" bestFit="1" customWidth="1"/>
    <col min="8972" max="9216" width="15.125" style="2071"/>
    <col min="9217" max="9217" width="28.5" style="2071" customWidth="1"/>
    <col min="9218" max="9218" width="9.625" style="2071" bestFit="1" customWidth="1"/>
    <col min="9219" max="9219" width="8" style="2071" customWidth="1"/>
    <col min="9220" max="9220" width="9.125" style="2071" bestFit="1" customWidth="1"/>
    <col min="9221" max="9221" width="9.25" style="2071" bestFit="1" customWidth="1"/>
    <col min="9222" max="9222" width="9.75" style="2071" bestFit="1" customWidth="1"/>
    <col min="9223" max="9224" width="9.125" style="2071" bestFit="1" customWidth="1"/>
    <col min="9225" max="9225" width="8.625" style="2071" bestFit="1" customWidth="1"/>
    <col min="9226" max="9226" width="0" style="2071" hidden="1" customWidth="1"/>
    <col min="9227" max="9227" width="7.625" style="2071" bestFit="1" customWidth="1"/>
    <col min="9228" max="9472" width="15.125" style="2071"/>
    <col min="9473" max="9473" width="28.5" style="2071" customWidth="1"/>
    <col min="9474" max="9474" width="9.625" style="2071" bestFit="1" customWidth="1"/>
    <col min="9475" max="9475" width="8" style="2071" customWidth="1"/>
    <col min="9476" max="9476" width="9.125" style="2071" bestFit="1" customWidth="1"/>
    <col min="9477" max="9477" width="9.25" style="2071" bestFit="1" customWidth="1"/>
    <col min="9478" max="9478" width="9.75" style="2071" bestFit="1" customWidth="1"/>
    <col min="9479" max="9480" width="9.125" style="2071" bestFit="1" customWidth="1"/>
    <col min="9481" max="9481" width="8.625" style="2071" bestFit="1" customWidth="1"/>
    <col min="9482" max="9482" width="0" style="2071" hidden="1" customWidth="1"/>
    <col min="9483" max="9483" width="7.625" style="2071" bestFit="1" customWidth="1"/>
    <col min="9484" max="9728" width="15.125" style="2071"/>
    <col min="9729" max="9729" width="28.5" style="2071" customWidth="1"/>
    <col min="9730" max="9730" width="9.625" style="2071" bestFit="1" customWidth="1"/>
    <col min="9731" max="9731" width="8" style="2071" customWidth="1"/>
    <col min="9732" max="9732" width="9.125" style="2071" bestFit="1" customWidth="1"/>
    <col min="9733" max="9733" width="9.25" style="2071" bestFit="1" customWidth="1"/>
    <col min="9734" max="9734" width="9.75" style="2071" bestFit="1" customWidth="1"/>
    <col min="9735" max="9736" width="9.125" style="2071" bestFit="1" customWidth="1"/>
    <col min="9737" max="9737" width="8.625" style="2071" bestFit="1" customWidth="1"/>
    <col min="9738" max="9738" width="0" style="2071" hidden="1" customWidth="1"/>
    <col min="9739" max="9739" width="7.625" style="2071" bestFit="1" customWidth="1"/>
    <col min="9740" max="9984" width="15.125" style="2071"/>
    <col min="9985" max="9985" width="28.5" style="2071" customWidth="1"/>
    <col min="9986" max="9986" width="9.625" style="2071" bestFit="1" customWidth="1"/>
    <col min="9987" max="9987" width="8" style="2071" customWidth="1"/>
    <col min="9988" max="9988" width="9.125" style="2071" bestFit="1" customWidth="1"/>
    <col min="9989" max="9989" width="9.25" style="2071" bestFit="1" customWidth="1"/>
    <col min="9990" max="9990" width="9.75" style="2071" bestFit="1" customWidth="1"/>
    <col min="9991" max="9992" width="9.125" style="2071" bestFit="1" customWidth="1"/>
    <col min="9993" max="9993" width="8.625" style="2071" bestFit="1" customWidth="1"/>
    <col min="9994" max="9994" width="0" style="2071" hidden="1" customWidth="1"/>
    <col min="9995" max="9995" width="7.625" style="2071" bestFit="1" customWidth="1"/>
    <col min="9996" max="10240" width="15.125" style="2071"/>
    <col min="10241" max="10241" width="28.5" style="2071" customWidth="1"/>
    <col min="10242" max="10242" width="9.625" style="2071" bestFit="1" customWidth="1"/>
    <col min="10243" max="10243" width="8" style="2071" customWidth="1"/>
    <col min="10244" max="10244" width="9.125" style="2071" bestFit="1" customWidth="1"/>
    <col min="10245" max="10245" width="9.25" style="2071" bestFit="1" customWidth="1"/>
    <col min="10246" max="10246" width="9.75" style="2071" bestFit="1" customWidth="1"/>
    <col min="10247" max="10248" width="9.125" style="2071" bestFit="1" customWidth="1"/>
    <col min="10249" max="10249" width="8.625" style="2071" bestFit="1" customWidth="1"/>
    <col min="10250" max="10250" width="0" style="2071" hidden="1" customWidth="1"/>
    <col min="10251" max="10251" width="7.625" style="2071" bestFit="1" customWidth="1"/>
    <col min="10252" max="10496" width="15.125" style="2071"/>
    <col min="10497" max="10497" width="28.5" style="2071" customWidth="1"/>
    <col min="10498" max="10498" width="9.625" style="2071" bestFit="1" customWidth="1"/>
    <col min="10499" max="10499" width="8" style="2071" customWidth="1"/>
    <col min="10500" max="10500" width="9.125" style="2071" bestFit="1" customWidth="1"/>
    <col min="10501" max="10501" width="9.25" style="2071" bestFit="1" customWidth="1"/>
    <col min="10502" max="10502" width="9.75" style="2071" bestFit="1" customWidth="1"/>
    <col min="10503" max="10504" width="9.125" style="2071" bestFit="1" customWidth="1"/>
    <col min="10505" max="10505" width="8.625" style="2071" bestFit="1" customWidth="1"/>
    <col min="10506" max="10506" width="0" style="2071" hidden="1" customWidth="1"/>
    <col min="10507" max="10507" width="7.625" style="2071" bestFit="1" customWidth="1"/>
    <col min="10508" max="10752" width="15.125" style="2071"/>
    <col min="10753" max="10753" width="28.5" style="2071" customWidth="1"/>
    <col min="10754" max="10754" width="9.625" style="2071" bestFit="1" customWidth="1"/>
    <col min="10755" max="10755" width="8" style="2071" customWidth="1"/>
    <col min="10756" max="10756" width="9.125" style="2071" bestFit="1" customWidth="1"/>
    <col min="10757" max="10757" width="9.25" style="2071" bestFit="1" customWidth="1"/>
    <col min="10758" max="10758" width="9.75" style="2071" bestFit="1" customWidth="1"/>
    <col min="10759" max="10760" width="9.125" style="2071" bestFit="1" customWidth="1"/>
    <col min="10761" max="10761" width="8.625" style="2071" bestFit="1" customWidth="1"/>
    <col min="10762" max="10762" width="0" style="2071" hidden="1" customWidth="1"/>
    <col min="10763" max="10763" width="7.625" style="2071" bestFit="1" customWidth="1"/>
    <col min="10764" max="11008" width="15.125" style="2071"/>
    <col min="11009" max="11009" width="28.5" style="2071" customWidth="1"/>
    <col min="11010" max="11010" width="9.625" style="2071" bestFit="1" customWidth="1"/>
    <col min="11011" max="11011" width="8" style="2071" customWidth="1"/>
    <col min="11012" max="11012" width="9.125" style="2071" bestFit="1" customWidth="1"/>
    <col min="11013" max="11013" width="9.25" style="2071" bestFit="1" customWidth="1"/>
    <col min="11014" max="11014" width="9.75" style="2071" bestFit="1" customWidth="1"/>
    <col min="11015" max="11016" width="9.125" style="2071" bestFit="1" customWidth="1"/>
    <col min="11017" max="11017" width="8.625" style="2071" bestFit="1" customWidth="1"/>
    <col min="11018" max="11018" width="0" style="2071" hidden="1" customWidth="1"/>
    <col min="11019" max="11019" width="7.625" style="2071" bestFit="1" customWidth="1"/>
    <col min="11020" max="11264" width="15.125" style="2071"/>
    <col min="11265" max="11265" width="28.5" style="2071" customWidth="1"/>
    <col min="11266" max="11266" width="9.625" style="2071" bestFit="1" customWidth="1"/>
    <col min="11267" max="11267" width="8" style="2071" customWidth="1"/>
    <col min="11268" max="11268" width="9.125" style="2071" bestFit="1" customWidth="1"/>
    <col min="11269" max="11269" width="9.25" style="2071" bestFit="1" customWidth="1"/>
    <col min="11270" max="11270" width="9.75" style="2071" bestFit="1" customWidth="1"/>
    <col min="11271" max="11272" width="9.125" style="2071" bestFit="1" customWidth="1"/>
    <col min="11273" max="11273" width="8.625" style="2071" bestFit="1" customWidth="1"/>
    <col min="11274" max="11274" width="0" style="2071" hidden="1" customWidth="1"/>
    <col min="11275" max="11275" width="7.625" style="2071" bestFit="1" customWidth="1"/>
    <col min="11276" max="11520" width="15.125" style="2071"/>
    <col min="11521" max="11521" width="28.5" style="2071" customWidth="1"/>
    <col min="11522" max="11522" width="9.625" style="2071" bestFit="1" customWidth="1"/>
    <col min="11523" max="11523" width="8" style="2071" customWidth="1"/>
    <col min="11524" max="11524" width="9.125" style="2071" bestFit="1" customWidth="1"/>
    <col min="11525" max="11525" width="9.25" style="2071" bestFit="1" customWidth="1"/>
    <col min="11526" max="11526" width="9.75" style="2071" bestFit="1" customWidth="1"/>
    <col min="11527" max="11528" width="9.125" style="2071" bestFit="1" customWidth="1"/>
    <col min="11529" max="11529" width="8.625" style="2071" bestFit="1" customWidth="1"/>
    <col min="11530" max="11530" width="0" style="2071" hidden="1" customWidth="1"/>
    <col min="11531" max="11531" width="7.625" style="2071" bestFit="1" customWidth="1"/>
    <col min="11532" max="11776" width="15.125" style="2071"/>
    <col min="11777" max="11777" width="28.5" style="2071" customWidth="1"/>
    <col min="11778" max="11778" width="9.625" style="2071" bestFit="1" customWidth="1"/>
    <col min="11779" max="11779" width="8" style="2071" customWidth="1"/>
    <col min="11780" max="11780" width="9.125" style="2071" bestFit="1" customWidth="1"/>
    <col min="11781" max="11781" width="9.25" style="2071" bestFit="1" customWidth="1"/>
    <col min="11782" max="11782" width="9.75" style="2071" bestFit="1" customWidth="1"/>
    <col min="11783" max="11784" width="9.125" style="2071" bestFit="1" customWidth="1"/>
    <col min="11785" max="11785" width="8.625" style="2071" bestFit="1" customWidth="1"/>
    <col min="11786" max="11786" width="0" style="2071" hidden="1" customWidth="1"/>
    <col min="11787" max="11787" width="7.625" style="2071" bestFit="1" customWidth="1"/>
    <col min="11788" max="12032" width="15.125" style="2071"/>
    <col min="12033" max="12033" width="28.5" style="2071" customWidth="1"/>
    <col min="12034" max="12034" width="9.625" style="2071" bestFit="1" customWidth="1"/>
    <col min="12035" max="12035" width="8" style="2071" customWidth="1"/>
    <col min="12036" max="12036" width="9.125" style="2071" bestFit="1" customWidth="1"/>
    <col min="12037" max="12037" width="9.25" style="2071" bestFit="1" customWidth="1"/>
    <col min="12038" max="12038" width="9.75" style="2071" bestFit="1" customWidth="1"/>
    <col min="12039" max="12040" width="9.125" style="2071" bestFit="1" customWidth="1"/>
    <col min="12041" max="12041" width="8.625" style="2071" bestFit="1" customWidth="1"/>
    <col min="12042" max="12042" width="0" style="2071" hidden="1" customWidth="1"/>
    <col min="12043" max="12043" width="7.625" style="2071" bestFit="1" customWidth="1"/>
    <col min="12044" max="12288" width="15.125" style="2071"/>
    <col min="12289" max="12289" width="28.5" style="2071" customWidth="1"/>
    <col min="12290" max="12290" width="9.625" style="2071" bestFit="1" customWidth="1"/>
    <col min="12291" max="12291" width="8" style="2071" customWidth="1"/>
    <col min="12292" max="12292" width="9.125" style="2071" bestFit="1" customWidth="1"/>
    <col min="12293" max="12293" width="9.25" style="2071" bestFit="1" customWidth="1"/>
    <col min="12294" max="12294" width="9.75" style="2071" bestFit="1" customWidth="1"/>
    <col min="12295" max="12296" width="9.125" style="2071" bestFit="1" customWidth="1"/>
    <col min="12297" max="12297" width="8.625" style="2071" bestFit="1" customWidth="1"/>
    <col min="12298" max="12298" width="0" style="2071" hidden="1" customWidth="1"/>
    <col min="12299" max="12299" width="7.625" style="2071" bestFit="1" customWidth="1"/>
    <col min="12300" max="12544" width="15.125" style="2071"/>
    <col min="12545" max="12545" width="28.5" style="2071" customWidth="1"/>
    <col min="12546" max="12546" width="9.625" style="2071" bestFit="1" customWidth="1"/>
    <col min="12547" max="12547" width="8" style="2071" customWidth="1"/>
    <col min="12548" max="12548" width="9.125" style="2071" bestFit="1" customWidth="1"/>
    <col min="12549" max="12549" width="9.25" style="2071" bestFit="1" customWidth="1"/>
    <col min="12550" max="12550" width="9.75" style="2071" bestFit="1" customWidth="1"/>
    <col min="12551" max="12552" width="9.125" style="2071" bestFit="1" customWidth="1"/>
    <col min="12553" max="12553" width="8.625" style="2071" bestFit="1" customWidth="1"/>
    <col min="12554" max="12554" width="0" style="2071" hidden="1" customWidth="1"/>
    <col min="12555" max="12555" width="7.625" style="2071" bestFit="1" customWidth="1"/>
    <col min="12556" max="12800" width="15.125" style="2071"/>
    <col min="12801" max="12801" width="28.5" style="2071" customWidth="1"/>
    <col min="12802" max="12802" width="9.625" style="2071" bestFit="1" customWidth="1"/>
    <col min="12803" max="12803" width="8" style="2071" customWidth="1"/>
    <col min="12804" max="12804" width="9.125" style="2071" bestFit="1" customWidth="1"/>
    <col min="12805" max="12805" width="9.25" style="2071" bestFit="1" customWidth="1"/>
    <col min="12806" max="12806" width="9.75" style="2071" bestFit="1" customWidth="1"/>
    <col min="12807" max="12808" width="9.125" style="2071" bestFit="1" customWidth="1"/>
    <col min="12809" max="12809" width="8.625" style="2071" bestFit="1" customWidth="1"/>
    <col min="12810" max="12810" width="0" style="2071" hidden="1" customWidth="1"/>
    <col min="12811" max="12811" width="7.625" style="2071" bestFit="1" customWidth="1"/>
    <col min="12812" max="13056" width="15.125" style="2071"/>
    <col min="13057" max="13057" width="28.5" style="2071" customWidth="1"/>
    <col min="13058" max="13058" width="9.625" style="2071" bestFit="1" customWidth="1"/>
    <col min="13059" max="13059" width="8" style="2071" customWidth="1"/>
    <col min="13060" max="13060" width="9.125" style="2071" bestFit="1" customWidth="1"/>
    <col min="13061" max="13061" width="9.25" style="2071" bestFit="1" customWidth="1"/>
    <col min="13062" max="13062" width="9.75" style="2071" bestFit="1" customWidth="1"/>
    <col min="13063" max="13064" width="9.125" style="2071" bestFit="1" customWidth="1"/>
    <col min="13065" max="13065" width="8.625" style="2071" bestFit="1" customWidth="1"/>
    <col min="13066" max="13066" width="0" style="2071" hidden="1" customWidth="1"/>
    <col min="13067" max="13067" width="7.625" style="2071" bestFit="1" customWidth="1"/>
    <col min="13068" max="13312" width="15.125" style="2071"/>
    <col min="13313" max="13313" width="28.5" style="2071" customWidth="1"/>
    <col min="13314" max="13314" width="9.625" style="2071" bestFit="1" customWidth="1"/>
    <col min="13315" max="13315" width="8" style="2071" customWidth="1"/>
    <col min="13316" max="13316" width="9.125" style="2071" bestFit="1" customWidth="1"/>
    <col min="13317" max="13317" width="9.25" style="2071" bestFit="1" customWidth="1"/>
    <col min="13318" max="13318" width="9.75" style="2071" bestFit="1" customWidth="1"/>
    <col min="13319" max="13320" width="9.125" style="2071" bestFit="1" customWidth="1"/>
    <col min="13321" max="13321" width="8.625" style="2071" bestFit="1" customWidth="1"/>
    <col min="13322" max="13322" width="0" style="2071" hidden="1" customWidth="1"/>
    <col min="13323" max="13323" width="7.625" style="2071" bestFit="1" customWidth="1"/>
    <col min="13324" max="13568" width="15.125" style="2071"/>
    <col min="13569" max="13569" width="28.5" style="2071" customWidth="1"/>
    <col min="13570" max="13570" width="9.625" style="2071" bestFit="1" customWidth="1"/>
    <col min="13571" max="13571" width="8" style="2071" customWidth="1"/>
    <col min="13572" max="13572" width="9.125" style="2071" bestFit="1" customWidth="1"/>
    <col min="13573" max="13573" width="9.25" style="2071" bestFit="1" customWidth="1"/>
    <col min="13574" max="13574" width="9.75" style="2071" bestFit="1" customWidth="1"/>
    <col min="13575" max="13576" width="9.125" style="2071" bestFit="1" customWidth="1"/>
    <col min="13577" max="13577" width="8.625" style="2071" bestFit="1" customWidth="1"/>
    <col min="13578" max="13578" width="0" style="2071" hidden="1" customWidth="1"/>
    <col min="13579" max="13579" width="7.625" style="2071" bestFit="1" customWidth="1"/>
    <col min="13580" max="13824" width="15.125" style="2071"/>
    <col min="13825" max="13825" width="28.5" style="2071" customWidth="1"/>
    <col min="13826" max="13826" width="9.625" style="2071" bestFit="1" customWidth="1"/>
    <col min="13827" max="13827" width="8" style="2071" customWidth="1"/>
    <col min="13828" max="13828" width="9.125" style="2071" bestFit="1" customWidth="1"/>
    <col min="13829" max="13829" width="9.25" style="2071" bestFit="1" customWidth="1"/>
    <col min="13830" max="13830" width="9.75" style="2071" bestFit="1" customWidth="1"/>
    <col min="13831" max="13832" width="9.125" style="2071" bestFit="1" customWidth="1"/>
    <col min="13833" max="13833" width="8.625" style="2071" bestFit="1" customWidth="1"/>
    <col min="13834" max="13834" width="0" style="2071" hidden="1" customWidth="1"/>
    <col min="13835" max="13835" width="7.625" style="2071" bestFit="1" customWidth="1"/>
    <col min="13836" max="14080" width="15.125" style="2071"/>
    <col min="14081" max="14081" width="28.5" style="2071" customWidth="1"/>
    <col min="14082" max="14082" width="9.625" style="2071" bestFit="1" customWidth="1"/>
    <col min="14083" max="14083" width="8" style="2071" customWidth="1"/>
    <col min="14084" max="14084" width="9.125" style="2071" bestFit="1" customWidth="1"/>
    <col min="14085" max="14085" width="9.25" style="2071" bestFit="1" customWidth="1"/>
    <col min="14086" max="14086" width="9.75" style="2071" bestFit="1" customWidth="1"/>
    <col min="14087" max="14088" width="9.125" style="2071" bestFit="1" customWidth="1"/>
    <col min="14089" max="14089" width="8.625" style="2071" bestFit="1" customWidth="1"/>
    <col min="14090" max="14090" width="0" style="2071" hidden="1" customWidth="1"/>
    <col min="14091" max="14091" width="7.625" style="2071" bestFit="1" customWidth="1"/>
    <col min="14092" max="14336" width="15.125" style="2071"/>
    <col min="14337" max="14337" width="28.5" style="2071" customWidth="1"/>
    <col min="14338" max="14338" width="9.625" style="2071" bestFit="1" customWidth="1"/>
    <col min="14339" max="14339" width="8" style="2071" customWidth="1"/>
    <col min="14340" max="14340" width="9.125" style="2071" bestFit="1" customWidth="1"/>
    <col min="14341" max="14341" width="9.25" style="2071" bestFit="1" customWidth="1"/>
    <col min="14342" max="14342" width="9.75" style="2071" bestFit="1" customWidth="1"/>
    <col min="14343" max="14344" width="9.125" style="2071" bestFit="1" customWidth="1"/>
    <col min="14345" max="14345" width="8.625" style="2071" bestFit="1" customWidth="1"/>
    <col min="14346" max="14346" width="0" style="2071" hidden="1" customWidth="1"/>
    <col min="14347" max="14347" width="7.625" style="2071" bestFit="1" customWidth="1"/>
    <col min="14348" max="14592" width="15.125" style="2071"/>
    <col min="14593" max="14593" width="28.5" style="2071" customWidth="1"/>
    <col min="14594" max="14594" width="9.625" style="2071" bestFit="1" customWidth="1"/>
    <col min="14595" max="14595" width="8" style="2071" customWidth="1"/>
    <col min="14596" max="14596" width="9.125" style="2071" bestFit="1" customWidth="1"/>
    <col min="14597" max="14597" width="9.25" style="2071" bestFit="1" customWidth="1"/>
    <col min="14598" max="14598" width="9.75" style="2071" bestFit="1" customWidth="1"/>
    <col min="14599" max="14600" width="9.125" style="2071" bestFit="1" customWidth="1"/>
    <col min="14601" max="14601" width="8.625" style="2071" bestFit="1" customWidth="1"/>
    <col min="14602" max="14602" width="0" style="2071" hidden="1" customWidth="1"/>
    <col min="14603" max="14603" width="7.625" style="2071" bestFit="1" customWidth="1"/>
    <col min="14604" max="14848" width="15.125" style="2071"/>
    <col min="14849" max="14849" width="28.5" style="2071" customWidth="1"/>
    <col min="14850" max="14850" width="9.625" style="2071" bestFit="1" customWidth="1"/>
    <col min="14851" max="14851" width="8" style="2071" customWidth="1"/>
    <col min="14852" max="14852" width="9.125" style="2071" bestFit="1" customWidth="1"/>
    <col min="14853" max="14853" width="9.25" style="2071" bestFit="1" customWidth="1"/>
    <col min="14854" max="14854" width="9.75" style="2071" bestFit="1" customWidth="1"/>
    <col min="14855" max="14856" width="9.125" style="2071" bestFit="1" customWidth="1"/>
    <col min="14857" max="14857" width="8.625" style="2071" bestFit="1" customWidth="1"/>
    <col min="14858" max="14858" width="0" style="2071" hidden="1" customWidth="1"/>
    <col min="14859" max="14859" width="7.625" style="2071" bestFit="1" customWidth="1"/>
    <col min="14860" max="15104" width="15.125" style="2071"/>
    <col min="15105" max="15105" width="28.5" style="2071" customWidth="1"/>
    <col min="15106" max="15106" width="9.625" style="2071" bestFit="1" customWidth="1"/>
    <col min="15107" max="15107" width="8" style="2071" customWidth="1"/>
    <col min="15108" max="15108" width="9.125" style="2071" bestFit="1" customWidth="1"/>
    <col min="15109" max="15109" width="9.25" style="2071" bestFit="1" customWidth="1"/>
    <col min="15110" max="15110" width="9.75" style="2071" bestFit="1" customWidth="1"/>
    <col min="15111" max="15112" width="9.125" style="2071" bestFit="1" customWidth="1"/>
    <col min="15113" max="15113" width="8.625" style="2071" bestFit="1" customWidth="1"/>
    <col min="15114" max="15114" width="0" style="2071" hidden="1" customWidth="1"/>
    <col min="15115" max="15115" width="7.625" style="2071" bestFit="1" customWidth="1"/>
    <col min="15116" max="15360" width="15.125" style="2071"/>
    <col min="15361" max="15361" width="28.5" style="2071" customWidth="1"/>
    <col min="15362" max="15362" width="9.625" style="2071" bestFit="1" customWidth="1"/>
    <col min="15363" max="15363" width="8" style="2071" customWidth="1"/>
    <col min="15364" max="15364" width="9.125" style="2071" bestFit="1" customWidth="1"/>
    <col min="15365" max="15365" width="9.25" style="2071" bestFit="1" customWidth="1"/>
    <col min="15366" max="15366" width="9.75" style="2071" bestFit="1" customWidth="1"/>
    <col min="15367" max="15368" width="9.125" style="2071" bestFit="1" customWidth="1"/>
    <col min="15369" max="15369" width="8.625" style="2071" bestFit="1" customWidth="1"/>
    <col min="15370" max="15370" width="0" style="2071" hidden="1" customWidth="1"/>
    <col min="15371" max="15371" width="7.625" style="2071" bestFit="1" customWidth="1"/>
    <col min="15372" max="15616" width="15.125" style="2071"/>
    <col min="15617" max="15617" width="28.5" style="2071" customWidth="1"/>
    <col min="15618" max="15618" width="9.625" style="2071" bestFit="1" customWidth="1"/>
    <col min="15619" max="15619" width="8" style="2071" customWidth="1"/>
    <col min="15620" max="15620" width="9.125" style="2071" bestFit="1" customWidth="1"/>
    <col min="15621" max="15621" width="9.25" style="2071" bestFit="1" customWidth="1"/>
    <col min="15622" max="15622" width="9.75" style="2071" bestFit="1" customWidth="1"/>
    <col min="15623" max="15624" width="9.125" style="2071" bestFit="1" customWidth="1"/>
    <col min="15625" max="15625" width="8.625" style="2071" bestFit="1" customWidth="1"/>
    <col min="15626" max="15626" width="0" style="2071" hidden="1" customWidth="1"/>
    <col min="15627" max="15627" width="7.625" style="2071" bestFit="1" customWidth="1"/>
    <col min="15628" max="15872" width="15.125" style="2071"/>
    <col min="15873" max="15873" width="28.5" style="2071" customWidth="1"/>
    <col min="15874" max="15874" width="9.625" style="2071" bestFit="1" customWidth="1"/>
    <col min="15875" max="15875" width="8" style="2071" customWidth="1"/>
    <col min="15876" max="15876" width="9.125" style="2071" bestFit="1" customWidth="1"/>
    <col min="15877" max="15877" width="9.25" style="2071" bestFit="1" customWidth="1"/>
    <col min="15878" max="15878" width="9.75" style="2071" bestFit="1" customWidth="1"/>
    <col min="15879" max="15880" width="9.125" style="2071" bestFit="1" customWidth="1"/>
    <col min="15881" max="15881" width="8.625" style="2071" bestFit="1" customWidth="1"/>
    <col min="15882" max="15882" width="0" style="2071" hidden="1" customWidth="1"/>
    <col min="15883" max="15883" width="7.625" style="2071" bestFit="1" customWidth="1"/>
    <col min="15884" max="16128" width="15.125" style="2071"/>
    <col min="16129" max="16129" width="28.5" style="2071" customWidth="1"/>
    <col min="16130" max="16130" width="9.625" style="2071" bestFit="1" customWidth="1"/>
    <col min="16131" max="16131" width="8" style="2071" customWidth="1"/>
    <col min="16132" max="16132" width="9.125" style="2071" bestFit="1" customWidth="1"/>
    <col min="16133" max="16133" width="9.25" style="2071" bestFit="1" customWidth="1"/>
    <col min="16134" max="16134" width="9.75" style="2071" bestFit="1" customWidth="1"/>
    <col min="16135" max="16136" width="9.125" style="2071" bestFit="1" customWidth="1"/>
    <col min="16137" max="16137" width="8.625" style="2071" bestFit="1" customWidth="1"/>
    <col min="16138" max="16138" width="0" style="2071" hidden="1" customWidth="1"/>
    <col min="16139" max="16139" width="7.625" style="2071" bestFit="1" customWidth="1"/>
    <col min="16140" max="16384" width="15.125" style="2071"/>
  </cols>
  <sheetData>
    <row r="1" spans="1:11" ht="41.45" customHeight="1"/>
    <row r="2" spans="1:11" s="2222" customFormat="1">
      <c r="A2" s="2786" t="s">
        <v>297</v>
      </c>
      <c r="B2" s="2786"/>
      <c r="C2" s="2786"/>
      <c r="D2" s="2786"/>
      <c r="E2" s="2786"/>
      <c r="F2" s="2786"/>
      <c r="G2" s="2786"/>
      <c r="H2" s="2786"/>
      <c r="I2" s="2786"/>
      <c r="J2" s="2786"/>
    </row>
    <row r="3" spans="1:11" s="2075" customFormat="1" ht="15.75">
      <c r="A3" s="2787" t="s">
        <v>1836</v>
      </c>
      <c r="B3" s="2787"/>
      <c r="C3" s="2787"/>
      <c r="D3" s="2787"/>
      <c r="E3" s="2787"/>
      <c r="F3" s="2787"/>
      <c r="G3" s="2787"/>
      <c r="H3" s="2787"/>
      <c r="I3" s="2787"/>
      <c r="J3" s="2787"/>
    </row>
    <row r="4" spans="1:11" s="2075" customFormat="1">
      <c r="A4" s="2787" t="s">
        <v>1950</v>
      </c>
      <c r="B4" s="2787"/>
      <c r="C4" s="2787"/>
      <c r="D4" s="2787"/>
      <c r="E4" s="2787"/>
      <c r="F4" s="2787"/>
      <c r="G4" s="2787"/>
      <c r="H4" s="2787"/>
      <c r="I4" s="2787"/>
      <c r="J4" s="2409"/>
      <c r="K4" s="2409"/>
    </row>
    <row r="5" spans="1:11" s="2075" customFormat="1">
      <c r="A5" s="2500" t="s">
        <v>1988</v>
      </c>
      <c r="B5" s="2500"/>
      <c r="C5" s="2247"/>
      <c r="D5" s="2247"/>
      <c r="E5" s="2247"/>
      <c r="F5" s="2247"/>
      <c r="G5" s="2247"/>
      <c r="I5" s="2247"/>
    </row>
    <row r="6" spans="1:11" s="2222" customFormat="1" ht="16.5" customHeight="1">
      <c r="A6" s="2248"/>
      <c r="B6" s="2788" t="s">
        <v>300</v>
      </c>
      <c r="C6" s="2789"/>
      <c r="D6" s="2789"/>
      <c r="E6" s="2789"/>
      <c r="F6" s="2790"/>
      <c r="G6" s="2791" t="s">
        <v>1790</v>
      </c>
      <c r="H6" s="2805" t="s">
        <v>464</v>
      </c>
      <c r="I6" s="2806"/>
      <c r="J6" s="2249" t="s">
        <v>1791</v>
      </c>
      <c r="K6" s="2249" t="s">
        <v>1949</v>
      </c>
    </row>
    <row r="7" spans="1:11" s="2222" customFormat="1" ht="15" customHeight="1">
      <c r="A7" s="2250" t="s">
        <v>485</v>
      </c>
      <c r="B7" s="2251" t="s">
        <v>1948</v>
      </c>
      <c r="C7" s="2251" t="s">
        <v>1947</v>
      </c>
      <c r="D7" s="2251" t="s">
        <v>1946</v>
      </c>
      <c r="E7" s="2251" t="s">
        <v>1945</v>
      </c>
      <c r="F7" s="2252" t="s">
        <v>465</v>
      </c>
      <c r="G7" s="2792"/>
      <c r="H7" s="2794"/>
      <c r="I7" s="2795"/>
      <c r="J7" s="2253" t="s">
        <v>1792</v>
      </c>
      <c r="K7" s="2253" t="s">
        <v>1792</v>
      </c>
    </row>
    <row r="8" spans="1:11" s="2222" customFormat="1" ht="15.75" customHeight="1" thickBot="1">
      <c r="A8" s="2254" t="s">
        <v>310</v>
      </c>
      <c r="B8" s="2251" t="s">
        <v>311</v>
      </c>
      <c r="C8" s="2255" t="s">
        <v>484</v>
      </c>
      <c r="D8" s="2256" t="s">
        <v>311</v>
      </c>
      <c r="E8" s="2255" t="s">
        <v>483</v>
      </c>
      <c r="F8" s="2256" t="s">
        <v>1944</v>
      </c>
      <c r="G8" s="2257" t="s">
        <v>1839</v>
      </c>
      <c r="H8" s="2258" t="s">
        <v>315</v>
      </c>
      <c r="I8" s="2259" t="s">
        <v>316</v>
      </c>
      <c r="J8" s="2260" t="s">
        <v>505</v>
      </c>
      <c r="K8" s="2256" t="s">
        <v>1839</v>
      </c>
    </row>
    <row r="9" spans="1:11" s="2222" customFormat="1" ht="13.5" thickTop="1">
      <c r="A9" s="2261" t="s">
        <v>2</v>
      </c>
      <c r="B9" s="2445"/>
      <c r="C9" s="2262">
        <f>C10+C11+C12</f>
        <v>51045</v>
      </c>
      <c r="D9" s="2497">
        <f>D10+D11+D12</f>
        <v>49780</v>
      </c>
      <c r="E9" s="2497">
        <f>E10+E11+E12</f>
        <v>46196</v>
      </c>
      <c r="F9" s="2498">
        <f>F10+F11+F12</f>
        <v>49007</v>
      </c>
      <c r="G9" s="2264">
        <v>37162</v>
      </c>
      <c r="H9" s="2095">
        <f t="shared" ref="H9:H17" si="0">F9-G9</f>
        <v>11845</v>
      </c>
      <c r="I9" s="2096">
        <f t="shared" ref="I9:I17" si="1">H9/G9</f>
        <v>0.31873957268177172</v>
      </c>
      <c r="J9" s="2265"/>
      <c r="K9" s="2265"/>
    </row>
    <row r="10" spans="1:11" s="2419" customFormat="1">
      <c r="A10" s="2266" t="s">
        <v>1159</v>
      </c>
      <c r="B10" s="2286"/>
      <c r="C10" s="2267">
        <v>41455</v>
      </c>
      <c r="D10" s="2496">
        <v>40701</v>
      </c>
      <c r="E10" s="2496">
        <v>37829</v>
      </c>
      <c r="F10" s="2499">
        <f>(C10+D10+E10)/3</f>
        <v>39995</v>
      </c>
      <c r="G10" s="2103">
        <v>32703</v>
      </c>
      <c r="H10" s="2104">
        <f t="shared" si="0"/>
        <v>7292</v>
      </c>
      <c r="I10" s="2105">
        <f t="shared" si="1"/>
        <v>0.22297648533773659</v>
      </c>
      <c r="J10" s="2270"/>
      <c r="K10" s="2270"/>
    </row>
    <row r="11" spans="1:11" s="2419" customFormat="1">
      <c r="A11" s="2266" t="s">
        <v>479</v>
      </c>
      <c r="B11" s="2286"/>
      <c r="C11" s="2267">
        <v>5124</v>
      </c>
      <c r="D11" s="2268">
        <v>4893</v>
      </c>
      <c r="E11" s="2268">
        <v>4527</v>
      </c>
      <c r="F11" s="2269">
        <f>(C11+D11+E11)/3</f>
        <v>4848</v>
      </c>
      <c r="G11" s="2103">
        <v>2045</v>
      </c>
      <c r="H11" s="2104">
        <f t="shared" si="0"/>
        <v>2803</v>
      </c>
      <c r="I11" s="2105">
        <f t="shared" si="1"/>
        <v>1.3706601466992665</v>
      </c>
      <c r="J11" s="2270"/>
      <c r="K11" s="2270"/>
    </row>
    <row r="12" spans="1:11" s="2419" customFormat="1">
      <c r="A12" s="2266" t="s">
        <v>478</v>
      </c>
      <c r="B12" s="2286"/>
      <c r="C12" s="2267">
        <v>4466</v>
      </c>
      <c r="D12" s="2268">
        <v>4186</v>
      </c>
      <c r="E12" s="2268">
        <v>3840</v>
      </c>
      <c r="F12" s="2269">
        <f>(C12+D12+E12)/3</f>
        <v>4164</v>
      </c>
      <c r="G12" s="2103">
        <v>2414</v>
      </c>
      <c r="H12" s="2104">
        <f t="shared" si="0"/>
        <v>1750</v>
      </c>
      <c r="I12" s="2105">
        <f t="shared" si="1"/>
        <v>0.72493786246893122</v>
      </c>
      <c r="J12" s="2270"/>
      <c r="K12" s="2270"/>
    </row>
    <row r="13" spans="1:11" s="2222" customFormat="1">
      <c r="A13" s="2271" t="s">
        <v>590</v>
      </c>
      <c r="B13" s="2440"/>
      <c r="C13" s="2272">
        <f>C14+C15+C16+C17</f>
        <v>26204</v>
      </c>
      <c r="D13" s="2300">
        <f>D14+D15+D16+D17</f>
        <v>250</v>
      </c>
      <c r="E13" s="2273">
        <f>E14+E15+E16+E17</f>
        <v>23709</v>
      </c>
      <c r="F13" s="2274">
        <f>F14+F15+F16+F17+F22</f>
        <v>25407.833333333336</v>
      </c>
      <c r="G13" s="2113">
        <v>22538</v>
      </c>
      <c r="H13" s="2114">
        <f t="shared" si="0"/>
        <v>2869.8333333333358</v>
      </c>
      <c r="I13" s="2115">
        <f t="shared" si="1"/>
        <v>0.12733309669595064</v>
      </c>
      <c r="J13" s="2275"/>
      <c r="K13" s="2275"/>
    </row>
    <row r="14" spans="1:11" s="2419" customFormat="1">
      <c r="A14" s="2277" t="s">
        <v>589</v>
      </c>
      <c r="B14" s="2286"/>
      <c r="C14" s="2267">
        <v>22240</v>
      </c>
      <c r="D14" s="2289"/>
      <c r="E14" s="2268">
        <v>20225</v>
      </c>
      <c r="F14" s="2278">
        <f>(C14+E14)/2</f>
        <v>21232.5</v>
      </c>
      <c r="G14" s="2120">
        <v>19250</v>
      </c>
      <c r="H14" s="2279">
        <f t="shared" si="0"/>
        <v>1982.5</v>
      </c>
      <c r="I14" s="2122">
        <f t="shared" si="1"/>
        <v>0.10298701298701299</v>
      </c>
      <c r="J14" s="2280"/>
      <c r="K14" s="2280"/>
    </row>
    <row r="15" spans="1:11" s="2419" customFormat="1">
      <c r="A15" s="2266" t="s">
        <v>474</v>
      </c>
      <c r="B15" s="2286"/>
      <c r="C15" s="2267">
        <v>1169</v>
      </c>
      <c r="D15" s="2289"/>
      <c r="E15" s="2268">
        <v>1050</v>
      </c>
      <c r="F15" s="2278">
        <f>(C15+E15)/2</f>
        <v>1109.5</v>
      </c>
      <c r="G15" s="2120">
        <v>865</v>
      </c>
      <c r="H15" s="2279">
        <f t="shared" si="0"/>
        <v>244.5</v>
      </c>
      <c r="I15" s="2122">
        <f t="shared" si="1"/>
        <v>0.28265895953757225</v>
      </c>
      <c r="J15" s="2280"/>
      <c r="K15" s="2280"/>
    </row>
    <row r="16" spans="1:11" s="2419" customFormat="1">
      <c r="A16" s="2277" t="s">
        <v>473</v>
      </c>
      <c r="B16" s="2286"/>
      <c r="C16" s="2267">
        <v>2546</v>
      </c>
      <c r="D16" s="2289"/>
      <c r="E16" s="2268">
        <v>2241</v>
      </c>
      <c r="F16" s="2278">
        <f>(C16+E16)/2</f>
        <v>2393.5</v>
      </c>
      <c r="G16" s="2120">
        <v>2113</v>
      </c>
      <c r="H16" s="2279">
        <f t="shared" si="0"/>
        <v>280.5</v>
      </c>
      <c r="I16" s="2122">
        <f t="shared" si="1"/>
        <v>0.13274964505442499</v>
      </c>
      <c r="J16" s="2280"/>
      <c r="K16" s="2280"/>
    </row>
    <row r="17" spans="1:11" s="2222" customFormat="1" ht="15.75">
      <c r="A17" s="2277" t="s">
        <v>1606</v>
      </c>
      <c r="B17" s="2281">
        <f>B18+B19+B20+B21</f>
        <v>108</v>
      </c>
      <c r="C17" s="2281">
        <f>C18+C19+C20+C21</f>
        <v>249</v>
      </c>
      <c r="D17" s="2282">
        <f>D18+D19+D20+D21</f>
        <v>250</v>
      </c>
      <c r="E17" s="2282">
        <f>E18+E19+E21+E20</f>
        <v>193</v>
      </c>
      <c r="F17" s="2124">
        <f>F18+F19+F20+F21</f>
        <v>266.66666666666669</v>
      </c>
      <c r="G17" s="2283">
        <v>310</v>
      </c>
      <c r="H17" s="2444">
        <f t="shared" si="0"/>
        <v>-43.333333333333314</v>
      </c>
      <c r="I17" s="2443">
        <f t="shared" si="1"/>
        <v>-0.13978494623655907</v>
      </c>
      <c r="J17" s="2130"/>
      <c r="K17" s="2200"/>
    </row>
    <row r="18" spans="1:11" s="2419" customFormat="1">
      <c r="A18" s="2285" t="s">
        <v>93</v>
      </c>
      <c r="B18" s="2286">
        <v>0</v>
      </c>
      <c r="C18" s="2287">
        <v>0</v>
      </c>
      <c r="D18" s="2288">
        <v>0</v>
      </c>
      <c r="E18" s="2289">
        <v>0</v>
      </c>
      <c r="F18" s="2135">
        <f>(B18+C18+D18+E18)/3</f>
        <v>0</v>
      </c>
      <c r="G18" s="2290"/>
      <c r="H18" s="2137"/>
      <c r="I18" s="2138"/>
      <c r="J18" s="2139"/>
      <c r="K18" s="2206"/>
    </row>
    <row r="19" spans="1:11" s="2419" customFormat="1">
      <c r="A19" s="2285" t="s">
        <v>96</v>
      </c>
      <c r="B19" s="2291">
        <v>0</v>
      </c>
      <c r="C19" s="2442">
        <v>0</v>
      </c>
      <c r="D19" s="2288">
        <v>0</v>
      </c>
      <c r="E19" s="2289">
        <v>0</v>
      </c>
      <c r="F19" s="2135">
        <v>0</v>
      </c>
      <c r="G19" s="2290"/>
      <c r="H19" s="2137"/>
      <c r="I19" s="2138"/>
      <c r="J19" s="2139"/>
      <c r="K19" s="2206"/>
    </row>
    <row r="20" spans="1:11" s="2419" customFormat="1">
      <c r="A20" s="2285" t="s">
        <v>98</v>
      </c>
      <c r="B20" s="2291">
        <v>85</v>
      </c>
      <c r="C20" s="2292">
        <v>235</v>
      </c>
      <c r="D20" s="2288">
        <v>237</v>
      </c>
      <c r="E20" s="2289">
        <v>170</v>
      </c>
      <c r="F20" s="2135">
        <f>(B20+C20+D20+E20)/3</f>
        <v>242.33333333333334</v>
      </c>
      <c r="G20" s="2290"/>
      <c r="H20" s="2137"/>
      <c r="I20" s="2138"/>
      <c r="J20" s="2139"/>
      <c r="K20" s="2206"/>
    </row>
    <row r="21" spans="1:11" s="2419" customFormat="1">
      <c r="A21" s="2293" t="s">
        <v>1150</v>
      </c>
      <c r="B21" s="2294">
        <v>23</v>
      </c>
      <c r="C21" s="2292">
        <v>14</v>
      </c>
      <c r="D21" s="2288">
        <v>13</v>
      </c>
      <c r="E21" s="2289">
        <v>23</v>
      </c>
      <c r="F21" s="2144">
        <f>(B21+C21+D21+E21)/3</f>
        <v>24.333333333333332</v>
      </c>
      <c r="G21" s="2295">
        <v>25</v>
      </c>
      <c r="H21" s="2144">
        <f>F21-G21</f>
        <v>-0.66666666666666785</v>
      </c>
      <c r="I21" s="2441">
        <f>H21/G21</f>
        <v>-2.6666666666666713E-2</v>
      </c>
      <c r="J21" s="2139"/>
      <c r="K21" s="2206"/>
    </row>
    <row r="22" spans="1:11" s="2419" customFormat="1">
      <c r="A22" s="2296" t="s">
        <v>1837</v>
      </c>
      <c r="B22" s="2294">
        <v>54</v>
      </c>
      <c r="C22" s="2412">
        <v>413</v>
      </c>
      <c r="D22" s="2299">
        <v>399</v>
      </c>
      <c r="E22" s="2438">
        <v>351</v>
      </c>
      <c r="F22" s="2206">
        <f>SUM(B22:E22)/3</f>
        <v>405.66666666666669</v>
      </c>
      <c r="G22" s="2295"/>
      <c r="H22" s="2301"/>
      <c r="I22" s="2147"/>
      <c r="J22" s="2139"/>
      <c r="K22" s="2206"/>
    </row>
    <row r="23" spans="1:11" s="2222" customFormat="1">
      <c r="A23" s="2302" t="s">
        <v>5</v>
      </c>
      <c r="B23" s="2440"/>
      <c r="C23" s="2298">
        <v>9421</v>
      </c>
      <c r="D23" s="2304">
        <v>8705</v>
      </c>
      <c r="E23" s="2438">
        <v>8141</v>
      </c>
      <c r="F23" s="2305">
        <f>SUM(C23+D23+E23)/3</f>
        <v>8755.6666666666661</v>
      </c>
      <c r="G23" s="2306">
        <v>9105</v>
      </c>
      <c r="H23" s="2284">
        <f>F23-G23</f>
        <v>-349.33333333333394</v>
      </c>
      <c r="I23" s="2129">
        <f>H23/G23</f>
        <v>-3.8367197510525419E-2</v>
      </c>
      <c r="J23" s="2307"/>
      <c r="K23" s="2307"/>
    </row>
    <row r="24" spans="1:11" s="2222" customFormat="1">
      <c r="A24" s="2302" t="s">
        <v>4</v>
      </c>
      <c r="B24" s="2308"/>
      <c r="C24" s="2303">
        <v>8034</v>
      </c>
      <c r="D24" s="2304">
        <v>6641</v>
      </c>
      <c r="E24" s="2438">
        <v>6910</v>
      </c>
      <c r="F24" s="2305">
        <f>SUM(C24+D24+E24)/3</f>
        <v>7195</v>
      </c>
      <c r="G24" s="2306">
        <v>8734</v>
      </c>
      <c r="H24" s="2284">
        <f>F24-G24</f>
        <v>-1539</v>
      </c>
      <c r="I24" s="2129">
        <f>H24/G24</f>
        <v>-0.17620792305930846</v>
      </c>
      <c r="J24" s="2305"/>
      <c r="K24" s="2305"/>
    </row>
    <row r="25" spans="1:11" s="2222" customFormat="1">
      <c r="A25" s="2302" t="s">
        <v>6</v>
      </c>
      <c r="B25" s="2308"/>
      <c r="C25" s="2303">
        <v>1170</v>
      </c>
      <c r="D25" s="2304">
        <v>1722</v>
      </c>
      <c r="E25" s="2438">
        <v>2362</v>
      </c>
      <c r="F25" s="2309">
        <f>(C25+D25+E25)/3</f>
        <v>1751.3333333333333</v>
      </c>
      <c r="G25" s="2306">
        <v>4213</v>
      </c>
      <c r="H25" s="2284">
        <f>F25-G25</f>
        <v>-2461.666666666667</v>
      </c>
      <c r="I25" s="2129">
        <f>H25/G25</f>
        <v>-0.58430255558192901</v>
      </c>
      <c r="J25" s="2305"/>
      <c r="K25" s="2305"/>
    </row>
    <row r="26" spans="1:11" s="2222" customFormat="1" ht="13.5" thickBot="1">
      <c r="A26" s="2271" t="s">
        <v>7</v>
      </c>
      <c r="B26" s="2440"/>
      <c r="C26" s="2439">
        <v>13197</v>
      </c>
      <c r="D26" s="2304">
        <v>11997</v>
      </c>
      <c r="E26" s="2438">
        <v>11081</v>
      </c>
      <c r="F26" s="2309">
        <f>SUM(C26+D26+E26)/3</f>
        <v>12091.666666666666</v>
      </c>
      <c r="G26" s="2310">
        <v>11762</v>
      </c>
      <c r="H26" s="2284">
        <f>F26-G26</f>
        <v>329.66666666666606</v>
      </c>
      <c r="I26" s="2129">
        <f>H26/G26</f>
        <v>2.8028113132687132E-2</v>
      </c>
      <c r="J26" s="2311"/>
      <c r="K26" s="2311"/>
    </row>
    <row r="27" spans="1:11" s="2222" customFormat="1" ht="13.5" thickTop="1">
      <c r="A27" s="2312" t="s">
        <v>472</v>
      </c>
      <c r="B27" s="2437"/>
      <c r="C27" s="2437">
        <f>C9+C13+C22+C23+C24+C25+C26</f>
        <v>109484</v>
      </c>
      <c r="D27" s="2437">
        <f>D9+D13+D22+ D23+D24+D25+D26</f>
        <v>79494</v>
      </c>
      <c r="E27" s="2437">
        <f>E9+E13+E22+E23+E24+E25+E26</f>
        <v>98750</v>
      </c>
      <c r="F27" s="2313">
        <f>F9+F13+F23+F24+F25+F26</f>
        <v>104208.50000000001</v>
      </c>
      <c r="G27" s="2314">
        <v>93849</v>
      </c>
      <c r="H27" s="2313">
        <f>F27-G27</f>
        <v>10359.500000000015</v>
      </c>
      <c r="I27" s="2315">
        <f>H27/G27</f>
        <v>0.11038476701936105</v>
      </c>
      <c r="J27" s="2316"/>
      <c r="K27" s="2316"/>
    </row>
    <row r="28" spans="1:11" s="2222" customFormat="1">
      <c r="A28" s="2317"/>
      <c r="B28" s="2436"/>
      <c r="C28" s="2436"/>
      <c r="D28" s="2436"/>
      <c r="E28" s="2436"/>
      <c r="F28" s="2318"/>
      <c r="G28" s="2318"/>
      <c r="H28" s="2318"/>
      <c r="I28" s="2166"/>
      <c r="J28" s="2318"/>
      <c r="K28" s="2318"/>
    </row>
    <row r="29" spans="1:11" s="2222" customFormat="1" ht="15" customHeight="1">
      <c r="A29" s="2778" t="s">
        <v>588</v>
      </c>
      <c r="B29" s="2807" t="s">
        <v>77</v>
      </c>
      <c r="C29" s="2808"/>
      <c r="D29" s="2808"/>
      <c r="E29" s="2808"/>
      <c r="F29" s="2435"/>
      <c r="G29" s="2434"/>
      <c r="H29" s="2809" t="s">
        <v>464</v>
      </c>
      <c r="I29" s="2810"/>
      <c r="J29" s="2320" t="s">
        <v>1791</v>
      </c>
      <c r="K29" s="2320" t="s">
        <v>1949</v>
      </c>
    </row>
    <row r="30" spans="1:11" s="2222" customFormat="1" ht="15.75">
      <c r="A30" s="2766"/>
      <c r="B30" s="2433" t="s">
        <v>1948</v>
      </c>
      <c r="C30" s="2433" t="s">
        <v>1947</v>
      </c>
      <c r="D30" s="2433" t="s">
        <v>1946</v>
      </c>
      <c r="E30" s="2433" t="s">
        <v>1945</v>
      </c>
      <c r="F30" s="2252" t="s">
        <v>465</v>
      </c>
      <c r="G30" s="2253" t="s">
        <v>1591</v>
      </c>
      <c r="H30" s="2784"/>
      <c r="I30" s="2785"/>
      <c r="J30" s="2253" t="s">
        <v>1792</v>
      </c>
      <c r="K30" s="2253" t="s">
        <v>1792</v>
      </c>
    </row>
    <row r="31" spans="1:11" s="2222" customFormat="1" ht="13.5" thickBot="1">
      <c r="A31" s="2767"/>
      <c r="B31" s="2432" t="s">
        <v>311</v>
      </c>
      <c r="C31" s="2431" t="s">
        <v>484</v>
      </c>
      <c r="D31" s="2430" t="s">
        <v>311</v>
      </c>
      <c r="E31" s="2429" t="s">
        <v>483</v>
      </c>
      <c r="F31" s="2396" t="s">
        <v>1944</v>
      </c>
      <c r="G31" s="2256" t="s">
        <v>1944</v>
      </c>
      <c r="H31" s="2324" t="s">
        <v>315</v>
      </c>
      <c r="I31" s="2325" t="s">
        <v>316</v>
      </c>
      <c r="J31" s="2260" t="s">
        <v>505</v>
      </c>
      <c r="K31" s="2256" t="str">
        <f>K8</f>
        <v>2019-20</v>
      </c>
    </row>
    <row r="32" spans="1:11" s="2222" customFormat="1" ht="26.25" thickTop="1">
      <c r="A32" s="2174" t="s">
        <v>582</v>
      </c>
      <c r="B32" s="2303">
        <v>36530</v>
      </c>
      <c r="C32" s="2272">
        <v>89077</v>
      </c>
      <c r="D32" s="2332">
        <v>80478</v>
      </c>
      <c r="E32" s="2428">
        <v>77508</v>
      </c>
      <c r="F32" s="2178">
        <f>(B32+C32+D32+E32)/3</f>
        <v>94531</v>
      </c>
      <c r="G32" s="2328">
        <v>120300</v>
      </c>
      <c r="H32" s="2329">
        <f>F32-G32</f>
        <v>-25769</v>
      </c>
      <c r="I32" s="2096">
        <f>H32/G32</f>
        <v>-0.21420615128844556</v>
      </c>
      <c r="J32" s="2330"/>
      <c r="K32" s="2427"/>
    </row>
    <row r="33" spans="1:11" s="2425" customFormat="1">
      <c r="A33" s="2182" t="s">
        <v>581</v>
      </c>
      <c r="B33" s="2331">
        <f>B34+B35</f>
        <v>2954</v>
      </c>
      <c r="C33" s="2331">
        <f>C34+C35</f>
        <v>5457</v>
      </c>
      <c r="D33" s="2332">
        <f>(D34+D35)</f>
        <v>5251</v>
      </c>
      <c r="E33" s="2333">
        <f>E34+E35</f>
        <v>5043</v>
      </c>
      <c r="F33" s="2426">
        <f>(B33+C33+D33+E33)/3</f>
        <v>6235</v>
      </c>
      <c r="G33" s="2335">
        <v>7170</v>
      </c>
      <c r="H33" s="2397">
        <f>F33-G33</f>
        <v>-935</v>
      </c>
      <c r="I33" s="2129">
        <f>H33/G33</f>
        <v>-0.13040446304044631</v>
      </c>
      <c r="J33" s="2336"/>
      <c r="K33" s="2412"/>
    </row>
    <row r="34" spans="1:11" s="2421" customFormat="1">
      <c r="A34" s="2189" t="s">
        <v>460</v>
      </c>
      <c r="B34" s="2337">
        <v>2914</v>
      </c>
      <c r="C34" s="2338">
        <v>5124</v>
      </c>
      <c r="D34" s="2339">
        <v>4921</v>
      </c>
      <c r="E34" s="2424">
        <v>4391</v>
      </c>
      <c r="F34" s="2422">
        <f>(B34+C34+D34+E34)/3</f>
        <v>5783.333333333333</v>
      </c>
      <c r="G34" s="2195"/>
      <c r="H34" s="2196"/>
      <c r="I34" s="2129"/>
      <c r="J34" s="2139"/>
      <c r="K34" s="2206"/>
    </row>
    <row r="35" spans="1:11" s="2421" customFormat="1">
      <c r="A35" s="2189" t="s">
        <v>459</v>
      </c>
      <c r="B35" s="2337">
        <v>40</v>
      </c>
      <c r="C35" s="2338">
        <v>333</v>
      </c>
      <c r="D35" s="2339">
        <v>330</v>
      </c>
      <c r="E35" s="2423">
        <v>652</v>
      </c>
      <c r="F35" s="2422">
        <f>(B35+C35+D35+E35)/3</f>
        <v>451.66666666666669</v>
      </c>
      <c r="G35" s="2342"/>
      <c r="H35" s="2196"/>
      <c r="I35" s="2129"/>
      <c r="J35" s="2139"/>
      <c r="K35" s="2206"/>
    </row>
    <row r="36" spans="1:11" s="2222" customFormat="1" ht="15.75">
      <c r="A36" s="2343" t="s">
        <v>1607</v>
      </c>
      <c r="B36" s="2344">
        <v>1411</v>
      </c>
      <c r="C36" s="2412">
        <v>4242</v>
      </c>
      <c r="D36" s="2299">
        <v>4026</v>
      </c>
      <c r="E36" s="2420">
        <v>3715</v>
      </c>
      <c r="F36" s="2178">
        <f>(B36+C36+D36+E36)/3</f>
        <v>4464.666666666667</v>
      </c>
      <c r="G36" s="2346">
        <v>220</v>
      </c>
      <c r="H36" s="2346">
        <f>F36-G36</f>
        <v>4244.666666666667</v>
      </c>
      <c r="I36" s="2129">
        <f>H36/G36</f>
        <v>19.293939393939397</v>
      </c>
      <c r="J36" s="2130"/>
      <c r="K36" s="2200"/>
    </row>
    <row r="37" spans="1:11" s="2222" customFormat="1" ht="15.75">
      <c r="A37" s="2296" t="s">
        <v>1608</v>
      </c>
      <c r="B37" s="2308">
        <f>B38+B39+B40+B41+B42</f>
        <v>187</v>
      </c>
      <c r="C37" s="2308">
        <f>C38+C39+C40+C41+C42</f>
        <v>554</v>
      </c>
      <c r="D37" s="2300">
        <f>D38+D39+D40+D41+D42</f>
        <v>480</v>
      </c>
      <c r="E37" s="2300">
        <f>E38+E39+E40+E41+E42</f>
        <v>459</v>
      </c>
      <c r="F37" s="2154">
        <f>F38+F39+F40+F41+F42+F43</f>
        <v>570.16666666666663</v>
      </c>
      <c r="G37" s="2346">
        <v>165</v>
      </c>
      <c r="H37" s="2346">
        <f>F37-G37</f>
        <v>405.16666666666663</v>
      </c>
      <c r="I37" s="2129">
        <f>H37/G37</f>
        <v>2.4555555555555553</v>
      </c>
      <c r="J37" s="2130"/>
      <c r="K37" s="2200"/>
    </row>
    <row r="38" spans="1:11" s="2419" customFormat="1">
      <c r="A38" s="2293" t="s">
        <v>455</v>
      </c>
      <c r="B38" s="2281">
        <v>88</v>
      </c>
      <c r="C38" s="2338">
        <v>262</v>
      </c>
      <c r="D38" s="2268">
        <v>235</v>
      </c>
      <c r="E38" s="2282">
        <v>217</v>
      </c>
      <c r="F38" s="2205">
        <f>(B38+C38+D38+E38)/3</f>
        <v>267.33333333333331</v>
      </c>
      <c r="G38" s="2206"/>
      <c r="H38" s="2301"/>
      <c r="I38" s="2147"/>
      <c r="J38" s="2139"/>
      <c r="K38" s="2206"/>
    </row>
    <row r="39" spans="1:11" s="2419" customFormat="1">
      <c r="A39" s="2293" t="s">
        <v>454</v>
      </c>
      <c r="B39" s="2281">
        <v>82</v>
      </c>
      <c r="C39" s="2338">
        <v>172</v>
      </c>
      <c r="D39" s="2268">
        <v>158</v>
      </c>
      <c r="E39" s="2282">
        <v>140</v>
      </c>
      <c r="F39" s="2205">
        <f>(B39+C39+D39+E39)/3</f>
        <v>184</v>
      </c>
      <c r="G39" s="2206"/>
      <c r="H39" s="2301"/>
      <c r="I39" s="2147"/>
      <c r="J39" s="2139"/>
      <c r="K39" s="2206"/>
    </row>
    <row r="40" spans="1:11" s="2419" customFormat="1">
      <c r="A40" s="2293" t="s">
        <v>453</v>
      </c>
      <c r="B40" s="2281">
        <v>0</v>
      </c>
      <c r="C40" s="2338">
        <v>0</v>
      </c>
      <c r="D40" s="2268">
        <v>0</v>
      </c>
      <c r="E40" s="2282">
        <v>0</v>
      </c>
      <c r="F40" s="2205">
        <f>(B40+C40+D40+E40)/3</f>
        <v>0</v>
      </c>
      <c r="G40" s="2206"/>
      <c r="H40" s="2301"/>
      <c r="I40" s="2147"/>
      <c r="J40" s="2139"/>
      <c r="K40" s="2206"/>
    </row>
    <row r="41" spans="1:11" s="2419" customFormat="1">
      <c r="A41" s="2293" t="s">
        <v>1152</v>
      </c>
      <c r="B41" s="2281">
        <v>0</v>
      </c>
      <c r="C41" s="2338">
        <v>23</v>
      </c>
      <c r="D41" s="2267">
        <v>0</v>
      </c>
      <c r="E41" s="2282">
        <v>34</v>
      </c>
      <c r="F41" s="2205">
        <f>(B41+C41+D41+E41)/2</f>
        <v>28.5</v>
      </c>
      <c r="G41" s="2104">
        <v>30</v>
      </c>
      <c r="H41" s="2301"/>
      <c r="I41" s="2147"/>
      <c r="J41" s="2139"/>
      <c r="K41" s="2206"/>
    </row>
    <row r="42" spans="1:11" s="2419" customFormat="1">
      <c r="A42" s="2293" t="s">
        <v>1852</v>
      </c>
      <c r="B42" s="2281">
        <v>17</v>
      </c>
      <c r="C42" s="2338">
        <v>97</v>
      </c>
      <c r="D42" s="2267">
        <v>87</v>
      </c>
      <c r="E42" s="2282">
        <v>68</v>
      </c>
      <c r="F42" s="2205">
        <f>(B42+C42+D42+E42)/3</f>
        <v>89.666666666666671</v>
      </c>
      <c r="G42" s="2104">
        <v>30</v>
      </c>
      <c r="H42" s="2301"/>
      <c r="I42" s="2147"/>
      <c r="J42" s="2139"/>
      <c r="K42" s="2206"/>
    </row>
    <row r="43" spans="1:11" s="2419" customFormat="1" ht="13.5" thickBot="1">
      <c r="A43" s="2293" t="s">
        <v>1943</v>
      </c>
      <c r="B43" s="2281">
        <v>0</v>
      </c>
      <c r="C43" s="2338">
        <v>0</v>
      </c>
      <c r="D43" s="2267">
        <v>0</v>
      </c>
      <c r="E43" s="2282">
        <v>2</v>
      </c>
      <c r="F43" s="2205">
        <f>(B43+C43+D43+E43)/3</f>
        <v>0.66666666666666663</v>
      </c>
      <c r="G43" s="2104">
        <v>10</v>
      </c>
      <c r="H43" s="2301"/>
      <c r="I43" s="2147"/>
      <c r="J43" s="2139"/>
      <c r="K43" s="2206"/>
    </row>
    <row r="44" spans="1:11" s="2247" customFormat="1" ht="16.5" thickTop="1">
      <c r="A44" s="2349" t="s">
        <v>1609</v>
      </c>
      <c r="B44" s="2350">
        <f>B32+B33+B36+B37</f>
        <v>41082</v>
      </c>
      <c r="C44" s="2350">
        <f>C32+C33+C36+C37</f>
        <v>99330</v>
      </c>
      <c r="D44" s="2350">
        <f>D32+D33+D36+D37</f>
        <v>90235</v>
      </c>
      <c r="E44" s="2350">
        <f>E32+E33+E36+E37</f>
        <v>86725</v>
      </c>
      <c r="F44" s="2350">
        <f>F32+F33+F36+F37</f>
        <v>105800.83333333334</v>
      </c>
      <c r="G44" s="2351">
        <v>139927</v>
      </c>
      <c r="H44" s="2214">
        <f>F44-G44</f>
        <v>-34126.166666666657</v>
      </c>
      <c r="I44" s="2215">
        <f>H44/G44</f>
        <v>-0.24388550220233876</v>
      </c>
      <c r="J44" s="2216"/>
      <c r="K44" s="2418"/>
    </row>
    <row r="45" spans="1:11" s="2222" customFormat="1" ht="13.5" thickBot="1">
      <c r="A45" s="2352"/>
      <c r="B45" s="2353"/>
      <c r="C45" s="2354"/>
      <c r="D45" s="2354"/>
      <c r="E45" s="2354"/>
      <c r="F45" s="2354"/>
      <c r="G45" s="2353"/>
      <c r="H45" s="2355"/>
      <c r="I45" s="2356"/>
    </row>
    <row r="46" spans="1:11" s="2075" customFormat="1" ht="15" thickTop="1" thickBot="1">
      <c r="A46" s="2357" t="s">
        <v>448</v>
      </c>
      <c r="B46" s="2358"/>
      <c r="C46" s="2358"/>
      <c r="D46" s="2359"/>
      <c r="E46" s="2359"/>
      <c r="F46" s="2360">
        <f>F27+F44</f>
        <v>210009.33333333337</v>
      </c>
      <c r="G46" s="2361">
        <v>233776</v>
      </c>
      <c r="H46" s="2361">
        <f>H44+H27</f>
        <v>-23766.666666666642</v>
      </c>
      <c r="I46" s="2228">
        <f>H46/G46</f>
        <v>-0.10166427121118782</v>
      </c>
    </row>
    <row r="47" spans="1:11" s="2075" customFormat="1" ht="14.25" thickTop="1">
      <c r="A47" s="2362"/>
      <c r="B47" s="2363"/>
      <c r="C47" s="2363"/>
      <c r="D47" s="2364"/>
      <c r="E47" s="2364"/>
      <c r="F47" s="2364"/>
      <c r="G47" s="2364"/>
      <c r="H47" s="2364"/>
      <c r="I47" s="2232"/>
      <c r="K47" s="2417"/>
    </row>
    <row r="48" spans="1:11">
      <c r="A48" s="2233" t="s">
        <v>574</v>
      </c>
      <c r="B48" s="2366">
        <v>126</v>
      </c>
      <c r="C48" s="2416">
        <v>22177</v>
      </c>
      <c r="D48" s="2415">
        <v>20879</v>
      </c>
      <c r="E48" s="2414">
        <v>19486</v>
      </c>
      <c r="F48" s="2238">
        <f>(B48+C48+D48+E48)/3</f>
        <v>20889.333333333332</v>
      </c>
      <c r="G48" s="2239">
        <v>11558</v>
      </c>
      <c r="H48" s="2240">
        <f>F48-G48</f>
        <v>9331.3333333333321</v>
      </c>
      <c r="I48" s="2241">
        <f>H48/G48</f>
        <v>0.8073484455211396</v>
      </c>
    </row>
    <row r="49" spans="1:11" s="2075" customFormat="1">
      <c r="A49" s="2367"/>
      <c r="B49" s="2363"/>
      <c r="C49" s="2363"/>
      <c r="D49" s="2364"/>
      <c r="E49" s="2364"/>
      <c r="F49" s="2364"/>
      <c r="G49" s="2364"/>
      <c r="H49" s="2368"/>
      <c r="I49" s="2232"/>
      <c r="J49" s="2071"/>
      <c r="K49" s="2071"/>
    </row>
    <row r="50" spans="1:11" ht="84" customHeight="1">
      <c r="A50" s="2774" t="s">
        <v>1871</v>
      </c>
      <c r="B50" s="2774"/>
      <c r="C50" s="2774"/>
      <c r="D50" s="2774"/>
      <c r="E50" s="2774"/>
      <c r="F50" s="2774"/>
      <c r="G50" s="2774"/>
      <c r="H50" s="2774"/>
      <c r="I50" s="2774"/>
      <c r="J50" s="2244"/>
    </row>
    <row r="51" spans="1:11" ht="44.25" customHeight="1">
      <c r="A51" s="2777" t="s">
        <v>1794</v>
      </c>
      <c r="B51" s="2777"/>
      <c r="C51" s="2777"/>
      <c r="D51" s="2777"/>
      <c r="E51" s="2777"/>
      <c r="F51" s="2777"/>
      <c r="G51" s="2777"/>
      <c r="H51" s="2777"/>
      <c r="I51" s="2777"/>
      <c r="J51" s="2777"/>
    </row>
    <row r="52" spans="1:11" ht="29.25" customHeight="1">
      <c r="A52" s="2775" t="s">
        <v>1681</v>
      </c>
      <c r="B52" s="2775"/>
      <c r="C52" s="2775"/>
      <c r="D52" s="2775"/>
      <c r="E52" s="2775"/>
      <c r="F52" s="2775"/>
      <c r="G52" s="2775"/>
      <c r="H52" s="2775"/>
      <c r="I52" s="2775"/>
      <c r="J52" s="2775"/>
    </row>
    <row r="53" spans="1:11" ht="37.5" customHeight="1">
      <c r="A53" s="2776" t="s">
        <v>1870</v>
      </c>
      <c r="B53" s="2775"/>
      <c r="C53" s="2775"/>
      <c r="D53" s="2775"/>
      <c r="E53" s="2775"/>
      <c r="F53" s="2775"/>
      <c r="G53" s="2775"/>
      <c r="H53" s="2775"/>
      <c r="I53" s="2775"/>
      <c r="J53" s="2775"/>
    </row>
    <row r="54" spans="1:11" ht="24.75" customHeight="1">
      <c r="A54" s="2777" t="s">
        <v>1796</v>
      </c>
      <c r="B54" s="2777"/>
      <c r="C54" s="2777"/>
      <c r="D54" s="2777"/>
      <c r="E54" s="2777"/>
      <c r="F54" s="2777"/>
      <c r="G54" s="2777"/>
      <c r="H54" s="2777"/>
      <c r="I54" s="2777"/>
      <c r="J54" s="2777"/>
    </row>
    <row r="55" spans="1:11" ht="29.25" customHeight="1">
      <c r="A55" s="2764" t="s">
        <v>1797</v>
      </c>
      <c r="B55" s="2764"/>
      <c r="C55" s="2764"/>
      <c r="D55" s="2764"/>
      <c r="E55" s="2764"/>
      <c r="F55" s="2764"/>
      <c r="G55" s="2764"/>
      <c r="H55" s="2764"/>
      <c r="I55" s="2764"/>
      <c r="J55" s="2764"/>
    </row>
  </sheetData>
  <mergeCells count="15">
    <mergeCell ref="A53:J53"/>
    <mergeCell ref="A54:J54"/>
    <mergeCell ref="A55:J55"/>
    <mergeCell ref="A29:A31"/>
    <mergeCell ref="B29:E29"/>
    <mergeCell ref="H29:I30"/>
    <mergeCell ref="A50:I50"/>
    <mergeCell ref="A51:J51"/>
    <mergeCell ref="A52:J52"/>
    <mergeCell ref="A2:J2"/>
    <mergeCell ref="A3:J3"/>
    <mergeCell ref="A4:I4"/>
    <mergeCell ref="B6:F6"/>
    <mergeCell ref="G6:G7"/>
    <mergeCell ref="H6:I7"/>
  </mergeCells>
  <pageMargins left="0.7" right="0.7" top="0.75" bottom="0.75" header="0.3" footer="0.3"/>
  <pageSetup scale="75" orientation="portrait" r:id="rId1"/>
  <colBreaks count="1" manualBreakCount="1">
    <brk id="10" max="1048575" man="1"/>
  </colBreak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E65F3-89DD-4732-97E4-C25143258100}">
  <sheetPr codeName="Sheet51">
    <pageSetUpPr fitToPage="1"/>
  </sheetPr>
  <dimension ref="A1:F55"/>
  <sheetViews>
    <sheetView showGridLines="0" zoomScaleNormal="100" workbookViewId="0">
      <selection activeCell="F24" sqref="F24:F25"/>
    </sheetView>
  </sheetViews>
  <sheetFormatPr defaultColWidth="15.125" defaultRowHeight="12.75"/>
  <cols>
    <col min="1" max="1" width="36.625" style="2071" customWidth="1"/>
    <col min="2" max="6" width="9.625" style="2071" customWidth="1"/>
    <col min="7" max="251" width="15.125" style="2071"/>
    <col min="252" max="252" width="28.5" style="2071" customWidth="1"/>
    <col min="253" max="253" width="9.625" style="2071" bestFit="1" customWidth="1"/>
    <col min="254" max="254" width="8" style="2071" customWidth="1"/>
    <col min="255" max="255" width="9.125" style="2071" bestFit="1" customWidth="1"/>
    <col min="256" max="256" width="9.25" style="2071" bestFit="1" customWidth="1"/>
    <col min="257" max="257" width="9.75" style="2071" bestFit="1" customWidth="1"/>
    <col min="258" max="259" width="9.125" style="2071" bestFit="1" customWidth="1"/>
    <col min="260" max="260" width="8.625" style="2071" bestFit="1" customWidth="1"/>
    <col min="261" max="261" width="0" style="2071" hidden="1" customWidth="1"/>
    <col min="262" max="262" width="7.625" style="2071" bestFit="1" customWidth="1"/>
    <col min="263" max="507" width="15.125" style="2071"/>
    <col min="508" max="508" width="28.5" style="2071" customWidth="1"/>
    <col min="509" max="509" width="9.625" style="2071" bestFit="1" customWidth="1"/>
    <col min="510" max="510" width="8" style="2071" customWidth="1"/>
    <col min="511" max="511" width="9.125" style="2071" bestFit="1" customWidth="1"/>
    <col min="512" max="512" width="9.25" style="2071" bestFit="1" customWidth="1"/>
    <col min="513" max="513" width="9.75" style="2071" bestFit="1" customWidth="1"/>
    <col min="514" max="515" width="9.125" style="2071" bestFit="1" customWidth="1"/>
    <col min="516" max="516" width="8.625" style="2071" bestFit="1" customWidth="1"/>
    <col min="517" max="517" width="0" style="2071" hidden="1" customWidth="1"/>
    <col min="518" max="518" width="7.625" style="2071" bestFit="1" customWidth="1"/>
    <col min="519" max="763" width="15.125" style="2071"/>
    <col min="764" max="764" width="28.5" style="2071" customWidth="1"/>
    <col min="765" max="765" width="9.625" style="2071" bestFit="1" customWidth="1"/>
    <col min="766" max="766" width="8" style="2071" customWidth="1"/>
    <col min="767" max="767" width="9.125" style="2071" bestFit="1" customWidth="1"/>
    <col min="768" max="768" width="9.25" style="2071" bestFit="1" customWidth="1"/>
    <col min="769" max="769" width="9.75" style="2071" bestFit="1" customWidth="1"/>
    <col min="770" max="771" width="9.125" style="2071" bestFit="1" customWidth="1"/>
    <col min="772" max="772" width="8.625" style="2071" bestFit="1" customWidth="1"/>
    <col min="773" max="773" width="0" style="2071" hidden="1" customWidth="1"/>
    <col min="774" max="774" width="7.625" style="2071" bestFit="1" customWidth="1"/>
    <col min="775" max="1019" width="15.125" style="2071"/>
    <col min="1020" max="1020" width="28.5" style="2071" customWidth="1"/>
    <col min="1021" max="1021" width="9.625" style="2071" bestFit="1" customWidth="1"/>
    <col min="1022" max="1022" width="8" style="2071" customWidth="1"/>
    <col min="1023" max="1023" width="9.125" style="2071" bestFit="1" customWidth="1"/>
    <col min="1024" max="1024" width="9.25" style="2071" bestFit="1" customWidth="1"/>
    <col min="1025" max="1025" width="9.75" style="2071" bestFit="1" customWidth="1"/>
    <col min="1026" max="1027" width="9.125" style="2071" bestFit="1" customWidth="1"/>
    <col min="1028" max="1028" width="8.625" style="2071" bestFit="1" customWidth="1"/>
    <col min="1029" max="1029" width="0" style="2071" hidden="1" customWidth="1"/>
    <col min="1030" max="1030" width="7.625" style="2071" bestFit="1" customWidth="1"/>
    <col min="1031" max="1275" width="15.125" style="2071"/>
    <col min="1276" max="1276" width="28.5" style="2071" customWidth="1"/>
    <col min="1277" max="1277" width="9.625" style="2071" bestFit="1" customWidth="1"/>
    <col min="1278" max="1278" width="8" style="2071" customWidth="1"/>
    <col min="1279" max="1279" width="9.125" style="2071" bestFit="1" customWidth="1"/>
    <col min="1280" max="1280" width="9.25" style="2071" bestFit="1" customWidth="1"/>
    <col min="1281" max="1281" width="9.75" style="2071" bestFit="1" customWidth="1"/>
    <col min="1282" max="1283" width="9.125" style="2071" bestFit="1" customWidth="1"/>
    <col min="1284" max="1284" width="8.625" style="2071" bestFit="1" customWidth="1"/>
    <col min="1285" max="1285" width="0" style="2071" hidden="1" customWidth="1"/>
    <col min="1286" max="1286" width="7.625" style="2071" bestFit="1" customWidth="1"/>
    <col min="1287" max="1531" width="15.125" style="2071"/>
    <col min="1532" max="1532" width="28.5" style="2071" customWidth="1"/>
    <col min="1533" max="1533" width="9.625" style="2071" bestFit="1" customWidth="1"/>
    <col min="1534" max="1534" width="8" style="2071" customWidth="1"/>
    <col min="1535" max="1535" width="9.125" style="2071" bestFit="1" customWidth="1"/>
    <col min="1536" max="1536" width="9.25" style="2071" bestFit="1" customWidth="1"/>
    <col min="1537" max="1537" width="9.75" style="2071" bestFit="1" customWidth="1"/>
    <col min="1538" max="1539" width="9.125" style="2071" bestFit="1" customWidth="1"/>
    <col min="1540" max="1540" width="8.625" style="2071" bestFit="1" customWidth="1"/>
    <col min="1541" max="1541" width="0" style="2071" hidden="1" customWidth="1"/>
    <col min="1542" max="1542" width="7.625" style="2071" bestFit="1" customWidth="1"/>
    <col min="1543" max="1787" width="15.125" style="2071"/>
    <col min="1788" max="1788" width="28.5" style="2071" customWidth="1"/>
    <col min="1789" max="1789" width="9.625" style="2071" bestFit="1" customWidth="1"/>
    <col min="1790" max="1790" width="8" style="2071" customWidth="1"/>
    <col min="1791" max="1791" width="9.125" style="2071" bestFit="1" customWidth="1"/>
    <col min="1792" max="1792" width="9.25" style="2071" bestFit="1" customWidth="1"/>
    <col min="1793" max="1793" width="9.75" style="2071" bestFit="1" customWidth="1"/>
    <col min="1794" max="1795" width="9.125" style="2071" bestFit="1" customWidth="1"/>
    <col min="1796" max="1796" width="8.625" style="2071" bestFit="1" customWidth="1"/>
    <col min="1797" max="1797" width="0" style="2071" hidden="1" customWidth="1"/>
    <col min="1798" max="1798" width="7.625" style="2071" bestFit="1" customWidth="1"/>
    <col min="1799" max="2043" width="15.125" style="2071"/>
    <col min="2044" max="2044" width="28.5" style="2071" customWidth="1"/>
    <col min="2045" max="2045" width="9.625" style="2071" bestFit="1" customWidth="1"/>
    <col min="2046" max="2046" width="8" style="2071" customWidth="1"/>
    <col min="2047" max="2047" width="9.125" style="2071" bestFit="1" customWidth="1"/>
    <col min="2048" max="2048" width="9.25" style="2071" bestFit="1" customWidth="1"/>
    <col min="2049" max="2049" width="9.75" style="2071" bestFit="1" customWidth="1"/>
    <col min="2050" max="2051" width="9.125" style="2071" bestFit="1" customWidth="1"/>
    <col min="2052" max="2052" width="8.625" style="2071" bestFit="1" customWidth="1"/>
    <col min="2053" max="2053" width="0" style="2071" hidden="1" customWidth="1"/>
    <col min="2054" max="2054" width="7.625" style="2071" bestFit="1" customWidth="1"/>
    <col min="2055" max="2299" width="15.125" style="2071"/>
    <col min="2300" max="2300" width="28.5" style="2071" customWidth="1"/>
    <col min="2301" max="2301" width="9.625" style="2071" bestFit="1" customWidth="1"/>
    <col min="2302" max="2302" width="8" style="2071" customWidth="1"/>
    <col min="2303" max="2303" width="9.125" style="2071" bestFit="1" customWidth="1"/>
    <col min="2304" max="2304" width="9.25" style="2071" bestFit="1" customWidth="1"/>
    <col min="2305" max="2305" width="9.75" style="2071" bestFit="1" customWidth="1"/>
    <col min="2306" max="2307" width="9.125" style="2071" bestFit="1" customWidth="1"/>
    <col min="2308" max="2308" width="8.625" style="2071" bestFit="1" customWidth="1"/>
    <col min="2309" max="2309" width="0" style="2071" hidden="1" customWidth="1"/>
    <col min="2310" max="2310" width="7.625" style="2071" bestFit="1" customWidth="1"/>
    <col min="2311" max="2555" width="15.125" style="2071"/>
    <col min="2556" max="2556" width="28.5" style="2071" customWidth="1"/>
    <col min="2557" max="2557" width="9.625" style="2071" bestFit="1" customWidth="1"/>
    <col min="2558" max="2558" width="8" style="2071" customWidth="1"/>
    <col min="2559" max="2559" width="9.125" style="2071" bestFit="1" customWidth="1"/>
    <col min="2560" max="2560" width="9.25" style="2071" bestFit="1" customWidth="1"/>
    <col min="2561" max="2561" width="9.75" style="2071" bestFit="1" customWidth="1"/>
    <col min="2562" max="2563" width="9.125" style="2071" bestFit="1" customWidth="1"/>
    <col min="2564" max="2564" width="8.625" style="2071" bestFit="1" customWidth="1"/>
    <col min="2565" max="2565" width="0" style="2071" hidden="1" customWidth="1"/>
    <col min="2566" max="2566" width="7.625" style="2071" bestFit="1" customWidth="1"/>
    <col min="2567" max="2811" width="15.125" style="2071"/>
    <col min="2812" max="2812" width="28.5" style="2071" customWidth="1"/>
    <col min="2813" max="2813" width="9.625" style="2071" bestFit="1" customWidth="1"/>
    <col min="2814" max="2814" width="8" style="2071" customWidth="1"/>
    <col min="2815" max="2815" width="9.125" style="2071" bestFit="1" customWidth="1"/>
    <col min="2816" max="2816" width="9.25" style="2071" bestFit="1" customWidth="1"/>
    <col min="2817" max="2817" width="9.75" style="2071" bestFit="1" customWidth="1"/>
    <col min="2818" max="2819" width="9.125" style="2071" bestFit="1" customWidth="1"/>
    <col min="2820" max="2820" width="8.625" style="2071" bestFit="1" customWidth="1"/>
    <col min="2821" max="2821" width="0" style="2071" hidden="1" customWidth="1"/>
    <col min="2822" max="2822" width="7.625" style="2071" bestFit="1" customWidth="1"/>
    <col min="2823" max="3067" width="15.125" style="2071"/>
    <col min="3068" max="3068" width="28.5" style="2071" customWidth="1"/>
    <col min="3069" max="3069" width="9.625" style="2071" bestFit="1" customWidth="1"/>
    <col min="3070" max="3070" width="8" style="2071" customWidth="1"/>
    <col min="3071" max="3071" width="9.125" style="2071" bestFit="1" customWidth="1"/>
    <col min="3072" max="3072" width="9.25" style="2071" bestFit="1" customWidth="1"/>
    <col min="3073" max="3073" width="9.75" style="2071" bestFit="1" customWidth="1"/>
    <col min="3074" max="3075" width="9.125" style="2071" bestFit="1" customWidth="1"/>
    <col min="3076" max="3076" width="8.625" style="2071" bestFit="1" customWidth="1"/>
    <col min="3077" max="3077" width="0" style="2071" hidden="1" customWidth="1"/>
    <col min="3078" max="3078" width="7.625" style="2071" bestFit="1" customWidth="1"/>
    <col min="3079" max="3323" width="15.125" style="2071"/>
    <col min="3324" max="3324" width="28.5" style="2071" customWidth="1"/>
    <col min="3325" max="3325" width="9.625" style="2071" bestFit="1" customWidth="1"/>
    <col min="3326" max="3326" width="8" style="2071" customWidth="1"/>
    <col min="3327" max="3327" width="9.125" style="2071" bestFit="1" customWidth="1"/>
    <col min="3328" max="3328" width="9.25" style="2071" bestFit="1" customWidth="1"/>
    <col min="3329" max="3329" width="9.75" style="2071" bestFit="1" customWidth="1"/>
    <col min="3330" max="3331" width="9.125" style="2071" bestFit="1" customWidth="1"/>
    <col min="3332" max="3332" width="8.625" style="2071" bestFit="1" customWidth="1"/>
    <col min="3333" max="3333" width="0" style="2071" hidden="1" customWidth="1"/>
    <col min="3334" max="3334" width="7.625" style="2071" bestFit="1" customWidth="1"/>
    <col min="3335" max="3579" width="15.125" style="2071"/>
    <col min="3580" max="3580" width="28.5" style="2071" customWidth="1"/>
    <col min="3581" max="3581" width="9.625" style="2071" bestFit="1" customWidth="1"/>
    <col min="3582" max="3582" width="8" style="2071" customWidth="1"/>
    <col min="3583" max="3583" width="9.125" style="2071" bestFit="1" customWidth="1"/>
    <col min="3584" max="3584" width="9.25" style="2071" bestFit="1" customWidth="1"/>
    <col min="3585" max="3585" width="9.75" style="2071" bestFit="1" customWidth="1"/>
    <col min="3586" max="3587" width="9.125" style="2071" bestFit="1" customWidth="1"/>
    <col min="3588" max="3588" width="8.625" style="2071" bestFit="1" customWidth="1"/>
    <col min="3589" max="3589" width="0" style="2071" hidden="1" customWidth="1"/>
    <col min="3590" max="3590" width="7.625" style="2071" bestFit="1" customWidth="1"/>
    <col min="3591" max="3835" width="15.125" style="2071"/>
    <col min="3836" max="3836" width="28.5" style="2071" customWidth="1"/>
    <col min="3837" max="3837" width="9.625" style="2071" bestFit="1" customWidth="1"/>
    <col min="3838" max="3838" width="8" style="2071" customWidth="1"/>
    <col min="3839" max="3839" width="9.125" style="2071" bestFit="1" customWidth="1"/>
    <col min="3840" max="3840" width="9.25" style="2071" bestFit="1" customWidth="1"/>
    <col min="3841" max="3841" width="9.75" style="2071" bestFit="1" customWidth="1"/>
    <col min="3842" max="3843" width="9.125" style="2071" bestFit="1" customWidth="1"/>
    <col min="3844" max="3844" width="8.625" style="2071" bestFit="1" customWidth="1"/>
    <col min="3845" max="3845" width="0" style="2071" hidden="1" customWidth="1"/>
    <col min="3846" max="3846" width="7.625" style="2071" bestFit="1" customWidth="1"/>
    <col min="3847" max="4091" width="15.125" style="2071"/>
    <col min="4092" max="4092" width="28.5" style="2071" customWidth="1"/>
    <col min="4093" max="4093" width="9.625" style="2071" bestFit="1" customWidth="1"/>
    <col min="4094" max="4094" width="8" style="2071" customWidth="1"/>
    <col min="4095" max="4095" width="9.125" style="2071" bestFit="1" customWidth="1"/>
    <col min="4096" max="4096" width="9.25" style="2071" bestFit="1" customWidth="1"/>
    <col min="4097" max="4097" width="9.75" style="2071" bestFit="1" customWidth="1"/>
    <col min="4098" max="4099" width="9.125" style="2071" bestFit="1" customWidth="1"/>
    <col min="4100" max="4100" width="8.625" style="2071" bestFit="1" customWidth="1"/>
    <col min="4101" max="4101" width="0" style="2071" hidden="1" customWidth="1"/>
    <col min="4102" max="4102" width="7.625" style="2071" bestFit="1" customWidth="1"/>
    <col min="4103" max="4347" width="15.125" style="2071"/>
    <col min="4348" max="4348" width="28.5" style="2071" customWidth="1"/>
    <col min="4349" max="4349" width="9.625" style="2071" bestFit="1" customWidth="1"/>
    <col min="4350" max="4350" width="8" style="2071" customWidth="1"/>
    <col min="4351" max="4351" width="9.125" style="2071" bestFit="1" customWidth="1"/>
    <col min="4352" max="4352" width="9.25" style="2071" bestFit="1" customWidth="1"/>
    <col min="4353" max="4353" width="9.75" style="2071" bestFit="1" customWidth="1"/>
    <col min="4354" max="4355" width="9.125" style="2071" bestFit="1" customWidth="1"/>
    <col min="4356" max="4356" width="8.625" style="2071" bestFit="1" customWidth="1"/>
    <col min="4357" max="4357" width="0" style="2071" hidden="1" customWidth="1"/>
    <col min="4358" max="4358" width="7.625" style="2071" bestFit="1" customWidth="1"/>
    <col min="4359" max="4603" width="15.125" style="2071"/>
    <col min="4604" max="4604" width="28.5" style="2071" customWidth="1"/>
    <col min="4605" max="4605" width="9.625" style="2071" bestFit="1" customWidth="1"/>
    <col min="4606" max="4606" width="8" style="2071" customWidth="1"/>
    <col min="4607" max="4607" width="9.125" style="2071" bestFit="1" customWidth="1"/>
    <col min="4608" max="4608" width="9.25" style="2071" bestFit="1" customWidth="1"/>
    <col min="4609" max="4609" width="9.75" style="2071" bestFit="1" customWidth="1"/>
    <col min="4610" max="4611" width="9.125" style="2071" bestFit="1" customWidth="1"/>
    <col min="4612" max="4612" width="8.625" style="2071" bestFit="1" customWidth="1"/>
    <col min="4613" max="4613" width="0" style="2071" hidden="1" customWidth="1"/>
    <col min="4614" max="4614" width="7.625" style="2071" bestFit="1" customWidth="1"/>
    <col min="4615" max="4859" width="15.125" style="2071"/>
    <col min="4860" max="4860" width="28.5" style="2071" customWidth="1"/>
    <col min="4861" max="4861" width="9.625" style="2071" bestFit="1" customWidth="1"/>
    <col min="4862" max="4862" width="8" style="2071" customWidth="1"/>
    <col min="4863" max="4863" width="9.125" style="2071" bestFit="1" customWidth="1"/>
    <col min="4864" max="4864" width="9.25" style="2071" bestFit="1" customWidth="1"/>
    <col min="4865" max="4865" width="9.75" style="2071" bestFit="1" customWidth="1"/>
    <col min="4866" max="4867" width="9.125" style="2071" bestFit="1" customWidth="1"/>
    <col min="4868" max="4868" width="8.625" style="2071" bestFit="1" customWidth="1"/>
    <col min="4869" max="4869" width="0" style="2071" hidden="1" customWidth="1"/>
    <col min="4870" max="4870" width="7.625" style="2071" bestFit="1" customWidth="1"/>
    <col min="4871" max="5115" width="15.125" style="2071"/>
    <col min="5116" max="5116" width="28.5" style="2071" customWidth="1"/>
    <col min="5117" max="5117" width="9.625" style="2071" bestFit="1" customWidth="1"/>
    <col min="5118" max="5118" width="8" style="2071" customWidth="1"/>
    <col min="5119" max="5119" width="9.125" style="2071" bestFit="1" customWidth="1"/>
    <col min="5120" max="5120" width="9.25" style="2071" bestFit="1" customWidth="1"/>
    <col min="5121" max="5121" width="9.75" style="2071" bestFit="1" customWidth="1"/>
    <col min="5122" max="5123" width="9.125" style="2071" bestFit="1" customWidth="1"/>
    <col min="5124" max="5124" width="8.625" style="2071" bestFit="1" customWidth="1"/>
    <col min="5125" max="5125" width="0" style="2071" hidden="1" customWidth="1"/>
    <col min="5126" max="5126" width="7.625" style="2071" bestFit="1" customWidth="1"/>
    <col min="5127" max="5371" width="15.125" style="2071"/>
    <col min="5372" max="5372" width="28.5" style="2071" customWidth="1"/>
    <col min="5373" max="5373" width="9.625" style="2071" bestFit="1" customWidth="1"/>
    <col min="5374" max="5374" width="8" style="2071" customWidth="1"/>
    <col min="5375" max="5375" width="9.125" style="2071" bestFit="1" customWidth="1"/>
    <col min="5376" max="5376" width="9.25" style="2071" bestFit="1" customWidth="1"/>
    <col min="5377" max="5377" width="9.75" style="2071" bestFit="1" customWidth="1"/>
    <col min="5378" max="5379" width="9.125" style="2071" bestFit="1" customWidth="1"/>
    <col min="5380" max="5380" width="8.625" style="2071" bestFit="1" customWidth="1"/>
    <col min="5381" max="5381" width="0" style="2071" hidden="1" customWidth="1"/>
    <col min="5382" max="5382" width="7.625" style="2071" bestFit="1" customWidth="1"/>
    <col min="5383" max="5627" width="15.125" style="2071"/>
    <col min="5628" max="5628" width="28.5" style="2071" customWidth="1"/>
    <col min="5629" max="5629" width="9.625" style="2071" bestFit="1" customWidth="1"/>
    <col min="5630" max="5630" width="8" style="2071" customWidth="1"/>
    <col min="5631" max="5631" width="9.125" style="2071" bestFit="1" customWidth="1"/>
    <col min="5632" max="5632" width="9.25" style="2071" bestFit="1" customWidth="1"/>
    <col min="5633" max="5633" width="9.75" style="2071" bestFit="1" customWidth="1"/>
    <col min="5634" max="5635" width="9.125" style="2071" bestFit="1" customWidth="1"/>
    <col min="5636" max="5636" width="8.625" style="2071" bestFit="1" customWidth="1"/>
    <col min="5637" max="5637" width="0" style="2071" hidden="1" customWidth="1"/>
    <col min="5638" max="5638" width="7.625" style="2071" bestFit="1" customWidth="1"/>
    <col min="5639" max="5883" width="15.125" style="2071"/>
    <col min="5884" max="5884" width="28.5" style="2071" customWidth="1"/>
    <col min="5885" max="5885" width="9.625" style="2071" bestFit="1" customWidth="1"/>
    <col min="5886" max="5886" width="8" style="2071" customWidth="1"/>
    <col min="5887" max="5887" width="9.125" style="2071" bestFit="1" customWidth="1"/>
    <col min="5888" max="5888" width="9.25" style="2071" bestFit="1" customWidth="1"/>
    <col min="5889" max="5889" width="9.75" style="2071" bestFit="1" customWidth="1"/>
    <col min="5890" max="5891" width="9.125" style="2071" bestFit="1" customWidth="1"/>
    <col min="5892" max="5892" width="8.625" style="2071" bestFit="1" customWidth="1"/>
    <col min="5893" max="5893" width="0" style="2071" hidden="1" customWidth="1"/>
    <col min="5894" max="5894" width="7.625" style="2071" bestFit="1" customWidth="1"/>
    <col min="5895" max="6139" width="15.125" style="2071"/>
    <col min="6140" max="6140" width="28.5" style="2071" customWidth="1"/>
    <col min="6141" max="6141" width="9.625" style="2071" bestFit="1" customWidth="1"/>
    <col min="6142" max="6142" width="8" style="2071" customWidth="1"/>
    <col min="6143" max="6143" width="9.125" style="2071" bestFit="1" customWidth="1"/>
    <col min="6144" max="6144" width="9.25" style="2071" bestFit="1" customWidth="1"/>
    <col min="6145" max="6145" width="9.75" style="2071" bestFit="1" customWidth="1"/>
    <col min="6146" max="6147" width="9.125" style="2071" bestFit="1" customWidth="1"/>
    <col min="6148" max="6148" width="8.625" style="2071" bestFit="1" customWidth="1"/>
    <col min="6149" max="6149" width="0" style="2071" hidden="1" customWidth="1"/>
    <col min="6150" max="6150" width="7.625" style="2071" bestFit="1" customWidth="1"/>
    <col min="6151" max="6395" width="15.125" style="2071"/>
    <col min="6396" max="6396" width="28.5" style="2071" customWidth="1"/>
    <col min="6397" max="6397" width="9.625" style="2071" bestFit="1" customWidth="1"/>
    <col min="6398" max="6398" width="8" style="2071" customWidth="1"/>
    <col min="6399" max="6399" width="9.125" style="2071" bestFit="1" customWidth="1"/>
    <col min="6400" max="6400" width="9.25" style="2071" bestFit="1" customWidth="1"/>
    <col min="6401" max="6401" width="9.75" style="2071" bestFit="1" customWidth="1"/>
    <col min="6402" max="6403" width="9.125" style="2071" bestFit="1" customWidth="1"/>
    <col min="6404" max="6404" width="8.625" style="2071" bestFit="1" customWidth="1"/>
    <col min="6405" max="6405" width="0" style="2071" hidden="1" customWidth="1"/>
    <col min="6406" max="6406" width="7.625" style="2071" bestFit="1" customWidth="1"/>
    <col min="6407" max="6651" width="15.125" style="2071"/>
    <col min="6652" max="6652" width="28.5" style="2071" customWidth="1"/>
    <col min="6653" max="6653" width="9.625" style="2071" bestFit="1" customWidth="1"/>
    <col min="6654" max="6654" width="8" style="2071" customWidth="1"/>
    <col min="6655" max="6655" width="9.125" style="2071" bestFit="1" customWidth="1"/>
    <col min="6656" max="6656" width="9.25" style="2071" bestFit="1" customWidth="1"/>
    <col min="6657" max="6657" width="9.75" style="2071" bestFit="1" customWidth="1"/>
    <col min="6658" max="6659" width="9.125" style="2071" bestFit="1" customWidth="1"/>
    <col min="6660" max="6660" width="8.625" style="2071" bestFit="1" customWidth="1"/>
    <col min="6661" max="6661" width="0" style="2071" hidden="1" customWidth="1"/>
    <col min="6662" max="6662" width="7.625" style="2071" bestFit="1" customWidth="1"/>
    <col min="6663" max="6907" width="15.125" style="2071"/>
    <col min="6908" max="6908" width="28.5" style="2071" customWidth="1"/>
    <col min="6909" max="6909" width="9.625" style="2071" bestFit="1" customWidth="1"/>
    <col min="6910" max="6910" width="8" style="2071" customWidth="1"/>
    <col min="6911" max="6911" width="9.125" style="2071" bestFit="1" customWidth="1"/>
    <col min="6912" max="6912" width="9.25" style="2071" bestFit="1" customWidth="1"/>
    <col min="6913" max="6913" width="9.75" style="2071" bestFit="1" customWidth="1"/>
    <col min="6914" max="6915" width="9.125" style="2071" bestFit="1" customWidth="1"/>
    <col min="6916" max="6916" width="8.625" style="2071" bestFit="1" customWidth="1"/>
    <col min="6917" max="6917" width="0" style="2071" hidden="1" customWidth="1"/>
    <col min="6918" max="6918" width="7.625" style="2071" bestFit="1" customWidth="1"/>
    <col min="6919" max="7163" width="15.125" style="2071"/>
    <col min="7164" max="7164" width="28.5" style="2071" customWidth="1"/>
    <col min="7165" max="7165" width="9.625" style="2071" bestFit="1" customWidth="1"/>
    <col min="7166" max="7166" width="8" style="2071" customWidth="1"/>
    <col min="7167" max="7167" width="9.125" style="2071" bestFit="1" customWidth="1"/>
    <col min="7168" max="7168" width="9.25" style="2071" bestFit="1" customWidth="1"/>
    <col min="7169" max="7169" width="9.75" style="2071" bestFit="1" customWidth="1"/>
    <col min="7170" max="7171" width="9.125" style="2071" bestFit="1" customWidth="1"/>
    <col min="7172" max="7172" width="8.625" style="2071" bestFit="1" customWidth="1"/>
    <col min="7173" max="7173" width="0" style="2071" hidden="1" customWidth="1"/>
    <col min="7174" max="7174" width="7.625" style="2071" bestFit="1" customWidth="1"/>
    <col min="7175" max="7419" width="15.125" style="2071"/>
    <col min="7420" max="7420" width="28.5" style="2071" customWidth="1"/>
    <col min="7421" max="7421" width="9.625" style="2071" bestFit="1" customWidth="1"/>
    <col min="7422" max="7422" width="8" style="2071" customWidth="1"/>
    <col min="7423" max="7423" width="9.125" style="2071" bestFit="1" customWidth="1"/>
    <col min="7424" max="7424" width="9.25" style="2071" bestFit="1" customWidth="1"/>
    <col min="7425" max="7425" width="9.75" style="2071" bestFit="1" customWidth="1"/>
    <col min="7426" max="7427" width="9.125" style="2071" bestFit="1" customWidth="1"/>
    <col min="7428" max="7428" width="8.625" style="2071" bestFit="1" customWidth="1"/>
    <col min="7429" max="7429" width="0" style="2071" hidden="1" customWidth="1"/>
    <col min="7430" max="7430" width="7.625" style="2071" bestFit="1" customWidth="1"/>
    <col min="7431" max="7675" width="15.125" style="2071"/>
    <col min="7676" max="7676" width="28.5" style="2071" customWidth="1"/>
    <col min="7677" max="7677" width="9.625" style="2071" bestFit="1" customWidth="1"/>
    <col min="7678" max="7678" width="8" style="2071" customWidth="1"/>
    <col min="7679" max="7679" width="9.125" style="2071" bestFit="1" customWidth="1"/>
    <col min="7680" max="7680" width="9.25" style="2071" bestFit="1" customWidth="1"/>
    <col min="7681" max="7681" width="9.75" style="2071" bestFit="1" customWidth="1"/>
    <col min="7682" max="7683" width="9.125" style="2071" bestFit="1" customWidth="1"/>
    <col min="7684" max="7684" width="8.625" style="2071" bestFit="1" customWidth="1"/>
    <col min="7685" max="7685" width="0" style="2071" hidden="1" customWidth="1"/>
    <col min="7686" max="7686" width="7.625" style="2071" bestFit="1" customWidth="1"/>
    <col min="7687" max="7931" width="15.125" style="2071"/>
    <col min="7932" max="7932" width="28.5" style="2071" customWidth="1"/>
    <col min="7933" max="7933" width="9.625" style="2071" bestFit="1" customWidth="1"/>
    <col min="7934" max="7934" width="8" style="2071" customWidth="1"/>
    <col min="7935" max="7935" width="9.125" style="2071" bestFit="1" customWidth="1"/>
    <col min="7936" max="7936" width="9.25" style="2071" bestFit="1" customWidth="1"/>
    <col min="7937" max="7937" width="9.75" style="2071" bestFit="1" customWidth="1"/>
    <col min="7938" max="7939" width="9.125" style="2071" bestFit="1" customWidth="1"/>
    <col min="7940" max="7940" width="8.625" style="2071" bestFit="1" customWidth="1"/>
    <col min="7941" max="7941" width="0" style="2071" hidden="1" customWidth="1"/>
    <col min="7942" max="7942" width="7.625" style="2071" bestFit="1" customWidth="1"/>
    <col min="7943" max="8187" width="15.125" style="2071"/>
    <col min="8188" max="8188" width="28.5" style="2071" customWidth="1"/>
    <col min="8189" max="8189" width="9.625" style="2071" bestFit="1" customWidth="1"/>
    <col min="8190" max="8190" width="8" style="2071" customWidth="1"/>
    <col min="8191" max="8191" width="9.125" style="2071" bestFit="1" customWidth="1"/>
    <col min="8192" max="8192" width="9.25" style="2071" bestFit="1" customWidth="1"/>
    <col min="8193" max="8193" width="9.75" style="2071" bestFit="1" customWidth="1"/>
    <col min="8194" max="8195" width="9.125" style="2071" bestFit="1" customWidth="1"/>
    <col min="8196" max="8196" width="8.625" style="2071" bestFit="1" customWidth="1"/>
    <col min="8197" max="8197" width="0" style="2071" hidden="1" customWidth="1"/>
    <col min="8198" max="8198" width="7.625" style="2071" bestFit="1" customWidth="1"/>
    <col min="8199" max="8443" width="15.125" style="2071"/>
    <col min="8444" max="8444" width="28.5" style="2071" customWidth="1"/>
    <col min="8445" max="8445" width="9.625" style="2071" bestFit="1" customWidth="1"/>
    <col min="8446" max="8446" width="8" style="2071" customWidth="1"/>
    <col min="8447" max="8447" width="9.125" style="2071" bestFit="1" customWidth="1"/>
    <col min="8448" max="8448" width="9.25" style="2071" bestFit="1" customWidth="1"/>
    <col min="8449" max="8449" width="9.75" style="2071" bestFit="1" customWidth="1"/>
    <col min="8450" max="8451" width="9.125" style="2071" bestFit="1" customWidth="1"/>
    <col min="8452" max="8452" width="8.625" style="2071" bestFit="1" customWidth="1"/>
    <col min="8453" max="8453" width="0" style="2071" hidden="1" customWidth="1"/>
    <col min="8454" max="8454" width="7.625" style="2071" bestFit="1" customWidth="1"/>
    <col min="8455" max="8699" width="15.125" style="2071"/>
    <col min="8700" max="8700" width="28.5" style="2071" customWidth="1"/>
    <col min="8701" max="8701" width="9.625" style="2071" bestFit="1" customWidth="1"/>
    <col min="8702" max="8702" width="8" style="2071" customWidth="1"/>
    <col min="8703" max="8703" width="9.125" style="2071" bestFit="1" customWidth="1"/>
    <col min="8704" max="8704" width="9.25" style="2071" bestFit="1" customWidth="1"/>
    <col min="8705" max="8705" width="9.75" style="2071" bestFit="1" customWidth="1"/>
    <col min="8706" max="8707" width="9.125" style="2071" bestFit="1" customWidth="1"/>
    <col min="8708" max="8708" width="8.625" style="2071" bestFit="1" customWidth="1"/>
    <col min="8709" max="8709" width="0" style="2071" hidden="1" customWidth="1"/>
    <col min="8710" max="8710" width="7.625" style="2071" bestFit="1" customWidth="1"/>
    <col min="8711" max="8955" width="15.125" style="2071"/>
    <col min="8956" max="8956" width="28.5" style="2071" customWidth="1"/>
    <col min="8957" max="8957" width="9.625" style="2071" bestFit="1" customWidth="1"/>
    <col min="8958" max="8958" width="8" style="2071" customWidth="1"/>
    <col min="8959" max="8959" width="9.125" style="2071" bestFit="1" customWidth="1"/>
    <col min="8960" max="8960" width="9.25" style="2071" bestFit="1" customWidth="1"/>
    <col min="8961" max="8961" width="9.75" style="2071" bestFit="1" customWidth="1"/>
    <col min="8962" max="8963" width="9.125" style="2071" bestFit="1" customWidth="1"/>
    <col min="8964" max="8964" width="8.625" style="2071" bestFit="1" customWidth="1"/>
    <col min="8965" max="8965" width="0" style="2071" hidden="1" customWidth="1"/>
    <col min="8966" max="8966" width="7.625" style="2071" bestFit="1" customWidth="1"/>
    <col min="8967" max="9211" width="15.125" style="2071"/>
    <col min="9212" max="9212" width="28.5" style="2071" customWidth="1"/>
    <col min="9213" max="9213" width="9.625" style="2071" bestFit="1" customWidth="1"/>
    <col min="9214" max="9214" width="8" style="2071" customWidth="1"/>
    <col min="9215" max="9215" width="9.125" style="2071" bestFit="1" customWidth="1"/>
    <col min="9216" max="9216" width="9.25" style="2071" bestFit="1" customWidth="1"/>
    <col min="9217" max="9217" width="9.75" style="2071" bestFit="1" customWidth="1"/>
    <col min="9218" max="9219" width="9.125" style="2071" bestFit="1" customWidth="1"/>
    <col min="9220" max="9220" width="8.625" style="2071" bestFit="1" customWidth="1"/>
    <col min="9221" max="9221" width="0" style="2071" hidden="1" customWidth="1"/>
    <col min="9222" max="9222" width="7.625" style="2071" bestFit="1" customWidth="1"/>
    <col min="9223" max="9467" width="15.125" style="2071"/>
    <col min="9468" max="9468" width="28.5" style="2071" customWidth="1"/>
    <col min="9469" max="9469" width="9.625" style="2071" bestFit="1" customWidth="1"/>
    <col min="9470" max="9470" width="8" style="2071" customWidth="1"/>
    <col min="9471" max="9471" width="9.125" style="2071" bestFit="1" customWidth="1"/>
    <col min="9472" max="9472" width="9.25" style="2071" bestFit="1" customWidth="1"/>
    <col min="9473" max="9473" width="9.75" style="2071" bestFit="1" customWidth="1"/>
    <col min="9474" max="9475" width="9.125" style="2071" bestFit="1" customWidth="1"/>
    <col min="9476" max="9476" width="8.625" style="2071" bestFit="1" customWidth="1"/>
    <col min="9477" max="9477" width="0" style="2071" hidden="1" customWidth="1"/>
    <col min="9478" max="9478" width="7.625" style="2071" bestFit="1" customWidth="1"/>
    <col min="9479" max="9723" width="15.125" style="2071"/>
    <col min="9724" max="9724" width="28.5" style="2071" customWidth="1"/>
    <col min="9725" max="9725" width="9.625" style="2071" bestFit="1" customWidth="1"/>
    <col min="9726" max="9726" width="8" style="2071" customWidth="1"/>
    <col min="9727" max="9727" width="9.125" style="2071" bestFit="1" customWidth="1"/>
    <col min="9728" max="9728" width="9.25" style="2071" bestFit="1" customWidth="1"/>
    <col min="9729" max="9729" width="9.75" style="2071" bestFit="1" customWidth="1"/>
    <col min="9730" max="9731" width="9.125" style="2071" bestFit="1" customWidth="1"/>
    <col min="9732" max="9732" width="8.625" style="2071" bestFit="1" customWidth="1"/>
    <col min="9733" max="9733" width="0" style="2071" hidden="1" customWidth="1"/>
    <col min="9734" max="9734" width="7.625" style="2071" bestFit="1" customWidth="1"/>
    <col min="9735" max="9979" width="15.125" style="2071"/>
    <col min="9980" max="9980" width="28.5" style="2071" customWidth="1"/>
    <col min="9981" max="9981" width="9.625" style="2071" bestFit="1" customWidth="1"/>
    <col min="9982" max="9982" width="8" style="2071" customWidth="1"/>
    <col min="9983" max="9983" width="9.125" style="2071" bestFit="1" customWidth="1"/>
    <col min="9984" max="9984" width="9.25" style="2071" bestFit="1" customWidth="1"/>
    <col min="9985" max="9985" width="9.75" style="2071" bestFit="1" customWidth="1"/>
    <col min="9986" max="9987" width="9.125" style="2071" bestFit="1" customWidth="1"/>
    <col min="9988" max="9988" width="8.625" style="2071" bestFit="1" customWidth="1"/>
    <col min="9989" max="9989" width="0" style="2071" hidden="1" customWidth="1"/>
    <col min="9990" max="9990" width="7.625" style="2071" bestFit="1" customWidth="1"/>
    <col min="9991" max="10235" width="15.125" style="2071"/>
    <col min="10236" max="10236" width="28.5" style="2071" customWidth="1"/>
    <col min="10237" max="10237" width="9.625" style="2071" bestFit="1" customWidth="1"/>
    <col min="10238" max="10238" width="8" style="2071" customWidth="1"/>
    <col min="10239" max="10239" width="9.125" style="2071" bestFit="1" customWidth="1"/>
    <col min="10240" max="10240" width="9.25" style="2071" bestFit="1" customWidth="1"/>
    <col min="10241" max="10241" width="9.75" style="2071" bestFit="1" customWidth="1"/>
    <col min="10242" max="10243" width="9.125" style="2071" bestFit="1" customWidth="1"/>
    <col min="10244" max="10244" width="8.625" style="2071" bestFit="1" customWidth="1"/>
    <col min="10245" max="10245" width="0" style="2071" hidden="1" customWidth="1"/>
    <col min="10246" max="10246" width="7.625" style="2071" bestFit="1" customWidth="1"/>
    <col min="10247" max="10491" width="15.125" style="2071"/>
    <col min="10492" max="10492" width="28.5" style="2071" customWidth="1"/>
    <col min="10493" max="10493" width="9.625" style="2071" bestFit="1" customWidth="1"/>
    <col min="10494" max="10494" width="8" style="2071" customWidth="1"/>
    <col min="10495" max="10495" width="9.125" style="2071" bestFit="1" customWidth="1"/>
    <col min="10496" max="10496" width="9.25" style="2071" bestFit="1" customWidth="1"/>
    <col min="10497" max="10497" width="9.75" style="2071" bestFit="1" customWidth="1"/>
    <col min="10498" max="10499" width="9.125" style="2071" bestFit="1" customWidth="1"/>
    <col min="10500" max="10500" width="8.625" style="2071" bestFit="1" customWidth="1"/>
    <col min="10501" max="10501" width="0" style="2071" hidden="1" customWidth="1"/>
    <col min="10502" max="10502" width="7.625" style="2071" bestFit="1" customWidth="1"/>
    <col min="10503" max="10747" width="15.125" style="2071"/>
    <col min="10748" max="10748" width="28.5" style="2071" customWidth="1"/>
    <col min="10749" max="10749" width="9.625" style="2071" bestFit="1" customWidth="1"/>
    <col min="10750" max="10750" width="8" style="2071" customWidth="1"/>
    <col min="10751" max="10751" width="9.125" style="2071" bestFit="1" customWidth="1"/>
    <col min="10752" max="10752" width="9.25" style="2071" bestFit="1" customWidth="1"/>
    <col min="10753" max="10753" width="9.75" style="2071" bestFit="1" customWidth="1"/>
    <col min="10754" max="10755" width="9.125" style="2071" bestFit="1" customWidth="1"/>
    <col min="10756" max="10756" width="8.625" style="2071" bestFit="1" customWidth="1"/>
    <col min="10757" max="10757" width="0" style="2071" hidden="1" customWidth="1"/>
    <col min="10758" max="10758" width="7.625" style="2071" bestFit="1" customWidth="1"/>
    <col min="10759" max="11003" width="15.125" style="2071"/>
    <col min="11004" max="11004" width="28.5" style="2071" customWidth="1"/>
    <col min="11005" max="11005" width="9.625" style="2071" bestFit="1" customWidth="1"/>
    <col min="11006" max="11006" width="8" style="2071" customWidth="1"/>
    <col min="11007" max="11007" width="9.125" style="2071" bestFit="1" customWidth="1"/>
    <col min="11008" max="11008" width="9.25" style="2071" bestFit="1" customWidth="1"/>
    <col min="11009" max="11009" width="9.75" style="2071" bestFit="1" customWidth="1"/>
    <col min="11010" max="11011" width="9.125" style="2071" bestFit="1" customWidth="1"/>
    <col min="11012" max="11012" width="8.625" style="2071" bestFit="1" customWidth="1"/>
    <col min="11013" max="11013" width="0" style="2071" hidden="1" customWidth="1"/>
    <col min="11014" max="11014" width="7.625" style="2071" bestFit="1" customWidth="1"/>
    <col min="11015" max="11259" width="15.125" style="2071"/>
    <col min="11260" max="11260" width="28.5" style="2071" customWidth="1"/>
    <col min="11261" max="11261" width="9.625" style="2071" bestFit="1" customWidth="1"/>
    <col min="11262" max="11262" width="8" style="2071" customWidth="1"/>
    <col min="11263" max="11263" width="9.125" style="2071" bestFit="1" customWidth="1"/>
    <col min="11264" max="11264" width="9.25" style="2071" bestFit="1" customWidth="1"/>
    <col min="11265" max="11265" width="9.75" style="2071" bestFit="1" customWidth="1"/>
    <col min="11266" max="11267" width="9.125" style="2071" bestFit="1" customWidth="1"/>
    <col min="11268" max="11268" width="8.625" style="2071" bestFit="1" customWidth="1"/>
    <col min="11269" max="11269" width="0" style="2071" hidden="1" customWidth="1"/>
    <col min="11270" max="11270" width="7.625" style="2071" bestFit="1" customWidth="1"/>
    <col min="11271" max="11515" width="15.125" style="2071"/>
    <col min="11516" max="11516" width="28.5" style="2071" customWidth="1"/>
    <col min="11517" max="11517" width="9.625" style="2071" bestFit="1" customWidth="1"/>
    <col min="11518" max="11518" width="8" style="2071" customWidth="1"/>
    <col min="11519" max="11519" width="9.125" style="2071" bestFit="1" customWidth="1"/>
    <col min="11520" max="11520" width="9.25" style="2071" bestFit="1" customWidth="1"/>
    <col min="11521" max="11521" width="9.75" style="2071" bestFit="1" customWidth="1"/>
    <col min="11522" max="11523" width="9.125" style="2071" bestFit="1" customWidth="1"/>
    <col min="11524" max="11524" width="8.625" style="2071" bestFit="1" customWidth="1"/>
    <col min="11525" max="11525" width="0" style="2071" hidden="1" customWidth="1"/>
    <col min="11526" max="11526" width="7.625" style="2071" bestFit="1" customWidth="1"/>
    <col min="11527" max="11771" width="15.125" style="2071"/>
    <col min="11772" max="11772" width="28.5" style="2071" customWidth="1"/>
    <col min="11773" max="11773" width="9.625" style="2071" bestFit="1" customWidth="1"/>
    <col min="11774" max="11774" width="8" style="2071" customWidth="1"/>
    <col min="11775" max="11775" width="9.125" style="2071" bestFit="1" customWidth="1"/>
    <col min="11776" max="11776" width="9.25" style="2071" bestFit="1" customWidth="1"/>
    <col min="11777" max="11777" width="9.75" style="2071" bestFit="1" customWidth="1"/>
    <col min="11778" max="11779" width="9.125" style="2071" bestFit="1" customWidth="1"/>
    <col min="11780" max="11780" width="8.625" style="2071" bestFit="1" customWidth="1"/>
    <col min="11781" max="11781" width="0" style="2071" hidden="1" customWidth="1"/>
    <col min="11782" max="11782" width="7.625" style="2071" bestFit="1" customWidth="1"/>
    <col min="11783" max="12027" width="15.125" style="2071"/>
    <col min="12028" max="12028" width="28.5" style="2071" customWidth="1"/>
    <col min="12029" max="12029" width="9.625" style="2071" bestFit="1" customWidth="1"/>
    <col min="12030" max="12030" width="8" style="2071" customWidth="1"/>
    <col min="12031" max="12031" width="9.125" style="2071" bestFit="1" customWidth="1"/>
    <col min="12032" max="12032" width="9.25" style="2071" bestFit="1" customWidth="1"/>
    <col min="12033" max="12033" width="9.75" style="2071" bestFit="1" customWidth="1"/>
    <col min="12034" max="12035" width="9.125" style="2071" bestFit="1" customWidth="1"/>
    <col min="12036" max="12036" width="8.625" style="2071" bestFit="1" customWidth="1"/>
    <col min="12037" max="12037" width="0" style="2071" hidden="1" customWidth="1"/>
    <col min="12038" max="12038" width="7.625" style="2071" bestFit="1" customWidth="1"/>
    <col min="12039" max="12283" width="15.125" style="2071"/>
    <col min="12284" max="12284" width="28.5" style="2071" customWidth="1"/>
    <col min="12285" max="12285" width="9.625" style="2071" bestFit="1" customWidth="1"/>
    <col min="12286" max="12286" width="8" style="2071" customWidth="1"/>
    <col min="12287" max="12287" width="9.125" style="2071" bestFit="1" customWidth="1"/>
    <col min="12288" max="12288" width="9.25" style="2071" bestFit="1" customWidth="1"/>
    <col min="12289" max="12289" width="9.75" style="2071" bestFit="1" customWidth="1"/>
    <col min="12290" max="12291" width="9.125" style="2071" bestFit="1" customWidth="1"/>
    <col min="12292" max="12292" width="8.625" style="2071" bestFit="1" customWidth="1"/>
    <col min="12293" max="12293" width="0" style="2071" hidden="1" customWidth="1"/>
    <col min="12294" max="12294" width="7.625" style="2071" bestFit="1" customWidth="1"/>
    <col min="12295" max="12539" width="15.125" style="2071"/>
    <col min="12540" max="12540" width="28.5" style="2071" customWidth="1"/>
    <col min="12541" max="12541" width="9.625" style="2071" bestFit="1" customWidth="1"/>
    <col min="12542" max="12542" width="8" style="2071" customWidth="1"/>
    <col min="12543" max="12543" width="9.125" style="2071" bestFit="1" customWidth="1"/>
    <col min="12544" max="12544" width="9.25" style="2071" bestFit="1" customWidth="1"/>
    <col min="12545" max="12545" width="9.75" style="2071" bestFit="1" customWidth="1"/>
    <col min="12546" max="12547" width="9.125" style="2071" bestFit="1" customWidth="1"/>
    <col min="12548" max="12548" width="8.625" style="2071" bestFit="1" customWidth="1"/>
    <col min="12549" max="12549" width="0" style="2071" hidden="1" customWidth="1"/>
    <col min="12550" max="12550" width="7.625" style="2071" bestFit="1" customWidth="1"/>
    <col min="12551" max="12795" width="15.125" style="2071"/>
    <col min="12796" max="12796" width="28.5" style="2071" customWidth="1"/>
    <col min="12797" max="12797" width="9.625" style="2071" bestFit="1" customWidth="1"/>
    <col min="12798" max="12798" width="8" style="2071" customWidth="1"/>
    <col min="12799" max="12799" width="9.125" style="2071" bestFit="1" customWidth="1"/>
    <col min="12800" max="12800" width="9.25" style="2071" bestFit="1" customWidth="1"/>
    <col min="12801" max="12801" width="9.75" style="2071" bestFit="1" customWidth="1"/>
    <col min="12802" max="12803" width="9.125" style="2071" bestFit="1" customWidth="1"/>
    <col min="12804" max="12804" width="8.625" style="2071" bestFit="1" customWidth="1"/>
    <col min="12805" max="12805" width="0" style="2071" hidden="1" customWidth="1"/>
    <col min="12806" max="12806" width="7.625" style="2071" bestFit="1" customWidth="1"/>
    <col min="12807" max="13051" width="15.125" style="2071"/>
    <col min="13052" max="13052" width="28.5" style="2071" customWidth="1"/>
    <col min="13053" max="13053" width="9.625" style="2071" bestFit="1" customWidth="1"/>
    <col min="13054" max="13054" width="8" style="2071" customWidth="1"/>
    <col min="13055" max="13055" width="9.125" style="2071" bestFit="1" customWidth="1"/>
    <col min="13056" max="13056" width="9.25" style="2071" bestFit="1" customWidth="1"/>
    <col min="13057" max="13057" width="9.75" style="2071" bestFit="1" customWidth="1"/>
    <col min="13058" max="13059" width="9.125" style="2071" bestFit="1" customWidth="1"/>
    <col min="13060" max="13060" width="8.625" style="2071" bestFit="1" customWidth="1"/>
    <col min="13061" max="13061" width="0" style="2071" hidden="1" customWidth="1"/>
    <col min="13062" max="13062" width="7.625" style="2071" bestFit="1" customWidth="1"/>
    <col min="13063" max="13307" width="15.125" style="2071"/>
    <col min="13308" max="13308" width="28.5" style="2071" customWidth="1"/>
    <col min="13309" max="13309" width="9.625" style="2071" bestFit="1" customWidth="1"/>
    <col min="13310" max="13310" width="8" style="2071" customWidth="1"/>
    <col min="13311" max="13311" width="9.125" style="2071" bestFit="1" customWidth="1"/>
    <col min="13312" max="13312" width="9.25" style="2071" bestFit="1" customWidth="1"/>
    <col min="13313" max="13313" width="9.75" style="2071" bestFit="1" customWidth="1"/>
    <col min="13314" max="13315" width="9.125" style="2071" bestFit="1" customWidth="1"/>
    <col min="13316" max="13316" width="8.625" style="2071" bestFit="1" customWidth="1"/>
    <col min="13317" max="13317" width="0" style="2071" hidden="1" customWidth="1"/>
    <col min="13318" max="13318" width="7.625" style="2071" bestFit="1" customWidth="1"/>
    <col min="13319" max="13563" width="15.125" style="2071"/>
    <col min="13564" max="13564" width="28.5" style="2071" customWidth="1"/>
    <col min="13565" max="13565" width="9.625" style="2071" bestFit="1" customWidth="1"/>
    <col min="13566" max="13566" width="8" style="2071" customWidth="1"/>
    <col min="13567" max="13567" width="9.125" style="2071" bestFit="1" customWidth="1"/>
    <col min="13568" max="13568" width="9.25" style="2071" bestFit="1" customWidth="1"/>
    <col min="13569" max="13569" width="9.75" style="2071" bestFit="1" customWidth="1"/>
    <col min="13570" max="13571" width="9.125" style="2071" bestFit="1" customWidth="1"/>
    <col min="13572" max="13572" width="8.625" style="2071" bestFit="1" customWidth="1"/>
    <col min="13573" max="13573" width="0" style="2071" hidden="1" customWidth="1"/>
    <col min="13574" max="13574" width="7.625" style="2071" bestFit="1" customWidth="1"/>
    <col min="13575" max="13819" width="15.125" style="2071"/>
    <col min="13820" max="13820" width="28.5" style="2071" customWidth="1"/>
    <col min="13821" max="13821" width="9.625" style="2071" bestFit="1" customWidth="1"/>
    <col min="13822" max="13822" width="8" style="2071" customWidth="1"/>
    <col min="13823" max="13823" width="9.125" style="2071" bestFit="1" customWidth="1"/>
    <col min="13824" max="13824" width="9.25" style="2071" bestFit="1" customWidth="1"/>
    <col min="13825" max="13825" width="9.75" style="2071" bestFit="1" customWidth="1"/>
    <col min="13826" max="13827" width="9.125" style="2071" bestFit="1" customWidth="1"/>
    <col min="13828" max="13828" width="8.625" style="2071" bestFit="1" customWidth="1"/>
    <col min="13829" max="13829" width="0" style="2071" hidden="1" customWidth="1"/>
    <col min="13830" max="13830" width="7.625" style="2071" bestFit="1" customWidth="1"/>
    <col min="13831" max="14075" width="15.125" style="2071"/>
    <col min="14076" max="14076" width="28.5" style="2071" customWidth="1"/>
    <col min="14077" max="14077" width="9.625" style="2071" bestFit="1" customWidth="1"/>
    <col min="14078" max="14078" width="8" style="2071" customWidth="1"/>
    <col min="14079" max="14079" width="9.125" style="2071" bestFit="1" customWidth="1"/>
    <col min="14080" max="14080" width="9.25" style="2071" bestFit="1" customWidth="1"/>
    <col min="14081" max="14081" width="9.75" style="2071" bestFit="1" customWidth="1"/>
    <col min="14082" max="14083" width="9.125" style="2071" bestFit="1" customWidth="1"/>
    <col min="14084" max="14084" width="8.625" style="2071" bestFit="1" customWidth="1"/>
    <col min="14085" max="14085" width="0" style="2071" hidden="1" customWidth="1"/>
    <col min="14086" max="14086" width="7.625" style="2071" bestFit="1" customWidth="1"/>
    <col min="14087" max="14331" width="15.125" style="2071"/>
    <col min="14332" max="14332" width="28.5" style="2071" customWidth="1"/>
    <col min="14333" max="14333" width="9.625" style="2071" bestFit="1" customWidth="1"/>
    <col min="14334" max="14334" width="8" style="2071" customWidth="1"/>
    <col min="14335" max="14335" width="9.125" style="2071" bestFit="1" customWidth="1"/>
    <col min="14336" max="14336" width="9.25" style="2071" bestFit="1" customWidth="1"/>
    <col min="14337" max="14337" width="9.75" style="2071" bestFit="1" customWidth="1"/>
    <col min="14338" max="14339" width="9.125" style="2071" bestFit="1" customWidth="1"/>
    <col min="14340" max="14340" width="8.625" style="2071" bestFit="1" customWidth="1"/>
    <col min="14341" max="14341" width="0" style="2071" hidden="1" customWidth="1"/>
    <col min="14342" max="14342" width="7.625" style="2071" bestFit="1" customWidth="1"/>
    <col min="14343" max="14587" width="15.125" style="2071"/>
    <col min="14588" max="14588" width="28.5" style="2071" customWidth="1"/>
    <col min="14589" max="14589" width="9.625" style="2071" bestFit="1" customWidth="1"/>
    <col min="14590" max="14590" width="8" style="2071" customWidth="1"/>
    <col min="14591" max="14591" width="9.125" style="2071" bestFit="1" customWidth="1"/>
    <col min="14592" max="14592" width="9.25" style="2071" bestFit="1" customWidth="1"/>
    <col min="14593" max="14593" width="9.75" style="2071" bestFit="1" customWidth="1"/>
    <col min="14594" max="14595" width="9.125" style="2071" bestFit="1" customWidth="1"/>
    <col min="14596" max="14596" width="8.625" style="2071" bestFit="1" customWidth="1"/>
    <col min="14597" max="14597" width="0" style="2071" hidden="1" customWidth="1"/>
    <col min="14598" max="14598" width="7.625" style="2071" bestFit="1" customWidth="1"/>
    <col min="14599" max="14843" width="15.125" style="2071"/>
    <col min="14844" max="14844" width="28.5" style="2071" customWidth="1"/>
    <col min="14845" max="14845" width="9.625" style="2071" bestFit="1" customWidth="1"/>
    <col min="14846" max="14846" width="8" style="2071" customWidth="1"/>
    <col min="14847" max="14847" width="9.125" style="2071" bestFit="1" customWidth="1"/>
    <col min="14848" max="14848" width="9.25" style="2071" bestFit="1" customWidth="1"/>
    <col min="14849" max="14849" width="9.75" style="2071" bestFit="1" customWidth="1"/>
    <col min="14850" max="14851" width="9.125" style="2071" bestFit="1" customWidth="1"/>
    <col min="14852" max="14852" width="8.625" style="2071" bestFit="1" customWidth="1"/>
    <col min="14853" max="14853" width="0" style="2071" hidden="1" customWidth="1"/>
    <col min="14854" max="14854" width="7.625" style="2071" bestFit="1" customWidth="1"/>
    <col min="14855" max="15099" width="15.125" style="2071"/>
    <col min="15100" max="15100" width="28.5" style="2071" customWidth="1"/>
    <col min="15101" max="15101" width="9.625" style="2071" bestFit="1" customWidth="1"/>
    <col min="15102" max="15102" width="8" style="2071" customWidth="1"/>
    <col min="15103" max="15103" width="9.125" style="2071" bestFit="1" customWidth="1"/>
    <col min="15104" max="15104" width="9.25" style="2071" bestFit="1" customWidth="1"/>
    <col min="15105" max="15105" width="9.75" style="2071" bestFit="1" customWidth="1"/>
    <col min="15106" max="15107" width="9.125" style="2071" bestFit="1" customWidth="1"/>
    <col min="15108" max="15108" width="8.625" style="2071" bestFit="1" customWidth="1"/>
    <col min="15109" max="15109" width="0" style="2071" hidden="1" customWidth="1"/>
    <col min="15110" max="15110" width="7.625" style="2071" bestFit="1" customWidth="1"/>
    <col min="15111" max="15355" width="15.125" style="2071"/>
    <col min="15356" max="15356" width="28.5" style="2071" customWidth="1"/>
    <col min="15357" max="15357" width="9.625" style="2071" bestFit="1" customWidth="1"/>
    <col min="15358" max="15358" width="8" style="2071" customWidth="1"/>
    <col min="15359" max="15359" width="9.125" style="2071" bestFit="1" customWidth="1"/>
    <col min="15360" max="15360" width="9.25" style="2071" bestFit="1" customWidth="1"/>
    <col min="15361" max="15361" width="9.75" style="2071" bestFit="1" customWidth="1"/>
    <col min="15362" max="15363" width="9.125" style="2071" bestFit="1" customWidth="1"/>
    <col min="15364" max="15364" width="8.625" style="2071" bestFit="1" customWidth="1"/>
    <col min="15365" max="15365" width="0" style="2071" hidden="1" customWidth="1"/>
    <col min="15366" max="15366" width="7.625" style="2071" bestFit="1" customWidth="1"/>
    <col min="15367" max="15611" width="15.125" style="2071"/>
    <col min="15612" max="15612" width="28.5" style="2071" customWidth="1"/>
    <col min="15613" max="15613" width="9.625" style="2071" bestFit="1" customWidth="1"/>
    <col min="15614" max="15614" width="8" style="2071" customWidth="1"/>
    <col min="15615" max="15615" width="9.125" style="2071" bestFit="1" customWidth="1"/>
    <col min="15616" max="15616" width="9.25" style="2071" bestFit="1" customWidth="1"/>
    <col min="15617" max="15617" width="9.75" style="2071" bestFit="1" customWidth="1"/>
    <col min="15618" max="15619" width="9.125" style="2071" bestFit="1" customWidth="1"/>
    <col min="15620" max="15620" width="8.625" style="2071" bestFit="1" customWidth="1"/>
    <col min="15621" max="15621" width="0" style="2071" hidden="1" customWidth="1"/>
    <col min="15622" max="15622" width="7.625" style="2071" bestFit="1" customWidth="1"/>
    <col min="15623" max="15867" width="15.125" style="2071"/>
    <col min="15868" max="15868" width="28.5" style="2071" customWidth="1"/>
    <col min="15869" max="15869" width="9.625" style="2071" bestFit="1" customWidth="1"/>
    <col min="15870" max="15870" width="8" style="2071" customWidth="1"/>
    <col min="15871" max="15871" width="9.125" style="2071" bestFit="1" customWidth="1"/>
    <col min="15872" max="15872" width="9.25" style="2071" bestFit="1" customWidth="1"/>
    <col min="15873" max="15873" width="9.75" style="2071" bestFit="1" customWidth="1"/>
    <col min="15874" max="15875" width="9.125" style="2071" bestFit="1" customWidth="1"/>
    <col min="15876" max="15876" width="8.625" style="2071" bestFit="1" customWidth="1"/>
    <col min="15877" max="15877" width="0" style="2071" hidden="1" customWidth="1"/>
    <col min="15878" max="15878" width="7.625" style="2071" bestFit="1" customWidth="1"/>
    <col min="15879" max="16123" width="15.125" style="2071"/>
    <col min="16124" max="16124" width="28.5" style="2071" customWidth="1"/>
    <col min="16125" max="16125" width="9.625" style="2071" bestFit="1" customWidth="1"/>
    <col min="16126" max="16126" width="8" style="2071" customWidth="1"/>
    <col min="16127" max="16127" width="9.125" style="2071" bestFit="1" customWidth="1"/>
    <col min="16128" max="16128" width="9.25" style="2071" bestFit="1" customWidth="1"/>
    <col min="16129" max="16129" width="9.75" style="2071" bestFit="1" customWidth="1"/>
    <col min="16130" max="16131" width="9.125" style="2071" bestFit="1" customWidth="1"/>
    <col min="16132" max="16132" width="8.625" style="2071" bestFit="1" customWidth="1"/>
    <col min="16133" max="16133" width="0" style="2071" hidden="1" customWidth="1"/>
    <col min="16134" max="16134" width="7.625" style="2071" bestFit="1" customWidth="1"/>
    <col min="16135" max="16384" width="15.125" style="2071"/>
  </cols>
  <sheetData>
    <row r="1" spans="1:6" ht="41.45" customHeight="1"/>
    <row r="2" spans="1:6" s="2222" customFormat="1">
      <c r="A2" s="2786" t="s">
        <v>297</v>
      </c>
      <c r="B2" s="2786"/>
      <c r="C2" s="2786"/>
      <c r="D2" s="2786"/>
      <c r="E2" s="2786"/>
      <c r="F2" s="2786"/>
    </row>
    <row r="3" spans="1:6" s="2075" customFormat="1" ht="15.75">
      <c r="A3" s="2787" t="s">
        <v>1836</v>
      </c>
      <c r="B3" s="2787"/>
      <c r="C3" s="2787"/>
      <c r="D3" s="2787"/>
      <c r="E3" s="2787"/>
      <c r="F3" s="2787"/>
    </row>
    <row r="4" spans="1:6" s="2075" customFormat="1">
      <c r="A4" s="2787" t="s">
        <v>1978</v>
      </c>
      <c r="B4" s="2787"/>
      <c r="C4" s="2787"/>
      <c r="D4" s="2787"/>
      <c r="E4" s="2787"/>
      <c r="F4" s="2787"/>
    </row>
    <row r="5" spans="1:6" s="2075" customFormat="1">
      <c r="A5" s="2247"/>
      <c r="B5" s="2247"/>
      <c r="C5" s="2247"/>
      <c r="D5" s="2247"/>
      <c r="E5" s="2247"/>
      <c r="F5" s="2247"/>
    </row>
    <row r="6" spans="1:6" s="2222" customFormat="1" ht="16.5" customHeight="1">
      <c r="A6" s="2248"/>
      <c r="B6" s="2788" t="s">
        <v>300</v>
      </c>
      <c r="C6" s="2789"/>
      <c r="D6" s="2789"/>
      <c r="E6" s="2789"/>
      <c r="F6" s="2790"/>
    </row>
    <row r="7" spans="1:6" s="2222" customFormat="1" ht="15" customHeight="1">
      <c r="A7" s="2250" t="s">
        <v>485</v>
      </c>
      <c r="B7" s="2251" t="s">
        <v>1982</v>
      </c>
      <c r="C7" s="2251" t="s">
        <v>1983</v>
      </c>
      <c r="D7" s="2251" t="s">
        <v>1984</v>
      </c>
      <c r="E7" s="2251" t="s">
        <v>1985</v>
      </c>
      <c r="F7" s="2252" t="s">
        <v>465</v>
      </c>
    </row>
    <row r="8" spans="1:6" s="2222" customFormat="1" ht="15.75" customHeight="1" thickBot="1">
      <c r="A8" s="2254" t="s">
        <v>310</v>
      </c>
      <c r="B8" s="2251" t="s">
        <v>311</v>
      </c>
      <c r="C8" s="2255" t="s">
        <v>484</v>
      </c>
      <c r="D8" s="2256" t="s">
        <v>311</v>
      </c>
      <c r="E8" s="2255" t="s">
        <v>483</v>
      </c>
      <c r="F8" s="2256" t="s">
        <v>1986</v>
      </c>
    </row>
    <row r="9" spans="1:6" s="2222" customFormat="1" ht="13.5" thickTop="1">
      <c r="A9" s="2261" t="s">
        <v>2</v>
      </c>
      <c r="B9" s="2453"/>
      <c r="C9" s="2262">
        <f>C10+C11+C12</f>
        <v>50769</v>
      </c>
      <c r="D9" s="2263">
        <f>D10+D11+D12</f>
        <v>48365</v>
      </c>
      <c r="E9" s="2263">
        <f>E10+E11+E12</f>
        <v>46370</v>
      </c>
      <c r="F9" s="2093">
        <f>F10+F11+F12</f>
        <v>48501.333333333336</v>
      </c>
    </row>
    <row r="10" spans="1:6" s="2419" customFormat="1">
      <c r="A10" s="2266" t="s">
        <v>1159</v>
      </c>
      <c r="B10" s="2454"/>
      <c r="C10" s="2455">
        <v>41666</v>
      </c>
      <c r="D10" s="2456">
        <v>39754</v>
      </c>
      <c r="E10" s="2456">
        <v>38263</v>
      </c>
      <c r="F10" s="2348">
        <f>(C10+D10+E10)/3</f>
        <v>39894.333333333336</v>
      </c>
    </row>
    <row r="11" spans="1:6" s="2419" customFormat="1">
      <c r="A11" s="2266" t="s">
        <v>479</v>
      </c>
      <c r="B11" s="2454"/>
      <c r="C11" s="2455">
        <v>4864</v>
      </c>
      <c r="D11" s="2456">
        <v>4539</v>
      </c>
      <c r="E11" s="2456">
        <v>4382</v>
      </c>
      <c r="F11" s="2348">
        <f>(C11+D11+E11)/3</f>
        <v>4595</v>
      </c>
    </row>
    <row r="12" spans="1:6" s="2419" customFormat="1">
      <c r="A12" s="2266" t="s">
        <v>478</v>
      </c>
      <c r="B12" s="2454"/>
      <c r="C12" s="2455">
        <v>4239</v>
      </c>
      <c r="D12" s="2456">
        <v>4072</v>
      </c>
      <c r="E12" s="2456">
        <v>3725</v>
      </c>
      <c r="F12" s="2348">
        <f>(C12+D12+E12)/3</f>
        <v>4012</v>
      </c>
    </row>
    <row r="13" spans="1:6" s="2222" customFormat="1">
      <c r="A13" s="2271" t="s">
        <v>590</v>
      </c>
      <c r="B13" s="2308"/>
      <c r="C13" s="2274">
        <f t="shared" ref="C13:E13" si="0">C14+C15+C16+C17+C22</f>
        <v>24621</v>
      </c>
      <c r="D13" s="2274">
        <f t="shared" si="0"/>
        <v>641</v>
      </c>
      <c r="E13" s="2274">
        <f t="shared" si="0"/>
        <v>22561</v>
      </c>
      <c r="F13" s="2274">
        <f>F14+F15+F16+F17+F22</f>
        <v>23690.5</v>
      </c>
    </row>
    <row r="14" spans="1:6" s="2419" customFormat="1">
      <c r="A14" s="2277" t="s">
        <v>589</v>
      </c>
      <c r="B14" s="2454"/>
      <c r="C14" s="2455">
        <v>20674</v>
      </c>
      <c r="D14" s="2438"/>
      <c r="E14" s="2456">
        <v>18939</v>
      </c>
      <c r="F14" s="2457">
        <f>(C14+E14)/2</f>
        <v>19806.5</v>
      </c>
    </row>
    <row r="15" spans="1:6" s="2419" customFormat="1">
      <c r="A15" s="2266" t="s">
        <v>474</v>
      </c>
      <c r="B15" s="2454"/>
      <c r="C15" s="2455">
        <v>1105</v>
      </c>
      <c r="D15" s="2438"/>
      <c r="E15" s="2456">
        <v>1026</v>
      </c>
      <c r="F15" s="2457">
        <f>(C15+E15)/2</f>
        <v>1065.5</v>
      </c>
    </row>
    <row r="16" spans="1:6" s="2419" customFormat="1">
      <c r="A16" s="2277" t="s">
        <v>473</v>
      </c>
      <c r="B16" s="2454"/>
      <c r="C16" s="2455">
        <v>2199</v>
      </c>
      <c r="D16" s="2438"/>
      <c r="E16" s="2456">
        <v>2108</v>
      </c>
      <c r="F16" s="2457">
        <f>(C16+E16)/2</f>
        <v>2153.5</v>
      </c>
    </row>
    <row r="17" spans="1:6" s="2222" customFormat="1" ht="15.75">
      <c r="A17" s="2277" t="s">
        <v>1606</v>
      </c>
      <c r="B17" s="2454">
        <f>B18+B19+B20+B21</f>
        <v>89</v>
      </c>
      <c r="C17" s="2454">
        <f>C18+C19+C20+C21</f>
        <v>196</v>
      </c>
      <c r="D17" s="2438">
        <f>D18+D19+D20+D21</f>
        <v>217</v>
      </c>
      <c r="E17" s="2438">
        <f>E18+E19+E21+E20</f>
        <v>137</v>
      </c>
      <c r="F17" s="2458">
        <f>F18+F19+F20+F21</f>
        <v>213</v>
      </c>
    </row>
    <row r="18" spans="1:6" s="2419" customFormat="1">
      <c r="A18" s="2285" t="s">
        <v>93</v>
      </c>
      <c r="B18" s="2454">
        <v>0</v>
      </c>
      <c r="C18" s="2459">
        <v>0</v>
      </c>
      <c r="D18" s="2456">
        <v>0</v>
      </c>
      <c r="E18" s="2438">
        <v>0</v>
      </c>
      <c r="F18" s="2460">
        <f>(B18+C18+D18+E18)/3</f>
        <v>0</v>
      </c>
    </row>
    <row r="19" spans="1:6" s="2419" customFormat="1">
      <c r="A19" s="2285" t="s">
        <v>96</v>
      </c>
      <c r="B19" s="2461">
        <v>0</v>
      </c>
      <c r="C19" s="2459">
        <v>0</v>
      </c>
      <c r="D19" s="2456">
        <v>0</v>
      </c>
      <c r="E19" s="2438">
        <v>0</v>
      </c>
      <c r="F19" s="2460">
        <f>(B19+C19+D19+E19)/3</f>
        <v>0</v>
      </c>
    </row>
    <row r="20" spans="1:6" s="2419" customFormat="1">
      <c r="A20" s="2285" t="s">
        <v>98</v>
      </c>
      <c r="B20" s="2461">
        <v>78</v>
      </c>
      <c r="C20" s="2462">
        <v>196</v>
      </c>
      <c r="D20" s="2456">
        <v>195</v>
      </c>
      <c r="E20" s="2438">
        <v>118</v>
      </c>
      <c r="F20" s="2460">
        <f>(B20+C20+D20+E20)/3</f>
        <v>195.66666666666666</v>
      </c>
    </row>
    <row r="21" spans="1:6" s="2419" customFormat="1">
      <c r="A21" s="2293" t="s">
        <v>1150</v>
      </c>
      <c r="B21" s="2463">
        <v>11</v>
      </c>
      <c r="C21" s="2462">
        <v>0</v>
      </c>
      <c r="D21" s="2456">
        <v>22</v>
      </c>
      <c r="E21" s="2438">
        <v>19</v>
      </c>
      <c r="F21" s="2206">
        <f>(B21+C21+D21+E21)/3</f>
        <v>17.333333333333332</v>
      </c>
    </row>
    <row r="22" spans="1:6" s="2419" customFormat="1">
      <c r="A22" s="2296" t="s">
        <v>1837</v>
      </c>
      <c r="B22" s="2464">
        <v>134</v>
      </c>
      <c r="C22" s="2412">
        <v>447</v>
      </c>
      <c r="D22" s="2299">
        <v>424</v>
      </c>
      <c r="E22" s="2300">
        <v>351</v>
      </c>
      <c r="F22" s="2200">
        <f>SUM(B22:E22)/3</f>
        <v>452</v>
      </c>
    </row>
    <row r="23" spans="1:6" s="2222" customFormat="1">
      <c r="A23" s="2302" t="s">
        <v>5</v>
      </c>
      <c r="B23" s="2308"/>
      <c r="C23" s="2412">
        <v>8462</v>
      </c>
      <c r="D23" s="2299">
        <v>7979</v>
      </c>
      <c r="E23" s="2300">
        <v>7539</v>
      </c>
      <c r="F23" s="2307">
        <f>SUM(C23+D23+E23)/3</f>
        <v>7993.333333333333</v>
      </c>
    </row>
    <row r="24" spans="1:6" s="2222" customFormat="1">
      <c r="A24" s="2302" t="s">
        <v>4</v>
      </c>
      <c r="B24" s="2308"/>
      <c r="C24" s="2303">
        <v>6536</v>
      </c>
      <c r="D24" s="2299">
        <v>6166</v>
      </c>
      <c r="E24" s="2300">
        <v>5716</v>
      </c>
      <c r="F24" s="2307">
        <f>SUM(C24+D24+E24)/3</f>
        <v>6139.333333333333</v>
      </c>
    </row>
    <row r="25" spans="1:6" s="2222" customFormat="1">
      <c r="A25" s="2302" t="s">
        <v>1979</v>
      </c>
      <c r="B25" s="2308"/>
      <c r="C25" s="2303">
        <v>556</v>
      </c>
      <c r="D25" s="2299"/>
      <c r="E25" s="2300">
        <v>487</v>
      </c>
      <c r="F25" s="2274">
        <f>SUM(C25+E25)/2</f>
        <v>521.5</v>
      </c>
    </row>
    <row r="26" spans="1:6" s="2222" customFormat="1">
      <c r="A26" s="2302" t="s">
        <v>6</v>
      </c>
      <c r="B26" s="2308"/>
      <c r="C26" s="2303">
        <v>1400</v>
      </c>
      <c r="D26" s="2299">
        <v>2001</v>
      </c>
      <c r="E26" s="2300">
        <v>1953</v>
      </c>
      <c r="F26" s="2346">
        <f>(C26+D26+E26)/3</f>
        <v>1784.6666666666667</v>
      </c>
    </row>
    <row r="27" spans="1:6" s="2222" customFormat="1" ht="13.5" thickBot="1">
      <c r="A27" s="2271" t="s">
        <v>7</v>
      </c>
      <c r="B27" s="2308"/>
      <c r="C27" s="2439">
        <v>12762</v>
      </c>
      <c r="D27" s="2299">
        <v>11902</v>
      </c>
      <c r="E27" s="2300">
        <v>11169</v>
      </c>
      <c r="F27" s="2346">
        <f>SUM(C27+D27+E27)/3</f>
        <v>11944.333333333334</v>
      </c>
    </row>
    <row r="28" spans="1:6" s="2222" customFormat="1" ht="13.5" thickTop="1">
      <c r="A28" s="2312" t="s">
        <v>472</v>
      </c>
      <c r="B28" s="2465"/>
      <c r="C28" s="2466">
        <f t="shared" ref="C28:E28" si="1">C9+C13+C23+C24+C25+C26+C27</f>
        <v>105106</v>
      </c>
      <c r="D28" s="2466">
        <f t="shared" si="1"/>
        <v>77054</v>
      </c>
      <c r="E28" s="2466">
        <f t="shared" si="1"/>
        <v>95795</v>
      </c>
      <c r="F28" s="2466">
        <f>F9+F13+F23+F24+F25+F26+F27</f>
        <v>100575</v>
      </c>
    </row>
    <row r="29" spans="1:6" s="2222" customFormat="1">
      <c r="A29" s="2317"/>
      <c r="B29" s="2436"/>
      <c r="C29" s="2436"/>
      <c r="D29" s="2436"/>
      <c r="E29" s="2436"/>
      <c r="F29" s="2318"/>
    </row>
    <row r="30" spans="1:6" s="2222" customFormat="1" ht="15" customHeight="1">
      <c r="A30" s="2778" t="s">
        <v>1980</v>
      </c>
      <c r="B30" s="2807" t="s">
        <v>77</v>
      </c>
      <c r="C30" s="2808"/>
      <c r="D30" s="2808"/>
      <c r="E30" s="2808"/>
      <c r="F30" s="2435"/>
    </row>
    <row r="31" spans="1:6" s="2222" customFormat="1">
      <c r="A31" s="2766"/>
      <c r="B31" s="2433" t="s">
        <v>1982</v>
      </c>
      <c r="C31" s="2433" t="s">
        <v>1983</v>
      </c>
      <c r="D31" s="2433" t="s">
        <v>1984</v>
      </c>
      <c r="E31" s="2433" t="s">
        <v>1985</v>
      </c>
      <c r="F31" s="2252" t="s">
        <v>465</v>
      </c>
    </row>
    <row r="32" spans="1:6" s="2222" customFormat="1" ht="13.5" thickBot="1">
      <c r="A32" s="2767"/>
      <c r="B32" s="2432" t="s">
        <v>311</v>
      </c>
      <c r="C32" s="2431" t="s">
        <v>484</v>
      </c>
      <c r="D32" s="2430" t="s">
        <v>311</v>
      </c>
      <c r="E32" s="2429" t="s">
        <v>483</v>
      </c>
      <c r="F32" s="2396" t="s">
        <v>1986</v>
      </c>
    </row>
    <row r="33" spans="1:6" s="2222" customFormat="1" ht="26.25" thickTop="1">
      <c r="A33" s="2174" t="s">
        <v>582</v>
      </c>
      <c r="B33" s="2467">
        <v>33957</v>
      </c>
      <c r="C33" s="2468">
        <v>86639</v>
      </c>
      <c r="D33" s="2469">
        <v>82120</v>
      </c>
      <c r="E33" s="2470">
        <v>81067</v>
      </c>
      <c r="F33" s="2471">
        <f>(B33+C33+D33+E33)/3</f>
        <v>94594.333333333328</v>
      </c>
    </row>
    <row r="34" spans="1:6" s="2425" customFormat="1">
      <c r="A34" s="2182" t="s">
        <v>581</v>
      </c>
      <c r="B34" s="2472">
        <f>B35+B36</f>
        <v>1934</v>
      </c>
      <c r="C34" s="2472">
        <f>C35+C36</f>
        <v>4233</v>
      </c>
      <c r="D34" s="2469">
        <f>(D35+D36)</f>
        <v>4345</v>
      </c>
      <c r="E34" s="2473">
        <f>E35+E36</f>
        <v>4618</v>
      </c>
      <c r="F34" s="2474">
        <f>(B34+C34+D34+E34)/3</f>
        <v>5043.333333333333</v>
      </c>
    </row>
    <row r="35" spans="1:6" s="2421" customFormat="1">
      <c r="A35" s="2189" t="s">
        <v>460</v>
      </c>
      <c r="B35" s="2475">
        <v>1884</v>
      </c>
      <c r="C35" s="2476">
        <v>4008</v>
      </c>
      <c r="D35" s="2477">
        <v>4109</v>
      </c>
      <c r="E35" s="2478">
        <v>3996</v>
      </c>
      <c r="F35" s="2479">
        <f>(B35+C35+D35+E35)/3</f>
        <v>4665.666666666667</v>
      </c>
    </row>
    <row r="36" spans="1:6" s="2421" customFormat="1">
      <c r="A36" s="2189" t="s">
        <v>459</v>
      </c>
      <c r="B36" s="2475">
        <v>50</v>
      </c>
      <c r="C36" s="2476">
        <v>225</v>
      </c>
      <c r="D36" s="2477">
        <v>236</v>
      </c>
      <c r="E36" s="2480">
        <v>622</v>
      </c>
      <c r="F36" s="2479">
        <f>(B36+C36+D36+E36)/3</f>
        <v>377.66666666666669</v>
      </c>
    </row>
    <row r="37" spans="1:6" s="2222" customFormat="1" ht="15.75">
      <c r="A37" s="2343" t="s">
        <v>1607</v>
      </c>
      <c r="B37" s="2481">
        <v>1185</v>
      </c>
      <c r="C37" s="2298">
        <v>3984</v>
      </c>
      <c r="D37" s="2304">
        <v>3986</v>
      </c>
      <c r="E37" s="2482">
        <v>3915</v>
      </c>
      <c r="F37" s="2483">
        <f>(B37+C37+D37+E37)/3</f>
        <v>4356.666666666667</v>
      </c>
    </row>
    <row r="38" spans="1:6" s="2222" customFormat="1" ht="15.75">
      <c r="A38" s="2296" t="s">
        <v>1608</v>
      </c>
      <c r="B38" s="2484">
        <f>B39+B40+B41+B42+B43+B44</f>
        <v>145</v>
      </c>
      <c r="C38" s="2484">
        <f>C39+C40+C41+C42+C43+C44</f>
        <v>389</v>
      </c>
      <c r="D38" s="2485">
        <f>D39+D40+D41+D42+D43+D44</f>
        <v>316</v>
      </c>
      <c r="E38" s="2485">
        <f>E39+E40+E41+E42+E43+E44</f>
        <v>294</v>
      </c>
      <c r="F38" s="2486">
        <f>SUM(F39+F40+F41+F42+F43+F44)</f>
        <v>387</v>
      </c>
    </row>
    <row r="39" spans="1:6" s="2419" customFormat="1">
      <c r="A39" s="2293" t="s">
        <v>455</v>
      </c>
      <c r="B39" s="2487">
        <v>86</v>
      </c>
      <c r="C39" s="2476">
        <v>196</v>
      </c>
      <c r="D39" s="2488">
        <v>183</v>
      </c>
      <c r="E39" s="2489">
        <v>151</v>
      </c>
      <c r="F39" s="2137">
        <f>(B39+C39+D39+E39)/3</f>
        <v>205.33333333333334</v>
      </c>
    </row>
    <row r="40" spans="1:6" s="2419" customFormat="1">
      <c r="A40" s="2293" t="s">
        <v>454</v>
      </c>
      <c r="B40" s="2487">
        <v>53</v>
      </c>
      <c r="C40" s="2476">
        <v>90</v>
      </c>
      <c r="D40" s="2488">
        <v>77</v>
      </c>
      <c r="E40" s="2489">
        <v>74</v>
      </c>
      <c r="F40" s="2137">
        <f>(B40+C40+D40+E40)/3</f>
        <v>98</v>
      </c>
    </row>
    <row r="41" spans="1:6" s="2419" customFormat="1">
      <c r="A41" s="2293" t="s">
        <v>453</v>
      </c>
      <c r="B41" s="2487">
        <v>0</v>
      </c>
      <c r="C41" s="2476">
        <v>0</v>
      </c>
      <c r="D41" s="2488">
        <v>0</v>
      </c>
      <c r="E41" s="2489">
        <v>1</v>
      </c>
      <c r="F41" s="2137">
        <f>(B41+C41+D41+E41)/3</f>
        <v>0.33333333333333331</v>
      </c>
    </row>
    <row r="42" spans="1:6" s="2419" customFormat="1">
      <c r="A42" s="2293" t="s">
        <v>1152</v>
      </c>
      <c r="B42" s="2487">
        <v>0</v>
      </c>
      <c r="C42" s="2476">
        <v>17</v>
      </c>
      <c r="D42" s="2490">
        <v>0</v>
      </c>
      <c r="E42" s="2489">
        <v>17</v>
      </c>
      <c r="F42" s="2137">
        <f>(B42+C42+D42+E42)/2</f>
        <v>17</v>
      </c>
    </row>
    <row r="43" spans="1:6" s="2419" customFormat="1">
      <c r="A43" s="2293" t="s">
        <v>1852</v>
      </c>
      <c r="B43" s="2487">
        <v>6</v>
      </c>
      <c r="C43" s="2476">
        <v>75</v>
      </c>
      <c r="D43" s="2490">
        <v>46</v>
      </c>
      <c r="E43" s="2489">
        <v>44</v>
      </c>
      <c r="F43" s="2137">
        <f>(B43+C43+D43+E43)/3</f>
        <v>57</v>
      </c>
    </row>
    <row r="44" spans="1:6" s="2419" customFormat="1" ht="13.5" thickBot="1">
      <c r="A44" s="2293" t="s">
        <v>1943</v>
      </c>
      <c r="B44" s="2487">
        <v>0</v>
      </c>
      <c r="C44" s="2476">
        <v>11</v>
      </c>
      <c r="D44" s="2490">
        <v>10</v>
      </c>
      <c r="E44" s="2489">
        <v>7</v>
      </c>
      <c r="F44" s="2491">
        <f>(B44+C44+D44+E44)/3</f>
        <v>9.3333333333333339</v>
      </c>
    </row>
    <row r="45" spans="1:6" s="2247" customFormat="1" ht="16.5" thickTop="1">
      <c r="A45" s="2349" t="s">
        <v>1609</v>
      </c>
      <c r="B45" s="2350">
        <f>B33+B34+B37+B38</f>
        <v>37221</v>
      </c>
      <c r="C45" s="2350">
        <f>C33+C34+C37+C38</f>
        <v>95245</v>
      </c>
      <c r="D45" s="2350">
        <f t="shared" ref="D45:F45" si="2">D33+D34+D37+D38</f>
        <v>90767</v>
      </c>
      <c r="E45" s="2350">
        <f t="shared" si="2"/>
        <v>89894</v>
      </c>
      <c r="F45" s="2350">
        <f t="shared" si="2"/>
        <v>104381.33333333333</v>
      </c>
    </row>
    <row r="46" spans="1:6" s="2222" customFormat="1" ht="13.5" thickBot="1">
      <c r="A46" s="2352"/>
      <c r="B46" s="2353"/>
      <c r="C46" s="2354"/>
      <c r="D46" s="2354"/>
      <c r="E46" s="2354"/>
      <c r="F46" s="2354"/>
    </row>
    <row r="47" spans="1:6" s="2075" customFormat="1" ht="15" thickTop="1" thickBot="1">
      <c r="A47" s="2357" t="s">
        <v>448</v>
      </c>
      <c r="B47" s="2358"/>
      <c r="C47" s="2358"/>
      <c r="D47" s="2359"/>
      <c r="E47" s="2359"/>
      <c r="F47" s="2360">
        <f>F28+F45</f>
        <v>204956.33333333331</v>
      </c>
    </row>
    <row r="48" spans="1:6" s="2075" customFormat="1" ht="14.25" thickTop="1">
      <c r="A48" s="2362"/>
      <c r="B48" s="2363"/>
      <c r="C48" s="2363"/>
      <c r="D48" s="2364"/>
      <c r="E48" s="2364"/>
      <c r="F48" s="2364"/>
    </row>
    <row r="49" spans="1:6">
      <c r="A49" s="2233" t="s">
        <v>574</v>
      </c>
      <c r="B49" s="2366">
        <v>126</v>
      </c>
      <c r="C49" s="2416">
        <v>22177</v>
      </c>
      <c r="D49" s="2415">
        <v>20879</v>
      </c>
      <c r="E49" s="2492">
        <v>19486</v>
      </c>
      <c r="F49" s="2238">
        <f>(B49+C49+D49+E49)/3</f>
        <v>20889.333333333332</v>
      </c>
    </row>
    <row r="50" spans="1:6" s="2075" customFormat="1">
      <c r="A50" s="2367"/>
      <c r="B50" s="2363"/>
      <c r="C50" s="2363"/>
      <c r="D50" s="2364"/>
      <c r="E50" s="2364"/>
      <c r="F50" s="2364"/>
    </row>
    <row r="51" spans="1:6" ht="84" customHeight="1">
      <c r="A51" s="2774" t="s">
        <v>1871</v>
      </c>
      <c r="B51" s="2774"/>
      <c r="C51" s="2774"/>
      <c r="D51" s="2774"/>
      <c r="E51" s="2774"/>
      <c r="F51" s="2774"/>
    </row>
    <row r="52" spans="1:6" ht="29.25" customHeight="1">
      <c r="A52" s="2775" t="s">
        <v>1681</v>
      </c>
      <c r="B52" s="2775"/>
      <c r="C52" s="2775"/>
      <c r="D52" s="2775"/>
      <c r="E52" s="2775"/>
      <c r="F52" s="2775"/>
    </row>
    <row r="53" spans="1:6" ht="37.5" customHeight="1">
      <c r="A53" s="2776" t="s">
        <v>1981</v>
      </c>
      <c r="B53" s="2775"/>
      <c r="C53" s="2775"/>
      <c r="D53" s="2775"/>
      <c r="E53" s="2775"/>
      <c r="F53" s="2775"/>
    </row>
    <row r="54" spans="1:6" ht="24.75" customHeight="1">
      <c r="A54" s="2777" t="s">
        <v>1796</v>
      </c>
      <c r="B54" s="2777"/>
      <c r="C54" s="2777"/>
      <c r="D54" s="2777"/>
      <c r="E54" s="2777"/>
      <c r="F54" s="2777"/>
    </row>
    <row r="55" spans="1:6" ht="29.25" customHeight="1">
      <c r="A55" s="2764" t="s">
        <v>1797</v>
      </c>
      <c r="B55" s="2764"/>
      <c r="C55" s="2764"/>
      <c r="D55" s="2764"/>
      <c r="E55" s="2764"/>
      <c r="F55" s="2764"/>
    </row>
  </sheetData>
  <mergeCells count="11">
    <mergeCell ref="A51:F51"/>
    <mergeCell ref="A52:F52"/>
    <mergeCell ref="A53:F53"/>
    <mergeCell ref="A54:F54"/>
    <mergeCell ref="A55:F55"/>
    <mergeCell ref="A2:F2"/>
    <mergeCell ref="A3:F3"/>
    <mergeCell ref="A4:F4"/>
    <mergeCell ref="B6:F6"/>
    <mergeCell ref="A30:A32"/>
    <mergeCell ref="B30:E30"/>
  </mergeCells>
  <pageMargins left="1.5" right="1" top="1" bottom="1" header="0.5" footer="0.5"/>
  <pageSetup scale="7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F6DE9-E2BB-4772-B514-1329B302507E}">
  <sheetPr codeName="Sheet52"/>
  <dimension ref="A1:J56"/>
  <sheetViews>
    <sheetView showGridLines="0" zoomScale="85" zoomScaleNormal="85" workbookViewId="0">
      <selection activeCell="F23" sqref="F23"/>
    </sheetView>
  </sheetViews>
  <sheetFormatPr defaultColWidth="15.125" defaultRowHeight="12.75"/>
  <cols>
    <col min="1" max="1" width="28.5" style="2071" customWidth="1"/>
    <col min="2" max="2" width="9.625" style="2071" bestFit="1" customWidth="1"/>
    <col min="3" max="3" width="8" style="2071" customWidth="1"/>
    <col min="4" max="4" width="9.125" style="2071" bestFit="1" customWidth="1"/>
    <col min="5" max="5" width="9.25" style="2071" bestFit="1" customWidth="1"/>
    <col min="6" max="6" width="9.75" style="2071" bestFit="1" customWidth="1"/>
    <col min="7" max="7" width="4" style="2071" hidden="1" customWidth="1"/>
    <col min="8" max="8" width="7.625" style="2071" hidden="1" customWidth="1"/>
    <col min="9" max="253" width="15.125" style="2071"/>
    <col min="254" max="254" width="28.5" style="2071" customWidth="1"/>
    <col min="255" max="255" width="9.625" style="2071" bestFit="1" customWidth="1"/>
    <col min="256" max="256" width="8" style="2071" customWidth="1"/>
    <col min="257" max="257" width="9.125" style="2071" bestFit="1" customWidth="1"/>
    <col min="258" max="258" width="9.25" style="2071" bestFit="1" customWidth="1"/>
    <col min="259" max="259" width="9.75" style="2071" bestFit="1" customWidth="1"/>
    <col min="260" max="261" width="9.125" style="2071" bestFit="1" customWidth="1"/>
    <col min="262" max="262" width="8.625" style="2071" bestFit="1" customWidth="1"/>
    <col min="263" max="263" width="0" style="2071" hidden="1" customWidth="1"/>
    <col min="264" max="264" width="7.625" style="2071" bestFit="1" customWidth="1"/>
    <col min="265" max="509" width="15.125" style="2071"/>
    <col min="510" max="510" width="28.5" style="2071" customWidth="1"/>
    <col min="511" max="511" width="9.625" style="2071" bestFit="1" customWidth="1"/>
    <col min="512" max="512" width="8" style="2071" customWidth="1"/>
    <col min="513" max="513" width="9.125" style="2071" bestFit="1" customWidth="1"/>
    <col min="514" max="514" width="9.25" style="2071" bestFit="1" customWidth="1"/>
    <col min="515" max="515" width="9.75" style="2071" bestFit="1" customWidth="1"/>
    <col min="516" max="517" width="9.125" style="2071" bestFit="1" customWidth="1"/>
    <col min="518" max="518" width="8.625" style="2071" bestFit="1" customWidth="1"/>
    <col min="519" max="519" width="0" style="2071" hidden="1" customWidth="1"/>
    <col min="520" max="520" width="7.625" style="2071" bestFit="1" customWidth="1"/>
    <col min="521" max="765" width="15.125" style="2071"/>
    <col min="766" max="766" width="28.5" style="2071" customWidth="1"/>
    <col min="767" max="767" width="9.625" style="2071" bestFit="1" customWidth="1"/>
    <col min="768" max="768" width="8" style="2071" customWidth="1"/>
    <col min="769" max="769" width="9.125" style="2071" bestFit="1" customWidth="1"/>
    <col min="770" max="770" width="9.25" style="2071" bestFit="1" customWidth="1"/>
    <col min="771" max="771" width="9.75" style="2071" bestFit="1" customWidth="1"/>
    <col min="772" max="773" width="9.125" style="2071" bestFit="1" customWidth="1"/>
    <col min="774" max="774" width="8.625" style="2071" bestFit="1" customWidth="1"/>
    <col min="775" max="775" width="0" style="2071" hidden="1" customWidth="1"/>
    <col min="776" max="776" width="7.625" style="2071" bestFit="1" customWidth="1"/>
    <col min="777" max="1021" width="15.125" style="2071"/>
    <col min="1022" max="1022" width="28.5" style="2071" customWidth="1"/>
    <col min="1023" max="1023" width="9.625" style="2071" bestFit="1" customWidth="1"/>
    <col min="1024" max="1024" width="8" style="2071" customWidth="1"/>
    <col min="1025" max="1025" width="9.125" style="2071" bestFit="1" customWidth="1"/>
    <col min="1026" max="1026" width="9.25" style="2071" bestFit="1" customWidth="1"/>
    <col min="1027" max="1027" width="9.75" style="2071" bestFit="1" customWidth="1"/>
    <col min="1028" max="1029" width="9.125" style="2071" bestFit="1" customWidth="1"/>
    <col min="1030" max="1030" width="8.625" style="2071" bestFit="1" customWidth="1"/>
    <col min="1031" max="1031" width="0" style="2071" hidden="1" customWidth="1"/>
    <col min="1032" max="1032" width="7.625" style="2071" bestFit="1" customWidth="1"/>
    <col min="1033" max="1277" width="15.125" style="2071"/>
    <col min="1278" max="1278" width="28.5" style="2071" customWidth="1"/>
    <col min="1279" max="1279" width="9.625" style="2071" bestFit="1" customWidth="1"/>
    <col min="1280" max="1280" width="8" style="2071" customWidth="1"/>
    <col min="1281" max="1281" width="9.125" style="2071" bestFit="1" customWidth="1"/>
    <col min="1282" max="1282" width="9.25" style="2071" bestFit="1" customWidth="1"/>
    <col min="1283" max="1283" width="9.75" style="2071" bestFit="1" customWidth="1"/>
    <col min="1284" max="1285" width="9.125" style="2071" bestFit="1" customWidth="1"/>
    <col min="1286" max="1286" width="8.625" style="2071" bestFit="1" customWidth="1"/>
    <col min="1287" max="1287" width="0" style="2071" hidden="1" customWidth="1"/>
    <col min="1288" max="1288" width="7.625" style="2071" bestFit="1" customWidth="1"/>
    <col min="1289" max="1533" width="15.125" style="2071"/>
    <col min="1534" max="1534" width="28.5" style="2071" customWidth="1"/>
    <col min="1535" max="1535" width="9.625" style="2071" bestFit="1" customWidth="1"/>
    <col min="1536" max="1536" width="8" style="2071" customWidth="1"/>
    <col min="1537" max="1537" width="9.125" style="2071" bestFit="1" customWidth="1"/>
    <col min="1538" max="1538" width="9.25" style="2071" bestFit="1" customWidth="1"/>
    <col min="1539" max="1539" width="9.75" style="2071" bestFit="1" customWidth="1"/>
    <col min="1540" max="1541" width="9.125" style="2071" bestFit="1" customWidth="1"/>
    <col min="1542" max="1542" width="8.625" style="2071" bestFit="1" customWidth="1"/>
    <col min="1543" max="1543" width="0" style="2071" hidden="1" customWidth="1"/>
    <col min="1544" max="1544" width="7.625" style="2071" bestFit="1" customWidth="1"/>
    <col min="1545" max="1789" width="15.125" style="2071"/>
    <col min="1790" max="1790" width="28.5" style="2071" customWidth="1"/>
    <col min="1791" max="1791" width="9.625" style="2071" bestFit="1" customWidth="1"/>
    <col min="1792" max="1792" width="8" style="2071" customWidth="1"/>
    <col min="1793" max="1793" width="9.125" style="2071" bestFit="1" customWidth="1"/>
    <col min="1794" max="1794" width="9.25" style="2071" bestFit="1" customWidth="1"/>
    <col min="1795" max="1795" width="9.75" style="2071" bestFit="1" customWidth="1"/>
    <col min="1796" max="1797" width="9.125" style="2071" bestFit="1" customWidth="1"/>
    <col min="1798" max="1798" width="8.625" style="2071" bestFit="1" customWidth="1"/>
    <col min="1799" max="1799" width="0" style="2071" hidden="1" customWidth="1"/>
    <col min="1800" max="1800" width="7.625" style="2071" bestFit="1" customWidth="1"/>
    <col min="1801" max="2045" width="15.125" style="2071"/>
    <col min="2046" max="2046" width="28.5" style="2071" customWidth="1"/>
    <col min="2047" max="2047" width="9.625" style="2071" bestFit="1" customWidth="1"/>
    <col min="2048" max="2048" width="8" style="2071" customWidth="1"/>
    <col min="2049" max="2049" width="9.125" style="2071" bestFit="1" customWidth="1"/>
    <col min="2050" max="2050" width="9.25" style="2071" bestFit="1" customWidth="1"/>
    <col min="2051" max="2051" width="9.75" style="2071" bestFit="1" customWidth="1"/>
    <col min="2052" max="2053" width="9.125" style="2071" bestFit="1" customWidth="1"/>
    <col min="2054" max="2054" width="8.625" style="2071" bestFit="1" customWidth="1"/>
    <col min="2055" max="2055" width="0" style="2071" hidden="1" customWidth="1"/>
    <col min="2056" max="2056" width="7.625" style="2071" bestFit="1" customWidth="1"/>
    <col min="2057" max="2301" width="15.125" style="2071"/>
    <col min="2302" max="2302" width="28.5" style="2071" customWidth="1"/>
    <col min="2303" max="2303" width="9.625" style="2071" bestFit="1" customWidth="1"/>
    <col min="2304" max="2304" width="8" style="2071" customWidth="1"/>
    <col min="2305" max="2305" width="9.125" style="2071" bestFit="1" customWidth="1"/>
    <col min="2306" max="2306" width="9.25" style="2071" bestFit="1" customWidth="1"/>
    <col min="2307" max="2307" width="9.75" style="2071" bestFit="1" customWidth="1"/>
    <col min="2308" max="2309" width="9.125" style="2071" bestFit="1" customWidth="1"/>
    <col min="2310" max="2310" width="8.625" style="2071" bestFit="1" customWidth="1"/>
    <col min="2311" max="2311" width="0" style="2071" hidden="1" customWidth="1"/>
    <col min="2312" max="2312" width="7.625" style="2071" bestFit="1" customWidth="1"/>
    <col min="2313" max="2557" width="15.125" style="2071"/>
    <col min="2558" max="2558" width="28.5" style="2071" customWidth="1"/>
    <col min="2559" max="2559" width="9.625" style="2071" bestFit="1" customWidth="1"/>
    <col min="2560" max="2560" width="8" style="2071" customWidth="1"/>
    <col min="2561" max="2561" width="9.125" style="2071" bestFit="1" customWidth="1"/>
    <col min="2562" max="2562" width="9.25" style="2071" bestFit="1" customWidth="1"/>
    <col min="2563" max="2563" width="9.75" style="2071" bestFit="1" customWidth="1"/>
    <col min="2564" max="2565" width="9.125" style="2071" bestFit="1" customWidth="1"/>
    <col min="2566" max="2566" width="8.625" style="2071" bestFit="1" customWidth="1"/>
    <col min="2567" max="2567" width="0" style="2071" hidden="1" customWidth="1"/>
    <col min="2568" max="2568" width="7.625" style="2071" bestFit="1" customWidth="1"/>
    <col min="2569" max="2813" width="15.125" style="2071"/>
    <col min="2814" max="2814" width="28.5" style="2071" customWidth="1"/>
    <col min="2815" max="2815" width="9.625" style="2071" bestFit="1" customWidth="1"/>
    <col min="2816" max="2816" width="8" style="2071" customWidth="1"/>
    <col min="2817" max="2817" width="9.125" style="2071" bestFit="1" customWidth="1"/>
    <col min="2818" max="2818" width="9.25" style="2071" bestFit="1" customWidth="1"/>
    <col min="2819" max="2819" width="9.75" style="2071" bestFit="1" customWidth="1"/>
    <col min="2820" max="2821" width="9.125" style="2071" bestFit="1" customWidth="1"/>
    <col min="2822" max="2822" width="8.625" style="2071" bestFit="1" customWidth="1"/>
    <col min="2823" max="2823" width="0" style="2071" hidden="1" customWidth="1"/>
    <col min="2824" max="2824" width="7.625" style="2071" bestFit="1" customWidth="1"/>
    <col min="2825" max="3069" width="15.125" style="2071"/>
    <col min="3070" max="3070" width="28.5" style="2071" customWidth="1"/>
    <col min="3071" max="3071" width="9.625" style="2071" bestFit="1" customWidth="1"/>
    <col min="3072" max="3072" width="8" style="2071" customWidth="1"/>
    <col min="3073" max="3073" width="9.125" style="2071" bestFit="1" customWidth="1"/>
    <col min="3074" max="3074" width="9.25" style="2071" bestFit="1" customWidth="1"/>
    <col min="3075" max="3075" width="9.75" style="2071" bestFit="1" customWidth="1"/>
    <col min="3076" max="3077" width="9.125" style="2071" bestFit="1" customWidth="1"/>
    <col min="3078" max="3078" width="8.625" style="2071" bestFit="1" customWidth="1"/>
    <col min="3079" max="3079" width="0" style="2071" hidden="1" customWidth="1"/>
    <col min="3080" max="3080" width="7.625" style="2071" bestFit="1" customWidth="1"/>
    <col min="3081" max="3325" width="15.125" style="2071"/>
    <col min="3326" max="3326" width="28.5" style="2071" customWidth="1"/>
    <col min="3327" max="3327" width="9.625" style="2071" bestFit="1" customWidth="1"/>
    <col min="3328" max="3328" width="8" style="2071" customWidth="1"/>
    <col min="3329" max="3329" width="9.125" style="2071" bestFit="1" customWidth="1"/>
    <col min="3330" max="3330" width="9.25" style="2071" bestFit="1" customWidth="1"/>
    <col min="3331" max="3331" width="9.75" style="2071" bestFit="1" customWidth="1"/>
    <col min="3332" max="3333" width="9.125" style="2071" bestFit="1" customWidth="1"/>
    <col min="3334" max="3334" width="8.625" style="2071" bestFit="1" customWidth="1"/>
    <col min="3335" max="3335" width="0" style="2071" hidden="1" customWidth="1"/>
    <col min="3336" max="3336" width="7.625" style="2071" bestFit="1" customWidth="1"/>
    <col min="3337" max="3581" width="15.125" style="2071"/>
    <col min="3582" max="3582" width="28.5" style="2071" customWidth="1"/>
    <col min="3583" max="3583" width="9.625" style="2071" bestFit="1" customWidth="1"/>
    <col min="3584" max="3584" width="8" style="2071" customWidth="1"/>
    <col min="3585" max="3585" width="9.125" style="2071" bestFit="1" customWidth="1"/>
    <col min="3586" max="3586" width="9.25" style="2071" bestFit="1" customWidth="1"/>
    <col min="3587" max="3587" width="9.75" style="2071" bestFit="1" customWidth="1"/>
    <col min="3588" max="3589" width="9.125" style="2071" bestFit="1" customWidth="1"/>
    <col min="3590" max="3590" width="8.625" style="2071" bestFit="1" customWidth="1"/>
    <col min="3591" max="3591" width="0" style="2071" hidden="1" customWidth="1"/>
    <col min="3592" max="3592" width="7.625" style="2071" bestFit="1" customWidth="1"/>
    <col min="3593" max="3837" width="15.125" style="2071"/>
    <col min="3838" max="3838" width="28.5" style="2071" customWidth="1"/>
    <col min="3839" max="3839" width="9.625" style="2071" bestFit="1" customWidth="1"/>
    <col min="3840" max="3840" width="8" style="2071" customWidth="1"/>
    <col min="3841" max="3841" width="9.125" style="2071" bestFit="1" customWidth="1"/>
    <col min="3842" max="3842" width="9.25" style="2071" bestFit="1" customWidth="1"/>
    <col min="3843" max="3843" width="9.75" style="2071" bestFit="1" customWidth="1"/>
    <col min="3844" max="3845" width="9.125" style="2071" bestFit="1" customWidth="1"/>
    <col min="3846" max="3846" width="8.625" style="2071" bestFit="1" customWidth="1"/>
    <col min="3847" max="3847" width="0" style="2071" hidden="1" customWidth="1"/>
    <col min="3848" max="3848" width="7.625" style="2071" bestFit="1" customWidth="1"/>
    <col min="3849" max="4093" width="15.125" style="2071"/>
    <col min="4094" max="4094" width="28.5" style="2071" customWidth="1"/>
    <col min="4095" max="4095" width="9.625" style="2071" bestFit="1" customWidth="1"/>
    <col min="4096" max="4096" width="8" style="2071" customWidth="1"/>
    <col min="4097" max="4097" width="9.125" style="2071" bestFit="1" customWidth="1"/>
    <col min="4098" max="4098" width="9.25" style="2071" bestFit="1" customWidth="1"/>
    <col min="4099" max="4099" width="9.75" style="2071" bestFit="1" customWidth="1"/>
    <col min="4100" max="4101" width="9.125" style="2071" bestFit="1" customWidth="1"/>
    <col min="4102" max="4102" width="8.625" style="2071" bestFit="1" customWidth="1"/>
    <col min="4103" max="4103" width="0" style="2071" hidden="1" customWidth="1"/>
    <col min="4104" max="4104" width="7.625" style="2071" bestFit="1" customWidth="1"/>
    <col min="4105" max="4349" width="15.125" style="2071"/>
    <col min="4350" max="4350" width="28.5" style="2071" customWidth="1"/>
    <col min="4351" max="4351" width="9.625" style="2071" bestFit="1" customWidth="1"/>
    <col min="4352" max="4352" width="8" style="2071" customWidth="1"/>
    <col min="4353" max="4353" width="9.125" style="2071" bestFit="1" customWidth="1"/>
    <col min="4354" max="4354" width="9.25" style="2071" bestFit="1" customWidth="1"/>
    <col min="4355" max="4355" width="9.75" style="2071" bestFit="1" customWidth="1"/>
    <col min="4356" max="4357" width="9.125" style="2071" bestFit="1" customWidth="1"/>
    <col min="4358" max="4358" width="8.625" style="2071" bestFit="1" customWidth="1"/>
    <col min="4359" max="4359" width="0" style="2071" hidden="1" customWidth="1"/>
    <col min="4360" max="4360" width="7.625" style="2071" bestFit="1" customWidth="1"/>
    <col min="4361" max="4605" width="15.125" style="2071"/>
    <col min="4606" max="4606" width="28.5" style="2071" customWidth="1"/>
    <col min="4607" max="4607" width="9.625" style="2071" bestFit="1" customWidth="1"/>
    <col min="4608" max="4608" width="8" style="2071" customWidth="1"/>
    <col min="4609" max="4609" width="9.125" style="2071" bestFit="1" customWidth="1"/>
    <col min="4610" max="4610" width="9.25" style="2071" bestFit="1" customWidth="1"/>
    <col min="4611" max="4611" width="9.75" style="2071" bestFit="1" customWidth="1"/>
    <col min="4612" max="4613" width="9.125" style="2071" bestFit="1" customWidth="1"/>
    <col min="4614" max="4614" width="8.625" style="2071" bestFit="1" customWidth="1"/>
    <col min="4615" max="4615" width="0" style="2071" hidden="1" customWidth="1"/>
    <col min="4616" max="4616" width="7.625" style="2071" bestFit="1" customWidth="1"/>
    <col min="4617" max="4861" width="15.125" style="2071"/>
    <col min="4862" max="4862" width="28.5" style="2071" customWidth="1"/>
    <col min="4863" max="4863" width="9.625" style="2071" bestFit="1" customWidth="1"/>
    <col min="4864" max="4864" width="8" style="2071" customWidth="1"/>
    <col min="4865" max="4865" width="9.125" style="2071" bestFit="1" customWidth="1"/>
    <col min="4866" max="4866" width="9.25" style="2071" bestFit="1" customWidth="1"/>
    <col min="4867" max="4867" width="9.75" style="2071" bestFit="1" customWidth="1"/>
    <col min="4868" max="4869" width="9.125" style="2071" bestFit="1" customWidth="1"/>
    <col min="4870" max="4870" width="8.625" style="2071" bestFit="1" customWidth="1"/>
    <col min="4871" max="4871" width="0" style="2071" hidden="1" customWidth="1"/>
    <col min="4872" max="4872" width="7.625" style="2071" bestFit="1" customWidth="1"/>
    <col min="4873" max="5117" width="15.125" style="2071"/>
    <col min="5118" max="5118" width="28.5" style="2071" customWidth="1"/>
    <col min="5119" max="5119" width="9.625" style="2071" bestFit="1" customWidth="1"/>
    <col min="5120" max="5120" width="8" style="2071" customWidth="1"/>
    <col min="5121" max="5121" width="9.125" style="2071" bestFit="1" customWidth="1"/>
    <col min="5122" max="5122" width="9.25" style="2071" bestFit="1" customWidth="1"/>
    <col min="5123" max="5123" width="9.75" style="2071" bestFit="1" customWidth="1"/>
    <col min="5124" max="5125" width="9.125" style="2071" bestFit="1" customWidth="1"/>
    <col min="5126" max="5126" width="8.625" style="2071" bestFit="1" customWidth="1"/>
    <col min="5127" max="5127" width="0" style="2071" hidden="1" customWidth="1"/>
    <col min="5128" max="5128" width="7.625" style="2071" bestFit="1" customWidth="1"/>
    <col min="5129" max="5373" width="15.125" style="2071"/>
    <col min="5374" max="5374" width="28.5" style="2071" customWidth="1"/>
    <col min="5375" max="5375" width="9.625" style="2071" bestFit="1" customWidth="1"/>
    <col min="5376" max="5376" width="8" style="2071" customWidth="1"/>
    <col min="5377" max="5377" width="9.125" style="2071" bestFit="1" customWidth="1"/>
    <col min="5378" max="5378" width="9.25" style="2071" bestFit="1" customWidth="1"/>
    <col min="5379" max="5379" width="9.75" style="2071" bestFit="1" customWidth="1"/>
    <col min="5380" max="5381" width="9.125" style="2071" bestFit="1" customWidth="1"/>
    <col min="5382" max="5382" width="8.625" style="2071" bestFit="1" customWidth="1"/>
    <col min="5383" max="5383" width="0" style="2071" hidden="1" customWidth="1"/>
    <col min="5384" max="5384" width="7.625" style="2071" bestFit="1" customWidth="1"/>
    <col min="5385" max="5629" width="15.125" style="2071"/>
    <col min="5630" max="5630" width="28.5" style="2071" customWidth="1"/>
    <col min="5631" max="5631" width="9.625" style="2071" bestFit="1" customWidth="1"/>
    <col min="5632" max="5632" width="8" style="2071" customWidth="1"/>
    <col min="5633" max="5633" width="9.125" style="2071" bestFit="1" customWidth="1"/>
    <col min="5634" max="5634" width="9.25" style="2071" bestFit="1" customWidth="1"/>
    <col min="5635" max="5635" width="9.75" style="2071" bestFit="1" customWidth="1"/>
    <col min="5636" max="5637" width="9.125" style="2071" bestFit="1" customWidth="1"/>
    <col min="5638" max="5638" width="8.625" style="2071" bestFit="1" customWidth="1"/>
    <col min="5639" max="5639" width="0" style="2071" hidden="1" customWidth="1"/>
    <col min="5640" max="5640" width="7.625" style="2071" bestFit="1" customWidth="1"/>
    <col min="5641" max="5885" width="15.125" style="2071"/>
    <col min="5886" max="5886" width="28.5" style="2071" customWidth="1"/>
    <col min="5887" max="5887" width="9.625" style="2071" bestFit="1" customWidth="1"/>
    <col min="5888" max="5888" width="8" style="2071" customWidth="1"/>
    <col min="5889" max="5889" width="9.125" style="2071" bestFit="1" customWidth="1"/>
    <col min="5890" max="5890" width="9.25" style="2071" bestFit="1" customWidth="1"/>
    <col min="5891" max="5891" width="9.75" style="2071" bestFit="1" customWidth="1"/>
    <col min="5892" max="5893" width="9.125" style="2071" bestFit="1" customWidth="1"/>
    <col min="5894" max="5894" width="8.625" style="2071" bestFit="1" customWidth="1"/>
    <col min="5895" max="5895" width="0" style="2071" hidden="1" customWidth="1"/>
    <col min="5896" max="5896" width="7.625" style="2071" bestFit="1" customWidth="1"/>
    <col min="5897" max="6141" width="15.125" style="2071"/>
    <col min="6142" max="6142" width="28.5" style="2071" customWidth="1"/>
    <col min="6143" max="6143" width="9.625" style="2071" bestFit="1" customWidth="1"/>
    <col min="6144" max="6144" width="8" style="2071" customWidth="1"/>
    <col min="6145" max="6145" width="9.125" style="2071" bestFit="1" customWidth="1"/>
    <col min="6146" max="6146" width="9.25" style="2071" bestFit="1" customWidth="1"/>
    <col min="6147" max="6147" width="9.75" style="2071" bestFit="1" customWidth="1"/>
    <col min="6148" max="6149" width="9.125" style="2071" bestFit="1" customWidth="1"/>
    <col min="6150" max="6150" width="8.625" style="2071" bestFit="1" customWidth="1"/>
    <col min="6151" max="6151" width="0" style="2071" hidden="1" customWidth="1"/>
    <col min="6152" max="6152" width="7.625" style="2071" bestFit="1" customWidth="1"/>
    <col min="6153" max="6397" width="15.125" style="2071"/>
    <col min="6398" max="6398" width="28.5" style="2071" customWidth="1"/>
    <col min="6399" max="6399" width="9.625" style="2071" bestFit="1" customWidth="1"/>
    <col min="6400" max="6400" width="8" style="2071" customWidth="1"/>
    <col min="6401" max="6401" width="9.125" style="2071" bestFit="1" customWidth="1"/>
    <col min="6402" max="6402" width="9.25" style="2071" bestFit="1" customWidth="1"/>
    <col min="6403" max="6403" width="9.75" style="2071" bestFit="1" customWidth="1"/>
    <col min="6404" max="6405" width="9.125" style="2071" bestFit="1" customWidth="1"/>
    <col min="6406" max="6406" width="8.625" style="2071" bestFit="1" customWidth="1"/>
    <col min="6407" max="6407" width="0" style="2071" hidden="1" customWidth="1"/>
    <col min="6408" max="6408" width="7.625" style="2071" bestFit="1" customWidth="1"/>
    <col min="6409" max="6653" width="15.125" style="2071"/>
    <col min="6654" max="6654" width="28.5" style="2071" customWidth="1"/>
    <col min="6655" max="6655" width="9.625" style="2071" bestFit="1" customWidth="1"/>
    <col min="6656" max="6656" width="8" style="2071" customWidth="1"/>
    <col min="6657" max="6657" width="9.125" style="2071" bestFit="1" customWidth="1"/>
    <col min="6658" max="6658" width="9.25" style="2071" bestFit="1" customWidth="1"/>
    <col min="6659" max="6659" width="9.75" style="2071" bestFit="1" customWidth="1"/>
    <col min="6660" max="6661" width="9.125" style="2071" bestFit="1" customWidth="1"/>
    <col min="6662" max="6662" width="8.625" style="2071" bestFit="1" customWidth="1"/>
    <col min="6663" max="6663" width="0" style="2071" hidden="1" customWidth="1"/>
    <col min="6664" max="6664" width="7.625" style="2071" bestFit="1" customWidth="1"/>
    <col min="6665" max="6909" width="15.125" style="2071"/>
    <col min="6910" max="6910" width="28.5" style="2071" customWidth="1"/>
    <col min="6911" max="6911" width="9.625" style="2071" bestFit="1" customWidth="1"/>
    <col min="6912" max="6912" width="8" style="2071" customWidth="1"/>
    <col min="6913" max="6913" width="9.125" style="2071" bestFit="1" customWidth="1"/>
    <col min="6914" max="6914" width="9.25" style="2071" bestFit="1" customWidth="1"/>
    <col min="6915" max="6915" width="9.75" style="2071" bestFit="1" customWidth="1"/>
    <col min="6916" max="6917" width="9.125" style="2071" bestFit="1" customWidth="1"/>
    <col min="6918" max="6918" width="8.625" style="2071" bestFit="1" customWidth="1"/>
    <col min="6919" max="6919" width="0" style="2071" hidden="1" customWidth="1"/>
    <col min="6920" max="6920" width="7.625" style="2071" bestFit="1" customWidth="1"/>
    <col min="6921" max="7165" width="15.125" style="2071"/>
    <col min="7166" max="7166" width="28.5" style="2071" customWidth="1"/>
    <col min="7167" max="7167" width="9.625" style="2071" bestFit="1" customWidth="1"/>
    <col min="7168" max="7168" width="8" style="2071" customWidth="1"/>
    <col min="7169" max="7169" width="9.125" style="2071" bestFit="1" customWidth="1"/>
    <col min="7170" max="7170" width="9.25" style="2071" bestFit="1" customWidth="1"/>
    <col min="7171" max="7171" width="9.75" style="2071" bestFit="1" customWidth="1"/>
    <col min="7172" max="7173" width="9.125" style="2071" bestFit="1" customWidth="1"/>
    <col min="7174" max="7174" width="8.625" style="2071" bestFit="1" customWidth="1"/>
    <col min="7175" max="7175" width="0" style="2071" hidden="1" customWidth="1"/>
    <col min="7176" max="7176" width="7.625" style="2071" bestFit="1" customWidth="1"/>
    <col min="7177" max="7421" width="15.125" style="2071"/>
    <col min="7422" max="7422" width="28.5" style="2071" customWidth="1"/>
    <col min="7423" max="7423" width="9.625" style="2071" bestFit="1" customWidth="1"/>
    <col min="7424" max="7424" width="8" style="2071" customWidth="1"/>
    <col min="7425" max="7425" width="9.125" style="2071" bestFit="1" customWidth="1"/>
    <col min="7426" max="7426" width="9.25" style="2071" bestFit="1" customWidth="1"/>
    <col min="7427" max="7427" width="9.75" style="2071" bestFit="1" customWidth="1"/>
    <col min="7428" max="7429" width="9.125" style="2071" bestFit="1" customWidth="1"/>
    <col min="7430" max="7430" width="8.625" style="2071" bestFit="1" customWidth="1"/>
    <col min="7431" max="7431" width="0" style="2071" hidden="1" customWidth="1"/>
    <col min="7432" max="7432" width="7.625" style="2071" bestFit="1" customWidth="1"/>
    <col min="7433" max="7677" width="15.125" style="2071"/>
    <col min="7678" max="7678" width="28.5" style="2071" customWidth="1"/>
    <col min="7679" max="7679" width="9.625" style="2071" bestFit="1" customWidth="1"/>
    <col min="7680" max="7680" width="8" style="2071" customWidth="1"/>
    <col min="7681" max="7681" width="9.125" style="2071" bestFit="1" customWidth="1"/>
    <col min="7682" max="7682" width="9.25" style="2071" bestFit="1" customWidth="1"/>
    <col min="7683" max="7683" width="9.75" style="2071" bestFit="1" customWidth="1"/>
    <col min="7684" max="7685" width="9.125" style="2071" bestFit="1" customWidth="1"/>
    <col min="7686" max="7686" width="8.625" style="2071" bestFit="1" customWidth="1"/>
    <col min="7687" max="7687" width="0" style="2071" hidden="1" customWidth="1"/>
    <col min="7688" max="7688" width="7.625" style="2071" bestFit="1" customWidth="1"/>
    <col min="7689" max="7933" width="15.125" style="2071"/>
    <col min="7934" max="7934" width="28.5" style="2071" customWidth="1"/>
    <col min="7935" max="7935" width="9.625" style="2071" bestFit="1" customWidth="1"/>
    <col min="7936" max="7936" width="8" style="2071" customWidth="1"/>
    <col min="7937" max="7937" width="9.125" style="2071" bestFit="1" customWidth="1"/>
    <col min="7938" max="7938" width="9.25" style="2071" bestFit="1" customWidth="1"/>
    <col min="7939" max="7939" width="9.75" style="2071" bestFit="1" customWidth="1"/>
    <col min="7940" max="7941" width="9.125" style="2071" bestFit="1" customWidth="1"/>
    <col min="7942" max="7942" width="8.625" style="2071" bestFit="1" customWidth="1"/>
    <col min="7943" max="7943" width="0" style="2071" hidden="1" customWidth="1"/>
    <col min="7944" max="7944" width="7.625" style="2071" bestFit="1" customWidth="1"/>
    <col min="7945" max="8189" width="15.125" style="2071"/>
    <col min="8190" max="8190" width="28.5" style="2071" customWidth="1"/>
    <col min="8191" max="8191" width="9.625" style="2071" bestFit="1" customWidth="1"/>
    <col min="8192" max="8192" width="8" style="2071" customWidth="1"/>
    <col min="8193" max="8193" width="9.125" style="2071" bestFit="1" customWidth="1"/>
    <col min="8194" max="8194" width="9.25" style="2071" bestFit="1" customWidth="1"/>
    <col min="8195" max="8195" width="9.75" style="2071" bestFit="1" customWidth="1"/>
    <col min="8196" max="8197" width="9.125" style="2071" bestFit="1" customWidth="1"/>
    <col min="8198" max="8198" width="8.625" style="2071" bestFit="1" customWidth="1"/>
    <col min="8199" max="8199" width="0" style="2071" hidden="1" customWidth="1"/>
    <col min="8200" max="8200" width="7.625" style="2071" bestFit="1" customWidth="1"/>
    <col min="8201" max="8445" width="15.125" style="2071"/>
    <col min="8446" max="8446" width="28.5" style="2071" customWidth="1"/>
    <col min="8447" max="8447" width="9.625" style="2071" bestFit="1" customWidth="1"/>
    <col min="8448" max="8448" width="8" style="2071" customWidth="1"/>
    <col min="8449" max="8449" width="9.125" style="2071" bestFit="1" customWidth="1"/>
    <col min="8450" max="8450" width="9.25" style="2071" bestFit="1" customWidth="1"/>
    <col min="8451" max="8451" width="9.75" style="2071" bestFit="1" customWidth="1"/>
    <col min="8452" max="8453" width="9.125" style="2071" bestFit="1" customWidth="1"/>
    <col min="8454" max="8454" width="8.625" style="2071" bestFit="1" customWidth="1"/>
    <col min="8455" max="8455" width="0" style="2071" hidden="1" customWidth="1"/>
    <col min="8456" max="8456" width="7.625" style="2071" bestFit="1" customWidth="1"/>
    <col min="8457" max="8701" width="15.125" style="2071"/>
    <col min="8702" max="8702" width="28.5" style="2071" customWidth="1"/>
    <col min="8703" max="8703" width="9.625" style="2071" bestFit="1" customWidth="1"/>
    <col min="8704" max="8704" width="8" style="2071" customWidth="1"/>
    <col min="8705" max="8705" width="9.125" style="2071" bestFit="1" customWidth="1"/>
    <col min="8706" max="8706" width="9.25" style="2071" bestFit="1" customWidth="1"/>
    <col min="8707" max="8707" width="9.75" style="2071" bestFit="1" customWidth="1"/>
    <col min="8708" max="8709" width="9.125" style="2071" bestFit="1" customWidth="1"/>
    <col min="8710" max="8710" width="8.625" style="2071" bestFit="1" customWidth="1"/>
    <col min="8711" max="8711" width="0" style="2071" hidden="1" customWidth="1"/>
    <col min="8712" max="8712" width="7.625" style="2071" bestFit="1" customWidth="1"/>
    <col min="8713" max="8957" width="15.125" style="2071"/>
    <col min="8958" max="8958" width="28.5" style="2071" customWidth="1"/>
    <col min="8959" max="8959" width="9.625" style="2071" bestFit="1" customWidth="1"/>
    <col min="8960" max="8960" width="8" style="2071" customWidth="1"/>
    <col min="8961" max="8961" width="9.125" style="2071" bestFit="1" customWidth="1"/>
    <col min="8962" max="8962" width="9.25" style="2071" bestFit="1" customWidth="1"/>
    <col min="8963" max="8963" width="9.75" style="2071" bestFit="1" customWidth="1"/>
    <col min="8964" max="8965" width="9.125" style="2071" bestFit="1" customWidth="1"/>
    <col min="8966" max="8966" width="8.625" style="2071" bestFit="1" customWidth="1"/>
    <col min="8967" max="8967" width="0" style="2071" hidden="1" customWidth="1"/>
    <col min="8968" max="8968" width="7.625" style="2071" bestFit="1" customWidth="1"/>
    <col min="8969" max="9213" width="15.125" style="2071"/>
    <col min="9214" max="9214" width="28.5" style="2071" customWidth="1"/>
    <col min="9215" max="9215" width="9.625" style="2071" bestFit="1" customWidth="1"/>
    <col min="9216" max="9216" width="8" style="2071" customWidth="1"/>
    <col min="9217" max="9217" width="9.125" style="2071" bestFit="1" customWidth="1"/>
    <col min="9218" max="9218" width="9.25" style="2071" bestFit="1" customWidth="1"/>
    <col min="9219" max="9219" width="9.75" style="2071" bestFit="1" customWidth="1"/>
    <col min="9220" max="9221" width="9.125" style="2071" bestFit="1" customWidth="1"/>
    <col min="9222" max="9222" width="8.625" style="2071" bestFit="1" customWidth="1"/>
    <col min="9223" max="9223" width="0" style="2071" hidden="1" customWidth="1"/>
    <col min="9224" max="9224" width="7.625" style="2071" bestFit="1" customWidth="1"/>
    <col min="9225" max="9469" width="15.125" style="2071"/>
    <col min="9470" max="9470" width="28.5" style="2071" customWidth="1"/>
    <col min="9471" max="9471" width="9.625" style="2071" bestFit="1" customWidth="1"/>
    <col min="9472" max="9472" width="8" style="2071" customWidth="1"/>
    <col min="9473" max="9473" width="9.125" style="2071" bestFit="1" customWidth="1"/>
    <col min="9474" max="9474" width="9.25" style="2071" bestFit="1" customWidth="1"/>
    <col min="9475" max="9475" width="9.75" style="2071" bestFit="1" customWidth="1"/>
    <col min="9476" max="9477" width="9.125" style="2071" bestFit="1" customWidth="1"/>
    <col min="9478" max="9478" width="8.625" style="2071" bestFit="1" customWidth="1"/>
    <col min="9479" max="9479" width="0" style="2071" hidden="1" customWidth="1"/>
    <col min="9480" max="9480" width="7.625" style="2071" bestFit="1" customWidth="1"/>
    <col min="9481" max="9725" width="15.125" style="2071"/>
    <col min="9726" max="9726" width="28.5" style="2071" customWidth="1"/>
    <col min="9727" max="9727" width="9.625" style="2071" bestFit="1" customWidth="1"/>
    <col min="9728" max="9728" width="8" style="2071" customWidth="1"/>
    <col min="9729" max="9729" width="9.125" style="2071" bestFit="1" customWidth="1"/>
    <col min="9730" max="9730" width="9.25" style="2071" bestFit="1" customWidth="1"/>
    <col min="9731" max="9731" width="9.75" style="2071" bestFit="1" customWidth="1"/>
    <col min="9732" max="9733" width="9.125" style="2071" bestFit="1" customWidth="1"/>
    <col min="9734" max="9734" width="8.625" style="2071" bestFit="1" customWidth="1"/>
    <col min="9735" max="9735" width="0" style="2071" hidden="1" customWidth="1"/>
    <col min="9736" max="9736" width="7.625" style="2071" bestFit="1" customWidth="1"/>
    <col min="9737" max="9981" width="15.125" style="2071"/>
    <col min="9982" max="9982" width="28.5" style="2071" customWidth="1"/>
    <col min="9983" max="9983" width="9.625" style="2071" bestFit="1" customWidth="1"/>
    <col min="9984" max="9984" width="8" style="2071" customWidth="1"/>
    <col min="9985" max="9985" width="9.125" style="2071" bestFit="1" customWidth="1"/>
    <col min="9986" max="9986" width="9.25" style="2071" bestFit="1" customWidth="1"/>
    <col min="9987" max="9987" width="9.75" style="2071" bestFit="1" customWidth="1"/>
    <col min="9988" max="9989" width="9.125" style="2071" bestFit="1" customWidth="1"/>
    <col min="9990" max="9990" width="8.625" style="2071" bestFit="1" customWidth="1"/>
    <col min="9991" max="9991" width="0" style="2071" hidden="1" customWidth="1"/>
    <col min="9992" max="9992" width="7.625" style="2071" bestFit="1" customWidth="1"/>
    <col min="9993" max="10237" width="15.125" style="2071"/>
    <col min="10238" max="10238" width="28.5" style="2071" customWidth="1"/>
    <col min="10239" max="10239" width="9.625" style="2071" bestFit="1" customWidth="1"/>
    <col min="10240" max="10240" width="8" style="2071" customWidth="1"/>
    <col min="10241" max="10241" width="9.125" style="2071" bestFit="1" customWidth="1"/>
    <col min="10242" max="10242" width="9.25" style="2071" bestFit="1" customWidth="1"/>
    <col min="10243" max="10243" width="9.75" style="2071" bestFit="1" customWidth="1"/>
    <col min="10244" max="10245" width="9.125" style="2071" bestFit="1" customWidth="1"/>
    <col min="10246" max="10246" width="8.625" style="2071" bestFit="1" customWidth="1"/>
    <col min="10247" max="10247" width="0" style="2071" hidden="1" customWidth="1"/>
    <col min="10248" max="10248" width="7.625" style="2071" bestFit="1" customWidth="1"/>
    <col min="10249" max="10493" width="15.125" style="2071"/>
    <col min="10494" max="10494" width="28.5" style="2071" customWidth="1"/>
    <col min="10495" max="10495" width="9.625" style="2071" bestFit="1" customWidth="1"/>
    <col min="10496" max="10496" width="8" style="2071" customWidth="1"/>
    <col min="10497" max="10497" width="9.125" style="2071" bestFit="1" customWidth="1"/>
    <col min="10498" max="10498" width="9.25" style="2071" bestFit="1" customWidth="1"/>
    <col min="10499" max="10499" width="9.75" style="2071" bestFit="1" customWidth="1"/>
    <col min="10500" max="10501" width="9.125" style="2071" bestFit="1" customWidth="1"/>
    <col min="10502" max="10502" width="8.625" style="2071" bestFit="1" customWidth="1"/>
    <col min="10503" max="10503" width="0" style="2071" hidden="1" customWidth="1"/>
    <col min="10504" max="10504" width="7.625" style="2071" bestFit="1" customWidth="1"/>
    <col min="10505" max="10749" width="15.125" style="2071"/>
    <col min="10750" max="10750" width="28.5" style="2071" customWidth="1"/>
    <col min="10751" max="10751" width="9.625" style="2071" bestFit="1" customWidth="1"/>
    <col min="10752" max="10752" width="8" style="2071" customWidth="1"/>
    <col min="10753" max="10753" width="9.125" style="2071" bestFit="1" customWidth="1"/>
    <col min="10754" max="10754" width="9.25" style="2071" bestFit="1" customWidth="1"/>
    <col min="10755" max="10755" width="9.75" style="2071" bestFit="1" customWidth="1"/>
    <col min="10756" max="10757" width="9.125" style="2071" bestFit="1" customWidth="1"/>
    <col min="10758" max="10758" width="8.625" style="2071" bestFit="1" customWidth="1"/>
    <col min="10759" max="10759" width="0" style="2071" hidden="1" customWidth="1"/>
    <col min="10760" max="10760" width="7.625" style="2071" bestFit="1" customWidth="1"/>
    <col min="10761" max="11005" width="15.125" style="2071"/>
    <col min="11006" max="11006" width="28.5" style="2071" customWidth="1"/>
    <col min="11007" max="11007" width="9.625" style="2071" bestFit="1" customWidth="1"/>
    <col min="11008" max="11008" width="8" style="2071" customWidth="1"/>
    <col min="11009" max="11009" width="9.125" style="2071" bestFit="1" customWidth="1"/>
    <col min="11010" max="11010" width="9.25" style="2071" bestFit="1" customWidth="1"/>
    <col min="11011" max="11011" width="9.75" style="2071" bestFit="1" customWidth="1"/>
    <col min="11012" max="11013" width="9.125" style="2071" bestFit="1" customWidth="1"/>
    <col min="11014" max="11014" width="8.625" style="2071" bestFit="1" customWidth="1"/>
    <col min="11015" max="11015" width="0" style="2071" hidden="1" customWidth="1"/>
    <col min="11016" max="11016" width="7.625" style="2071" bestFit="1" customWidth="1"/>
    <col min="11017" max="11261" width="15.125" style="2071"/>
    <col min="11262" max="11262" width="28.5" style="2071" customWidth="1"/>
    <col min="11263" max="11263" width="9.625" style="2071" bestFit="1" customWidth="1"/>
    <col min="11264" max="11264" width="8" style="2071" customWidth="1"/>
    <col min="11265" max="11265" width="9.125" style="2071" bestFit="1" customWidth="1"/>
    <col min="11266" max="11266" width="9.25" style="2071" bestFit="1" customWidth="1"/>
    <col min="11267" max="11267" width="9.75" style="2071" bestFit="1" customWidth="1"/>
    <col min="11268" max="11269" width="9.125" style="2071" bestFit="1" customWidth="1"/>
    <col min="11270" max="11270" width="8.625" style="2071" bestFit="1" customWidth="1"/>
    <col min="11271" max="11271" width="0" style="2071" hidden="1" customWidth="1"/>
    <col min="11272" max="11272" width="7.625" style="2071" bestFit="1" customWidth="1"/>
    <col min="11273" max="11517" width="15.125" style="2071"/>
    <col min="11518" max="11518" width="28.5" style="2071" customWidth="1"/>
    <col min="11519" max="11519" width="9.625" style="2071" bestFit="1" customWidth="1"/>
    <col min="11520" max="11520" width="8" style="2071" customWidth="1"/>
    <col min="11521" max="11521" width="9.125" style="2071" bestFit="1" customWidth="1"/>
    <col min="11522" max="11522" width="9.25" style="2071" bestFit="1" customWidth="1"/>
    <col min="11523" max="11523" width="9.75" style="2071" bestFit="1" customWidth="1"/>
    <col min="11524" max="11525" width="9.125" style="2071" bestFit="1" customWidth="1"/>
    <col min="11526" max="11526" width="8.625" style="2071" bestFit="1" customWidth="1"/>
    <col min="11527" max="11527" width="0" style="2071" hidden="1" customWidth="1"/>
    <col min="11528" max="11528" width="7.625" style="2071" bestFit="1" customWidth="1"/>
    <col min="11529" max="11773" width="15.125" style="2071"/>
    <col min="11774" max="11774" width="28.5" style="2071" customWidth="1"/>
    <col min="11775" max="11775" width="9.625" style="2071" bestFit="1" customWidth="1"/>
    <col min="11776" max="11776" width="8" style="2071" customWidth="1"/>
    <col min="11777" max="11777" width="9.125" style="2071" bestFit="1" customWidth="1"/>
    <col min="11778" max="11778" width="9.25" style="2071" bestFit="1" customWidth="1"/>
    <col min="11779" max="11779" width="9.75" style="2071" bestFit="1" customWidth="1"/>
    <col min="11780" max="11781" width="9.125" style="2071" bestFit="1" customWidth="1"/>
    <col min="11782" max="11782" width="8.625" style="2071" bestFit="1" customWidth="1"/>
    <col min="11783" max="11783" width="0" style="2071" hidden="1" customWidth="1"/>
    <col min="11784" max="11784" width="7.625" style="2071" bestFit="1" customWidth="1"/>
    <col min="11785" max="12029" width="15.125" style="2071"/>
    <col min="12030" max="12030" width="28.5" style="2071" customWidth="1"/>
    <col min="12031" max="12031" width="9.625" style="2071" bestFit="1" customWidth="1"/>
    <col min="12032" max="12032" width="8" style="2071" customWidth="1"/>
    <col min="12033" max="12033" width="9.125" style="2071" bestFit="1" customWidth="1"/>
    <col min="12034" max="12034" width="9.25" style="2071" bestFit="1" customWidth="1"/>
    <col min="12035" max="12035" width="9.75" style="2071" bestFit="1" customWidth="1"/>
    <col min="12036" max="12037" width="9.125" style="2071" bestFit="1" customWidth="1"/>
    <col min="12038" max="12038" width="8.625" style="2071" bestFit="1" customWidth="1"/>
    <col min="12039" max="12039" width="0" style="2071" hidden="1" customWidth="1"/>
    <col min="12040" max="12040" width="7.625" style="2071" bestFit="1" customWidth="1"/>
    <col min="12041" max="12285" width="15.125" style="2071"/>
    <col min="12286" max="12286" width="28.5" style="2071" customWidth="1"/>
    <col min="12287" max="12287" width="9.625" style="2071" bestFit="1" customWidth="1"/>
    <col min="12288" max="12288" width="8" style="2071" customWidth="1"/>
    <col min="12289" max="12289" width="9.125" style="2071" bestFit="1" customWidth="1"/>
    <col min="12290" max="12290" width="9.25" style="2071" bestFit="1" customWidth="1"/>
    <col min="12291" max="12291" width="9.75" style="2071" bestFit="1" customWidth="1"/>
    <col min="12292" max="12293" width="9.125" style="2071" bestFit="1" customWidth="1"/>
    <col min="12294" max="12294" width="8.625" style="2071" bestFit="1" customWidth="1"/>
    <col min="12295" max="12295" width="0" style="2071" hidden="1" customWidth="1"/>
    <col min="12296" max="12296" width="7.625" style="2071" bestFit="1" customWidth="1"/>
    <col min="12297" max="12541" width="15.125" style="2071"/>
    <col min="12542" max="12542" width="28.5" style="2071" customWidth="1"/>
    <col min="12543" max="12543" width="9.625" style="2071" bestFit="1" customWidth="1"/>
    <col min="12544" max="12544" width="8" style="2071" customWidth="1"/>
    <col min="12545" max="12545" width="9.125" style="2071" bestFit="1" customWidth="1"/>
    <col min="12546" max="12546" width="9.25" style="2071" bestFit="1" customWidth="1"/>
    <col min="12547" max="12547" width="9.75" style="2071" bestFit="1" customWidth="1"/>
    <col min="12548" max="12549" width="9.125" style="2071" bestFit="1" customWidth="1"/>
    <col min="12550" max="12550" width="8.625" style="2071" bestFit="1" customWidth="1"/>
    <col min="12551" max="12551" width="0" style="2071" hidden="1" customWidth="1"/>
    <col min="12552" max="12552" width="7.625" style="2071" bestFit="1" customWidth="1"/>
    <col min="12553" max="12797" width="15.125" style="2071"/>
    <col min="12798" max="12798" width="28.5" style="2071" customWidth="1"/>
    <col min="12799" max="12799" width="9.625" style="2071" bestFit="1" customWidth="1"/>
    <col min="12800" max="12800" width="8" style="2071" customWidth="1"/>
    <col min="12801" max="12801" width="9.125" style="2071" bestFit="1" customWidth="1"/>
    <col min="12802" max="12802" width="9.25" style="2071" bestFit="1" customWidth="1"/>
    <col min="12803" max="12803" width="9.75" style="2071" bestFit="1" customWidth="1"/>
    <col min="12804" max="12805" width="9.125" style="2071" bestFit="1" customWidth="1"/>
    <col min="12806" max="12806" width="8.625" style="2071" bestFit="1" customWidth="1"/>
    <col min="12807" max="12807" width="0" style="2071" hidden="1" customWidth="1"/>
    <col min="12808" max="12808" width="7.625" style="2071" bestFit="1" customWidth="1"/>
    <col min="12809" max="13053" width="15.125" style="2071"/>
    <col min="13054" max="13054" width="28.5" style="2071" customWidth="1"/>
    <col min="13055" max="13055" width="9.625" style="2071" bestFit="1" customWidth="1"/>
    <col min="13056" max="13056" width="8" style="2071" customWidth="1"/>
    <col min="13057" max="13057" width="9.125" style="2071" bestFit="1" customWidth="1"/>
    <col min="13058" max="13058" width="9.25" style="2071" bestFit="1" customWidth="1"/>
    <col min="13059" max="13059" width="9.75" style="2071" bestFit="1" customWidth="1"/>
    <col min="13060" max="13061" width="9.125" style="2071" bestFit="1" customWidth="1"/>
    <col min="13062" max="13062" width="8.625" style="2071" bestFit="1" customWidth="1"/>
    <col min="13063" max="13063" width="0" style="2071" hidden="1" customWidth="1"/>
    <col min="13064" max="13064" width="7.625" style="2071" bestFit="1" customWidth="1"/>
    <col min="13065" max="13309" width="15.125" style="2071"/>
    <col min="13310" max="13310" width="28.5" style="2071" customWidth="1"/>
    <col min="13311" max="13311" width="9.625" style="2071" bestFit="1" customWidth="1"/>
    <col min="13312" max="13312" width="8" style="2071" customWidth="1"/>
    <col min="13313" max="13313" width="9.125" style="2071" bestFit="1" customWidth="1"/>
    <col min="13314" max="13314" width="9.25" style="2071" bestFit="1" customWidth="1"/>
    <col min="13315" max="13315" width="9.75" style="2071" bestFit="1" customWidth="1"/>
    <col min="13316" max="13317" width="9.125" style="2071" bestFit="1" customWidth="1"/>
    <col min="13318" max="13318" width="8.625" style="2071" bestFit="1" customWidth="1"/>
    <col min="13319" max="13319" width="0" style="2071" hidden="1" customWidth="1"/>
    <col min="13320" max="13320" width="7.625" style="2071" bestFit="1" customWidth="1"/>
    <col min="13321" max="13565" width="15.125" style="2071"/>
    <col min="13566" max="13566" width="28.5" style="2071" customWidth="1"/>
    <col min="13567" max="13567" width="9.625" style="2071" bestFit="1" customWidth="1"/>
    <col min="13568" max="13568" width="8" style="2071" customWidth="1"/>
    <col min="13569" max="13569" width="9.125" style="2071" bestFit="1" customWidth="1"/>
    <col min="13570" max="13570" width="9.25" style="2071" bestFit="1" customWidth="1"/>
    <col min="13571" max="13571" width="9.75" style="2071" bestFit="1" customWidth="1"/>
    <col min="13572" max="13573" width="9.125" style="2071" bestFit="1" customWidth="1"/>
    <col min="13574" max="13574" width="8.625" style="2071" bestFit="1" customWidth="1"/>
    <col min="13575" max="13575" width="0" style="2071" hidden="1" customWidth="1"/>
    <col min="13576" max="13576" width="7.625" style="2071" bestFit="1" customWidth="1"/>
    <col min="13577" max="13821" width="15.125" style="2071"/>
    <col min="13822" max="13822" width="28.5" style="2071" customWidth="1"/>
    <col min="13823" max="13823" width="9.625" style="2071" bestFit="1" customWidth="1"/>
    <col min="13824" max="13824" width="8" style="2071" customWidth="1"/>
    <col min="13825" max="13825" width="9.125" style="2071" bestFit="1" customWidth="1"/>
    <col min="13826" max="13826" width="9.25" style="2071" bestFit="1" customWidth="1"/>
    <col min="13827" max="13827" width="9.75" style="2071" bestFit="1" customWidth="1"/>
    <col min="13828" max="13829" width="9.125" style="2071" bestFit="1" customWidth="1"/>
    <col min="13830" max="13830" width="8.625" style="2071" bestFit="1" customWidth="1"/>
    <col min="13831" max="13831" width="0" style="2071" hidden="1" customWidth="1"/>
    <col min="13832" max="13832" width="7.625" style="2071" bestFit="1" customWidth="1"/>
    <col min="13833" max="14077" width="15.125" style="2071"/>
    <col min="14078" max="14078" width="28.5" style="2071" customWidth="1"/>
    <col min="14079" max="14079" width="9.625" style="2071" bestFit="1" customWidth="1"/>
    <col min="14080" max="14080" width="8" style="2071" customWidth="1"/>
    <col min="14081" max="14081" width="9.125" style="2071" bestFit="1" customWidth="1"/>
    <col min="14082" max="14082" width="9.25" style="2071" bestFit="1" customWidth="1"/>
    <col min="14083" max="14083" width="9.75" style="2071" bestFit="1" customWidth="1"/>
    <col min="14084" max="14085" width="9.125" style="2071" bestFit="1" customWidth="1"/>
    <col min="14086" max="14086" width="8.625" style="2071" bestFit="1" customWidth="1"/>
    <col min="14087" max="14087" width="0" style="2071" hidden="1" customWidth="1"/>
    <col min="14088" max="14088" width="7.625" style="2071" bestFit="1" customWidth="1"/>
    <col min="14089" max="14333" width="15.125" style="2071"/>
    <col min="14334" max="14334" width="28.5" style="2071" customWidth="1"/>
    <col min="14335" max="14335" width="9.625" style="2071" bestFit="1" customWidth="1"/>
    <col min="14336" max="14336" width="8" style="2071" customWidth="1"/>
    <col min="14337" max="14337" width="9.125" style="2071" bestFit="1" customWidth="1"/>
    <col min="14338" max="14338" width="9.25" style="2071" bestFit="1" customWidth="1"/>
    <col min="14339" max="14339" width="9.75" style="2071" bestFit="1" customWidth="1"/>
    <col min="14340" max="14341" width="9.125" style="2071" bestFit="1" customWidth="1"/>
    <col min="14342" max="14342" width="8.625" style="2071" bestFit="1" customWidth="1"/>
    <col min="14343" max="14343" width="0" style="2071" hidden="1" customWidth="1"/>
    <col min="14344" max="14344" width="7.625" style="2071" bestFit="1" customWidth="1"/>
    <col min="14345" max="14589" width="15.125" style="2071"/>
    <col min="14590" max="14590" width="28.5" style="2071" customWidth="1"/>
    <col min="14591" max="14591" width="9.625" style="2071" bestFit="1" customWidth="1"/>
    <col min="14592" max="14592" width="8" style="2071" customWidth="1"/>
    <col min="14593" max="14593" width="9.125" style="2071" bestFit="1" customWidth="1"/>
    <col min="14594" max="14594" width="9.25" style="2071" bestFit="1" customWidth="1"/>
    <col min="14595" max="14595" width="9.75" style="2071" bestFit="1" customWidth="1"/>
    <col min="14596" max="14597" width="9.125" style="2071" bestFit="1" customWidth="1"/>
    <col min="14598" max="14598" width="8.625" style="2071" bestFit="1" customWidth="1"/>
    <col min="14599" max="14599" width="0" style="2071" hidden="1" customWidth="1"/>
    <col min="14600" max="14600" width="7.625" style="2071" bestFit="1" customWidth="1"/>
    <col min="14601" max="14845" width="15.125" style="2071"/>
    <col min="14846" max="14846" width="28.5" style="2071" customWidth="1"/>
    <col min="14847" max="14847" width="9.625" style="2071" bestFit="1" customWidth="1"/>
    <col min="14848" max="14848" width="8" style="2071" customWidth="1"/>
    <col min="14849" max="14849" width="9.125" style="2071" bestFit="1" customWidth="1"/>
    <col min="14850" max="14850" width="9.25" style="2071" bestFit="1" customWidth="1"/>
    <col min="14851" max="14851" width="9.75" style="2071" bestFit="1" customWidth="1"/>
    <col min="14852" max="14853" width="9.125" style="2071" bestFit="1" customWidth="1"/>
    <col min="14854" max="14854" width="8.625" style="2071" bestFit="1" customWidth="1"/>
    <col min="14855" max="14855" width="0" style="2071" hidden="1" customWidth="1"/>
    <col min="14856" max="14856" width="7.625" style="2071" bestFit="1" customWidth="1"/>
    <col min="14857" max="15101" width="15.125" style="2071"/>
    <col min="15102" max="15102" width="28.5" style="2071" customWidth="1"/>
    <col min="15103" max="15103" width="9.625" style="2071" bestFit="1" customWidth="1"/>
    <col min="15104" max="15104" width="8" style="2071" customWidth="1"/>
    <col min="15105" max="15105" width="9.125" style="2071" bestFit="1" customWidth="1"/>
    <col min="15106" max="15106" width="9.25" style="2071" bestFit="1" customWidth="1"/>
    <col min="15107" max="15107" width="9.75" style="2071" bestFit="1" customWidth="1"/>
    <col min="15108" max="15109" width="9.125" style="2071" bestFit="1" customWidth="1"/>
    <col min="15110" max="15110" width="8.625" style="2071" bestFit="1" customWidth="1"/>
    <col min="15111" max="15111" width="0" style="2071" hidden="1" customWidth="1"/>
    <col min="15112" max="15112" width="7.625" style="2071" bestFit="1" customWidth="1"/>
    <col min="15113" max="15357" width="15.125" style="2071"/>
    <col min="15358" max="15358" width="28.5" style="2071" customWidth="1"/>
    <col min="15359" max="15359" width="9.625" style="2071" bestFit="1" customWidth="1"/>
    <col min="15360" max="15360" width="8" style="2071" customWidth="1"/>
    <col min="15361" max="15361" width="9.125" style="2071" bestFit="1" customWidth="1"/>
    <col min="15362" max="15362" width="9.25" style="2071" bestFit="1" customWidth="1"/>
    <col min="15363" max="15363" width="9.75" style="2071" bestFit="1" customWidth="1"/>
    <col min="15364" max="15365" width="9.125" style="2071" bestFit="1" customWidth="1"/>
    <col min="15366" max="15366" width="8.625" style="2071" bestFit="1" customWidth="1"/>
    <col min="15367" max="15367" width="0" style="2071" hidden="1" customWidth="1"/>
    <col min="15368" max="15368" width="7.625" style="2071" bestFit="1" customWidth="1"/>
    <col min="15369" max="15613" width="15.125" style="2071"/>
    <col min="15614" max="15614" width="28.5" style="2071" customWidth="1"/>
    <col min="15615" max="15615" width="9.625" style="2071" bestFit="1" customWidth="1"/>
    <col min="15616" max="15616" width="8" style="2071" customWidth="1"/>
    <col min="15617" max="15617" width="9.125" style="2071" bestFit="1" customWidth="1"/>
    <col min="15618" max="15618" width="9.25" style="2071" bestFit="1" customWidth="1"/>
    <col min="15619" max="15619" width="9.75" style="2071" bestFit="1" customWidth="1"/>
    <col min="15620" max="15621" width="9.125" style="2071" bestFit="1" customWidth="1"/>
    <col min="15622" max="15622" width="8.625" style="2071" bestFit="1" customWidth="1"/>
    <col min="15623" max="15623" width="0" style="2071" hidden="1" customWidth="1"/>
    <col min="15624" max="15624" width="7.625" style="2071" bestFit="1" customWidth="1"/>
    <col min="15625" max="15869" width="15.125" style="2071"/>
    <col min="15870" max="15870" width="28.5" style="2071" customWidth="1"/>
    <col min="15871" max="15871" width="9.625" style="2071" bestFit="1" customWidth="1"/>
    <col min="15872" max="15872" width="8" style="2071" customWidth="1"/>
    <col min="15873" max="15873" width="9.125" style="2071" bestFit="1" customWidth="1"/>
    <col min="15874" max="15874" width="9.25" style="2071" bestFit="1" customWidth="1"/>
    <col min="15875" max="15875" width="9.75" style="2071" bestFit="1" customWidth="1"/>
    <col min="15876" max="15877" width="9.125" style="2071" bestFit="1" customWidth="1"/>
    <col min="15878" max="15878" width="8.625" style="2071" bestFit="1" customWidth="1"/>
    <col min="15879" max="15879" width="0" style="2071" hidden="1" customWidth="1"/>
    <col min="15880" max="15880" width="7.625" style="2071" bestFit="1" customWidth="1"/>
    <col min="15881" max="16125" width="15.125" style="2071"/>
    <col min="16126" max="16126" width="28.5" style="2071" customWidth="1"/>
    <col min="16127" max="16127" width="9.625" style="2071" bestFit="1" customWidth="1"/>
    <col min="16128" max="16128" width="8" style="2071" customWidth="1"/>
    <col min="16129" max="16129" width="9.125" style="2071" bestFit="1" customWidth="1"/>
    <col min="16130" max="16130" width="9.25" style="2071" bestFit="1" customWidth="1"/>
    <col min="16131" max="16131" width="9.75" style="2071" bestFit="1" customWidth="1"/>
    <col min="16132" max="16133" width="9.125" style="2071" bestFit="1" customWidth="1"/>
    <col min="16134" max="16134" width="8.625" style="2071" bestFit="1" customWidth="1"/>
    <col min="16135" max="16135" width="0" style="2071" hidden="1" customWidth="1"/>
    <col min="16136" max="16136" width="7.625" style="2071" bestFit="1" customWidth="1"/>
    <col min="16137" max="16384" width="15.125" style="2071"/>
  </cols>
  <sheetData>
    <row r="1" spans="1:8" ht="41.45" customHeight="1"/>
    <row r="2" spans="1:8" s="2222" customFormat="1">
      <c r="A2" s="2786" t="s">
        <v>297</v>
      </c>
      <c r="B2" s="2786"/>
      <c r="C2" s="2786"/>
      <c r="D2" s="2786"/>
      <c r="E2" s="2786"/>
      <c r="F2" s="2786"/>
      <c r="G2" s="2786"/>
    </row>
    <row r="3" spans="1:8" s="2075" customFormat="1" ht="15.75">
      <c r="A3" s="2787" t="s">
        <v>1836</v>
      </c>
      <c r="B3" s="2787"/>
      <c r="C3" s="2787"/>
      <c r="D3" s="2787"/>
      <c r="E3" s="2787"/>
      <c r="F3" s="2787"/>
      <c r="G3" s="2787"/>
    </row>
    <row r="4" spans="1:8" s="2075" customFormat="1">
      <c r="A4" s="2787" t="s">
        <v>2020</v>
      </c>
      <c r="B4" s="2787"/>
      <c r="C4" s="2787"/>
      <c r="D4" s="2787"/>
      <c r="E4" s="2787"/>
      <c r="F4" s="2787"/>
      <c r="G4" s="2502"/>
      <c r="H4" s="2502"/>
    </row>
    <row r="5" spans="1:8" s="2075" customFormat="1">
      <c r="A5" s="2247"/>
      <c r="B5" s="2247"/>
      <c r="C5" s="2247"/>
      <c r="D5" s="2247"/>
      <c r="E5" s="2247"/>
      <c r="F5" s="2247"/>
    </row>
    <row r="6" spans="1:8" s="2222" customFormat="1" ht="16.5" customHeight="1">
      <c r="A6" s="2248"/>
      <c r="B6" s="2788" t="s">
        <v>300</v>
      </c>
      <c r="C6" s="2789"/>
      <c r="D6" s="2789"/>
      <c r="E6" s="2789"/>
      <c r="F6" s="2790"/>
      <c r="G6" s="2249" t="s">
        <v>1791</v>
      </c>
      <c r="H6" s="2249" t="s">
        <v>1949</v>
      </c>
    </row>
    <row r="7" spans="1:8" s="2222" customFormat="1" ht="15" customHeight="1">
      <c r="A7" s="2250" t="s">
        <v>485</v>
      </c>
      <c r="B7" s="2251" t="s">
        <v>2021</v>
      </c>
      <c r="C7" s="2251" t="s">
        <v>2022</v>
      </c>
      <c r="D7" s="2251" t="s">
        <v>2023</v>
      </c>
      <c r="E7" s="2251" t="s">
        <v>2024</v>
      </c>
      <c r="F7" s="2252" t="s">
        <v>465</v>
      </c>
      <c r="G7" s="2253" t="s">
        <v>1792</v>
      </c>
      <c r="H7" s="2253" t="s">
        <v>1792</v>
      </c>
    </row>
    <row r="8" spans="1:8" s="2222" customFormat="1" ht="15.75" customHeight="1" thickBot="1">
      <c r="A8" s="2254" t="s">
        <v>310</v>
      </c>
      <c r="B8" s="2251" t="s">
        <v>311</v>
      </c>
      <c r="C8" s="2255" t="s">
        <v>484</v>
      </c>
      <c r="D8" s="2256" t="s">
        <v>311</v>
      </c>
      <c r="E8" s="2255" t="s">
        <v>483</v>
      </c>
      <c r="F8" s="2256" t="s">
        <v>2025</v>
      </c>
      <c r="G8" s="2260" t="s">
        <v>505</v>
      </c>
      <c r="H8" s="2256" t="s">
        <v>1839</v>
      </c>
    </row>
    <row r="9" spans="1:8" s="2222" customFormat="1" ht="13.5" thickTop="1">
      <c r="A9" s="2261" t="s">
        <v>2</v>
      </c>
      <c r="B9" s="2445">
        <v>10011.799998999999</v>
      </c>
      <c r="C9" s="2262">
        <v>51159.749999</v>
      </c>
      <c r="D9" s="2263">
        <v>49292.483332000003</v>
      </c>
      <c r="E9" s="2263">
        <v>46865.566665000006</v>
      </c>
      <c r="F9" s="2093" cm="1">
        <f t="array" ref="F9">SUM(B9:E9/3)</f>
        <v>52443.199998333337</v>
      </c>
      <c r="G9" s="2265"/>
      <c r="H9" s="2265"/>
    </row>
    <row r="10" spans="1:8" s="2419" customFormat="1">
      <c r="A10" s="2266" t="s">
        <v>1159</v>
      </c>
      <c r="B10" s="2286">
        <v>7630.1333329999998</v>
      </c>
      <c r="C10" s="2267">
        <v>42021.283332999999</v>
      </c>
      <c r="D10" s="2268">
        <v>40559.083333000002</v>
      </c>
      <c r="E10" s="2268">
        <v>38674.433333000001</v>
      </c>
      <c r="F10" s="2269" cm="1">
        <f t="array" ref="F10">SUM(B10:E10/3)</f>
        <v>42961.644444000005</v>
      </c>
      <c r="G10" s="2270"/>
      <c r="H10" s="2270"/>
    </row>
    <row r="11" spans="1:8" s="2419" customFormat="1">
      <c r="A11" s="2266" t="s">
        <v>479</v>
      </c>
      <c r="B11" s="2286">
        <v>1098.8666659999999</v>
      </c>
      <c r="C11" s="2267">
        <v>4902.9333329999999</v>
      </c>
      <c r="D11" s="2268">
        <v>4707.8666659999999</v>
      </c>
      <c r="E11" s="2268">
        <v>4505.3666659999999</v>
      </c>
      <c r="F11" s="2269" cm="1">
        <f t="array" ref="F11">SUM(B11:E11/3)</f>
        <v>5071.6777769999999</v>
      </c>
      <c r="G11" s="2270"/>
      <c r="H11" s="2270"/>
    </row>
    <row r="12" spans="1:8" s="2419" customFormat="1">
      <c r="A12" s="2266" t="s">
        <v>478</v>
      </c>
      <c r="B12" s="2286">
        <v>1282.8</v>
      </c>
      <c r="C12" s="2267">
        <v>4235.5333330000003</v>
      </c>
      <c r="D12" s="2268">
        <v>4025.5333329999999</v>
      </c>
      <c r="E12" s="2268">
        <v>3685.766666</v>
      </c>
      <c r="F12" s="2269" cm="1">
        <f t="array" ref="F12">SUM(B12:E12/3)</f>
        <v>4409.8777773333331</v>
      </c>
      <c r="G12" s="2270"/>
      <c r="H12" s="2270"/>
    </row>
    <row r="13" spans="1:8" s="2222" customFormat="1">
      <c r="A13" s="2271" t="s">
        <v>590</v>
      </c>
      <c r="B13" s="2440">
        <f>3.4+B17</f>
        <v>68.600000000000009</v>
      </c>
      <c r="C13" s="2274">
        <f>23359.199998+C17</f>
        <v>23501.366664000001</v>
      </c>
      <c r="D13" s="2274">
        <f>D17</f>
        <v>134.63333299999999</v>
      </c>
      <c r="E13" s="2274">
        <f>21392.899999+E17</f>
        <v>21495.899998000001</v>
      </c>
      <c r="F13" s="2274">
        <f>SUM(F14:F17)</f>
        <v>22526.083331166668</v>
      </c>
      <c r="G13" s="2275"/>
      <c r="H13" s="2275"/>
    </row>
    <row r="14" spans="1:8" s="2419" customFormat="1">
      <c r="A14" s="2277" t="s">
        <v>589</v>
      </c>
      <c r="B14" s="2286">
        <v>3.4</v>
      </c>
      <c r="C14" s="2267">
        <v>20028.666666000001</v>
      </c>
      <c r="D14" s="2267"/>
      <c r="E14" s="2267">
        <v>18252.766666</v>
      </c>
      <c r="F14" s="2278" cm="1">
        <f t="array" ref="F14">SUM(B14:E14/2)</f>
        <v>19142.416666000001</v>
      </c>
      <c r="G14" s="2280"/>
      <c r="H14" s="2280"/>
    </row>
    <row r="15" spans="1:8" s="2419" customFormat="1">
      <c r="A15" s="2266" t="s">
        <v>474</v>
      </c>
      <c r="B15" s="2286"/>
      <c r="C15" s="2267">
        <v>1136.1666660000001</v>
      </c>
      <c r="D15" s="2267"/>
      <c r="E15" s="2267">
        <v>1070.7333329999999</v>
      </c>
      <c r="F15" s="2278" cm="1">
        <f t="array" ref="F15">SUM(B15:E15/2)</f>
        <v>1103.4499995000001</v>
      </c>
      <c r="G15" s="2280"/>
      <c r="H15" s="2280"/>
    </row>
    <row r="16" spans="1:8" s="2419" customFormat="1">
      <c r="A16" s="2277" t="s">
        <v>473</v>
      </c>
      <c r="B16" s="2286"/>
      <c r="C16" s="2267">
        <v>2194.3666659999999</v>
      </c>
      <c r="D16" s="2267"/>
      <c r="E16" s="2267">
        <v>2069.4</v>
      </c>
      <c r="F16" s="2278" cm="1">
        <f t="array" ref="F16">SUM(B16:E16/2)</f>
        <v>2131.8833329999998</v>
      </c>
      <c r="G16" s="2280"/>
      <c r="H16" s="2280"/>
    </row>
    <row r="17" spans="1:10" s="2222" customFormat="1" ht="15.75">
      <c r="A17" s="2811" t="s">
        <v>1606</v>
      </c>
      <c r="B17" s="2281">
        <f>SUM(B18:B21)</f>
        <v>65.2</v>
      </c>
      <c r="C17" s="2281">
        <f>SUM(C18:C21)</f>
        <v>142.16666599999999</v>
      </c>
      <c r="D17" s="2281">
        <f>SUM(D18:D21)</f>
        <v>134.63333299999999</v>
      </c>
      <c r="E17" s="2281">
        <f>SUM(E18:E21)</f>
        <v>102.999999</v>
      </c>
      <c r="F17" s="2281">
        <f t="shared" ref="F17:F21" si="0">SUM(B17:E17)/3</f>
        <v>148.33333266666668</v>
      </c>
      <c r="G17" s="2130"/>
      <c r="H17" s="2200"/>
    </row>
    <row r="18" spans="1:10" s="2419" customFormat="1">
      <c r="A18" s="2812" t="s">
        <v>93</v>
      </c>
      <c r="B18" s="2286">
        <v>0</v>
      </c>
      <c r="C18" s="2287">
        <v>0</v>
      </c>
      <c r="D18" s="2288">
        <v>0</v>
      </c>
      <c r="E18" s="2289">
        <v>0</v>
      </c>
      <c r="F18" s="2292">
        <f t="shared" si="0"/>
        <v>0</v>
      </c>
      <c r="G18" s="2139"/>
      <c r="H18" s="2206"/>
    </row>
    <row r="19" spans="1:10" s="2419" customFormat="1">
      <c r="A19" s="2812" t="s">
        <v>96</v>
      </c>
      <c r="B19" s="2291">
        <v>0</v>
      </c>
      <c r="C19" s="2442">
        <v>0</v>
      </c>
      <c r="D19" s="2288">
        <v>0</v>
      </c>
      <c r="E19" s="2289">
        <v>0</v>
      </c>
      <c r="F19" s="2292">
        <f t="shared" si="0"/>
        <v>0</v>
      </c>
      <c r="G19" s="2139"/>
      <c r="H19" s="2206"/>
      <c r="J19" s="2813" t="s">
        <v>2026</v>
      </c>
    </row>
    <row r="20" spans="1:10" s="2419" customFormat="1">
      <c r="A20" s="2812" t="s">
        <v>98</v>
      </c>
      <c r="B20" s="2291">
        <v>15</v>
      </c>
      <c r="C20" s="2292">
        <v>23.333333</v>
      </c>
      <c r="D20" s="2288">
        <v>26.333333</v>
      </c>
      <c r="E20" s="2289">
        <v>26.333333</v>
      </c>
      <c r="F20" s="2292">
        <f t="shared" si="0"/>
        <v>30.333332999999996</v>
      </c>
      <c r="G20" s="2139"/>
      <c r="H20" s="2206"/>
    </row>
    <row r="21" spans="1:10" s="2419" customFormat="1">
      <c r="A21" s="2814" t="s">
        <v>1150</v>
      </c>
      <c r="B21" s="2294">
        <v>50.2</v>
      </c>
      <c r="C21" s="2292">
        <v>118.833333</v>
      </c>
      <c r="D21" s="2288">
        <v>108.3</v>
      </c>
      <c r="E21" s="2289">
        <v>76.666666000000006</v>
      </c>
      <c r="F21" s="2292">
        <f t="shared" si="0"/>
        <v>117.99999966666667</v>
      </c>
      <c r="G21" s="2139"/>
      <c r="H21" s="2206"/>
    </row>
    <row r="22" spans="1:10" s="2419" customFormat="1">
      <c r="A22" s="2296" t="s">
        <v>1837</v>
      </c>
      <c r="B22" s="2815">
        <v>130</v>
      </c>
      <c r="C22" s="2412">
        <v>433.9</v>
      </c>
      <c r="D22" s="2299">
        <v>429.6</v>
      </c>
      <c r="E22" s="2300">
        <v>370.2</v>
      </c>
      <c r="F22" s="2206" cm="1">
        <f t="array" ref="F22">SUM(B22:E22/3)</f>
        <v>454.56666666666666</v>
      </c>
      <c r="G22" s="2139"/>
      <c r="H22" s="2206"/>
    </row>
    <row r="23" spans="1:10" s="2222" customFormat="1">
      <c r="A23" s="2302" t="s">
        <v>5</v>
      </c>
      <c r="B23" s="2440"/>
      <c r="C23" s="2298">
        <v>8157.8</v>
      </c>
      <c r="D23" s="2298">
        <v>7783.5333330000003</v>
      </c>
      <c r="E23" s="2298">
        <v>7255.3333329999996</v>
      </c>
      <c r="F23" s="2305" cm="1">
        <f t="array" ref="F23">SUM(B23:E23/3)</f>
        <v>7732.2222220000003</v>
      </c>
      <c r="G23" s="2307"/>
      <c r="H23" s="2307"/>
    </row>
    <row r="24" spans="1:10" s="2222" customFormat="1">
      <c r="A24" s="2302" t="s">
        <v>4</v>
      </c>
      <c r="B24" s="2308"/>
      <c r="C24" s="2298">
        <v>6241.8666659999999</v>
      </c>
      <c r="D24" s="2298">
        <v>5780</v>
      </c>
      <c r="E24" s="2298">
        <v>5338.5666659999997</v>
      </c>
      <c r="F24" s="2305" cm="1">
        <f t="array" ref="F24">SUM(B24:E24/3)</f>
        <v>5786.8111106666665</v>
      </c>
      <c r="G24" s="2305"/>
      <c r="H24" s="2305"/>
    </row>
    <row r="25" spans="1:10" s="2222" customFormat="1">
      <c r="A25" s="2302" t="s">
        <v>2027</v>
      </c>
      <c r="B25" s="2298">
        <v>124.866666</v>
      </c>
      <c r="C25" s="2298">
        <v>577.63333299999999</v>
      </c>
      <c r="D25" s="2298"/>
      <c r="E25" s="2298">
        <v>551</v>
      </c>
      <c r="F25" s="2309" cm="1">
        <f t="array" ref="F25">SUM(B25:E25/2)</f>
        <v>626.74999950000006</v>
      </c>
      <c r="G25" s="2305"/>
      <c r="H25" s="2305"/>
    </row>
    <row r="26" spans="1:10" s="2222" customFormat="1">
      <c r="A26" s="2302" t="s">
        <v>6</v>
      </c>
      <c r="B26" s="2308"/>
      <c r="C26" s="2303">
        <v>2058.833333</v>
      </c>
      <c r="D26" s="2304">
        <v>2145.8000000000002</v>
      </c>
      <c r="E26" s="2438">
        <v>2376.266666</v>
      </c>
      <c r="F26" s="2305" cm="1">
        <f t="array" ref="F26">SUM(B26:E26/3)</f>
        <v>2193.6333330000002</v>
      </c>
      <c r="G26" s="2305"/>
      <c r="H26" s="2305"/>
    </row>
    <row r="27" spans="1:10" s="2222" customFormat="1" ht="13.5" thickBot="1">
      <c r="A27" s="2271" t="s">
        <v>7</v>
      </c>
      <c r="B27" s="2440">
        <v>16.399999999999999</v>
      </c>
      <c r="C27" s="2439">
        <v>12836.8</v>
      </c>
      <c r="D27" s="2304">
        <v>12090.766666</v>
      </c>
      <c r="E27" s="2438">
        <v>11352.166665999999</v>
      </c>
      <c r="F27" s="2305" cm="1">
        <f t="array" ref="F27">SUM(B27:E27/3)</f>
        <v>12098.711110666665</v>
      </c>
      <c r="G27" s="2311"/>
      <c r="H27" s="2311"/>
    </row>
    <row r="28" spans="1:10" s="2222" customFormat="1" ht="13.5" thickTop="1">
      <c r="A28" s="2312" t="s">
        <v>472</v>
      </c>
      <c r="B28" s="2437"/>
      <c r="C28" s="2313">
        <f>SUM(C27,C26,C24,C23,C22,C25,C13,C9)</f>
        <v>104967.949995</v>
      </c>
      <c r="D28" s="2313">
        <f>SUM(D27,D26,D24,D23,D22,D25,D13,D9)</f>
        <v>77656.816663999998</v>
      </c>
      <c r="E28" s="2313">
        <f>SUM(E27,E26,E24,E23,E22,E25,E13,E9)</f>
        <v>95604.999994000013</v>
      </c>
      <c r="F28" s="2313">
        <f>SUM(F27,F26,F24,F23,F22,F25,F13,F9)</f>
        <v>103861.977772</v>
      </c>
      <c r="G28" s="2316"/>
      <c r="H28" s="2316"/>
    </row>
    <row r="29" spans="1:10" s="2222" customFormat="1">
      <c r="A29" s="2317"/>
      <c r="B29" s="2436"/>
      <c r="C29" s="2436"/>
      <c r="D29" s="2436"/>
      <c r="E29" s="2436"/>
      <c r="F29" s="2318"/>
      <c r="G29" s="2318"/>
      <c r="H29" s="2318"/>
    </row>
    <row r="30" spans="1:10" s="2222" customFormat="1" ht="15" customHeight="1">
      <c r="A30" s="2778" t="s">
        <v>588</v>
      </c>
      <c r="B30" s="2807" t="s">
        <v>77</v>
      </c>
      <c r="C30" s="2808"/>
      <c r="D30" s="2808"/>
      <c r="E30" s="2808"/>
      <c r="F30" s="2435"/>
      <c r="G30" s="2320" t="s">
        <v>1791</v>
      </c>
      <c r="H30" s="2320" t="s">
        <v>1949</v>
      </c>
    </row>
    <row r="31" spans="1:10" s="2222" customFormat="1">
      <c r="A31" s="2766"/>
      <c r="B31" s="2251" t="s">
        <v>2021</v>
      </c>
      <c r="C31" s="2251" t="s">
        <v>2022</v>
      </c>
      <c r="D31" s="2251" t="s">
        <v>2023</v>
      </c>
      <c r="E31" s="2251" t="s">
        <v>2024</v>
      </c>
      <c r="F31" s="2252" t="s">
        <v>465</v>
      </c>
      <c r="G31" s="2253" t="s">
        <v>1792</v>
      </c>
      <c r="H31" s="2253" t="s">
        <v>1792</v>
      </c>
    </row>
    <row r="32" spans="1:10" s="2222" customFormat="1" ht="13.5" thickBot="1">
      <c r="A32" s="2767"/>
      <c r="B32" s="2256" t="s">
        <v>311</v>
      </c>
      <c r="C32" s="2256" t="s">
        <v>484</v>
      </c>
      <c r="D32" s="2256" t="s">
        <v>311</v>
      </c>
      <c r="E32" s="2255" t="s">
        <v>483</v>
      </c>
      <c r="F32" s="2256" t="s">
        <v>2025</v>
      </c>
      <c r="G32" s="2260" t="s">
        <v>505</v>
      </c>
      <c r="H32" s="2256" t="str">
        <f>H8</f>
        <v>2019-20</v>
      </c>
    </row>
    <row r="33" spans="1:8" s="2222" customFormat="1" ht="26.25" thickTop="1">
      <c r="A33" s="2174" t="s">
        <v>582</v>
      </c>
      <c r="B33" s="2303">
        <v>31834</v>
      </c>
      <c r="C33" s="2272">
        <v>83368</v>
      </c>
      <c r="D33" s="2332">
        <v>79398</v>
      </c>
      <c r="E33" s="2816">
        <v>77949</v>
      </c>
      <c r="F33" s="2817">
        <v>90850</v>
      </c>
      <c r="G33" s="2330"/>
      <c r="H33" s="2427"/>
    </row>
    <row r="34" spans="1:8" s="2425" customFormat="1">
      <c r="A34" s="2182" t="s">
        <v>581</v>
      </c>
      <c r="B34" s="2331">
        <f>SUM(B35:B36)</f>
        <v>1993</v>
      </c>
      <c r="C34" s="2331">
        <f t="shared" ref="C34:F34" si="1">SUM(C35:C36)</f>
        <v>4772</v>
      </c>
      <c r="D34" s="2331">
        <f t="shared" si="1"/>
        <v>5151</v>
      </c>
      <c r="E34" s="2331">
        <f t="shared" si="1"/>
        <v>5398</v>
      </c>
      <c r="F34" s="2331">
        <f t="shared" si="1"/>
        <v>5770</v>
      </c>
      <c r="G34" s="2336"/>
      <c r="H34" s="2412"/>
    </row>
    <row r="35" spans="1:8" s="2421" customFormat="1">
      <c r="A35" s="2189" t="s">
        <v>460</v>
      </c>
      <c r="B35" s="2337">
        <v>1993</v>
      </c>
      <c r="C35" s="2338">
        <v>4576</v>
      </c>
      <c r="D35" s="2339">
        <v>4878</v>
      </c>
      <c r="E35" s="2818">
        <v>4869</v>
      </c>
      <c r="F35" s="2422">
        <v>5438</v>
      </c>
      <c r="G35" s="2139"/>
      <c r="H35" s="2206"/>
    </row>
    <row r="36" spans="1:8" s="2421" customFormat="1">
      <c r="A36" s="2189" t="s">
        <v>459</v>
      </c>
      <c r="B36" s="2337">
        <v>0</v>
      </c>
      <c r="C36" s="2338">
        <v>196</v>
      </c>
      <c r="D36" s="2339">
        <v>273</v>
      </c>
      <c r="E36" s="2819">
        <v>529</v>
      </c>
      <c r="F36" s="2422">
        <v>332</v>
      </c>
      <c r="G36" s="2139"/>
      <c r="H36" s="2206"/>
    </row>
    <row r="37" spans="1:8" s="2222" customFormat="1" ht="15.75">
      <c r="A37" s="2343" t="s">
        <v>1607</v>
      </c>
      <c r="B37" s="2344">
        <v>1333</v>
      </c>
      <c r="C37" s="2412">
        <v>4262</v>
      </c>
      <c r="D37" s="2299">
        <v>4274</v>
      </c>
      <c r="E37" s="2820">
        <v>4188</v>
      </c>
      <c r="F37" s="2426">
        <v>4685</v>
      </c>
      <c r="G37" s="2130"/>
      <c r="H37" s="2200"/>
    </row>
    <row r="38" spans="1:8" s="2222" customFormat="1" ht="15.75">
      <c r="A38" s="2296" t="s">
        <v>1608</v>
      </c>
      <c r="B38" s="2308">
        <f>SUM(B39:B44)</f>
        <v>103.866666</v>
      </c>
      <c r="C38" s="2308">
        <f t="shared" ref="C38:F38" si="2">SUM(C39:C44)</f>
        <v>326.53333200000003</v>
      </c>
      <c r="D38" s="2308">
        <f t="shared" si="2"/>
        <v>243.69999799999999</v>
      </c>
      <c r="E38" s="2308">
        <f t="shared" si="2"/>
        <v>255.19999900000002</v>
      </c>
      <c r="F38" s="2308">
        <f t="shared" si="2"/>
        <v>315.09999833333336</v>
      </c>
      <c r="G38" s="2130"/>
      <c r="H38" s="2200"/>
    </row>
    <row r="39" spans="1:8" s="2419" customFormat="1">
      <c r="A39" s="2293" t="s">
        <v>455</v>
      </c>
      <c r="B39" s="2281">
        <v>61.8</v>
      </c>
      <c r="C39" s="2338">
        <v>127.333333</v>
      </c>
      <c r="D39" s="2268">
        <v>115.366666</v>
      </c>
      <c r="E39" s="2282">
        <v>112.2</v>
      </c>
      <c r="F39" s="2104" cm="1">
        <f t="array" ref="F39">SUM(B39:E39/3)</f>
        <v>138.89999966666667</v>
      </c>
      <c r="G39" s="2139"/>
      <c r="H39" s="2206"/>
    </row>
    <row r="40" spans="1:8" s="2419" customFormat="1">
      <c r="A40" s="2293" t="s">
        <v>454</v>
      </c>
      <c r="B40" s="2281">
        <v>30.333333</v>
      </c>
      <c r="C40" s="2338">
        <v>67.599999999999994</v>
      </c>
      <c r="D40" s="2268">
        <v>61.266666000000001</v>
      </c>
      <c r="E40" s="2282">
        <v>66.599999999999994</v>
      </c>
      <c r="F40" s="2104" cm="1">
        <f t="array" ref="F40">SUM(B40:E40/3)</f>
        <v>75.266666333333333</v>
      </c>
      <c r="G40" s="2139"/>
      <c r="H40" s="2206"/>
    </row>
    <row r="41" spans="1:8" s="2419" customFormat="1">
      <c r="A41" s="2293" t="s">
        <v>453</v>
      </c>
      <c r="B41" s="2281"/>
      <c r="C41" s="2338"/>
      <c r="D41" s="2268"/>
      <c r="E41" s="2282"/>
      <c r="F41" s="2104"/>
      <c r="G41" s="2139"/>
      <c r="H41" s="2206"/>
    </row>
    <row r="42" spans="1:8" s="2419" customFormat="1">
      <c r="A42" s="2293" t="s">
        <v>1152</v>
      </c>
      <c r="B42" s="2281"/>
      <c r="C42" s="2338">
        <v>14</v>
      </c>
      <c r="D42" s="2267"/>
      <c r="E42" s="2282">
        <v>18</v>
      </c>
      <c r="F42" s="2104" cm="1">
        <f t="array" ref="F42">SUM(B42:E42/2)</f>
        <v>16</v>
      </c>
      <c r="G42" s="2139"/>
      <c r="H42" s="2206"/>
    </row>
    <row r="43" spans="1:8" s="2419" customFormat="1">
      <c r="A43" s="2293" t="s">
        <v>1852</v>
      </c>
      <c r="B43" s="2281">
        <v>11.733333</v>
      </c>
      <c r="C43" s="2338">
        <v>108.933333</v>
      </c>
      <c r="D43" s="2267">
        <v>61.333333000000003</v>
      </c>
      <c r="E43" s="2282">
        <v>50.466665999999996</v>
      </c>
      <c r="F43" s="2104" cm="1">
        <f t="array" ref="F43">SUM(B43:E43/3)</f>
        <v>77.488888333333335</v>
      </c>
      <c r="G43" s="2139"/>
      <c r="H43" s="2206"/>
    </row>
    <row r="44" spans="1:8" s="2419" customFormat="1" ht="13.5" thickBot="1">
      <c r="A44" s="2293" t="s">
        <v>1943</v>
      </c>
      <c r="B44" s="2281"/>
      <c r="C44" s="2338">
        <v>8.6666659999999993</v>
      </c>
      <c r="D44" s="2267">
        <v>5.733333</v>
      </c>
      <c r="E44" s="2282">
        <v>7.9333330000000002</v>
      </c>
      <c r="F44" s="2821" cm="1">
        <f t="array" ref="F44">SUM(B44:E44/3)</f>
        <v>7.4444439999999998</v>
      </c>
      <c r="G44" s="2139"/>
      <c r="H44" s="2206"/>
    </row>
    <row r="45" spans="1:8" s="2247" customFormat="1" ht="16.5" thickTop="1">
      <c r="A45" s="2349" t="s">
        <v>1609</v>
      </c>
      <c r="B45" s="2350">
        <f>B33+B34+B37+B38</f>
        <v>35263.866666000002</v>
      </c>
      <c r="C45" s="2350">
        <f>C33+C34+C37+C38</f>
        <v>92728.533332000006</v>
      </c>
      <c r="D45" s="2350">
        <f>D33+D34+D37+D38</f>
        <v>89066.699997999996</v>
      </c>
      <c r="E45" s="2350">
        <f>E33+E34+E37+E38</f>
        <v>87790.199999000004</v>
      </c>
      <c r="F45" s="2350">
        <f>F33+F34+F37+F38</f>
        <v>101620.09999833333</v>
      </c>
      <c r="G45" s="2216"/>
      <c r="H45" s="2418"/>
    </row>
    <row r="46" spans="1:8" s="2222" customFormat="1" ht="13.5" thickBot="1">
      <c r="A46" s="2352"/>
      <c r="B46" s="2353"/>
      <c r="C46" s="2354"/>
      <c r="D46" s="2354"/>
      <c r="E46" s="2354"/>
      <c r="F46" s="2354"/>
    </row>
    <row r="47" spans="1:8" s="2075" customFormat="1" ht="15" thickTop="1" thickBot="1">
      <c r="A47" s="2357" t="s">
        <v>448</v>
      </c>
      <c r="B47" s="2358"/>
      <c r="C47" s="2358"/>
      <c r="D47" s="2359"/>
      <c r="E47" s="2359"/>
      <c r="F47" s="2360"/>
    </row>
    <row r="48" spans="1:8" s="2075" customFormat="1" ht="14.25" thickTop="1">
      <c r="A48" s="2362"/>
      <c r="B48" s="2363"/>
      <c r="C48" s="2363"/>
      <c r="D48" s="2364"/>
      <c r="E48" s="2364"/>
      <c r="F48" s="2364"/>
      <c r="H48" s="2417"/>
    </row>
    <row r="49" spans="1:8">
      <c r="A49" s="2233" t="s">
        <v>574</v>
      </c>
      <c r="B49" s="2366">
        <v>684</v>
      </c>
      <c r="C49" s="2416">
        <v>25153</v>
      </c>
      <c r="D49" s="2415">
        <v>24689</v>
      </c>
      <c r="E49" s="2492">
        <v>23022</v>
      </c>
      <c r="F49" s="2238">
        <v>24516</v>
      </c>
    </row>
    <row r="50" spans="1:8" s="2075" customFormat="1">
      <c r="A50" s="2367"/>
      <c r="B50" s="2363"/>
      <c r="C50" s="2363"/>
      <c r="D50" s="2364"/>
      <c r="E50" s="2364"/>
      <c r="F50" s="2364"/>
      <c r="G50" s="2071"/>
      <c r="H50" s="2071"/>
    </row>
    <row r="51" spans="1:8" ht="84" customHeight="1">
      <c r="A51" s="2774" t="s">
        <v>1871</v>
      </c>
      <c r="B51" s="2774"/>
      <c r="C51" s="2774"/>
      <c r="D51" s="2774"/>
      <c r="E51" s="2774"/>
      <c r="F51" s="2774"/>
      <c r="G51" s="2244"/>
    </row>
    <row r="52" spans="1:8" ht="44.25" customHeight="1">
      <c r="A52" s="2777" t="s">
        <v>1794</v>
      </c>
      <c r="B52" s="2777"/>
      <c r="C52" s="2777"/>
      <c r="D52" s="2777"/>
      <c r="E52" s="2777"/>
      <c r="F52" s="2777"/>
      <c r="G52" s="2777"/>
    </row>
    <row r="53" spans="1:8" ht="29.25" customHeight="1">
      <c r="A53" s="2775" t="s">
        <v>1681</v>
      </c>
      <c r="B53" s="2775"/>
      <c r="C53" s="2775"/>
      <c r="D53" s="2775"/>
      <c r="E53" s="2775"/>
      <c r="F53" s="2775"/>
      <c r="G53" s="2775"/>
    </row>
    <row r="54" spans="1:8" ht="37.5" customHeight="1">
      <c r="A54" s="2776" t="s">
        <v>1870</v>
      </c>
      <c r="B54" s="2775"/>
      <c r="C54" s="2775"/>
      <c r="D54" s="2775"/>
      <c r="E54" s="2775"/>
      <c r="F54" s="2775"/>
      <c r="G54" s="2775"/>
    </row>
    <row r="55" spans="1:8" ht="24.75" customHeight="1">
      <c r="A55" s="2777" t="s">
        <v>1796</v>
      </c>
      <c r="B55" s="2777"/>
      <c r="C55" s="2777"/>
      <c r="D55" s="2777"/>
      <c r="E55" s="2777"/>
      <c r="F55" s="2777"/>
      <c r="G55" s="2777"/>
    </row>
    <row r="56" spans="1:8" ht="29.25" customHeight="1">
      <c r="A56" s="2764" t="s">
        <v>1797</v>
      </c>
      <c r="B56" s="2764"/>
      <c r="C56" s="2764"/>
      <c r="D56" s="2764"/>
      <c r="E56" s="2764"/>
      <c r="F56" s="2764"/>
      <c r="G56" s="2764"/>
    </row>
  </sheetData>
  <mergeCells count="12">
    <mergeCell ref="A51:F51"/>
    <mergeCell ref="A52:G52"/>
    <mergeCell ref="A53:G53"/>
    <mergeCell ref="A54:G54"/>
    <mergeCell ref="A55:G55"/>
    <mergeCell ref="A56:G56"/>
    <mergeCell ref="A2:G2"/>
    <mergeCell ref="A3:G3"/>
    <mergeCell ref="A4:F4"/>
    <mergeCell ref="B6:F6"/>
    <mergeCell ref="A30:A32"/>
    <mergeCell ref="B30:E30"/>
  </mergeCells>
  <pageMargins left="0.7" right="0.7" top="0.75" bottom="0.75" header="0.3" footer="0.3"/>
  <pageSetup scale="75" orientation="portrait" r:id="rId1"/>
  <colBreaks count="1" manualBreakCount="1">
    <brk id="7" max="1048575" man="1"/>
  </colBreaks>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pageSetUpPr fitToPage="1"/>
  </sheetPr>
  <dimension ref="A1:AJ120"/>
  <sheetViews>
    <sheetView zoomScale="85" zoomScaleNormal="85" workbookViewId="0">
      <pane xSplit="11" ySplit="6" topLeftCell="X7" activePane="bottomRight" state="frozen"/>
      <selection pane="topRight" activeCell="L1" sqref="L1"/>
      <selection pane="bottomLeft" activeCell="A7" sqref="A7"/>
      <selection pane="bottomRight" activeCell="A10" sqref="A10"/>
    </sheetView>
  </sheetViews>
  <sheetFormatPr defaultRowHeight="12.75"/>
  <cols>
    <col min="1" max="1" width="43.75" style="1" customWidth="1"/>
    <col min="2" max="18" width="8.625" style="1" hidden="1" customWidth="1"/>
    <col min="19" max="19" width="9.25" style="1" hidden="1" customWidth="1"/>
    <col min="20" max="23" width="9" style="1" hidden="1" customWidth="1"/>
    <col min="24" max="28" width="9" style="1" customWidth="1"/>
    <col min="29" max="16384" width="9" style="1"/>
  </cols>
  <sheetData>
    <row r="1" spans="1:36">
      <c r="A1" s="1" t="str">
        <f>+OperatingFunds!B1</f>
        <v>Last updated: 18 December 2024</v>
      </c>
    </row>
    <row r="2" spans="1:36">
      <c r="A2" s="4" t="s">
        <v>10</v>
      </c>
      <c r="Q2" s="8"/>
      <c r="S2" s="8"/>
    </row>
    <row r="3" spans="1:36">
      <c r="A3" s="5" t="s">
        <v>35</v>
      </c>
      <c r="B3" s="5"/>
      <c r="C3" s="5"/>
      <c r="D3" s="5"/>
      <c r="E3" s="5"/>
      <c r="F3" s="5"/>
      <c r="G3" s="5"/>
      <c r="H3" s="5"/>
      <c r="I3" s="5"/>
      <c r="J3" s="5"/>
      <c r="K3" s="5"/>
      <c r="L3" s="5"/>
      <c r="M3" s="5"/>
      <c r="N3" s="5"/>
      <c r="O3" s="5"/>
      <c r="P3" s="5"/>
      <c r="Q3" s="5"/>
      <c r="R3" s="5"/>
      <c r="S3" s="5"/>
      <c r="T3" s="5"/>
      <c r="U3" s="5"/>
      <c r="V3" s="5"/>
      <c r="W3" s="5"/>
      <c r="X3" s="5"/>
      <c r="Y3" s="5"/>
      <c r="Z3" s="5"/>
      <c r="AA3" s="5"/>
      <c r="AB3" s="5"/>
      <c r="AC3" s="5"/>
      <c r="AD3" s="5"/>
      <c r="AE3" s="5"/>
    </row>
    <row r="4" spans="1:36">
      <c r="A4" s="5" t="s">
        <v>39</v>
      </c>
      <c r="B4" s="5"/>
      <c r="C4" s="5"/>
      <c r="D4" s="5"/>
      <c r="E4" s="5"/>
      <c r="F4" s="5"/>
      <c r="G4" s="5"/>
      <c r="H4" s="5"/>
      <c r="I4" s="5"/>
      <c r="J4" s="5"/>
      <c r="K4" s="5"/>
      <c r="L4" s="5"/>
      <c r="M4" s="5"/>
      <c r="N4" s="5"/>
      <c r="O4" s="5"/>
      <c r="P4" s="5"/>
      <c r="Q4" s="5"/>
      <c r="R4" s="5"/>
      <c r="S4" s="5"/>
      <c r="T4" s="5"/>
      <c r="U4" s="5"/>
      <c r="V4" s="5"/>
      <c r="W4" s="5"/>
      <c r="X4" s="5"/>
      <c r="Y4" s="5"/>
      <c r="Z4" s="5"/>
      <c r="AA4" s="5"/>
      <c r="AB4" s="5"/>
      <c r="AC4" s="5"/>
      <c r="AD4" s="5"/>
      <c r="AE4" s="5"/>
    </row>
    <row r="5" spans="1:36">
      <c r="Q5"/>
      <c r="R5"/>
      <c r="S5"/>
      <c r="V5" s="423"/>
      <c r="W5" s="423"/>
      <c r="X5" s="423"/>
    </row>
    <row r="6" spans="1:36">
      <c r="B6" s="410" t="s">
        <v>54</v>
      </c>
      <c r="C6" s="410" t="s">
        <v>56</v>
      </c>
      <c r="D6" s="410" t="s">
        <v>57</v>
      </c>
      <c r="E6" s="410" t="s">
        <v>58</v>
      </c>
      <c r="F6" s="410" t="s">
        <v>59</v>
      </c>
      <c r="G6" s="410" t="s">
        <v>60</v>
      </c>
      <c r="H6" s="410" t="s">
        <v>61</v>
      </c>
      <c r="I6" s="410" t="s">
        <v>62</v>
      </c>
      <c r="J6" s="410" t="s">
        <v>63</v>
      </c>
      <c r="K6" s="410" t="s">
        <v>41</v>
      </c>
      <c r="L6" s="2" t="s">
        <v>55</v>
      </c>
      <c r="M6" s="2" t="s">
        <v>64</v>
      </c>
      <c r="N6" s="2" t="s">
        <v>71</v>
      </c>
      <c r="O6" s="2" t="s">
        <v>72</v>
      </c>
      <c r="P6" s="2" t="str">
        <f t="shared" ref="P6:U6" si="0">LEFT(O6,4)+1&amp;"-0"&amp;RIGHT(O6,2)+1</f>
        <v>2003-04</v>
      </c>
      <c r="Q6" s="2" t="str">
        <f t="shared" si="0"/>
        <v>2004-05</v>
      </c>
      <c r="R6" s="2" t="str">
        <f t="shared" si="0"/>
        <v>2005-06</v>
      </c>
      <c r="S6" s="2" t="str">
        <f t="shared" si="0"/>
        <v>2006-07</v>
      </c>
      <c r="T6" s="2" t="str">
        <f t="shared" si="0"/>
        <v>2007-08</v>
      </c>
      <c r="U6" s="2" t="str">
        <f t="shared" si="0"/>
        <v>2008-09</v>
      </c>
      <c r="V6" s="14" t="str">
        <f t="shared" ref="V6:AC6" si="1">LEFT(U6,4)+1&amp;"-"&amp;RIGHT(U6,2)+1</f>
        <v>2009-10</v>
      </c>
      <c r="W6" s="14" t="str">
        <f t="shared" si="1"/>
        <v>2010-11</v>
      </c>
      <c r="X6" s="14" t="str">
        <f t="shared" si="1"/>
        <v>2011-12</v>
      </c>
      <c r="Y6" s="14" t="str">
        <f t="shared" si="1"/>
        <v>2012-13</v>
      </c>
      <c r="Z6" s="14" t="str">
        <f t="shared" si="1"/>
        <v>2013-14</v>
      </c>
      <c r="AA6" s="14" t="str">
        <f t="shared" si="1"/>
        <v>2014-15</v>
      </c>
      <c r="AB6" s="14" t="str">
        <f t="shared" si="1"/>
        <v>2015-16</v>
      </c>
      <c r="AC6" s="14" t="str">
        <f t="shared" si="1"/>
        <v>2016-17</v>
      </c>
      <c r="AD6" s="14" t="str">
        <f t="shared" ref="AD6:AJ6" si="2">LEFT(AC6,4)+1&amp;"-"&amp;RIGHT(AC6,2)+1</f>
        <v>2017-18</v>
      </c>
      <c r="AE6" s="14" t="str">
        <f t="shared" si="2"/>
        <v>2018-19</v>
      </c>
      <c r="AF6" s="14" t="str">
        <f t="shared" si="2"/>
        <v>2019-20</v>
      </c>
      <c r="AG6" s="14" t="str">
        <f t="shared" si="2"/>
        <v>2020-21</v>
      </c>
      <c r="AH6" s="14" t="str">
        <f t="shared" si="2"/>
        <v>2021-22</v>
      </c>
      <c r="AI6" s="14" t="str">
        <f t="shared" si="2"/>
        <v>2022-23</v>
      </c>
      <c r="AJ6" s="14" t="str">
        <f t="shared" si="2"/>
        <v>2023-24</v>
      </c>
    </row>
    <row r="7" spans="1:36">
      <c r="B7" s="2"/>
      <c r="C7" s="2"/>
      <c r="D7" s="2"/>
      <c r="E7" s="2"/>
      <c r="F7" s="2"/>
      <c r="G7" s="2"/>
      <c r="H7" s="2"/>
      <c r="I7" s="2"/>
      <c r="J7" s="2"/>
      <c r="K7" s="2"/>
      <c r="L7" s="2"/>
      <c r="M7" s="2"/>
      <c r="N7" s="14"/>
      <c r="O7" s="14"/>
    </row>
    <row r="8" spans="1:36" ht="16.5">
      <c r="A8" s="30" t="s">
        <v>122</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row>
    <row r="9" spans="1:36">
      <c r="AD9" s="3"/>
      <c r="AE9" s="3"/>
    </row>
    <row r="10" spans="1:36">
      <c r="A10" s="9" t="s">
        <v>124</v>
      </c>
      <c r="B10" s="3">
        <f t="shared" ref="B10:N10" si="3">SUM(B29:B32)</f>
        <v>29623</v>
      </c>
      <c r="C10" s="3">
        <f t="shared" si="3"/>
        <v>30123</v>
      </c>
      <c r="D10" s="3">
        <f t="shared" si="3"/>
        <v>30723</v>
      </c>
      <c r="E10" s="3">
        <f t="shared" si="3"/>
        <v>31210</v>
      </c>
      <c r="F10" s="3">
        <f t="shared" si="3"/>
        <v>31341</v>
      </c>
      <c r="G10" s="3">
        <f t="shared" si="3"/>
        <v>31494</v>
      </c>
      <c r="H10" s="3">
        <f t="shared" si="3"/>
        <v>31811</v>
      </c>
      <c r="I10" s="3">
        <f t="shared" si="3"/>
        <v>32858</v>
      </c>
      <c r="J10" s="3">
        <f t="shared" si="3"/>
        <v>33398</v>
      </c>
      <c r="K10" s="3">
        <f t="shared" si="3"/>
        <v>33592</v>
      </c>
      <c r="L10" s="3">
        <f t="shared" si="3"/>
        <v>34058</v>
      </c>
      <c r="M10" s="3">
        <f t="shared" si="3"/>
        <v>34966</v>
      </c>
      <c r="N10" s="3">
        <f t="shared" si="3"/>
        <v>36647</v>
      </c>
      <c r="O10" s="3">
        <f t="shared" ref="O10:T10" si="4">SUM(O29:O32)</f>
        <v>36963</v>
      </c>
      <c r="P10" s="3">
        <f t="shared" si="4"/>
        <v>36316</v>
      </c>
      <c r="Q10" s="3">
        <f t="shared" si="4"/>
        <v>36357</v>
      </c>
      <c r="R10" s="3">
        <f t="shared" si="4"/>
        <v>36022</v>
      </c>
      <c r="S10" s="3">
        <f t="shared" si="4"/>
        <v>36647</v>
      </c>
      <c r="T10" s="3">
        <f t="shared" si="4"/>
        <v>37526.163333333345</v>
      </c>
      <c r="U10" s="3">
        <f t="shared" ref="U10:Z10" si="5">SUM(U29:U32)</f>
        <v>39729.25</v>
      </c>
      <c r="V10" s="3">
        <f t="shared" si="5"/>
        <v>40942.549999999996</v>
      </c>
      <c r="W10" s="3">
        <f t="shared" si="5"/>
        <v>42302.866666666661</v>
      </c>
      <c r="X10" s="3">
        <f t="shared" si="5"/>
        <v>42717.999999999993</v>
      </c>
      <c r="Y10" s="3">
        <f t="shared" si="5"/>
        <v>43486.8</v>
      </c>
      <c r="Z10" s="3">
        <f t="shared" si="5"/>
        <v>44709.166666666672</v>
      </c>
      <c r="AA10" s="3">
        <f t="shared" ref="AA10:AF10" si="6">SUM(AA29:AA32)</f>
        <v>45886.466666666674</v>
      </c>
      <c r="AB10" s="3">
        <f t="shared" si="6"/>
        <v>47089.166666666664</v>
      </c>
      <c r="AC10" s="3">
        <f t="shared" si="6"/>
        <v>47917.066666666666</v>
      </c>
      <c r="AD10" s="3">
        <f t="shared" si="6"/>
        <v>48738.666666666664</v>
      </c>
      <c r="AE10" s="3">
        <f t="shared" si="6"/>
        <v>49803.333333333328</v>
      </c>
      <c r="AF10" s="3">
        <f t="shared" si="6"/>
        <v>49947.000000000007</v>
      </c>
      <c r="AG10" s="3">
        <f t="shared" ref="AG10:AH10" si="7">SUM(AG29:AG32)</f>
        <v>49279.666666666672</v>
      </c>
      <c r="AH10" s="22">
        <f t="shared" si="7"/>
        <v>49007</v>
      </c>
      <c r="AI10" s="3">
        <f t="shared" ref="AI10:AJ10" si="8">SUM(AI29:AI32)</f>
        <v>48501.333333333336</v>
      </c>
      <c r="AJ10" s="3">
        <f>SUM(AJ29:AJ32)</f>
        <v>52443.199998333337</v>
      </c>
    </row>
    <row r="11" spans="1:36" ht="25.5">
      <c r="A11" s="9" t="s">
        <v>1936</v>
      </c>
      <c r="B11" s="3">
        <f t="shared" ref="B11:W11" si="9">+B33</f>
        <v>16590</v>
      </c>
      <c r="C11" s="3">
        <f t="shared" si="9"/>
        <v>16777</v>
      </c>
      <c r="D11" s="3">
        <f t="shared" si="9"/>
        <v>16459</v>
      </c>
      <c r="E11" s="3">
        <f t="shared" si="9"/>
        <v>16710</v>
      </c>
      <c r="F11" s="3">
        <f t="shared" si="9"/>
        <v>17503</v>
      </c>
      <c r="G11" s="3">
        <f t="shared" si="9"/>
        <v>18081</v>
      </c>
      <c r="H11" s="3">
        <f t="shared" si="9"/>
        <v>18526</v>
      </c>
      <c r="I11" s="3">
        <f t="shared" si="9"/>
        <v>18713</v>
      </c>
      <c r="J11" s="3">
        <f t="shared" si="9"/>
        <v>18725</v>
      </c>
      <c r="K11" s="3">
        <f t="shared" si="9"/>
        <v>19312</v>
      </c>
      <c r="L11" s="3">
        <f t="shared" si="9"/>
        <v>19008</v>
      </c>
      <c r="M11" s="3">
        <f t="shared" si="9"/>
        <v>19498</v>
      </c>
      <c r="N11" s="3">
        <f t="shared" si="9"/>
        <v>19955</v>
      </c>
      <c r="O11" s="3">
        <f t="shared" si="9"/>
        <v>20311</v>
      </c>
      <c r="P11" s="3">
        <f t="shared" si="9"/>
        <v>20542</v>
      </c>
      <c r="Q11" s="3">
        <f t="shared" si="9"/>
        <v>21157</v>
      </c>
      <c r="R11" s="3">
        <f t="shared" si="9"/>
        <v>21325</v>
      </c>
      <c r="S11" s="3">
        <f t="shared" si="9"/>
        <v>21277</v>
      </c>
      <c r="T11" s="3">
        <f t="shared" si="9"/>
        <v>22333</v>
      </c>
      <c r="U11" s="3">
        <f t="shared" si="9"/>
        <v>23315.899999999998</v>
      </c>
      <c r="V11" s="3">
        <f t="shared" si="9"/>
        <v>23992.370000000003</v>
      </c>
      <c r="W11" s="3">
        <f t="shared" si="9"/>
        <v>24233.100000000002</v>
      </c>
      <c r="X11" s="3">
        <f t="shared" ref="X11:AC11" si="10">+X33</f>
        <v>25284</v>
      </c>
      <c r="Y11" s="3">
        <f t="shared" si="10"/>
        <v>25189.449999999997</v>
      </c>
      <c r="Z11" s="3">
        <f t="shared" si="10"/>
        <v>25092.250000000004</v>
      </c>
      <c r="AA11" s="3">
        <f t="shared" si="10"/>
        <v>25954.016666666666</v>
      </c>
      <c r="AB11" s="3">
        <f t="shared" si="10"/>
        <v>26321.599999999999</v>
      </c>
      <c r="AC11" s="3">
        <f t="shared" si="10"/>
        <v>26630.083333333336</v>
      </c>
      <c r="AD11" s="3">
        <f t="shared" ref="AD11:AI11" si="11">+AD33</f>
        <v>27054.5</v>
      </c>
      <c r="AE11" s="3">
        <f t="shared" si="11"/>
        <v>27613.333333333332</v>
      </c>
      <c r="AF11" s="3">
        <f t="shared" si="11"/>
        <v>27684.666666666664</v>
      </c>
      <c r="AG11" s="3">
        <f t="shared" si="11"/>
        <v>26935.5</v>
      </c>
      <c r="AH11" s="3">
        <f t="shared" si="11"/>
        <v>25407.833333333332</v>
      </c>
      <c r="AI11" s="3">
        <f t="shared" si="11"/>
        <v>23690.5</v>
      </c>
      <c r="AJ11" s="3">
        <f t="shared" ref="AJ11" si="12">+AJ33</f>
        <v>22980.649997833334</v>
      </c>
    </row>
    <row r="12" spans="1:36">
      <c r="A12" s="1" t="s">
        <v>1987</v>
      </c>
      <c r="B12" s="3">
        <f>+BudgetedFTEHistory!P29</f>
        <v>7214</v>
      </c>
      <c r="C12" s="3">
        <f>+BudgetedFTEHistory!Q29</f>
        <v>7417</v>
      </c>
      <c r="D12" s="3">
        <f>+BudgetedFTEHistory!R29</f>
        <v>7360</v>
      </c>
      <c r="E12" s="3">
        <f>+BudgetedFTEHistory!S29</f>
        <v>7533</v>
      </c>
      <c r="F12" s="3">
        <f>+BudgetedFTEHistory!T29</f>
        <v>7635</v>
      </c>
      <c r="G12" s="3">
        <f>+BudgetedFTEHistory!U29</f>
        <v>7605</v>
      </c>
      <c r="H12" s="3">
        <f>+BudgetedFTEHistory!V29</f>
        <v>7364</v>
      </c>
      <c r="I12" s="3">
        <f>+BudgetedFTEHistory!W29</f>
        <v>6945</v>
      </c>
      <c r="J12" s="3">
        <f>+BudgetedFTEHistory!X29</f>
        <v>6907</v>
      </c>
      <c r="K12" s="3">
        <f>+BudgetedFTEHistory!Y29</f>
        <v>7244</v>
      </c>
      <c r="L12" s="3">
        <f>+BudgetedFTEHistory!Z29</f>
        <v>7712</v>
      </c>
      <c r="M12" s="3">
        <f>+BudgetedFTEHistory!AA29</f>
        <v>8081</v>
      </c>
      <c r="N12" s="3">
        <f>+BudgetedFTEHistory!AB29</f>
        <v>8421</v>
      </c>
      <c r="O12" s="3">
        <f>+BudgetedFTEHistory!AC29</f>
        <v>8700</v>
      </c>
      <c r="P12" s="3">
        <f t="shared" ref="P12:Q12" si="13">+P45</f>
        <v>8956</v>
      </c>
      <c r="Q12" s="3">
        <f t="shared" si="13"/>
        <v>9126</v>
      </c>
      <c r="R12" s="3">
        <f t="shared" ref="R12:T12" si="14">+R45</f>
        <v>9281</v>
      </c>
      <c r="S12" s="3">
        <f t="shared" si="14"/>
        <v>9189</v>
      </c>
      <c r="T12" s="3">
        <f t="shared" si="14"/>
        <v>9110.9666666666672</v>
      </c>
      <c r="U12" s="3">
        <f t="shared" ref="U12:W12" si="15">+U45</f>
        <v>9286.74</v>
      </c>
      <c r="V12" s="3">
        <f t="shared" si="15"/>
        <v>9485.8133333333335</v>
      </c>
      <c r="W12" s="3">
        <f t="shared" si="15"/>
        <v>9639.6666666666661</v>
      </c>
      <c r="X12" s="3">
        <f t="shared" ref="X12:Z12" si="16">+X45</f>
        <v>9914.2333333333354</v>
      </c>
      <c r="Y12" s="3">
        <f t="shared" si="16"/>
        <v>10169.5</v>
      </c>
      <c r="Z12" s="3">
        <f t="shared" si="16"/>
        <v>10235.933333333334</v>
      </c>
      <c r="AA12" s="3">
        <f t="shared" ref="AA12:AC12" si="17">+AA45</f>
        <v>10395.333333333332</v>
      </c>
      <c r="AB12" s="3">
        <f t="shared" si="17"/>
        <v>10365.866666666665</v>
      </c>
      <c r="AC12" s="3">
        <f t="shared" si="17"/>
        <v>10241.866666666667</v>
      </c>
      <c r="AD12" s="3">
        <f t="shared" ref="AD12:AE12" si="18">+AD45</f>
        <v>10615.333333333334</v>
      </c>
      <c r="AE12" s="3">
        <f t="shared" si="18"/>
        <v>10290</v>
      </c>
      <c r="AF12" s="3">
        <f t="shared" ref="AF12:AG12" si="19">+AF45</f>
        <v>9474.6666666666661</v>
      </c>
      <c r="AG12" s="3">
        <f t="shared" si="19"/>
        <v>8239</v>
      </c>
      <c r="AH12" s="3">
        <f t="shared" ref="AH12:AI12" si="20">+AH45</f>
        <v>7195</v>
      </c>
      <c r="AI12" s="3">
        <f t="shared" si="20"/>
        <v>6660.833333333333</v>
      </c>
      <c r="AJ12" s="3">
        <f t="shared" ref="AJ12" si="21">+AJ45</f>
        <v>6413.5611101666664</v>
      </c>
    </row>
    <row r="13" spans="1:36">
      <c r="A13" s="1" t="s">
        <v>5</v>
      </c>
      <c r="B13" s="3">
        <f>+BudgetedFTEHistory!P27</f>
        <v>6221</v>
      </c>
      <c r="C13" s="3">
        <f>+BudgetedFTEHistory!Q27</f>
        <v>6429</v>
      </c>
      <c r="D13" s="3">
        <f>+BudgetedFTEHistory!R27</f>
        <v>6312</v>
      </c>
      <c r="E13" s="3">
        <f>+BudgetedFTEHistory!S27</f>
        <v>6588</v>
      </c>
      <c r="F13" s="3">
        <f>+BudgetedFTEHistory!T27</f>
        <v>7339</v>
      </c>
      <c r="G13" s="3">
        <f>+BudgetedFTEHistory!U27</f>
        <v>7737</v>
      </c>
      <c r="H13" s="3">
        <f>+BudgetedFTEHistory!V27</f>
        <v>7339</v>
      </c>
      <c r="I13" s="3">
        <f>+BudgetedFTEHistory!W27</f>
        <v>7448</v>
      </c>
      <c r="J13" s="3">
        <f>+BudgetedFTEHistory!X27</f>
        <v>7474</v>
      </c>
      <c r="K13" s="3">
        <f>+BudgetedFTEHistory!Y27</f>
        <v>7471</v>
      </c>
      <c r="L13" s="3">
        <f>+BudgetedFTEHistory!Z27</f>
        <v>7463</v>
      </c>
      <c r="M13" s="3">
        <f>+BudgetedFTEHistory!AA27</f>
        <v>7287</v>
      </c>
      <c r="N13" s="3">
        <f>+BudgetedFTEHistory!AB27</f>
        <v>7672</v>
      </c>
      <c r="O13" s="3">
        <f>+BudgetedFTEHistory!AC27</f>
        <v>8106</v>
      </c>
      <c r="P13" s="3">
        <f t="shared" ref="P13:AE13" si="22">+P48</f>
        <v>8657</v>
      </c>
      <c r="Q13" s="3">
        <f t="shared" si="22"/>
        <v>8885</v>
      </c>
      <c r="R13" s="3">
        <f t="shared" si="22"/>
        <v>9057</v>
      </c>
      <c r="S13" s="3">
        <f t="shared" si="22"/>
        <v>9204</v>
      </c>
      <c r="T13" s="3">
        <f t="shared" si="22"/>
        <v>8930.5433333333331</v>
      </c>
      <c r="U13" s="3">
        <f t="shared" si="22"/>
        <v>9081.6200000000008</v>
      </c>
      <c r="V13" s="3">
        <f t="shared" si="22"/>
        <v>9672.6133333333328</v>
      </c>
      <c r="W13" s="3">
        <f t="shared" si="22"/>
        <v>9832.2333333333318</v>
      </c>
      <c r="X13" s="3">
        <f t="shared" si="22"/>
        <v>9580.9</v>
      </c>
      <c r="Y13" s="3">
        <f t="shared" si="22"/>
        <v>9375.6333333333332</v>
      </c>
      <c r="Z13" s="3">
        <f t="shared" si="22"/>
        <v>9291.5999999999985</v>
      </c>
      <c r="AA13" s="3">
        <f t="shared" si="22"/>
        <v>9096.5</v>
      </c>
      <c r="AB13" s="3">
        <f t="shared" si="22"/>
        <v>9389.4666666666672</v>
      </c>
      <c r="AC13" s="3">
        <f t="shared" si="22"/>
        <v>9715.0999999999985</v>
      </c>
      <c r="AD13" s="3">
        <f t="shared" si="22"/>
        <v>9907</v>
      </c>
      <c r="AE13" s="3">
        <f t="shared" si="22"/>
        <v>9807.6666666666661</v>
      </c>
      <c r="AF13" s="3">
        <f t="shared" ref="AF13:AG13" si="23">+AF48</f>
        <v>10787</v>
      </c>
      <c r="AG13" s="3">
        <f t="shared" si="23"/>
        <v>9667</v>
      </c>
      <c r="AH13" s="3">
        <f t="shared" ref="AH13:AI13" si="24">+AH48</f>
        <v>8755.6666666666661</v>
      </c>
      <c r="AI13" s="3">
        <f t="shared" si="24"/>
        <v>7993.333333333333</v>
      </c>
      <c r="AJ13" s="3">
        <f t="shared" ref="AJ13" si="25">+AJ48</f>
        <v>7732.2222220000003</v>
      </c>
    </row>
    <row r="14" spans="1:36">
      <c r="A14" s="1" t="s">
        <v>6</v>
      </c>
      <c r="B14" s="3">
        <f>+BudgetedFTEHistory!P32</f>
        <v>2988</v>
      </c>
      <c r="C14" s="3">
        <f>+BudgetedFTEHistory!Q32</f>
        <v>3089</v>
      </c>
      <c r="D14" s="3">
        <f>+BudgetedFTEHistory!R32</f>
        <v>3203</v>
      </c>
      <c r="E14" s="3">
        <f>+BudgetedFTEHistory!S32</f>
        <v>3236</v>
      </c>
      <c r="F14" s="3">
        <f>+BudgetedFTEHistory!T32</f>
        <v>3282</v>
      </c>
      <c r="G14" s="3">
        <f>+BudgetedFTEHistory!U32</f>
        <v>3377</v>
      </c>
      <c r="H14" s="3">
        <f>+BudgetedFTEHistory!V32</f>
        <v>3387</v>
      </c>
      <c r="I14" s="3">
        <f>+BudgetedFTEHistory!W32</f>
        <v>3489</v>
      </c>
      <c r="J14" s="3">
        <f>+BudgetedFTEHistory!X32</f>
        <v>3728</v>
      </c>
      <c r="K14" s="3">
        <f>+BudgetedFTEHistory!Y32</f>
        <v>3822</v>
      </c>
      <c r="L14" s="3">
        <f>+BudgetedFTEHistory!Z32</f>
        <v>3697</v>
      </c>
      <c r="M14" s="3">
        <f>+BudgetedFTEHistory!AA32</f>
        <v>3786</v>
      </c>
      <c r="N14" s="3">
        <f>+BudgetedFTEHistory!AB32</f>
        <v>4009</v>
      </c>
      <c r="O14" s="3">
        <f>+BudgetedFTEHistory!AC32</f>
        <v>4054</v>
      </c>
      <c r="P14" s="3">
        <f t="shared" ref="P14:AE14" si="26">+P49</f>
        <v>4099</v>
      </c>
      <c r="Q14" s="3">
        <f t="shared" si="26"/>
        <v>4120</v>
      </c>
      <c r="R14" s="3">
        <f t="shared" si="26"/>
        <v>4131</v>
      </c>
      <c r="S14" s="3">
        <f t="shared" si="26"/>
        <v>4114</v>
      </c>
      <c r="T14" s="3">
        <f t="shared" si="26"/>
        <v>4268.8666666666668</v>
      </c>
      <c r="U14" s="3">
        <f t="shared" si="26"/>
        <v>4470.09</v>
      </c>
      <c r="V14" s="3">
        <f t="shared" si="26"/>
        <v>4596.09</v>
      </c>
      <c r="W14" s="3">
        <f t="shared" si="26"/>
        <v>4559.2566666666671</v>
      </c>
      <c r="X14" s="3">
        <f t="shared" si="26"/>
        <v>4558.0600000000004</v>
      </c>
      <c r="Y14" s="3">
        <f t="shared" si="26"/>
        <v>4354.4433333333327</v>
      </c>
      <c r="Z14" s="3">
        <f t="shared" si="26"/>
        <v>4144.3</v>
      </c>
      <c r="AA14" s="3">
        <f t="shared" si="26"/>
        <v>4007.0666666666671</v>
      </c>
      <c r="AB14" s="3">
        <f t="shared" si="26"/>
        <v>3991.7333333333336</v>
      </c>
      <c r="AC14" s="3">
        <f t="shared" si="26"/>
        <v>3921.6</v>
      </c>
      <c r="AD14" s="3">
        <f t="shared" si="26"/>
        <v>3628.3333333333335</v>
      </c>
      <c r="AE14" s="3">
        <f t="shared" si="26"/>
        <v>3104.3333333333335</v>
      </c>
      <c r="AF14" s="3">
        <f t="shared" ref="AF14:AG14" si="27">+AF49</f>
        <v>2506.6666666666665</v>
      </c>
      <c r="AG14" s="3">
        <f t="shared" si="27"/>
        <v>1774.3333333333333</v>
      </c>
      <c r="AH14" s="3">
        <f t="shared" ref="AH14:AI14" si="28">+AH49</f>
        <v>1751.3333333333333</v>
      </c>
      <c r="AI14" s="3">
        <f t="shared" si="28"/>
        <v>1784.6666666666667</v>
      </c>
      <c r="AJ14" s="3">
        <f t="shared" ref="AJ14" si="29">+AJ49</f>
        <v>2193.6333330000002</v>
      </c>
    </row>
    <row r="15" spans="1:36" ht="25.5">
      <c r="A15" s="9" t="s">
        <v>125</v>
      </c>
      <c r="B15" s="41">
        <f>SUM(B51:B52)</f>
        <v>8439</v>
      </c>
      <c r="C15" s="41">
        <f t="shared" ref="C15:N15" si="30">SUM(C51:C52)</f>
        <v>8731</v>
      </c>
      <c r="D15" s="41">
        <f t="shared" si="30"/>
        <v>9021</v>
      </c>
      <c r="E15" s="41">
        <f t="shared" si="30"/>
        <v>9145</v>
      </c>
      <c r="F15" s="41">
        <f t="shared" si="30"/>
        <v>9359</v>
      </c>
      <c r="G15" s="41">
        <f t="shared" si="30"/>
        <v>9499</v>
      </c>
      <c r="H15" s="41">
        <f t="shared" si="30"/>
        <v>9668</v>
      </c>
      <c r="I15" s="41">
        <f t="shared" si="30"/>
        <v>10118</v>
      </c>
      <c r="J15" s="41">
        <f t="shared" si="30"/>
        <v>10374</v>
      </c>
      <c r="K15" s="41">
        <f t="shared" si="30"/>
        <v>10550</v>
      </c>
      <c r="L15" s="41">
        <f t="shared" si="30"/>
        <v>10841</v>
      </c>
      <c r="M15" s="41">
        <f t="shared" si="30"/>
        <v>11214</v>
      </c>
      <c r="N15" s="41">
        <f t="shared" si="30"/>
        <v>11265</v>
      </c>
      <c r="O15" s="41">
        <f>SUM(O51:O52)</f>
        <v>11377</v>
      </c>
      <c r="P15" s="41">
        <f t="shared" ref="P15:AE15" si="31">+P50</f>
        <v>11505</v>
      </c>
      <c r="Q15" s="41">
        <f t="shared" si="31"/>
        <v>11713</v>
      </c>
      <c r="R15" s="41">
        <f t="shared" si="31"/>
        <v>11755</v>
      </c>
      <c r="S15" s="41">
        <f t="shared" si="31"/>
        <v>11784</v>
      </c>
      <c r="T15" s="41">
        <f t="shared" si="31"/>
        <v>12140.323333333334</v>
      </c>
      <c r="U15" s="41">
        <f t="shared" si="31"/>
        <v>12408.253333333334</v>
      </c>
      <c r="V15" s="41">
        <f t="shared" si="31"/>
        <v>12475.19</v>
      </c>
      <c r="W15" s="41">
        <f t="shared" si="31"/>
        <v>12647.366666666667</v>
      </c>
      <c r="X15" s="41">
        <f t="shared" si="31"/>
        <v>12646.5</v>
      </c>
      <c r="Y15" s="41">
        <f t="shared" si="31"/>
        <v>12515.666666666666</v>
      </c>
      <c r="Z15" s="41">
        <f t="shared" si="31"/>
        <v>12564.766666666668</v>
      </c>
      <c r="AA15" s="41">
        <f t="shared" si="31"/>
        <v>12595.966666666667</v>
      </c>
      <c r="AB15" s="41">
        <f t="shared" si="31"/>
        <v>12675.666666666666</v>
      </c>
      <c r="AC15" s="41">
        <f t="shared" si="31"/>
        <v>12795.1</v>
      </c>
      <c r="AD15" s="41">
        <f t="shared" si="31"/>
        <v>13206.666666666666</v>
      </c>
      <c r="AE15" s="41">
        <f t="shared" si="31"/>
        <v>13355.666666666666</v>
      </c>
      <c r="AF15" s="41">
        <f t="shared" ref="AF15:AG15" si="32">+AF50</f>
        <v>13118</v>
      </c>
      <c r="AG15" s="41">
        <f t="shared" si="32"/>
        <v>12299</v>
      </c>
      <c r="AH15" s="41">
        <f t="shared" ref="AH15:AI15" si="33">+AH50</f>
        <v>12091.666666666666</v>
      </c>
      <c r="AI15" s="41">
        <f t="shared" si="33"/>
        <v>11944.333333333334</v>
      </c>
      <c r="AJ15" s="41">
        <f t="shared" ref="AJ15" si="34">+AJ50</f>
        <v>12098.711110666665</v>
      </c>
    </row>
    <row r="16" spans="1:36" ht="13.5">
      <c r="A16" s="200" t="s">
        <v>290</v>
      </c>
      <c r="B16" s="201">
        <f>SUM(B10:B15)</f>
        <v>71075</v>
      </c>
      <c r="C16" s="201">
        <f t="shared" ref="C16:S16" si="35">SUM(C10:C15)</f>
        <v>72566</v>
      </c>
      <c r="D16" s="201">
        <f t="shared" si="35"/>
        <v>73078</v>
      </c>
      <c r="E16" s="201">
        <f t="shared" si="35"/>
        <v>74422</v>
      </c>
      <c r="F16" s="201">
        <f t="shared" si="35"/>
        <v>76459</v>
      </c>
      <c r="G16" s="201">
        <f t="shared" si="35"/>
        <v>77793</v>
      </c>
      <c r="H16" s="201">
        <f t="shared" si="35"/>
        <v>78095</v>
      </c>
      <c r="I16" s="201">
        <f t="shared" si="35"/>
        <v>79571</v>
      </c>
      <c r="J16" s="201">
        <f t="shared" si="35"/>
        <v>80606</v>
      </c>
      <c r="K16" s="201">
        <f t="shared" si="35"/>
        <v>81991</v>
      </c>
      <c r="L16" s="201">
        <f t="shared" si="35"/>
        <v>82779</v>
      </c>
      <c r="M16" s="201">
        <f t="shared" si="35"/>
        <v>84832</v>
      </c>
      <c r="N16" s="201">
        <f t="shared" si="35"/>
        <v>87969</v>
      </c>
      <c r="O16" s="201">
        <f t="shared" si="35"/>
        <v>89511</v>
      </c>
      <c r="P16" s="201">
        <f t="shared" si="35"/>
        <v>90075</v>
      </c>
      <c r="Q16" s="201">
        <f t="shared" si="35"/>
        <v>91358</v>
      </c>
      <c r="R16" s="201">
        <f t="shared" si="35"/>
        <v>91571</v>
      </c>
      <c r="S16" s="201">
        <f t="shared" si="35"/>
        <v>92215</v>
      </c>
      <c r="T16" s="201">
        <f t="shared" ref="T16:Z16" si="36">SUM(T10:T15)</f>
        <v>94309.863333333342</v>
      </c>
      <c r="U16" s="201">
        <f t="shared" si="36"/>
        <v>98291.853333333333</v>
      </c>
      <c r="V16" s="201">
        <f t="shared" si="36"/>
        <v>101164.62666666666</v>
      </c>
      <c r="W16" s="201">
        <f t="shared" si="36"/>
        <v>103214.49</v>
      </c>
      <c r="X16" s="201">
        <f t="shared" si="36"/>
        <v>104701.69333333333</v>
      </c>
      <c r="Y16" s="201">
        <f t="shared" si="36"/>
        <v>105091.49333333333</v>
      </c>
      <c r="Z16" s="201">
        <f t="shared" si="36"/>
        <v>106038.01666666668</v>
      </c>
      <c r="AA16" s="201">
        <f t="shared" ref="AA16:AF16" si="37">SUM(AA10:AA15)</f>
        <v>107935.35</v>
      </c>
      <c r="AB16" s="201">
        <f t="shared" si="37"/>
        <v>109833.50000000001</v>
      </c>
      <c r="AC16" s="201">
        <f t="shared" si="37"/>
        <v>111220.81666666668</v>
      </c>
      <c r="AD16" s="201">
        <f t="shared" si="37"/>
        <v>113150.49999999999</v>
      </c>
      <c r="AE16" s="201">
        <f t="shared" si="37"/>
        <v>113974.33333333333</v>
      </c>
      <c r="AF16" s="201">
        <f t="shared" si="37"/>
        <v>113518.00000000001</v>
      </c>
      <c r="AG16" s="201">
        <f t="shared" ref="AG16:AH16" si="38">SUM(AG10:AG15)</f>
        <v>108194.5</v>
      </c>
      <c r="AH16" s="2493">
        <f t="shared" si="38"/>
        <v>104208.5</v>
      </c>
      <c r="AI16" s="201">
        <f t="shared" ref="AI16:AJ16" si="39">SUM(AI10:AI15)</f>
        <v>100575</v>
      </c>
      <c r="AJ16" s="201">
        <f t="shared" ref="AJ16" si="40">SUM(AJ10:AJ15)</f>
        <v>103861.97777200001</v>
      </c>
    </row>
    <row r="17" spans="1:36">
      <c r="A17" s="9"/>
      <c r="B17" s="3"/>
      <c r="C17" s="3"/>
      <c r="D17" s="3"/>
      <c r="E17" s="3"/>
      <c r="F17" s="3"/>
      <c r="G17" s="3"/>
      <c r="H17" s="3"/>
      <c r="I17" s="3"/>
      <c r="J17" s="3"/>
      <c r="K17" s="3"/>
      <c r="L17" s="3"/>
      <c r="M17" s="3"/>
      <c r="N17" s="3"/>
      <c r="O17" s="3"/>
    </row>
    <row r="18" spans="1:36" ht="39">
      <c r="A18" s="9" t="s">
        <v>515</v>
      </c>
      <c r="B18" s="3">
        <v>98931</v>
      </c>
      <c r="C18" s="3">
        <v>100523</v>
      </c>
      <c r="D18" s="3">
        <v>104295</v>
      </c>
      <c r="E18" s="3">
        <v>107115</v>
      </c>
      <c r="F18" s="3">
        <v>111035</v>
      </c>
      <c r="G18" s="3">
        <v>113609</v>
      </c>
      <c r="H18" s="3">
        <v>118075</v>
      </c>
      <c r="I18" s="3">
        <v>118653</v>
      </c>
      <c r="J18" s="3">
        <f t="shared" ref="J18:R18" si="41">+J55</f>
        <v>117925</v>
      </c>
      <c r="K18" s="3">
        <f t="shared" si="41"/>
        <v>121302</v>
      </c>
      <c r="L18" s="3">
        <f t="shared" si="41"/>
        <v>125131</v>
      </c>
      <c r="M18" s="3">
        <f t="shared" si="41"/>
        <v>128093</v>
      </c>
      <c r="N18" s="3">
        <f t="shared" si="41"/>
        <v>133962</v>
      </c>
      <c r="O18" s="3">
        <f t="shared" si="41"/>
        <v>139753</v>
      </c>
      <c r="P18" s="3">
        <f t="shared" si="41"/>
        <v>138241</v>
      </c>
      <c r="Q18" s="3">
        <f t="shared" si="41"/>
        <v>131489</v>
      </c>
      <c r="R18" s="3">
        <f t="shared" si="41"/>
        <v>130933</v>
      </c>
      <c r="S18" s="3">
        <f>SUM(S55:S67)</f>
        <v>132373</v>
      </c>
      <c r="T18" s="3">
        <f>SUM(T55:T67)</f>
        <v>136933.86000000002</v>
      </c>
      <c r="U18" s="3">
        <f>SUM(U55:U67)</f>
        <v>147999.59</v>
      </c>
      <c r="V18" s="3">
        <f>SUM(V55:V67)</f>
        <v>160778.09</v>
      </c>
      <c r="W18" s="3">
        <f t="shared" ref="W18:AC18" si="42">SUM(W55:W68)</f>
        <v>162328.25000000003</v>
      </c>
      <c r="X18" s="3">
        <f t="shared" si="42"/>
        <v>153395.04333333331</v>
      </c>
      <c r="Y18" s="3">
        <f t="shared" si="42"/>
        <v>147433.24999999997</v>
      </c>
      <c r="Z18" s="3">
        <f t="shared" si="42"/>
        <v>143292.16666666666</v>
      </c>
      <c r="AA18" s="3">
        <f t="shared" si="42"/>
        <v>138724.48333333334</v>
      </c>
      <c r="AB18" s="3">
        <f t="shared" si="42"/>
        <v>135652.6166666667</v>
      </c>
      <c r="AC18" s="3">
        <f t="shared" si="42"/>
        <v>131134.95000000001</v>
      </c>
      <c r="AD18" s="3">
        <f t="shared" ref="AD18:AI18" si="43">SUM(AD55:AD68)</f>
        <v>128565.66666666667</v>
      </c>
      <c r="AE18" s="3">
        <f t="shared" si="43"/>
        <v>123980.83333333333</v>
      </c>
      <c r="AF18" s="3">
        <f t="shared" si="43"/>
        <v>117844</v>
      </c>
      <c r="AG18" s="3">
        <f t="shared" si="43"/>
        <v>104363.5</v>
      </c>
      <c r="AH18" s="3">
        <f t="shared" si="43"/>
        <v>105800.83333333334</v>
      </c>
      <c r="AI18" s="3">
        <f t="shared" si="43"/>
        <v>104381.33333333333</v>
      </c>
      <c r="AJ18" s="3">
        <f t="shared" ref="AJ18" si="44">SUM(AJ55:AJ68)</f>
        <v>101620.09999833333</v>
      </c>
    </row>
    <row r="19" spans="1:36" ht="25.5">
      <c r="A19" s="9" t="s">
        <v>293</v>
      </c>
      <c r="B19" s="3"/>
      <c r="C19" s="3"/>
      <c r="D19" s="3"/>
      <c r="E19" s="3"/>
      <c r="F19" s="17" t="s">
        <v>30</v>
      </c>
      <c r="G19" s="17" t="s">
        <v>31</v>
      </c>
      <c r="H19" s="17" t="s">
        <v>32</v>
      </c>
      <c r="I19" s="17" t="s">
        <v>33</v>
      </c>
      <c r="J19" s="17" t="s">
        <v>34</v>
      </c>
      <c r="K19" s="17" t="s">
        <v>129</v>
      </c>
      <c r="L19" s="17" t="s">
        <v>130</v>
      </c>
      <c r="M19" s="17" t="s">
        <v>131</v>
      </c>
      <c r="N19" s="17" t="s">
        <v>128</v>
      </c>
      <c r="O19" s="17" t="s">
        <v>134</v>
      </c>
      <c r="P19" s="17" t="s">
        <v>149</v>
      </c>
      <c r="Q19" s="17" t="s">
        <v>294</v>
      </c>
      <c r="R19" s="17" t="str">
        <f>+"["&amp;TEXT(BD0506Final!F37,"0,000")&amp;"]"</f>
        <v>[6,248]</v>
      </c>
      <c r="S19" s="17"/>
      <c r="T19" s="17"/>
      <c r="U19" s="17"/>
      <c r="V19" s="17"/>
      <c r="W19" s="17"/>
      <c r="X19" s="17"/>
      <c r="Y19" s="17"/>
      <c r="Z19" s="17"/>
      <c r="AA19" s="17"/>
      <c r="AB19" s="17"/>
      <c r="AC19" s="17"/>
      <c r="AD19" s="17"/>
      <c r="AE19" s="17"/>
      <c r="AF19" s="17"/>
      <c r="AG19" s="17"/>
      <c r="AH19" s="17"/>
      <c r="AI19" s="17"/>
      <c r="AJ19" s="17"/>
    </row>
    <row r="20" spans="1:36" ht="13.5" thickBot="1">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6" ht="14.25" thickTop="1">
      <c r="A21" s="200" t="s">
        <v>9</v>
      </c>
      <c r="B21" s="202">
        <f t="shared" ref="B21:P21" si="45">+B18+B16</f>
        <v>170006</v>
      </c>
      <c r="C21" s="202">
        <f t="shared" si="45"/>
        <v>173089</v>
      </c>
      <c r="D21" s="202">
        <f t="shared" si="45"/>
        <v>177373</v>
      </c>
      <c r="E21" s="202">
        <f t="shared" si="45"/>
        <v>181537</v>
      </c>
      <c r="F21" s="202">
        <f t="shared" si="45"/>
        <v>187494</v>
      </c>
      <c r="G21" s="202">
        <f t="shared" si="45"/>
        <v>191402</v>
      </c>
      <c r="H21" s="202">
        <f t="shared" si="45"/>
        <v>196170</v>
      </c>
      <c r="I21" s="202">
        <f t="shared" si="45"/>
        <v>198224</v>
      </c>
      <c r="J21" s="202">
        <f t="shared" si="45"/>
        <v>198531</v>
      </c>
      <c r="K21" s="202">
        <f t="shared" si="45"/>
        <v>203293</v>
      </c>
      <c r="L21" s="202">
        <f t="shared" si="45"/>
        <v>207910</v>
      </c>
      <c r="M21" s="202">
        <f t="shared" si="45"/>
        <v>212925</v>
      </c>
      <c r="N21" s="202">
        <f t="shared" si="45"/>
        <v>221931</v>
      </c>
      <c r="O21" s="202">
        <f t="shared" si="45"/>
        <v>229264</v>
      </c>
      <c r="P21" s="202">
        <f t="shared" si="45"/>
        <v>228316</v>
      </c>
      <c r="Q21" s="202">
        <f t="shared" ref="Q21:W21" si="46">+Q18+Q16</f>
        <v>222847</v>
      </c>
      <c r="R21" s="202">
        <f t="shared" si="46"/>
        <v>222504</v>
      </c>
      <c r="S21" s="202">
        <f t="shared" si="46"/>
        <v>224588</v>
      </c>
      <c r="T21" s="202">
        <f t="shared" si="46"/>
        <v>231243.72333333336</v>
      </c>
      <c r="U21" s="202">
        <f t="shared" si="46"/>
        <v>246291.44333333333</v>
      </c>
      <c r="V21" s="202">
        <f t="shared" si="46"/>
        <v>261942.71666666667</v>
      </c>
      <c r="W21" s="202">
        <f t="shared" si="46"/>
        <v>265542.74000000005</v>
      </c>
      <c r="X21" s="202">
        <f t="shared" ref="X21:AC21" si="47">+X18+X16</f>
        <v>258096.73666666663</v>
      </c>
      <c r="Y21" s="202">
        <f t="shared" si="47"/>
        <v>252524.74333333329</v>
      </c>
      <c r="Z21" s="202">
        <f t="shared" si="47"/>
        <v>249330.18333333335</v>
      </c>
      <c r="AA21" s="202">
        <f t="shared" si="47"/>
        <v>246659.83333333334</v>
      </c>
      <c r="AB21" s="202">
        <f t="shared" si="47"/>
        <v>245486.1166666667</v>
      </c>
      <c r="AC21" s="202">
        <f t="shared" si="47"/>
        <v>242355.76666666669</v>
      </c>
      <c r="AD21" s="202">
        <f t="shared" ref="AD21:AI21" si="48">+AD18+AD16</f>
        <v>241716.16666666666</v>
      </c>
      <c r="AE21" s="202">
        <f t="shared" si="48"/>
        <v>237955.16666666666</v>
      </c>
      <c r="AF21" s="202">
        <f t="shared" si="48"/>
        <v>231362</v>
      </c>
      <c r="AG21" s="202">
        <f t="shared" si="48"/>
        <v>212558</v>
      </c>
      <c r="AH21" s="2494">
        <f t="shared" si="48"/>
        <v>210009.33333333334</v>
      </c>
      <c r="AI21" s="202">
        <f t="shared" si="48"/>
        <v>204956.33333333331</v>
      </c>
      <c r="AJ21" s="202">
        <f t="shared" ref="AJ21" si="49">+AJ18+AJ16</f>
        <v>205482.07777033333</v>
      </c>
    </row>
    <row r="22" spans="1:36">
      <c r="A22" s="200" t="s">
        <v>291</v>
      </c>
      <c r="B22" s="200"/>
      <c r="C22" s="203">
        <f>+C21+B21</f>
        <v>343095</v>
      </c>
      <c r="D22" s="200"/>
      <c r="E22" s="203">
        <f>+E21+D21</f>
        <v>358910</v>
      </c>
      <c r="F22" s="200"/>
      <c r="G22" s="203">
        <f>+G21+F21</f>
        <v>378896</v>
      </c>
      <c r="H22" s="200"/>
      <c r="I22" s="203">
        <f>+I21+H21</f>
        <v>394394</v>
      </c>
      <c r="J22" s="200"/>
      <c r="K22" s="203">
        <f>+K21+J21</f>
        <v>401824</v>
      </c>
      <c r="L22" s="203"/>
      <c r="M22" s="203">
        <f>+M21+L21</f>
        <v>420835</v>
      </c>
      <c r="N22" s="203"/>
      <c r="O22" s="203">
        <f>+O21+N21</f>
        <v>451195</v>
      </c>
      <c r="P22" s="203"/>
      <c r="Q22" s="203">
        <f>+Q21+P21</f>
        <v>451163</v>
      </c>
      <c r="R22" s="3"/>
      <c r="S22" s="203">
        <f>+S21+R21</f>
        <v>447092</v>
      </c>
      <c r="T22" s="3"/>
      <c r="U22" s="203">
        <f>+U21+T21</f>
        <v>477535.16666666669</v>
      </c>
      <c r="V22" s="3"/>
      <c r="W22" s="203">
        <f>+W21+V21</f>
        <v>527485.45666666678</v>
      </c>
      <c r="X22" s="203"/>
      <c r="Y22" s="203">
        <f>+Y21+X21</f>
        <v>510621.47999999992</v>
      </c>
      <c r="Z22" s="203"/>
      <c r="AA22" s="203">
        <f>+AA21+Z21</f>
        <v>495990.01666666672</v>
      </c>
      <c r="AB22" s="203"/>
      <c r="AC22" s="203">
        <f>+AC21+AB21</f>
        <v>487841.88333333342</v>
      </c>
      <c r="AD22" s="203"/>
      <c r="AE22" s="203">
        <f>+AE21+AD21</f>
        <v>479671.33333333331</v>
      </c>
      <c r="AF22" s="203"/>
      <c r="AG22" s="203">
        <f>+AG21+AF21</f>
        <v>443920</v>
      </c>
      <c r="AH22" s="203"/>
      <c r="AI22" s="203">
        <f>+AI21+AH21</f>
        <v>414965.66666666663</v>
      </c>
      <c r="AJ22" s="203"/>
    </row>
    <row r="23" spans="1:36">
      <c r="B23" s="3"/>
      <c r="C23" s="3"/>
      <c r="D23" s="3"/>
      <c r="E23" s="3"/>
      <c r="F23" s="3"/>
      <c r="G23" s="3"/>
      <c r="H23" s="3"/>
      <c r="I23" s="3"/>
      <c r="J23" s="3"/>
      <c r="K23" s="3"/>
      <c r="L23" s="3"/>
      <c r="M23" s="3"/>
      <c r="N23" s="3"/>
      <c r="O23" s="3"/>
      <c r="P23" s="3"/>
      <c r="Q23" s="3"/>
      <c r="R23" s="3"/>
      <c r="S23" s="3"/>
    </row>
    <row r="24" spans="1:36">
      <c r="B24" s="3"/>
      <c r="C24" s="3"/>
      <c r="D24" s="3"/>
      <c r="E24" s="3"/>
      <c r="F24" s="3"/>
      <c r="G24" s="3"/>
      <c r="H24" s="3"/>
      <c r="I24" s="3"/>
      <c r="J24" s="3"/>
      <c r="K24" s="3"/>
      <c r="L24" s="3"/>
      <c r="M24" s="3"/>
      <c r="N24" s="3"/>
      <c r="O24" s="3"/>
      <c r="P24" s="3"/>
      <c r="Q24" s="3"/>
      <c r="R24" s="3"/>
      <c r="S24" s="3"/>
    </row>
    <row r="25" spans="1:36">
      <c r="B25" s="424" t="str">
        <f t="shared" ref="B25:U25" si="50">+B6</f>
        <v>1989-90</v>
      </c>
      <c r="C25" s="424" t="str">
        <f t="shared" si="50"/>
        <v>1990-91</v>
      </c>
      <c r="D25" s="424" t="str">
        <f t="shared" si="50"/>
        <v>1991-92</v>
      </c>
      <c r="E25" s="424" t="str">
        <f t="shared" si="50"/>
        <v>1992-93</v>
      </c>
      <c r="F25" s="424" t="str">
        <f t="shared" si="50"/>
        <v>1993-94</v>
      </c>
      <c r="G25" s="424" t="str">
        <f t="shared" si="50"/>
        <v>1994-95</v>
      </c>
      <c r="H25" s="424" t="str">
        <f t="shared" si="50"/>
        <v>1995-96</v>
      </c>
      <c r="I25" s="424" t="str">
        <f t="shared" si="50"/>
        <v>1996-97</v>
      </c>
      <c r="J25" s="424" t="str">
        <f t="shared" si="50"/>
        <v>1997-98</v>
      </c>
      <c r="K25" s="424" t="str">
        <f t="shared" si="50"/>
        <v>1998-99</v>
      </c>
      <c r="L25" s="14" t="str">
        <f t="shared" si="50"/>
        <v>1999-00</v>
      </c>
      <c r="M25" s="14" t="str">
        <f t="shared" si="50"/>
        <v>2000-01</v>
      </c>
      <c r="N25" s="14" t="str">
        <f t="shared" si="50"/>
        <v>2001-02</v>
      </c>
      <c r="O25" s="14" t="str">
        <f t="shared" si="50"/>
        <v>2002-03</v>
      </c>
      <c r="P25" s="14" t="str">
        <f t="shared" si="50"/>
        <v>2003-04</v>
      </c>
      <c r="Q25" s="14" t="str">
        <f t="shared" si="50"/>
        <v>2004-05</v>
      </c>
      <c r="R25" s="14" t="str">
        <f t="shared" si="50"/>
        <v>2005-06</v>
      </c>
      <c r="S25" s="14" t="str">
        <f t="shared" si="50"/>
        <v>2006-07</v>
      </c>
      <c r="T25" s="14" t="str">
        <f t="shared" si="50"/>
        <v>2007-08</v>
      </c>
      <c r="U25" s="14" t="str">
        <f t="shared" si="50"/>
        <v>2008-09</v>
      </c>
      <c r="V25" s="14" t="str">
        <f t="shared" ref="V25:AC25" si="51">+V6</f>
        <v>2009-10</v>
      </c>
      <c r="W25" s="14" t="str">
        <f t="shared" si="51"/>
        <v>2010-11</v>
      </c>
      <c r="X25" s="14" t="str">
        <f t="shared" si="51"/>
        <v>2011-12</v>
      </c>
      <c r="Y25" s="14" t="str">
        <f t="shared" si="51"/>
        <v>2012-13</v>
      </c>
      <c r="Z25" s="14" t="str">
        <f t="shared" si="51"/>
        <v>2013-14</v>
      </c>
      <c r="AA25" s="14" t="str">
        <f t="shared" si="51"/>
        <v>2014-15</v>
      </c>
      <c r="AB25" s="14" t="str">
        <f t="shared" si="51"/>
        <v>2015-16</v>
      </c>
      <c r="AC25" s="14" t="str">
        <f t="shared" si="51"/>
        <v>2016-17</v>
      </c>
      <c r="AD25" s="14" t="str">
        <f t="shared" ref="AD25:AI25" si="52">+AD6</f>
        <v>2017-18</v>
      </c>
      <c r="AE25" s="14" t="str">
        <f t="shared" si="52"/>
        <v>2018-19</v>
      </c>
      <c r="AF25" s="14" t="str">
        <f t="shared" si="52"/>
        <v>2019-20</v>
      </c>
      <c r="AG25" s="14" t="str">
        <f t="shared" si="52"/>
        <v>2020-21</v>
      </c>
      <c r="AH25" s="14" t="str">
        <f t="shared" si="52"/>
        <v>2021-22</v>
      </c>
      <c r="AI25" s="14" t="str">
        <f t="shared" si="52"/>
        <v>2022-23</v>
      </c>
      <c r="AJ25" s="14" t="str">
        <f t="shared" ref="AJ25" si="53">+AJ6</f>
        <v>2023-24</v>
      </c>
    </row>
    <row r="27" spans="1:36" ht="16.5">
      <c r="A27" s="30" t="s">
        <v>1844</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row>
    <row r="28" spans="1:36">
      <c r="A28" s="1" t="s">
        <v>110</v>
      </c>
      <c r="B28" s="3">
        <f>SUM(B29:B32)</f>
        <v>29623</v>
      </c>
      <c r="C28" s="3">
        <f t="shared" ref="C28:X28" si="54">SUM(C29:C32)</f>
        <v>30123</v>
      </c>
      <c r="D28" s="3">
        <f t="shared" si="54"/>
        <v>30723</v>
      </c>
      <c r="E28" s="3">
        <f t="shared" si="54"/>
        <v>31210</v>
      </c>
      <c r="F28" s="3">
        <f t="shared" si="54"/>
        <v>31341</v>
      </c>
      <c r="G28" s="3">
        <f t="shared" si="54"/>
        <v>31494</v>
      </c>
      <c r="H28" s="3">
        <f t="shared" si="54"/>
        <v>31811</v>
      </c>
      <c r="I28" s="3">
        <f t="shared" si="54"/>
        <v>32858</v>
      </c>
      <c r="J28" s="3">
        <f t="shared" si="54"/>
        <v>33398</v>
      </c>
      <c r="K28" s="3">
        <f t="shared" si="54"/>
        <v>33592</v>
      </c>
      <c r="L28" s="3">
        <f t="shared" si="54"/>
        <v>34058</v>
      </c>
      <c r="M28" s="3">
        <f t="shared" si="54"/>
        <v>34966</v>
      </c>
      <c r="N28" s="3">
        <f t="shared" si="54"/>
        <v>36647</v>
      </c>
      <c r="O28" s="3">
        <f t="shared" si="54"/>
        <v>36963</v>
      </c>
      <c r="P28" s="3">
        <f t="shared" si="54"/>
        <v>36316</v>
      </c>
      <c r="Q28" s="3">
        <f t="shared" si="54"/>
        <v>36357</v>
      </c>
      <c r="R28" s="3">
        <f t="shared" si="54"/>
        <v>36022</v>
      </c>
      <c r="S28" s="3">
        <f t="shared" si="54"/>
        <v>36647</v>
      </c>
      <c r="T28" s="3">
        <f t="shared" si="54"/>
        <v>37526.163333333345</v>
      </c>
      <c r="U28" s="3">
        <f t="shared" si="54"/>
        <v>39729.25</v>
      </c>
      <c r="V28" s="3">
        <f t="shared" si="54"/>
        <v>40942.549999999996</v>
      </c>
      <c r="W28" s="3">
        <f t="shared" si="54"/>
        <v>42302.866666666661</v>
      </c>
      <c r="X28" s="3">
        <f t="shared" si="54"/>
        <v>42717.999999999993</v>
      </c>
      <c r="Y28" s="3">
        <f t="shared" ref="Y28:AD28" si="55">SUM(Y29:Y32)</f>
        <v>43486.8</v>
      </c>
      <c r="Z28" s="3">
        <f t="shared" si="55"/>
        <v>44709.166666666672</v>
      </c>
      <c r="AA28" s="3">
        <f t="shared" si="55"/>
        <v>45886.466666666674</v>
      </c>
      <c r="AB28" s="3">
        <f t="shared" si="55"/>
        <v>47089.166666666664</v>
      </c>
      <c r="AC28" s="3">
        <f t="shared" si="55"/>
        <v>47917.066666666666</v>
      </c>
      <c r="AD28" s="3">
        <f t="shared" si="55"/>
        <v>48738.666666666664</v>
      </c>
      <c r="AE28" s="3">
        <f t="shared" ref="AE28:AF28" si="56">SUM(AE29:AE32)</f>
        <v>49803.333333333328</v>
      </c>
      <c r="AF28" s="3">
        <f t="shared" si="56"/>
        <v>49947.000000000007</v>
      </c>
      <c r="AG28" s="3">
        <f t="shared" ref="AG28:AH28" si="57">SUM(AG29:AG32)</f>
        <v>49279.666666666672</v>
      </c>
      <c r="AH28" s="22">
        <f t="shared" si="57"/>
        <v>49007</v>
      </c>
      <c r="AI28" s="3">
        <f t="shared" ref="AI28:AJ28" si="58">SUM(AI29:AI32)</f>
        <v>48501.333333333336</v>
      </c>
      <c r="AJ28" s="3">
        <f t="shared" ref="AJ28" si="59">SUM(AJ29:AJ32)</f>
        <v>52443.199998333337</v>
      </c>
    </row>
    <row r="29" spans="1:36">
      <c r="A29" s="204" t="s">
        <v>2008</v>
      </c>
      <c r="B29" s="3">
        <f>+BudgetedFTEHistory!P2</f>
        <v>29623</v>
      </c>
      <c r="C29" s="3">
        <f>+BudgetedFTEHistory!Q2</f>
        <v>29711</v>
      </c>
      <c r="D29" s="3">
        <f>+BudgetedFTEHistory!R2</f>
        <v>30020</v>
      </c>
      <c r="E29" s="3">
        <f>+BudgetedFTEHistory!S2</f>
        <v>30225</v>
      </c>
      <c r="F29" s="3">
        <f>+BudgetedFTEHistory!T2</f>
        <v>30174</v>
      </c>
      <c r="G29" s="3">
        <f>+BudgetedFTEHistory!U2</f>
        <v>30115</v>
      </c>
      <c r="H29" s="3">
        <f>+BudgetedFTEHistory!V2</f>
        <v>30173</v>
      </c>
      <c r="I29" s="3">
        <f>+BudgetedFTEHistory!W2</f>
        <v>30825</v>
      </c>
      <c r="J29" s="3">
        <f>+BudgetedFTEHistory!X2</f>
        <v>31021</v>
      </c>
      <c r="K29" s="3">
        <f>+BudgetedFTEHistory!Y2</f>
        <v>30952</v>
      </c>
      <c r="L29" s="3">
        <f>+BudgetedFTEHistory!Z2</f>
        <v>32036</v>
      </c>
      <c r="M29" s="3">
        <f>+BudgetedFTEHistory!AA2</f>
        <v>32661</v>
      </c>
      <c r="N29" s="3">
        <f>+BudgetedFTEHistory!AB2</f>
        <v>33863</v>
      </c>
      <c r="O29" s="3">
        <f>+BudgetedFTEHistory!AC2</f>
        <v>34065</v>
      </c>
      <c r="P29" s="3">
        <v>33426</v>
      </c>
      <c r="Q29" s="3">
        <v>33331</v>
      </c>
      <c r="R29" s="3">
        <f>+BD0506Final!F12</f>
        <v>33118</v>
      </c>
      <c r="S29" s="3">
        <v>33468</v>
      </c>
      <c r="T29" s="3">
        <v>33809.300000000003</v>
      </c>
      <c r="U29" s="3">
        <f>+'BDRFinal2008-09'!F10</f>
        <v>35286.323333333334</v>
      </c>
      <c r="V29" s="3">
        <f>+BDFinal200910!F10</f>
        <v>35974.006666666661</v>
      </c>
      <c r="W29" s="3">
        <f>+BDFinal201011!F10</f>
        <v>36711.933333333327</v>
      </c>
      <c r="X29" s="3">
        <f>+FinalSFEnrollment201112!$F$10</f>
        <v>36359.666666666664</v>
      </c>
      <c r="Y29" s="3">
        <f>+FinalSFEnrollment201213!$F$10</f>
        <v>36528.033333333333</v>
      </c>
      <c r="Z29" s="3">
        <f>+FinalSFEnrollment201314!$F$10</f>
        <v>37052.966666666667</v>
      </c>
      <c r="AA29" s="3">
        <f>+FinalSFEnrollment201415!$F$10</f>
        <v>37699.76666666667</v>
      </c>
      <c r="AB29" s="3">
        <f>+FinalSFEnrollment201516!$F$10</f>
        <v>38490.566666666666</v>
      </c>
      <c r="AC29" s="3">
        <f>+FinalSFEnrollment201617!$F$10</f>
        <v>38606.5</v>
      </c>
      <c r="AD29" s="3">
        <f>+FinalSFEnrollment201718!$F$10</f>
        <v>38976.666666666664</v>
      </c>
      <c r="AE29" s="3">
        <f>+FinalSFEnrollment201819!$F$10</f>
        <v>40033</v>
      </c>
      <c r="AF29" s="3">
        <f>+FinalSFEnrollment201920!$F$10</f>
        <v>40146.333333333336</v>
      </c>
      <c r="AG29" s="3">
        <f>+FinalSFEnrollment202021!$F$10</f>
        <v>39556.333333333336</v>
      </c>
      <c r="AH29" s="22">
        <f>+FinalSFEnrollment202122!$F$10</f>
        <v>39995</v>
      </c>
      <c r="AI29" s="3">
        <f>+FinalSFEnrollment202223!$F$10</f>
        <v>39894.333333333336</v>
      </c>
      <c r="AJ29" s="3">
        <f>+FinalSFEnrollment202324!$F$10</f>
        <v>42961.644444000005</v>
      </c>
    </row>
    <row r="30" spans="1:36">
      <c r="A30" s="204" t="s">
        <v>2009</v>
      </c>
      <c r="B30" s="3">
        <f>+BudgetedFTEHistory!P6</f>
        <v>0</v>
      </c>
      <c r="C30" s="3">
        <f>+BudgetedFTEHistory!Q6</f>
        <v>188</v>
      </c>
      <c r="D30" s="3">
        <f>+BudgetedFTEHistory!R6</f>
        <v>279</v>
      </c>
      <c r="E30" s="3">
        <f>+BudgetedFTEHistory!S6</f>
        <v>365</v>
      </c>
      <c r="F30" s="3">
        <f>+BudgetedFTEHistory!T6</f>
        <v>392</v>
      </c>
      <c r="G30" s="3">
        <f>+BudgetedFTEHistory!U6</f>
        <v>449</v>
      </c>
      <c r="H30" s="3">
        <f>+BudgetedFTEHistory!V6</f>
        <v>570</v>
      </c>
      <c r="I30" s="3">
        <f>+BudgetedFTEHistory!W6</f>
        <v>678</v>
      </c>
      <c r="J30" s="3">
        <f>+BudgetedFTEHistory!X6</f>
        <v>744</v>
      </c>
      <c r="K30" s="3">
        <f>+BudgetedFTEHistory!Y6</f>
        <v>833</v>
      </c>
      <c r="L30" s="3">
        <f>+BudgetedFTEHistory!Z6</f>
        <v>0</v>
      </c>
      <c r="M30" s="3">
        <f>+BudgetedFTEHistory!AA6</f>
        <v>0</v>
      </c>
      <c r="N30" s="3">
        <f>+BudgetedFTEHistory!AB6</f>
        <v>0</v>
      </c>
      <c r="O30" s="3">
        <f>+BudgetedFTEHistory!AC6</f>
        <v>0</v>
      </c>
      <c r="P30" s="3">
        <v>61</v>
      </c>
      <c r="Q30" s="3">
        <v>52</v>
      </c>
      <c r="R30" s="3">
        <f>+BD0506Final!F13</f>
        <v>37</v>
      </c>
      <c r="S30" s="3">
        <v>29</v>
      </c>
      <c r="T30" s="3">
        <v>48.41</v>
      </c>
      <c r="U30" s="3">
        <f>+'BDRFinal2008-09'!F11</f>
        <v>39.263333333333328</v>
      </c>
      <c r="V30" s="3"/>
      <c r="W30" s="3"/>
      <c r="X30" s="3"/>
      <c r="Y30" s="3"/>
      <c r="Z30" s="3"/>
      <c r="AA30" s="3"/>
      <c r="AB30" s="3"/>
      <c r="AC30" s="3"/>
      <c r="AD30" s="3"/>
      <c r="AE30" s="3"/>
      <c r="AF30" s="3"/>
      <c r="AG30" s="3"/>
      <c r="AH30" s="3"/>
      <c r="AI30" s="3"/>
      <c r="AJ30" s="3"/>
    </row>
    <row r="31" spans="1:36">
      <c r="A31" s="204" t="s">
        <v>2010</v>
      </c>
      <c r="B31" s="3">
        <f>+BudgetedFTEHistory!P9</f>
        <v>0</v>
      </c>
      <c r="C31" s="3">
        <f>+BudgetedFTEHistory!Q9</f>
        <v>85</v>
      </c>
      <c r="D31" s="3">
        <f>+BudgetedFTEHistory!R9</f>
        <v>168</v>
      </c>
      <c r="E31" s="3">
        <f>+BudgetedFTEHistory!S9</f>
        <v>273</v>
      </c>
      <c r="F31" s="3">
        <f>+BudgetedFTEHistory!T9</f>
        <v>344</v>
      </c>
      <c r="G31" s="3">
        <f>+BudgetedFTEHistory!U9</f>
        <v>404</v>
      </c>
      <c r="H31" s="3">
        <f>+BudgetedFTEHistory!V9</f>
        <v>509</v>
      </c>
      <c r="I31" s="3">
        <f>+BudgetedFTEHistory!W9</f>
        <v>638</v>
      </c>
      <c r="J31" s="3">
        <f>+BudgetedFTEHistory!X9</f>
        <v>799</v>
      </c>
      <c r="K31" s="3">
        <f>+BudgetedFTEHistory!Y9</f>
        <v>844</v>
      </c>
      <c r="L31" s="3">
        <f>+BudgetedFTEHistory!Z9</f>
        <v>959</v>
      </c>
      <c r="M31" s="3">
        <f>+BudgetedFTEHistory!AA9</f>
        <v>1041</v>
      </c>
      <c r="N31" s="3">
        <f>+BudgetedFTEHistory!AB9</f>
        <v>1228</v>
      </c>
      <c r="O31" s="3">
        <f>+BudgetedFTEHistory!AC9</f>
        <v>1236</v>
      </c>
      <c r="P31" s="3">
        <v>1250</v>
      </c>
      <c r="Q31" s="3">
        <v>1344</v>
      </c>
      <c r="R31" s="3">
        <f>+BD0506Final!F14</f>
        <v>1200</v>
      </c>
      <c r="S31" s="3">
        <v>1368</v>
      </c>
      <c r="T31" s="3">
        <v>1565.4766666666667</v>
      </c>
      <c r="U31" s="3">
        <f>+'BDRFinal2008-09'!F12</f>
        <v>1922.42</v>
      </c>
      <c r="V31" s="3">
        <f>+BDFinal200910!F11</f>
        <v>2339.9333333333334</v>
      </c>
      <c r="W31" s="3">
        <f>+BDFinal201011!F11</f>
        <v>2707.4333333333334</v>
      </c>
      <c r="X31" s="3">
        <f>+FinalSFEnrollment201112!$F$11</f>
        <v>3169.6666666666665</v>
      </c>
      <c r="Y31" s="3">
        <f>+FinalSFEnrollment201213!$F$11</f>
        <v>3482.2999999999997</v>
      </c>
      <c r="Z31" s="3">
        <f>+FinalSFEnrollment201314!$F$11</f>
        <v>3901.8000000000006</v>
      </c>
      <c r="AA31" s="3">
        <f>+FinalSFEnrollment201415!$F$11</f>
        <v>4268.4000000000005</v>
      </c>
      <c r="AB31" s="3">
        <f>+FinalSFEnrollment201516!$F$11</f>
        <v>4496.9000000000005</v>
      </c>
      <c r="AC31" s="3">
        <f>+FinalSFEnrollment201617!$F$11</f>
        <v>4970.666666666667</v>
      </c>
      <c r="AD31" s="3">
        <f>+FinalSFEnrollment201718!$F$11</f>
        <v>5196.666666666667</v>
      </c>
      <c r="AE31" s="3">
        <f>+FinalSFEnrollment201819!$F$11</f>
        <v>5123.666666666667</v>
      </c>
      <c r="AF31" s="3">
        <f>+FinalSFEnrollment201920!$F$11</f>
        <v>5095.333333333333</v>
      </c>
      <c r="AG31" s="3">
        <f>+FinalSFEnrollment202021!$F$11</f>
        <v>5183.333333333333</v>
      </c>
      <c r="AH31" s="3">
        <f>+FinalSFEnrollment202122!$F$11</f>
        <v>4848</v>
      </c>
      <c r="AI31" s="3">
        <f>+FinalSFEnrollment202223!$F$11</f>
        <v>4595</v>
      </c>
      <c r="AJ31" s="3">
        <f>+FinalSFEnrollment202324!$F$11</f>
        <v>5071.6777769999999</v>
      </c>
    </row>
    <row r="32" spans="1:36">
      <c r="A32" s="204" t="s">
        <v>2011</v>
      </c>
      <c r="B32" s="3">
        <f>+BudgetedFTEHistory!P12</f>
        <v>0</v>
      </c>
      <c r="C32" s="3">
        <f>+BudgetedFTEHistory!Q12</f>
        <v>139</v>
      </c>
      <c r="D32" s="3">
        <f>+BudgetedFTEHistory!R12</f>
        <v>256</v>
      </c>
      <c r="E32" s="3">
        <f>+BudgetedFTEHistory!S12</f>
        <v>347</v>
      </c>
      <c r="F32" s="3">
        <f>+BudgetedFTEHistory!T12</f>
        <v>431</v>
      </c>
      <c r="G32" s="3">
        <f>+BudgetedFTEHistory!U12</f>
        <v>526</v>
      </c>
      <c r="H32" s="3">
        <f>+BudgetedFTEHistory!V12</f>
        <v>559</v>
      </c>
      <c r="I32" s="3">
        <f>+BudgetedFTEHistory!W12</f>
        <v>717</v>
      </c>
      <c r="J32" s="3">
        <f>+BudgetedFTEHistory!X12</f>
        <v>834</v>
      </c>
      <c r="K32" s="3">
        <f>+BudgetedFTEHistory!Y12</f>
        <v>963</v>
      </c>
      <c r="L32" s="3">
        <f>+BudgetedFTEHistory!Z12</f>
        <v>1063</v>
      </c>
      <c r="M32" s="3">
        <f>+BudgetedFTEHistory!AA12</f>
        <v>1264</v>
      </c>
      <c r="N32" s="3">
        <f>+BudgetedFTEHistory!AB12</f>
        <v>1556</v>
      </c>
      <c r="O32" s="3">
        <f>+BudgetedFTEHistory!AC12</f>
        <v>1662</v>
      </c>
      <c r="P32" s="3">
        <v>1579</v>
      </c>
      <c r="Q32" s="3">
        <v>1630</v>
      </c>
      <c r="R32" s="3">
        <f>+BD0506Final!F15</f>
        <v>1667</v>
      </c>
      <c r="S32" s="3">
        <v>1782</v>
      </c>
      <c r="T32" s="3">
        <v>2102.9766666666669</v>
      </c>
      <c r="U32" s="3">
        <f>+'BDRFinal2008-09'!F13</f>
        <v>2481.2433333333333</v>
      </c>
      <c r="V32" s="3">
        <f>+BDFinal200910!F12</f>
        <v>2628.61</v>
      </c>
      <c r="W32" s="3">
        <f>+BDFinal201011!F12</f>
        <v>2883.5</v>
      </c>
      <c r="X32" s="3">
        <f>+FinalSFEnrollment201112!$F$12</f>
        <v>3188.6666666666665</v>
      </c>
      <c r="Y32" s="3">
        <f>+FinalSFEnrollment201213!$F$12</f>
        <v>3476.4666666666667</v>
      </c>
      <c r="Z32" s="3">
        <f>+FinalSFEnrollment201314!$F$12</f>
        <v>3754.4</v>
      </c>
      <c r="AA32" s="3">
        <f>+FinalSFEnrollment201415!$F$12</f>
        <v>3918.2999999999997</v>
      </c>
      <c r="AB32" s="3">
        <f>+FinalSFEnrollment201516!$F$12</f>
        <v>4101.7</v>
      </c>
      <c r="AC32" s="3">
        <f>+FinalSFEnrollment201617!$F$12</f>
        <v>4339.9000000000005</v>
      </c>
      <c r="AD32" s="3">
        <f>+FinalSFEnrollment201718!$F$12</f>
        <v>4565.333333333333</v>
      </c>
      <c r="AE32" s="3">
        <f>+FinalSFEnrollment201819!$F$12</f>
        <v>4646.666666666667</v>
      </c>
      <c r="AF32" s="3">
        <f>+FinalSFEnrollment201920!$F$12</f>
        <v>4705.333333333333</v>
      </c>
      <c r="AG32" s="3">
        <f>+FinalSFEnrollment202021!$F$12</f>
        <v>4540</v>
      </c>
      <c r="AH32" s="3">
        <f>+FinalSFEnrollment202122!$F$12</f>
        <v>4164</v>
      </c>
      <c r="AI32" s="3">
        <f>+FinalSFEnrollment202223!$F$12</f>
        <v>4012</v>
      </c>
      <c r="AJ32" s="3">
        <f>+FinalSFEnrollment202324!$F$12</f>
        <v>4409.8777773333331</v>
      </c>
    </row>
    <row r="33" spans="1:36">
      <c r="A33" s="1" t="s">
        <v>111</v>
      </c>
      <c r="B33" s="3">
        <f>SUM(B35:B43)</f>
        <v>16590</v>
      </c>
      <c r="C33" s="3">
        <f t="shared" ref="C33:N33" si="60">SUM(C35:C43)</f>
        <v>16777</v>
      </c>
      <c r="D33" s="3">
        <f t="shared" si="60"/>
        <v>16459</v>
      </c>
      <c r="E33" s="3">
        <f t="shared" si="60"/>
        <v>16710</v>
      </c>
      <c r="F33" s="3">
        <f t="shared" si="60"/>
        <v>17503</v>
      </c>
      <c r="G33" s="3">
        <f t="shared" si="60"/>
        <v>18081</v>
      </c>
      <c r="H33" s="3">
        <f t="shared" si="60"/>
        <v>18526</v>
      </c>
      <c r="I33" s="3">
        <f t="shared" si="60"/>
        <v>18713</v>
      </c>
      <c r="J33" s="3">
        <f t="shared" si="60"/>
        <v>18725</v>
      </c>
      <c r="K33" s="3">
        <f t="shared" si="60"/>
        <v>19312</v>
      </c>
      <c r="L33" s="3">
        <f t="shared" si="60"/>
        <v>19008</v>
      </c>
      <c r="M33" s="3">
        <f t="shared" si="60"/>
        <v>19498</v>
      </c>
      <c r="N33" s="3">
        <f t="shared" si="60"/>
        <v>19955</v>
      </c>
      <c r="O33" s="3">
        <f t="shared" ref="O33:U33" si="61">SUM(O35:O43)</f>
        <v>20311</v>
      </c>
      <c r="P33" s="3">
        <f t="shared" si="61"/>
        <v>20542</v>
      </c>
      <c r="Q33" s="3">
        <f t="shared" si="61"/>
        <v>21157</v>
      </c>
      <c r="R33" s="3">
        <f t="shared" si="61"/>
        <v>21325</v>
      </c>
      <c r="S33" s="3">
        <f t="shared" si="61"/>
        <v>21277</v>
      </c>
      <c r="T33" s="3">
        <f t="shared" si="61"/>
        <v>22333</v>
      </c>
      <c r="U33" s="3">
        <f t="shared" si="61"/>
        <v>23315.899999999998</v>
      </c>
      <c r="V33" s="3">
        <f t="shared" ref="V33:AA33" si="62">SUM(V34:V43)</f>
        <v>23992.370000000003</v>
      </c>
      <c r="W33" s="3">
        <f t="shared" si="62"/>
        <v>24233.100000000002</v>
      </c>
      <c r="X33" s="3">
        <f t="shared" si="62"/>
        <v>25284</v>
      </c>
      <c r="Y33" s="3">
        <f t="shared" si="62"/>
        <v>25189.449999999997</v>
      </c>
      <c r="Z33" s="3">
        <f t="shared" si="62"/>
        <v>25092.250000000004</v>
      </c>
      <c r="AA33" s="3">
        <f t="shared" si="62"/>
        <v>25954.016666666666</v>
      </c>
      <c r="AB33" s="3">
        <f>SUM(AB34:AB43)</f>
        <v>26321.599999999999</v>
      </c>
      <c r="AC33" s="3">
        <f>SUM(AC34:AC43)</f>
        <v>26630.083333333336</v>
      </c>
      <c r="AD33" s="3">
        <f t="shared" ref="AD33:AI33" si="63">SUM(AD34:AD44)</f>
        <v>27054.5</v>
      </c>
      <c r="AE33" s="3">
        <f t="shared" si="63"/>
        <v>27613.333333333332</v>
      </c>
      <c r="AF33" s="3">
        <f t="shared" si="63"/>
        <v>27684.666666666664</v>
      </c>
      <c r="AG33" s="3">
        <f t="shared" si="63"/>
        <v>26935.5</v>
      </c>
      <c r="AH33" s="3">
        <f t="shared" si="63"/>
        <v>25407.833333333332</v>
      </c>
      <c r="AI33" s="3">
        <f t="shared" si="63"/>
        <v>23690.5</v>
      </c>
      <c r="AJ33" s="3">
        <f t="shared" ref="AJ33" si="64">SUM(AJ34:AJ44)</f>
        <v>22980.649997833334</v>
      </c>
    </row>
    <row r="34" spans="1:36">
      <c r="A34" s="204" t="s">
        <v>2019</v>
      </c>
      <c r="B34" s="3"/>
      <c r="C34" s="3"/>
      <c r="D34" s="3"/>
      <c r="E34" s="3"/>
      <c r="F34" s="3"/>
      <c r="G34" s="3"/>
      <c r="H34" s="3"/>
      <c r="I34" s="3"/>
      <c r="J34" s="3"/>
      <c r="K34" s="3"/>
      <c r="L34" s="3"/>
      <c r="M34" s="3"/>
      <c r="N34" s="3"/>
      <c r="O34" s="3"/>
      <c r="P34" s="3"/>
      <c r="Q34" s="3"/>
      <c r="R34" s="3"/>
      <c r="S34" s="3"/>
      <c r="T34" s="3"/>
      <c r="U34" s="3"/>
      <c r="V34" s="3">
        <f>+BDFinal200910!F14</f>
        <v>20615.235000000001</v>
      </c>
      <c r="W34" s="3">
        <f>+BDFinal201011!F14</f>
        <v>20690.95</v>
      </c>
      <c r="X34" s="3">
        <f>+FinalSFEnrollment201112!$F$14</f>
        <v>21728.2</v>
      </c>
      <c r="Y34" s="3">
        <f>+FinalSFEnrollment201213!$F$14</f>
        <v>21836.3</v>
      </c>
      <c r="Z34" s="3">
        <f>+FinalSFEnrollment201314!$F$14</f>
        <v>21674.050000000003</v>
      </c>
      <c r="AA34" s="3">
        <f>+FinalSFEnrollment201415!$F$14</f>
        <v>22102.1</v>
      </c>
      <c r="AB34" s="3">
        <f>+FinalSFEnrollment201516!$F$14</f>
        <v>22264</v>
      </c>
      <c r="AC34" s="3">
        <f>+FinalSFEnrollment201617!$F$14</f>
        <v>22436.15</v>
      </c>
      <c r="AD34" s="3">
        <f>+FinalSFEnrollment201718!$F$14</f>
        <v>22620</v>
      </c>
      <c r="AE34" s="3">
        <f>+FinalSFEnrollment201819!$F$14</f>
        <v>23171</v>
      </c>
      <c r="AF34" s="3">
        <f>+FinalSFEnrollment201920!$F$14</f>
        <v>23094.5</v>
      </c>
      <c r="AG34" s="3">
        <f>+FinalSFEnrollment202021!$F$14</f>
        <v>22443</v>
      </c>
      <c r="AH34" s="3">
        <f>+FinalSFEnrollment202122!$F$14</f>
        <v>21232.5</v>
      </c>
      <c r="AI34" s="3">
        <f>+FinalSFEnrollment202223!$F$14</f>
        <v>19806.5</v>
      </c>
      <c r="AJ34" s="3">
        <f>+FinalSFEnrollment202324!$F$14</f>
        <v>19142.416666000001</v>
      </c>
    </row>
    <row r="35" spans="1:36">
      <c r="A35" s="204" t="s">
        <v>2012</v>
      </c>
      <c r="B35" s="3">
        <f>+BudgetedFTEHistory!P15</f>
        <v>16040</v>
      </c>
      <c r="C35" s="3">
        <f>+BudgetedFTEHistory!Q15</f>
        <v>15992</v>
      </c>
      <c r="D35" s="3">
        <f>+BudgetedFTEHistory!R15</f>
        <v>15565</v>
      </c>
      <c r="E35" s="3">
        <f>+BudgetedFTEHistory!S15</f>
        <v>15661</v>
      </c>
      <c r="F35" s="3">
        <f>+BudgetedFTEHistory!T15</f>
        <v>16223</v>
      </c>
      <c r="G35" s="3">
        <f>+BudgetedFTEHistory!U15</f>
        <v>16555</v>
      </c>
      <c r="H35" s="3">
        <f>+BudgetedFTEHistory!V15</f>
        <v>16853</v>
      </c>
      <c r="I35" s="3">
        <f>+BudgetedFTEHistory!W15</f>
        <v>16852</v>
      </c>
      <c r="J35" s="3">
        <f>+BudgetedFTEHistory!X15</f>
        <v>16821</v>
      </c>
      <c r="K35" s="3">
        <f>+BudgetedFTEHistory!Y15</f>
        <v>17226</v>
      </c>
      <c r="L35" s="3">
        <f>+BudgetedFTEHistory!Z15</f>
        <v>16985</v>
      </c>
      <c r="M35" s="3">
        <f>+BudgetedFTEHistory!AA15</f>
        <v>17232</v>
      </c>
      <c r="N35" s="3">
        <f>+BudgetedFTEHistory!AB15</f>
        <v>17607</v>
      </c>
      <c r="O35" s="3">
        <f>+BudgetedFTEHistory!AC15</f>
        <v>17830</v>
      </c>
      <c r="P35" s="3">
        <v>17975</v>
      </c>
      <c r="Q35" s="3">
        <v>17954</v>
      </c>
      <c r="R35" s="3">
        <f>+BD0506Final!F18</f>
        <v>17985</v>
      </c>
      <c r="S35" s="3">
        <v>17579</v>
      </c>
      <c r="T35" s="3">
        <v>18245.5</v>
      </c>
      <c r="U35" s="3">
        <f>+'BDRFinal2008-09'!F15</f>
        <v>18762.235000000001</v>
      </c>
      <c r="V35" s="3"/>
      <c r="W35" s="3"/>
      <c r="X35" s="3"/>
      <c r="Y35" s="3"/>
      <c r="Z35" s="3"/>
      <c r="AA35" s="3"/>
      <c r="AB35" s="3"/>
      <c r="AC35" s="3"/>
      <c r="AD35" s="3"/>
      <c r="AE35" s="3"/>
      <c r="AF35" s="3"/>
      <c r="AG35" s="3"/>
      <c r="AH35" s="3"/>
      <c r="AI35" s="3"/>
      <c r="AJ35" s="3"/>
    </row>
    <row r="36" spans="1:36">
      <c r="A36" s="204" t="s">
        <v>2013</v>
      </c>
      <c r="B36" s="3">
        <f>+BudgetedFTEHistory!P18</f>
        <v>36</v>
      </c>
      <c r="C36" s="3">
        <f>+BudgetedFTEHistory!Q18</f>
        <v>143</v>
      </c>
      <c r="D36" s="3">
        <f>+BudgetedFTEHistory!R18</f>
        <v>148</v>
      </c>
      <c r="E36" s="3">
        <f>+BudgetedFTEHistory!S18</f>
        <v>183</v>
      </c>
      <c r="F36" s="3">
        <f>+BudgetedFTEHistory!T18</f>
        <v>230</v>
      </c>
      <c r="G36" s="3">
        <f>+BudgetedFTEHistory!U18</f>
        <v>262</v>
      </c>
      <c r="H36" s="3">
        <f>+BudgetedFTEHistory!V18</f>
        <v>317</v>
      </c>
      <c r="I36" s="3">
        <f>+BudgetedFTEHistory!W18</f>
        <v>364</v>
      </c>
      <c r="J36" s="3">
        <f>+BudgetedFTEHistory!X18</f>
        <v>288</v>
      </c>
      <c r="K36" s="3">
        <f>+BudgetedFTEHistory!Y18</f>
        <v>383</v>
      </c>
      <c r="L36" s="3">
        <f>+BudgetedFTEHistory!Z18</f>
        <v>432</v>
      </c>
      <c r="M36" s="3">
        <f>+BudgetedFTEHistory!AA18</f>
        <v>526</v>
      </c>
      <c r="N36" s="3">
        <f>+BudgetedFTEHistory!AB18</f>
        <v>567</v>
      </c>
      <c r="O36" s="3">
        <f>+BudgetedFTEHistory!AC18</f>
        <v>628</v>
      </c>
      <c r="P36" s="3">
        <v>627</v>
      </c>
      <c r="Q36" s="3">
        <v>1192</v>
      </c>
      <c r="R36" s="3">
        <f>+BD0506Final!F19</f>
        <v>1282</v>
      </c>
      <c r="S36" s="3">
        <v>1319</v>
      </c>
      <c r="T36" s="3">
        <v>1340</v>
      </c>
      <c r="U36" s="3">
        <f>+'BDRFinal2008-09'!F16</f>
        <v>1436.0650000000001</v>
      </c>
      <c r="V36" s="3"/>
      <c r="W36" s="3"/>
      <c r="X36" s="3"/>
      <c r="Y36" s="3"/>
      <c r="Z36" s="3"/>
      <c r="AA36" s="3"/>
      <c r="AB36" s="3"/>
      <c r="AC36" s="3"/>
      <c r="AD36" s="3"/>
      <c r="AE36" s="3"/>
      <c r="AF36" s="3"/>
      <c r="AG36" s="3"/>
      <c r="AH36" s="3"/>
      <c r="AI36" s="3"/>
      <c r="AJ36" s="3"/>
    </row>
    <row r="37" spans="1:36">
      <c r="A37" s="204" t="s">
        <v>2014</v>
      </c>
      <c r="B37" s="3">
        <f>+BudgetedFTEHistory!P21</f>
        <v>384</v>
      </c>
      <c r="C37" s="3">
        <f>+BudgetedFTEHistory!Q21</f>
        <v>406</v>
      </c>
      <c r="D37" s="3">
        <f>+BudgetedFTEHistory!R21</f>
        <v>424</v>
      </c>
      <c r="E37" s="3">
        <f>+BudgetedFTEHistory!S21</f>
        <v>492</v>
      </c>
      <c r="F37" s="3">
        <f>+BudgetedFTEHistory!T21</f>
        <v>530</v>
      </c>
      <c r="G37" s="3">
        <f>+BudgetedFTEHistory!U21</f>
        <v>624</v>
      </c>
      <c r="H37" s="3">
        <f>+BudgetedFTEHistory!V21</f>
        <v>619</v>
      </c>
      <c r="I37" s="3">
        <f>+BudgetedFTEHistory!W21</f>
        <v>656</v>
      </c>
      <c r="J37" s="3">
        <f>+BudgetedFTEHistory!X21</f>
        <v>647</v>
      </c>
      <c r="K37" s="3">
        <f>+BudgetedFTEHistory!Y21</f>
        <v>591</v>
      </c>
      <c r="L37" s="3">
        <f>+BudgetedFTEHistory!Z21</f>
        <v>596</v>
      </c>
      <c r="M37" s="3">
        <f>+BudgetedFTEHistory!AA21</f>
        <v>639</v>
      </c>
      <c r="N37" s="3">
        <f>+BudgetedFTEHistory!AB21</f>
        <v>631</v>
      </c>
      <c r="O37" s="3">
        <f>+BudgetedFTEHistory!AC21</f>
        <v>627</v>
      </c>
      <c r="P37" s="3">
        <v>677</v>
      </c>
      <c r="Q37" s="3">
        <v>672</v>
      </c>
      <c r="R37" s="3">
        <f>+BD0506Final!F20</f>
        <v>691</v>
      </c>
      <c r="S37" s="3">
        <v>695</v>
      </c>
      <c r="T37" s="3">
        <v>849</v>
      </c>
      <c r="U37" s="3">
        <f>+'BDRFinal2008-09'!F17</f>
        <v>956.5150000000001</v>
      </c>
      <c r="V37" s="3">
        <f>+BDFinal200910!F15</f>
        <v>1080.6999999999998</v>
      </c>
      <c r="W37" s="3">
        <f>+BDFinal201011!F15</f>
        <v>1128.1500000000001</v>
      </c>
      <c r="X37" s="3">
        <f>+FinalSFEnrollment201112!$F$15</f>
        <v>1122.8</v>
      </c>
      <c r="Y37" s="3">
        <f>+FinalSFEnrollment201213!$F$15</f>
        <v>1058.3</v>
      </c>
      <c r="Z37" s="3">
        <f>+FinalSFEnrollment201314!$F$15</f>
        <v>1048.45</v>
      </c>
      <c r="AA37" s="3">
        <f>+FinalSFEnrollment201415!$F$15</f>
        <v>1100.3499999999999</v>
      </c>
      <c r="AB37" s="3">
        <f>+FinalSFEnrollment201516!$F$15</f>
        <v>1222.3</v>
      </c>
      <c r="AC37" s="3">
        <f>+FinalSFEnrollment201617!$F$15</f>
        <v>1264.9000000000001</v>
      </c>
      <c r="AD37" s="3">
        <f>+FinalSFEnrollment201718!$F$15</f>
        <v>1363.5</v>
      </c>
      <c r="AE37" s="3">
        <f>+FinalSFEnrollment201819!$F$15</f>
        <v>1309</v>
      </c>
      <c r="AF37" s="3">
        <f>+FinalSFEnrollment201920!$F$15</f>
        <v>1285.5</v>
      </c>
      <c r="AG37" s="3">
        <f>+FinalSFEnrollment202021!$F$15</f>
        <v>1202.5</v>
      </c>
      <c r="AH37" s="3">
        <f>+FinalSFEnrollment202122!$F$15</f>
        <v>1109.5</v>
      </c>
      <c r="AI37" s="3">
        <f>+FinalSFEnrollment202223!$F$15</f>
        <v>1065.5</v>
      </c>
      <c r="AJ37" s="3">
        <f>+FinalSFEnrollment202324!$F$15</f>
        <v>1103.4499995000001</v>
      </c>
    </row>
    <row r="38" spans="1:36">
      <c r="A38" s="204" t="s">
        <v>2015</v>
      </c>
      <c r="B38" s="3">
        <f>+BudgetedFTEHistory!P24</f>
        <v>130</v>
      </c>
      <c r="C38" s="3">
        <f>+BudgetedFTEHistory!Q24</f>
        <v>236</v>
      </c>
      <c r="D38" s="3">
        <f>+BudgetedFTEHistory!R24</f>
        <v>315</v>
      </c>
      <c r="E38" s="3">
        <f>+BudgetedFTEHistory!S24</f>
        <v>349</v>
      </c>
      <c r="F38" s="3">
        <f>+BudgetedFTEHistory!T24</f>
        <v>484</v>
      </c>
      <c r="G38" s="3">
        <f>+BudgetedFTEHistory!U24</f>
        <v>566</v>
      </c>
      <c r="H38" s="3">
        <f>+BudgetedFTEHistory!V24</f>
        <v>636</v>
      </c>
      <c r="I38" s="3">
        <f>+BudgetedFTEHistory!W24</f>
        <v>722</v>
      </c>
      <c r="J38" s="3">
        <f>+BudgetedFTEHistory!X24</f>
        <v>828</v>
      </c>
      <c r="K38" s="3">
        <f>+BudgetedFTEHistory!Y24</f>
        <v>948</v>
      </c>
      <c r="L38" s="3">
        <f>+BudgetedFTEHistory!Z24</f>
        <v>970</v>
      </c>
      <c r="M38" s="3">
        <f>+BudgetedFTEHistory!AA24</f>
        <v>1076</v>
      </c>
      <c r="N38" s="3">
        <f>+BudgetedFTEHistory!AB24</f>
        <v>1150</v>
      </c>
      <c r="O38" s="3">
        <f>+BudgetedFTEHistory!AC24</f>
        <v>1226</v>
      </c>
      <c r="P38" s="3">
        <v>1263</v>
      </c>
      <c r="Q38" s="3">
        <v>1339</v>
      </c>
      <c r="R38" s="3">
        <f>+BD0506Final!F21</f>
        <v>1367</v>
      </c>
      <c r="S38" s="3">
        <v>1684</v>
      </c>
      <c r="T38" s="3">
        <v>1898.5</v>
      </c>
      <c r="U38" s="3">
        <f>+'BDRFinal2008-09'!F18</f>
        <v>2161.085</v>
      </c>
      <c r="V38" s="3">
        <f>+BDFinal200910!F16</f>
        <v>2296.4349999999999</v>
      </c>
      <c r="W38" s="3">
        <f>+BDFinal201011!F16</f>
        <v>2414</v>
      </c>
      <c r="X38" s="3">
        <f>+FinalSFEnrollment201112!$F$16</f>
        <v>2433</v>
      </c>
      <c r="Y38" s="3">
        <f>+FinalSFEnrollment201213!$F$16</f>
        <v>2294.8500000000004</v>
      </c>
      <c r="Z38" s="3">
        <f>+FinalSFEnrollment201314!$F$16</f>
        <v>2369.75</v>
      </c>
      <c r="AA38" s="3">
        <f>+FinalSFEnrollment201415!$F$16</f>
        <v>2484</v>
      </c>
      <c r="AB38" s="3">
        <f>+FinalSFEnrollment201516!$F$16</f>
        <v>2531.1999999999998</v>
      </c>
      <c r="AC38" s="3">
        <f>+FinalSFEnrollment201617!$F$16</f>
        <v>2651</v>
      </c>
      <c r="AD38" s="3">
        <f>+FinalSFEnrollment201718!$F$16</f>
        <v>2718</v>
      </c>
      <c r="AE38" s="3">
        <f>+FinalSFEnrollment201819!$F$16</f>
        <v>2729</v>
      </c>
      <c r="AF38" s="3">
        <f>+FinalSFEnrollment201920!$F$16</f>
        <v>2770</v>
      </c>
      <c r="AG38" s="3">
        <f>+FinalSFEnrollment202021!$F$16</f>
        <v>2659</v>
      </c>
      <c r="AH38" s="3">
        <f>+FinalSFEnrollment202122!$F$16</f>
        <v>2393.5</v>
      </c>
      <c r="AI38" s="3">
        <f>+FinalSFEnrollment202223!$F$16</f>
        <v>2153.5</v>
      </c>
      <c r="AJ38" s="3">
        <f>+FinalSFEnrollment202324!$F$16</f>
        <v>2131.8833329999998</v>
      </c>
    </row>
    <row r="39" spans="1:36">
      <c r="A39" s="204" t="s">
        <v>404</v>
      </c>
      <c r="B39" s="3"/>
      <c r="C39" s="3"/>
      <c r="D39" s="3"/>
      <c r="E39" s="3"/>
      <c r="F39" s="3"/>
      <c r="G39" s="3"/>
      <c r="H39" s="3"/>
      <c r="I39" s="3"/>
      <c r="J39" s="3"/>
      <c r="K39" s="3"/>
      <c r="L39" s="3"/>
      <c r="M39" s="3"/>
      <c r="N39" s="3"/>
      <c r="O39" s="3"/>
      <c r="P39" s="3"/>
      <c r="Q39" s="3"/>
      <c r="R39" s="3"/>
      <c r="S39" s="3"/>
      <c r="T39" s="3"/>
      <c r="U39" s="3"/>
      <c r="V39" s="3"/>
      <c r="W39" s="3"/>
      <c r="X39" s="3"/>
      <c r="Y39" s="3"/>
      <c r="Z39" s="3"/>
      <c r="AA39" s="3">
        <f>+FinalSFEnrollment201415!$F$18</f>
        <v>53.433333333333337</v>
      </c>
      <c r="AB39" s="3">
        <f>+FinalSFEnrollment201516!$F$18</f>
        <v>57.833333333333336</v>
      </c>
      <c r="AC39" s="3">
        <f>+FinalSFEnrollment201617!$F$18</f>
        <v>54</v>
      </c>
      <c r="AD39" s="3">
        <f>+FinalSFEnrollment201718!$F$18</f>
        <v>43</v>
      </c>
      <c r="AE39" s="3">
        <f>+FinalSFEnrollment201819!$F$18</f>
        <v>21.666666666666668</v>
      </c>
      <c r="AF39" s="3">
        <f>+FinalSFEnrollment201920!$F$18</f>
        <v>7.333333333333333</v>
      </c>
      <c r="AG39" s="3">
        <f>+FinalSFEnrollment202021!$F$18</f>
        <v>0</v>
      </c>
      <c r="AH39" s="3">
        <f>+FinalSFEnrollment202122!$F$18</f>
        <v>0</v>
      </c>
      <c r="AI39" s="3">
        <f>+FinalSFEnrollment202223!$F$18</f>
        <v>0</v>
      </c>
      <c r="AJ39" s="3">
        <f>+FinalSFEnrollment202324!$F$18</f>
        <v>0</v>
      </c>
    </row>
    <row r="40" spans="1:36">
      <c r="A40" s="204" t="s">
        <v>405</v>
      </c>
      <c r="B40" s="3"/>
      <c r="C40" s="3"/>
      <c r="D40" s="3"/>
      <c r="E40" s="3"/>
      <c r="F40" s="3"/>
      <c r="G40" s="3"/>
      <c r="H40" s="3"/>
      <c r="I40" s="3"/>
      <c r="J40" s="3"/>
      <c r="K40" s="3"/>
      <c r="L40" s="3"/>
      <c r="M40" s="3"/>
      <c r="N40" s="3"/>
      <c r="O40" s="3"/>
      <c r="P40" s="3"/>
      <c r="Q40" s="3"/>
      <c r="R40" s="3"/>
      <c r="S40" s="3"/>
      <c r="T40" s="3"/>
      <c r="U40" s="3"/>
      <c r="V40" s="3"/>
      <c r="W40" s="3"/>
      <c r="X40" s="3"/>
      <c r="Y40" s="3"/>
      <c r="Z40" s="3"/>
      <c r="AA40" s="3">
        <f>+FinalSFEnrollment201415!$F$19</f>
        <v>0</v>
      </c>
      <c r="AB40" s="3">
        <f>+FinalSFEnrollment201516!$F$19</f>
        <v>0</v>
      </c>
      <c r="AC40" s="3">
        <f>+FinalSFEnrollment201617!$F$19</f>
        <v>0</v>
      </c>
      <c r="AD40" s="3">
        <f>+FinalSFEnrollment201718!$F$19</f>
        <v>0</v>
      </c>
      <c r="AE40" s="3">
        <f>+FinalSFEnrollment201819!$F$19</f>
        <v>0</v>
      </c>
      <c r="AF40" s="3">
        <f>+FinalSFEnrollment201920!$F$19</f>
        <v>0</v>
      </c>
      <c r="AG40" s="3">
        <f>+FinalSFEnrollment202021!$F$19</f>
        <v>0</v>
      </c>
      <c r="AH40" s="3">
        <f>+FinalSFEnrollment202122!$F$19</f>
        <v>0</v>
      </c>
      <c r="AI40" s="3">
        <f>+FinalSFEnrollment202223!$F$19</f>
        <v>0</v>
      </c>
      <c r="AJ40" s="3">
        <f>+FinalSFEnrollment202324!$F$19</f>
        <v>0</v>
      </c>
    </row>
    <row r="41" spans="1:36">
      <c r="A41" s="204" t="s">
        <v>406</v>
      </c>
      <c r="B41" s="3"/>
      <c r="C41" s="3"/>
      <c r="D41" s="3"/>
      <c r="E41" s="3"/>
      <c r="F41" s="3"/>
      <c r="G41" s="3"/>
      <c r="H41" s="3"/>
      <c r="I41" s="3"/>
      <c r="J41" s="3"/>
      <c r="K41" s="3"/>
      <c r="L41" s="3"/>
      <c r="M41" s="3"/>
      <c r="N41" s="3"/>
      <c r="O41" s="3"/>
      <c r="P41" s="3"/>
      <c r="Q41" s="3"/>
      <c r="R41" s="3"/>
      <c r="S41" s="3"/>
      <c r="T41" s="3"/>
      <c r="U41" s="3"/>
      <c r="V41" s="3"/>
      <c r="W41" s="3"/>
      <c r="X41" s="3"/>
      <c r="Y41" s="3"/>
      <c r="Z41" s="3"/>
      <c r="AA41" s="3">
        <f>+FinalSFEnrollment201415!$F$20</f>
        <v>180.70000000000002</v>
      </c>
      <c r="AB41" s="3">
        <f>+FinalSFEnrollment201516!$F$20</f>
        <v>207</v>
      </c>
      <c r="AC41" s="3">
        <f>+FinalSFEnrollment201617!$F$20</f>
        <v>195.03333333333333</v>
      </c>
      <c r="AD41" s="3">
        <f>+FinalSFEnrollment201718!$F$20</f>
        <v>191.33333333333334</v>
      </c>
      <c r="AE41" s="3">
        <f>+FinalSFEnrollment201819!$F$20</f>
        <v>186</v>
      </c>
      <c r="AF41" s="3">
        <f>+FinalSFEnrollment201920!$F$20</f>
        <v>208.33333333333334</v>
      </c>
      <c r="AG41" s="3">
        <f>+FinalSFEnrollment202021!$F$20</f>
        <v>204</v>
      </c>
      <c r="AH41" s="3">
        <f>+FinalSFEnrollment202122!$F$20</f>
        <v>242.33333333333334</v>
      </c>
      <c r="AI41" s="3">
        <f>+FinalSFEnrollment202223!$F$20</f>
        <v>195.66666666666666</v>
      </c>
      <c r="AJ41" s="3">
        <f>+FinalSFEnrollment202324!$F$20</f>
        <v>30.333332999999996</v>
      </c>
    </row>
    <row r="42" spans="1:36">
      <c r="A42" s="204" t="s">
        <v>1162</v>
      </c>
      <c r="B42" s="3"/>
      <c r="C42" s="3"/>
      <c r="D42" s="3"/>
      <c r="E42" s="3"/>
      <c r="F42" s="3"/>
      <c r="G42" s="3"/>
      <c r="H42" s="3"/>
      <c r="I42" s="3"/>
      <c r="J42" s="3"/>
      <c r="K42" s="3"/>
      <c r="L42" s="3"/>
      <c r="M42" s="3"/>
      <c r="N42" s="3"/>
      <c r="O42" s="3"/>
      <c r="P42" s="3"/>
      <c r="Q42" s="3"/>
      <c r="R42" s="3"/>
      <c r="S42" s="3"/>
      <c r="T42" s="3"/>
      <c r="U42" s="3"/>
      <c r="V42" s="3"/>
      <c r="W42" s="3"/>
      <c r="X42" s="3"/>
      <c r="Y42" s="3"/>
      <c r="Z42" s="3"/>
      <c r="AA42" s="3">
        <f>+FinalSFEnrollment201415!$F$21</f>
        <v>33.43333333333333</v>
      </c>
      <c r="AB42" s="3">
        <f>+FinalSFEnrollment201516!$F$21</f>
        <v>39.266666666666666</v>
      </c>
      <c r="AC42" s="3">
        <f>+FinalSFEnrollment201617!$F$21</f>
        <v>29</v>
      </c>
      <c r="AD42" s="3">
        <f>+FinalSFEnrollment201718!$F$21</f>
        <v>34.666666666666664</v>
      </c>
      <c r="AE42" s="3">
        <f>+FinalSFEnrollment201819!$F$21</f>
        <v>33.333333333333336</v>
      </c>
      <c r="AF42" s="3">
        <f>+FinalSFEnrollment201920!$F$21</f>
        <v>35.666666666666664</v>
      </c>
      <c r="AG42" s="3">
        <f>+FinalSFEnrollment202021!$F$21</f>
        <v>37</v>
      </c>
      <c r="AH42" s="3">
        <f>+FinalSFEnrollment202122!$F$21</f>
        <v>24.333333333333332</v>
      </c>
      <c r="AI42" s="3">
        <f>+FinalSFEnrollment202223!$F$21</f>
        <v>17.333333333333332</v>
      </c>
      <c r="AJ42" s="3">
        <f>+FinalSFEnrollment202324!$F$21</f>
        <v>117.99999966666667</v>
      </c>
    </row>
    <row r="43" spans="1:36">
      <c r="A43" s="204" t="s">
        <v>2016</v>
      </c>
      <c r="B43" s="3">
        <f>+BudgetedFTEHistory!P37</f>
        <v>0</v>
      </c>
      <c r="C43" s="3">
        <f>+BudgetedFTEHistory!Q37</f>
        <v>0</v>
      </c>
      <c r="D43" s="3">
        <f>+BudgetedFTEHistory!R37</f>
        <v>7</v>
      </c>
      <c r="E43" s="3">
        <f>+BudgetedFTEHistory!S37</f>
        <v>25</v>
      </c>
      <c r="F43" s="3">
        <f>+BudgetedFTEHistory!T37</f>
        <v>36</v>
      </c>
      <c r="G43" s="3">
        <f>+BudgetedFTEHistory!U37</f>
        <v>74</v>
      </c>
      <c r="H43" s="3">
        <f>+BudgetedFTEHistory!V37</f>
        <v>101</v>
      </c>
      <c r="I43" s="3">
        <f>+BudgetedFTEHistory!W37</f>
        <v>119</v>
      </c>
      <c r="J43" s="3">
        <f>+BudgetedFTEHistory!X37</f>
        <v>141</v>
      </c>
      <c r="K43" s="3">
        <f>+BudgetedFTEHistory!Y37</f>
        <v>164</v>
      </c>
      <c r="L43" s="3">
        <f>+BudgetedFTEHistory!Z37</f>
        <v>25</v>
      </c>
      <c r="M43" s="3">
        <f>+BudgetedFTEHistory!AA37</f>
        <v>25</v>
      </c>
      <c r="N43" s="3">
        <f>+BudgetedFTEHistory!AB37</f>
        <v>0</v>
      </c>
      <c r="O43" s="3">
        <f>+BudgetedFTEHistory!AC37</f>
        <v>0</v>
      </c>
      <c r="P43" s="3"/>
      <c r="Q43" s="3"/>
      <c r="R43" s="3"/>
      <c r="S43" s="3"/>
      <c r="T43" s="3"/>
      <c r="U43" s="3"/>
      <c r="V43" s="3"/>
      <c r="W43" s="3"/>
      <c r="X43" s="3"/>
      <c r="Y43" s="3"/>
      <c r="Z43" s="3"/>
      <c r="AA43" s="3"/>
      <c r="AB43" s="3"/>
      <c r="AC43" s="3"/>
      <c r="AD43" s="3"/>
      <c r="AE43" s="3"/>
      <c r="AF43" s="3"/>
      <c r="AG43" s="3"/>
      <c r="AH43" s="3"/>
      <c r="AI43" s="3"/>
      <c r="AJ43" s="3"/>
    </row>
    <row r="44" spans="1:36">
      <c r="A44" s="204" t="s">
        <v>1837</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f>+FinalSFEnrollment201718!$F$22</f>
        <v>84</v>
      </c>
      <c r="AE44" s="3">
        <f>+FinalSFEnrollment201819!$F$22</f>
        <v>163.33333333333334</v>
      </c>
      <c r="AF44" s="3">
        <f>+FinalSFEnrollment201920!$F$22</f>
        <v>283.33333333333331</v>
      </c>
      <c r="AG44" s="3">
        <f>+FinalSFEnrollment202021!$F$22</f>
        <v>390</v>
      </c>
      <c r="AH44" s="3">
        <f>+FinalSFEnrollment202122!$F$22</f>
        <v>405.66666666666669</v>
      </c>
      <c r="AI44" s="3">
        <f>+FinalSFEnrollment202223!$F$22</f>
        <v>452</v>
      </c>
      <c r="AJ44" s="3">
        <f>+FinalSFEnrollment202324!$F$22</f>
        <v>454.56666666666666</v>
      </c>
    </row>
    <row r="45" spans="1:36">
      <c r="A45" t="s">
        <v>94</v>
      </c>
      <c r="B45" s="3">
        <f>+BudgetedFTEHistory!P29</f>
        <v>7214</v>
      </c>
      <c r="C45" s="3">
        <f>+BudgetedFTEHistory!Q29</f>
        <v>7417</v>
      </c>
      <c r="D45" s="3">
        <f>+BudgetedFTEHistory!R29</f>
        <v>7360</v>
      </c>
      <c r="E45" s="3">
        <f>+BudgetedFTEHistory!S29</f>
        <v>7533</v>
      </c>
      <c r="F45" s="3">
        <f>+BudgetedFTEHistory!T29</f>
        <v>7635</v>
      </c>
      <c r="G45" s="3">
        <f>+BudgetedFTEHistory!U29</f>
        <v>7605</v>
      </c>
      <c r="H45" s="3">
        <f>+BudgetedFTEHistory!V29</f>
        <v>7364</v>
      </c>
      <c r="I45" s="3">
        <f>+BudgetedFTEHistory!W29</f>
        <v>6945</v>
      </c>
      <c r="J45" s="3">
        <f>+BudgetedFTEHistory!X29</f>
        <v>6907</v>
      </c>
      <c r="K45" s="3">
        <f>+BudgetedFTEHistory!Y29</f>
        <v>7244</v>
      </c>
      <c r="L45" s="3">
        <f>+BudgetedFTEHistory!Z29</f>
        <v>7712</v>
      </c>
      <c r="M45" s="3">
        <f>+BudgetedFTEHistory!AA29</f>
        <v>8081</v>
      </c>
      <c r="N45" s="3">
        <f>+BudgetedFTEHistory!AB29</f>
        <v>8421</v>
      </c>
      <c r="O45" s="3">
        <f>+BudgetedFTEHistory!AC29</f>
        <v>8700</v>
      </c>
      <c r="P45" s="3">
        <v>8956</v>
      </c>
      <c r="Q45" s="3">
        <v>9126</v>
      </c>
      <c r="R45" s="3">
        <f>+BD0506Final!F24</f>
        <v>9281</v>
      </c>
      <c r="S45" s="3">
        <v>9189</v>
      </c>
      <c r="T45" s="3">
        <v>9110.9666666666672</v>
      </c>
      <c r="U45" s="3">
        <f>+'BDRFinal2008-09'!F20</f>
        <v>9286.74</v>
      </c>
      <c r="V45" s="3">
        <f>+BDFinal200910!F18</f>
        <v>9485.8133333333335</v>
      </c>
      <c r="W45" s="3">
        <f>+BDFinal201011!F18</f>
        <v>9639.6666666666661</v>
      </c>
      <c r="X45" s="3">
        <f>+FinalSFEnrollment201112!$F$18</f>
        <v>9914.2333333333354</v>
      </c>
      <c r="Y45" s="3">
        <f>+FinalSFEnrollment201213!$F$18</f>
        <v>10169.5</v>
      </c>
      <c r="Z45" s="3">
        <f>+FinalSFEnrollment201314!$F$18</f>
        <v>10235.933333333334</v>
      </c>
      <c r="AA45" s="3">
        <f>+FinalSFEnrollment201415!$F$23</f>
        <v>10395.333333333332</v>
      </c>
      <c r="AB45" s="3">
        <f>+FinalSFEnrollment201516!$F$23</f>
        <v>10365.866666666665</v>
      </c>
      <c r="AC45" s="3">
        <f>+FinalSFEnrollment201617!$F$23</f>
        <v>10241.866666666667</v>
      </c>
      <c r="AD45" s="3">
        <f>+FinalSFEnrollment201718!$F$24</f>
        <v>10615.333333333334</v>
      </c>
      <c r="AE45" s="3">
        <f>+FinalSFEnrollment201819!$F$24</f>
        <v>10290</v>
      </c>
      <c r="AF45" s="3">
        <f>+FinalSFEnrollment201920!$F$24</f>
        <v>9474.6666666666661</v>
      </c>
      <c r="AG45" s="3">
        <f>+FinalSFEnrollment202021!$F$24</f>
        <v>8239</v>
      </c>
      <c r="AH45" s="3">
        <f>+FinalSFEnrollment202122!$F$24</f>
        <v>7195</v>
      </c>
      <c r="AI45" s="3">
        <f>AI46+AI47</f>
        <v>6660.833333333333</v>
      </c>
      <c r="AJ45" s="3">
        <f>AJ46+AJ47</f>
        <v>6413.5611101666664</v>
      </c>
    </row>
    <row r="46" spans="1:36">
      <c r="A46" s="204" t="s">
        <v>2017</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f>+FinalSFEnrollment202223!$F$24</f>
        <v>6139.333333333333</v>
      </c>
      <c r="AJ46" s="3">
        <f>+FinalSFEnrollment202324!$F$24</f>
        <v>5786.8111106666665</v>
      </c>
    </row>
    <row r="47" spans="1:36">
      <c r="A47" s="204" t="s">
        <v>1979</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f>FinalSFEnrollment202223!F$25</f>
        <v>521.5</v>
      </c>
      <c r="AJ47" s="3">
        <f>FinalSFEnrollment202324!$F$25</f>
        <v>626.74999950000006</v>
      </c>
    </row>
    <row r="48" spans="1:36">
      <c r="A48" t="s">
        <v>93</v>
      </c>
      <c r="B48" s="3">
        <f>+BudgetedFTEHistory!P27</f>
        <v>6221</v>
      </c>
      <c r="C48" s="3">
        <f>+BudgetedFTEHistory!Q27</f>
        <v>6429</v>
      </c>
      <c r="D48" s="3">
        <f>+BudgetedFTEHistory!R27</f>
        <v>6312</v>
      </c>
      <c r="E48" s="3">
        <f>+BudgetedFTEHistory!S27</f>
        <v>6588</v>
      </c>
      <c r="F48" s="3">
        <f>+BudgetedFTEHistory!T27</f>
        <v>7339</v>
      </c>
      <c r="G48" s="3">
        <f>+BudgetedFTEHistory!U27</f>
        <v>7737</v>
      </c>
      <c r="H48" s="3">
        <f>+BudgetedFTEHistory!V27</f>
        <v>7339</v>
      </c>
      <c r="I48" s="3">
        <f>+BudgetedFTEHistory!W27</f>
        <v>7448</v>
      </c>
      <c r="J48" s="3">
        <f>+BudgetedFTEHistory!X27</f>
        <v>7474</v>
      </c>
      <c r="K48" s="3">
        <f>+BudgetedFTEHistory!Y27</f>
        <v>7471</v>
      </c>
      <c r="L48" s="3">
        <f>+BudgetedFTEHistory!Z27</f>
        <v>7463</v>
      </c>
      <c r="M48" s="3">
        <f>+BudgetedFTEHistory!AA27</f>
        <v>7287</v>
      </c>
      <c r="N48" s="3">
        <f>+BudgetedFTEHistory!AB27</f>
        <v>7672</v>
      </c>
      <c r="O48" s="3">
        <f>+BudgetedFTEHistory!AC27</f>
        <v>8106</v>
      </c>
      <c r="P48" s="3">
        <v>8657</v>
      </c>
      <c r="Q48" s="3">
        <v>8885</v>
      </c>
      <c r="R48" s="3">
        <f>+BD0506Final!F23</f>
        <v>9057</v>
      </c>
      <c r="S48" s="3">
        <v>9204</v>
      </c>
      <c r="T48" s="3">
        <v>8930.5433333333331</v>
      </c>
      <c r="U48" s="3">
        <f>+'BDRFinal2008-09'!F19</f>
        <v>9081.6200000000008</v>
      </c>
      <c r="V48" s="3">
        <f>+BDFinal200910!F17</f>
        <v>9672.6133333333328</v>
      </c>
      <c r="W48" s="3">
        <f>+BDFinal201011!F17</f>
        <v>9832.2333333333318</v>
      </c>
      <c r="X48" s="3">
        <f>+FinalSFEnrollment201112!$F$17</f>
        <v>9580.9</v>
      </c>
      <c r="Y48" s="3">
        <f>+FinalSFEnrollment201213!$F$17</f>
        <v>9375.6333333333332</v>
      </c>
      <c r="Z48" s="3">
        <f>+FinalSFEnrollment201314!$F$17</f>
        <v>9291.5999999999985</v>
      </c>
      <c r="AA48" s="3">
        <f>+FinalSFEnrollment201415!$F$22</f>
        <v>9096.5</v>
      </c>
      <c r="AB48" s="3">
        <f>+FinalSFEnrollment201516!$F$22</f>
        <v>9389.4666666666672</v>
      </c>
      <c r="AC48" s="3">
        <f>+FinalSFEnrollment201617!$F$22</f>
        <v>9715.0999999999985</v>
      </c>
      <c r="AD48" s="3">
        <f>+FinalSFEnrollment201718!$F$23</f>
        <v>9907</v>
      </c>
      <c r="AE48" s="3">
        <f>+FinalSFEnrollment201819!$F$23</f>
        <v>9807.6666666666661</v>
      </c>
      <c r="AF48" s="3">
        <f>+FinalSFEnrollment201920!$F$23</f>
        <v>10787</v>
      </c>
      <c r="AG48" s="3">
        <f>+FinalSFEnrollment202021!$F$23</f>
        <v>9667</v>
      </c>
      <c r="AH48" s="3">
        <f>+FinalSFEnrollment202122!$F$23</f>
        <v>8755.6666666666661</v>
      </c>
      <c r="AI48" s="3">
        <f>+FinalSFEnrollment202223!$F$23</f>
        <v>7993.333333333333</v>
      </c>
      <c r="AJ48" s="3">
        <f>+FinalSFEnrollment202324!$F$23</f>
        <v>7732.2222220000003</v>
      </c>
    </row>
    <row r="49" spans="1:36">
      <c r="A49" t="s">
        <v>96</v>
      </c>
      <c r="B49" s="3">
        <f>+BudgetedFTEHistory!P32</f>
        <v>2988</v>
      </c>
      <c r="C49" s="3">
        <f>+BudgetedFTEHistory!Q32</f>
        <v>3089</v>
      </c>
      <c r="D49" s="3">
        <f>+BudgetedFTEHistory!R32</f>
        <v>3203</v>
      </c>
      <c r="E49" s="3">
        <f>+BudgetedFTEHistory!S32</f>
        <v>3236</v>
      </c>
      <c r="F49" s="3">
        <f>+BudgetedFTEHistory!T32</f>
        <v>3282</v>
      </c>
      <c r="G49" s="3">
        <f>+BudgetedFTEHistory!U32</f>
        <v>3377</v>
      </c>
      <c r="H49" s="3">
        <f>+BudgetedFTEHistory!V32</f>
        <v>3387</v>
      </c>
      <c r="I49" s="3">
        <f>+BudgetedFTEHistory!W32</f>
        <v>3489</v>
      </c>
      <c r="J49" s="3">
        <f>+BudgetedFTEHistory!X32</f>
        <v>3728</v>
      </c>
      <c r="K49" s="3">
        <f>+BudgetedFTEHistory!Y32</f>
        <v>3822</v>
      </c>
      <c r="L49" s="3">
        <f>+BudgetedFTEHistory!Z32</f>
        <v>3697</v>
      </c>
      <c r="M49" s="3">
        <f>+BudgetedFTEHistory!AA32</f>
        <v>3786</v>
      </c>
      <c r="N49" s="3">
        <f>+BudgetedFTEHistory!AB32</f>
        <v>4009</v>
      </c>
      <c r="O49" s="3">
        <f>+BudgetedFTEHistory!AC32</f>
        <v>4054</v>
      </c>
      <c r="P49" s="3">
        <v>4099</v>
      </c>
      <c r="Q49" s="3">
        <v>4120</v>
      </c>
      <c r="R49" s="3">
        <f>+BD0506Final!F25</f>
        <v>4131</v>
      </c>
      <c r="S49" s="3">
        <v>4114</v>
      </c>
      <c r="T49" s="3">
        <v>4268.8666666666668</v>
      </c>
      <c r="U49" s="3">
        <f>+'BDRFinal2008-09'!F21</f>
        <v>4470.09</v>
      </c>
      <c r="V49" s="3">
        <f>+BDFinal200910!F19</f>
        <v>4596.09</v>
      </c>
      <c r="W49" s="3">
        <f>+BDFinal201011!F19</f>
        <v>4559.2566666666671</v>
      </c>
      <c r="X49" s="3">
        <f>+FinalSFEnrollment201112!$F$19</f>
        <v>4558.0600000000004</v>
      </c>
      <c r="Y49" s="3">
        <f>+FinalSFEnrollment201213!$F$19</f>
        <v>4354.4433333333327</v>
      </c>
      <c r="Z49" s="3">
        <f>+FinalSFEnrollment201314!$F$19</f>
        <v>4144.3</v>
      </c>
      <c r="AA49" s="3">
        <f>+FinalSFEnrollment201415!$F$24</f>
        <v>4007.0666666666671</v>
      </c>
      <c r="AB49" s="3">
        <f>+FinalSFEnrollment201516!$F$24</f>
        <v>3991.7333333333336</v>
      </c>
      <c r="AC49" s="3">
        <f>+FinalSFEnrollment201617!$F$24</f>
        <v>3921.6</v>
      </c>
      <c r="AD49" s="3">
        <f>+FinalSFEnrollment201718!$F$25</f>
        <v>3628.3333333333335</v>
      </c>
      <c r="AE49" s="3">
        <f>+FinalSFEnrollment201819!$F$25</f>
        <v>3104.3333333333335</v>
      </c>
      <c r="AF49" s="3">
        <f>+FinalSFEnrollment201920!$F$25</f>
        <v>2506.6666666666665</v>
      </c>
      <c r="AG49" s="3">
        <f>+FinalSFEnrollment202021!$F$25</f>
        <v>1774.3333333333333</v>
      </c>
      <c r="AH49" s="3">
        <f>+FinalSFEnrollment202122!$F$25</f>
        <v>1751.3333333333333</v>
      </c>
      <c r="AI49" s="3">
        <f>+FinalSFEnrollment202223!$F$26</f>
        <v>1784.6666666666667</v>
      </c>
      <c r="AJ49" s="3">
        <f>+FinalSFEnrollment202324!$F$26</f>
        <v>2193.6333330000002</v>
      </c>
    </row>
    <row r="50" spans="1:36">
      <c r="A50" t="s">
        <v>113</v>
      </c>
      <c r="B50" s="3">
        <f>SUM(B51:B52)</f>
        <v>8439</v>
      </c>
      <c r="C50" s="3">
        <f t="shared" ref="C50:N50" si="65">SUM(C51:C52)</f>
        <v>8731</v>
      </c>
      <c r="D50" s="3">
        <f t="shared" si="65"/>
        <v>9021</v>
      </c>
      <c r="E50" s="3">
        <f t="shared" si="65"/>
        <v>9145</v>
      </c>
      <c r="F50" s="3">
        <f t="shared" si="65"/>
        <v>9359</v>
      </c>
      <c r="G50" s="3">
        <f t="shared" si="65"/>
        <v>9499</v>
      </c>
      <c r="H50" s="3">
        <f t="shared" si="65"/>
        <v>9668</v>
      </c>
      <c r="I50" s="3">
        <f t="shared" si="65"/>
        <v>10118</v>
      </c>
      <c r="J50" s="3">
        <f t="shared" si="65"/>
        <v>10374</v>
      </c>
      <c r="K50" s="3">
        <f t="shared" si="65"/>
        <v>10550</v>
      </c>
      <c r="L50" s="3">
        <f t="shared" si="65"/>
        <v>10841</v>
      </c>
      <c r="M50" s="3">
        <f t="shared" si="65"/>
        <v>11214</v>
      </c>
      <c r="N50" s="3">
        <f t="shared" si="65"/>
        <v>11265</v>
      </c>
      <c r="O50" s="3">
        <f>SUM(O51:O52)</f>
        <v>11377</v>
      </c>
      <c r="P50" s="3">
        <v>11505</v>
      </c>
      <c r="Q50" s="3">
        <v>11713</v>
      </c>
      <c r="R50" s="3">
        <f>+BD0506Final!F26</f>
        <v>11755</v>
      </c>
      <c r="S50" s="3">
        <v>11784</v>
      </c>
      <c r="T50" s="3">
        <v>12140.323333333334</v>
      </c>
      <c r="U50" s="3">
        <f>+'BDRFinal2008-09'!F22</f>
        <v>12408.253333333334</v>
      </c>
      <c r="V50" s="3">
        <f>+BDFinal200910!F20</f>
        <v>12475.19</v>
      </c>
      <c r="W50" s="3">
        <f>+BDFinal201011!F20</f>
        <v>12647.366666666667</v>
      </c>
      <c r="X50" s="3">
        <f>+FinalSFEnrollment201112!$F$20</f>
        <v>12646.5</v>
      </c>
      <c r="Y50" s="3">
        <f>+FinalSFEnrollment201213!$F$20</f>
        <v>12515.666666666666</v>
      </c>
      <c r="Z50" s="3">
        <f>+FinalSFEnrollment201314!$F$20</f>
        <v>12564.766666666668</v>
      </c>
      <c r="AA50" s="3">
        <f>+FinalSFEnrollment201415!$F$25</f>
        <v>12595.966666666667</v>
      </c>
      <c r="AB50" s="3">
        <f>+FinalSFEnrollment201516!$F$25</f>
        <v>12675.666666666666</v>
      </c>
      <c r="AC50" s="3">
        <f>+FinalSFEnrollment201617!$F$25</f>
        <v>12795.1</v>
      </c>
      <c r="AD50" s="3">
        <f>+FinalSFEnrollment201718!$F$26</f>
        <v>13206.666666666666</v>
      </c>
      <c r="AE50" s="3">
        <f>+FinalSFEnrollment201819!$F$26</f>
        <v>13355.666666666666</v>
      </c>
      <c r="AF50" s="3">
        <f>+FinalSFEnrollment201920!$F$26</f>
        <v>13118</v>
      </c>
      <c r="AG50" s="3">
        <f>+FinalSFEnrollment202021!$F$26</f>
        <v>12299</v>
      </c>
      <c r="AH50" s="3">
        <f>+FinalSFEnrollment202122!$F$26</f>
        <v>12091.666666666666</v>
      </c>
      <c r="AI50" s="3">
        <f>+FinalSFEnrollment202223!$F$27</f>
        <v>11944.333333333334</v>
      </c>
      <c r="AJ50" s="3">
        <f>+FinalSFEnrollment202324!$F$27</f>
        <v>12098.711110666665</v>
      </c>
    </row>
    <row r="51" spans="1:36">
      <c r="A51" s="204" t="s">
        <v>98</v>
      </c>
      <c r="B51" s="3">
        <f>+BudgetedFTEHistory!P35</f>
        <v>8439</v>
      </c>
      <c r="C51" s="3">
        <f>+BudgetedFTEHistory!Q35</f>
        <v>8731</v>
      </c>
      <c r="D51" s="3">
        <f>+BudgetedFTEHistory!R35</f>
        <v>9021</v>
      </c>
      <c r="E51" s="3">
        <f>+BudgetedFTEHistory!S35</f>
        <v>9139</v>
      </c>
      <c r="F51" s="3">
        <f>+BudgetedFTEHistory!T35</f>
        <v>9347</v>
      </c>
      <c r="G51" s="3">
        <f>+BudgetedFTEHistory!U35</f>
        <v>9486</v>
      </c>
      <c r="H51" s="3">
        <f>+BudgetedFTEHistory!V35</f>
        <v>9651</v>
      </c>
      <c r="I51" s="3">
        <f>+BudgetedFTEHistory!W35</f>
        <v>10101</v>
      </c>
      <c r="J51" s="3">
        <f>+BudgetedFTEHistory!X35</f>
        <v>10367</v>
      </c>
      <c r="K51" s="3">
        <f>+BudgetedFTEHistory!Y35</f>
        <v>10537</v>
      </c>
      <c r="L51" s="3">
        <f>+BudgetedFTEHistory!Z35</f>
        <v>10821</v>
      </c>
      <c r="M51" s="3">
        <f>+BudgetedFTEHistory!AA35</f>
        <v>11191</v>
      </c>
      <c r="N51" s="3">
        <f>+BudgetedFTEHistory!AB35</f>
        <v>11265</v>
      </c>
      <c r="O51" s="3">
        <f>+BudgetedFTEHistory!AC35</f>
        <v>11377</v>
      </c>
      <c r="P51" s="3"/>
      <c r="Q51" s="3"/>
      <c r="R51" s="3"/>
      <c r="S51" s="3"/>
      <c r="T51"/>
      <c r="U51"/>
      <c r="V51"/>
      <c r="W51"/>
      <c r="X51"/>
      <c r="Y51"/>
      <c r="Z51"/>
      <c r="AA51"/>
      <c r="AB51"/>
      <c r="AC51"/>
      <c r="AD51"/>
      <c r="AE51"/>
      <c r="AF51"/>
      <c r="AG51"/>
      <c r="AH51"/>
      <c r="AI51"/>
      <c r="AJ51"/>
    </row>
    <row r="52" spans="1:36">
      <c r="A52" s="204" t="s">
        <v>2018</v>
      </c>
      <c r="B52" s="41">
        <f>+BudgetedFTEHistory!P41</f>
        <v>0</v>
      </c>
      <c r="C52" s="41">
        <f>+BudgetedFTEHistory!Q41</f>
        <v>0</v>
      </c>
      <c r="D52" s="41">
        <f>+BudgetedFTEHistory!R41</f>
        <v>0</v>
      </c>
      <c r="E52" s="41">
        <f>+BudgetedFTEHistory!S41</f>
        <v>6</v>
      </c>
      <c r="F52" s="41">
        <f>+BudgetedFTEHistory!T41</f>
        <v>12</v>
      </c>
      <c r="G52" s="41">
        <f>+BudgetedFTEHistory!U41</f>
        <v>13</v>
      </c>
      <c r="H52" s="41">
        <f>+BudgetedFTEHistory!V41</f>
        <v>17</v>
      </c>
      <c r="I52" s="41">
        <f>+BudgetedFTEHistory!W41</f>
        <v>17</v>
      </c>
      <c r="J52" s="41">
        <f>+BudgetedFTEHistory!X41</f>
        <v>7</v>
      </c>
      <c r="K52" s="41">
        <f>+BudgetedFTEHistory!Y41</f>
        <v>13</v>
      </c>
      <c r="L52" s="41">
        <f>+BudgetedFTEHistory!Z41</f>
        <v>20</v>
      </c>
      <c r="M52" s="41">
        <f>+BudgetedFTEHistory!AA41</f>
        <v>23</v>
      </c>
      <c r="N52" s="41">
        <f>+BudgetedFTEHistory!AB41</f>
        <v>0</v>
      </c>
      <c r="O52" s="41">
        <f>+BudgetedFTEHistory!AC41</f>
        <v>0</v>
      </c>
      <c r="P52" s="41"/>
      <c r="Q52" s="41"/>
      <c r="R52" s="41"/>
      <c r="S52" s="41"/>
      <c r="T52"/>
      <c r="U52"/>
      <c r="V52"/>
      <c r="W52"/>
      <c r="X52"/>
      <c r="Y52"/>
      <c r="Z52"/>
      <c r="AA52"/>
      <c r="AB52"/>
      <c r="AC52"/>
      <c r="AD52"/>
      <c r="AE52"/>
      <c r="AF52"/>
      <c r="AG52"/>
      <c r="AH52"/>
      <c r="AI52"/>
      <c r="AJ52"/>
    </row>
    <row r="53" spans="1:36" ht="13.5">
      <c r="A53" s="200" t="s">
        <v>290</v>
      </c>
      <c r="B53" s="201">
        <f t="shared" ref="B53:X53" si="66">+B50+B49+B48+B45+B33+B28</f>
        <v>71075</v>
      </c>
      <c r="C53" s="201">
        <f t="shared" si="66"/>
        <v>72566</v>
      </c>
      <c r="D53" s="201">
        <f t="shared" si="66"/>
        <v>73078</v>
      </c>
      <c r="E53" s="201">
        <f t="shared" si="66"/>
        <v>74422</v>
      </c>
      <c r="F53" s="201">
        <f t="shared" si="66"/>
        <v>76459</v>
      </c>
      <c r="G53" s="201">
        <f t="shared" si="66"/>
        <v>77793</v>
      </c>
      <c r="H53" s="201">
        <f t="shared" si="66"/>
        <v>78095</v>
      </c>
      <c r="I53" s="201">
        <f t="shared" si="66"/>
        <v>79571</v>
      </c>
      <c r="J53" s="201">
        <f t="shared" si="66"/>
        <v>80606</v>
      </c>
      <c r="K53" s="201">
        <f t="shared" si="66"/>
        <v>81991</v>
      </c>
      <c r="L53" s="201">
        <f t="shared" si="66"/>
        <v>82779</v>
      </c>
      <c r="M53" s="201">
        <f t="shared" si="66"/>
        <v>84832</v>
      </c>
      <c r="N53" s="201">
        <f t="shared" si="66"/>
        <v>87969</v>
      </c>
      <c r="O53" s="201">
        <f t="shared" si="66"/>
        <v>89511</v>
      </c>
      <c r="P53" s="201">
        <f t="shared" si="66"/>
        <v>90075</v>
      </c>
      <c r="Q53" s="201">
        <f t="shared" si="66"/>
        <v>91358</v>
      </c>
      <c r="R53" s="201">
        <f t="shared" si="66"/>
        <v>91571</v>
      </c>
      <c r="S53" s="201">
        <f t="shared" si="66"/>
        <v>92215</v>
      </c>
      <c r="T53" s="201">
        <f t="shared" si="66"/>
        <v>94309.863333333342</v>
      </c>
      <c r="U53" s="201">
        <f t="shared" si="66"/>
        <v>98291.853333333333</v>
      </c>
      <c r="V53" s="201">
        <f t="shared" si="66"/>
        <v>101164.62666666666</v>
      </c>
      <c r="W53" s="201">
        <f t="shared" si="66"/>
        <v>103214.48999999999</v>
      </c>
      <c r="X53" s="201">
        <f t="shared" si="66"/>
        <v>104701.69333333333</v>
      </c>
      <c r="Y53" s="201">
        <f t="shared" ref="Y53:AD53" si="67">+Y50+Y49+Y48+Y45+Y33+Y28</f>
        <v>105091.49333333333</v>
      </c>
      <c r="Z53" s="201">
        <f t="shared" si="67"/>
        <v>106038.01666666668</v>
      </c>
      <c r="AA53" s="201">
        <f t="shared" si="67"/>
        <v>107935.35</v>
      </c>
      <c r="AB53" s="201">
        <f t="shared" si="67"/>
        <v>109833.5</v>
      </c>
      <c r="AC53" s="201">
        <f t="shared" si="67"/>
        <v>111220.81666666667</v>
      </c>
      <c r="AD53" s="201">
        <f t="shared" si="67"/>
        <v>113150.5</v>
      </c>
      <c r="AE53" s="201">
        <f t="shared" ref="AE53" si="68">+AE50+AE49+AE48+AE45+AE33+AE28</f>
        <v>113974.33333333333</v>
      </c>
      <c r="AF53" s="201">
        <f>+AF50+AF49+AF48+AF45+AF33+AF28</f>
        <v>113518</v>
      </c>
      <c r="AG53" s="201">
        <f>+AG50+AG49+AG48+AG45+AG33+AG28</f>
        <v>108194.5</v>
      </c>
      <c r="AH53" s="2493">
        <f>+AH50+AH49+AH48+AH45+AH33+AH28</f>
        <v>104208.5</v>
      </c>
      <c r="AI53" s="201">
        <f>+AI50+AI49+AI48+AI45+AI33+AI28</f>
        <v>100575</v>
      </c>
      <c r="AJ53" s="201">
        <f>+AJ50+AJ49+AJ48+AJ45+AJ33+AJ28</f>
        <v>103861.977772</v>
      </c>
    </row>
    <row r="54" spans="1:36">
      <c r="B54" s="3"/>
      <c r="C54" s="3"/>
      <c r="D54" s="3"/>
      <c r="E54" s="3"/>
      <c r="F54" s="3"/>
      <c r="G54" s="3"/>
      <c r="H54" s="3"/>
      <c r="I54" s="3"/>
      <c r="J54" s="3"/>
      <c r="K54" s="3"/>
      <c r="L54" s="3"/>
      <c r="M54" s="3"/>
      <c r="N54" s="3"/>
      <c r="O54" s="3"/>
      <c r="P54" s="3"/>
      <c r="Q54" s="3"/>
      <c r="R54" s="3"/>
      <c r="S54" s="3"/>
      <c r="T54"/>
      <c r="U54"/>
      <c r="V54"/>
      <c r="W54"/>
      <c r="X54"/>
      <c r="Y54"/>
    </row>
    <row r="55" spans="1:36">
      <c r="A55" s="9" t="s">
        <v>594</v>
      </c>
      <c r="B55" s="3">
        <f>+BudgetedFTEHistory!P48</f>
        <v>85896</v>
      </c>
      <c r="C55" s="3">
        <f>+BudgetedFTEHistory!Q48</f>
        <v>86015</v>
      </c>
      <c r="D55" s="3">
        <f>+BudgetedFTEHistory!R48</f>
        <v>89800</v>
      </c>
      <c r="E55" s="3">
        <f>+BudgetedFTEHistory!S48</f>
        <v>91590</v>
      </c>
      <c r="F55" s="3">
        <f>+BudgetedFTEHistory!T48</f>
        <v>111035</v>
      </c>
      <c r="G55" s="3">
        <f>+BudgetedFTEHistory!U48</f>
        <v>113404</v>
      </c>
      <c r="H55" s="3">
        <f>+BudgetedFTEHistory!V48</f>
        <v>118075</v>
      </c>
      <c r="I55" s="3">
        <f>+BudgetedFTEHistory!W48</f>
        <v>118515</v>
      </c>
      <c r="J55" s="3">
        <f>+BudgetedFTEHistory!X48</f>
        <v>117925</v>
      </c>
      <c r="K55" s="3">
        <f>+BudgetedFTEHistory!Y48</f>
        <v>121302</v>
      </c>
      <c r="L55" s="3">
        <f>+BudgetedFTEHistory!Z48</f>
        <v>125131</v>
      </c>
      <c r="M55" s="3">
        <f>+BudgetedFTEHistory!AA48</f>
        <v>128093</v>
      </c>
      <c r="N55" s="3">
        <f>+BudgetedFTEHistory!AB48</f>
        <v>133962</v>
      </c>
      <c r="O55" s="3">
        <f>+BudgetedFTEHistory!AC48</f>
        <v>139753</v>
      </c>
      <c r="P55" s="3">
        <f>126788.5+11452.5</f>
        <v>138241</v>
      </c>
      <c r="Q55" s="3">
        <v>131489</v>
      </c>
      <c r="R55" s="3">
        <f>+BD0506Final!F38</f>
        <v>130933</v>
      </c>
      <c r="S55" s="3">
        <f>125932+6384+SUM(S60:S61)</f>
        <v>132343</v>
      </c>
      <c r="T55" s="3">
        <f>129870+6552+90+SUM(T59:T67)</f>
        <v>136722.93</v>
      </c>
      <c r="U55" s="3">
        <f>+'BDRFinal2008-09'!F29+'BDRFinal2008-09'!F31+'BDRFinal2008-09'!F32+'BDRFinal2008-09'!F33</f>
        <v>147703.66666666669</v>
      </c>
      <c r="V55" s="3">
        <f>+BDFinal200910!F26</f>
        <v>146955.33333333334</v>
      </c>
      <c r="W55" s="3">
        <f>+BDFinal201011!F26</f>
        <v>147354.5</v>
      </c>
      <c r="X55" s="3">
        <f>+FinalSFEnrollment201112!$F$26</f>
        <v>140849.66666666666</v>
      </c>
      <c r="Y55" s="3">
        <f>+FinalSFEnrollment201213!$F$26</f>
        <v>136716</v>
      </c>
      <c r="Z55" s="3">
        <f>+FinalSFEnrollment201314!$F$26</f>
        <v>133662.66666666666</v>
      </c>
      <c r="AA55" s="3">
        <f>+FinalSFEnrollment201415!$F$31</f>
        <v>131169.33333333334</v>
      </c>
      <c r="AB55" s="3">
        <f>+FinalSFEnrollment201516!$F$31</f>
        <v>127559</v>
      </c>
      <c r="AC55" s="3">
        <f>+FinalSFEnrollment201617!$F$31</f>
        <v>121271.33333333333</v>
      </c>
      <c r="AD55" s="3">
        <f>+FinalSFEnrollment201718!$F$32</f>
        <v>118082.66666666667</v>
      </c>
      <c r="AE55" s="3">
        <f>+FinalSFEnrollment201819!$F$32</f>
        <v>112578.33333333333</v>
      </c>
      <c r="AF55" s="3">
        <f>+FinalSFEnrollment201920!$F$32</f>
        <v>105793.33333333333</v>
      </c>
      <c r="AG55" s="3">
        <f>+FinalSFEnrollment202021!$F$32</f>
        <v>91418.333333333328</v>
      </c>
      <c r="AH55" s="3">
        <f>+FinalSFEnrollment202122!$F$32</f>
        <v>94531</v>
      </c>
      <c r="AI55" s="3">
        <f>+FinalSFEnrollment202223!$F$33</f>
        <v>94594.333333333328</v>
      </c>
      <c r="AJ55" s="3">
        <f>+FinalSFEnrollment202324!$F$33</f>
        <v>90850</v>
      </c>
    </row>
    <row r="56" spans="1:36">
      <c r="A56" s="9" t="s">
        <v>595</v>
      </c>
      <c r="B56" s="3"/>
      <c r="C56" s="3"/>
      <c r="D56" s="3"/>
      <c r="E56" s="3"/>
      <c r="F56" s="3"/>
      <c r="G56" s="3"/>
      <c r="H56" s="3"/>
      <c r="I56" s="3"/>
      <c r="J56" s="3"/>
      <c r="K56" s="3"/>
      <c r="L56" s="3"/>
      <c r="M56" s="3"/>
      <c r="N56" s="3"/>
      <c r="O56" s="3"/>
      <c r="P56" s="3"/>
      <c r="Q56" s="3"/>
      <c r="R56" s="3"/>
      <c r="S56" s="3"/>
      <c r="T56" s="3"/>
      <c r="U56" s="3"/>
      <c r="V56" s="3">
        <f>+BDFinal200910!F28</f>
        <v>12737.666666666666</v>
      </c>
      <c r="W56" s="3">
        <f>+BDFinal201011!F28</f>
        <v>13403.333333333334</v>
      </c>
      <c r="X56" s="3">
        <f>+FinalSFEnrollment201112!$F$28</f>
        <v>11152</v>
      </c>
      <c r="Y56" s="3">
        <f>+FinalSFEnrollment201213!$F$28</f>
        <v>9387.6666666666661</v>
      </c>
      <c r="Z56" s="3">
        <f>+FinalSFEnrollment201314!$F$28</f>
        <v>8245</v>
      </c>
      <c r="AA56" s="3">
        <f>+FinalSFEnrollment201415!$F$33</f>
        <v>6750.666666666667</v>
      </c>
      <c r="AB56" s="3">
        <f>+FinalSFEnrollment201516!$F$33</f>
        <v>7206.666666666667</v>
      </c>
      <c r="AC56" s="3">
        <f>+FinalSFEnrollment201617!$F$33</f>
        <v>7297</v>
      </c>
      <c r="AD56" s="3">
        <f>+FinalSFEnrollment201718!$F$34</f>
        <v>6843.666666666667</v>
      </c>
      <c r="AE56" s="3">
        <f>+FinalSFEnrollment201819!$F$34</f>
        <v>7044.666666666667</v>
      </c>
      <c r="AF56" s="3">
        <f>+FinalSFEnrollment201920!$F$34</f>
        <v>6958.333333333333</v>
      </c>
      <c r="AG56" s="3">
        <f>+FinalSFEnrollment202021!$F$34</f>
        <v>6839.333333333333</v>
      </c>
      <c r="AH56" s="3">
        <f>+FinalSFEnrollment202122!$F$34</f>
        <v>5783.333333333333</v>
      </c>
      <c r="AI56" s="3">
        <f>+FinalSFEnrollment202223!$F$35</f>
        <v>4665.666666666667</v>
      </c>
      <c r="AJ56" s="3">
        <f>+FinalSFEnrollment202324!$F$35</f>
        <v>5438</v>
      </c>
    </row>
    <row r="57" spans="1:36">
      <c r="A57" s="9" t="s">
        <v>596</v>
      </c>
      <c r="B57" s="3"/>
      <c r="C57" s="3"/>
      <c r="D57" s="3"/>
      <c r="E57" s="3"/>
      <c r="F57" s="3"/>
      <c r="G57" s="3"/>
      <c r="H57" s="3"/>
      <c r="I57" s="3"/>
      <c r="J57" s="3"/>
      <c r="K57" s="3"/>
      <c r="L57" s="3"/>
      <c r="M57" s="3"/>
      <c r="N57" s="3"/>
      <c r="O57" s="3"/>
      <c r="P57" s="3"/>
      <c r="Q57" s="3"/>
      <c r="R57" s="3"/>
      <c r="S57" s="3"/>
      <c r="T57" s="3"/>
      <c r="U57" s="3"/>
      <c r="V57" s="3">
        <f>+BDFinal200910!F29</f>
        <v>486.33333333333331</v>
      </c>
      <c r="W57" s="3">
        <f>+BDFinal201011!F29</f>
        <v>771</v>
      </c>
      <c r="X57" s="3">
        <f>+FinalSFEnrollment201112!$F$29</f>
        <v>528.33333333333337</v>
      </c>
      <c r="Y57" s="3">
        <f>+FinalSFEnrollment201213!$F$29</f>
        <v>447.66666666666669</v>
      </c>
      <c r="Z57" s="3">
        <f>+FinalSFEnrollment201314!$F$29</f>
        <v>381</v>
      </c>
      <c r="AA57" s="3">
        <f>+FinalSFEnrollment201415!$F$34</f>
        <v>267</v>
      </c>
      <c r="AB57" s="3">
        <f>+FinalSFEnrollment201516!$F$34</f>
        <v>328</v>
      </c>
      <c r="AC57" s="3">
        <f>+FinalSFEnrollment201617!$F$34</f>
        <v>345</v>
      </c>
      <c r="AD57" s="3">
        <f>+FinalSFEnrollment201718!$F$35</f>
        <v>345.33333333333331</v>
      </c>
      <c r="AE57" s="3">
        <f>+FinalSFEnrollment201819!$F$35</f>
        <v>424.66666666666669</v>
      </c>
      <c r="AF57" s="3">
        <f>+FinalSFEnrollment201920!$F$35</f>
        <v>378</v>
      </c>
      <c r="AG57" s="3">
        <f>+FinalSFEnrollment202021!$F$35</f>
        <v>492.33333333333331</v>
      </c>
      <c r="AH57" s="3">
        <f>+FinalSFEnrollment202122!$F$35</f>
        <v>451.66666666666669</v>
      </c>
      <c r="AI57" s="3">
        <f>+FinalSFEnrollment202223!$F$36</f>
        <v>377.66666666666669</v>
      </c>
      <c r="AJ57" s="3">
        <f>+FinalSFEnrollment202324!$F$36</f>
        <v>332</v>
      </c>
    </row>
    <row r="58" spans="1:36">
      <c r="A58" s="658" t="s">
        <v>580</v>
      </c>
      <c r="B58" s="41"/>
      <c r="C58" s="41"/>
      <c r="D58" s="41"/>
      <c r="E58" s="41"/>
      <c r="F58" s="41"/>
      <c r="G58" s="41"/>
      <c r="H58" s="41"/>
      <c r="I58" s="41"/>
      <c r="J58" s="41"/>
      <c r="K58" s="41"/>
      <c r="L58" s="41"/>
      <c r="M58" s="41"/>
      <c r="N58" s="41"/>
      <c r="O58" s="41"/>
      <c r="P58" s="41"/>
      <c r="Q58" s="41"/>
      <c r="R58" s="41"/>
      <c r="S58" s="41"/>
      <c r="T58" s="3"/>
      <c r="U58" s="3"/>
      <c r="V58" s="3">
        <f>+BDFinal200910!F30</f>
        <v>246</v>
      </c>
      <c r="W58" s="3">
        <f>+BDFinal201011!F30</f>
        <v>323.33333333333331</v>
      </c>
      <c r="X58" s="3">
        <f>+FinalSFEnrollment201112!$F$30</f>
        <v>376.66666666666669</v>
      </c>
      <c r="Y58" s="3">
        <f>+FinalSFEnrollment201213!$F$30</f>
        <v>438.66666666666669</v>
      </c>
      <c r="Z58" s="3">
        <f>+FinalSFEnrollment201314!$F$30</f>
        <v>552</v>
      </c>
      <c r="AA58" s="3">
        <f>+FinalSFEnrollment201415!$F$35</f>
        <v>359.66666666666669</v>
      </c>
      <c r="AB58" s="3">
        <f>+FinalSFEnrollment201516!$F$35</f>
        <v>343</v>
      </c>
      <c r="AC58" s="3">
        <f>+FinalSFEnrollment201617!$F$35</f>
        <v>2008.6666666666667</v>
      </c>
      <c r="AD58" s="3">
        <f>+FinalSFEnrollment201718!$F$36</f>
        <v>3068.3333333333335</v>
      </c>
      <c r="AE58" s="3">
        <f>+FinalSFEnrollment201819!$F$36</f>
        <v>3669.3333333333335</v>
      </c>
      <c r="AF58" s="3">
        <f>+FinalSFEnrollment201920!$F$36</f>
        <v>4366.666666666667</v>
      </c>
      <c r="AG58" s="3">
        <f>+FinalSFEnrollment202021!$F$36</f>
        <v>4855.333333333333</v>
      </c>
      <c r="AH58" s="3">
        <f>+FinalSFEnrollment202122!$F$36</f>
        <v>4464.666666666667</v>
      </c>
      <c r="AI58" s="3">
        <f>+FinalSFEnrollment202223!$F$37</f>
        <v>4356.666666666667</v>
      </c>
      <c r="AJ58" s="3">
        <f>+FinalSFEnrollment202324!$F$37</f>
        <v>4685</v>
      </c>
    </row>
    <row r="59" spans="1:36">
      <c r="A59" s="379" t="s">
        <v>390</v>
      </c>
      <c r="B59" s="41"/>
      <c r="C59" s="41"/>
      <c r="D59" s="41"/>
      <c r="E59" s="41"/>
      <c r="F59" s="41"/>
      <c r="G59" s="41"/>
      <c r="H59" s="41"/>
      <c r="I59" s="41"/>
      <c r="J59" s="41"/>
      <c r="K59" s="41"/>
      <c r="L59" s="41"/>
      <c r="M59" s="41"/>
      <c r="N59" s="41"/>
      <c r="O59" s="41"/>
      <c r="P59" s="41"/>
      <c r="Q59" s="41"/>
      <c r="R59" s="41"/>
      <c r="S59" s="41">
        <v>3</v>
      </c>
      <c r="T59" s="3">
        <v>10.043333333333335</v>
      </c>
      <c r="U59" s="3">
        <f>+'BDRFinal2008-09'!F38</f>
        <v>12.533333333333333</v>
      </c>
      <c r="V59" s="3">
        <f>+BDFinal200910!F32</f>
        <v>27.556666666666661</v>
      </c>
      <c r="W59" s="3">
        <f>+BDFinal201011!F32</f>
        <v>69.2</v>
      </c>
      <c r="X59" s="3">
        <f>+FinalSFEnrollment201112!$F$32</f>
        <v>42.79999999999999</v>
      </c>
      <c r="Y59" s="3">
        <f>+FinalSFEnrollment201213!$F$32</f>
        <v>46.033333333333339</v>
      </c>
      <c r="Z59" s="3">
        <f>+FinalSFEnrollment201314!$F$32</f>
        <v>41.366666666666667</v>
      </c>
      <c r="AA59" s="3">
        <f>+FinalSFEnrollment201415!$F$37</f>
        <v>44.666666666666664</v>
      </c>
      <c r="AB59" s="3">
        <f>+FinalSFEnrollment201516!$F$37</f>
        <v>59.199999999999996</v>
      </c>
      <c r="AC59" s="3">
        <f>+FinalSFEnrollment201617!$F$37</f>
        <v>63.9</v>
      </c>
      <c r="AD59" s="3">
        <f>+FinalSFEnrollment201718!$F$38</f>
        <v>81.666666666666671</v>
      </c>
      <c r="AE59" s="3">
        <f>+FinalSFEnrollment201819!$F$38</f>
        <v>77.666666666666671</v>
      </c>
      <c r="AF59" s="3">
        <f>+FinalSFEnrollment201920!$F$38</f>
        <v>55</v>
      </c>
      <c r="AG59" s="3">
        <f>+FinalSFEnrollment202021!$F$38</f>
        <v>348.66666666666669</v>
      </c>
      <c r="AH59" s="3">
        <f>+FinalSFEnrollment202122!$F$38</f>
        <v>267.33333333333331</v>
      </c>
      <c r="AI59" s="3">
        <f>+FinalSFEnrollment202223!$F$39</f>
        <v>205.33333333333334</v>
      </c>
      <c r="AJ59" s="3">
        <f>+FinalSFEnrollment202324!$F$39</f>
        <v>138.89999966666667</v>
      </c>
    </row>
    <row r="60" spans="1:36">
      <c r="A60" s="379" t="s">
        <v>389</v>
      </c>
      <c r="B60" s="41"/>
      <c r="C60" s="41"/>
      <c r="D60" s="41"/>
      <c r="E60" s="41"/>
      <c r="F60" s="41"/>
      <c r="G60" s="41"/>
      <c r="H60" s="41"/>
      <c r="I60" s="41"/>
      <c r="J60" s="41"/>
      <c r="K60" s="41"/>
      <c r="L60" s="41"/>
      <c r="M60" s="41"/>
      <c r="N60" s="41"/>
      <c r="O60" s="41"/>
      <c r="P60" s="41"/>
      <c r="Q60" s="41"/>
      <c r="R60" s="41"/>
      <c r="S60" s="41">
        <v>20</v>
      </c>
      <c r="T60" s="3">
        <v>51.776666666666664</v>
      </c>
      <c r="U60" s="3">
        <f>+'BDRFinal2008-09'!F39</f>
        <v>62.78</v>
      </c>
      <c r="V60" s="3">
        <f>+BDFinal200910!F33</f>
        <v>31.02333333333333</v>
      </c>
      <c r="W60" s="3">
        <f>+BDFinal201011!F33</f>
        <v>52.033333333333331</v>
      </c>
      <c r="X60" s="3">
        <f>+FinalSFEnrollment201112Updated!$F$33</f>
        <v>66.033333333333331</v>
      </c>
      <c r="Y60" s="3">
        <f>+FinalSFEnrollment201213!$F$33</f>
        <v>49.300000000000004</v>
      </c>
      <c r="Z60" s="3">
        <f>+FinalSFEnrollment201314!$F$33</f>
        <v>81.133333333333326</v>
      </c>
      <c r="AA60" s="3">
        <f>+FinalSFEnrollment201415!$F$38</f>
        <v>86.699999999999989</v>
      </c>
      <c r="AB60" s="3">
        <f>+FinalSFEnrollment201516!$F$38</f>
        <v>112.2</v>
      </c>
      <c r="AC60" s="3">
        <f>+FinalSFEnrollment201617!$F$38</f>
        <v>103.60000000000001</v>
      </c>
      <c r="AD60" s="3">
        <f>+FinalSFEnrollment201718!$F$39</f>
        <v>97.333333333333329</v>
      </c>
      <c r="AE60" s="3">
        <f>+FinalSFEnrollment201819!$F$39</f>
        <v>135.33333333333334</v>
      </c>
      <c r="AF60" s="3">
        <f>+FinalSFEnrollment201920!$F$39</f>
        <v>79.666666666666671</v>
      </c>
      <c r="AG60" s="3">
        <f>+FinalSFEnrollment202021!$F$39</f>
        <v>213.66666666666666</v>
      </c>
      <c r="AH60" s="3">
        <f>+FinalSFEnrollment202122!$F$39</f>
        <v>184</v>
      </c>
      <c r="AI60" s="3">
        <f>+FinalSFEnrollment202223!$F$40</f>
        <v>98</v>
      </c>
      <c r="AJ60" s="3">
        <f>+FinalSFEnrollment202324!$F$40</f>
        <v>75.266666333333333</v>
      </c>
    </row>
    <row r="61" spans="1:36">
      <c r="A61" s="379" t="s">
        <v>391</v>
      </c>
      <c r="B61" s="41"/>
      <c r="C61" s="41"/>
      <c r="D61" s="41"/>
      <c r="E61" s="41"/>
      <c r="F61" s="41"/>
      <c r="G61" s="41"/>
      <c r="H61" s="41"/>
      <c r="I61" s="41"/>
      <c r="J61" s="41"/>
      <c r="K61" s="41"/>
      <c r="L61" s="41"/>
      <c r="M61" s="41"/>
      <c r="N61" s="41"/>
      <c r="O61" s="41"/>
      <c r="P61" s="41"/>
      <c r="Q61" s="41"/>
      <c r="R61" s="41"/>
      <c r="S61" s="41">
        <v>7</v>
      </c>
      <c r="T61" s="3">
        <v>9.8666666666666671</v>
      </c>
      <c r="U61" s="3">
        <f>+'BDRFinal2008-09'!F40</f>
        <v>5.1333333333333329</v>
      </c>
      <c r="V61" s="3">
        <f>+BDFinal200910!F34</f>
        <v>18.400000000000002</v>
      </c>
      <c r="W61" s="3">
        <f>+BDFinal201011!F34</f>
        <v>10.6</v>
      </c>
      <c r="X61" s="3">
        <f>+FinalSFEnrollment201112!$F$34</f>
        <v>10.566666666666666</v>
      </c>
      <c r="Y61" s="3">
        <f>+FinalSFEnrollment201213!$F$34</f>
        <v>14.766666666666666</v>
      </c>
      <c r="Z61" s="3">
        <f>+FinalSFEnrollment201314!$F$34</f>
        <v>13.300000000000002</v>
      </c>
      <c r="AA61" s="3">
        <f>+FinalSFEnrollment201415!$F$39</f>
        <v>12.1</v>
      </c>
      <c r="AB61" s="3">
        <f>+FinalSFEnrollment201516!$F$39</f>
        <v>8.7000000000000011</v>
      </c>
      <c r="AC61" s="3">
        <f>+FinalSFEnrollment201617!$F$39</f>
        <v>8</v>
      </c>
      <c r="AD61" s="3">
        <f>+FinalSFEnrollment201718!$F$40</f>
        <v>9.6666666666666661</v>
      </c>
      <c r="AE61" s="3">
        <f>+FinalSFEnrollment201819!$F$40</f>
        <v>5.333333333333333</v>
      </c>
      <c r="AF61" s="3">
        <f>+FinalSFEnrollment201920!$F$40</f>
        <v>38</v>
      </c>
      <c r="AG61" s="3">
        <f>+FinalSFEnrollment202021!$F$40</f>
        <v>45.666666666666664</v>
      </c>
      <c r="AH61" s="3">
        <f>+FinalSFEnrollment202122!$F$40</f>
        <v>0</v>
      </c>
      <c r="AI61" s="3">
        <f>+FinalSFEnrollment202223!$F$41</f>
        <v>0.33333333333333331</v>
      </c>
      <c r="AJ61" s="3">
        <f>+FinalSFEnrollment202324!$F$41</f>
        <v>0</v>
      </c>
    </row>
    <row r="62" spans="1:36">
      <c r="A62" s="379" t="s">
        <v>1615</v>
      </c>
      <c r="B62" s="41"/>
      <c r="C62" s="41"/>
      <c r="D62" s="41"/>
      <c r="E62" s="41"/>
      <c r="F62" s="41"/>
      <c r="G62" s="41"/>
      <c r="H62" s="41"/>
      <c r="I62" s="41"/>
      <c r="J62" s="41"/>
      <c r="K62" s="41"/>
      <c r="L62" s="41"/>
      <c r="M62" s="41"/>
      <c r="N62" s="41"/>
      <c r="O62" s="41"/>
      <c r="P62" s="41"/>
      <c r="Q62" s="41"/>
      <c r="R62" s="41"/>
      <c r="S62" s="41"/>
      <c r="T62" s="3"/>
      <c r="U62" s="3"/>
      <c r="V62" s="3"/>
      <c r="W62" s="3">
        <f>+BDFinal201011!F35</f>
        <v>10.55</v>
      </c>
      <c r="X62" s="3">
        <f>+FinalSFEnrollment201112!$F$35</f>
        <v>14.5</v>
      </c>
      <c r="Y62" s="3">
        <f>+FinalSFEnrollment201213!$F$35</f>
        <v>36.950000000000003</v>
      </c>
      <c r="Z62" s="3">
        <f>+FinalSFEnrollment201314!$F$35</f>
        <v>33.6</v>
      </c>
      <c r="AA62" s="3">
        <f>+FinalSFEnrollment201415!$F$40</f>
        <v>34.35</v>
      </c>
      <c r="AB62" s="3">
        <f>+FinalSFEnrollment201516!$F$40</f>
        <v>35.85</v>
      </c>
      <c r="AC62" s="3">
        <f>+FinalSFEnrollment201617!$F$40</f>
        <v>37.450000000000003</v>
      </c>
      <c r="AD62" s="3">
        <f>+FinalSFEnrollment201718!$F$41</f>
        <v>37</v>
      </c>
      <c r="AE62" s="3">
        <f>+FinalSFEnrollment201819!$F$41</f>
        <v>40.5</v>
      </c>
      <c r="AF62" s="3">
        <f>+FinalSFEnrollment201920!$F$41</f>
        <v>154</v>
      </c>
      <c r="AG62" s="3">
        <f>+FinalSFEnrollment202021!$F$41</f>
        <v>33.5</v>
      </c>
      <c r="AH62" s="3">
        <f>+FinalSFEnrollment202122!$F$41</f>
        <v>28.5</v>
      </c>
      <c r="AI62" s="3">
        <f>+FinalSFEnrollment202223!$F$42</f>
        <v>17</v>
      </c>
      <c r="AJ62" s="3">
        <f>+FinalSFEnrollment202324!$F$42</f>
        <v>16</v>
      </c>
    </row>
    <row r="63" spans="1:36">
      <c r="A63" s="379" t="s">
        <v>1854</v>
      </c>
      <c r="B63" s="41"/>
      <c r="C63" s="41"/>
      <c r="D63" s="41"/>
      <c r="E63" s="41"/>
      <c r="F63" s="41"/>
      <c r="G63" s="41"/>
      <c r="H63" s="41"/>
      <c r="I63" s="41"/>
      <c r="J63" s="41"/>
      <c r="K63" s="41"/>
      <c r="L63" s="41"/>
      <c r="M63" s="41"/>
      <c r="N63" s="41"/>
      <c r="O63" s="41"/>
      <c r="P63" s="41"/>
      <c r="Q63" s="41"/>
      <c r="R63" s="41"/>
      <c r="S63" s="41"/>
      <c r="T63" s="3"/>
      <c r="U63" s="3"/>
      <c r="V63" s="3"/>
      <c r="W63" s="3"/>
      <c r="X63" s="3"/>
      <c r="Y63" s="3"/>
      <c r="Z63" s="3"/>
      <c r="AA63" s="3"/>
      <c r="AB63" s="3"/>
      <c r="AC63" s="3"/>
      <c r="AD63" s="3"/>
      <c r="AE63" s="3">
        <f>+FinalSFEnrollment201819!$F$42</f>
        <v>5</v>
      </c>
      <c r="AF63" s="3">
        <f>+FinalSFEnrollment201920!$F$42</f>
        <v>21</v>
      </c>
      <c r="AG63" s="3">
        <f>+FinalSFEnrollment202021!$F$42</f>
        <v>116.66666666666667</v>
      </c>
      <c r="AH63" s="3">
        <f>+FinalSFEnrollment202122!$F$42</f>
        <v>89.666666666666671</v>
      </c>
      <c r="AI63" s="3">
        <f>+FinalSFEnrollment202223!$F$43</f>
        <v>57</v>
      </c>
      <c r="AJ63" s="3">
        <f>+FinalSFEnrollment202324!$F$43</f>
        <v>77.488888333333335</v>
      </c>
    </row>
    <row r="64" spans="1:36">
      <c r="A64" s="379" t="s">
        <v>577</v>
      </c>
      <c r="B64" s="41"/>
      <c r="C64" s="41"/>
      <c r="D64" s="41"/>
      <c r="E64" s="41"/>
      <c r="F64" s="41"/>
      <c r="G64" s="41"/>
      <c r="H64" s="41"/>
      <c r="I64" s="41"/>
      <c r="J64" s="41"/>
      <c r="K64" s="41"/>
      <c r="L64" s="41"/>
      <c r="M64" s="41"/>
      <c r="N64" s="41"/>
      <c r="O64" s="41"/>
      <c r="P64" s="41"/>
      <c r="Q64" s="41"/>
      <c r="R64" s="41"/>
      <c r="S64" s="41"/>
      <c r="T64" s="3"/>
      <c r="U64" s="3"/>
      <c r="V64" s="3"/>
      <c r="W64" s="3"/>
      <c r="X64" s="3"/>
      <c r="Y64" s="3"/>
      <c r="Z64" s="3"/>
      <c r="AA64" s="3"/>
      <c r="AB64" s="3"/>
      <c r="AC64" s="3"/>
      <c r="AD64" s="3"/>
      <c r="AE64" s="3"/>
      <c r="AF64" s="3"/>
      <c r="AG64" s="3"/>
      <c r="AH64" s="3">
        <f>+FinalSFEnrollment202122!$F$43</f>
        <v>0.66666666666666663</v>
      </c>
      <c r="AI64" s="3">
        <f>+FinalSFEnrollment202223!$F$44</f>
        <v>9.3333333333333339</v>
      </c>
      <c r="AJ64" s="3">
        <f>+FinalSFEnrollment202324!$F$44</f>
        <v>7.4444439999999998</v>
      </c>
    </row>
    <row r="65" spans="1:36">
      <c r="A65" s="658" t="s">
        <v>404</v>
      </c>
      <c r="B65" s="41"/>
      <c r="C65" s="41"/>
      <c r="D65" s="41"/>
      <c r="E65" s="41"/>
      <c r="F65" s="41"/>
      <c r="G65" s="41"/>
      <c r="H65" s="41"/>
      <c r="I65" s="41"/>
      <c r="J65" s="41"/>
      <c r="K65" s="41"/>
      <c r="L65" s="41"/>
      <c r="M65" s="41"/>
      <c r="N65" s="41"/>
      <c r="O65" s="41"/>
      <c r="P65" s="41"/>
      <c r="Q65" s="41"/>
      <c r="R65" s="41"/>
      <c r="S65" s="41"/>
      <c r="T65" s="3">
        <v>3.29</v>
      </c>
      <c r="U65" s="3">
        <f>+'BDRFinal2008-09'!F42</f>
        <v>14.800000000000002</v>
      </c>
      <c r="V65" s="3">
        <f>+BDFinal200910!F38</f>
        <v>56.766666666666673</v>
      </c>
      <c r="W65" s="3">
        <f>+BDFinal201011!F38</f>
        <v>50.1</v>
      </c>
      <c r="X65" s="3">
        <f>+FinalSFEnrollment201112!$F$38</f>
        <v>70.033333333333331</v>
      </c>
      <c r="Y65" s="3">
        <f>+FinalSFEnrollment201213!$F$38</f>
        <v>45.9</v>
      </c>
      <c r="Z65" s="3">
        <f>+FinalSFEnrollment201314!$F$38</f>
        <v>51.633333333333326</v>
      </c>
      <c r="AA65" s="3"/>
      <c r="AB65" s="3"/>
      <c r="AC65" s="3"/>
      <c r="AD65" s="3"/>
      <c r="AE65" s="3"/>
      <c r="AF65" s="3"/>
      <c r="AG65" s="3"/>
      <c r="AH65" s="3"/>
      <c r="AI65" s="3"/>
      <c r="AJ65" s="3"/>
    </row>
    <row r="66" spans="1:36">
      <c r="A66" s="658" t="s">
        <v>405</v>
      </c>
      <c r="B66" s="41"/>
      <c r="C66" s="41"/>
      <c r="D66" s="41"/>
      <c r="E66" s="41"/>
      <c r="F66" s="41"/>
      <c r="G66" s="41"/>
      <c r="H66" s="41"/>
      <c r="I66" s="41"/>
      <c r="J66" s="41"/>
      <c r="K66" s="41"/>
      <c r="L66" s="41"/>
      <c r="M66" s="41"/>
      <c r="N66" s="41"/>
      <c r="O66" s="41"/>
      <c r="P66" s="41"/>
      <c r="Q66" s="41"/>
      <c r="R66" s="41"/>
      <c r="S66" s="41"/>
      <c r="T66" s="3">
        <v>1.5533333333333335</v>
      </c>
      <c r="U66" s="3">
        <f>+'BDRFinal2008-09'!F43</f>
        <v>4.376666666666666</v>
      </c>
      <c r="V66" s="3">
        <f>+BDFinal200910!F39</f>
        <v>4.0200000000000005</v>
      </c>
      <c r="W66" s="3">
        <f>+BDFinal201011!F39</f>
        <v>5.5333333333333341</v>
      </c>
      <c r="X66" s="3">
        <f>+FinalSFEnrollment201112!$F$39</f>
        <v>6.5333333333333341</v>
      </c>
      <c r="Y66" s="3">
        <f>+FinalSFEnrollment201213!$F$39</f>
        <v>5.7333333333333334</v>
      </c>
      <c r="Z66" s="3">
        <f>+FinalSFEnrollment201314!$F$39</f>
        <v>3.2333333333333329</v>
      </c>
      <c r="AA66" s="3"/>
      <c r="AB66" s="3"/>
      <c r="AC66" s="3"/>
      <c r="AD66" s="3"/>
      <c r="AE66" s="3"/>
      <c r="AF66" s="3"/>
      <c r="AG66" s="3"/>
      <c r="AH66" s="3"/>
      <c r="AI66" s="3"/>
      <c r="AJ66" s="3"/>
    </row>
    <row r="67" spans="1:36">
      <c r="A67" s="658" t="s">
        <v>406</v>
      </c>
      <c r="B67" s="41"/>
      <c r="C67" s="41"/>
      <c r="D67" s="41"/>
      <c r="E67" s="41"/>
      <c r="F67" s="41"/>
      <c r="G67" s="41"/>
      <c r="H67" s="41"/>
      <c r="I67" s="41"/>
      <c r="J67" s="41"/>
      <c r="K67" s="41"/>
      <c r="L67" s="41"/>
      <c r="M67" s="41"/>
      <c r="N67" s="41"/>
      <c r="O67" s="41"/>
      <c r="P67" s="41"/>
      <c r="Q67" s="41"/>
      <c r="R67" s="41"/>
      <c r="S67" s="41"/>
      <c r="T67" s="3">
        <v>134.4</v>
      </c>
      <c r="U67" s="3">
        <f>+'BDRFinal2008-09'!F44</f>
        <v>196.29999999999998</v>
      </c>
      <c r="V67" s="3">
        <f>+BDFinal200910!F40</f>
        <v>214.98999999999998</v>
      </c>
      <c r="W67" s="3">
        <f>+BDFinal201011!F40</f>
        <v>252.69999999999996</v>
      </c>
      <c r="X67" s="3">
        <f>+FinalSFEnrollment201112!$F$40</f>
        <v>252.24333333333334</v>
      </c>
      <c r="Y67" s="3">
        <f>+FinalSFEnrollment201213!$F$40</f>
        <v>220.5</v>
      </c>
      <c r="Z67" s="3">
        <f>+FinalSFEnrollment201314!$F$40</f>
        <v>202.6</v>
      </c>
      <c r="AA67" s="3"/>
      <c r="AB67" s="3"/>
      <c r="AC67" s="3"/>
      <c r="AD67" s="3"/>
      <c r="AE67" s="3"/>
      <c r="AF67" s="3"/>
      <c r="AG67" s="3"/>
      <c r="AH67" s="3"/>
      <c r="AI67" s="3"/>
      <c r="AJ67" s="3"/>
    </row>
    <row r="68" spans="1:36">
      <c r="A68" s="658" t="s">
        <v>1162</v>
      </c>
      <c r="B68" s="41"/>
      <c r="C68" s="41"/>
      <c r="D68" s="41"/>
      <c r="E68" s="41"/>
      <c r="F68" s="41"/>
      <c r="G68" s="41"/>
      <c r="H68" s="41"/>
      <c r="I68" s="41"/>
      <c r="J68" s="41"/>
      <c r="K68" s="41"/>
      <c r="L68" s="41"/>
      <c r="M68" s="41"/>
      <c r="N68" s="41"/>
      <c r="O68" s="41"/>
      <c r="P68" s="41"/>
      <c r="Q68" s="41"/>
      <c r="R68" s="41"/>
      <c r="S68" s="41"/>
      <c r="T68" s="3"/>
      <c r="U68" s="3"/>
      <c r="V68" s="3"/>
      <c r="W68" s="3">
        <f>+BDFinal201011!F41</f>
        <v>25.366666666666664</v>
      </c>
      <c r="X68" s="3">
        <f>+FinalSFEnrollment201112!$F$41</f>
        <v>25.666666666666668</v>
      </c>
      <c r="Y68" s="3">
        <f>+FinalSFEnrollment201213!$F$41</f>
        <v>24.066666666666666</v>
      </c>
      <c r="Z68" s="3">
        <f>+FinalSFEnrollment201314!$F$41</f>
        <v>24.633333333333336</v>
      </c>
      <c r="AA68" s="3"/>
      <c r="AB68" s="3"/>
      <c r="AC68" s="3"/>
      <c r="AD68" s="3"/>
      <c r="AE68" s="3"/>
      <c r="AF68" s="3"/>
      <c r="AG68" s="3"/>
      <c r="AH68" s="3"/>
      <c r="AI68" s="3"/>
      <c r="AJ68" s="3"/>
    </row>
    <row r="69" spans="1:36">
      <c r="A69" s="660" t="s">
        <v>597</v>
      </c>
      <c r="B69" s="3"/>
      <c r="C69" s="3"/>
      <c r="D69" s="3"/>
      <c r="E69" s="3"/>
      <c r="F69" s="3"/>
      <c r="G69" s="3"/>
      <c r="H69" s="3"/>
      <c r="I69" s="3"/>
      <c r="J69" s="3"/>
      <c r="K69" s="3"/>
      <c r="L69" s="3"/>
      <c r="M69" s="3"/>
      <c r="N69" s="3"/>
      <c r="O69" s="22">
        <f>+LBN2010Enrollment!E11</f>
        <v>9007</v>
      </c>
      <c r="P69" s="22">
        <f>+LBN2010Enrollment!F11</f>
        <v>9533</v>
      </c>
      <c r="Q69" s="22">
        <f>+LBN2010Enrollment!G11</f>
        <v>9794</v>
      </c>
      <c r="R69" s="22">
        <f>+LBN2010Enrollment!H11</f>
        <v>10284</v>
      </c>
      <c r="S69" s="22">
        <f>+LBN2010Enrollment!I11</f>
        <v>10843</v>
      </c>
      <c r="T69" s="22">
        <f>+LBN2010Enrollment!J11</f>
        <v>11185</v>
      </c>
      <c r="U69" s="22">
        <f>+LBN2010Enrollment!K11</f>
        <v>11845</v>
      </c>
      <c r="V69" s="22">
        <f>+BDFinal200910!F45</f>
        <v>12458.666666666666</v>
      </c>
      <c r="W69" s="22">
        <f>+BDFinal201011!F46</f>
        <v>12681.666666666666</v>
      </c>
      <c r="X69" s="22">
        <f>+FinalSFEnrollment201112!$F$46</f>
        <v>12717</v>
      </c>
      <c r="Y69" s="22">
        <f>+FinalSFEnrollment201112!$F$46</f>
        <v>12717</v>
      </c>
      <c r="Z69" s="22">
        <f>+FinalSFEnrollment201112!$F$46</f>
        <v>12717</v>
      </c>
      <c r="AA69" s="22">
        <f>+FinalSFEnrollment201415!$F$45</f>
        <v>16371.333333333334</v>
      </c>
      <c r="AB69" s="22">
        <f>+FinalSFEnrollment201516!$F$45</f>
        <v>18335</v>
      </c>
      <c r="AC69" s="22">
        <f>+FinalSFEnrollment201617!$F$45</f>
        <v>20206.666666666668</v>
      </c>
      <c r="AD69" s="22">
        <f>+FinalSFEnrollment201718!$F$47</f>
        <v>21992.666666666668</v>
      </c>
      <c r="AE69" s="22">
        <f>+FinalSFEnrollment201819!$F$47</f>
        <v>23447.333333333332</v>
      </c>
      <c r="AF69" s="22">
        <f>+FinalSFEnrollment201920!$F$47</f>
        <v>24207</v>
      </c>
      <c r="AG69" s="22">
        <f>+FinalSFEnrollment202021!$F$47</f>
        <v>24507</v>
      </c>
      <c r="AH69" s="22">
        <f>+FinalSFEnrollment202122!$F$48</f>
        <v>20889.333333333332</v>
      </c>
      <c r="AI69" s="22">
        <f>+FinalSFEnrollment202223!$F$49</f>
        <v>20889.333333333332</v>
      </c>
      <c r="AJ69" s="22">
        <f>+FinalSFEnrollment202324!$F$49</f>
        <v>24516</v>
      </c>
    </row>
    <row r="70" spans="1:36" ht="13.5" thickBot="1">
      <c r="A70" s="9"/>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36" ht="14.25" thickTop="1">
      <c r="A71" s="205" t="str">
        <f>+A21</f>
        <v>Total Higher Education</v>
      </c>
      <c r="B71" s="202">
        <f t="shared" ref="B71:V71" si="69">+B53+SUM(B55:B67)</f>
        <v>156971</v>
      </c>
      <c r="C71" s="202">
        <f t="shared" si="69"/>
        <v>158581</v>
      </c>
      <c r="D71" s="202">
        <f t="shared" si="69"/>
        <v>162878</v>
      </c>
      <c r="E71" s="202">
        <f t="shared" si="69"/>
        <v>166012</v>
      </c>
      <c r="F71" s="202">
        <f t="shared" si="69"/>
        <v>187494</v>
      </c>
      <c r="G71" s="202">
        <f t="shared" si="69"/>
        <v>191197</v>
      </c>
      <c r="H71" s="202">
        <f t="shared" si="69"/>
        <v>196170</v>
      </c>
      <c r="I71" s="202">
        <f t="shared" si="69"/>
        <v>198086</v>
      </c>
      <c r="J71" s="202">
        <f t="shared" si="69"/>
        <v>198531</v>
      </c>
      <c r="K71" s="202">
        <f t="shared" si="69"/>
        <v>203293</v>
      </c>
      <c r="L71" s="202">
        <f t="shared" si="69"/>
        <v>207910</v>
      </c>
      <c r="M71" s="202">
        <f t="shared" si="69"/>
        <v>212925</v>
      </c>
      <c r="N71" s="202">
        <f t="shared" si="69"/>
        <v>221931</v>
      </c>
      <c r="O71" s="202">
        <f t="shared" si="69"/>
        <v>229264</v>
      </c>
      <c r="P71" s="202">
        <f t="shared" si="69"/>
        <v>228316</v>
      </c>
      <c r="Q71" s="202">
        <f t="shared" si="69"/>
        <v>222847</v>
      </c>
      <c r="R71" s="202">
        <f t="shared" si="69"/>
        <v>222504</v>
      </c>
      <c r="S71" s="202">
        <f t="shared" si="69"/>
        <v>224588</v>
      </c>
      <c r="T71" s="202">
        <f t="shared" si="69"/>
        <v>231243.72333333336</v>
      </c>
      <c r="U71" s="202">
        <f t="shared" si="69"/>
        <v>246291.44333333333</v>
      </c>
      <c r="V71" s="202">
        <f t="shared" si="69"/>
        <v>261942.71666666667</v>
      </c>
      <c r="W71" s="202">
        <f t="shared" ref="W71:AC71" si="70">+W53+SUM(W55:W68)</f>
        <v>265542.74</v>
      </c>
      <c r="X71" s="202">
        <f t="shared" si="70"/>
        <v>258096.73666666663</v>
      </c>
      <c r="Y71" s="202">
        <f t="shared" si="70"/>
        <v>252524.74333333329</v>
      </c>
      <c r="Z71" s="202">
        <f t="shared" si="70"/>
        <v>249330.18333333335</v>
      </c>
      <c r="AA71" s="202">
        <f t="shared" si="70"/>
        <v>246659.83333333334</v>
      </c>
      <c r="AB71" s="202">
        <f t="shared" si="70"/>
        <v>245486.1166666667</v>
      </c>
      <c r="AC71" s="202">
        <f t="shared" si="70"/>
        <v>242355.76666666666</v>
      </c>
      <c r="AD71" s="202">
        <f t="shared" ref="AD71:AI71" si="71">+AD53+SUM(AD55:AD68)</f>
        <v>241716.16666666669</v>
      </c>
      <c r="AE71" s="202">
        <f t="shared" si="71"/>
        <v>237955.16666666666</v>
      </c>
      <c r="AF71" s="202">
        <f t="shared" si="71"/>
        <v>231362</v>
      </c>
      <c r="AG71" s="202">
        <f t="shared" si="71"/>
        <v>212558</v>
      </c>
      <c r="AH71" s="2494">
        <f t="shared" si="71"/>
        <v>210009.33333333334</v>
      </c>
      <c r="AI71" s="202">
        <f t="shared" si="71"/>
        <v>204956.33333333331</v>
      </c>
      <c r="AJ71" s="202">
        <f t="shared" ref="AJ71" si="72">+AJ53+SUM(AJ55:AJ68)</f>
        <v>205482.07777033333</v>
      </c>
    </row>
    <row r="72" spans="1:36" ht="13.5">
      <c r="A72" s="205" t="str">
        <f>+A22</f>
        <v>Biennial</v>
      </c>
      <c r="B72" s="200"/>
      <c r="C72" s="203">
        <f>+C71+B71</f>
        <v>315552</v>
      </c>
      <c r="D72" s="200"/>
      <c r="E72" s="203">
        <f>+E71+D71</f>
        <v>328890</v>
      </c>
      <c r="F72" s="200"/>
      <c r="G72" s="203">
        <f>+G71+F71</f>
        <v>378691</v>
      </c>
      <c r="H72" s="200"/>
      <c r="I72" s="203">
        <f>+I71+H71</f>
        <v>394256</v>
      </c>
      <c r="J72" s="200"/>
      <c r="K72" s="203">
        <f>+K71+J71</f>
        <v>401824</v>
      </c>
      <c r="L72" s="203"/>
      <c r="M72" s="203">
        <f>+M71+L71</f>
        <v>420835</v>
      </c>
      <c r="N72" s="203"/>
      <c r="O72" s="203">
        <f>+O71+N71</f>
        <v>451195</v>
      </c>
      <c r="P72" s="203"/>
      <c r="Q72" s="203">
        <f>+Q71+P71</f>
        <v>451163</v>
      </c>
      <c r="R72" s="203"/>
      <c r="S72" s="203">
        <f>+S71+R71</f>
        <v>447092</v>
      </c>
      <c r="U72" s="203">
        <f>+U71+T71</f>
        <v>477535.16666666669</v>
      </c>
      <c r="W72" s="203">
        <f>+W71+V71</f>
        <v>527485.45666666667</v>
      </c>
      <c r="X72" s="203"/>
      <c r="Y72" s="203">
        <f>+Y71+X71</f>
        <v>510621.47999999992</v>
      </c>
      <c r="AA72" s="203">
        <f>+AA71+Z71</f>
        <v>495990.01666666672</v>
      </c>
      <c r="AC72" s="203">
        <f>+AC71+AB71</f>
        <v>487841.88333333336</v>
      </c>
      <c r="AD72" s="203"/>
      <c r="AE72" s="203">
        <f>+AE71+AD71</f>
        <v>479671.33333333337</v>
      </c>
      <c r="AG72" s="203">
        <f>+AG71+AF71</f>
        <v>443920</v>
      </c>
      <c r="AI72" s="2495">
        <f>+AI71+AH71</f>
        <v>414965.66666666663</v>
      </c>
      <c r="AJ72" s="2495"/>
    </row>
    <row r="73" spans="1:36">
      <c r="A73" s="205"/>
      <c r="B73" s="200"/>
      <c r="C73" s="203"/>
      <c r="D73" s="200"/>
      <c r="E73" s="203"/>
      <c r="F73" s="200"/>
      <c r="G73" s="203"/>
      <c r="H73" s="200"/>
      <c r="I73" s="203"/>
      <c r="J73" s="200"/>
      <c r="K73" s="203"/>
      <c r="L73" s="203"/>
      <c r="M73" s="203"/>
      <c r="N73" s="203"/>
      <c r="O73" s="203"/>
      <c r="P73" s="203"/>
      <c r="Q73" s="203"/>
      <c r="R73" s="203"/>
      <c r="S73" s="203"/>
      <c r="U73" s="203"/>
    </row>
    <row r="74" spans="1:36" ht="15.75" hidden="1">
      <c r="A74" s="205"/>
      <c r="B74" s="200"/>
      <c r="C74" s="203"/>
      <c r="D74" s="200"/>
      <c r="E74" s="203"/>
      <c r="F74" s="200"/>
      <c r="G74" s="203"/>
      <c r="H74" s="200"/>
      <c r="I74" s="203"/>
      <c r="J74" s="200"/>
      <c r="K74" s="203"/>
      <c r="L74" s="203"/>
      <c r="M74" s="203"/>
      <c r="N74" s="203"/>
      <c r="O74" s="203"/>
      <c r="P74" s="203"/>
      <c r="Q74" s="203"/>
      <c r="R74" s="203"/>
      <c r="S74" s="203"/>
      <c r="U74" s="203"/>
      <c r="V74" s="423" t="s">
        <v>388</v>
      </c>
      <c r="W74" s="423"/>
      <c r="X74" s="423" t="s">
        <v>792</v>
      </c>
      <c r="Y74" s="423"/>
      <c r="Z74" s="423" t="s">
        <v>1576</v>
      </c>
      <c r="AA74" s="423"/>
      <c r="AB74" s="423" t="s">
        <v>1688</v>
      </c>
      <c r="AC74" s="423"/>
      <c r="AD74" s="423" t="s">
        <v>1713</v>
      </c>
      <c r="AE74" s="423"/>
      <c r="AF74" s="423" t="s">
        <v>1838</v>
      </c>
      <c r="AG74" s="423"/>
      <c r="AH74" s="423" t="s">
        <v>1934</v>
      </c>
      <c r="AI74" s="423" t="s">
        <v>1934</v>
      </c>
      <c r="AJ74" s="423" t="s">
        <v>1934</v>
      </c>
    </row>
    <row r="75" spans="1:36" hidden="1">
      <c r="A75"/>
      <c r="B75" s="424" t="str">
        <f t="shared" ref="B75:U75" si="73">+B6</f>
        <v>1989-90</v>
      </c>
      <c r="C75" s="424" t="str">
        <f t="shared" si="73"/>
        <v>1990-91</v>
      </c>
      <c r="D75" s="424" t="str">
        <f t="shared" si="73"/>
        <v>1991-92</v>
      </c>
      <c r="E75" s="424" t="str">
        <f t="shared" si="73"/>
        <v>1992-93</v>
      </c>
      <c r="F75" s="424" t="str">
        <f t="shared" si="73"/>
        <v>1993-94</v>
      </c>
      <c r="G75" s="424" t="str">
        <f t="shared" si="73"/>
        <v>1994-95</v>
      </c>
      <c r="H75" s="424" t="str">
        <f t="shared" si="73"/>
        <v>1995-96</v>
      </c>
      <c r="I75" s="424" t="str">
        <f t="shared" si="73"/>
        <v>1996-97</v>
      </c>
      <c r="J75" s="424" t="str">
        <f t="shared" si="73"/>
        <v>1997-98</v>
      </c>
      <c r="K75" s="424" t="str">
        <f t="shared" si="73"/>
        <v>1998-99</v>
      </c>
      <c r="L75" s="14" t="str">
        <f t="shared" si="73"/>
        <v>1999-00</v>
      </c>
      <c r="M75" s="14" t="str">
        <f t="shared" si="73"/>
        <v>2000-01</v>
      </c>
      <c r="N75" s="14" t="str">
        <f t="shared" si="73"/>
        <v>2001-02</v>
      </c>
      <c r="O75" s="14" t="str">
        <f t="shared" si="73"/>
        <v>2002-03</v>
      </c>
      <c r="P75" s="14" t="str">
        <f t="shared" si="73"/>
        <v>2003-04</v>
      </c>
      <c r="Q75" s="14" t="str">
        <f t="shared" si="73"/>
        <v>2004-05</v>
      </c>
      <c r="R75" s="14" t="str">
        <f t="shared" si="73"/>
        <v>2005-06</v>
      </c>
      <c r="S75" s="14" t="str">
        <f t="shared" si="73"/>
        <v>2006-07</v>
      </c>
      <c r="T75" s="14" t="str">
        <f t="shared" si="73"/>
        <v>2007-08</v>
      </c>
      <c r="U75" s="14" t="str">
        <f t="shared" si="73"/>
        <v>2008-09</v>
      </c>
      <c r="V75" s="14" t="str">
        <f t="shared" ref="V75:AC75" si="74">+V6</f>
        <v>2009-10</v>
      </c>
      <c r="W75" s="14" t="str">
        <f t="shared" si="74"/>
        <v>2010-11</v>
      </c>
      <c r="X75" s="14" t="str">
        <f t="shared" si="74"/>
        <v>2011-12</v>
      </c>
      <c r="Y75" s="14" t="str">
        <f t="shared" si="74"/>
        <v>2012-13</v>
      </c>
      <c r="Z75" s="14" t="str">
        <f t="shared" si="74"/>
        <v>2013-14</v>
      </c>
      <c r="AA75" s="14" t="str">
        <f t="shared" si="74"/>
        <v>2014-15</v>
      </c>
      <c r="AB75" s="14" t="str">
        <f t="shared" si="74"/>
        <v>2015-16</v>
      </c>
      <c r="AC75" s="14" t="str">
        <f t="shared" si="74"/>
        <v>2016-17</v>
      </c>
      <c r="AD75" s="14" t="str">
        <f>+AD6</f>
        <v>2017-18</v>
      </c>
      <c r="AE75" s="14" t="str">
        <f>+AE6</f>
        <v>2018-19</v>
      </c>
      <c r="AF75" s="14" t="str">
        <f>+AF6</f>
        <v>2019-20</v>
      </c>
      <c r="AG75" s="14" t="str">
        <f>+AG6</f>
        <v>2020-21</v>
      </c>
      <c r="AH75" s="14" t="str">
        <f>+AH6</f>
        <v>2021-22</v>
      </c>
      <c r="AI75" s="14" t="str">
        <f t="shared" ref="AI75:AJ75" si="75">+AI6</f>
        <v>2022-23</v>
      </c>
      <c r="AJ75" s="14" t="str">
        <f t="shared" ref="AJ75" si="76">+AJ6</f>
        <v>2023-24</v>
      </c>
    </row>
    <row r="76" spans="1:36" hidden="1">
      <c r="A76"/>
      <c r="B76" s="3"/>
      <c r="C76" s="3"/>
      <c r="D76" s="3"/>
      <c r="E76" s="3"/>
      <c r="F76" s="3"/>
      <c r="G76" s="3"/>
      <c r="H76" s="3"/>
      <c r="I76" s="3"/>
      <c r="J76" s="3"/>
      <c r="K76" s="3"/>
      <c r="L76" s="3"/>
      <c r="M76" s="3"/>
      <c r="N76" s="3"/>
      <c r="O76" s="3"/>
      <c r="P76" s="3"/>
      <c r="Q76" s="3"/>
      <c r="R76" s="3"/>
      <c r="S76" s="3"/>
      <c r="T76"/>
      <c r="U76"/>
      <c r="V76" s="424"/>
      <c r="W76" s="424"/>
      <c r="X76" s="424"/>
      <c r="Y76" s="424"/>
    </row>
    <row r="77" spans="1:36" ht="19.5" hidden="1">
      <c r="A77" s="30" t="s">
        <v>1714</v>
      </c>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row>
    <row r="78" spans="1:36" hidden="1">
      <c r="A78" s="9" t="str">
        <f>+A10</f>
        <v>University of Washington (including Branch Campuses)</v>
      </c>
      <c r="B78" s="3">
        <f>SUM(B79:B82)</f>
        <v>29500</v>
      </c>
      <c r="C78" s="3">
        <f t="shared" ref="C78:O78" si="77">SUM(C79:C82)</f>
        <v>30400</v>
      </c>
      <c r="D78" s="3">
        <f t="shared" si="77"/>
        <v>30520</v>
      </c>
      <c r="E78" s="3">
        <f t="shared" si="77"/>
        <v>30826</v>
      </c>
      <c r="F78" s="3">
        <f t="shared" si="77"/>
        <v>31104</v>
      </c>
      <c r="G78" s="3">
        <f t="shared" si="77"/>
        <v>31290</v>
      </c>
      <c r="H78" s="3">
        <f t="shared" si="77"/>
        <v>31549</v>
      </c>
      <c r="I78" s="3">
        <f t="shared" si="77"/>
        <v>32504</v>
      </c>
      <c r="J78" s="3">
        <f t="shared" si="77"/>
        <v>32919</v>
      </c>
      <c r="K78" s="3">
        <f t="shared" si="77"/>
        <v>33414</v>
      </c>
      <c r="L78" s="3">
        <f t="shared" si="77"/>
        <v>34063</v>
      </c>
      <c r="M78" s="3">
        <f t="shared" si="77"/>
        <v>34688</v>
      </c>
      <c r="N78" s="3">
        <f t="shared" si="77"/>
        <v>34820</v>
      </c>
      <c r="O78" s="3">
        <f t="shared" si="77"/>
        <v>35146</v>
      </c>
      <c r="P78" s="3">
        <f>SUM(P79:P82)</f>
        <v>35187</v>
      </c>
      <c r="Q78" s="3">
        <f>SUM(Q79:Q82)</f>
        <v>35666</v>
      </c>
      <c r="R78" s="3">
        <f>SUM(R79:R82)</f>
        <v>36021</v>
      </c>
      <c r="S78" s="3">
        <f>SUM(S79:S82)</f>
        <v>36776</v>
      </c>
      <c r="T78" s="3">
        <f>+LBN2008Enrollment!J14</f>
        <v>37651</v>
      </c>
      <c r="U78" s="3">
        <f>+LBN2008Enrollment!N14</f>
        <v>38526</v>
      </c>
      <c r="V78" s="3">
        <f>+LBN2010Enrollment!M14</f>
        <v>36546</v>
      </c>
      <c r="W78" s="3">
        <f>+LBN2010Enrollment!N14</f>
        <v>37162</v>
      </c>
      <c r="X78" s="3">
        <f>+'2011LBNHiEdFTE'!N14</f>
        <v>37162</v>
      </c>
      <c r="Y78" s="3">
        <f>+'2011LBNHiEdFTE'!O14</f>
        <v>37162</v>
      </c>
      <c r="Z78" s="3">
        <f>+'LBN2014'!$M14</f>
        <v>37162</v>
      </c>
      <c r="AA78" s="3">
        <f>+'LBN2014'!$N14</f>
        <v>37162</v>
      </c>
      <c r="AB78" s="3">
        <f>+'LBN2015'!$M14</f>
        <v>37162</v>
      </c>
      <c r="AC78" s="3">
        <f>+'LBN2015'!$N14</f>
        <v>37162</v>
      </c>
      <c r="AD78" s="3">
        <f>+'LBN2017'!M14</f>
        <v>49037</v>
      </c>
      <c r="AE78" s="3">
        <f>+'LBN2019'!N14</f>
        <v>49729.303932823597</v>
      </c>
      <c r="AF78" s="3">
        <f>+'LBN2019'!O14</f>
        <v>50739.729367511529</v>
      </c>
      <c r="AG78" s="3">
        <f>+'LBN2019'!P14</f>
        <v>51770.685143031165</v>
      </c>
      <c r="AH78" s="3">
        <v>51192.5</v>
      </c>
      <c r="AI78" s="3">
        <v>51192.5</v>
      </c>
      <c r="AJ78" s="3">
        <v>51192.5</v>
      </c>
    </row>
    <row r="79" spans="1:36" hidden="1">
      <c r="A79" s="204" t="str">
        <f>+A29</f>
        <v>UW Seattle</v>
      </c>
      <c r="B79" s="3">
        <f>+BudgetedFTEHistory!P3</f>
        <v>29500</v>
      </c>
      <c r="C79" s="3">
        <f>+BudgetedFTEHistory!Q3</f>
        <v>29500</v>
      </c>
      <c r="D79" s="3">
        <f>+BudgetedFTEHistory!R3</f>
        <v>29583</v>
      </c>
      <c r="E79" s="3">
        <f>+BudgetedFTEHistory!S3</f>
        <v>29666</v>
      </c>
      <c r="F79" s="3">
        <f>+BudgetedFTEHistory!T3</f>
        <v>29762</v>
      </c>
      <c r="G79" s="3">
        <f>+BudgetedFTEHistory!U3</f>
        <v>29826</v>
      </c>
      <c r="H79" s="3">
        <f>+BudgetedFTEHistory!V3</f>
        <v>29857</v>
      </c>
      <c r="I79" s="3">
        <f>+BudgetedFTEHistory!W3</f>
        <v>30455</v>
      </c>
      <c r="J79" s="3">
        <f>+BudgetedFTEHistory!X3</f>
        <v>30680</v>
      </c>
      <c r="K79" s="3">
        <f>+BudgetedFTEHistory!Y3</f>
        <v>30910</v>
      </c>
      <c r="L79" s="3">
        <f>+BudgetedFTEHistory!Z3</f>
        <v>31927</v>
      </c>
      <c r="M79" s="3">
        <f>+BudgetedFTEHistory!AA3</f>
        <v>32266</v>
      </c>
      <c r="N79" s="3">
        <v>32321</v>
      </c>
      <c r="O79" s="3">
        <v>32427</v>
      </c>
      <c r="P79" s="3">
        <v>32458</v>
      </c>
      <c r="Q79" s="3">
        <v>32857</v>
      </c>
      <c r="R79" s="3">
        <v>33037</v>
      </c>
      <c r="S79" s="3">
        <f>+LBN2008Enrollment!E15</f>
        <v>33367</v>
      </c>
      <c r="T79" s="3">
        <f>+LBN2008Enrollment!J15</f>
        <v>33782</v>
      </c>
      <c r="U79" s="3">
        <f>+LBN2008Enrollment!N15</f>
        <v>34197</v>
      </c>
      <c r="V79" s="3"/>
      <c r="W79" s="3"/>
      <c r="X79" s="3"/>
      <c r="Y79" s="3"/>
      <c r="Z79" s="3"/>
      <c r="AA79" s="3"/>
      <c r="AB79" s="3"/>
      <c r="AC79" s="3"/>
    </row>
    <row r="80" spans="1:36" hidden="1">
      <c r="A80" s="204" t="str">
        <f>+A30</f>
        <v>UW Evening Degree Program</v>
      </c>
      <c r="B80" s="3">
        <f>+BudgetedFTEHistory!P7</f>
        <v>0</v>
      </c>
      <c r="C80" s="3">
        <f>+BudgetedFTEHistory!Q7</f>
        <v>300</v>
      </c>
      <c r="D80" s="3">
        <f>+BudgetedFTEHistory!R7</f>
        <v>337</v>
      </c>
      <c r="E80" s="3">
        <f>+BudgetedFTEHistory!S7</f>
        <v>375</v>
      </c>
      <c r="F80" s="3">
        <f>+BudgetedFTEHistory!T7</f>
        <v>465</v>
      </c>
      <c r="G80" s="3">
        <f>+BudgetedFTEHistory!U7</f>
        <v>525</v>
      </c>
      <c r="H80" s="3">
        <f>+BudgetedFTEHistory!V7</f>
        <v>571</v>
      </c>
      <c r="I80" s="3">
        <f>+BudgetedFTEHistory!W7</f>
        <v>617</v>
      </c>
      <c r="J80" s="3">
        <f>+BudgetedFTEHistory!X7</f>
        <v>617</v>
      </c>
      <c r="K80" s="3">
        <f>+BudgetedFTEHistory!Y7</f>
        <v>617</v>
      </c>
      <c r="L80" s="3">
        <f>+BudgetedFTEHistory!Z7</f>
        <v>0</v>
      </c>
      <c r="M80" s="3">
        <f>+BudgetedFTEHistory!AA7</f>
        <v>0</v>
      </c>
      <c r="N80" s="3"/>
      <c r="O80" s="3"/>
      <c r="P80" s="3"/>
      <c r="Q80" s="3"/>
      <c r="R80" s="3"/>
      <c r="S80" s="3"/>
      <c r="T80" s="3"/>
      <c r="U80" s="3"/>
      <c r="V80" s="3"/>
      <c r="W80" s="3"/>
      <c r="X80" s="3"/>
      <c r="Y80" s="3"/>
      <c r="Z80" s="3"/>
      <c r="AA80" s="3"/>
      <c r="AB80" s="3"/>
      <c r="AC80" s="3"/>
    </row>
    <row r="81" spans="1:36" hidden="1">
      <c r="A81" s="204" t="str">
        <f>+A31</f>
        <v>UW Bothell</v>
      </c>
      <c r="B81" s="3">
        <f>+BudgetedFTEHistory!P10</f>
        <v>0</v>
      </c>
      <c r="C81" s="3">
        <f>+BudgetedFTEHistory!Q10</f>
        <v>300</v>
      </c>
      <c r="D81" s="3">
        <f>+BudgetedFTEHistory!R10</f>
        <v>300</v>
      </c>
      <c r="E81" s="3">
        <f>+BudgetedFTEHistory!S10</f>
        <v>395</v>
      </c>
      <c r="F81" s="3">
        <f>+BudgetedFTEHistory!T10</f>
        <v>427</v>
      </c>
      <c r="G81" s="3">
        <f>+BudgetedFTEHistory!U10</f>
        <v>449</v>
      </c>
      <c r="H81" s="3">
        <f>+BudgetedFTEHistory!V10</f>
        <v>533</v>
      </c>
      <c r="I81" s="3">
        <f>+BudgetedFTEHistory!W10</f>
        <v>685</v>
      </c>
      <c r="J81" s="3">
        <f>+BudgetedFTEHistory!X10</f>
        <v>775</v>
      </c>
      <c r="K81" s="3">
        <f>+BudgetedFTEHistory!Y10</f>
        <v>895</v>
      </c>
      <c r="L81" s="3">
        <f>+BudgetedFTEHistory!Z10</f>
        <v>993</v>
      </c>
      <c r="M81" s="3">
        <f>+BudgetedFTEHistory!AA10</f>
        <v>1136</v>
      </c>
      <c r="N81" s="3">
        <v>1169</v>
      </c>
      <c r="O81" s="3">
        <v>1235</v>
      </c>
      <c r="P81" s="3">
        <v>1235</v>
      </c>
      <c r="Q81" s="3">
        <v>1265</v>
      </c>
      <c r="R81" s="3">
        <v>1340</v>
      </c>
      <c r="S81" s="3">
        <f>+LBN2008Enrollment!E16</f>
        <v>1540</v>
      </c>
      <c r="T81" s="3">
        <f>+LBN2008Enrollment!J16</f>
        <v>1760</v>
      </c>
      <c r="U81" s="3">
        <f>+LBN2008Enrollment!N16</f>
        <v>1980</v>
      </c>
      <c r="V81" s="3"/>
      <c r="W81" s="3"/>
      <c r="X81" s="3"/>
      <c r="Y81" s="3"/>
      <c r="Z81" s="3"/>
      <c r="AA81" s="3"/>
      <c r="AB81" s="3"/>
      <c r="AC81" s="3"/>
    </row>
    <row r="82" spans="1:36" hidden="1">
      <c r="A82" s="204" t="str">
        <f>+A32</f>
        <v>UW Tacoma</v>
      </c>
      <c r="B82" s="3">
        <f>+BudgetedFTEHistory!P13</f>
        <v>0</v>
      </c>
      <c r="C82" s="3">
        <f>+BudgetedFTEHistory!Q13</f>
        <v>300</v>
      </c>
      <c r="D82" s="3">
        <f>+BudgetedFTEHistory!R13</f>
        <v>300</v>
      </c>
      <c r="E82" s="3">
        <f>+BudgetedFTEHistory!S13</f>
        <v>390</v>
      </c>
      <c r="F82" s="3">
        <f>+BudgetedFTEHistory!T13</f>
        <v>450</v>
      </c>
      <c r="G82" s="3">
        <f>+BudgetedFTEHistory!U13</f>
        <v>490</v>
      </c>
      <c r="H82" s="3">
        <f>+BudgetedFTEHistory!V13</f>
        <v>588</v>
      </c>
      <c r="I82" s="3">
        <f>+BudgetedFTEHistory!W13</f>
        <v>747</v>
      </c>
      <c r="J82" s="3">
        <f>+BudgetedFTEHistory!X13</f>
        <v>847</v>
      </c>
      <c r="K82" s="3">
        <f>+BudgetedFTEHistory!Y13</f>
        <v>992</v>
      </c>
      <c r="L82" s="3">
        <f>+BudgetedFTEHistory!Z13</f>
        <v>1143</v>
      </c>
      <c r="M82" s="3">
        <f>+BudgetedFTEHistory!AA13</f>
        <v>1286</v>
      </c>
      <c r="N82" s="3">
        <v>1330</v>
      </c>
      <c r="O82" s="3">
        <v>1484</v>
      </c>
      <c r="P82" s="3">
        <v>1494</v>
      </c>
      <c r="Q82" s="3">
        <v>1544</v>
      </c>
      <c r="R82" s="3">
        <v>1644</v>
      </c>
      <c r="S82" s="3">
        <f>+LBN2008Enrollment!E17</f>
        <v>1869</v>
      </c>
      <c r="T82" s="3">
        <f>+LBN2008Enrollment!J17</f>
        <v>2109</v>
      </c>
      <c r="U82" s="3">
        <f>+LBN2008Enrollment!N17</f>
        <v>2349</v>
      </c>
      <c r="V82" s="3"/>
      <c r="W82" s="3"/>
      <c r="X82" s="3"/>
      <c r="Y82" s="3"/>
      <c r="Z82" s="3"/>
      <c r="AA82" s="3"/>
      <c r="AB82" s="3"/>
      <c r="AC82" s="3"/>
    </row>
    <row r="83" spans="1:36" ht="25.5" hidden="1">
      <c r="A83" s="9" t="str">
        <f>+A11</f>
        <v>Washington State University  (including Branch Campuses, WSU Medicine, and Timber Worker Displacement Program)</v>
      </c>
      <c r="B83" s="3">
        <f t="shared" ref="B83:R83" si="78">SUM(B84:B90)</f>
        <v>16312</v>
      </c>
      <c r="C83" s="3">
        <f t="shared" si="78"/>
        <v>16481</v>
      </c>
      <c r="D83" s="3">
        <f t="shared" si="78"/>
        <v>16702</v>
      </c>
      <c r="E83" s="3">
        <f t="shared" si="78"/>
        <v>16915</v>
      </c>
      <c r="F83" s="3">
        <f t="shared" si="78"/>
        <v>17278</v>
      </c>
      <c r="G83" s="3">
        <f t="shared" si="78"/>
        <v>17420</v>
      </c>
      <c r="H83" s="3">
        <f t="shared" si="78"/>
        <v>17860</v>
      </c>
      <c r="I83" s="3">
        <f t="shared" si="78"/>
        <v>19355</v>
      </c>
      <c r="J83" s="3">
        <f t="shared" si="78"/>
        <v>19395</v>
      </c>
      <c r="K83" s="3">
        <f t="shared" si="78"/>
        <v>19474</v>
      </c>
      <c r="L83" s="3">
        <f t="shared" si="78"/>
        <v>18523</v>
      </c>
      <c r="M83" s="3">
        <f t="shared" si="78"/>
        <v>19872</v>
      </c>
      <c r="N83" s="3">
        <f t="shared" si="78"/>
        <v>19570</v>
      </c>
      <c r="O83" s="3">
        <f t="shared" si="78"/>
        <v>19694</v>
      </c>
      <c r="P83" s="3">
        <f t="shared" si="78"/>
        <v>19890</v>
      </c>
      <c r="Q83" s="3">
        <f t="shared" si="78"/>
        <v>20383</v>
      </c>
      <c r="R83" s="3">
        <f t="shared" si="78"/>
        <v>20739</v>
      </c>
      <c r="S83" s="3">
        <f>SUM(S84:S90)</f>
        <v>21400</v>
      </c>
      <c r="T83" s="3">
        <f>SUM(T84:T90)</f>
        <v>21800</v>
      </c>
      <c r="U83" s="3">
        <f>SUM(U84:U90)</f>
        <v>22250</v>
      </c>
      <c r="V83" s="3">
        <f>+LBN2010Enrollment!M15</f>
        <v>22250</v>
      </c>
      <c r="W83" s="3">
        <f>+LBN2010Enrollment!N15</f>
        <v>22250</v>
      </c>
      <c r="X83" s="3">
        <f>+'2011LBNHiEdFTE'!N15</f>
        <v>22228</v>
      </c>
      <c r="Y83" s="3">
        <f>+'2011LBNHiEdFTE'!O15</f>
        <v>22228</v>
      </c>
      <c r="Z83" s="3">
        <f>+'LBN2014'!$M15</f>
        <v>22228</v>
      </c>
      <c r="AA83" s="3">
        <f>+'LBN2014'!$N15</f>
        <v>22538</v>
      </c>
      <c r="AB83" s="3">
        <f>+'LBN2015'!$M15</f>
        <v>22538</v>
      </c>
      <c r="AC83" s="3">
        <f>+'LBN2015'!$N15</f>
        <v>22538</v>
      </c>
      <c r="AD83" s="3">
        <f>+'LBN2017'!M15</f>
        <v>27165</v>
      </c>
      <c r="AE83" s="3">
        <f>+'LBN2019'!N15</f>
        <v>27318.793539695285</v>
      </c>
      <c r="AF83" s="3">
        <f>+'LBN2019'!O15</f>
        <v>27671.071909254268</v>
      </c>
      <c r="AG83" s="3">
        <f>+'LBN2019'!P15</f>
        <v>28027.892940972866</v>
      </c>
      <c r="AH83" s="3">
        <v>26313.5</v>
      </c>
      <c r="AI83" s="3">
        <v>26313.5</v>
      </c>
      <c r="AJ83" s="3">
        <v>26313.5</v>
      </c>
    </row>
    <row r="84" spans="1:36" hidden="1">
      <c r="A84" s="206" t="s">
        <v>531</v>
      </c>
      <c r="B84" s="3"/>
      <c r="C84" s="3"/>
      <c r="D84" s="3"/>
      <c r="E84" s="3"/>
      <c r="F84" s="3"/>
      <c r="G84" s="3"/>
      <c r="H84" s="3"/>
      <c r="I84" s="3"/>
      <c r="J84" s="3"/>
      <c r="K84" s="3"/>
      <c r="L84" s="3"/>
      <c r="M84" s="3"/>
      <c r="N84" s="3"/>
      <c r="O84" s="3"/>
      <c r="P84" s="3"/>
      <c r="Q84" s="3"/>
      <c r="R84" s="3"/>
      <c r="S84" s="3">
        <f>+LBN2008Enrollment!E20</f>
        <v>18982</v>
      </c>
      <c r="T84" s="3">
        <f>+LBN2008Enrollment!J20</f>
        <v>19112</v>
      </c>
      <c r="U84" s="3">
        <f>+LBN2008Enrollment!N20</f>
        <v>19272</v>
      </c>
      <c r="V84" s="3"/>
      <c r="W84" s="3"/>
      <c r="X84" s="3"/>
      <c r="Y84" s="3"/>
      <c r="Z84" s="3"/>
      <c r="AA84" s="3"/>
      <c r="AB84" s="3"/>
      <c r="AC84" s="3"/>
    </row>
    <row r="85" spans="1:36" hidden="1">
      <c r="A85" s="206" t="str">
        <f>+A35</f>
        <v>WSU Pullman</v>
      </c>
      <c r="B85" s="3">
        <f>+BudgetedFTEHistory!P16</f>
        <v>15799</v>
      </c>
      <c r="C85" s="3">
        <f>+BudgetedFTEHistory!Q16</f>
        <v>15799</v>
      </c>
      <c r="D85" s="3">
        <f>+BudgetedFTEHistory!R16</f>
        <v>15785</v>
      </c>
      <c r="E85" s="3">
        <f>+BudgetedFTEHistory!S16</f>
        <v>15827</v>
      </c>
      <c r="F85" s="3">
        <f>+BudgetedFTEHistory!T16</f>
        <v>15965</v>
      </c>
      <c r="G85" s="3">
        <f>+BudgetedFTEHistory!U16</f>
        <v>15991</v>
      </c>
      <c r="H85" s="3">
        <f>+BudgetedFTEHistory!V16</f>
        <v>16205</v>
      </c>
      <c r="I85" s="3">
        <f>+BudgetedFTEHistory!W16</f>
        <v>17403</v>
      </c>
      <c r="J85" s="3">
        <f>+BudgetedFTEHistory!X16</f>
        <v>17403</v>
      </c>
      <c r="K85" s="3">
        <f>+BudgetedFTEHistory!Y16</f>
        <v>17272</v>
      </c>
      <c r="L85" s="3">
        <f>+BudgetedFTEHistory!Z16</f>
        <v>17272</v>
      </c>
      <c r="M85" s="3">
        <f>+BudgetedFTEHistory!AA16</f>
        <v>17609</v>
      </c>
      <c r="N85" s="3">
        <v>17332</v>
      </c>
      <c r="O85" s="3">
        <v>17332</v>
      </c>
      <c r="P85" s="3">
        <v>17479</v>
      </c>
      <c r="Q85" s="3">
        <v>17370</v>
      </c>
      <c r="R85" s="3">
        <v>18695</v>
      </c>
      <c r="S85" s="3"/>
      <c r="V85" s="3"/>
      <c r="W85" s="3"/>
      <c r="X85" s="3"/>
      <c r="Y85" s="3"/>
      <c r="Z85" s="3"/>
      <c r="AA85" s="3"/>
      <c r="AB85" s="3"/>
      <c r="AC85" s="3"/>
    </row>
    <row r="86" spans="1:36" hidden="1">
      <c r="A86" s="206" t="str">
        <f>+A36</f>
        <v>WSU Spokane</v>
      </c>
      <c r="B86" s="3">
        <f>+BudgetedFTEHistory!P19</f>
        <v>19</v>
      </c>
      <c r="C86" s="3">
        <f>+BudgetedFTEHistory!Q19</f>
        <v>54</v>
      </c>
      <c r="D86" s="3">
        <f>+BudgetedFTEHistory!R19</f>
        <v>143</v>
      </c>
      <c r="E86" s="3">
        <f>+BudgetedFTEHistory!S19</f>
        <v>177</v>
      </c>
      <c r="F86" s="3">
        <f>+BudgetedFTEHistory!T19</f>
        <v>248</v>
      </c>
      <c r="G86" s="3">
        <f>+BudgetedFTEHistory!U19</f>
        <v>258</v>
      </c>
      <c r="H86" s="3">
        <f>+BudgetedFTEHistory!V19</f>
        <v>283</v>
      </c>
      <c r="I86" s="3">
        <f>+BudgetedFTEHistory!W19</f>
        <v>352</v>
      </c>
      <c r="J86" s="3">
        <f>+BudgetedFTEHistory!X19</f>
        <v>352</v>
      </c>
      <c r="K86" s="3">
        <f>+BudgetedFTEHistory!Y19</f>
        <v>442</v>
      </c>
      <c r="L86" s="3">
        <f>+BudgetedFTEHistory!Z19</f>
        <v>472</v>
      </c>
      <c r="M86" s="3">
        <f>+BudgetedFTEHistory!AA19</f>
        <v>551</v>
      </c>
      <c r="N86" s="3">
        <v>551</v>
      </c>
      <c r="O86" s="3">
        <v>593</v>
      </c>
      <c r="P86" s="3">
        <v>616</v>
      </c>
      <c r="Q86" s="3">
        <v>1110</v>
      </c>
      <c r="R86" s="3"/>
      <c r="S86" s="3"/>
      <c r="T86" s="3"/>
      <c r="U86" s="3"/>
      <c r="V86" s="3"/>
      <c r="W86" s="3"/>
      <c r="X86" s="3"/>
      <c r="Y86" s="3"/>
      <c r="Z86" s="3"/>
      <c r="AA86" s="3"/>
      <c r="AB86" s="3"/>
      <c r="AC86" s="3"/>
    </row>
    <row r="87" spans="1:36" hidden="1">
      <c r="A87" s="206" t="str">
        <f>+A37</f>
        <v>WSU TriCities</v>
      </c>
      <c r="B87" s="3">
        <f>+BudgetedFTEHistory!P22</f>
        <v>390</v>
      </c>
      <c r="C87" s="3">
        <f>+BudgetedFTEHistory!Q22</f>
        <v>410</v>
      </c>
      <c r="D87" s="3">
        <f>+BudgetedFTEHistory!R22</f>
        <v>448</v>
      </c>
      <c r="E87" s="3">
        <f>+BudgetedFTEHistory!S22</f>
        <v>486</v>
      </c>
      <c r="F87" s="3">
        <f>+BudgetedFTEHistory!T22</f>
        <v>519</v>
      </c>
      <c r="G87" s="3">
        <f>+BudgetedFTEHistory!U22</f>
        <v>541</v>
      </c>
      <c r="H87" s="3">
        <f>+BudgetedFTEHistory!V22</f>
        <v>624</v>
      </c>
      <c r="I87" s="3">
        <f>+BudgetedFTEHistory!W22</f>
        <v>724</v>
      </c>
      <c r="J87" s="3">
        <f>+BudgetedFTEHistory!X22</f>
        <v>754</v>
      </c>
      <c r="K87" s="3">
        <f>+BudgetedFTEHistory!Y22</f>
        <v>754</v>
      </c>
      <c r="L87" s="3">
        <f>+BudgetedFTEHistory!Z22</f>
        <v>754</v>
      </c>
      <c r="M87" s="3">
        <f>+BudgetedFTEHistory!AA22</f>
        <v>616</v>
      </c>
      <c r="N87" s="3">
        <v>616</v>
      </c>
      <c r="O87" s="3">
        <v>616</v>
      </c>
      <c r="P87" s="3">
        <v>633</v>
      </c>
      <c r="Q87" s="3">
        <v>675</v>
      </c>
      <c r="R87" s="3">
        <v>675</v>
      </c>
      <c r="S87" s="3">
        <f>+LBN2008Enrollment!E21</f>
        <v>730</v>
      </c>
      <c r="T87" s="3">
        <f>+LBN2008Enrollment!J21</f>
        <v>800</v>
      </c>
      <c r="U87" s="3">
        <f>+LBN2008Enrollment!N21</f>
        <v>865</v>
      </c>
      <c r="V87" s="3"/>
      <c r="W87" s="3"/>
      <c r="X87" s="3"/>
      <c r="Y87" s="3"/>
      <c r="Z87" s="3"/>
      <c r="AA87" s="3"/>
      <c r="AB87" s="3"/>
      <c r="AC87" s="3"/>
    </row>
    <row r="88" spans="1:36" hidden="1">
      <c r="A88" s="206" t="str">
        <f>+A38</f>
        <v>WSU Vancouver</v>
      </c>
      <c r="B88" s="3">
        <f>+BudgetedFTEHistory!P25</f>
        <v>104</v>
      </c>
      <c r="C88" s="3">
        <f>+BudgetedFTEHistory!Q25</f>
        <v>218</v>
      </c>
      <c r="D88" s="3">
        <f>+BudgetedFTEHistory!R25</f>
        <v>301</v>
      </c>
      <c r="E88" s="3">
        <f>+BudgetedFTEHistory!S25</f>
        <v>385</v>
      </c>
      <c r="F88" s="3">
        <f>+BudgetedFTEHistory!T25</f>
        <v>511</v>
      </c>
      <c r="G88" s="3">
        <f>+BudgetedFTEHistory!U25</f>
        <v>595</v>
      </c>
      <c r="H88" s="3">
        <f>+BudgetedFTEHistory!V25</f>
        <v>723</v>
      </c>
      <c r="I88" s="3">
        <f>+BudgetedFTEHistory!W25</f>
        <v>851</v>
      </c>
      <c r="J88" s="3">
        <f>+BudgetedFTEHistory!X25</f>
        <v>851</v>
      </c>
      <c r="K88" s="3">
        <f>+BudgetedFTEHistory!Y25</f>
        <v>971</v>
      </c>
      <c r="L88" s="3"/>
      <c r="M88" s="3">
        <f>+BudgetedFTEHistory!AA25</f>
        <v>1071</v>
      </c>
      <c r="N88" s="3">
        <v>1071</v>
      </c>
      <c r="O88" s="3">
        <v>1153</v>
      </c>
      <c r="P88" s="3">
        <v>1162</v>
      </c>
      <c r="Q88" s="3">
        <v>1228</v>
      </c>
      <c r="R88" s="3">
        <v>1353</v>
      </c>
      <c r="S88" s="3">
        <f>+LBN2008Enrollment!E22</f>
        <v>1688</v>
      </c>
      <c r="T88" s="3">
        <f>+LBN2008Enrollment!J22</f>
        <v>1888</v>
      </c>
      <c r="U88" s="3">
        <f>+LBN2008Enrollment!N22</f>
        <v>2113</v>
      </c>
      <c r="V88" s="3"/>
      <c r="W88" s="3"/>
      <c r="X88" s="3"/>
      <c r="Y88" s="3"/>
      <c r="Z88" s="3"/>
      <c r="AA88" s="3"/>
      <c r="AB88" s="3"/>
      <c r="AC88" s="3"/>
    </row>
    <row r="89" spans="1:36" hidden="1">
      <c r="A89" s="206" t="s">
        <v>295</v>
      </c>
      <c r="B89" s="3"/>
      <c r="C89" s="3"/>
      <c r="D89" s="3"/>
      <c r="E89" s="3"/>
      <c r="F89" s="3"/>
      <c r="G89" s="3"/>
      <c r="H89" s="3"/>
      <c r="I89" s="3"/>
      <c r="J89" s="3"/>
      <c r="K89" s="3"/>
      <c r="L89" s="3"/>
      <c r="M89" s="3"/>
      <c r="N89" s="3"/>
      <c r="O89" s="3"/>
      <c r="P89" s="3"/>
      <c r="Q89" s="3"/>
      <c r="R89" s="3">
        <v>16</v>
      </c>
      <c r="S89"/>
      <c r="T89"/>
      <c r="U89"/>
      <c r="V89"/>
      <c r="W89"/>
      <c r="X89"/>
      <c r="Y89"/>
      <c r="Z89"/>
      <c r="AA89"/>
      <c r="AB89"/>
      <c r="AC89"/>
    </row>
    <row r="90" spans="1:36" hidden="1">
      <c r="A90" s="206" t="str">
        <f>+A43</f>
        <v>WSU-Timber Worker Displacement Program</v>
      </c>
      <c r="B90" s="3">
        <f>+BudgetedFTEHistory!P38</f>
        <v>0</v>
      </c>
      <c r="C90" s="3">
        <f>+BudgetedFTEHistory!Q38</f>
        <v>0</v>
      </c>
      <c r="D90" s="3">
        <f>+BudgetedFTEHistory!R38</f>
        <v>25</v>
      </c>
      <c r="E90" s="3">
        <f>+BudgetedFTEHistory!S38</f>
        <v>40</v>
      </c>
      <c r="F90" s="3">
        <f>+BudgetedFTEHistory!T38</f>
        <v>35</v>
      </c>
      <c r="G90" s="3">
        <f>+BudgetedFTEHistory!U38</f>
        <v>35</v>
      </c>
      <c r="H90" s="3">
        <f>+BudgetedFTEHistory!V38</f>
        <v>25</v>
      </c>
      <c r="I90" s="3">
        <f>+BudgetedFTEHistory!W38</f>
        <v>25</v>
      </c>
      <c r="J90" s="3">
        <f>+BudgetedFTEHistory!X38</f>
        <v>35</v>
      </c>
      <c r="K90" s="3">
        <f>+BudgetedFTEHistory!Y38</f>
        <v>35</v>
      </c>
      <c r="L90" s="3">
        <f>+BudgetedFTEHistory!Z38</f>
        <v>25</v>
      </c>
      <c r="M90" s="3">
        <f>+BudgetedFTEHistory!AA38</f>
        <v>25</v>
      </c>
      <c r="N90" s="3"/>
      <c r="O90" s="3"/>
      <c r="P90" s="3"/>
      <c r="Q90" s="3"/>
      <c r="R90" s="3"/>
      <c r="S90" s="3"/>
      <c r="T90" s="3"/>
      <c r="U90" s="3"/>
      <c r="V90" s="3"/>
      <c r="W90" s="3"/>
      <c r="X90" s="3"/>
      <c r="Y90" s="3"/>
      <c r="Z90" s="3"/>
      <c r="AA90" s="3"/>
      <c r="AB90" s="3"/>
      <c r="AC90" s="3"/>
    </row>
    <row r="91" spans="1:36" hidden="1">
      <c r="A91" s="9" t="str">
        <f>+A12</f>
        <v>Eastern Washington University (including Semester students)</v>
      </c>
      <c r="B91" s="3">
        <f>+BudgetedFTEHistory!P30</f>
        <v>7020</v>
      </c>
      <c r="C91" s="3">
        <f>+BudgetedFTEHistory!Q30</f>
        <v>7020</v>
      </c>
      <c r="D91" s="3">
        <f>+BudgetedFTEHistory!R30</f>
        <v>7194</v>
      </c>
      <c r="E91" s="3">
        <f>+BudgetedFTEHistory!S30</f>
        <v>7368</v>
      </c>
      <c r="F91" s="3">
        <f>+BudgetedFTEHistory!T30</f>
        <v>7429</v>
      </c>
      <c r="G91" s="3">
        <f>+BudgetedFTEHistory!U30</f>
        <v>7573</v>
      </c>
      <c r="H91" s="3">
        <f>+BudgetedFTEHistory!V30</f>
        <v>7656</v>
      </c>
      <c r="I91" s="3">
        <f>+BudgetedFTEHistory!W30</f>
        <v>7825</v>
      </c>
      <c r="J91" s="3">
        <f>+BudgetedFTEHistory!X30</f>
        <v>7739</v>
      </c>
      <c r="K91" s="3">
        <f>+BudgetedFTEHistory!Y30</f>
        <v>7739</v>
      </c>
      <c r="L91" s="3">
        <f>+BudgetedFTEHistory!Z30</f>
        <v>7739</v>
      </c>
      <c r="M91" s="3">
        <f>+BudgetedFTEHistory!AA30</f>
        <v>7864</v>
      </c>
      <c r="N91" s="3">
        <v>7933</v>
      </c>
      <c r="O91" s="3">
        <v>8017</v>
      </c>
      <c r="P91" s="3">
        <v>8150</v>
      </c>
      <c r="Q91" s="3">
        <v>8269</v>
      </c>
      <c r="R91" s="3">
        <v>8593</v>
      </c>
      <c r="S91" s="3">
        <f>+LBN2008Enrollment!E24</f>
        <v>8946</v>
      </c>
      <c r="T91" s="3">
        <f>+LBN2008Enrollment!J24</f>
        <v>8996</v>
      </c>
      <c r="U91" s="3">
        <f>+LBN2008Enrollment!N24</f>
        <v>9184</v>
      </c>
      <c r="V91" s="3">
        <f>+LBN2010Enrollment!M16</f>
        <v>8477</v>
      </c>
      <c r="W91" s="3">
        <f>+LBN2010Enrollment!N16</f>
        <v>8734</v>
      </c>
      <c r="X91" s="3">
        <f>+'2011LBNHiEdFTE'!N16</f>
        <v>8734</v>
      </c>
      <c r="Y91" s="3">
        <f>+'2011LBNHiEdFTE'!O16</f>
        <v>8734</v>
      </c>
      <c r="Z91" s="3">
        <f>+'LBN2014'!$M16</f>
        <v>8734</v>
      </c>
      <c r="AA91" s="3">
        <f>+'LBN2014'!$N16</f>
        <v>8734</v>
      </c>
      <c r="AB91" s="3">
        <f>+'LBN2015'!$M16</f>
        <v>8734</v>
      </c>
      <c r="AC91" s="3">
        <f>+'LBN2015'!$N16</f>
        <v>8734</v>
      </c>
      <c r="AD91" s="3">
        <f>+'LBN2017'!M16</f>
        <v>10245</v>
      </c>
      <c r="AE91" s="3">
        <f>+'LBN2019'!N16</f>
        <v>10691.663940934617</v>
      </c>
      <c r="AF91" s="3">
        <f>+'LBN2019'!O16</f>
        <v>10768.881566262982</v>
      </c>
      <c r="AG91" s="3">
        <f>+'LBN2019'!P16</f>
        <v>10846.65687481954</v>
      </c>
      <c r="AH91" s="3">
        <v>8773</v>
      </c>
      <c r="AI91" s="3">
        <v>8773</v>
      </c>
      <c r="AJ91" s="3">
        <v>8773</v>
      </c>
    </row>
    <row r="92" spans="1:36" hidden="1">
      <c r="A92" s="9" t="str">
        <f>+A13</f>
        <v>Central Washington University</v>
      </c>
      <c r="B92" s="3">
        <f>+BudgetedFTEHistory!P28</f>
        <v>5997</v>
      </c>
      <c r="C92" s="3">
        <f>+BudgetedFTEHistory!Q28</f>
        <v>6090</v>
      </c>
      <c r="D92" s="3">
        <f>+BudgetedFTEHistory!R28</f>
        <v>6270</v>
      </c>
      <c r="E92" s="3">
        <f>+BudgetedFTEHistory!S28</f>
        <v>6451</v>
      </c>
      <c r="F92" s="3">
        <f>+BudgetedFTEHistory!T28</f>
        <v>6666</v>
      </c>
      <c r="G92" s="3">
        <f>+BudgetedFTEHistory!U28</f>
        <v>6810</v>
      </c>
      <c r="H92" s="3">
        <f>+BudgetedFTEHistory!V28</f>
        <v>6903</v>
      </c>
      <c r="I92" s="3">
        <f>+BudgetedFTEHistory!W28</f>
        <v>7256</v>
      </c>
      <c r="J92" s="3">
        <f>+BudgetedFTEHistory!X28</f>
        <v>7346</v>
      </c>
      <c r="K92" s="3">
        <f>+BudgetedFTEHistory!Y28</f>
        <v>7446</v>
      </c>
      <c r="L92" s="3">
        <f>+BudgetedFTEHistory!Z28</f>
        <v>7670</v>
      </c>
      <c r="M92" s="3">
        <f>+BudgetedFTEHistory!AA28</f>
        <v>7867</v>
      </c>
      <c r="N92" s="3">
        <v>7470</v>
      </c>
      <c r="O92" s="34">
        <v>7470</v>
      </c>
      <c r="P92" s="3">
        <v>7809</v>
      </c>
      <c r="Q92" s="3">
        <v>7999</v>
      </c>
      <c r="R92" s="3">
        <v>8323</v>
      </c>
      <c r="S92" s="3">
        <f>+LBN2008Enrollment!E25</f>
        <v>8692</v>
      </c>
      <c r="T92" s="3">
        <f>+LBN2008Enrollment!J25</f>
        <v>8952</v>
      </c>
      <c r="U92" s="3">
        <f>+LBN2008Enrollment!N25</f>
        <v>9322</v>
      </c>
      <c r="V92" s="3">
        <f>+LBN2010Enrollment!M17</f>
        <v>8469</v>
      </c>
      <c r="W92" s="3">
        <f>+LBN2010Enrollment!N17</f>
        <v>8808</v>
      </c>
      <c r="X92" s="3">
        <f>+'2011LBNHiEdFTE'!N17</f>
        <v>8808</v>
      </c>
      <c r="Y92" s="3">
        <f>+'2011LBNHiEdFTE'!O17</f>
        <v>8808</v>
      </c>
      <c r="Z92" s="3">
        <f>+'LBN2014'!$M17</f>
        <v>9105</v>
      </c>
      <c r="AA92" s="3">
        <f>+'LBN2014'!$N17</f>
        <v>9105</v>
      </c>
      <c r="AB92" s="3">
        <f>+'LBN2015'!$M17</f>
        <v>9105</v>
      </c>
      <c r="AC92" s="3">
        <f>+'LBN2015'!$N17</f>
        <v>9105</v>
      </c>
      <c r="AD92" s="3">
        <f>+'LBN2017'!M17</f>
        <v>9863</v>
      </c>
      <c r="AE92" s="3">
        <f>+'LBN2019'!N17</f>
        <v>10192.926684215212</v>
      </c>
      <c r="AF92" s="3">
        <f>+'LBN2019'!O17</f>
        <v>10487.105520317606</v>
      </c>
      <c r="AG92" s="3">
        <f>+'LBN2019'!P17</f>
        <v>10789.774674293529</v>
      </c>
      <c r="AH92" s="3">
        <v>11666</v>
      </c>
      <c r="AI92" s="3">
        <v>11666</v>
      </c>
      <c r="AJ92" s="3">
        <v>11666</v>
      </c>
    </row>
    <row r="93" spans="1:36" hidden="1">
      <c r="A93" s="9" t="str">
        <f>+A14</f>
        <v>The Evergreen State College</v>
      </c>
      <c r="B93" s="3">
        <f>+BudgetedFTEHistory!P33</f>
        <v>3000</v>
      </c>
      <c r="C93" s="3">
        <f>+BudgetedFTEHistory!Q33</f>
        <v>3100</v>
      </c>
      <c r="D93" s="3">
        <f>+BudgetedFTEHistory!R33</f>
        <v>3139</v>
      </c>
      <c r="E93" s="3">
        <f>+BudgetedFTEHistory!S33</f>
        <v>3178</v>
      </c>
      <c r="F93" s="3">
        <f>+BudgetedFTEHistory!T33</f>
        <v>3226</v>
      </c>
      <c r="G93" s="3">
        <f>+BudgetedFTEHistory!U33</f>
        <v>3258</v>
      </c>
      <c r="H93" s="3">
        <f>+BudgetedFTEHistory!V33</f>
        <v>3278</v>
      </c>
      <c r="I93" s="3">
        <f>+BudgetedFTEHistory!W33</f>
        <v>3406</v>
      </c>
      <c r="J93" s="3">
        <f>+BudgetedFTEHistory!X33</f>
        <v>3496</v>
      </c>
      <c r="K93" s="3">
        <f>+BudgetedFTEHistory!Y33</f>
        <v>3576</v>
      </c>
      <c r="L93" s="3">
        <f>+BudgetedFTEHistory!Z33</f>
        <v>3638</v>
      </c>
      <c r="M93" s="3">
        <f>+BudgetedFTEHistory!AA33</f>
        <v>3713</v>
      </c>
      <c r="N93" s="3">
        <v>3754</v>
      </c>
      <c r="O93" s="3">
        <v>3837</v>
      </c>
      <c r="P93" s="3">
        <v>3871</v>
      </c>
      <c r="Q93" s="3">
        <v>3933</v>
      </c>
      <c r="R93" s="3">
        <v>4038</v>
      </c>
      <c r="S93" s="3">
        <f>+LBN2008Enrollment!E26</f>
        <v>4143</v>
      </c>
      <c r="T93" s="3">
        <f>+LBN2008Enrollment!J26</f>
        <v>4165</v>
      </c>
      <c r="U93" s="3">
        <f>+LBN2008Enrollment!N26</f>
        <v>4213</v>
      </c>
      <c r="V93" s="3">
        <f>+LBN2010Enrollment!M18</f>
        <v>4213</v>
      </c>
      <c r="W93" s="3">
        <f>+LBN2010Enrollment!N18</f>
        <v>4213</v>
      </c>
      <c r="X93" s="3">
        <f>+'2011LBNHiEdFTE'!N18</f>
        <v>4213</v>
      </c>
      <c r="Y93" s="3">
        <f>+'2011LBNHiEdFTE'!O18</f>
        <v>4213</v>
      </c>
      <c r="Z93" s="3">
        <f>+'LBN2014'!$M18</f>
        <v>4213</v>
      </c>
      <c r="AA93" s="3">
        <f>+'LBN2014'!$N18</f>
        <v>4213</v>
      </c>
      <c r="AB93" s="3">
        <f>+'LBN2015'!$M18</f>
        <v>4213</v>
      </c>
      <c r="AC93" s="3">
        <f>+'LBN2015'!$N18</f>
        <v>4213</v>
      </c>
      <c r="AD93" s="3">
        <f>+'LBN2017'!M18</f>
        <v>3851</v>
      </c>
      <c r="AE93" s="3">
        <f>+'LBN2019'!N18</f>
        <v>3511.613429475135</v>
      </c>
      <c r="AF93" s="3">
        <f>+'LBN2019'!O18</f>
        <v>3398.9605507359756</v>
      </c>
      <c r="AG93" s="3">
        <f>+'LBN2019'!P18</f>
        <v>3289.9215866098825</v>
      </c>
      <c r="AH93" s="3">
        <v>1629</v>
      </c>
      <c r="AI93" s="3">
        <v>1629</v>
      </c>
      <c r="AJ93" s="3">
        <v>1629</v>
      </c>
    </row>
    <row r="94" spans="1:36" ht="25.5" hidden="1">
      <c r="A94" s="9" t="str">
        <f>+A15</f>
        <v>Western Washington University (including Timber Worker Displacement Program)</v>
      </c>
      <c r="B94" s="3">
        <f>SUM(B95:B96)</f>
        <v>8450</v>
      </c>
      <c r="C94" s="3">
        <f t="shared" ref="C94:S94" si="79">SUM(C95:C96)</f>
        <v>8650</v>
      </c>
      <c r="D94" s="3">
        <f t="shared" si="79"/>
        <v>8825</v>
      </c>
      <c r="E94" s="3">
        <f t="shared" si="79"/>
        <v>9011</v>
      </c>
      <c r="F94" s="3">
        <f t="shared" si="79"/>
        <v>9231</v>
      </c>
      <c r="G94" s="3">
        <f t="shared" si="79"/>
        <v>9375</v>
      </c>
      <c r="H94" s="3">
        <f t="shared" si="79"/>
        <v>9508</v>
      </c>
      <c r="I94" s="3">
        <f t="shared" si="79"/>
        <v>10063</v>
      </c>
      <c r="J94" s="3">
        <f t="shared" si="79"/>
        <v>10203</v>
      </c>
      <c r="K94" s="3">
        <f t="shared" si="79"/>
        <v>10353</v>
      </c>
      <c r="L94" s="3">
        <f t="shared" si="79"/>
        <v>10673</v>
      </c>
      <c r="M94" s="3">
        <f t="shared" si="79"/>
        <v>10851</v>
      </c>
      <c r="N94" s="3">
        <f t="shared" si="79"/>
        <v>10976</v>
      </c>
      <c r="O94" s="3">
        <f t="shared" si="79"/>
        <v>11126</v>
      </c>
      <c r="P94" s="3">
        <f t="shared" si="79"/>
        <v>11242</v>
      </c>
      <c r="Q94" s="3">
        <f t="shared" si="79"/>
        <v>11389</v>
      </c>
      <c r="R94" s="3">
        <f t="shared" si="79"/>
        <v>11534</v>
      </c>
      <c r="S94" s="3">
        <f t="shared" si="79"/>
        <v>11729</v>
      </c>
      <c r="T94" s="3">
        <f>SUM(T95:T96)</f>
        <v>12022</v>
      </c>
      <c r="U94" s="3">
        <f>SUM(U95:U96)</f>
        <v>12175</v>
      </c>
      <c r="V94" s="3">
        <f>SUM(V95:V96)</f>
        <v>11373</v>
      </c>
      <c r="W94" s="3">
        <f>SUM(W95:W96)</f>
        <v>11762</v>
      </c>
      <c r="X94" s="3">
        <f>+'2011LBNHiEdFTE'!N19</f>
        <v>11762</v>
      </c>
      <c r="Y94" s="3">
        <f>+'2011LBNHiEdFTE'!O19</f>
        <v>11762</v>
      </c>
      <c r="Z94" s="3">
        <f>+'LBN2014'!$M19</f>
        <v>11762</v>
      </c>
      <c r="AA94" s="3">
        <f>+'LBN2014'!$N19</f>
        <v>11762</v>
      </c>
      <c r="AB94" s="3">
        <f>+'LBN2015'!$M19</f>
        <v>11762</v>
      </c>
      <c r="AC94" s="3">
        <f>+'LBN2015'!$N19</f>
        <v>11762</v>
      </c>
      <c r="AD94" s="3">
        <f>+'LBN2017'!M19</f>
        <v>12873</v>
      </c>
      <c r="AE94" s="3">
        <f>+'LBN2019'!N19</f>
        <v>13418.043987123419</v>
      </c>
      <c r="AF94" s="3">
        <f>+'LBN2019'!O19</f>
        <v>13632.460395273638</v>
      </c>
      <c r="AG94" s="3">
        <f>+'LBN2019'!P19</f>
        <v>13850.303114749722</v>
      </c>
      <c r="AH94" s="3">
        <v>12236</v>
      </c>
      <c r="AI94" s="3">
        <v>12236</v>
      </c>
      <c r="AJ94" s="3">
        <v>12236</v>
      </c>
    </row>
    <row r="95" spans="1:36" hidden="1">
      <c r="A95" s="206" t="str">
        <f>+BudgetedFTEHistory!A36</f>
        <v>WWU</v>
      </c>
      <c r="B95" s="3">
        <f>+BudgetedFTEHistory!P36</f>
        <v>8450</v>
      </c>
      <c r="C95" s="3">
        <f>+BudgetedFTEHistory!Q36</f>
        <v>8650</v>
      </c>
      <c r="D95" s="3">
        <f>+BudgetedFTEHistory!R36</f>
        <v>8825</v>
      </c>
      <c r="E95" s="3">
        <f>+BudgetedFTEHistory!S36</f>
        <v>9001</v>
      </c>
      <c r="F95" s="3">
        <f>+BudgetedFTEHistory!T36</f>
        <v>9216</v>
      </c>
      <c r="G95" s="3">
        <f>+BudgetedFTEHistory!U36</f>
        <v>9360</v>
      </c>
      <c r="H95" s="3">
        <f>+BudgetedFTEHistory!V36</f>
        <v>9483</v>
      </c>
      <c r="I95" s="3">
        <f>+BudgetedFTEHistory!W36</f>
        <v>10038</v>
      </c>
      <c r="J95" s="3">
        <f>+BudgetedFTEHistory!X36</f>
        <v>10188</v>
      </c>
      <c r="K95" s="3">
        <f>+BudgetedFTEHistory!Y36</f>
        <v>10338</v>
      </c>
      <c r="L95" s="3">
        <f>+BudgetedFTEHistory!Z36</f>
        <v>10648</v>
      </c>
      <c r="M95" s="3">
        <f>+BudgetedFTEHistory!AA36</f>
        <v>10826</v>
      </c>
      <c r="N95" s="3">
        <v>10976</v>
      </c>
      <c r="O95" s="3">
        <v>11126</v>
      </c>
      <c r="P95" s="3">
        <v>11242</v>
      </c>
      <c r="Q95" s="3">
        <v>11389</v>
      </c>
      <c r="R95" s="3">
        <f>11559-25</f>
        <v>11534</v>
      </c>
      <c r="S95" s="3">
        <f>+LBN2008Enrollment!E27</f>
        <v>11729</v>
      </c>
      <c r="T95" s="3">
        <f>+LBN2008Enrollment!J27</f>
        <v>12022</v>
      </c>
      <c r="U95" s="3">
        <f>+LBN2008Enrollment!N27</f>
        <v>12175</v>
      </c>
      <c r="V95" s="3">
        <f>+LBN2010Enrollment!M19</f>
        <v>11373</v>
      </c>
      <c r="W95" s="3">
        <f>+LBN2010Enrollment!N19</f>
        <v>11762</v>
      </c>
      <c r="X95" s="3"/>
      <c r="Y95" s="3"/>
      <c r="Z95" s="3"/>
      <c r="AA95" s="3"/>
      <c r="AB95" s="3"/>
      <c r="AC95" s="3"/>
    </row>
    <row r="96" spans="1:36" ht="12.75" hidden="1" customHeight="1">
      <c r="A96" s="206" t="str">
        <f>+A52</f>
        <v>WWU-Timber Worker Displacement Program</v>
      </c>
      <c r="B96" s="3">
        <f>+BudgetedFTEHistory!P42</f>
        <v>0</v>
      </c>
      <c r="C96" s="3">
        <f>+BudgetedFTEHistory!Q42</f>
        <v>0</v>
      </c>
      <c r="D96" s="3">
        <f>+BudgetedFTEHistory!R42</f>
        <v>0</v>
      </c>
      <c r="E96" s="3">
        <f>+BudgetedFTEHistory!S42</f>
        <v>10</v>
      </c>
      <c r="F96" s="3">
        <f>+BudgetedFTEHistory!T42</f>
        <v>15</v>
      </c>
      <c r="G96" s="3">
        <f>+BudgetedFTEHistory!U42</f>
        <v>15</v>
      </c>
      <c r="H96" s="3">
        <f>+BudgetedFTEHistory!V42</f>
        <v>25</v>
      </c>
      <c r="I96" s="3">
        <f>+BudgetedFTEHistory!W42</f>
        <v>25</v>
      </c>
      <c r="J96" s="3">
        <f>+BudgetedFTEHistory!X42</f>
        <v>15</v>
      </c>
      <c r="K96" s="3">
        <f>+BudgetedFTEHistory!Y42</f>
        <v>15</v>
      </c>
      <c r="L96" s="3">
        <f>+BudgetedFTEHistory!Z42</f>
        <v>25</v>
      </c>
      <c r="M96" s="3">
        <f>+BudgetedFTEHistory!AA42</f>
        <v>25</v>
      </c>
      <c r="N96" s="3"/>
      <c r="O96" s="3"/>
      <c r="P96" s="3"/>
      <c r="Q96" s="3"/>
      <c r="R96" s="3"/>
      <c r="S96" s="3"/>
      <c r="T96" s="3"/>
      <c r="U96" s="3"/>
      <c r="V96" s="3"/>
      <c r="W96" s="3"/>
      <c r="X96" s="3"/>
      <c r="Y96" s="3"/>
      <c r="Z96" s="3"/>
      <c r="AA96" s="3"/>
      <c r="AB96" s="3"/>
      <c r="AC96" s="3"/>
    </row>
    <row r="97" spans="1:36" hidden="1">
      <c r="A97" s="35" t="s">
        <v>132</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row>
    <row r="98" spans="1:36" hidden="1">
      <c r="A98" s="35" t="s">
        <v>133</v>
      </c>
      <c r="B98" s="41"/>
      <c r="C98" s="41"/>
      <c r="D98" s="41"/>
      <c r="E98" s="41"/>
      <c r="F98" s="41"/>
      <c r="G98" s="41"/>
      <c r="H98" s="41"/>
      <c r="I98" s="41"/>
      <c r="J98" s="41"/>
      <c r="K98" s="41"/>
      <c r="L98" s="41"/>
      <c r="M98" s="41"/>
      <c r="N98" s="41"/>
      <c r="O98" s="41"/>
      <c r="P98" s="41"/>
      <c r="Q98"/>
      <c r="R98" s="41"/>
      <c r="S98"/>
      <c r="T98"/>
      <c r="U98"/>
      <c r="V98"/>
      <c r="W98"/>
      <c r="X98"/>
      <c r="Y98"/>
      <c r="Z98"/>
      <c r="AA98"/>
      <c r="AB98"/>
      <c r="AC98"/>
    </row>
    <row r="99" spans="1:36" hidden="1">
      <c r="A99" s="35" t="s">
        <v>358</v>
      </c>
      <c r="B99" s="41"/>
      <c r="C99" s="41"/>
      <c r="D99" s="41"/>
      <c r="E99" s="41"/>
      <c r="F99" s="41"/>
      <c r="G99" s="41"/>
      <c r="H99" s="41"/>
      <c r="I99" s="41"/>
      <c r="J99" s="41"/>
      <c r="K99" s="41"/>
      <c r="L99" s="41"/>
      <c r="M99" s="41"/>
      <c r="N99" s="41"/>
      <c r="O99" s="41"/>
      <c r="P99" s="41"/>
      <c r="Q99"/>
      <c r="R99" s="41"/>
      <c r="S99"/>
      <c r="T99"/>
      <c r="U99"/>
      <c r="V99"/>
      <c r="W99"/>
      <c r="X99"/>
      <c r="Y99"/>
      <c r="Z99"/>
      <c r="AA99"/>
      <c r="AB99"/>
      <c r="AC99"/>
    </row>
    <row r="100" spans="1:36" hidden="1">
      <c r="A100" s="35" t="s">
        <v>359</v>
      </c>
      <c r="B100" s="41"/>
      <c r="C100" s="41"/>
      <c r="D100" s="41"/>
      <c r="E100" s="41"/>
      <c r="F100" s="41"/>
      <c r="G100" s="41"/>
      <c r="H100" s="41"/>
      <c r="I100" s="41"/>
      <c r="J100" s="41"/>
      <c r="K100" s="41"/>
      <c r="L100" s="41"/>
      <c r="M100" s="41"/>
      <c r="N100" s="41"/>
      <c r="O100" s="41"/>
      <c r="P100" s="41"/>
      <c r="Q100"/>
      <c r="R100" s="41"/>
      <c r="S100"/>
      <c r="T100"/>
      <c r="U100"/>
      <c r="V100"/>
      <c r="W100"/>
      <c r="X100"/>
      <c r="Y100"/>
      <c r="Z100"/>
      <c r="AA100"/>
      <c r="AB100"/>
      <c r="AC100"/>
      <c r="AD100"/>
      <c r="AE100"/>
      <c r="AF100"/>
      <c r="AG100"/>
    </row>
    <row r="101" spans="1:36" hidden="1">
      <c r="A101" s="1" t="str">
        <f>+A16</f>
        <v>Total Four-Year Institutions</v>
      </c>
      <c r="B101" s="42">
        <f t="shared" ref="B101:K101" si="80">+B98+B97+B94+B93+B92+B91+B83+B78</f>
        <v>70279</v>
      </c>
      <c r="C101" s="42">
        <f t="shared" si="80"/>
        <v>71741</v>
      </c>
      <c r="D101" s="42">
        <f t="shared" si="80"/>
        <v>72650</v>
      </c>
      <c r="E101" s="42">
        <f t="shared" si="80"/>
        <v>73749</v>
      </c>
      <c r="F101" s="42">
        <f t="shared" si="80"/>
        <v>74934</v>
      </c>
      <c r="G101" s="42">
        <f t="shared" si="80"/>
        <v>75726</v>
      </c>
      <c r="H101" s="42">
        <f t="shared" si="80"/>
        <v>76754</v>
      </c>
      <c r="I101" s="42">
        <f t="shared" si="80"/>
        <v>80409</v>
      </c>
      <c r="J101" s="42">
        <f t="shared" si="80"/>
        <v>81098</v>
      </c>
      <c r="K101" s="42">
        <f t="shared" si="80"/>
        <v>82002</v>
      </c>
      <c r="L101" s="42">
        <f t="shared" ref="L101:Q101" si="81">+L98+L97+L94+L93+L92+L91+L83+L78</f>
        <v>82306</v>
      </c>
      <c r="M101" s="42">
        <f t="shared" si="81"/>
        <v>84855</v>
      </c>
      <c r="N101" s="42">
        <f t="shared" si="81"/>
        <v>84523</v>
      </c>
      <c r="O101" s="42">
        <f t="shared" si="81"/>
        <v>85290</v>
      </c>
      <c r="P101" s="42">
        <f t="shared" si="81"/>
        <v>86149</v>
      </c>
      <c r="Q101" s="42">
        <f t="shared" si="81"/>
        <v>87639</v>
      </c>
      <c r="R101" s="42">
        <f>+R98+R97+R94+R93+R92+R91+R83+R78</f>
        <v>89248</v>
      </c>
      <c r="S101" s="42">
        <f t="shared" ref="S101:Y101" si="82">+S98+S97+S94+S93+S92+S91+S83+S78+S99+S100</f>
        <v>91686</v>
      </c>
      <c r="T101" s="42">
        <f t="shared" si="82"/>
        <v>93586</v>
      </c>
      <c r="U101" s="42">
        <f t="shared" si="82"/>
        <v>95670</v>
      </c>
      <c r="V101" s="42">
        <f t="shared" si="82"/>
        <v>91328</v>
      </c>
      <c r="W101" s="42">
        <f t="shared" si="82"/>
        <v>92929</v>
      </c>
      <c r="X101" s="42">
        <f t="shared" si="82"/>
        <v>92907</v>
      </c>
      <c r="Y101" s="42">
        <f t="shared" si="82"/>
        <v>92907</v>
      </c>
      <c r="Z101" s="42">
        <f t="shared" ref="Z101:AH101" si="83">+Z98+Z97+Z94+Z93+Z92+Z91+Z83+Z78+Z99+Z100</f>
        <v>93204</v>
      </c>
      <c r="AA101" s="42">
        <f t="shared" si="83"/>
        <v>93514</v>
      </c>
      <c r="AB101" s="42">
        <f t="shared" si="83"/>
        <v>93514</v>
      </c>
      <c r="AC101" s="42">
        <f t="shared" si="83"/>
        <v>93514</v>
      </c>
      <c r="AD101" s="42">
        <f t="shared" si="83"/>
        <v>113034</v>
      </c>
      <c r="AE101" s="42">
        <f t="shared" si="83"/>
        <v>114862.34551426728</v>
      </c>
      <c r="AF101" s="42">
        <f t="shared" si="83"/>
        <v>116698.209309356</v>
      </c>
      <c r="AG101" s="42">
        <f t="shared" si="83"/>
        <v>118575.23433447671</v>
      </c>
      <c r="AH101" s="42">
        <f t="shared" si="83"/>
        <v>111810</v>
      </c>
      <c r="AI101" s="42">
        <f t="shared" ref="AI101:AJ101" si="84">+AI98+AI97+AI94+AI93+AI92+AI91+AI83+AI78+AI99+AI100</f>
        <v>111810</v>
      </c>
      <c r="AJ101" s="42">
        <f t="shared" ref="AJ101" si="85">+AJ98+AJ97+AJ94+AJ93+AJ92+AJ91+AJ83+AJ78+AJ99+AJ100</f>
        <v>111810</v>
      </c>
    </row>
    <row r="102" spans="1:36" hidden="1">
      <c r="A102" s="35"/>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36" ht="38.25" hidden="1">
      <c r="A103" s="9" t="str">
        <f>+A18</f>
        <v>Community &amp; Technical Colleges (including Technical Colleges, Timber Worker Displacement and High Demand programs, and contracted programs; excludes Running Start)</v>
      </c>
      <c r="B103" s="3">
        <f>SUM(BudgetedFTEHistory!P49:P50)</f>
        <v>97155</v>
      </c>
      <c r="C103" s="3">
        <f>SUM(BudgetedFTEHistory!Q49:Q50)</f>
        <v>98155</v>
      </c>
      <c r="D103" s="3">
        <f>SUM(BudgetedFTEHistory!R49:R50)</f>
        <v>100305</v>
      </c>
      <c r="E103" s="3">
        <f>SUM(BudgetedFTEHistory!S49:S50)</f>
        <v>102455</v>
      </c>
      <c r="F103" s="3">
        <f>SUM(BudgetedFTEHistory!T49:T50)</f>
        <v>107670</v>
      </c>
      <c r="G103" s="3">
        <f>SUM(BudgetedFTEHistory!U49:U50)</f>
        <v>110386</v>
      </c>
      <c r="H103" s="3">
        <f>SUM(BudgetedFTEHistory!V49:V50)</f>
        <v>111986</v>
      </c>
      <c r="I103" s="3">
        <f>SUM(BudgetedFTEHistory!W49:W50)</f>
        <v>114326</v>
      </c>
      <c r="J103" s="3">
        <f>SUM(BudgetedFTEHistory!X49:X50)</f>
        <v>116426</v>
      </c>
      <c r="K103" s="3">
        <f>SUM(BudgetedFTEHistory!Y49:Y50)</f>
        <v>118526</v>
      </c>
      <c r="L103" s="3">
        <f>SUM(BudgetedFTEHistory!Z49:Z50)</f>
        <v>120529</v>
      </c>
      <c r="M103" s="3">
        <f>SUM(BudgetedFTEHistory!AA49:AA50)</f>
        <v>123762</v>
      </c>
      <c r="N103" s="3">
        <v>125082</v>
      </c>
      <c r="O103" s="3">
        <v>128222</v>
      </c>
      <c r="P103" s="3">
        <f>SUM(P104:P109)</f>
        <v>127189</v>
      </c>
      <c r="Q103" s="3">
        <f>SUM(Q104:Q109)</f>
        <v>128885</v>
      </c>
      <c r="R103" s="3">
        <f>SUM(R104:R109)</f>
        <v>130905</v>
      </c>
      <c r="S103" s="3">
        <f>SUM(S104:S109)</f>
        <v>133307</v>
      </c>
      <c r="T103" s="3">
        <f>+LBN2008Enrollment!J10</f>
        <v>136102</v>
      </c>
      <c r="U103" s="3">
        <f>+LBN2008Enrollment!N10</f>
        <v>139237</v>
      </c>
      <c r="V103" s="3">
        <f t="shared" ref="V103:AA103" si="86">SUM(V104:V109)</f>
        <v>139237</v>
      </c>
      <c r="W103" s="3">
        <f t="shared" si="86"/>
        <v>143046</v>
      </c>
      <c r="X103" s="3">
        <f t="shared" si="86"/>
        <v>139237</v>
      </c>
      <c r="Y103" s="3">
        <f t="shared" si="86"/>
        <v>139237</v>
      </c>
      <c r="Z103" s="3">
        <f t="shared" si="86"/>
        <v>139237</v>
      </c>
      <c r="AA103" s="3">
        <f t="shared" si="86"/>
        <v>139927</v>
      </c>
      <c r="AB103" s="3">
        <f t="shared" ref="AB103:AH103" si="87">SUM(AB104:AB109)</f>
        <v>139927</v>
      </c>
      <c r="AC103" s="3">
        <f t="shared" si="87"/>
        <v>139927</v>
      </c>
      <c r="AD103" s="3">
        <f t="shared" si="87"/>
        <v>127318</v>
      </c>
      <c r="AE103" s="3">
        <f t="shared" si="87"/>
        <v>125350.41235921763</v>
      </c>
      <c r="AF103" s="3">
        <f t="shared" si="87"/>
        <v>122215.25036655026</v>
      </c>
      <c r="AG103" s="3">
        <f t="shared" si="87"/>
        <v>119158.50248146555</v>
      </c>
      <c r="AH103" s="3">
        <f t="shared" si="87"/>
        <v>96490</v>
      </c>
      <c r="AI103" s="3">
        <f t="shared" ref="AI103:AJ103" si="88">SUM(AI104:AI109)</f>
        <v>96490</v>
      </c>
      <c r="AJ103" s="3">
        <f t="shared" ref="AJ103" si="89">SUM(AJ104:AJ109)</f>
        <v>96490</v>
      </c>
    </row>
    <row r="104" spans="1:36" hidden="1">
      <c r="A104" s="35" t="s">
        <v>443</v>
      </c>
      <c r="B104" s="3"/>
      <c r="C104" s="3"/>
      <c r="D104" s="3"/>
      <c r="E104" s="3"/>
      <c r="F104" s="3"/>
      <c r="G104" s="3"/>
      <c r="H104" s="3"/>
      <c r="I104" s="3"/>
      <c r="J104" s="3"/>
      <c r="K104" s="3"/>
      <c r="L104" s="3"/>
      <c r="M104" s="3"/>
      <c r="N104" s="3"/>
      <c r="O104" s="3"/>
      <c r="P104" s="3">
        <v>119940</v>
      </c>
      <c r="Q104" s="3">
        <v>121163</v>
      </c>
      <c r="R104" s="3">
        <v>123469</v>
      </c>
      <c r="S104" s="3">
        <f>+LBN2008Enrollment!E10</f>
        <v>133307</v>
      </c>
      <c r="T104" s="3"/>
      <c r="U104" s="3"/>
      <c r="V104" s="3">
        <f>+LBN2010Enrollment!M10</f>
        <v>139237</v>
      </c>
      <c r="W104" s="3">
        <f>+LBN2010Enrollment!N10</f>
        <v>143046</v>
      </c>
      <c r="X104" s="3">
        <f>+'2011LBNHiEdFTE'!N10</f>
        <v>139237</v>
      </c>
      <c r="Y104" s="3">
        <f>+'2011LBNHiEdFTE'!O10</f>
        <v>139237</v>
      </c>
      <c r="Z104" s="3">
        <f>+'LBN2014'!$M10</f>
        <v>139237</v>
      </c>
      <c r="AA104" s="3">
        <f>+'LBN2014'!$N10</f>
        <v>139927</v>
      </c>
      <c r="AB104" s="3">
        <f>+'LBN2015'!$M10</f>
        <v>139927</v>
      </c>
      <c r="AC104" s="3">
        <f>+'LBN2015'!$N10</f>
        <v>139927</v>
      </c>
      <c r="AD104" s="3">
        <f>+'LBN2017'!M10</f>
        <v>127318</v>
      </c>
      <c r="AE104" s="3">
        <f>+'LBN2019'!N10</f>
        <v>125350.41235921763</v>
      </c>
      <c r="AF104" s="3">
        <f>+'LBN2019'!O10</f>
        <v>122215.25036655026</v>
      </c>
      <c r="AG104" s="3">
        <f>+'LBN2019'!P10</f>
        <v>119158.50248146555</v>
      </c>
      <c r="AH104" s="3">
        <v>96490</v>
      </c>
      <c r="AI104" s="3">
        <v>96490</v>
      </c>
      <c r="AJ104" s="3">
        <v>96490</v>
      </c>
    </row>
    <row r="105" spans="1:36" hidden="1">
      <c r="A105" s="35" t="s">
        <v>387</v>
      </c>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36" hidden="1">
      <c r="A106" s="35" t="s">
        <v>382</v>
      </c>
      <c r="B106" s="3"/>
      <c r="C106" s="3"/>
      <c r="D106" s="3"/>
      <c r="E106" s="3"/>
      <c r="F106" s="17"/>
      <c r="G106" s="17"/>
      <c r="H106" s="17"/>
      <c r="I106" s="17"/>
      <c r="J106" s="17"/>
      <c r="K106" s="17"/>
      <c r="L106" s="17"/>
      <c r="M106" s="17"/>
      <c r="N106" s="17" t="s">
        <v>66</v>
      </c>
      <c r="O106" s="17" t="s">
        <v>73</v>
      </c>
      <c r="P106" s="3">
        <v>7219</v>
      </c>
      <c r="Q106" s="3">
        <v>7436</v>
      </c>
      <c r="R106" s="3">
        <v>7436</v>
      </c>
      <c r="S106" s="3"/>
      <c r="T106" s="3"/>
      <c r="U106" s="3"/>
      <c r="V106" s="3"/>
      <c r="W106" s="3"/>
      <c r="X106" s="3"/>
      <c r="Y106" s="3"/>
    </row>
    <row r="107" spans="1:36" hidden="1">
      <c r="A107" s="35" t="s">
        <v>383</v>
      </c>
      <c r="B107" s="3"/>
      <c r="C107" s="3"/>
      <c r="D107" s="3"/>
      <c r="E107" s="3"/>
      <c r="F107" s="17"/>
      <c r="G107" s="17"/>
      <c r="H107" s="17"/>
      <c r="I107" s="17"/>
      <c r="J107" s="17"/>
      <c r="K107" s="17"/>
      <c r="L107" s="17"/>
      <c r="M107" s="17"/>
      <c r="N107" s="17"/>
      <c r="O107" s="17"/>
      <c r="P107" s="3"/>
      <c r="Q107" s="3">
        <v>256</v>
      </c>
      <c r="R107" s="3"/>
      <c r="S107" s="3"/>
      <c r="T107" s="3"/>
      <c r="U107" s="3"/>
      <c r="V107" s="3"/>
      <c r="W107" s="3"/>
      <c r="X107" s="3"/>
      <c r="Y107" s="3"/>
    </row>
    <row r="108" spans="1:36" hidden="1">
      <c r="A108" s="36" t="s">
        <v>384</v>
      </c>
      <c r="B108" s="3"/>
      <c r="C108" s="3"/>
      <c r="D108" s="3"/>
      <c r="E108" s="3"/>
      <c r="F108" s="17"/>
      <c r="G108" s="17"/>
      <c r="H108" s="17"/>
      <c r="I108" s="17"/>
      <c r="J108" s="17"/>
      <c r="K108" s="17"/>
      <c r="L108" s="17"/>
      <c r="M108" s="17"/>
      <c r="N108" s="17"/>
      <c r="O108" s="17"/>
      <c r="P108" s="3">
        <v>30</v>
      </c>
      <c r="Q108" s="3">
        <v>30</v>
      </c>
      <c r="R108" s="3"/>
      <c r="S108" s="3" t="s">
        <v>386</v>
      </c>
      <c r="T108" s="3"/>
      <c r="U108" s="3"/>
      <c r="V108" s="3"/>
      <c r="W108" s="3"/>
      <c r="X108" s="3"/>
      <c r="Y108" s="3"/>
    </row>
    <row r="109" spans="1:36" hidden="1">
      <c r="A109" s="36" t="s">
        <v>385</v>
      </c>
      <c r="B109" s="3"/>
      <c r="C109" s="3"/>
      <c r="D109" s="3"/>
      <c r="E109" s="3"/>
      <c r="F109" s="17"/>
      <c r="G109" s="17"/>
      <c r="H109" s="17"/>
      <c r="I109" s="17"/>
      <c r="J109" s="17"/>
      <c r="K109" s="17"/>
      <c r="L109" s="17"/>
      <c r="M109" s="17"/>
      <c r="N109" s="17"/>
      <c r="O109" s="17"/>
      <c r="P109" s="3"/>
      <c r="Q109" s="3"/>
      <c r="R109" s="3"/>
      <c r="S109" s="3"/>
      <c r="T109" s="3"/>
      <c r="U109" s="3"/>
      <c r="V109" s="3"/>
      <c r="W109" s="3"/>
      <c r="X109" s="3"/>
      <c r="Y109" s="3"/>
    </row>
    <row r="110" spans="1:36" hidden="1">
      <c r="A110" s="625" t="s">
        <v>442</v>
      </c>
      <c r="B110" s="22"/>
      <c r="C110" s="22"/>
      <c r="D110" s="22"/>
      <c r="E110" s="22"/>
      <c r="F110" s="626"/>
      <c r="G110" s="626"/>
      <c r="H110" s="626"/>
      <c r="I110" s="626"/>
      <c r="J110" s="626"/>
      <c r="K110" s="626"/>
      <c r="L110" s="626"/>
      <c r="M110" s="626"/>
      <c r="N110" s="626"/>
      <c r="O110" s="22">
        <f>+LBN2010Enrollment!E11</f>
        <v>9007</v>
      </c>
      <c r="P110" s="22">
        <f>+LBN2010Enrollment!F11</f>
        <v>9533</v>
      </c>
      <c r="Q110" s="22">
        <f>+LBN2010Enrollment!G11</f>
        <v>9794</v>
      </c>
      <c r="R110" s="22">
        <f>+LBN2010Enrollment!H11</f>
        <v>10284</v>
      </c>
      <c r="S110" s="22">
        <f>+LBN2010Enrollment!I11</f>
        <v>10843</v>
      </c>
      <c r="T110" s="22">
        <f>+LBN2010Enrollment!J11</f>
        <v>11185</v>
      </c>
      <c r="U110" s="22">
        <f>+LBN2010Enrollment!K11</f>
        <v>11845</v>
      </c>
      <c r="V110" s="22">
        <f>+LBN2010Enrollment!M11</f>
        <v>11558</v>
      </c>
      <c r="W110" s="22">
        <f>+LBN2010Enrollment!N11</f>
        <v>11558</v>
      </c>
      <c r="X110" s="22">
        <f>+'2011LBNHiEdFTE'!N11</f>
        <v>11558</v>
      </c>
      <c r="Y110" s="22">
        <f>+'2011LBNHiEdFTE'!O11</f>
        <v>11558</v>
      </c>
      <c r="Z110" s="22">
        <f>+'LBN2014'!$M11</f>
        <v>11558</v>
      </c>
      <c r="AA110" s="22">
        <f>+'LBN2014'!$N11</f>
        <v>11558</v>
      </c>
      <c r="AB110" s="22">
        <f>+'LBN2015'!$M11</f>
        <v>11558</v>
      </c>
      <c r="AC110" s="22">
        <f>+'LBN2015'!$N11</f>
        <v>11558</v>
      </c>
      <c r="AD110" s="22">
        <f>+'LBN2017'!M11</f>
        <v>22469</v>
      </c>
      <c r="AE110" s="22">
        <f>+'LBN2019'!N11</f>
        <v>24268.932839302714</v>
      </c>
      <c r="AF110" s="22">
        <f>+'LBN2019'!O11</f>
        <v>26780.389267429895</v>
      </c>
      <c r="AG110" s="22">
        <f>+'LBN2019'!P11</f>
        <v>29551.74230626287</v>
      </c>
      <c r="AH110" s="22">
        <v>25413</v>
      </c>
      <c r="AI110" s="22">
        <v>25413</v>
      </c>
      <c r="AJ110" s="22">
        <v>25413</v>
      </c>
    </row>
    <row r="111" spans="1:36" hidden="1">
      <c r="A111" s="36"/>
      <c r="B111" s="3"/>
      <c r="C111" s="3"/>
      <c r="D111" s="3"/>
      <c r="E111" s="3"/>
      <c r="F111" s="17"/>
      <c r="G111" s="17"/>
      <c r="H111" s="17"/>
      <c r="I111" s="17"/>
      <c r="J111" s="17"/>
      <c r="K111" s="17"/>
      <c r="L111" s="17"/>
      <c r="M111" s="17"/>
      <c r="N111" s="17"/>
      <c r="O111" s="17"/>
      <c r="P111" s="3"/>
      <c r="Q111" s="3"/>
      <c r="R111" s="3"/>
      <c r="S111" s="3"/>
      <c r="T111" s="3"/>
      <c r="U111" s="3"/>
      <c r="V111" s="3"/>
      <c r="W111" s="3"/>
      <c r="X111" s="3"/>
      <c r="Y111" s="3"/>
    </row>
    <row r="112" spans="1:36" ht="13.5" hidden="1" thickTop="1">
      <c r="A112" s="1" t="str">
        <f>+A21</f>
        <v>Total Higher Education</v>
      </c>
      <c r="B112" s="39">
        <f t="shared" ref="B112:O112" si="90">SUM(B78,B83,B91,B92,B93,B94,B103)</f>
        <v>167434</v>
      </c>
      <c r="C112" s="39">
        <f t="shared" si="90"/>
        <v>169896</v>
      </c>
      <c r="D112" s="39">
        <f t="shared" si="90"/>
        <v>172955</v>
      </c>
      <c r="E112" s="39">
        <f t="shared" si="90"/>
        <v>176204</v>
      </c>
      <c r="F112" s="39">
        <f t="shared" si="90"/>
        <v>182604</v>
      </c>
      <c r="G112" s="39">
        <f t="shared" si="90"/>
        <v>186112</v>
      </c>
      <c r="H112" s="39">
        <f t="shared" si="90"/>
        <v>188740</v>
      </c>
      <c r="I112" s="39">
        <f t="shared" si="90"/>
        <v>194735</v>
      </c>
      <c r="J112" s="39">
        <f t="shared" si="90"/>
        <v>197524</v>
      </c>
      <c r="K112" s="39">
        <f t="shared" si="90"/>
        <v>200528</v>
      </c>
      <c r="L112" s="39">
        <f t="shared" si="90"/>
        <v>202835</v>
      </c>
      <c r="M112" s="39">
        <f t="shared" si="90"/>
        <v>208617</v>
      </c>
      <c r="N112" s="39">
        <f t="shared" si="90"/>
        <v>209605</v>
      </c>
      <c r="O112" s="39">
        <f t="shared" si="90"/>
        <v>213512</v>
      </c>
      <c r="P112" s="39">
        <f t="shared" ref="P112:U112" si="91">SUM(P78,P83,P91,P92,P93,P94,P97,P98,P103)</f>
        <v>213338</v>
      </c>
      <c r="Q112" s="39">
        <f t="shared" si="91"/>
        <v>216524</v>
      </c>
      <c r="R112" s="39">
        <f t="shared" si="91"/>
        <v>220153</v>
      </c>
      <c r="S112" s="39">
        <f t="shared" si="91"/>
        <v>224993</v>
      </c>
      <c r="T112" s="39">
        <f t="shared" si="91"/>
        <v>229688</v>
      </c>
      <c r="U112" s="39">
        <f t="shared" si="91"/>
        <v>234907</v>
      </c>
      <c r="V112" s="39">
        <f t="shared" ref="V112:AA112" si="92">SUM(V78,V83,V91,V92,V93,V94,V97,V98,V104)</f>
        <v>230565</v>
      </c>
      <c r="W112" s="39">
        <f t="shared" si="92"/>
        <v>235975</v>
      </c>
      <c r="X112" s="39">
        <f t="shared" si="92"/>
        <v>232144</v>
      </c>
      <c r="Y112" s="39">
        <f t="shared" si="92"/>
        <v>232144</v>
      </c>
      <c r="Z112" s="39">
        <f t="shared" si="92"/>
        <v>232441</v>
      </c>
      <c r="AA112" s="39">
        <f t="shared" si="92"/>
        <v>233441</v>
      </c>
      <c r="AB112" s="39">
        <f t="shared" ref="AB112:AG112" si="93">SUM(AB78,AB83,AB91,AB92,AB93,AB94,AB97,AB98,AB104)</f>
        <v>233441</v>
      </c>
      <c r="AC112" s="39">
        <f t="shared" si="93"/>
        <v>233441</v>
      </c>
      <c r="AD112" s="39">
        <f t="shared" si="93"/>
        <v>240352</v>
      </c>
      <c r="AE112" s="39">
        <f t="shared" si="93"/>
        <v>240212.75787348492</v>
      </c>
      <c r="AF112" s="39">
        <f t="shared" si="93"/>
        <v>238913.45967590626</v>
      </c>
      <c r="AG112" s="39">
        <f t="shared" si="93"/>
        <v>237733.73681594225</v>
      </c>
      <c r="AH112" s="39">
        <f t="shared" ref="AH112" si="94">SUM(AH78,AH83,AH91,AH92,AH93,AH94,AH97,AH98,AH104)</f>
        <v>208300</v>
      </c>
      <c r="AI112" s="39">
        <f t="shared" ref="AI112:AJ112" si="95">SUM(AI78,AI83,AI91,AI92,AI93,AI94,AI97,AI98,AI104)</f>
        <v>208300</v>
      </c>
      <c r="AJ112" s="39">
        <f t="shared" ref="AJ112" si="96">SUM(AJ78,AJ83,AJ91,AJ92,AJ93,AJ94,AJ97,AJ98,AJ104)</f>
        <v>208300</v>
      </c>
    </row>
    <row r="113" spans="1:33" hidden="1">
      <c r="A113" s="1" t="s">
        <v>65</v>
      </c>
      <c r="B113" s="3"/>
      <c r="C113" s="3">
        <f>+C112+B112</f>
        <v>337330</v>
      </c>
      <c r="D113" s="3"/>
      <c r="E113" s="3">
        <f>+E112+D112</f>
        <v>349159</v>
      </c>
      <c r="F113" s="17"/>
      <c r="G113" s="3">
        <f>+G112+F112</f>
        <v>368716</v>
      </c>
      <c r="H113" s="17"/>
      <c r="I113" s="3">
        <f>+I112+H112</f>
        <v>383475</v>
      </c>
      <c r="J113" s="17"/>
      <c r="K113" s="3">
        <f>+K112+J112</f>
        <v>398052</v>
      </c>
      <c r="L113" s="17"/>
      <c r="M113" s="3">
        <f>+M112+L112</f>
        <v>411452</v>
      </c>
      <c r="N113" s="17"/>
      <c r="O113" s="3">
        <f>+O112+N112</f>
        <v>423117</v>
      </c>
      <c r="P113" s="17"/>
      <c r="Q113" s="3">
        <f>+Q112+P112</f>
        <v>429862</v>
      </c>
      <c r="R113" s="17"/>
      <c r="S113" s="3">
        <f>+S112+R112</f>
        <v>445146</v>
      </c>
      <c r="T113" s="17"/>
      <c r="U113" s="17">
        <f>+U112+T112</f>
        <v>464595</v>
      </c>
      <c r="V113" s="17"/>
      <c r="W113" s="17">
        <f>+W112+V112</f>
        <v>466540</v>
      </c>
      <c r="X113" s="17"/>
      <c r="Y113" s="17">
        <f>+Y112+X112</f>
        <v>464288</v>
      </c>
      <c r="Z113" s="17"/>
      <c r="AA113" s="17">
        <f>+AA112+Z112</f>
        <v>465882</v>
      </c>
      <c r="AB113" s="17"/>
      <c r="AC113" s="17">
        <f>+AC112+AB112</f>
        <v>466882</v>
      </c>
      <c r="AD113" s="17"/>
      <c r="AE113" s="17">
        <f>+AE112+AD112</f>
        <v>480564.75787348492</v>
      </c>
      <c r="AG113" s="17">
        <f>+AG112+AF112</f>
        <v>476647.1964918485</v>
      </c>
    </row>
    <row r="114" spans="1:33">
      <c r="A114"/>
      <c r="B114"/>
      <c r="C114"/>
      <c r="D114"/>
      <c r="E114"/>
      <c r="F114"/>
      <c r="G114"/>
      <c r="H114"/>
      <c r="I114"/>
      <c r="J114"/>
      <c r="K114"/>
      <c r="L114"/>
      <c r="M114"/>
      <c r="N114"/>
      <c r="O114"/>
      <c r="P114"/>
      <c r="Q114"/>
      <c r="R114"/>
      <c r="S114"/>
      <c r="V114" s="3"/>
      <c r="W114" s="3"/>
      <c r="X114" s="3"/>
    </row>
    <row r="115" spans="1:33" ht="15.75">
      <c r="A115" s="16" t="s">
        <v>1935</v>
      </c>
      <c r="B115"/>
      <c r="C115"/>
      <c r="D115"/>
      <c r="E115"/>
      <c r="F115"/>
      <c r="G115"/>
      <c r="H115"/>
      <c r="I115"/>
      <c r="J115"/>
      <c r="K115"/>
      <c r="L115"/>
      <c r="M115"/>
      <c r="N115"/>
      <c r="O115"/>
      <c r="P115"/>
      <c r="Q115"/>
      <c r="R115"/>
      <c r="S115"/>
    </row>
    <row r="116" spans="1:33" ht="15.75">
      <c r="A116" s="16"/>
      <c r="B116"/>
      <c r="C116"/>
      <c r="D116"/>
      <c r="E116"/>
      <c r="F116"/>
      <c r="G116"/>
      <c r="H116"/>
      <c r="I116"/>
      <c r="J116"/>
      <c r="K116"/>
      <c r="L116"/>
      <c r="M116"/>
      <c r="N116"/>
      <c r="O116"/>
      <c r="P116"/>
      <c r="Q116"/>
      <c r="R116"/>
      <c r="S116"/>
    </row>
    <row r="117" spans="1:33" ht="13.5">
      <c r="A117" s="624" t="s">
        <v>660</v>
      </c>
      <c r="B117"/>
      <c r="C117"/>
      <c r="D117"/>
      <c r="E117"/>
      <c r="F117"/>
      <c r="G117"/>
      <c r="H117"/>
      <c r="I117"/>
      <c r="J117"/>
      <c r="K117"/>
      <c r="L117"/>
      <c r="M117"/>
      <c r="N117"/>
    </row>
    <row r="118" spans="1:33" ht="13.5">
      <c r="A118" s="624" t="s">
        <v>1937</v>
      </c>
      <c r="B118"/>
      <c r="C118"/>
      <c r="D118"/>
      <c r="E118"/>
      <c r="F118"/>
      <c r="G118"/>
      <c r="H118"/>
      <c r="I118"/>
      <c r="J118"/>
      <c r="K118"/>
      <c r="L118"/>
      <c r="M118"/>
      <c r="N118"/>
    </row>
    <row r="120" spans="1:33">
      <c r="A120" s="2034"/>
      <c r="B120" s="2723"/>
      <c r="C120" s="2723"/>
      <c r="D120" s="2723"/>
      <c r="E120" s="2723"/>
      <c r="F120" s="2723"/>
      <c r="G120" s="2723"/>
      <c r="H120" s="2723"/>
      <c r="I120" s="2723"/>
      <c r="J120" s="2723"/>
      <c r="K120" s="2723"/>
      <c r="L120" s="2723"/>
      <c r="M120" s="2723"/>
      <c r="N120" s="2723"/>
      <c r="O120" s="2723"/>
    </row>
  </sheetData>
  <mergeCells count="1">
    <mergeCell ref="B120:O120"/>
  </mergeCells>
  <phoneticPr fontId="0" type="noConversion"/>
  <pageMargins left="0.25" right="0.25" top="0.5" bottom="0.5" header="0.5" footer="0.5"/>
  <pageSetup scale="31"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dimension ref="A1:AL168"/>
  <sheetViews>
    <sheetView tabSelected="1" topLeftCell="B1" zoomScale="85" zoomScaleNormal="85" workbookViewId="0">
      <pane xSplit="11" ySplit="6" topLeftCell="Y7" activePane="bottomRight" state="frozen"/>
      <selection activeCell="Y7" sqref="Y7"/>
      <selection pane="topRight" activeCell="Y7" sqref="Y7"/>
      <selection pane="bottomLeft" activeCell="Y7" sqref="Y7"/>
      <selection pane="bottomRight" activeCell="B1" sqref="B1"/>
    </sheetView>
  </sheetViews>
  <sheetFormatPr defaultRowHeight="12.75"/>
  <cols>
    <col min="1" max="1" width="14.25" style="1" customWidth="1"/>
    <col min="2" max="2" width="35.625" style="1" customWidth="1"/>
    <col min="3" max="24" width="8.625" style="1" hidden="1" customWidth="1"/>
    <col min="25" max="31" width="8.625" style="1" customWidth="1"/>
    <col min="32" max="32" width="8.625" customWidth="1"/>
    <col min="33" max="38" width="8.625" style="1" customWidth="1"/>
    <col min="39" max="16384" width="9" style="1"/>
  </cols>
  <sheetData>
    <row r="1" spans="1:38">
      <c r="B1" s="200" t="s">
        <v>2028</v>
      </c>
    </row>
    <row r="2" spans="1:38">
      <c r="B2" s="4" t="s">
        <v>10</v>
      </c>
      <c r="L2" s="8"/>
      <c r="M2" s="8"/>
      <c r="N2" s="8"/>
      <c r="P2" s="8"/>
      <c r="R2" s="8"/>
    </row>
    <row r="3" spans="1:38" ht="15.75">
      <c r="B3" s="376" t="s">
        <v>378</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row>
    <row r="4" spans="1:38">
      <c r="B4" s="5" t="s">
        <v>1</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row>
    <row r="5" spans="1:38">
      <c r="I5" s="13"/>
      <c r="J5" s="13"/>
      <c r="K5" s="13"/>
      <c r="L5" s="13"/>
      <c r="M5" s="13"/>
      <c r="N5" s="13"/>
      <c r="O5" s="13"/>
      <c r="P5" s="13"/>
      <c r="Q5"/>
      <c r="R5" s="13"/>
      <c r="S5"/>
      <c r="T5" s="2"/>
      <c r="U5" s="2"/>
      <c r="V5" s="2"/>
      <c r="W5" s="2"/>
      <c r="X5" s="2"/>
      <c r="Y5" s="2"/>
      <c r="Z5" s="2"/>
      <c r="AA5" s="2"/>
      <c r="AB5" s="2"/>
      <c r="AC5" s="410"/>
      <c r="AD5" s="2"/>
      <c r="AE5" s="2" t="str">
        <f>TRIM(+OversightActuals!V15)</f>
        <v/>
      </c>
      <c r="AF5" s="2" t="str">
        <f>TRIM(+OversightActuals!W15)</f>
        <v/>
      </c>
      <c r="AG5" s="2"/>
      <c r="AH5" s="2"/>
      <c r="AI5" s="2"/>
      <c r="AJ5" s="2"/>
      <c r="AK5" s="2" t="s">
        <v>1977</v>
      </c>
      <c r="AL5" s="2" t="s">
        <v>1697</v>
      </c>
    </row>
    <row r="6" spans="1:38">
      <c r="C6" s="2" t="s">
        <v>1648</v>
      </c>
      <c r="D6" s="2" t="s">
        <v>1649</v>
      </c>
      <c r="E6" s="2" t="s">
        <v>1650</v>
      </c>
      <c r="F6" s="2" t="s">
        <v>1651</v>
      </c>
      <c r="G6" s="2" t="s">
        <v>1647</v>
      </c>
      <c r="H6" s="2" t="s">
        <v>1652</v>
      </c>
      <c r="I6" s="2" t="s">
        <v>1653</v>
      </c>
      <c r="J6" s="2" t="s">
        <v>1654</v>
      </c>
      <c r="K6" s="2" t="s">
        <v>1655</v>
      </c>
      <c r="L6" s="2" t="s">
        <v>1656</v>
      </c>
      <c r="M6" s="2" t="s">
        <v>1657</v>
      </c>
      <c r="N6" s="2" t="s">
        <v>1658</v>
      </c>
      <c r="O6" s="2" t="s">
        <v>1659</v>
      </c>
      <c r="P6" s="2" t="s">
        <v>1660</v>
      </c>
      <c r="Q6" s="2" t="s">
        <v>1661</v>
      </c>
      <c r="R6" s="2" t="s">
        <v>1662</v>
      </c>
      <c r="S6" s="2" t="s">
        <v>1663</v>
      </c>
      <c r="T6" s="2" t="s">
        <v>1664</v>
      </c>
      <c r="U6" s="2" t="s">
        <v>1665</v>
      </c>
      <c r="V6" s="2" t="s">
        <v>1666</v>
      </c>
      <c r="W6" s="2" t="s">
        <v>1667</v>
      </c>
      <c r="X6" s="2" t="s">
        <v>1668</v>
      </c>
      <c r="Y6" s="2" t="s">
        <v>1669</v>
      </c>
      <c r="Z6" s="2" t="s">
        <v>1670</v>
      </c>
      <c r="AA6" s="2" t="str">
        <f>"FY"&amp;OversightActuals!R17</f>
        <v>FY2014</v>
      </c>
      <c r="AB6" s="2" t="str">
        <f>"FY"&amp;OversightActuals!S17</f>
        <v>FY2015</v>
      </c>
      <c r="AC6" s="2" t="str">
        <f>"FY"&amp;OversightActuals!T17</f>
        <v>FY2016</v>
      </c>
      <c r="AD6" s="2" t="str">
        <f>"FY"&amp;OversightActuals!U17</f>
        <v>FY2017</v>
      </c>
      <c r="AE6" s="2" t="str">
        <f>"FY"&amp;OversightActuals!V17</f>
        <v>FY2018</v>
      </c>
      <c r="AF6" s="2" t="str">
        <f>"FY"&amp;OversightActuals!W17</f>
        <v>FY2019</v>
      </c>
      <c r="AG6" s="2" t="str">
        <f>"FY"&amp;OversightActuals!X17</f>
        <v>FY2020</v>
      </c>
      <c r="AH6" s="2" t="str">
        <f>"FY"&amp;OversightActuals!Y17</f>
        <v>FY2021</v>
      </c>
      <c r="AI6" s="2" t="str">
        <f>"FY"&amp;OversightActuals!Z17</f>
        <v>FY2022</v>
      </c>
      <c r="AJ6" s="2" t="str">
        <f>"FY"&amp;OversightActuals!AA17</f>
        <v>FY2023</v>
      </c>
      <c r="AK6" s="2" t="str">
        <f>"FY"&amp;OversightBudgets!D16</f>
        <v>FY2024</v>
      </c>
      <c r="AL6" s="2" t="str">
        <f>"FY"&amp;OversightBudgets!E16</f>
        <v>FY2025</v>
      </c>
    </row>
    <row r="8" spans="1:38">
      <c r="A8" s="1" t="s">
        <v>139</v>
      </c>
      <c r="B8" s="1" t="s">
        <v>2</v>
      </c>
      <c r="C8" s="3">
        <f t="shared" ref="C8:AL8" si="0">+C27+C46</f>
        <v>291762</v>
      </c>
      <c r="D8" s="3">
        <f t="shared" si="0"/>
        <v>325999</v>
      </c>
      <c r="E8" s="3">
        <f t="shared" si="0"/>
        <v>328496</v>
      </c>
      <c r="F8" s="3">
        <f t="shared" si="0"/>
        <v>343702</v>
      </c>
      <c r="G8" s="3">
        <f t="shared" si="0"/>
        <v>329210</v>
      </c>
      <c r="H8" s="3">
        <f t="shared" si="0"/>
        <v>347963</v>
      </c>
      <c r="I8" s="3">
        <f t="shared" si="0"/>
        <v>353895</v>
      </c>
      <c r="J8" s="3">
        <f t="shared" si="0"/>
        <v>368602</v>
      </c>
      <c r="K8" s="3">
        <f t="shared" si="0"/>
        <v>387688</v>
      </c>
      <c r="L8" s="3">
        <f t="shared" si="0"/>
        <v>427151</v>
      </c>
      <c r="M8" s="3">
        <f t="shared" si="0"/>
        <v>449545.08742</v>
      </c>
      <c r="N8" s="3">
        <f t="shared" si="0"/>
        <v>475241.63114999991</v>
      </c>
      <c r="O8" s="3">
        <f t="shared" si="0"/>
        <v>502742.92674000002</v>
      </c>
      <c r="P8" s="3">
        <f t="shared" si="0"/>
        <v>514596.17203000002</v>
      </c>
      <c r="Q8" s="3">
        <f t="shared" si="0"/>
        <v>507223.41172999993</v>
      </c>
      <c r="R8" s="3">
        <f t="shared" si="0"/>
        <v>549574.81952000014</v>
      </c>
      <c r="S8" s="3">
        <f t="shared" si="0"/>
        <v>572124.36215000006</v>
      </c>
      <c r="T8" s="3">
        <f t="shared" si="0"/>
        <v>630164.66880999994</v>
      </c>
      <c r="U8" s="3">
        <f t="shared" si="0"/>
        <v>677467.09440000006</v>
      </c>
      <c r="V8" s="3">
        <f t="shared" si="0"/>
        <v>701227.93357999995</v>
      </c>
      <c r="W8" s="3">
        <f t="shared" si="0"/>
        <v>651121.66717999987</v>
      </c>
      <c r="X8" s="3">
        <f t="shared" si="0"/>
        <v>727879.79217000003</v>
      </c>
      <c r="Y8" s="3">
        <f t="shared" si="0"/>
        <v>683358.44417999999</v>
      </c>
      <c r="Z8" s="3">
        <f t="shared" si="0"/>
        <v>765908.66336000001</v>
      </c>
      <c r="AA8" s="3">
        <f t="shared" si="0"/>
        <v>760584.46782999998</v>
      </c>
      <c r="AB8" s="3">
        <f t="shared" si="0"/>
        <v>868210.65039999993</v>
      </c>
      <c r="AC8" s="3">
        <f t="shared" si="0"/>
        <v>875364.75794000004</v>
      </c>
      <c r="AD8" s="3">
        <f t="shared" si="0"/>
        <v>957632.71149000013</v>
      </c>
      <c r="AE8" s="3">
        <f t="shared" si="0"/>
        <v>1065660.6200699999</v>
      </c>
      <c r="AF8" s="3">
        <f t="shared" si="0"/>
        <v>1021138.2573299999</v>
      </c>
      <c r="AG8" s="3">
        <f t="shared" si="0"/>
        <v>1043354.41463</v>
      </c>
      <c r="AH8" s="3">
        <f t="shared" ref="AH8:AK8" si="1">+AH27+AH46</f>
        <v>1073494.72551</v>
      </c>
      <c r="AI8" s="3">
        <f t="shared" si="1"/>
        <v>1076827.1910699999</v>
      </c>
      <c r="AJ8" s="3">
        <f t="shared" ref="AJ8" si="2">+AJ27+AJ46</f>
        <v>1143795.7161599998</v>
      </c>
      <c r="AK8" s="3">
        <f t="shared" si="1"/>
        <v>1376734.8219599999</v>
      </c>
      <c r="AL8" s="3">
        <f t="shared" si="0"/>
        <v>1353015</v>
      </c>
    </row>
    <row r="9" spans="1:38">
      <c r="A9" s="1" t="s">
        <v>140</v>
      </c>
      <c r="B9" s="1" t="s">
        <v>3</v>
      </c>
      <c r="C9" s="3">
        <f t="shared" ref="C9:AL9" si="3">+C28+C47</f>
        <v>163826</v>
      </c>
      <c r="D9" s="3">
        <f t="shared" si="3"/>
        <v>175894</v>
      </c>
      <c r="E9" s="3">
        <f t="shared" si="3"/>
        <v>182332</v>
      </c>
      <c r="F9" s="3">
        <f t="shared" si="3"/>
        <v>190779</v>
      </c>
      <c r="G9" s="3">
        <f t="shared" si="3"/>
        <v>189527</v>
      </c>
      <c r="H9" s="3">
        <f t="shared" si="3"/>
        <v>194202</v>
      </c>
      <c r="I9" s="3">
        <f t="shared" si="3"/>
        <v>201797</v>
      </c>
      <c r="J9" s="3">
        <f t="shared" si="3"/>
        <v>215381</v>
      </c>
      <c r="K9" s="3">
        <f t="shared" si="3"/>
        <v>227062</v>
      </c>
      <c r="L9" s="3">
        <f t="shared" si="3"/>
        <v>228398</v>
      </c>
      <c r="M9" s="3">
        <f t="shared" si="3"/>
        <v>242470.87599999999</v>
      </c>
      <c r="N9" s="3">
        <f t="shared" si="3"/>
        <v>257742.56779</v>
      </c>
      <c r="O9" s="3">
        <f t="shared" si="3"/>
        <v>267079.95900000003</v>
      </c>
      <c r="P9" s="3">
        <f t="shared" si="3"/>
        <v>273291.15953999996</v>
      </c>
      <c r="Q9" s="3">
        <f t="shared" si="3"/>
        <v>276727.04093999998</v>
      </c>
      <c r="R9" s="3">
        <f t="shared" si="3"/>
        <v>296119.48226000002</v>
      </c>
      <c r="S9" s="3">
        <f t="shared" si="3"/>
        <v>317099.69099999999</v>
      </c>
      <c r="T9" s="3">
        <f t="shared" si="3"/>
        <v>335545.76300000004</v>
      </c>
      <c r="U9" s="3">
        <f t="shared" si="3"/>
        <v>369895.36622999999</v>
      </c>
      <c r="V9" s="3">
        <f t="shared" si="3"/>
        <v>383555.57764999999</v>
      </c>
      <c r="W9" s="3">
        <f t="shared" si="3"/>
        <v>364353.98788999999</v>
      </c>
      <c r="X9" s="3">
        <f t="shared" si="3"/>
        <v>359556.01685000001</v>
      </c>
      <c r="Y9" s="3">
        <f t="shared" si="3"/>
        <v>365375.52492</v>
      </c>
      <c r="Z9" s="3">
        <f t="shared" si="3"/>
        <v>385543.03460000001</v>
      </c>
      <c r="AA9" s="3">
        <f t="shared" si="3"/>
        <v>418391.59240999998</v>
      </c>
      <c r="AB9" s="3">
        <f t="shared" si="3"/>
        <v>428735.26360000001</v>
      </c>
      <c r="AC9" s="3">
        <f t="shared" si="3"/>
        <v>470312.67671000003</v>
      </c>
      <c r="AD9" s="3">
        <f t="shared" si="3"/>
        <v>454751.07212000003</v>
      </c>
      <c r="AE9" s="3">
        <f t="shared" si="3"/>
        <v>481956.70571000001</v>
      </c>
      <c r="AF9" s="3">
        <f t="shared" si="3"/>
        <v>501595.72521</v>
      </c>
      <c r="AG9" s="3">
        <f t="shared" si="3"/>
        <v>510096.04605</v>
      </c>
      <c r="AH9" s="3">
        <f t="shared" ref="AH9:AK9" si="4">+AH28+AH47</f>
        <v>507934.61124999996</v>
      </c>
      <c r="AI9" s="3">
        <f t="shared" si="4"/>
        <v>518702.50774999999</v>
      </c>
      <c r="AJ9" s="3">
        <f t="shared" ref="AJ9" si="5">+AJ28+AJ47</f>
        <v>561648.69647999993</v>
      </c>
      <c r="AK9" s="3">
        <f t="shared" si="4"/>
        <v>554147.99413000001</v>
      </c>
      <c r="AL9" s="3">
        <f t="shared" si="3"/>
        <v>602989</v>
      </c>
    </row>
    <row r="10" spans="1:38">
      <c r="A10" s="1" t="s">
        <v>141</v>
      </c>
      <c r="B10" s="1" t="s">
        <v>4</v>
      </c>
      <c r="C10" s="3">
        <f t="shared" ref="C10:AL10" si="6">+C29+C48</f>
        <v>44110</v>
      </c>
      <c r="D10" s="3">
        <f t="shared" si="6"/>
        <v>48878</v>
      </c>
      <c r="E10" s="3">
        <f t="shared" si="6"/>
        <v>48178</v>
      </c>
      <c r="F10" s="3">
        <f t="shared" si="6"/>
        <v>52355</v>
      </c>
      <c r="G10" s="3">
        <f t="shared" si="6"/>
        <v>50670</v>
      </c>
      <c r="H10" s="3">
        <f t="shared" si="6"/>
        <v>52999</v>
      </c>
      <c r="I10" s="3">
        <f t="shared" si="6"/>
        <v>53034</v>
      </c>
      <c r="J10" s="3">
        <f t="shared" si="6"/>
        <v>54054</v>
      </c>
      <c r="K10" s="3">
        <f t="shared" si="6"/>
        <v>54349</v>
      </c>
      <c r="L10" s="3">
        <f t="shared" si="6"/>
        <v>56000</v>
      </c>
      <c r="M10" s="3">
        <f t="shared" si="6"/>
        <v>59395.021710000001</v>
      </c>
      <c r="N10" s="3">
        <f t="shared" si="6"/>
        <v>63921.520680000001</v>
      </c>
      <c r="O10" s="3">
        <f t="shared" si="6"/>
        <v>64627.691350000001</v>
      </c>
      <c r="P10" s="3">
        <f t="shared" si="6"/>
        <v>66622.763659999997</v>
      </c>
      <c r="Q10" s="3">
        <f t="shared" si="6"/>
        <v>68228.37599</v>
      </c>
      <c r="R10" s="3">
        <f t="shared" si="6"/>
        <v>76615.5147</v>
      </c>
      <c r="S10" s="3">
        <f t="shared" si="6"/>
        <v>78737.380869999994</v>
      </c>
      <c r="T10" s="3">
        <f t="shared" si="6"/>
        <v>86599.592629999999</v>
      </c>
      <c r="U10" s="3">
        <f t="shared" si="6"/>
        <v>94941.839349999995</v>
      </c>
      <c r="V10" s="3">
        <f t="shared" si="6"/>
        <v>94090.307360000006</v>
      </c>
      <c r="W10" s="3">
        <f t="shared" si="6"/>
        <v>91139.749490000002</v>
      </c>
      <c r="X10" s="3">
        <f t="shared" si="6"/>
        <v>90140.518549999993</v>
      </c>
      <c r="Y10" s="3">
        <f t="shared" si="6"/>
        <v>90447.433520000006</v>
      </c>
      <c r="Z10" s="3">
        <f t="shared" si="6"/>
        <v>93663.723740000001</v>
      </c>
      <c r="AA10" s="3">
        <f t="shared" si="6"/>
        <v>101675.24832</v>
      </c>
      <c r="AB10" s="3">
        <f t="shared" si="6"/>
        <v>108376.24776</v>
      </c>
      <c r="AC10" s="3">
        <f t="shared" si="6"/>
        <v>114440.29471</v>
      </c>
      <c r="AD10" s="3">
        <f t="shared" si="6"/>
        <v>116011.10297000001</v>
      </c>
      <c r="AE10" s="3">
        <f t="shared" si="6"/>
        <v>121565.90883999999</v>
      </c>
      <c r="AF10" s="3">
        <f t="shared" si="6"/>
        <v>126530.47464999999</v>
      </c>
      <c r="AG10" s="3">
        <f t="shared" si="6"/>
        <v>135560.5575</v>
      </c>
      <c r="AH10" s="3">
        <f t="shared" ref="AH10:AK10" si="7">+AH29+AH48</f>
        <v>123168.74309</v>
      </c>
      <c r="AI10" s="3">
        <f t="shared" si="7"/>
        <v>118623.75087</v>
      </c>
      <c r="AJ10" s="3">
        <f t="shared" ref="AJ10" si="8">+AJ29+AJ48</f>
        <v>131716.78505000001</v>
      </c>
      <c r="AK10" s="3">
        <f t="shared" si="7"/>
        <v>138801.12077000001</v>
      </c>
      <c r="AL10" s="3">
        <f t="shared" si="6"/>
        <v>155454</v>
      </c>
    </row>
    <row r="11" spans="1:38">
      <c r="A11" s="1" t="s">
        <v>142</v>
      </c>
      <c r="B11" s="1" t="s">
        <v>5</v>
      </c>
      <c r="C11" s="3">
        <f t="shared" ref="C11:AL11" si="9">+C30+C49</f>
        <v>36960</v>
      </c>
      <c r="D11" s="3">
        <f t="shared" si="9"/>
        <v>41894</v>
      </c>
      <c r="E11" s="3">
        <f t="shared" si="9"/>
        <v>40900</v>
      </c>
      <c r="F11" s="3">
        <f t="shared" si="9"/>
        <v>45010</v>
      </c>
      <c r="G11" s="3">
        <f t="shared" si="9"/>
        <v>43661</v>
      </c>
      <c r="H11" s="3">
        <f t="shared" si="9"/>
        <v>48276</v>
      </c>
      <c r="I11" s="3">
        <f t="shared" si="9"/>
        <v>48904</v>
      </c>
      <c r="J11" s="3">
        <f t="shared" si="9"/>
        <v>50619</v>
      </c>
      <c r="K11" s="3">
        <f t="shared" si="9"/>
        <v>54125</v>
      </c>
      <c r="L11" s="3">
        <f t="shared" si="9"/>
        <v>56260</v>
      </c>
      <c r="M11" s="3">
        <f t="shared" si="9"/>
        <v>58636.875039999999</v>
      </c>
      <c r="N11" s="3">
        <f t="shared" si="9"/>
        <v>61552.243900000001</v>
      </c>
      <c r="O11" s="3">
        <f t="shared" si="9"/>
        <v>61945.445739999996</v>
      </c>
      <c r="P11" s="3">
        <f t="shared" si="9"/>
        <v>65522.247709999996</v>
      </c>
      <c r="Q11" s="3">
        <f t="shared" si="9"/>
        <v>68157.088730000003</v>
      </c>
      <c r="R11" s="3">
        <f t="shared" si="9"/>
        <v>72238.277270000006</v>
      </c>
      <c r="S11" s="3">
        <f t="shared" si="9"/>
        <v>77836.117750000005</v>
      </c>
      <c r="T11" s="3">
        <f t="shared" si="9"/>
        <v>82549.904569999999</v>
      </c>
      <c r="U11" s="3">
        <f t="shared" si="9"/>
        <v>91342.240030000001</v>
      </c>
      <c r="V11" s="3">
        <f t="shared" si="9"/>
        <v>95378.561749999993</v>
      </c>
      <c r="W11" s="3">
        <f t="shared" si="9"/>
        <v>93109.36133</v>
      </c>
      <c r="X11" s="3">
        <f t="shared" si="9"/>
        <v>90637.175040000002</v>
      </c>
      <c r="Y11" s="3">
        <f t="shared" si="9"/>
        <v>91603.834000000003</v>
      </c>
      <c r="Z11" s="3">
        <f t="shared" si="9"/>
        <v>91771.811920000007</v>
      </c>
      <c r="AA11" s="3">
        <f t="shared" si="9"/>
        <v>105478.81094</v>
      </c>
      <c r="AB11" s="3">
        <f t="shared" si="9"/>
        <v>102226.50633</v>
      </c>
      <c r="AC11" s="3">
        <f t="shared" si="9"/>
        <v>108307.05895999999</v>
      </c>
      <c r="AD11" s="3">
        <f t="shared" si="9"/>
        <v>117220.19262</v>
      </c>
      <c r="AE11" s="3">
        <f t="shared" si="9"/>
        <v>115022.88041000001</v>
      </c>
      <c r="AF11" s="3">
        <f t="shared" si="9"/>
        <v>121533.89762</v>
      </c>
      <c r="AG11" s="3">
        <f t="shared" si="9"/>
        <v>125325.72652</v>
      </c>
      <c r="AH11" s="3">
        <f t="shared" ref="AH11:AK11" si="10">+AH30+AH49</f>
        <v>121215.04435000001</v>
      </c>
      <c r="AI11" s="3">
        <f t="shared" si="10"/>
        <v>127229.25951999999</v>
      </c>
      <c r="AJ11" s="3">
        <f t="shared" ref="AJ11" si="11">+AJ30+AJ49</f>
        <v>134902.89416999999</v>
      </c>
      <c r="AK11" s="3">
        <f t="shared" si="10"/>
        <v>144428.84929000001</v>
      </c>
      <c r="AL11" s="3">
        <f t="shared" si="9"/>
        <v>155279</v>
      </c>
    </row>
    <row r="12" spans="1:38">
      <c r="A12" s="1" t="s">
        <v>143</v>
      </c>
      <c r="B12" s="1" t="s">
        <v>6</v>
      </c>
      <c r="C12" s="3">
        <f t="shared" ref="C12:AL12" si="12">+C31+C50</f>
        <v>22873</v>
      </c>
      <c r="D12" s="3">
        <f t="shared" si="12"/>
        <v>26315</v>
      </c>
      <c r="E12" s="3">
        <f t="shared" si="12"/>
        <v>25360</v>
      </c>
      <c r="F12" s="3">
        <f t="shared" si="12"/>
        <v>28822</v>
      </c>
      <c r="G12" s="3">
        <f t="shared" si="12"/>
        <v>25948</v>
      </c>
      <c r="H12" s="3">
        <f t="shared" si="12"/>
        <v>29476</v>
      </c>
      <c r="I12" s="3">
        <f t="shared" si="12"/>
        <v>27997</v>
      </c>
      <c r="J12" s="3">
        <f t="shared" si="12"/>
        <v>31117</v>
      </c>
      <c r="K12" s="3">
        <f t="shared" si="12"/>
        <v>30961</v>
      </c>
      <c r="L12" s="3">
        <f t="shared" si="12"/>
        <v>33202</v>
      </c>
      <c r="M12" s="3">
        <f t="shared" si="12"/>
        <v>36679.551319999999</v>
      </c>
      <c r="N12" s="3">
        <f t="shared" si="12"/>
        <v>39330.19397</v>
      </c>
      <c r="O12" s="3">
        <f t="shared" si="12"/>
        <v>39608.002359999999</v>
      </c>
      <c r="P12" s="3">
        <f t="shared" si="12"/>
        <v>40044.873899999999</v>
      </c>
      <c r="Q12" s="3">
        <f t="shared" si="12"/>
        <v>36643.969010000001</v>
      </c>
      <c r="R12" s="3">
        <f t="shared" si="12"/>
        <v>49600.97868</v>
      </c>
      <c r="S12" s="3">
        <f t="shared" si="12"/>
        <v>46531.275959999999</v>
      </c>
      <c r="T12" s="3">
        <f t="shared" si="12"/>
        <v>49616.036949999994</v>
      </c>
      <c r="U12" s="3">
        <f t="shared" si="12"/>
        <v>52715.593559999994</v>
      </c>
      <c r="V12" s="3">
        <f t="shared" si="12"/>
        <v>55372.131240000002</v>
      </c>
      <c r="W12" s="3">
        <f t="shared" si="12"/>
        <v>52526.564319999998</v>
      </c>
      <c r="X12" s="3">
        <f t="shared" si="12"/>
        <v>53666.716459999996</v>
      </c>
      <c r="Y12" s="3">
        <f t="shared" si="12"/>
        <v>52492.969089999999</v>
      </c>
      <c r="Z12" s="3">
        <f t="shared" si="12"/>
        <v>51897.828269999998</v>
      </c>
      <c r="AA12" s="3">
        <f t="shared" si="12"/>
        <v>54652.400399999999</v>
      </c>
      <c r="AB12" s="3">
        <f t="shared" si="12"/>
        <v>52091.56626</v>
      </c>
      <c r="AC12" s="3">
        <f t="shared" si="12"/>
        <v>67221.546340000001</v>
      </c>
      <c r="AD12" s="3">
        <f t="shared" si="12"/>
        <v>59679.698980000001</v>
      </c>
      <c r="AE12" s="3">
        <f t="shared" si="12"/>
        <v>60506.325209999995</v>
      </c>
      <c r="AF12" s="3">
        <f t="shared" si="12"/>
        <v>53946.058109999998</v>
      </c>
      <c r="AG12" s="3">
        <f t="shared" si="12"/>
        <v>55024.111440000001</v>
      </c>
      <c r="AH12" s="3">
        <f t="shared" ref="AH12:AK12" si="13">+AH31+AH50</f>
        <v>46288.364760000004</v>
      </c>
      <c r="AI12" s="3">
        <f t="shared" si="13"/>
        <v>40324.437480000001</v>
      </c>
      <c r="AJ12" s="3">
        <f t="shared" ref="AJ12" si="14">+AJ31+AJ50</f>
        <v>55331.346539999999</v>
      </c>
      <c r="AK12" s="3">
        <f t="shared" si="13"/>
        <v>58498.374830000001</v>
      </c>
      <c r="AL12" s="3">
        <f t="shared" si="12"/>
        <v>83889</v>
      </c>
    </row>
    <row r="13" spans="1:38">
      <c r="A13" s="1" t="s">
        <v>144</v>
      </c>
      <c r="B13" s="1" t="s">
        <v>7</v>
      </c>
      <c r="C13" s="41">
        <f t="shared" ref="C13:AL13" si="15">+C32+C51</f>
        <v>48405</v>
      </c>
      <c r="D13" s="41">
        <f t="shared" si="15"/>
        <v>54724</v>
      </c>
      <c r="E13" s="41">
        <f t="shared" si="15"/>
        <v>55157</v>
      </c>
      <c r="F13" s="41">
        <f t="shared" si="15"/>
        <v>57287</v>
      </c>
      <c r="G13" s="41">
        <f t="shared" si="15"/>
        <v>56885</v>
      </c>
      <c r="H13" s="41">
        <f t="shared" si="15"/>
        <v>59537</v>
      </c>
      <c r="I13" s="41">
        <f t="shared" si="15"/>
        <v>61104</v>
      </c>
      <c r="J13" s="41">
        <f t="shared" si="15"/>
        <v>65610</v>
      </c>
      <c r="K13" s="41">
        <f t="shared" si="15"/>
        <v>69545</v>
      </c>
      <c r="L13" s="41">
        <f t="shared" si="15"/>
        <v>73337</v>
      </c>
      <c r="M13" s="41">
        <f t="shared" si="15"/>
        <v>80290.45865</v>
      </c>
      <c r="N13" s="41">
        <f t="shared" si="15"/>
        <v>85918.500740000003</v>
      </c>
      <c r="O13" s="41">
        <f t="shared" si="15"/>
        <v>89686.052490000002</v>
      </c>
      <c r="P13" s="41">
        <f t="shared" si="15"/>
        <v>92575.151199999993</v>
      </c>
      <c r="Q13" s="41">
        <f t="shared" si="15"/>
        <v>94495.848989999999</v>
      </c>
      <c r="R13" s="41">
        <f t="shared" si="15"/>
        <v>98573.783160000006</v>
      </c>
      <c r="S13" s="41">
        <f t="shared" si="15"/>
        <v>103874.57331000001</v>
      </c>
      <c r="T13" s="41">
        <f t="shared" si="15"/>
        <v>111269.19142</v>
      </c>
      <c r="U13" s="41">
        <f t="shared" si="15"/>
        <v>122769.32603</v>
      </c>
      <c r="V13" s="41">
        <f t="shared" si="15"/>
        <v>124604.88769</v>
      </c>
      <c r="W13" s="41">
        <f t="shared" si="15"/>
        <v>127825.16189</v>
      </c>
      <c r="X13" s="41">
        <f t="shared" si="15"/>
        <v>124423.31516</v>
      </c>
      <c r="Y13" s="41">
        <f t="shared" si="15"/>
        <v>120854.89145000001</v>
      </c>
      <c r="Z13" s="41">
        <f t="shared" si="15"/>
        <v>125071.37989000001</v>
      </c>
      <c r="AA13" s="41">
        <f t="shared" si="15"/>
        <v>133658.86077999999</v>
      </c>
      <c r="AB13" s="41">
        <f t="shared" si="15"/>
        <v>140685.26579</v>
      </c>
      <c r="AC13" s="41">
        <f t="shared" si="15"/>
        <v>150278.99656</v>
      </c>
      <c r="AD13" s="41">
        <f t="shared" si="15"/>
        <v>162616.81394999998</v>
      </c>
      <c r="AE13" s="41">
        <f t="shared" si="15"/>
        <v>170276.34182000003</v>
      </c>
      <c r="AF13" s="41">
        <f t="shared" si="15"/>
        <v>177672.92749999999</v>
      </c>
      <c r="AG13" s="41">
        <f t="shared" si="15"/>
        <v>189747.98845</v>
      </c>
      <c r="AH13" s="41">
        <f t="shared" ref="AH13:AK13" si="16">+AH32+AH51</f>
        <v>184760.95359000002</v>
      </c>
      <c r="AI13" s="41">
        <f t="shared" si="16"/>
        <v>199655.45118</v>
      </c>
      <c r="AJ13" s="41">
        <f t="shared" ref="AJ13" si="17">+AJ32+AJ51</f>
        <v>214032.66454</v>
      </c>
      <c r="AK13" s="41">
        <f t="shared" si="16"/>
        <v>224421.91490999999</v>
      </c>
      <c r="AL13" s="41">
        <f t="shared" si="15"/>
        <v>217322</v>
      </c>
    </row>
    <row r="14" spans="1:38">
      <c r="B14" s="199" t="s">
        <v>290</v>
      </c>
      <c r="C14" s="42">
        <f t="shared" ref="C14:AL14" si="18">+C33+C52</f>
        <v>607936</v>
      </c>
      <c r="D14" s="42">
        <f t="shared" si="18"/>
        <v>673704</v>
      </c>
      <c r="E14" s="42">
        <f t="shared" si="18"/>
        <v>680423</v>
      </c>
      <c r="F14" s="42">
        <f t="shared" si="18"/>
        <v>717955</v>
      </c>
      <c r="G14" s="42">
        <f t="shared" si="18"/>
        <v>695901</v>
      </c>
      <c r="H14" s="42">
        <f t="shared" si="18"/>
        <v>732453</v>
      </c>
      <c r="I14" s="42">
        <f t="shared" si="18"/>
        <v>746731</v>
      </c>
      <c r="J14" s="42">
        <f t="shared" si="18"/>
        <v>785383</v>
      </c>
      <c r="K14" s="42">
        <f t="shared" si="18"/>
        <v>823730</v>
      </c>
      <c r="L14" s="42">
        <f t="shared" si="18"/>
        <v>874348</v>
      </c>
      <c r="M14" s="42">
        <f t="shared" si="18"/>
        <v>927017.87014000001</v>
      </c>
      <c r="N14" s="42">
        <f t="shared" si="18"/>
        <v>983706.65822999994</v>
      </c>
      <c r="O14" s="42">
        <f t="shared" si="18"/>
        <v>1025690.0776799999</v>
      </c>
      <c r="P14" s="42">
        <f t="shared" si="18"/>
        <v>1052652.3680399996</v>
      </c>
      <c r="Q14" s="42">
        <f t="shared" si="18"/>
        <v>1051475.73539</v>
      </c>
      <c r="R14" s="42">
        <f t="shared" si="18"/>
        <v>1142722.8555900001</v>
      </c>
      <c r="S14" s="42">
        <f t="shared" si="18"/>
        <v>1196203.4010399999</v>
      </c>
      <c r="T14" s="42">
        <f t="shared" si="18"/>
        <v>1295745.15738</v>
      </c>
      <c r="U14" s="42">
        <f t="shared" si="18"/>
        <v>1409131.4595999999</v>
      </c>
      <c r="V14" s="42">
        <f t="shared" si="18"/>
        <v>1454229.3992699999</v>
      </c>
      <c r="W14" s="42">
        <f t="shared" si="18"/>
        <v>1380076.4920999999</v>
      </c>
      <c r="X14" s="42">
        <f t="shared" si="18"/>
        <v>1446303.5342300001</v>
      </c>
      <c r="Y14" s="42">
        <f t="shared" si="18"/>
        <v>1404133.0971599999</v>
      </c>
      <c r="Z14" s="42">
        <f t="shared" si="18"/>
        <v>1513856.44178</v>
      </c>
      <c r="AA14" s="42">
        <f t="shared" si="18"/>
        <v>1574441.3806799999</v>
      </c>
      <c r="AB14" s="42">
        <f t="shared" si="18"/>
        <v>1700325.5001400001</v>
      </c>
      <c r="AC14" s="42">
        <f t="shared" si="18"/>
        <v>1785925.3312200003</v>
      </c>
      <c r="AD14" s="42">
        <f t="shared" si="18"/>
        <v>1867911.5921300002</v>
      </c>
      <c r="AE14" s="42">
        <f t="shared" si="18"/>
        <v>2014988.7820600001</v>
      </c>
      <c r="AF14" s="42">
        <f t="shared" si="18"/>
        <v>2002417.3404199998</v>
      </c>
      <c r="AG14" s="42">
        <f t="shared" si="18"/>
        <v>2059108.8445899999</v>
      </c>
      <c r="AH14" s="42">
        <f t="shared" ref="AH14:AK14" si="19">+AH33+AH52</f>
        <v>2056862.4425499998</v>
      </c>
      <c r="AI14" s="42">
        <f t="shared" si="19"/>
        <v>2081362.5978700002</v>
      </c>
      <c r="AJ14" s="42">
        <f t="shared" ref="AJ14" si="20">+AJ33+AJ52</f>
        <v>2241428.1029400001</v>
      </c>
      <c r="AK14" s="42">
        <f t="shared" si="19"/>
        <v>2497033.07589</v>
      </c>
      <c r="AL14" s="42">
        <f t="shared" si="18"/>
        <v>2567948</v>
      </c>
    </row>
    <row r="15" spans="1:38">
      <c r="C15"/>
      <c r="D15"/>
      <c r="E15"/>
      <c r="F15"/>
      <c r="G15"/>
      <c r="H15"/>
      <c r="I15"/>
      <c r="J15"/>
      <c r="K15"/>
      <c r="L15"/>
      <c r="M15"/>
      <c r="N15"/>
      <c r="O15"/>
      <c r="P15"/>
      <c r="Q15"/>
      <c r="R15"/>
      <c r="S15"/>
      <c r="T15"/>
      <c r="U15"/>
      <c r="V15"/>
      <c r="W15"/>
      <c r="X15"/>
      <c r="Y15"/>
      <c r="Z15"/>
      <c r="AA15"/>
      <c r="AB15"/>
      <c r="AC15"/>
      <c r="AD15"/>
      <c r="AE15"/>
      <c r="AG15"/>
      <c r="AH15"/>
      <c r="AI15"/>
      <c r="AJ15"/>
      <c r="AK15"/>
      <c r="AL15"/>
    </row>
    <row r="16" spans="1:38">
      <c r="A16" s="1" t="s">
        <v>145</v>
      </c>
      <c r="B16" s="1" t="s">
        <v>276</v>
      </c>
      <c r="C16" s="3">
        <f t="shared" ref="C16:AL16" si="21">+C35+C54</f>
        <v>345305</v>
      </c>
      <c r="D16" s="3">
        <f t="shared" si="21"/>
        <v>381166</v>
      </c>
      <c r="E16" s="3">
        <f t="shared" si="21"/>
        <v>392311</v>
      </c>
      <c r="F16" s="3">
        <f t="shared" si="21"/>
        <v>419747</v>
      </c>
      <c r="G16" s="3">
        <f t="shared" si="21"/>
        <v>417785</v>
      </c>
      <c r="H16" s="3">
        <f t="shared" si="21"/>
        <v>460684</v>
      </c>
      <c r="I16" s="3">
        <f t="shared" si="21"/>
        <v>451384</v>
      </c>
      <c r="J16" s="3">
        <f t="shared" si="21"/>
        <v>471612</v>
      </c>
      <c r="K16" s="3">
        <f t="shared" si="21"/>
        <v>498907</v>
      </c>
      <c r="L16" s="3">
        <f t="shared" si="21"/>
        <v>542361</v>
      </c>
      <c r="M16" s="3">
        <f t="shared" si="21"/>
        <v>589545.27165999997</v>
      </c>
      <c r="N16" s="3">
        <f t="shared" si="21"/>
        <v>628091.14969999995</v>
      </c>
      <c r="O16" s="3">
        <f t="shared" si="21"/>
        <v>661026.77676000004</v>
      </c>
      <c r="P16" s="3">
        <f t="shared" si="21"/>
        <v>692872.59643000003</v>
      </c>
      <c r="Q16" s="3">
        <f t="shared" si="21"/>
        <v>702216.46904</v>
      </c>
      <c r="R16" s="3">
        <f t="shared" si="21"/>
        <v>731684.62003999995</v>
      </c>
      <c r="S16" s="3">
        <f t="shared" si="21"/>
        <v>795975.98346000002</v>
      </c>
      <c r="T16" s="3">
        <f t="shared" si="21"/>
        <v>842171.29804999998</v>
      </c>
      <c r="U16" s="3">
        <f t="shared" si="21"/>
        <v>939441.97876999993</v>
      </c>
      <c r="V16" s="3">
        <f t="shared" si="21"/>
        <v>955223.85988000012</v>
      </c>
      <c r="W16" s="3">
        <f t="shared" si="21"/>
        <v>953534.43322000001</v>
      </c>
      <c r="X16" s="3">
        <f t="shared" si="21"/>
        <v>962072.24080000015</v>
      </c>
      <c r="Y16" s="3">
        <f t="shared" si="21"/>
        <v>900631.47571000003</v>
      </c>
      <c r="Z16" s="3">
        <f t="shared" si="21"/>
        <v>919011.06643000001</v>
      </c>
      <c r="AA16" s="3">
        <f t="shared" si="21"/>
        <v>984186.87418999989</v>
      </c>
      <c r="AB16" s="3">
        <f t="shared" si="21"/>
        <v>987893.99224000005</v>
      </c>
      <c r="AC16" s="3">
        <f t="shared" si="21"/>
        <v>1054960.9542</v>
      </c>
      <c r="AD16" s="3">
        <f t="shared" si="21"/>
        <v>1095236.7057</v>
      </c>
      <c r="AE16" s="3">
        <f t="shared" si="21"/>
        <v>1097432.1599300001</v>
      </c>
      <c r="AF16" s="3">
        <f t="shared" si="21"/>
        <v>1090859.4015199998</v>
      </c>
      <c r="AG16" s="3">
        <f t="shared" si="21"/>
        <v>1204481.56091</v>
      </c>
      <c r="AH16" s="3">
        <f t="shared" ref="AH16:AK16" si="22">+AH35+AH54</f>
        <v>1209425.1199099999</v>
      </c>
      <c r="AI16" s="3">
        <f t="shared" si="22"/>
        <v>1274563.6729499998</v>
      </c>
      <c r="AJ16" s="3">
        <f t="shared" ref="AJ16" si="23">+AJ35+AJ54</f>
        <v>1353203.1451099999</v>
      </c>
      <c r="AK16" s="3">
        <f t="shared" si="22"/>
        <v>1524740.4374000002</v>
      </c>
      <c r="AL16" s="3">
        <f t="shared" si="21"/>
        <v>1615339</v>
      </c>
    </row>
    <row r="17" spans="1:38">
      <c r="A17" s="1" t="s">
        <v>1164</v>
      </c>
      <c r="B17" s="1" t="s">
        <v>1170</v>
      </c>
      <c r="C17" s="3">
        <f t="shared" ref="C17:AL17" si="24">+C36+C55</f>
        <v>29537</v>
      </c>
      <c r="D17" s="3">
        <f t="shared" si="24"/>
        <v>34001</v>
      </c>
      <c r="E17" s="3">
        <f t="shared" si="24"/>
        <v>39017</v>
      </c>
      <c r="F17" s="3">
        <f t="shared" si="24"/>
        <v>39681</v>
      </c>
      <c r="G17" s="3">
        <f t="shared" si="24"/>
        <v>63643</v>
      </c>
      <c r="H17" s="3">
        <f t="shared" si="24"/>
        <v>69829</v>
      </c>
      <c r="I17" s="3">
        <f t="shared" si="24"/>
        <v>72875</v>
      </c>
      <c r="J17" s="3">
        <f t="shared" si="24"/>
        <v>78214</v>
      </c>
      <c r="K17" s="3">
        <f t="shared" si="24"/>
        <v>91048</v>
      </c>
      <c r="L17" s="3">
        <f t="shared" si="24"/>
        <v>100008</v>
      </c>
      <c r="M17" s="3">
        <f t="shared" si="24"/>
        <v>106710.88920000001</v>
      </c>
      <c r="N17" s="3">
        <f t="shared" si="24"/>
        <v>124503.73546000001</v>
      </c>
      <c r="O17" s="3">
        <f t="shared" si="24"/>
        <v>125863.46089</v>
      </c>
      <c r="P17" s="3">
        <f t="shared" si="24"/>
        <v>138130.20137999998</v>
      </c>
      <c r="Q17" s="3">
        <f t="shared" si="24"/>
        <v>147382.80502</v>
      </c>
      <c r="R17" s="3">
        <f t="shared" si="24"/>
        <v>165712.82459999999</v>
      </c>
      <c r="S17" s="3">
        <f t="shared" si="24"/>
        <v>191370.80129</v>
      </c>
      <c r="T17" s="3">
        <f t="shared" si="24"/>
        <v>203005.28761000003</v>
      </c>
      <c r="U17" s="3">
        <f t="shared" si="24"/>
        <v>233821.38019</v>
      </c>
      <c r="V17" s="3">
        <f t="shared" si="24"/>
        <v>238039.08532000001</v>
      </c>
      <c r="W17" s="3">
        <f t="shared" si="24"/>
        <v>254718.60451</v>
      </c>
      <c r="X17" s="3">
        <f t="shared" si="24"/>
        <v>231505.90229</v>
      </c>
      <c r="Y17" s="3">
        <f t="shared" si="24"/>
        <v>292426.95181999996</v>
      </c>
      <c r="Z17" s="3">
        <f t="shared" si="24"/>
        <v>325404.95790000004</v>
      </c>
      <c r="AA17" s="3">
        <f t="shared" si="24"/>
        <v>369670.31862000003</v>
      </c>
      <c r="AB17" s="3">
        <f t="shared" si="24"/>
        <v>355136.72717999999</v>
      </c>
      <c r="AC17" s="3">
        <f t="shared" si="24"/>
        <v>368587.11984</v>
      </c>
      <c r="AD17" s="3">
        <f t="shared" si="24"/>
        <v>354306.22791000002</v>
      </c>
      <c r="AE17" s="3">
        <f t="shared" si="24"/>
        <v>356843.75072000001</v>
      </c>
      <c r="AF17" s="3">
        <f t="shared" si="24"/>
        <v>385206.31635000004</v>
      </c>
      <c r="AG17" s="3">
        <f t="shared" si="24"/>
        <v>425684.04938999994</v>
      </c>
      <c r="AH17" s="3">
        <f t="shared" ref="AH17:AK17" si="25">+AH36+AH55</f>
        <v>514770.20597000007</v>
      </c>
      <c r="AI17" s="3">
        <f t="shared" si="25"/>
        <v>511124.36132999999</v>
      </c>
      <c r="AJ17" s="3">
        <f t="shared" ref="AJ17" si="26">+AJ36+AJ55</f>
        <v>543536.59003000008</v>
      </c>
      <c r="AK17" s="3">
        <f t="shared" si="25"/>
        <v>560502.64161000005</v>
      </c>
      <c r="AL17" s="3">
        <f t="shared" si="24"/>
        <v>584100</v>
      </c>
    </row>
    <row r="18" spans="1:38"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row>
    <row r="19" spans="1:38" ht="13.5" thickTop="1">
      <c r="B19" s="1" t="s">
        <v>9</v>
      </c>
      <c r="C19" s="39">
        <f t="shared" ref="C19:AL19" si="27">+C38+C57</f>
        <v>982778</v>
      </c>
      <c r="D19" s="39">
        <f t="shared" si="27"/>
        <v>1088871</v>
      </c>
      <c r="E19" s="39">
        <f t="shared" si="27"/>
        <v>1111751</v>
      </c>
      <c r="F19" s="39">
        <f t="shared" si="27"/>
        <v>1177383</v>
      </c>
      <c r="G19" s="39">
        <f t="shared" si="27"/>
        <v>1177329</v>
      </c>
      <c r="H19" s="39">
        <f t="shared" si="27"/>
        <v>1262966</v>
      </c>
      <c r="I19" s="39">
        <f t="shared" si="27"/>
        <v>1270990</v>
      </c>
      <c r="J19" s="39">
        <f t="shared" si="27"/>
        <v>1335209</v>
      </c>
      <c r="K19" s="39">
        <f t="shared" si="27"/>
        <v>1413685</v>
      </c>
      <c r="L19" s="39">
        <f t="shared" si="27"/>
        <v>1516717</v>
      </c>
      <c r="M19" s="39">
        <f t="shared" si="27"/>
        <v>1623274.031</v>
      </c>
      <c r="N19" s="39">
        <f t="shared" si="27"/>
        <v>1736301.5433900002</v>
      </c>
      <c r="O19" s="39">
        <f t="shared" si="27"/>
        <v>1812580.3153299999</v>
      </c>
      <c r="P19" s="39">
        <f t="shared" si="27"/>
        <v>1883655.1658499998</v>
      </c>
      <c r="Q19" s="39">
        <f t="shared" si="27"/>
        <v>1901075.0094500002</v>
      </c>
      <c r="R19" s="39">
        <f t="shared" si="27"/>
        <v>2040120.3002299999</v>
      </c>
      <c r="S19" s="39">
        <f t="shared" si="27"/>
        <v>2183550.18579</v>
      </c>
      <c r="T19" s="39">
        <f t="shared" si="27"/>
        <v>2340921.7430399996</v>
      </c>
      <c r="U19" s="39">
        <f t="shared" si="27"/>
        <v>2582394.81856</v>
      </c>
      <c r="V19" s="39">
        <f t="shared" si="27"/>
        <v>2647492.3444699999</v>
      </c>
      <c r="W19" s="39">
        <f t="shared" si="27"/>
        <v>2588329.5298300004</v>
      </c>
      <c r="X19" s="39">
        <f t="shared" si="27"/>
        <v>2639881.6773199998</v>
      </c>
      <c r="Y19" s="39">
        <f t="shared" si="27"/>
        <v>2597191.5246900003</v>
      </c>
      <c r="Z19" s="39">
        <f t="shared" si="27"/>
        <v>2758272.4661100004</v>
      </c>
      <c r="AA19" s="39">
        <f t="shared" si="27"/>
        <v>2928298.5734899999</v>
      </c>
      <c r="AB19" s="39">
        <f t="shared" si="27"/>
        <v>3043356.2195600001</v>
      </c>
      <c r="AC19" s="39">
        <f t="shared" si="27"/>
        <v>3209473.4052600004</v>
      </c>
      <c r="AD19" s="39">
        <f t="shared" si="27"/>
        <v>3317454.52574</v>
      </c>
      <c r="AE19" s="39">
        <f t="shared" si="27"/>
        <v>3469264.6927100001</v>
      </c>
      <c r="AF19" s="39">
        <f t="shared" si="27"/>
        <v>3478483.0582900001</v>
      </c>
      <c r="AG19" s="39">
        <f t="shared" si="27"/>
        <v>3689274.4548899997</v>
      </c>
      <c r="AH19" s="39">
        <f t="shared" ref="AH19:AK19" si="28">+AH38+AH57</f>
        <v>3781057.7684299997</v>
      </c>
      <c r="AI19" s="39">
        <f t="shared" si="28"/>
        <v>3867050.63215</v>
      </c>
      <c r="AJ19" s="39">
        <f t="shared" ref="AJ19" si="29">+AJ38+AJ57</f>
        <v>4138167.8380800006</v>
      </c>
      <c r="AK19" s="39">
        <f t="shared" si="28"/>
        <v>4582276.1549000004</v>
      </c>
      <c r="AL19" s="39">
        <f t="shared" si="27"/>
        <v>4767387</v>
      </c>
    </row>
    <row r="20" spans="1:38">
      <c r="B20" s="199" t="s">
        <v>379</v>
      </c>
      <c r="C20" s="3"/>
      <c r="D20" s="3">
        <f>+D19+C19</f>
        <v>2071649</v>
      </c>
      <c r="E20" s="3"/>
      <c r="F20" s="3">
        <f>+F19+E19</f>
        <v>2289134</v>
      </c>
      <c r="G20" s="3"/>
      <c r="H20" s="3">
        <f>+H19+G19</f>
        <v>2440295</v>
      </c>
      <c r="I20" s="3"/>
      <c r="J20" s="3">
        <f>+J19+I19</f>
        <v>2606199</v>
      </c>
      <c r="K20" s="3"/>
      <c r="L20" s="3">
        <f>+L19+K19</f>
        <v>2930402</v>
      </c>
      <c r="M20" s="3"/>
      <c r="N20" s="3">
        <f>+N19+M19</f>
        <v>3359575.5743900002</v>
      </c>
      <c r="O20" s="3"/>
      <c r="P20" s="3">
        <f>+P19+O19</f>
        <v>3696235.4811799997</v>
      </c>
      <c r="Q20" s="3"/>
      <c r="R20" s="3">
        <f>+R19+Q19</f>
        <v>3941195.3096799999</v>
      </c>
      <c r="S20" s="3"/>
      <c r="T20" s="3">
        <f>+T19+S19</f>
        <v>4524471.9288299996</v>
      </c>
      <c r="U20" s="3"/>
      <c r="V20" s="3">
        <f>+V19+U19</f>
        <v>5229887.1630300004</v>
      </c>
      <c r="W20" s="3"/>
      <c r="X20" s="3">
        <f>+X19+W19</f>
        <v>5228211.2071500001</v>
      </c>
      <c r="Y20" s="3"/>
      <c r="Z20" s="3">
        <f>+Z19+Y19</f>
        <v>5355463.9908000007</v>
      </c>
      <c r="AA20" s="3"/>
      <c r="AB20" s="3">
        <f>+AB19+AA19</f>
        <v>5971654.7930500004</v>
      </c>
      <c r="AC20" s="3"/>
      <c r="AD20" s="3">
        <f>+AD19+AC19</f>
        <v>6526927.9309999999</v>
      </c>
      <c r="AE20" s="3"/>
      <c r="AF20" s="3">
        <f>+AF19+AE19</f>
        <v>6947747.7510000002</v>
      </c>
      <c r="AG20" s="3"/>
      <c r="AH20" s="3">
        <f>+AH19+AG19</f>
        <v>7470332.2233199999</v>
      </c>
      <c r="AI20" s="3"/>
      <c r="AJ20" s="3">
        <f>+AJ19+AI19</f>
        <v>8005218.4702300001</v>
      </c>
      <c r="AK20" s="3"/>
      <c r="AL20" s="3">
        <f>+AL19+AK19</f>
        <v>9349663.1548999995</v>
      </c>
    </row>
    <row r="21" spans="1:38" ht="13.5">
      <c r="N21" s="1880" t="str">
        <f>IF(SUM(M8:N13,M16:N17)&lt;&gt;N20,"Error","")</f>
        <v/>
      </c>
      <c r="P21" s="1880" t="str">
        <f>IF(SUM(O8:P13,O16:P17)&lt;&gt;P20,"Error","")</f>
        <v/>
      </c>
      <c r="R21" s="1880" t="str">
        <f>IF(SUM(Q8:R13,Q16:R17)&lt;&gt;R20,"Error","")</f>
        <v/>
      </c>
      <c r="T21" s="1880" t="str">
        <f>IF(SUM(S8:T13,S16:T17)&lt;&gt;T20,"Error","")</f>
        <v/>
      </c>
      <c r="V21" s="1880" t="str">
        <f>IF(SUM(U8:V13,U16:V17)&lt;&gt;V20,"Error","")</f>
        <v/>
      </c>
      <c r="X21" s="1880" t="str">
        <f>IF(SUM(W8:X13,W16:X17)&lt;&gt;X20,"Error","")</f>
        <v/>
      </c>
      <c r="Z21" s="1880" t="str">
        <f>IF(SUM(Y8:Z13,Y16:Z17)&lt;&gt;Z20,"Error","")</f>
        <v/>
      </c>
      <c r="AB21" s="1880" t="str">
        <f>IF(SUM(AA8:AB13,AA16:AB17)&lt;&gt;AB20,"Error","")</f>
        <v/>
      </c>
      <c r="AD21" s="1880" t="str">
        <f>IF(SUM(AC8:AD13,AC16:AD17)&lt;&gt;AD20,"Error","")</f>
        <v/>
      </c>
      <c r="AG21" s="1880"/>
      <c r="AH21" s="1880"/>
      <c r="AI21" s="1880"/>
      <c r="AJ21" s="1880"/>
      <c r="AK21" s="1880"/>
      <c r="AL21" s="1880"/>
    </row>
    <row r="22" spans="1:38" ht="15.75">
      <c r="B22" s="376" t="s">
        <v>1671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row>
    <row r="23" spans="1:38">
      <c r="B23" s="5" t="str">
        <f>+$B$4</f>
        <v>(Dollars in Thousands)</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8">
      <c r="I24" s="13"/>
      <c r="J24" s="13"/>
      <c r="K24" s="13"/>
      <c r="L24" s="13"/>
      <c r="M24" s="13"/>
      <c r="N24" s="13"/>
      <c r="O24" s="13"/>
      <c r="P24" s="13"/>
      <c r="Q24"/>
      <c r="R24" s="13"/>
      <c r="S24"/>
      <c r="T24"/>
      <c r="U24"/>
      <c r="V24" s="2"/>
      <c r="W24"/>
      <c r="X24" s="2"/>
      <c r="Y24" s="2"/>
      <c r="Z24" s="2"/>
      <c r="AA24"/>
      <c r="AB24"/>
      <c r="AC24"/>
      <c r="AD24"/>
      <c r="AE24"/>
      <c r="AG24"/>
      <c r="AH24"/>
      <c r="AI24" s="2" t="str">
        <f>TRIM($AI$5)</f>
        <v/>
      </c>
      <c r="AJ24" s="2" t="str">
        <f>TRIM(AJ$5)</f>
        <v/>
      </c>
      <c r="AK24" s="2" t="str">
        <f>TRIM(AK$5)</f>
        <v>Final</v>
      </c>
      <c r="AL24" s="2" t="str">
        <f>TRIM(AL$5)</f>
        <v>Enacted</v>
      </c>
    </row>
    <row r="25" spans="1:38">
      <c r="C25" s="2" t="str">
        <f>+$C$6</f>
        <v>FY1990</v>
      </c>
      <c r="D25" s="2" t="str">
        <f>+$D$6</f>
        <v>FY1991</v>
      </c>
      <c r="E25" s="2" t="str">
        <f>+$E$6</f>
        <v>FY1992</v>
      </c>
      <c r="F25" s="2" t="str">
        <f>+$F$6</f>
        <v>FY1993</v>
      </c>
      <c r="G25" s="2" t="str">
        <f>+$G$6</f>
        <v>FY1994</v>
      </c>
      <c r="H25" s="2" t="str">
        <f>+$H$6</f>
        <v>FY1995</v>
      </c>
      <c r="I25" s="2" t="str">
        <f>+$I$6</f>
        <v>FY1996</v>
      </c>
      <c r="J25" s="2" t="str">
        <f>+$J$6</f>
        <v>FY1997</v>
      </c>
      <c r="K25" s="2" t="str">
        <f>+$K$6</f>
        <v>FY1998</v>
      </c>
      <c r="L25" s="2" t="str">
        <f>+$L$6</f>
        <v>FY1999</v>
      </c>
      <c r="M25" s="2" t="str">
        <f>+$M$6</f>
        <v>FY2000</v>
      </c>
      <c r="N25" s="2" t="str">
        <f>+$N$6</f>
        <v>FY2001*</v>
      </c>
      <c r="O25" s="2" t="str">
        <f>+$O$6</f>
        <v>FY2002</v>
      </c>
      <c r="P25" s="2" t="str">
        <f>+$P$6</f>
        <v>FY2003</v>
      </c>
      <c r="Q25" s="2" t="str">
        <f>+$Q$6</f>
        <v>FY2004*</v>
      </c>
      <c r="R25" s="2" t="str">
        <f>+$R$6</f>
        <v>FY2005*</v>
      </c>
      <c r="S25" s="2" t="str">
        <f>+S$6</f>
        <v>FY2006</v>
      </c>
      <c r="T25" s="2" t="str">
        <f>+T$6</f>
        <v>FY2007</v>
      </c>
      <c r="U25" s="2" t="str">
        <f>+U6</f>
        <v>FY2008</v>
      </c>
      <c r="V25" s="2" t="str">
        <f>+$V$6</f>
        <v>FY2009</v>
      </c>
      <c r="W25" s="2" t="str">
        <f>+$W$6</f>
        <v>FY2010</v>
      </c>
      <c r="X25" s="2" t="str">
        <f>+$X$6</f>
        <v>FY2011</v>
      </c>
      <c r="Y25" s="2" t="str">
        <f>+$Y$6</f>
        <v>FY2012</v>
      </c>
      <c r="Z25" s="2" t="str">
        <f>+$Z$6</f>
        <v>FY2013</v>
      </c>
      <c r="AA25" s="2" t="str">
        <f>+$AA$6</f>
        <v>FY2014</v>
      </c>
      <c r="AB25" s="2" t="str">
        <f>+$AB$6</f>
        <v>FY2015</v>
      </c>
      <c r="AC25" s="2" t="str">
        <f>+$AC$6</f>
        <v>FY2016</v>
      </c>
      <c r="AD25" s="2" t="str">
        <f>+$AD$6</f>
        <v>FY2017</v>
      </c>
      <c r="AE25" s="2" t="str">
        <f t="shared" ref="AE25:AL25" si="30">+AE$6</f>
        <v>FY2018</v>
      </c>
      <c r="AF25" s="2" t="str">
        <f t="shared" si="30"/>
        <v>FY2019</v>
      </c>
      <c r="AG25" s="2" t="str">
        <f t="shared" si="30"/>
        <v>FY2020</v>
      </c>
      <c r="AH25" s="2" t="str">
        <f t="shared" si="30"/>
        <v>FY2021</v>
      </c>
      <c r="AI25" s="2" t="str">
        <f t="shared" si="30"/>
        <v>FY2022</v>
      </c>
      <c r="AJ25" s="2" t="str">
        <f t="shared" si="30"/>
        <v>FY2023</v>
      </c>
      <c r="AK25" s="2" t="str">
        <f t="shared" si="30"/>
        <v>FY2024</v>
      </c>
      <c r="AL25" s="2" t="str">
        <f t="shared" si="30"/>
        <v>FY2025</v>
      </c>
    </row>
    <row r="26" spans="1:38">
      <c r="C26" s="3"/>
      <c r="D26" s="3"/>
      <c r="E26" s="3"/>
      <c r="F26" s="3"/>
      <c r="G26" s="3"/>
      <c r="H26" s="3"/>
      <c r="I26" s="3"/>
      <c r="J26" s="3"/>
      <c r="K26" s="3"/>
      <c r="L26" s="3"/>
      <c r="M26" s="3"/>
      <c r="N26" s="3"/>
      <c r="O26" s="3"/>
      <c r="P26" s="3"/>
      <c r="Q26" s="3"/>
      <c r="R26" s="3"/>
    </row>
    <row r="27" spans="1:38">
      <c r="B27" s="1" t="str">
        <f>+$B$8</f>
        <v>University of Washington</v>
      </c>
      <c r="C27" s="3">
        <f t="shared" ref="C27:L27" si="31">SUM(C65,C103,C122,C141,C84)</f>
        <v>237504</v>
      </c>
      <c r="D27" s="3">
        <f t="shared" si="31"/>
        <v>265961</v>
      </c>
      <c r="E27" s="3">
        <f t="shared" si="31"/>
        <v>259794</v>
      </c>
      <c r="F27" s="3">
        <f t="shared" si="31"/>
        <v>272390</v>
      </c>
      <c r="G27" s="3">
        <f t="shared" si="31"/>
        <v>254767</v>
      </c>
      <c r="H27" s="3">
        <f t="shared" si="31"/>
        <v>248525</v>
      </c>
      <c r="I27" s="3">
        <f t="shared" si="31"/>
        <v>259062</v>
      </c>
      <c r="J27" s="3">
        <f t="shared" si="31"/>
        <v>267601</v>
      </c>
      <c r="K27" s="3">
        <f t="shared" si="31"/>
        <v>284108</v>
      </c>
      <c r="L27" s="3">
        <f t="shared" si="31"/>
        <v>295832</v>
      </c>
      <c r="M27" s="3">
        <f t="shared" ref="M27:AL27" si="32">SUM(M65,M84,M103,M122,M141)</f>
        <v>321870.92765000003</v>
      </c>
      <c r="N27" s="3">
        <f t="shared" si="32"/>
        <v>342109.79055999994</v>
      </c>
      <c r="O27" s="3">
        <f t="shared" si="32"/>
        <v>351277.15714000002</v>
      </c>
      <c r="P27" s="3">
        <f t="shared" si="32"/>
        <v>340883.11893</v>
      </c>
      <c r="Q27" s="3">
        <f t="shared" si="32"/>
        <v>328717.00575999997</v>
      </c>
      <c r="R27" s="3">
        <f t="shared" si="32"/>
        <v>342243.10524000006</v>
      </c>
      <c r="S27" s="3">
        <f t="shared" si="32"/>
        <v>359390.89307000005</v>
      </c>
      <c r="T27" s="3">
        <f t="shared" si="32"/>
        <v>379551.57457</v>
      </c>
      <c r="U27" s="3">
        <f t="shared" si="32"/>
        <v>407536.09735</v>
      </c>
      <c r="V27" s="3">
        <f t="shared" si="32"/>
        <v>406684.60964999994</v>
      </c>
      <c r="W27" s="3">
        <f t="shared" si="32"/>
        <v>353752.92354999995</v>
      </c>
      <c r="X27" s="3">
        <f t="shared" si="32"/>
        <v>308273.23644000007</v>
      </c>
      <c r="Y27" s="3">
        <f t="shared" si="32"/>
        <v>230005.02367999998</v>
      </c>
      <c r="Z27" s="3">
        <f t="shared" si="32"/>
        <v>232327.86228</v>
      </c>
      <c r="AA27" s="3">
        <f t="shared" si="32"/>
        <v>276593.77883999998</v>
      </c>
      <c r="AB27" s="3">
        <f t="shared" si="32"/>
        <v>265202.27951999998</v>
      </c>
      <c r="AC27" s="3">
        <f t="shared" si="32"/>
        <v>314986.43656000006</v>
      </c>
      <c r="AD27" s="3">
        <f t="shared" si="32"/>
        <v>354739.95744000009</v>
      </c>
      <c r="AE27" s="3">
        <f t="shared" si="32"/>
        <v>376425.96989000001</v>
      </c>
      <c r="AF27" s="3">
        <f t="shared" si="32"/>
        <v>391271.21784</v>
      </c>
      <c r="AG27" s="3">
        <f t="shared" si="32"/>
        <v>421051.56208</v>
      </c>
      <c r="AH27" s="3">
        <f t="shared" ref="AH27:AK27" si="33">SUM(AH65,AH84,AH103,AH122,AH141)</f>
        <v>445743.51392999996</v>
      </c>
      <c r="AI27" s="3">
        <f t="shared" si="33"/>
        <v>458388.48271999997</v>
      </c>
      <c r="AJ27" s="3">
        <f t="shared" ref="AJ27" si="34">SUM(AJ65,AJ84,AJ103,AJ122,AJ141)</f>
        <v>495602.05877999996</v>
      </c>
      <c r="AK27" s="3">
        <f t="shared" si="33"/>
        <v>604234.16773999995</v>
      </c>
      <c r="AL27" s="3">
        <f t="shared" si="32"/>
        <v>635367</v>
      </c>
    </row>
    <row r="28" spans="1:38">
      <c r="B28" s="1" t="str">
        <f>+$B$9</f>
        <v>Washington State University</v>
      </c>
      <c r="C28" s="3">
        <f t="shared" ref="C28:L28" si="35">SUM(C66,C104,C123,C142,C85)</f>
        <v>137061</v>
      </c>
      <c r="D28" s="3">
        <f t="shared" si="35"/>
        <v>147957</v>
      </c>
      <c r="E28" s="3">
        <f t="shared" si="35"/>
        <v>149891</v>
      </c>
      <c r="F28" s="3">
        <f t="shared" si="35"/>
        <v>155831</v>
      </c>
      <c r="G28" s="3">
        <f t="shared" si="35"/>
        <v>148092</v>
      </c>
      <c r="H28" s="3">
        <f t="shared" si="35"/>
        <v>143748</v>
      </c>
      <c r="I28" s="3">
        <f t="shared" si="35"/>
        <v>150969</v>
      </c>
      <c r="J28" s="3">
        <f t="shared" si="35"/>
        <v>160691</v>
      </c>
      <c r="K28" s="3">
        <f t="shared" si="35"/>
        <v>171407</v>
      </c>
      <c r="L28" s="3">
        <f t="shared" si="35"/>
        <v>171200</v>
      </c>
      <c r="M28" s="3">
        <f t="shared" ref="M28:W28" si="36">SUM(M66,M85,M104,M123,M142)</f>
        <v>183312.06099999999</v>
      </c>
      <c r="N28" s="3">
        <f t="shared" si="36"/>
        <v>197707.86199999999</v>
      </c>
      <c r="O28" s="3">
        <f t="shared" si="36"/>
        <v>201270.03099999999</v>
      </c>
      <c r="P28" s="3">
        <f t="shared" si="36"/>
        <v>194177.66447999998</v>
      </c>
      <c r="Q28" s="3">
        <f t="shared" si="36"/>
        <v>190982.18400000001</v>
      </c>
      <c r="R28" s="3">
        <f t="shared" si="36"/>
        <v>199789.58726000003</v>
      </c>
      <c r="S28" s="3">
        <f t="shared" si="36"/>
        <v>214714</v>
      </c>
      <c r="T28" s="3">
        <f t="shared" si="36"/>
        <v>226398.01500000001</v>
      </c>
      <c r="U28" s="3">
        <f t="shared" si="36"/>
        <v>250860.03757999997</v>
      </c>
      <c r="V28" s="3">
        <f t="shared" si="36"/>
        <v>251036.07693000001</v>
      </c>
      <c r="W28" s="3">
        <f t="shared" si="36"/>
        <v>217120</v>
      </c>
      <c r="X28" s="3">
        <f t="shared" ref="X28:AL28" si="37">SUM(X66,X104,X123,X142,X85)</f>
        <v>201609.29480999999</v>
      </c>
      <c r="Y28" s="3">
        <f t="shared" si="37"/>
        <v>156013.87685</v>
      </c>
      <c r="Z28" s="3">
        <f t="shared" si="37"/>
        <v>155289.95000000001</v>
      </c>
      <c r="AA28" s="3">
        <f t="shared" si="37"/>
        <v>178909</v>
      </c>
      <c r="AB28" s="3">
        <f t="shared" si="37"/>
        <v>175099</v>
      </c>
      <c r="AC28" s="3">
        <f t="shared" si="37"/>
        <v>203533.17188000001</v>
      </c>
      <c r="AD28" s="3">
        <f t="shared" si="37"/>
        <v>229548.82811999999</v>
      </c>
      <c r="AE28" s="3">
        <f t="shared" si="37"/>
        <v>238211</v>
      </c>
      <c r="AF28" s="3">
        <f t="shared" si="37"/>
        <v>251147.06200000001</v>
      </c>
      <c r="AG28" s="3">
        <f t="shared" si="37"/>
        <v>267146.84999999998</v>
      </c>
      <c r="AH28" s="3">
        <f t="shared" ref="AH28:AK28" si="38">SUM(AH66,AH104,AH123,AH142,AH85)</f>
        <v>276743.85274</v>
      </c>
      <c r="AI28" s="3">
        <f t="shared" si="38"/>
        <v>283921</v>
      </c>
      <c r="AJ28" s="3">
        <f t="shared" ref="AJ28" si="39">SUM(AJ66,AJ104,AJ123,AJ142,AJ85)</f>
        <v>304133</v>
      </c>
      <c r="AK28" s="3">
        <f t="shared" si="38"/>
        <v>327694.75</v>
      </c>
      <c r="AL28" s="3">
        <f t="shared" si="37"/>
        <v>342341</v>
      </c>
    </row>
    <row r="29" spans="1:38">
      <c r="B29" s="1" t="str">
        <f>+$B$10</f>
        <v>Eastern Washington University</v>
      </c>
      <c r="C29" s="3">
        <f t="shared" ref="C29:L29" si="40">SUM(C67,C105,C124,C143,C86)</f>
        <v>34419</v>
      </c>
      <c r="D29" s="3">
        <f t="shared" si="40"/>
        <v>38169</v>
      </c>
      <c r="E29" s="3">
        <f t="shared" si="40"/>
        <v>36710</v>
      </c>
      <c r="F29" s="3">
        <f t="shared" si="40"/>
        <v>39892</v>
      </c>
      <c r="G29" s="3">
        <f t="shared" si="40"/>
        <v>36367</v>
      </c>
      <c r="H29" s="3">
        <f t="shared" si="40"/>
        <v>36560</v>
      </c>
      <c r="I29" s="3">
        <f t="shared" si="40"/>
        <v>37382</v>
      </c>
      <c r="J29" s="3">
        <f t="shared" si="40"/>
        <v>38188</v>
      </c>
      <c r="K29" s="3">
        <f t="shared" si="40"/>
        <v>39189</v>
      </c>
      <c r="L29" s="3">
        <f t="shared" si="40"/>
        <v>39454</v>
      </c>
      <c r="M29" s="3">
        <f t="shared" ref="M29:W29" si="41">SUM(M67,M86,M105,M124,M143)</f>
        <v>41668.078000000001</v>
      </c>
      <c r="N29" s="3">
        <f t="shared" si="41"/>
        <v>43970.171000000002</v>
      </c>
      <c r="O29" s="3">
        <f t="shared" si="41"/>
        <v>45591.631999999998</v>
      </c>
      <c r="P29" s="3">
        <f t="shared" si="41"/>
        <v>43906.379000000001</v>
      </c>
      <c r="Q29" s="3">
        <f t="shared" si="41"/>
        <v>41971.175410000003</v>
      </c>
      <c r="R29" s="3">
        <f t="shared" si="41"/>
        <v>45662.13811</v>
      </c>
      <c r="S29" s="3">
        <f t="shared" si="41"/>
        <v>49189.049189999998</v>
      </c>
      <c r="T29" s="3">
        <f t="shared" si="41"/>
        <v>52998.990810000003</v>
      </c>
      <c r="U29" s="3">
        <f t="shared" si="41"/>
        <v>59210.040589999997</v>
      </c>
      <c r="V29" s="3">
        <f t="shared" si="41"/>
        <v>57199.959410000003</v>
      </c>
      <c r="W29" s="3">
        <f t="shared" si="41"/>
        <v>49365.5</v>
      </c>
      <c r="X29" s="3">
        <f t="shared" ref="X29:AL29" si="42">SUM(X67,X105,X124,X143,X86)</f>
        <v>46421.5</v>
      </c>
      <c r="Y29" s="3">
        <f t="shared" si="42"/>
        <v>35394.5</v>
      </c>
      <c r="Z29" s="3">
        <f t="shared" si="42"/>
        <v>34911.5</v>
      </c>
      <c r="AA29" s="3">
        <f t="shared" si="42"/>
        <v>40281.5</v>
      </c>
      <c r="AB29" s="3">
        <f t="shared" si="42"/>
        <v>39784.5</v>
      </c>
      <c r="AC29" s="3">
        <f t="shared" si="42"/>
        <v>48015.5</v>
      </c>
      <c r="AD29" s="3">
        <f t="shared" si="42"/>
        <v>57680.5</v>
      </c>
      <c r="AE29" s="3">
        <f t="shared" si="42"/>
        <v>59625.5</v>
      </c>
      <c r="AF29" s="3">
        <f t="shared" si="42"/>
        <v>61428.151899999997</v>
      </c>
      <c r="AG29" s="3">
        <f t="shared" si="42"/>
        <v>66555.885999999999</v>
      </c>
      <c r="AH29" s="3">
        <f t="shared" ref="AH29:AK29" si="43">SUM(AH67,AH105,AH124,AH143,AH86)</f>
        <v>68769.014999999999</v>
      </c>
      <c r="AI29" s="3">
        <f t="shared" si="43"/>
        <v>69325</v>
      </c>
      <c r="AJ29" s="3">
        <f t="shared" ref="AJ29" si="44">SUM(AJ67,AJ105,AJ124,AJ143,AJ86)</f>
        <v>83188</v>
      </c>
      <c r="AK29" s="3">
        <f t="shared" si="43"/>
        <v>87570.5</v>
      </c>
      <c r="AL29" s="3">
        <f t="shared" si="42"/>
        <v>90318</v>
      </c>
    </row>
    <row r="30" spans="1:38">
      <c r="B30" s="1" t="str">
        <f>+$B$11</f>
        <v>Central Washington University</v>
      </c>
      <c r="C30" s="3">
        <f t="shared" ref="C30:L30" si="45">SUM(C68,C106,C125,C144,C87)</f>
        <v>29139</v>
      </c>
      <c r="D30" s="3">
        <f t="shared" si="45"/>
        <v>33307</v>
      </c>
      <c r="E30" s="3">
        <f t="shared" si="45"/>
        <v>31968</v>
      </c>
      <c r="F30" s="3">
        <f t="shared" si="45"/>
        <v>35310</v>
      </c>
      <c r="G30" s="3">
        <f t="shared" si="45"/>
        <v>31966</v>
      </c>
      <c r="H30" s="3">
        <f t="shared" si="45"/>
        <v>34167</v>
      </c>
      <c r="I30" s="3">
        <f t="shared" si="45"/>
        <v>33642</v>
      </c>
      <c r="J30" s="3">
        <f t="shared" si="45"/>
        <v>36347</v>
      </c>
      <c r="K30" s="3">
        <f t="shared" si="45"/>
        <v>37244</v>
      </c>
      <c r="L30" s="3">
        <f t="shared" si="45"/>
        <v>39158</v>
      </c>
      <c r="M30" s="3">
        <f t="shared" ref="M30:W30" si="46">SUM(M68,M87,M106,M125,M144)</f>
        <v>42130.065999999999</v>
      </c>
      <c r="N30" s="3">
        <f t="shared" si="46"/>
        <v>44321.897450000004</v>
      </c>
      <c r="O30" s="3">
        <f t="shared" si="46"/>
        <v>44143.528199999993</v>
      </c>
      <c r="P30" s="3">
        <f t="shared" si="46"/>
        <v>41599.184879999993</v>
      </c>
      <c r="Q30" s="3">
        <f t="shared" si="46"/>
        <v>41639.830430000002</v>
      </c>
      <c r="R30" s="3">
        <f t="shared" si="46"/>
        <v>44538.648400000005</v>
      </c>
      <c r="S30" s="3">
        <f t="shared" si="46"/>
        <v>48921</v>
      </c>
      <c r="T30" s="3">
        <f t="shared" si="46"/>
        <v>52530.258999999998</v>
      </c>
      <c r="U30" s="3">
        <f t="shared" si="46"/>
        <v>57748</v>
      </c>
      <c r="V30" s="3">
        <f t="shared" si="46"/>
        <v>58189</v>
      </c>
      <c r="W30" s="3">
        <f t="shared" si="46"/>
        <v>48013</v>
      </c>
      <c r="X30" s="3">
        <f t="shared" ref="X30:AL30" si="47">SUM(X68,X106,X125,X144,X87)</f>
        <v>45006.999150000003</v>
      </c>
      <c r="Y30" s="3">
        <f t="shared" si="47"/>
        <v>34012</v>
      </c>
      <c r="Z30" s="3">
        <f t="shared" si="47"/>
        <v>32631.546969999999</v>
      </c>
      <c r="AA30" s="3">
        <f t="shared" si="47"/>
        <v>40479</v>
      </c>
      <c r="AB30" s="3">
        <f t="shared" si="47"/>
        <v>39988</v>
      </c>
      <c r="AC30" s="3">
        <f t="shared" si="47"/>
        <v>47707</v>
      </c>
      <c r="AD30" s="3">
        <f t="shared" si="47"/>
        <v>58565</v>
      </c>
      <c r="AE30" s="3">
        <f t="shared" si="47"/>
        <v>60883.5</v>
      </c>
      <c r="AF30" s="3">
        <f t="shared" si="47"/>
        <v>64218.5</v>
      </c>
      <c r="AG30" s="3">
        <f t="shared" si="47"/>
        <v>68709</v>
      </c>
      <c r="AH30" s="3">
        <f t="shared" ref="AH30:AK30" si="48">SUM(AH68,AH106,AH125,AH144,AH87)</f>
        <v>71060</v>
      </c>
      <c r="AI30" s="3">
        <f t="shared" si="48"/>
        <v>73018.002999999997</v>
      </c>
      <c r="AJ30" s="3">
        <f t="shared" ref="AJ30" si="49">SUM(AJ68,AJ106,AJ125,AJ144,AJ87)</f>
        <v>78708.997000000003</v>
      </c>
      <c r="AK30" s="3">
        <f t="shared" si="48"/>
        <v>87623.999000000011</v>
      </c>
      <c r="AL30" s="3">
        <f t="shared" si="47"/>
        <v>90788</v>
      </c>
    </row>
    <row r="31" spans="1:38">
      <c r="B31" s="1" t="str">
        <f>+$B$12</f>
        <v>The Evergreen State College</v>
      </c>
      <c r="C31" s="3">
        <f t="shared" ref="C31:L31" si="50">SUM(C69,C107,C126,C145,C88)</f>
        <v>17876</v>
      </c>
      <c r="D31" s="3">
        <f t="shared" si="50"/>
        <v>20640</v>
      </c>
      <c r="E31" s="3">
        <f t="shared" si="50"/>
        <v>18594</v>
      </c>
      <c r="F31" s="3">
        <f t="shared" si="50"/>
        <v>21955</v>
      </c>
      <c r="G31" s="3">
        <f t="shared" si="50"/>
        <v>17846</v>
      </c>
      <c r="H31" s="3">
        <f t="shared" si="50"/>
        <v>19216</v>
      </c>
      <c r="I31" s="3">
        <f t="shared" si="50"/>
        <v>18476</v>
      </c>
      <c r="J31" s="3">
        <f t="shared" si="50"/>
        <v>19439</v>
      </c>
      <c r="K31" s="3">
        <f t="shared" si="50"/>
        <v>20491</v>
      </c>
      <c r="L31" s="3">
        <f t="shared" si="50"/>
        <v>20528</v>
      </c>
      <c r="M31" s="3">
        <f t="shared" ref="M31:W31" si="51">SUM(M69,M88,M107,M126,M145)</f>
        <v>22388.343000000001</v>
      </c>
      <c r="N31" s="3">
        <f t="shared" si="51"/>
        <v>24869.694</v>
      </c>
      <c r="O31" s="3">
        <f t="shared" si="51"/>
        <v>25413.817999999999</v>
      </c>
      <c r="P31" s="3">
        <f t="shared" si="51"/>
        <v>24342.161</v>
      </c>
      <c r="Q31" s="3">
        <f t="shared" si="51"/>
        <v>23369.75949</v>
      </c>
      <c r="R31" s="3">
        <f t="shared" si="51"/>
        <v>24852.395069999999</v>
      </c>
      <c r="S31" s="3">
        <f t="shared" si="51"/>
        <v>26552.75819</v>
      </c>
      <c r="T31" s="3">
        <f t="shared" si="51"/>
        <v>28902.967809999998</v>
      </c>
      <c r="U31" s="3">
        <f t="shared" si="51"/>
        <v>32320.01888</v>
      </c>
      <c r="V31" s="3">
        <f t="shared" si="51"/>
        <v>30884.98112</v>
      </c>
      <c r="W31" s="3">
        <f t="shared" si="51"/>
        <v>26363.983400000001</v>
      </c>
      <c r="X31" s="3">
        <f t="shared" ref="X31:AL31" si="52">SUM(X69,X107,X126,X145,X88)</f>
        <v>23646.387279999999</v>
      </c>
      <c r="Y31" s="3">
        <f t="shared" si="52"/>
        <v>18948.465980000001</v>
      </c>
      <c r="Z31" s="3">
        <f t="shared" si="52"/>
        <v>18060.360639999999</v>
      </c>
      <c r="AA31" s="3">
        <f t="shared" si="52"/>
        <v>21822.572810000001</v>
      </c>
      <c r="AB31" s="3">
        <f t="shared" si="52"/>
        <v>19955.031009999999</v>
      </c>
      <c r="AC31" s="3">
        <f t="shared" si="52"/>
        <v>25784.629249999998</v>
      </c>
      <c r="AD31" s="3">
        <f t="shared" si="52"/>
        <v>28537.370749999998</v>
      </c>
      <c r="AE31" s="3">
        <f t="shared" si="52"/>
        <v>30205</v>
      </c>
      <c r="AF31" s="3">
        <f t="shared" si="52"/>
        <v>30899.12657</v>
      </c>
      <c r="AG31" s="3">
        <f t="shared" si="52"/>
        <v>35091.575490000003</v>
      </c>
      <c r="AH31" s="3">
        <f t="shared" ref="AH31:AK31" si="53">SUM(AH69,AH107,AH126,AH145,AH88)</f>
        <v>35692.334970000004</v>
      </c>
      <c r="AI31" s="3">
        <f t="shared" si="53"/>
        <v>37167.981599999999</v>
      </c>
      <c r="AJ31" s="3">
        <f t="shared" ref="AJ31" si="54">SUM(AJ69,AJ107,AJ126,AJ145,AJ88)</f>
        <v>40661.76629</v>
      </c>
      <c r="AK31" s="3">
        <f t="shared" si="53"/>
        <v>44764.448989999997</v>
      </c>
      <c r="AL31" s="3">
        <f t="shared" si="52"/>
        <v>45952</v>
      </c>
    </row>
    <row r="32" spans="1:38">
      <c r="B32" s="1" t="str">
        <f>+$B$13</f>
        <v>Western Washington University</v>
      </c>
      <c r="C32" s="3">
        <f t="shared" ref="C32:L32" si="55">SUM(C70,C108,C127,C146,C89)</f>
        <v>37940</v>
      </c>
      <c r="D32" s="3">
        <f t="shared" si="55"/>
        <v>43046</v>
      </c>
      <c r="E32" s="3">
        <f t="shared" si="55"/>
        <v>42326</v>
      </c>
      <c r="F32" s="3">
        <f t="shared" si="55"/>
        <v>43495</v>
      </c>
      <c r="G32" s="3">
        <f t="shared" si="55"/>
        <v>41588</v>
      </c>
      <c r="H32" s="3">
        <f t="shared" si="55"/>
        <v>39519</v>
      </c>
      <c r="I32" s="3">
        <f t="shared" si="55"/>
        <v>42543</v>
      </c>
      <c r="J32" s="3">
        <f t="shared" si="55"/>
        <v>45828</v>
      </c>
      <c r="K32" s="3">
        <f t="shared" si="55"/>
        <v>47835</v>
      </c>
      <c r="L32" s="3">
        <f t="shared" si="55"/>
        <v>48757</v>
      </c>
      <c r="M32" s="3">
        <f t="shared" ref="M32:W32" si="56">SUM(M70,M89,M108,M127,M146)</f>
        <v>53392.33</v>
      </c>
      <c r="N32" s="3">
        <f t="shared" si="56"/>
        <v>57095.087979999997</v>
      </c>
      <c r="O32" s="3">
        <f t="shared" si="56"/>
        <v>59840.387999999999</v>
      </c>
      <c r="P32" s="3">
        <f t="shared" si="56"/>
        <v>57965.646050000003</v>
      </c>
      <c r="Q32" s="3">
        <f t="shared" si="56"/>
        <v>56052.436829999999</v>
      </c>
      <c r="R32" s="3">
        <f t="shared" si="56"/>
        <v>58460.581410000006</v>
      </c>
      <c r="S32" s="3">
        <f t="shared" si="56"/>
        <v>61929</v>
      </c>
      <c r="T32" s="3">
        <f t="shared" si="56"/>
        <v>65616.508000000002</v>
      </c>
      <c r="U32" s="3">
        <f t="shared" si="56"/>
        <v>73690.998500000002</v>
      </c>
      <c r="V32" s="3">
        <f t="shared" si="56"/>
        <v>72992</v>
      </c>
      <c r="W32" s="3">
        <f t="shared" si="56"/>
        <v>60356</v>
      </c>
      <c r="X32" s="3">
        <f t="shared" ref="X32:AL32" si="57">SUM(X70,X108,X127,X146,X89)</f>
        <v>56760.406139999999</v>
      </c>
      <c r="Y32" s="3">
        <f t="shared" si="57"/>
        <v>42183</v>
      </c>
      <c r="Z32" s="3">
        <f t="shared" si="57"/>
        <v>41150</v>
      </c>
      <c r="AA32" s="3">
        <f t="shared" si="57"/>
        <v>49154.697889999996</v>
      </c>
      <c r="AB32" s="3">
        <f t="shared" si="57"/>
        <v>49815.716489999999</v>
      </c>
      <c r="AC32" s="3">
        <f t="shared" si="57"/>
        <v>62011</v>
      </c>
      <c r="AD32" s="3">
        <f t="shared" si="57"/>
        <v>75929</v>
      </c>
      <c r="AE32" s="3">
        <f t="shared" si="57"/>
        <v>79915.467690000005</v>
      </c>
      <c r="AF32" s="3">
        <f t="shared" si="57"/>
        <v>84063</v>
      </c>
      <c r="AG32" s="3">
        <f t="shared" si="57"/>
        <v>90475.518069999991</v>
      </c>
      <c r="AH32" s="3">
        <f t="shared" ref="AH32:AK32" si="58">SUM(AH70,AH108,AH127,AH146,AH89)</f>
        <v>93980.228500000012</v>
      </c>
      <c r="AI32" s="3">
        <f t="shared" si="58"/>
        <v>97349.223410000006</v>
      </c>
      <c r="AJ32" s="3">
        <f t="shared" ref="AJ32" si="59">SUM(AJ70,AJ108,AJ127,AJ146,AJ89)</f>
        <v>106894.64582999999</v>
      </c>
      <c r="AK32" s="3">
        <f t="shared" si="58"/>
        <v>119184.85417000001</v>
      </c>
      <c r="AL32" s="3">
        <f t="shared" si="57"/>
        <v>126907</v>
      </c>
    </row>
    <row r="33" spans="1:38">
      <c r="B33" s="199" t="str">
        <f>+$B$14</f>
        <v>Total Four-Year Institutions</v>
      </c>
      <c r="C33" s="42">
        <f t="shared" ref="C33:M33" si="60">SUM(C27:C32)</f>
        <v>493939</v>
      </c>
      <c r="D33" s="42">
        <f t="shared" si="60"/>
        <v>549080</v>
      </c>
      <c r="E33" s="42">
        <f t="shared" si="60"/>
        <v>539283</v>
      </c>
      <c r="F33" s="42">
        <f t="shared" si="60"/>
        <v>568873</v>
      </c>
      <c r="G33" s="42">
        <f t="shared" si="60"/>
        <v>530626</v>
      </c>
      <c r="H33" s="42">
        <f t="shared" si="60"/>
        <v>521735</v>
      </c>
      <c r="I33" s="42">
        <f t="shared" si="60"/>
        <v>542074</v>
      </c>
      <c r="J33" s="42">
        <f t="shared" si="60"/>
        <v>568094</v>
      </c>
      <c r="K33" s="42">
        <f t="shared" si="60"/>
        <v>600274</v>
      </c>
      <c r="L33" s="42">
        <f t="shared" si="60"/>
        <v>614929</v>
      </c>
      <c r="M33" s="42">
        <f t="shared" si="60"/>
        <v>664761.80564999999</v>
      </c>
      <c r="N33" s="42">
        <f t="shared" ref="N33:W33" si="61">SUM(N27:N32)</f>
        <v>710074.50298999995</v>
      </c>
      <c r="O33" s="42">
        <f t="shared" si="61"/>
        <v>727536.55433999992</v>
      </c>
      <c r="P33" s="42">
        <f t="shared" si="61"/>
        <v>702874.15433999978</v>
      </c>
      <c r="Q33" s="42">
        <f t="shared" si="61"/>
        <v>682732.39191999997</v>
      </c>
      <c r="R33" s="42">
        <f t="shared" si="61"/>
        <v>715546.45549000008</v>
      </c>
      <c r="S33" s="42">
        <f t="shared" si="61"/>
        <v>760696.70045</v>
      </c>
      <c r="T33" s="42">
        <f t="shared" si="61"/>
        <v>805998.31518999999</v>
      </c>
      <c r="U33" s="42">
        <f t="shared" si="61"/>
        <v>881365.19289999991</v>
      </c>
      <c r="V33" s="42">
        <f t="shared" si="61"/>
        <v>876986.62711</v>
      </c>
      <c r="W33" s="42">
        <f t="shared" si="61"/>
        <v>754971.40694999998</v>
      </c>
      <c r="X33" s="42">
        <f>SUM(X27:X32)</f>
        <v>681717.82382000005</v>
      </c>
      <c r="Y33" s="42">
        <f>SUM(Y27:Y32)</f>
        <v>516556.86650999996</v>
      </c>
      <c r="Z33" s="42">
        <f>SUM(Z27:Z32)</f>
        <v>514371.21989000007</v>
      </c>
      <c r="AA33" s="42">
        <f>SUM(AA27:AA32)</f>
        <v>607240.54954000004</v>
      </c>
      <c r="AB33" s="42">
        <f>SUM(AB27:AB32)</f>
        <v>589844.52702000004</v>
      </c>
      <c r="AC33" s="42">
        <f t="shared" ref="AC33:AL33" si="62">SUM(AC27:AC32)</f>
        <v>702037.7376900001</v>
      </c>
      <c r="AD33" s="42">
        <f t="shared" si="62"/>
        <v>805000.65631000011</v>
      </c>
      <c r="AE33" s="42">
        <f t="shared" si="62"/>
        <v>845266.43758000003</v>
      </c>
      <c r="AF33" s="42">
        <f t="shared" si="62"/>
        <v>883027.05830999988</v>
      </c>
      <c r="AG33" s="42">
        <f t="shared" si="62"/>
        <v>949030.39163999981</v>
      </c>
      <c r="AH33" s="42">
        <f t="shared" ref="AH33:AK33" si="63">SUM(AH27:AH32)</f>
        <v>991988.94513999985</v>
      </c>
      <c r="AI33" s="42">
        <f t="shared" si="63"/>
        <v>1019169.69073</v>
      </c>
      <c r="AJ33" s="42">
        <f t="shared" ref="AJ33" si="64">SUM(AJ27:AJ32)</f>
        <v>1109188.4679</v>
      </c>
      <c r="AK33" s="42">
        <f t="shared" si="63"/>
        <v>1271072.7198999999</v>
      </c>
      <c r="AL33" s="42">
        <f t="shared" si="62"/>
        <v>1331673</v>
      </c>
    </row>
    <row r="34" spans="1:38">
      <c r="C34"/>
      <c r="D34"/>
      <c r="E34"/>
      <c r="F34"/>
      <c r="G34"/>
      <c r="H34"/>
      <c r="I34"/>
      <c r="J34"/>
      <c r="K34"/>
      <c r="L34"/>
      <c r="M34"/>
      <c r="N34"/>
      <c r="O34"/>
      <c r="P34"/>
      <c r="Q34"/>
      <c r="R34"/>
      <c r="S34"/>
      <c r="T34"/>
      <c r="U34"/>
      <c r="V34"/>
      <c r="W34"/>
      <c r="X34"/>
      <c r="Y34"/>
      <c r="Z34"/>
      <c r="AA34"/>
      <c r="AB34"/>
      <c r="AC34"/>
      <c r="AD34"/>
      <c r="AE34"/>
      <c r="AG34"/>
      <c r="AH34"/>
      <c r="AI34"/>
      <c r="AJ34"/>
      <c r="AK34"/>
      <c r="AL34"/>
    </row>
    <row r="35" spans="1:38">
      <c r="B35" s="1" t="str">
        <f>+$B$16</f>
        <v>Community/Technical College System</v>
      </c>
      <c r="C35" s="3">
        <f t="shared" ref="C35:L35" si="65">SUM(C73,C92,C111,C130,C149,C157)</f>
        <v>299035</v>
      </c>
      <c r="D35" s="3">
        <f t="shared" si="65"/>
        <v>330772</v>
      </c>
      <c r="E35" s="3">
        <f t="shared" si="65"/>
        <v>336269</v>
      </c>
      <c r="F35" s="3">
        <f t="shared" si="65"/>
        <v>358000</v>
      </c>
      <c r="G35" s="3">
        <f t="shared" si="65"/>
        <v>335728</v>
      </c>
      <c r="H35" s="3">
        <f t="shared" si="65"/>
        <v>358586</v>
      </c>
      <c r="I35" s="3">
        <f t="shared" si="65"/>
        <v>346249</v>
      </c>
      <c r="J35" s="3">
        <f t="shared" si="65"/>
        <v>360791</v>
      </c>
      <c r="K35" s="3">
        <f t="shared" si="65"/>
        <v>380079</v>
      </c>
      <c r="L35" s="3">
        <f t="shared" si="65"/>
        <v>420342</v>
      </c>
      <c r="M35" s="3">
        <f t="shared" ref="M35:W35" si="66">SUM(M73,M92,M111,M130,M149)</f>
        <v>455436.40385</v>
      </c>
      <c r="N35" s="3">
        <f t="shared" si="66"/>
        <v>493333.36426</v>
      </c>
      <c r="O35" s="3">
        <f t="shared" si="66"/>
        <v>514954.04729000002</v>
      </c>
      <c r="P35" s="3">
        <f t="shared" si="66"/>
        <v>534151.50091000006</v>
      </c>
      <c r="Q35" s="3">
        <f t="shared" si="66"/>
        <v>518226.84421000001</v>
      </c>
      <c r="R35" s="3">
        <f t="shared" si="66"/>
        <v>533031.81339999998</v>
      </c>
      <c r="S35" s="3">
        <f t="shared" si="66"/>
        <v>587487.09457000007</v>
      </c>
      <c r="T35" s="3">
        <f t="shared" si="66"/>
        <v>624902.03859000001</v>
      </c>
      <c r="U35" s="3">
        <f t="shared" si="66"/>
        <v>706489.47473999998</v>
      </c>
      <c r="V35" s="3">
        <f t="shared" si="66"/>
        <v>718049.63360000006</v>
      </c>
      <c r="W35" s="3">
        <f t="shared" si="66"/>
        <v>696097.47979000001</v>
      </c>
      <c r="X35" s="3">
        <f t="shared" ref="X35:AL35" si="67">SUM(X73,X92,X111,X130,X149,X157)</f>
        <v>669363.47210000013</v>
      </c>
      <c r="Y35" s="3">
        <f t="shared" si="67"/>
        <v>593008.49523</v>
      </c>
      <c r="Z35" s="3">
        <f t="shared" si="67"/>
        <v>584179.38121000002</v>
      </c>
      <c r="AA35" s="3">
        <f t="shared" si="67"/>
        <v>635726.38151999994</v>
      </c>
      <c r="AB35" s="3">
        <f t="shared" si="67"/>
        <v>627802.41278000001</v>
      </c>
      <c r="AC35" s="3">
        <f t="shared" si="67"/>
        <v>690474.27824000013</v>
      </c>
      <c r="AD35" s="3">
        <f t="shared" si="67"/>
        <v>736114.23973999999</v>
      </c>
      <c r="AE35" s="3">
        <f t="shared" si="67"/>
        <v>742644.40968000004</v>
      </c>
      <c r="AF35" s="3">
        <f t="shared" si="67"/>
        <v>769325.21789999993</v>
      </c>
      <c r="AG35" s="3">
        <f t="shared" si="67"/>
        <v>846442.13173000002</v>
      </c>
      <c r="AH35" s="3">
        <f t="shared" si="67"/>
        <v>920512.42286999989</v>
      </c>
      <c r="AI35" s="3">
        <f t="shared" si="67"/>
        <v>940941.09768999985</v>
      </c>
      <c r="AJ35" s="3">
        <f t="shared" ref="AJ35" si="68">SUM(AJ73,AJ92,AJ111,AJ130,AJ149,AJ157)</f>
        <v>1059947.9239699999</v>
      </c>
      <c r="AK35" s="3">
        <f t="shared" ref="AK35" si="69">SUM(AK73,AK92,AK111,AK130,AK149,AK157)</f>
        <v>1159621.0469800001</v>
      </c>
      <c r="AL35" s="3">
        <f t="shared" si="67"/>
        <v>1249810</v>
      </c>
    </row>
    <row r="36" spans="1:38">
      <c r="B36" s="1" t="str">
        <f>+$B$17</f>
        <v>HEC Board, CHE, SFA, &amp; SAC (1)</v>
      </c>
      <c r="C36" s="3">
        <f t="shared" ref="C36:L36" si="70">SUM(C74,C93,C112,C131,C150,C158)</f>
        <v>29537</v>
      </c>
      <c r="D36" s="3">
        <f t="shared" si="70"/>
        <v>34001</v>
      </c>
      <c r="E36" s="3">
        <f t="shared" si="70"/>
        <v>39017</v>
      </c>
      <c r="F36" s="3">
        <f t="shared" si="70"/>
        <v>39681</v>
      </c>
      <c r="G36" s="3">
        <f t="shared" si="70"/>
        <v>63643</v>
      </c>
      <c r="H36" s="3">
        <f t="shared" si="70"/>
        <v>69829</v>
      </c>
      <c r="I36" s="3">
        <f t="shared" si="70"/>
        <v>72875</v>
      </c>
      <c r="J36" s="3">
        <f t="shared" si="70"/>
        <v>78214</v>
      </c>
      <c r="K36" s="3">
        <f t="shared" si="70"/>
        <v>91048</v>
      </c>
      <c r="L36" s="3">
        <f t="shared" si="70"/>
        <v>100008</v>
      </c>
      <c r="M36" s="3">
        <f t="shared" ref="M36:W36" si="71">SUM(M74,M93,M112,M131,M150)</f>
        <v>106710.88920000001</v>
      </c>
      <c r="N36" s="3">
        <f t="shared" si="71"/>
        <v>124503.73546000001</v>
      </c>
      <c r="O36" s="3">
        <f t="shared" si="71"/>
        <v>125863.46089</v>
      </c>
      <c r="P36" s="3">
        <f t="shared" si="71"/>
        <v>138130.20137999998</v>
      </c>
      <c r="Q36" s="3">
        <f t="shared" si="71"/>
        <v>147382.80502</v>
      </c>
      <c r="R36" s="3">
        <f t="shared" si="71"/>
        <v>165712.82459999999</v>
      </c>
      <c r="S36" s="3">
        <f t="shared" si="71"/>
        <v>191370.80129</v>
      </c>
      <c r="T36" s="3">
        <f t="shared" si="71"/>
        <v>203005.28761000003</v>
      </c>
      <c r="U36" s="3">
        <f t="shared" si="71"/>
        <v>233821.38019</v>
      </c>
      <c r="V36" s="3">
        <f t="shared" si="71"/>
        <v>238039.08532000001</v>
      </c>
      <c r="W36" s="3">
        <f t="shared" si="71"/>
        <v>254718.60451</v>
      </c>
      <c r="X36" s="3">
        <f t="shared" ref="X36:AL36" si="72">SUM(X74,X93,X112,X131,X150,X158)</f>
        <v>231505.90229</v>
      </c>
      <c r="Y36" s="3">
        <f t="shared" si="72"/>
        <v>292426.95181999996</v>
      </c>
      <c r="Z36" s="3">
        <f t="shared" si="72"/>
        <v>325404.95790000004</v>
      </c>
      <c r="AA36" s="3">
        <f t="shared" si="72"/>
        <v>369670.31862000003</v>
      </c>
      <c r="AB36" s="3">
        <f t="shared" si="72"/>
        <v>355136.72717999999</v>
      </c>
      <c r="AC36" s="3">
        <f t="shared" si="72"/>
        <v>368587.11984</v>
      </c>
      <c r="AD36" s="3">
        <f t="shared" si="72"/>
        <v>354306.22791000002</v>
      </c>
      <c r="AE36" s="3">
        <f t="shared" si="72"/>
        <v>356843.75072000001</v>
      </c>
      <c r="AF36" s="3">
        <f t="shared" si="72"/>
        <v>385206.31635000004</v>
      </c>
      <c r="AG36" s="3">
        <f t="shared" si="72"/>
        <v>425684.04938999994</v>
      </c>
      <c r="AH36" s="3">
        <f t="shared" si="72"/>
        <v>514770.20597000007</v>
      </c>
      <c r="AI36" s="3">
        <f t="shared" si="72"/>
        <v>511124.36132999999</v>
      </c>
      <c r="AJ36" s="3">
        <f t="shared" ref="AJ36" si="73">SUM(AJ74,AJ93,AJ112,AJ131,AJ150,AJ158)</f>
        <v>543536.59003000008</v>
      </c>
      <c r="AK36" s="3">
        <f t="shared" ref="AK36" si="74">SUM(AK74,AK93,AK112,AK131,AK150,AK158)</f>
        <v>560502.64161000005</v>
      </c>
      <c r="AL36" s="3">
        <f t="shared" si="72"/>
        <v>584100</v>
      </c>
    </row>
    <row r="37" spans="1:38"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ht="13.5" thickTop="1">
      <c r="B38" s="1" t="str">
        <f>+$B$19</f>
        <v>Total Higher Education</v>
      </c>
      <c r="C38" s="39">
        <f t="shared" ref="C38:L38" si="75">SUM(C76,C114,C133)</f>
        <v>822511</v>
      </c>
      <c r="D38" s="39">
        <f t="shared" si="75"/>
        <v>913853</v>
      </c>
      <c r="E38" s="39">
        <f t="shared" si="75"/>
        <v>914569</v>
      </c>
      <c r="F38" s="39">
        <f t="shared" si="75"/>
        <v>966554</v>
      </c>
      <c r="G38" s="39">
        <f t="shared" si="75"/>
        <v>929997</v>
      </c>
      <c r="H38" s="39">
        <f t="shared" si="75"/>
        <v>950150</v>
      </c>
      <c r="I38" s="39">
        <f t="shared" si="75"/>
        <v>961198</v>
      </c>
      <c r="J38" s="39">
        <f t="shared" si="75"/>
        <v>1007099</v>
      </c>
      <c r="K38" s="39">
        <f t="shared" si="75"/>
        <v>1071401</v>
      </c>
      <c r="L38" s="39">
        <f t="shared" si="75"/>
        <v>1135279</v>
      </c>
      <c r="M38" s="39">
        <f t="shared" ref="M38:V38" si="76">SUM(M76,M114,M133,M152)</f>
        <v>1226909.0987</v>
      </c>
      <c r="N38" s="39">
        <f t="shared" si="76"/>
        <v>1327911.6027100002</v>
      </c>
      <c r="O38" s="39">
        <f t="shared" si="76"/>
        <v>1368354.0625199999</v>
      </c>
      <c r="P38" s="39">
        <f t="shared" si="76"/>
        <v>1375155.8566299998</v>
      </c>
      <c r="Q38" s="39">
        <f t="shared" si="76"/>
        <v>1348342.0411500002</v>
      </c>
      <c r="R38" s="39">
        <f t="shared" si="76"/>
        <v>1414291.0934899999</v>
      </c>
      <c r="S38" s="39">
        <f t="shared" si="76"/>
        <v>1539554.5963100002</v>
      </c>
      <c r="T38" s="39">
        <f t="shared" si="76"/>
        <v>1633905.6413899998</v>
      </c>
      <c r="U38" s="39">
        <f t="shared" si="76"/>
        <v>1821676.0478300001</v>
      </c>
      <c r="V38" s="39">
        <f t="shared" si="76"/>
        <v>1833075.3460300001</v>
      </c>
      <c r="W38" s="39">
        <f>SUM(W76,W114,W133,W152,W95)</f>
        <v>1705787.4912500002</v>
      </c>
      <c r="X38" s="39">
        <f>SUM(X76,X95,X114,X133,X152,X158,X157)</f>
        <v>1582587.1982099998</v>
      </c>
      <c r="Y38" s="39">
        <f t="shared" ref="Y38:AL38" si="77">SUM(Y76,Y114,Y133,Y152,Y158,Y157,Y95)</f>
        <v>1401992.3135600002</v>
      </c>
      <c r="Z38" s="39">
        <f t="shared" si="77"/>
        <v>1423955.5590000001</v>
      </c>
      <c r="AA38" s="39">
        <f t="shared" si="77"/>
        <v>1612637.2496799999</v>
      </c>
      <c r="AB38" s="39">
        <f t="shared" si="77"/>
        <v>1572783.6669800002</v>
      </c>
      <c r="AC38" s="39">
        <f t="shared" si="77"/>
        <v>1761099.1357700001</v>
      </c>
      <c r="AD38" s="39">
        <f t="shared" si="77"/>
        <v>1895421.12396</v>
      </c>
      <c r="AE38" s="39">
        <f t="shared" si="77"/>
        <v>1944754.5979800003</v>
      </c>
      <c r="AF38" s="39">
        <f t="shared" si="77"/>
        <v>2037558.59256</v>
      </c>
      <c r="AG38" s="39">
        <f t="shared" si="77"/>
        <v>2221156.5727599999</v>
      </c>
      <c r="AH38" s="39">
        <f t="shared" si="77"/>
        <v>2427271.5739799999</v>
      </c>
      <c r="AI38" s="39">
        <f t="shared" si="77"/>
        <v>2471235.1497499999</v>
      </c>
      <c r="AJ38" s="39">
        <f t="shared" ref="AJ38" si="78">SUM(AJ76,AJ114,AJ133,AJ152,AJ158,AJ157,AJ95)</f>
        <v>2712672.9819000005</v>
      </c>
      <c r="AK38" s="39">
        <f t="shared" ref="AK38" si="79">SUM(AK76,AK114,AK133,AK152,AK158,AK157,AK95)</f>
        <v>2991196.4084900003</v>
      </c>
      <c r="AL38" s="39">
        <f t="shared" si="77"/>
        <v>3165583</v>
      </c>
    </row>
    <row r="39" spans="1:38">
      <c r="B39" s="199" t="str">
        <f>+$B$20</f>
        <v>[biennial]</v>
      </c>
      <c r="C39" s="3"/>
      <c r="D39" s="3">
        <f>+D38+C38</f>
        <v>1736364</v>
      </c>
      <c r="E39" s="3"/>
      <c r="F39" s="3">
        <f>+F38+E38</f>
        <v>1881123</v>
      </c>
      <c r="G39" s="3"/>
      <c r="H39" s="3">
        <f>+H38+G38</f>
        <v>1880147</v>
      </c>
      <c r="I39" s="3"/>
      <c r="J39" s="3">
        <f>+J38+I38</f>
        <v>1968297</v>
      </c>
      <c r="K39" s="3"/>
      <c r="L39" s="3">
        <f>+L38+K38</f>
        <v>2206680</v>
      </c>
      <c r="M39" s="3"/>
      <c r="N39" s="3">
        <f>+N38+M38</f>
        <v>2554820.7014100002</v>
      </c>
      <c r="O39" s="3"/>
      <c r="P39" s="3">
        <f>+P38+O38</f>
        <v>2743509.9191499995</v>
      </c>
      <c r="Q39" s="3"/>
      <c r="R39" s="3">
        <f>+R38+Q38</f>
        <v>2762633.1346399998</v>
      </c>
      <c r="S39" s="3"/>
      <c r="T39" s="3">
        <f>+T38+S38</f>
        <v>3173460.2376999999</v>
      </c>
      <c r="U39" s="3"/>
      <c r="V39" s="3">
        <f>+V38+U38</f>
        <v>3654751.3938600002</v>
      </c>
      <c r="W39" s="3"/>
      <c r="X39" s="3">
        <f>+X38+W38</f>
        <v>3288374.68946</v>
      </c>
      <c r="Y39" s="3"/>
      <c r="Z39" s="3">
        <f>+Z38+Y38</f>
        <v>2825947.87256</v>
      </c>
      <c r="AA39" s="3"/>
      <c r="AB39" s="3">
        <f>+AB38+AA38</f>
        <v>3185420.9166600001</v>
      </c>
      <c r="AC39" s="3"/>
      <c r="AD39" s="3">
        <f>+AD38+AC38</f>
        <v>3656520.25973</v>
      </c>
      <c r="AE39" s="3"/>
      <c r="AF39" s="3">
        <f>+AF38+AE38</f>
        <v>3982313.1905400003</v>
      </c>
      <c r="AG39" s="3"/>
      <c r="AH39" s="3">
        <f>+AH38+AG38</f>
        <v>4648428.1467399998</v>
      </c>
      <c r="AI39" s="3"/>
      <c r="AJ39" s="3">
        <f>+AJ38+AI38</f>
        <v>5183908.1316500008</v>
      </c>
      <c r="AK39" s="3"/>
      <c r="AL39" s="3">
        <f>+AL38+AK38</f>
        <v>6156779.4084900003</v>
      </c>
    </row>
    <row r="40" spans="1:38" ht="13.5">
      <c r="D40" s="3"/>
      <c r="E40" s="3"/>
      <c r="F40" s="3"/>
      <c r="G40" s="3"/>
      <c r="H40" s="3"/>
      <c r="I40" s="3"/>
      <c r="J40" s="3"/>
      <c r="K40" s="3"/>
      <c r="L40" s="3"/>
      <c r="N40" s="1880" t="str">
        <f>IF(SUM(M27:N32,M35:N36)&lt;&gt;N39,"Error","")</f>
        <v/>
      </c>
      <c r="P40" s="1880" t="str">
        <f>IF(SUM(O27:P32,O35:P36)&lt;&gt;P39,"Error","")</f>
        <v/>
      </c>
      <c r="R40" s="1880" t="str">
        <f>IF(SUM(Q27:R32,Q35:R36)&lt;&gt;R39,"Error","")</f>
        <v/>
      </c>
      <c r="T40" s="1880" t="str">
        <f>IF(SUM(S27:T32,S35:T36)&lt;&gt;T39,"Error","")</f>
        <v/>
      </c>
      <c r="V40" s="1880" t="str">
        <f>IF(SUM(U27:V32,U35:V36)&lt;&gt;V39,"Error","")</f>
        <v/>
      </c>
      <c r="X40" s="1880" t="str">
        <f>IF(SUM(W27:X32,W35:X36)&lt;&gt;X39,"Error","")</f>
        <v/>
      </c>
      <c r="Z40" s="1880" t="str">
        <f>IF(SUM(Y27:Z32,Y35:Z36)&lt;&gt;Z39,"Error","")</f>
        <v/>
      </c>
      <c r="AB40" s="1880" t="str">
        <f>IF(SUM(AA27:AB32,AA35:AB36)&lt;&gt;AB39,"Error","")</f>
        <v/>
      </c>
      <c r="AD40" s="1880" t="str">
        <f>IF(SUM(AC27:AD32,AC35:AD36)&lt;&gt;AD39,"Error","")</f>
        <v/>
      </c>
      <c r="AG40" s="1880"/>
      <c r="AH40" s="1880"/>
      <c r="AI40" s="1880"/>
      <c r="AJ40" s="1880"/>
      <c r="AK40" s="1880"/>
      <c r="AL40" s="1880"/>
    </row>
    <row r="41" spans="1:38" ht="15.75">
      <c r="B41" s="376" t="s">
        <v>361</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row>
    <row r="42" spans="1:38">
      <c r="B42" s="5" t="str">
        <f>+$B$4</f>
        <v>(Dollars in Thousands)</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row>
    <row r="43" spans="1:38">
      <c r="I43" s="13"/>
      <c r="J43" s="13"/>
      <c r="K43" s="13"/>
      <c r="L43" s="13"/>
      <c r="M43" s="13"/>
      <c r="N43" s="13"/>
      <c r="O43" s="13"/>
      <c r="P43" s="13"/>
      <c r="Q43" s="13"/>
      <c r="R43" s="13"/>
      <c r="S43"/>
      <c r="T43"/>
      <c r="U43"/>
      <c r="V43" s="2"/>
      <c r="W43"/>
      <c r="X43" s="2"/>
      <c r="Y43" s="2"/>
      <c r="Z43" s="2"/>
      <c r="AA43"/>
      <c r="AB43"/>
      <c r="AC43"/>
      <c r="AD43"/>
      <c r="AE43"/>
      <c r="AG43"/>
      <c r="AH43"/>
      <c r="AI43" s="2" t="str">
        <f>TRIM(+AI$5)</f>
        <v/>
      </c>
      <c r="AJ43" s="2" t="str">
        <f>TRIM(AJ$5)</f>
        <v/>
      </c>
      <c r="AK43" s="2" t="str">
        <f>TRIM(AK$5)</f>
        <v>Final</v>
      </c>
      <c r="AL43" s="2" t="str">
        <f>TRIM(AL$5)</f>
        <v>Enacted</v>
      </c>
    </row>
    <row r="44" spans="1:38">
      <c r="C44" s="2" t="s">
        <v>1648</v>
      </c>
      <c r="D44" s="2" t="s">
        <v>1649</v>
      </c>
      <c r="E44" s="2" t="s">
        <v>1650</v>
      </c>
      <c r="F44" s="2" t="s">
        <v>1651</v>
      </c>
      <c r="G44" s="2" t="s">
        <v>1647</v>
      </c>
      <c r="H44" s="2" t="s">
        <v>1652</v>
      </c>
      <c r="I44" s="2" t="s">
        <v>1653</v>
      </c>
      <c r="J44" s="2" t="s">
        <v>1654</v>
      </c>
      <c r="K44" s="2" t="s">
        <v>1655</v>
      </c>
      <c r="L44" s="2" t="s">
        <v>1656</v>
      </c>
      <c r="M44" s="2" t="s">
        <v>1657</v>
      </c>
      <c r="N44" s="2" t="s">
        <v>1672</v>
      </c>
      <c r="O44" s="2" t="s">
        <v>1659</v>
      </c>
      <c r="P44" s="2" t="s">
        <v>1660</v>
      </c>
      <c r="Q44" s="2" t="s">
        <v>1673</v>
      </c>
      <c r="R44" s="2" t="s">
        <v>1674</v>
      </c>
      <c r="S44" s="2" t="s">
        <v>1663</v>
      </c>
      <c r="T44" s="2" t="str">
        <f>+$T$6</f>
        <v>FY2007</v>
      </c>
      <c r="U44" s="2" t="str">
        <f>+U101</f>
        <v>FY2008</v>
      </c>
      <c r="V44" s="2" t="str">
        <f>+$V$6</f>
        <v>FY2009</v>
      </c>
      <c r="W44" s="2" t="str">
        <f>+$W$6</f>
        <v>FY2010</v>
      </c>
      <c r="X44" s="2" t="str">
        <f>+$X$6</f>
        <v>FY2011</v>
      </c>
      <c r="Y44" s="2" t="str">
        <f>+$Y$6</f>
        <v>FY2012</v>
      </c>
      <c r="Z44" s="2" t="str">
        <f>+$Z$6</f>
        <v>FY2013</v>
      </c>
      <c r="AA44" s="2" t="str">
        <f>+$AA$6</f>
        <v>FY2014</v>
      </c>
      <c r="AB44" s="2" t="str">
        <f>+$AB$6</f>
        <v>FY2015</v>
      </c>
      <c r="AC44" s="2" t="str">
        <f>+$AC$6</f>
        <v>FY2016</v>
      </c>
      <c r="AD44" s="2" t="str">
        <f>+$AD$6</f>
        <v>FY2017</v>
      </c>
      <c r="AE44" s="2" t="str">
        <f t="shared" ref="AE44:AL44" si="80">+AE$6</f>
        <v>FY2018</v>
      </c>
      <c r="AF44" s="2" t="str">
        <f t="shared" si="80"/>
        <v>FY2019</v>
      </c>
      <c r="AG44" s="2" t="str">
        <f t="shared" si="80"/>
        <v>FY2020</v>
      </c>
      <c r="AH44" s="2" t="str">
        <f t="shared" si="80"/>
        <v>FY2021</v>
      </c>
      <c r="AI44" s="2" t="str">
        <f t="shared" si="80"/>
        <v>FY2022</v>
      </c>
      <c r="AJ44" s="2" t="str">
        <f t="shared" si="80"/>
        <v>FY2023</v>
      </c>
      <c r="AK44" s="2" t="str">
        <f t="shared" si="80"/>
        <v>FY2024</v>
      </c>
      <c r="AL44" s="2" t="str">
        <f t="shared" si="80"/>
        <v>FY2025</v>
      </c>
    </row>
    <row r="45" spans="1:38">
      <c r="AA45"/>
    </row>
    <row r="46" spans="1:38">
      <c r="A46" s="1" t="str">
        <f>+$A$8&amp;"149-6"</f>
        <v>360149-6</v>
      </c>
      <c r="B46" s="1" t="str">
        <f>+$B$8</f>
        <v>University of Washington</v>
      </c>
      <c r="C46" s="3">
        <v>54258</v>
      </c>
      <c r="D46" s="3">
        <v>60038</v>
      </c>
      <c r="E46" s="3">
        <v>68702</v>
      </c>
      <c r="F46" s="3">
        <v>71312</v>
      </c>
      <c r="G46" s="3">
        <v>74443</v>
      </c>
      <c r="H46" s="3">
        <v>99438</v>
      </c>
      <c r="I46" s="3">
        <v>94833</v>
      </c>
      <c r="J46" s="3">
        <v>101001</v>
      </c>
      <c r="K46" s="3">
        <v>103580</v>
      </c>
      <c r="L46" s="3">
        <v>131319</v>
      </c>
      <c r="M46" s="3">
        <f>VLOOKUP($A46,OversightActuals!$A$17:D$58,COLUMN(OversightActuals!D:D),0)/1000</f>
        <v>127674.15977</v>
      </c>
      <c r="N46" s="3">
        <f>VLOOKUP($A46,OversightActuals!$A$17:E$58,COLUMN(OversightActuals!E:E),0)/1000</f>
        <v>133131.84059000001</v>
      </c>
      <c r="O46" s="3">
        <f>VLOOKUP($A46,OversightActuals!$A$17:F$58,COLUMN(OversightActuals!F:F),0)/1000</f>
        <v>151465.7696</v>
      </c>
      <c r="P46" s="3">
        <f>VLOOKUP($A46,OversightActuals!$A$17:G$58,COLUMN(OversightActuals!G:G),0)/1000</f>
        <v>173713.05309999999</v>
      </c>
      <c r="Q46" s="3">
        <f>VLOOKUP($A46,OversightActuals!$A$17:H$58,COLUMN(OversightActuals!H:H),0)/1000</f>
        <v>178506.40596999999</v>
      </c>
      <c r="R46" s="3">
        <f>VLOOKUP($A46,OversightActuals!$A$17:I$58,COLUMN(OversightActuals!I:I),0)/1000</f>
        <v>207331.71428000001</v>
      </c>
      <c r="S46" s="3">
        <f>VLOOKUP($A46,OversightActuals!$A$17:J$58,COLUMN(OversightActuals!J:J),0)/1000</f>
        <v>212733.46908000001</v>
      </c>
      <c r="T46" s="3">
        <f>VLOOKUP($A46,OversightActuals!$A$17:K$58,COLUMN(OversightActuals!K:K),0)/1000</f>
        <v>250613.09423999998</v>
      </c>
      <c r="U46" s="3">
        <f>VLOOKUP($A46,OversightActuals!$A$17:L$58,COLUMN(OversightActuals!L:L),0)/1000</f>
        <v>269930.99705000001</v>
      </c>
      <c r="V46" s="3">
        <f>VLOOKUP($A46,OversightActuals!$A$17:M$58,COLUMN(OversightActuals!M:M),0)/1000</f>
        <v>294543.32393000001</v>
      </c>
      <c r="W46" s="3">
        <f>VLOOKUP($A46,OversightActuals!$A$17:N$58,COLUMN(OversightActuals!N:N),0)/1000</f>
        <v>297368.74362999998</v>
      </c>
      <c r="X46" s="3">
        <f>VLOOKUP($A46,OversightActuals!$A$17:O$58,COLUMN(OversightActuals!O:O),0)/1000</f>
        <v>419606.55573000002</v>
      </c>
      <c r="Y46" s="3">
        <f>VLOOKUP($A46,OversightActuals!$A$17:P$58,COLUMN(OversightActuals!P:P),0)/1000</f>
        <v>453353.42050000001</v>
      </c>
      <c r="Z46" s="3">
        <f>VLOOKUP($A46,OversightActuals!$A$17:Q$58,COLUMN(OversightActuals!Q:Q),0)/1000</f>
        <v>533580.80108</v>
      </c>
      <c r="AA46" s="3">
        <f>VLOOKUP($A46,OversightActuals!$A$17:R$58,COLUMN(OversightActuals!R:R),0)/1000</f>
        <v>483990.68899</v>
      </c>
      <c r="AB46" s="3">
        <f>VLOOKUP($A46,OversightActuals!$A$17:S$58,COLUMN(OversightActuals!S:S),0)/1000</f>
        <v>603008.37087999994</v>
      </c>
      <c r="AC46" s="3">
        <f>VLOOKUP($A46,OversightActuals!$A$17:T$58,COLUMN(OversightActuals!T:T),0)/1000</f>
        <v>560378.32137999998</v>
      </c>
      <c r="AD46" s="3">
        <f>VLOOKUP($A46,OversightActuals!$A$17:U$58,COLUMN(OversightActuals!U:U),0)/1000</f>
        <v>602892.75404999999</v>
      </c>
      <c r="AE46" s="3">
        <f>VLOOKUP($A46,OversightActuals!$A$17:V$58,COLUMN(OversightActuals!V:V),0)/1000</f>
        <v>689234.65018</v>
      </c>
      <c r="AF46" s="3">
        <f>VLOOKUP($A46,OversightActuals!$A$17:W$58,COLUMN(OversightActuals!W:W),0)/1000</f>
        <v>629867.03949</v>
      </c>
      <c r="AG46" s="3">
        <f>VLOOKUP($A46,OversightActuals!$A$17:X$58,COLUMN(OversightActuals!X:X),0)/1000</f>
        <v>622302.85254999995</v>
      </c>
      <c r="AH46" s="3">
        <f>VLOOKUP($A46,OversightActuals!$A$17:Y$58,COLUMN(OversightActuals!Y:Y),0)/1000</f>
        <v>627751.21158</v>
      </c>
      <c r="AI46" s="3">
        <f>VLOOKUP($A46,OversightActuals!$A$17:Z$58,COLUMN(OversightActuals!Z:Z),0)/1000</f>
        <v>618438.70834999997</v>
      </c>
      <c r="AJ46" s="3">
        <f>VLOOKUP($A46,OversightActuals!$A$17:AA$58,COLUMN(OversightActuals!AA:AA),0)/1000</f>
        <v>648193.65737999999</v>
      </c>
      <c r="AK46" s="3">
        <f>VLOOKUP($A46,OversightActuals!$A$17:AB$58,COLUMN(OversightActuals!AB:AB),0)/1000</f>
        <v>772500.65422000003</v>
      </c>
      <c r="AL46" s="3">
        <f>VLOOKUP($A46,OversightBudgets!$A$17:$F$1064,COLUMN(E:E),0)/1000</f>
        <v>717648</v>
      </c>
    </row>
    <row r="47" spans="1:38">
      <c r="A47" s="1" t="str">
        <f>+$A$9&amp;"149-6"</f>
        <v>365149-6</v>
      </c>
      <c r="B47" s="1" t="str">
        <f>+$B$9</f>
        <v>Washington State University</v>
      </c>
      <c r="C47" s="3">
        <v>26765</v>
      </c>
      <c r="D47" s="3">
        <v>27937</v>
      </c>
      <c r="E47" s="3">
        <v>32441</v>
      </c>
      <c r="F47" s="3">
        <v>34948</v>
      </c>
      <c r="G47" s="3">
        <v>41435</v>
      </c>
      <c r="H47" s="3">
        <v>50454</v>
      </c>
      <c r="I47" s="3">
        <v>50828</v>
      </c>
      <c r="J47" s="3">
        <v>54690</v>
      </c>
      <c r="K47" s="3">
        <v>55655</v>
      </c>
      <c r="L47" s="3">
        <v>57198</v>
      </c>
      <c r="M47" s="3">
        <f>VLOOKUP($A47,OversightActuals!$A$17:D$58,COLUMN(OversightActuals!D:D),0)/1000</f>
        <v>59158.815000000002</v>
      </c>
      <c r="N47" s="3">
        <f>VLOOKUP($A47,OversightActuals!$A$17:E$58,COLUMN(OversightActuals!E:E),0)/1000</f>
        <v>60034.70579</v>
      </c>
      <c r="O47" s="3">
        <f>VLOOKUP($A47,OversightActuals!$A$17:F$58,COLUMN(OversightActuals!F:F),0)/1000</f>
        <v>65809.928000000014</v>
      </c>
      <c r="P47" s="3">
        <f>VLOOKUP($A47,OversightActuals!$A$17:G$58,COLUMN(OversightActuals!G:G),0)/1000</f>
        <v>79113.495060000001</v>
      </c>
      <c r="Q47" s="3">
        <f>VLOOKUP($A47,OversightActuals!$A$17:H$58,COLUMN(OversightActuals!H:H),0)/1000</f>
        <v>85744.856939999998</v>
      </c>
      <c r="R47" s="3">
        <f>VLOOKUP($A47,OversightActuals!$A$17:I$58,COLUMN(OversightActuals!I:I),0)/1000</f>
        <v>96329.895000000004</v>
      </c>
      <c r="S47" s="3">
        <f>VLOOKUP($A47,OversightActuals!$A$17:J$58,COLUMN(OversightActuals!J:J),0)/1000</f>
        <v>102385.69100000001</v>
      </c>
      <c r="T47" s="3">
        <f>VLOOKUP($A47,OversightActuals!$A$17:K$58,COLUMN(OversightActuals!K:K),0)/1000</f>
        <v>109147.74800000001</v>
      </c>
      <c r="U47" s="3">
        <f>VLOOKUP($A47,OversightActuals!$A$17:L$58,COLUMN(OversightActuals!L:L),0)/1000</f>
        <v>119035.32865000001</v>
      </c>
      <c r="V47" s="3">
        <f>VLOOKUP($A47,OversightActuals!$A$17:M$58,COLUMN(OversightActuals!M:M),0)/1000</f>
        <v>132519.50072000001</v>
      </c>
      <c r="W47" s="3">
        <f>VLOOKUP($A47,OversightActuals!$A$17:N$58,COLUMN(OversightActuals!N:N),0)/1000</f>
        <v>147233.98788999999</v>
      </c>
      <c r="X47" s="3">
        <f>VLOOKUP($A47,OversightActuals!$A$17:O$58,COLUMN(OversightActuals!O:O),0)/1000</f>
        <v>157946.72203999999</v>
      </c>
      <c r="Y47" s="3">
        <f>VLOOKUP($A47,OversightActuals!$A$17:P$58,COLUMN(OversightActuals!P:P),0)/1000</f>
        <v>209361.64807</v>
      </c>
      <c r="Z47" s="3">
        <f>VLOOKUP($A47,OversightActuals!$A$17:Q$58,COLUMN(OversightActuals!Q:Q),0)/1000</f>
        <v>230253.0846</v>
      </c>
      <c r="AA47" s="3">
        <f>VLOOKUP($A47,OversightActuals!$A$17:R$58,COLUMN(OversightActuals!R:R),0)/1000</f>
        <v>239482.59240999998</v>
      </c>
      <c r="AB47" s="3">
        <f>VLOOKUP($A47,OversightActuals!$A$17:S$58,COLUMN(OversightActuals!S:S),0)/1000</f>
        <v>253636.26360000001</v>
      </c>
      <c r="AC47" s="3">
        <f>VLOOKUP($A47,OversightActuals!$A$17:T$58,COLUMN(OversightActuals!T:T),0)/1000</f>
        <v>266779.50482999999</v>
      </c>
      <c r="AD47" s="3">
        <f>VLOOKUP($A47,OversightActuals!$A$17:U$58,COLUMN(OversightActuals!U:U),0)/1000</f>
        <v>225202.24400000001</v>
      </c>
      <c r="AE47" s="3">
        <f>VLOOKUP($A47,OversightActuals!$A$17:V$58,COLUMN(OversightActuals!V:V),0)/1000</f>
        <v>243745.70571000001</v>
      </c>
      <c r="AF47" s="3">
        <f>VLOOKUP($A47,OversightActuals!$A$17:W$58,COLUMN(OversightActuals!W:W),0)/1000</f>
        <v>250448.66321</v>
      </c>
      <c r="AG47" s="3">
        <f>VLOOKUP($A47,OversightActuals!$A$17:X$58,COLUMN(OversightActuals!X:X),0)/1000</f>
        <v>242949.19605</v>
      </c>
      <c r="AH47" s="3">
        <f>VLOOKUP($A47,OversightActuals!$A$17:Y$58,COLUMN(OversightActuals!Y:Y),0)/1000</f>
        <v>231190.75850999999</v>
      </c>
      <c r="AI47" s="3">
        <f>VLOOKUP($A47,OversightActuals!$A$17:Z$58,COLUMN(OversightActuals!Z:Z),0)/1000</f>
        <v>234781.50774999999</v>
      </c>
      <c r="AJ47" s="3">
        <f>VLOOKUP($A47,OversightActuals!$A$17:AA$58,COLUMN(OversightActuals!AA:AA),0)/1000</f>
        <v>257515.69647999998</v>
      </c>
      <c r="AK47" s="3">
        <f>VLOOKUP($A47,OversightActuals!$A$17:AB$58,COLUMN(OversightActuals!AB:AB),0)/1000</f>
        <v>226453.24413000001</v>
      </c>
      <c r="AL47" s="3">
        <f>VLOOKUP($A47,OversightBudgets!$A$17:$F$1064,COLUMN(E:E),0)/1000</f>
        <v>260648</v>
      </c>
    </row>
    <row r="48" spans="1:38">
      <c r="A48" s="1" t="str">
        <f>+$A$10&amp;"149-6"</f>
        <v>370149-6</v>
      </c>
      <c r="B48" s="1" t="str">
        <f>+$B$10</f>
        <v>Eastern Washington University</v>
      </c>
      <c r="C48" s="3">
        <v>9691</v>
      </c>
      <c r="D48" s="3">
        <v>10709</v>
      </c>
      <c r="E48" s="3">
        <v>11468</v>
      </c>
      <c r="F48" s="3">
        <v>12463</v>
      </c>
      <c r="G48" s="3">
        <v>14303</v>
      </c>
      <c r="H48" s="3">
        <v>16439</v>
      </c>
      <c r="I48" s="3">
        <v>15652</v>
      </c>
      <c r="J48" s="3">
        <v>15866</v>
      </c>
      <c r="K48" s="3">
        <v>15160</v>
      </c>
      <c r="L48" s="3">
        <v>16546</v>
      </c>
      <c r="M48" s="3">
        <f>VLOOKUP($A48,OversightActuals!$A$17:D$58,COLUMN(OversightActuals!D:D),0)/1000</f>
        <v>17726.94371</v>
      </c>
      <c r="N48" s="3">
        <f>VLOOKUP($A48,OversightActuals!$A$17:E$58,COLUMN(OversightActuals!E:E),0)/1000</f>
        <v>19951.349679999999</v>
      </c>
      <c r="O48" s="3">
        <f>VLOOKUP($A48,OversightActuals!$A$17:F$58,COLUMN(OversightActuals!F:F),0)/1000</f>
        <v>19036.059350000003</v>
      </c>
      <c r="P48" s="3">
        <f>VLOOKUP($A48,OversightActuals!$A$17:G$58,COLUMN(OversightActuals!G:G),0)/1000</f>
        <v>22716.38466</v>
      </c>
      <c r="Q48" s="3">
        <f>VLOOKUP($A48,OversightActuals!$A$17:H$58,COLUMN(OversightActuals!H:H),0)/1000</f>
        <v>26257.200579999997</v>
      </c>
      <c r="R48" s="3">
        <f>VLOOKUP($A48,OversightActuals!$A$17:I$58,COLUMN(OversightActuals!I:I),0)/1000</f>
        <v>30953.37659</v>
      </c>
      <c r="S48" s="3">
        <f>VLOOKUP($A48,OversightActuals!$A$17:J$58,COLUMN(OversightActuals!J:J),0)/1000</f>
        <v>29548.331679999999</v>
      </c>
      <c r="T48" s="3">
        <f>VLOOKUP($A48,OversightActuals!$A$17:K$58,COLUMN(OversightActuals!K:K),0)/1000</f>
        <v>33600.601820000003</v>
      </c>
      <c r="U48" s="3">
        <f>VLOOKUP($A48,OversightActuals!$A$17:L$58,COLUMN(OversightActuals!L:L),0)/1000</f>
        <v>35731.798759999998</v>
      </c>
      <c r="V48" s="3">
        <f>VLOOKUP($A48,OversightActuals!$A$17:M$58,COLUMN(OversightActuals!M:M),0)/1000</f>
        <v>36890.347950000003</v>
      </c>
      <c r="W48" s="3">
        <f>VLOOKUP($A48,OversightActuals!$A$17:N$58,COLUMN(OversightActuals!N:N),0)/1000</f>
        <v>41774.249490000002</v>
      </c>
      <c r="X48" s="3">
        <f>VLOOKUP($A48,OversightActuals!$A$17:O$58,COLUMN(OversightActuals!O:O),0)/1000</f>
        <v>43719.018549999993</v>
      </c>
      <c r="Y48" s="3">
        <f>VLOOKUP($A48,OversightActuals!$A$17:P$58,COLUMN(OversightActuals!P:P),0)/1000</f>
        <v>55052.933520000006</v>
      </c>
      <c r="Z48" s="3">
        <f>VLOOKUP($A48,OversightActuals!$A$17:Q$58,COLUMN(OversightActuals!Q:Q),0)/1000</f>
        <v>58752.223740000001</v>
      </c>
      <c r="AA48" s="3">
        <f>VLOOKUP($A48,OversightActuals!$A$17:R$58,COLUMN(OversightActuals!R:R),0)/1000</f>
        <v>61393.748319999999</v>
      </c>
      <c r="AB48" s="3">
        <f>VLOOKUP($A48,OversightActuals!$A$17:S$58,COLUMN(OversightActuals!S:S),0)/1000</f>
        <v>68591.747759999998</v>
      </c>
      <c r="AC48" s="3">
        <f>VLOOKUP($A48,OversightActuals!$A$17:T$58,COLUMN(OversightActuals!T:T),0)/1000</f>
        <v>66424.794710000002</v>
      </c>
      <c r="AD48" s="3">
        <f>VLOOKUP($A48,OversightActuals!$A$17:U$58,COLUMN(OversightActuals!U:U),0)/1000</f>
        <v>58330.60297</v>
      </c>
      <c r="AE48" s="3">
        <f>VLOOKUP($A48,OversightActuals!$A$17:V$58,COLUMN(OversightActuals!V:V),0)/1000</f>
        <v>61940.408839999996</v>
      </c>
      <c r="AF48" s="3">
        <f>VLOOKUP($A48,OversightActuals!$A$17:W$58,COLUMN(OversightActuals!W:W),0)/1000</f>
        <v>65102.322749999999</v>
      </c>
      <c r="AG48" s="3">
        <f>VLOOKUP($A48,OversightActuals!$A$17:X$58,COLUMN(OversightActuals!X:X),0)/1000</f>
        <v>69004.671499999997</v>
      </c>
      <c r="AH48" s="3">
        <f>VLOOKUP($A48,OversightActuals!$A$17:Y$58,COLUMN(OversightActuals!Y:Y),0)/1000</f>
        <v>54399.728090000004</v>
      </c>
      <c r="AI48" s="3">
        <f>VLOOKUP($A48,OversightActuals!$A$17:Z$58,COLUMN(OversightActuals!Z:Z),0)/1000</f>
        <v>49298.750870000003</v>
      </c>
      <c r="AJ48" s="3">
        <f>VLOOKUP($A48,OversightActuals!$A$17:AA$58,COLUMN(OversightActuals!AA:AA),0)/1000</f>
        <v>48528.785050000006</v>
      </c>
      <c r="AK48" s="3">
        <f>VLOOKUP($A48,OversightActuals!$A$17:AB$58,COLUMN(OversightActuals!AB:AB),0)/1000</f>
        <v>51230.620770000001</v>
      </c>
      <c r="AL48" s="3">
        <f>VLOOKUP($A48,OversightBudgets!$A$17:$F$1064,COLUMN(E:E),0)/1000</f>
        <v>65136</v>
      </c>
    </row>
    <row r="49" spans="1:38">
      <c r="A49" s="1" t="str">
        <f>+$A$11&amp;"149-6"</f>
        <v>375149-6</v>
      </c>
      <c r="B49" s="1" t="str">
        <f>+$B$11</f>
        <v>Central Washington University</v>
      </c>
      <c r="C49" s="3">
        <v>7821</v>
      </c>
      <c r="D49" s="3">
        <v>8587</v>
      </c>
      <c r="E49" s="3">
        <v>8932</v>
      </c>
      <c r="F49" s="3">
        <v>9700</v>
      </c>
      <c r="G49" s="3">
        <v>11695</v>
      </c>
      <c r="H49" s="3">
        <v>14109</v>
      </c>
      <c r="I49" s="3">
        <v>15262</v>
      </c>
      <c r="J49" s="3">
        <v>14272</v>
      </c>
      <c r="K49" s="3">
        <v>16881</v>
      </c>
      <c r="L49" s="3">
        <v>17102</v>
      </c>
      <c r="M49" s="3">
        <f>VLOOKUP($A49,OversightActuals!$A$17:D$58,COLUMN(OversightActuals!D:D),0)/1000</f>
        <v>16506.80904</v>
      </c>
      <c r="N49" s="3">
        <f>VLOOKUP($A49,OversightActuals!$A$17:E$58,COLUMN(OversightActuals!E:E),0)/1000</f>
        <v>17230.346450000001</v>
      </c>
      <c r="O49" s="3">
        <f>VLOOKUP($A49,OversightActuals!$A$17:F$58,COLUMN(OversightActuals!F:F),0)/1000</f>
        <v>17801.917539999999</v>
      </c>
      <c r="P49" s="3">
        <f>VLOOKUP($A49,OversightActuals!$A$17:G$58,COLUMN(OversightActuals!G:G),0)/1000</f>
        <v>23923.062829999999</v>
      </c>
      <c r="Q49" s="3">
        <f>VLOOKUP($A49,OversightActuals!$A$17:H$58,COLUMN(OversightActuals!H:H),0)/1000</f>
        <v>26517.258300000001</v>
      </c>
      <c r="R49" s="3">
        <f>VLOOKUP($A49,OversightActuals!$A$17:I$58,COLUMN(OversightActuals!I:I),0)/1000</f>
        <v>27699.62887</v>
      </c>
      <c r="S49" s="3">
        <f>VLOOKUP($A49,OversightActuals!$A$17:J$58,COLUMN(OversightActuals!J:J),0)/1000</f>
        <v>28915.117750000001</v>
      </c>
      <c r="T49" s="3">
        <f>VLOOKUP($A49,OversightActuals!$A$17:K$58,COLUMN(OversightActuals!K:K),0)/1000</f>
        <v>30019.645570000001</v>
      </c>
      <c r="U49" s="3">
        <f>VLOOKUP($A49,OversightActuals!$A$17:L$58,COLUMN(OversightActuals!L:L),0)/1000</f>
        <v>33594.240030000001</v>
      </c>
      <c r="V49" s="3">
        <f>VLOOKUP($A49,OversightActuals!$A$17:M$58,COLUMN(OversightActuals!M:M),0)/1000</f>
        <v>37189.561750000001</v>
      </c>
      <c r="W49" s="3">
        <f>VLOOKUP($A49,OversightActuals!$A$17:N$58,COLUMN(OversightActuals!N:N),0)/1000</f>
        <v>45096.36133</v>
      </c>
      <c r="X49" s="3">
        <f>VLOOKUP($A49,OversightActuals!$A$17:O$58,COLUMN(OversightActuals!O:O),0)/1000</f>
        <v>45630.175889999999</v>
      </c>
      <c r="Y49" s="3">
        <f>VLOOKUP($A49,OversightActuals!$A$17:P$58,COLUMN(OversightActuals!P:P),0)/1000</f>
        <v>57591.834000000003</v>
      </c>
      <c r="Z49" s="3">
        <f>VLOOKUP($A49,OversightActuals!$A$17:Q$58,COLUMN(OversightActuals!Q:Q),0)/1000</f>
        <v>59140.264950000004</v>
      </c>
      <c r="AA49" s="3">
        <f>VLOOKUP($A49,OversightActuals!$A$17:R$58,COLUMN(OversightActuals!R:R),0)/1000</f>
        <v>64999.810939999996</v>
      </c>
      <c r="AB49" s="3">
        <f>VLOOKUP($A49,OversightActuals!$A$17:S$58,COLUMN(OversightActuals!S:S),0)/1000</f>
        <v>62238.506329999997</v>
      </c>
      <c r="AC49" s="3">
        <f>VLOOKUP($A49,OversightActuals!$A$17:T$58,COLUMN(OversightActuals!T:T),0)/1000</f>
        <v>60600.058960000002</v>
      </c>
      <c r="AD49" s="3">
        <f>VLOOKUP($A49,OversightActuals!$A$17:U$58,COLUMN(OversightActuals!U:U),0)/1000</f>
        <v>58655.192620000002</v>
      </c>
      <c r="AE49" s="3">
        <f>VLOOKUP($A49,OversightActuals!$A$17:V$58,COLUMN(OversightActuals!V:V),0)/1000</f>
        <v>54139.380410000005</v>
      </c>
      <c r="AF49" s="3">
        <f>VLOOKUP($A49,OversightActuals!$A$17:W$58,COLUMN(OversightActuals!W:W),0)/1000</f>
        <v>57315.397620000003</v>
      </c>
      <c r="AG49" s="3">
        <f>VLOOKUP($A49,OversightActuals!$A$17:X$58,COLUMN(OversightActuals!X:X),0)/1000</f>
        <v>56616.726519999997</v>
      </c>
      <c r="AH49" s="3">
        <f>VLOOKUP($A49,OversightActuals!$A$17:Y$58,COLUMN(OversightActuals!Y:Y),0)/1000</f>
        <v>50155.044350000004</v>
      </c>
      <c r="AI49" s="3">
        <f>VLOOKUP($A49,OversightActuals!$A$17:Z$58,COLUMN(OversightActuals!Z:Z),0)/1000</f>
        <v>54211.256520000003</v>
      </c>
      <c r="AJ49" s="3">
        <f>VLOOKUP($A49,OversightActuals!$A$17:AA$58,COLUMN(OversightActuals!AA:AA),0)/1000</f>
        <v>56193.897169999997</v>
      </c>
      <c r="AK49" s="3">
        <f>VLOOKUP($A49,OversightActuals!$A$17:AB$58,COLUMN(OversightActuals!AB:AB),0)/1000</f>
        <v>56804.850290000002</v>
      </c>
      <c r="AL49" s="3">
        <f>VLOOKUP($A49,OversightBudgets!$A$17:$F$1064,COLUMN(E:E),0)/1000</f>
        <v>64491</v>
      </c>
    </row>
    <row r="50" spans="1:38">
      <c r="A50" s="1" t="str">
        <f>+$A$12&amp;"149-6"</f>
        <v>376149-6</v>
      </c>
      <c r="B50" s="1" t="str">
        <f>+$B$12</f>
        <v>The Evergreen State College</v>
      </c>
      <c r="C50" s="3">
        <v>4997</v>
      </c>
      <c r="D50" s="3">
        <v>5675</v>
      </c>
      <c r="E50" s="3">
        <v>6766</v>
      </c>
      <c r="F50" s="3">
        <v>6867</v>
      </c>
      <c r="G50" s="3">
        <v>8102</v>
      </c>
      <c r="H50" s="3">
        <v>10260</v>
      </c>
      <c r="I50" s="3">
        <v>9521</v>
      </c>
      <c r="J50" s="3">
        <v>11678</v>
      </c>
      <c r="K50" s="3">
        <v>10470</v>
      </c>
      <c r="L50" s="3">
        <v>12674</v>
      </c>
      <c r="M50" s="3">
        <f>VLOOKUP($A50,OversightActuals!$A$17:D$58,COLUMN(OversightActuals!D:D),0)/1000</f>
        <v>14291.20832</v>
      </c>
      <c r="N50" s="3">
        <f>VLOOKUP($A50,OversightActuals!$A$17:E$58,COLUMN(OversightActuals!E:E),0)/1000</f>
        <v>14460.499970000001</v>
      </c>
      <c r="O50" s="3">
        <f>VLOOKUP($A50,OversightActuals!$A$17:F$58,COLUMN(OversightActuals!F:F),0)/1000</f>
        <v>14194.184360000001</v>
      </c>
      <c r="P50" s="3">
        <f>VLOOKUP($A50,OversightActuals!$A$17:G$58,COLUMN(OversightActuals!G:G),0)/1000</f>
        <v>15702.712899999999</v>
      </c>
      <c r="Q50" s="3">
        <f>VLOOKUP($A50,OversightActuals!$A$17:H$58,COLUMN(OversightActuals!H:H),0)/1000</f>
        <v>13274.20952</v>
      </c>
      <c r="R50" s="3">
        <f>VLOOKUP($A50,OversightActuals!$A$17:I$58,COLUMN(OversightActuals!I:I),0)/1000</f>
        <v>24748.583609999998</v>
      </c>
      <c r="S50" s="3">
        <f>VLOOKUP($A50,OversightActuals!$A$17:J$58,COLUMN(OversightActuals!J:J),0)/1000</f>
        <v>19978.517769999999</v>
      </c>
      <c r="T50" s="3">
        <f>VLOOKUP($A50,OversightActuals!$A$17:K$58,COLUMN(OversightActuals!K:K),0)/1000</f>
        <v>20713.06914</v>
      </c>
      <c r="U50" s="3">
        <f>VLOOKUP($A50,OversightActuals!$A$17:L$58,COLUMN(OversightActuals!L:L),0)/1000</f>
        <v>20395.574679999998</v>
      </c>
      <c r="V50" s="3">
        <f>VLOOKUP($A50,OversightActuals!$A$17:M$58,COLUMN(OversightActuals!M:M),0)/1000</f>
        <v>24487.150119999998</v>
      </c>
      <c r="W50" s="3">
        <f>VLOOKUP($A50,OversightActuals!$A$17:N$58,COLUMN(OversightActuals!N:N),0)/1000</f>
        <v>26162.580919999997</v>
      </c>
      <c r="X50" s="3">
        <f>VLOOKUP($A50,OversightActuals!$A$17:O$58,COLUMN(OversightActuals!O:O),0)/1000</f>
        <v>30020.329180000001</v>
      </c>
      <c r="Y50" s="3">
        <f>VLOOKUP($A50,OversightActuals!$A$17:P$58,COLUMN(OversightActuals!P:P),0)/1000</f>
        <v>33544.503109999998</v>
      </c>
      <c r="Z50" s="3">
        <f>VLOOKUP($A50,OversightActuals!$A$17:Q$58,COLUMN(OversightActuals!Q:Q),0)/1000</f>
        <v>33837.467629999999</v>
      </c>
      <c r="AA50" s="3">
        <f>VLOOKUP($A50,OversightActuals!$A$17:R$58,COLUMN(OversightActuals!R:R),0)/1000</f>
        <v>32829.827590000001</v>
      </c>
      <c r="AB50" s="3">
        <f>VLOOKUP($A50,OversightActuals!$A$17:S$58,COLUMN(OversightActuals!S:S),0)/1000</f>
        <v>32136.535250000001</v>
      </c>
      <c r="AC50" s="3">
        <f>VLOOKUP($A50,OversightActuals!$A$17:T$58,COLUMN(OversightActuals!T:T),0)/1000</f>
        <v>41436.917089999995</v>
      </c>
      <c r="AD50" s="3">
        <f>VLOOKUP($A50,OversightActuals!$A$17:U$58,COLUMN(OversightActuals!U:U),0)/1000</f>
        <v>31142.328229999999</v>
      </c>
      <c r="AE50" s="3">
        <f>VLOOKUP($A50,OversightActuals!$A$17:V$58,COLUMN(OversightActuals!V:V),0)/1000</f>
        <v>30301.325209999995</v>
      </c>
      <c r="AF50" s="3">
        <f>VLOOKUP($A50,OversightActuals!$A$17:W$58,COLUMN(OversightActuals!W:W),0)/1000</f>
        <v>23046.931539999998</v>
      </c>
      <c r="AG50" s="3">
        <f>VLOOKUP($A50,OversightActuals!$A$17:X$58,COLUMN(OversightActuals!X:X),0)/1000</f>
        <v>19932.535949999998</v>
      </c>
      <c r="AH50" s="3">
        <f>VLOOKUP($A50,OversightActuals!$A$17:Y$58,COLUMN(OversightActuals!Y:Y),0)/1000</f>
        <v>10596.029789999999</v>
      </c>
      <c r="AI50" s="3">
        <f>VLOOKUP($A50,OversightActuals!$A$17:Z$58,COLUMN(OversightActuals!Z:Z),0)/1000</f>
        <v>3156.45588</v>
      </c>
      <c r="AJ50" s="3">
        <f>VLOOKUP($A50,OversightActuals!$A$17:AA$58,COLUMN(OversightActuals!AA:AA),0)/1000</f>
        <v>14669.580250000001</v>
      </c>
      <c r="AK50" s="3">
        <f>VLOOKUP($A50,OversightActuals!$A$17:AB$58,COLUMN(OversightActuals!AB:AB),0)/1000</f>
        <v>13733.92584</v>
      </c>
      <c r="AL50" s="3">
        <f>VLOOKUP($A50,OversightBudgets!$A$17:$F$1064,COLUMN(E:E),0)/1000</f>
        <v>37937</v>
      </c>
    </row>
    <row r="51" spans="1:38">
      <c r="A51" s="1" t="str">
        <f>+$A$13&amp;"149-6"</f>
        <v>380149-6</v>
      </c>
      <c r="B51" s="1" t="str">
        <f>+$B$13</f>
        <v>Western Washington University</v>
      </c>
      <c r="C51" s="41">
        <v>10465</v>
      </c>
      <c r="D51" s="41">
        <v>11678</v>
      </c>
      <c r="E51" s="41">
        <v>12831</v>
      </c>
      <c r="F51" s="41">
        <v>13792</v>
      </c>
      <c r="G51" s="41">
        <v>15297</v>
      </c>
      <c r="H51" s="41">
        <v>20018</v>
      </c>
      <c r="I51" s="41">
        <v>18561</v>
      </c>
      <c r="J51" s="41">
        <v>19782</v>
      </c>
      <c r="K51" s="41">
        <v>21710</v>
      </c>
      <c r="L51" s="41">
        <v>24580</v>
      </c>
      <c r="M51" s="3">
        <f>VLOOKUP($A51,OversightActuals!$A$17:D$58,COLUMN(OversightActuals!D:D),0)/1000</f>
        <v>26898.128649999999</v>
      </c>
      <c r="N51" s="3">
        <f>VLOOKUP($A51,OversightActuals!$A$17:E$58,COLUMN(OversightActuals!E:E),0)/1000</f>
        <v>28823.412760000003</v>
      </c>
      <c r="O51" s="3">
        <f>VLOOKUP($A51,OversightActuals!$A$17:F$58,COLUMN(OversightActuals!F:F),0)/1000</f>
        <v>29845.664490000003</v>
      </c>
      <c r="P51" s="3">
        <f>VLOOKUP($A51,OversightActuals!$A$17:G$58,COLUMN(OversightActuals!G:G),0)/1000</f>
        <v>34609.505149999997</v>
      </c>
      <c r="Q51" s="3">
        <f>VLOOKUP($A51,OversightActuals!$A$17:H$58,COLUMN(OversightActuals!H:H),0)/1000</f>
        <v>38443.41216</v>
      </c>
      <c r="R51" s="3">
        <f>VLOOKUP($A51,OversightActuals!$A$17:I$58,COLUMN(OversightActuals!I:I),0)/1000</f>
        <v>40113.20175</v>
      </c>
      <c r="S51" s="3">
        <f>VLOOKUP($A51,OversightActuals!$A$17:J$58,COLUMN(OversightActuals!J:J),0)/1000</f>
        <v>41945.57331</v>
      </c>
      <c r="T51" s="3">
        <f>VLOOKUP($A51,OversightActuals!$A$17:K$58,COLUMN(OversightActuals!K:K),0)/1000</f>
        <v>45652.683420000001</v>
      </c>
      <c r="U51" s="3">
        <f>VLOOKUP($A51,OversightActuals!$A$17:L$58,COLUMN(OversightActuals!L:L),0)/1000</f>
        <v>49078.327530000002</v>
      </c>
      <c r="V51" s="3">
        <f>VLOOKUP($A51,OversightActuals!$A$17:M$58,COLUMN(OversightActuals!M:M),0)/1000</f>
        <v>51612.887690000003</v>
      </c>
      <c r="W51" s="3">
        <f>VLOOKUP($A51,OversightActuals!$A$17:N$58,COLUMN(OversightActuals!N:N),0)/1000</f>
        <v>67469.161890000003</v>
      </c>
      <c r="X51" s="3">
        <f>VLOOKUP($A51,OversightActuals!$A$17:O$58,COLUMN(OversightActuals!O:O),0)/1000</f>
        <v>67662.909019999992</v>
      </c>
      <c r="Y51" s="3">
        <f>VLOOKUP($A51,OversightActuals!$A$17:P$58,COLUMN(OversightActuals!P:P),0)/1000</f>
        <v>78671.89145000001</v>
      </c>
      <c r="Z51" s="3">
        <f>VLOOKUP($A51,OversightActuals!$A$17:Q$58,COLUMN(OversightActuals!Q:Q),0)/1000</f>
        <v>83921.379890000011</v>
      </c>
      <c r="AA51" s="3">
        <f>VLOOKUP($A51,OversightActuals!$A$17:R$58,COLUMN(OversightActuals!R:R),0)/1000</f>
        <v>84504.162890000007</v>
      </c>
      <c r="AB51" s="3">
        <f>VLOOKUP($A51,OversightActuals!$A$17:S$58,COLUMN(OversightActuals!S:S),0)/1000</f>
        <v>90869.549299999999</v>
      </c>
      <c r="AC51" s="3">
        <f>VLOOKUP($A51,OversightActuals!$A$17:T$58,COLUMN(OversightActuals!T:T),0)/1000</f>
        <v>88267.99656</v>
      </c>
      <c r="AD51" s="3">
        <f>VLOOKUP($A51,OversightActuals!$A$17:U$58,COLUMN(OversightActuals!U:U),0)/1000</f>
        <v>86687.813949999996</v>
      </c>
      <c r="AE51" s="3">
        <f>VLOOKUP($A51,OversightActuals!$A$17:V$58,COLUMN(OversightActuals!V:V),0)/1000</f>
        <v>90360.874130000011</v>
      </c>
      <c r="AF51" s="3">
        <f>VLOOKUP($A51,OversightActuals!$A$17:W$58,COLUMN(OversightActuals!W:W),0)/1000</f>
        <v>93609.927500000005</v>
      </c>
      <c r="AG51" s="3">
        <f>VLOOKUP($A51,OversightActuals!$A$17:X$58,COLUMN(OversightActuals!X:X),0)/1000</f>
        <v>99272.470379999999</v>
      </c>
      <c r="AH51" s="3">
        <f>VLOOKUP($A51,OversightActuals!$A$17:Y$58,COLUMN(OversightActuals!Y:Y),0)/1000</f>
        <v>90780.725090000007</v>
      </c>
      <c r="AI51" s="3">
        <f>VLOOKUP($A51,OversightActuals!$A$17:Z$58,COLUMN(OversightActuals!Z:Z),0)/1000</f>
        <v>102306.22777</v>
      </c>
      <c r="AJ51" s="3">
        <f>VLOOKUP($A51,OversightActuals!$A$17:AA$58,COLUMN(OversightActuals!AA:AA),0)/1000</f>
        <v>107138.01871</v>
      </c>
      <c r="AK51" s="3">
        <f>VLOOKUP($A51,OversightActuals!$A$17:AB$58,COLUMN(OversightActuals!AB:AB),0)/1000</f>
        <v>105237.06074</v>
      </c>
      <c r="AL51" s="3">
        <f>VLOOKUP($A51,OversightBudgets!$A$17:$F$1064,COLUMN(E:E),0)/1000</f>
        <v>90415</v>
      </c>
    </row>
    <row r="52" spans="1:38">
      <c r="B52" s="199" t="str">
        <f>+$B$14</f>
        <v>Total Four-Year Institutions</v>
      </c>
      <c r="C52" s="42">
        <f t="shared" ref="C52:O52" si="81">SUM(C46:C51)</f>
        <v>113997</v>
      </c>
      <c r="D52" s="42">
        <f t="shared" si="81"/>
        <v>124624</v>
      </c>
      <c r="E52" s="42">
        <f t="shared" si="81"/>
        <v>141140</v>
      </c>
      <c r="F52" s="42">
        <f t="shared" si="81"/>
        <v>149082</v>
      </c>
      <c r="G52" s="42">
        <f t="shared" si="81"/>
        <v>165275</v>
      </c>
      <c r="H52" s="42">
        <f t="shared" si="81"/>
        <v>210718</v>
      </c>
      <c r="I52" s="42">
        <f t="shared" si="81"/>
        <v>204657</v>
      </c>
      <c r="J52" s="42">
        <f t="shared" si="81"/>
        <v>217289</v>
      </c>
      <c r="K52" s="42">
        <f t="shared" si="81"/>
        <v>223456</v>
      </c>
      <c r="L52" s="42">
        <f t="shared" si="81"/>
        <v>259419</v>
      </c>
      <c r="M52" s="42">
        <f t="shared" si="81"/>
        <v>262256.06449000002</v>
      </c>
      <c r="N52" s="42">
        <f t="shared" si="81"/>
        <v>273632.15523999999</v>
      </c>
      <c r="O52" s="42">
        <f t="shared" si="81"/>
        <v>298153.52334000001</v>
      </c>
      <c r="P52" s="42">
        <f t="shared" ref="P52:X52" si="82">SUM(P46:P51)</f>
        <v>349778.21369999996</v>
      </c>
      <c r="Q52" s="42">
        <f t="shared" si="82"/>
        <v>368743.34346999996</v>
      </c>
      <c r="R52" s="42">
        <f t="shared" si="82"/>
        <v>427176.40010000003</v>
      </c>
      <c r="S52" s="42">
        <f t="shared" si="82"/>
        <v>435506.70058999996</v>
      </c>
      <c r="T52" s="42">
        <f t="shared" si="82"/>
        <v>489746.84218999994</v>
      </c>
      <c r="U52" s="42">
        <f t="shared" si="82"/>
        <v>527766.26670000004</v>
      </c>
      <c r="V52" s="42">
        <f t="shared" si="82"/>
        <v>577242.77216000005</v>
      </c>
      <c r="W52" s="42">
        <f t="shared" si="82"/>
        <v>625105.08514999994</v>
      </c>
      <c r="X52" s="42">
        <f t="shared" si="82"/>
        <v>764585.71041000006</v>
      </c>
      <c r="Y52" s="42">
        <f t="shared" ref="Y52:AE52" si="83">SUM(Y46:Y51)</f>
        <v>887576.23065000004</v>
      </c>
      <c r="Z52" s="42">
        <f t="shared" si="83"/>
        <v>999485.22189000004</v>
      </c>
      <c r="AA52" s="42">
        <f t="shared" si="83"/>
        <v>967200.83114000002</v>
      </c>
      <c r="AB52" s="42">
        <f t="shared" si="83"/>
        <v>1110480.97312</v>
      </c>
      <c r="AC52" s="42">
        <f t="shared" si="83"/>
        <v>1083887.5935300002</v>
      </c>
      <c r="AD52" s="42">
        <f t="shared" si="83"/>
        <v>1062910.93582</v>
      </c>
      <c r="AE52" s="42">
        <f t="shared" si="83"/>
        <v>1169722.34448</v>
      </c>
      <c r="AF52" s="42">
        <f t="shared" ref="AF52:AL52" si="84">SUM(AF46:AF51)</f>
        <v>1119390.28211</v>
      </c>
      <c r="AG52" s="42">
        <f t="shared" si="84"/>
        <v>1110078.4529500001</v>
      </c>
      <c r="AH52" s="42">
        <f t="shared" si="84"/>
        <v>1064873.4974099998</v>
      </c>
      <c r="AI52" s="42">
        <f t="shared" si="84"/>
        <v>1062192.90714</v>
      </c>
      <c r="AJ52" s="42">
        <f t="shared" si="84"/>
        <v>1132239.6350400001</v>
      </c>
      <c r="AK52" s="42">
        <f t="shared" ref="AK52" si="85">SUM(AK46:AK51)</f>
        <v>1225960.3559900001</v>
      </c>
      <c r="AL52" s="42">
        <f t="shared" si="84"/>
        <v>1236275</v>
      </c>
    </row>
    <row r="53" spans="1:38">
      <c r="C53"/>
      <c r="D53"/>
      <c r="E53"/>
      <c r="F53"/>
      <c r="G53"/>
      <c r="H53"/>
      <c r="I53"/>
      <c r="J53"/>
      <c r="K53"/>
      <c r="L53"/>
      <c r="M53"/>
      <c r="N53"/>
      <c r="O53"/>
      <c r="P53"/>
      <c r="Q53"/>
      <c r="R53" s="3"/>
      <c r="S53"/>
      <c r="T53"/>
      <c r="U53"/>
      <c r="V53"/>
      <c r="W53"/>
      <c r="X53"/>
      <c r="Y53"/>
      <c r="Z53"/>
      <c r="AA53"/>
      <c r="AB53"/>
      <c r="AC53"/>
      <c r="AD53"/>
      <c r="AF53" s="1"/>
    </row>
    <row r="54" spans="1:38">
      <c r="A54" s="1" t="str">
        <f>+$A$16&amp;"149-6"</f>
        <v>699149-6</v>
      </c>
      <c r="B54" s="1" t="str">
        <f>+$B$16</f>
        <v>Community/Technical College System</v>
      </c>
      <c r="C54" s="3">
        <v>46270</v>
      </c>
      <c r="D54" s="3">
        <v>50394</v>
      </c>
      <c r="E54" s="3">
        <v>56042</v>
      </c>
      <c r="F54" s="3">
        <v>61747</v>
      </c>
      <c r="G54" s="3">
        <v>82057</v>
      </c>
      <c r="H54" s="3">
        <v>102098</v>
      </c>
      <c r="I54" s="3">
        <v>105135</v>
      </c>
      <c r="J54" s="3">
        <v>110821</v>
      </c>
      <c r="K54" s="3">
        <v>118828</v>
      </c>
      <c r="L54" s="3">
        <v>122019</v>
      </c>
      <c r="M54" s="3">
        <f>VLOOKUP($A54,OversightActuals!$A$17:D$58,COLUMN(OversightActuals!D:D),0)/1000</f>
        <v>134108.86781</v>
      </c>
      <c r="N54" s="3">
        <f>VLOOKUP($A54,OversightActuals!$A$17:E$58,COLUMN(OversightActuals!E:E),0)/1000</f>
        <v>134757.78544000001</v>
      </c>
      <c r="O54" s="3">
        <f>VLOOKUP($A54,OversightActuals!$A$17:F$58,COLUMN(OversightActuals!F:F),0)/1000</f>
        <v>146072.72946999999</v>
      </c>
      <c r="P54" s="3">
        <f>VLOOKUP($A54,OversightActuals!$A$17:G$58,COLUMN(OversightActuals!G:G),0)/1000</f>
        <v>158721.09552</v>
      </c>
      <c r="Q54" s="3">
        <f>VLOOKUP($A54,OversightActuals!$A$17:H$58,COLUMN(OversightActuals!H:H),0)/1000</f>
        <v>183989.62482999999</v>
      </c>
      <c r="R54" s="3">
        <f>VLOOKUP($A54,OversightActuals!$A$17:I$58,COLUMN(OversightActuals!I:I),0)/1000</f>
        <v>198652.80664</v>
      </c>
      <c r="S54" s="3">
        <f>VLOOKUP($A54,OversightActuals!$A$17:J$58,COLUMN(OversightActuals!J:J),0)/1000</f>
        <v>208488.88889</v>
      </c>
      <c r="T54" s="3">
        <f>VLOOKUP($A54,OversightActuals!$A$17:K$58,COLUMN(OversightActuals!K:K),0)/1000</f>
        <v>217269.25946</v>
      </c>
      <c r="U54" s="3">
        <f>VLOOKUP($A54,OversightActuals!$A$17:L$58,COLUMN(OversightActuals!L:L),0)/1000</f>
        <v>232952.50403000001</v>
      </c>
      <c r="V54" s="3">
        <f>VLOOKUP($A54,OversightActuals!$A$17:M$58,COLUMN(OversightActuals!M:M),0)/1000</f>
        <v>237174.22628</v>
      </c>
      <c r="W54" s="3">
        <f>VLOOKUP($A54,OversightActuals!$A$17:N$58,COLUMN(OversightActuals!N:N),0)/1000</f>
        <v>257436.95342999997</v>
      </c>
      <c r="X54" s="3">
        <f>VLOOKUP($A54,OversightActuals!$A$17:O$58,COLUMN(OversightActuals!O:O),0)/1000</f>
        <v>292708.76870000002</v>
      </c>
      <c r="Y54" s="3">
        <f>VLOOKUP($A54,OversightActuals!$A$17:P$58,COLUMN(OversightActuals!P:P),0)/1000</f>
        <v>307622.98048000003</v>
      </c>
      <c r="Z54" s="3">
        <f>VLOOKUP($A54,OversightActuals!$A$17:Q$58,COLUMN(OversightActuals!Q:Q),0)/1000</f>
        <v>334831.68521999998</v>
      </c>
      <c r="AA54" s="3">
        <f>VLOOKUP($A54,OversightActuals!$A$17:R$58,COLUMN(OversightActuals!R:R),0)/1000</f>
        <v>348460.49267000001</v>
      </c>
      <c r="AB54" s="3">
        <f>VLOOKUP($A54,OversightActuals!$A$17:S$58,COLUMN(OversightActuals!S:S),0)/1000</f>
        <v>360091.57946000004</v>
      </c>
      <c r="AC54" s="3">
        <f>VLOOKUP($A54,OversightActuals!$A$17:T$58,COLUMN(OversightActuals!T:T),0)/1000</f>
        <v>364486.67595999996</v>
      </c>
      <c r="AD54" s="3">
        <f>VLOOKUP($A54,OversightActuals!$A$17:U$58,COLUMN(OversightActuals!U:U),0)/1000</f>
        <v>359122.46596000006</v>
      </c>
      <c r="AE54" s="3">
        <f>VLOOKUP($A54,OversightActuals!$A$17:V$58,COLUMN(OversightActuals!V:V),0)/1000</f>
        <v>354787.75024999998</v>
      </c>
      <c r="AF54" s="3">
        <f>VLOOKUP($A54,OversightActuals!$A$17:W$58,COLUMN(OversightActuals!W:W),0)/1000</f>
        <v>321534.18362000003</v>
      </c>
      <c r="AG54" s="3">
        <f>VLOOKUP($A54,OversightActuals!$A$17:X$58,COLUMN(OversightActuals!X:X),0)/1000</f>
        <v>358039.42918000004</v>
      </c>
      <c r="AH54" s="3">
        <f>VLOOKUP($A54,OversightActuals!$A$17:Y$58,COLUMN(OversightActuals!Y:Y),0)/1000</f>
        <v>288912.69704</v>
      </c>
      <c r="AI54" s="3">
        <f>VLOOKUP($A54,OversightActuals!$A$17:Z$58,COLUMN(OversightActuals!Z:Z),0)/1000</f>
        <v>333622.57526000001</v>
      </c>
      <c r="AJ54" s="3">
        <f>VLOOKUP($A54,OversightActuals!$A$17:AA$58,COLUMN(OversightActuals!AA:AA),0)/1000</f>
        <v>293255.22113999998</v>
      </c>
      <c r="AK54" s="3">
        <f>VLOOKUP($A54,OversightActuals!$A$17:AB$58,COLUMN(OversightActuals!AB:AB),0)/1000</f>
        <v>365119.39042000001</v>
      </c>
      <c r="AL54" s="3">
        <f>VLOOKUP($A54,OversightBudgets!$A$17:$F$1064,COLUMN(E:E),0)/1000</f>
        <v>365529</v>
      </c>
    </row>
    <row r="55" spans="1:38" hidden="1">
      <c r="A55" s="1" t="str">
        <f>+$A$17&amp;"149-6"</f>
        <v>340149-6</v>
      </c>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F55" s="1"/>
    </row>
    <row r="56" spans="1:38" ht="13.5" thickBot="1">
      <c r="C56" s="3"/>
      <c r="D56" s="3"/>
      <c r="E56" s="3"/>
      <c r="F56" s="3"/>
      <c r="G56" s="3"/>
      <c r="H56" s="3"/>
      <c r="I56" s="3"/>
      <c r="J56" s="3"/>
      <c r="K56" s="3"/>
      <c r="L56" s="3"/>
      <c r="M56" s="3"/>
      <c r="N56" s="3"/>
      <c r="O56" s="3"/>
      <c r="P56" s="3"/>
      <c r="Q56" s="3"/>
      <c r="R56" s="3"/>
      <c r="S56" s="3"/>
      <c r="T56" s="3"/>
      <c r="U56" s="3"/>
      <c r="V56" s="3"/>
      <c r="AF56" s="1"/>
    </row>
    <row r="57" spans="1:38" ht="13.5" thickTop="1">
      <c r="B57" s="1" t="str">
        <f>+$B$19</f>
        <v>Total Higher Education</v>
      </c>
      <c r="C57" s="39">
        <f t="shared" ref="C57:W57" si="86">+C54+C52</f>
        <v>160267</v>
      </c>
      <c r="D57" s="39">
        <f t="shared" si="86"/>
        <v>175018</v>
      </c>
      <c r="E57" s="39">
        <f t="shared" si="86"/>
        <v>197182</v>
      </c>
      <c r="F57" s="39">
        <f t="shared" si="86"/>
        <v>210829</v>
      </c>
      <c r="G57" s="39">
        <f t="shared" si="86"/>
        <v>247332</v>
      </c>
      <c r="H57" s="39">
        <f t="shared" si="86"/>
        <v>312816</v>
      </c>
      <c r="I57" s="39">
        <f t="shared" si="86"/>
        <v>309792</v>
      </c>
      <c r="J57" s="39">
        <f t="shared" si="86"/>
        <v>328110</v>
      </c>
      <c r="K57" s="39">
        <f t="shared" si="86"/>
        <v>342284</v>
      </c>
      <c r="L57" s="39">
        <f t="shared" si="86"/>
        <v>381438</v>
      </c>
      <c r="M57" s="39">
        <f t="shared" si="86"/>
        <v>396364.93229999999</v>
      </c>
      <c r="N57" s="39">
        <f t="shared" si="86"/>
        <v>408389.94068</v>
      </c>
      <c r="O57" s="39">
        <f t="shared" si="86"/>
        <v>444226.25280999998</v>
      </c>
      <c r="P57" s="39">
        <f t="shared" si="86"/>
        <v>508499.30921999994</v>
      </c>
      <c r="Q57" s="39">
        <f t="shared" si="86"/>
        <v>552732.96829999995</v>
      </c>
      <c r="R57" s="39">
        <f t="shared" si="86"/>
        <v>625829.20674000005</v>
      </c>
      <c r="S57" s="39">
        <f t="shared" si="86"/>
        <v>643995.58947999997</v>
      </c>
      <c r="T57" s="39">
        <f t="shared" si="86"/>
        <v>707016.10164999997</v>
      </c>
      <c r="U57" s="39">
        <f t="shared" si="86"/>
        <v>760718.77072999999</v>
      </c>
      <c r="V57" s="39">
        <f t="shared" si="86"/>
        <v>814416.99844</v>
      </c>
      <c r="W57" s="39">
        <f t="shared" si="86"/>
        <v>882542.03857999993</v>
      </c>
      <c r="X57" s="39">
        <f t="shared" ref="X57:AD57" si="87">+X54+X52</f>
        <v>1057294.4791100002</v>
      </c>
      <c r="Y57" s="39">
        <f t="shared" si="87"/>
        <v>1195199.2111300002</v>
      </c>
      <c r="Z57" s="39">
        <f t="shared" si="87"/>
        <v>1334316.90711</v>
      </c>
      <c r="AA57" s="39">
        <f t="shared" si="87"/>
        <v>1315661.32381</v>
      </c>
      <c r="AB57" s="39">
        <f t="shared" si="87"/>
        <v>1470572.5525799999</v>
      </c>
      <c r="AC57" s="39">
        <f t="shared" si="87"/>
        <v>1448374.2694900001</v>
      </c>
      <c r="AD57" s="39">
        <f t="shared" si="87"/>
        <v>1422033.40178</v>
      </c>
      <c r="AE57" s="39">
        <f t="shared" ref="AE57:AL57" si="88">+AE54+AE52</f>
        <v>1524510.09473</v>
      </c>
      <c r="AF57" s="39">
        <f t="shared" si="88"/>
        <v>1440924.4657300001</v>
      </c>
      <c r="AG57" s="39">
        <f t="shared" si="88"/>
        <v>1468117.88213</v>
      </c>
      <c r="AH57" s="39">
        <f t="shared" si="88"/>
        <v>1353786.1944499998</v>
      </c>
      <c r="AI57" s="39">
        <f t="shared" si="88"/>
        <v>1395815.4824000001</v>
      </c>
      <c r="AJ57" s="39">
        <f t="shared" ref="AJ57:AK57" si="89">+AJ54+AJ52</f>
        <v>1425494.8561800001</v>
      </c>
      <c r="AK57" s="39">
        <f t="shared" si="89"/>
        <v>1591079.7464100001</v>
      </c>
      <c r="AL57" s="39">
        <f t="shared" si="88"/>
        <v>1601804</v>
      </c>
    </row>
    <row r="58" spans="1:38">
      <c r="B58" s="199" t="str">
        <f>+$B$20</f>
        <v>[biennial]</v>
      </c>
      <c r="D58" s="3">
        <f>+D57+C57</f>
        <v>335285</v>
      </c>
      <c r="F58" s="3">
        <f>+F57+E57</f>
        <v>408011</v>
      </c>
      <c r="H58" s="3">
        <f>+H57+G57</f>
        <v>560148</v>
      </c>
      <c r="J58" s="3">
        <f>+J57+I57</f>
        <v>637902</v>
      </c>
      <c r="L58" s="3">
        <f>+L57+K57</f>
        <v>723722</v>
      </c>
      <c r="N58" s="3">
        <f>+N57+M57</f>
        <v>804754.87297999999</v>
      </c>
      <c r="P58" s="3">
        <f>+P57+O57</f>
        <v>952725.56202999991</v>
      </c>
      <c r="R58" s="3">
        <f>+R57+Q57</f>
        <v>1178562.1750400001</v>
      </c>
      <c r="T58" s="3">
        <f>+T57+S57</f>
        <v>1351011.6911299999</v>
      </c>
      <c r="U58" s="3"/>
      <c r="V58" s="3">
        <f>+V57+U57</f>
        <v>1575135.76917</v>
      </c>
      <c r="W58" s="3"/>
      <c r="X58" s="3">
        <f>+X57+W57</f>
        <v>1939836.5176900001</v>
      </c>
      <c r="Y58" s="3"/>
      <c r="Z58" s="3">
        <f>+Z57+Y57</f>
        <v>2529516.1182400002</v>
      </c>
      <c r="AA58" s="3"/>
      <c r="AB58" s="3">
        <f>+AB57+AA57</f>
        <v>2786233.8763899999</v>
      </c>
      <c r="AC58" s="3"/>
      <c r="AD58" s="3">
        <f>+AD57+AC57</f>
        <v>2870407.6712699998</v>
      </c>
      <c r="AE58" s="3"/>
      <c r="AF58" s="3">
        <f>+AF57+AE57</f>
        <v>2965434.5604600003</v>
      </c>
      <c r="AG58" s="3"/>
      <c r="AH58" s="3">
        <f>+AH57+AG57</f>
        <v>2821904.0765800001</v>
      </c>
      <c r="AI58" s="3"/>
      <c r="AJ58" s="3">
        <f>+AJ57+AI57</f>
        <v>2821310.3385800002</v>
      </c>
      <c r="AK58" s="3"/>
      <c r="AL58" s="3">
        <f>+AL57+AK57</f>
        <v>3192883.7464100001</v>
      </c>
    </row>
    <row r="59" spans="1:38" ht="13.5">
      <c r="D59" s="3"/>
      <c r="F59" s="3"/>
      <c r="H59" s="3"/>
      <c r="J59" s="3"/>
      <c r="L59" s="3"/>
      <c r="N59" s="1880" t="str">
        <f>IF(SUM(M46:N51,M54:N55)&lt;&gt;N58,"Error","")</f>
        <v/>
      </c>
      <c r="P59" s="1880" t="str">
        <f>IF(SUM(O46:P51,O54:P55)&lt;&gt;P58,"Error","")</f>
        <v/>
      </c>
      <c r="R59" s="1880" t="str">
        <f>IF(SUM(Q46:R51,Q54:R55)&lt;&gt;R58,"Error","")</f>
        <v/>
      </c>
      <c r="T59" s="1880" t="str">
        <f>IF(SUM(S46:T51,S54:T55)&lt;&gt;T58,"Error","")</f>
        <v/>
      </c>
      <c r="V59" s="1880" t="str">
        <f>IF(SUM(U46:V51,U54:V55)&lt;&gt;V58,"Error","")</f>
        <v/>
      </c>
      <c r="X59" s="1880" t="str">
        <f>IF(SUM(W46:X51,W54:X55)&lt;&gt;X58,"Error","")</f>
        <v/>
      </c>
      <c r="Z59" s="1880" t="str">
        <f>IF(SUM(Y46:Z51,Y54:Z55)&lt;&gt;Z58,"Error","")</f>
        <v/>
      </c>
      <c r="AB59" s="1880" t="str">
        <f>IF(SUM(AA46:AB51,AA54:AB55)&lt;&gt;AB58,"Error","")</f>
        <v/>
      </c>
      <c r="AD59" s="1880" t="str">
        <f>IF(SUM(AC46:AD51,AC54:AD55)&lt;&gt;AD58,"Error","")</f>
        <v/>
      </c>
      <c r="AG59" s="1880"/>
      <c r="AH59" s="1880"/>
      <c r="AI59" s="3"/>
      <c r="AJ59" s="3"/>
      <c r="AK59" s="3"/>
      <c r="AL59" s="3"/>
    </row>
    <row r="60" spans="1:38" ht="15.75">
      <c r="B60" s="376" t="s">
        <v>126</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row>
    <row r="61" spans="1:38">
      <c r="B61" s="5" t="str">
        <f>+$B$4</f>
        <v>(Dollars in Thousands)</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c r="AE61" s="5"/>
      <c r="AF61" s="5"/>
      <c r="AG61" s="5"/>
      <c r="AH61" s="5"/>
      <c r="AI61" s="5"/>
      <c r="AJ61" s="5"/>
      <c r="AK61" s="5"/>
      <c r="AL61" s="5"/>
    </row>
    <row r="62" spans="1:38">
      <c r="I62" s="13"/>
      <c r="J62" s="13"/>
      <c r="K62" s="13"/>
      <c r="L62" s="13"/>
      <c r="M62" s="13"/>
      <c r="N62" s="13"/>
      <c r="O62" s="13"/>
      <c r="P62" s="13"/>
      <c r="Q62"/>
      <c r="R62" s="13"/>
      <c r="S62"/>
      <c r="T62" s="655"/>
      <c r="U62"/>
      <c r="V62" s="2"/>
      <c r="W62"/>
      <c r="X62" s="2"/>
      <c r="Y62" s="2"/>
      <c r="Z62" s="2"/>
      <c r="AA62"/>
      <c r="AB62"/>
      <c r="AC62"/>
      <c r="AD62"/>
      <c r="AE62"/>
      <c r="AG62"/>
      <c r="AH62"/>
      <c r="AI62" s="2" t="str">
        <f>TRIM(+AI$5)</f>
        <v/>
      </c>
      <c r="AJ62" s="2" t="str">
        <f>TRIM(+AJ$5)</f>
        <v/>
      </c>
      <c r="AK62" s="2" t="str">
        <f>TRIM(+AK$5)</f>
        <v>Final</v>
      </c>
      <c r="AL62" s="2" t="str">
        <f>TRIM(+AL$5)</f>
        <v>Enacted</v>
      </c>
    </row>
    <row r="63" spans="1:38">
      <c r="C63" s="2" t="str">
        <f>+$C$6</f>
        <v>FY1990</v>
      </c>
      <c r="D63" s="2" t="str">
        <f>+$D$6</f>
        <v>FY1991</v>
      </c>
      <c r="E63" s="2" t="str">
        <f>+$E$6</f>
        <v>FY1992</v>
      </c>
      <c r="F63" s="2" t="str">
        <f>+$F$6</f>
        <v>FY1993</v>
      </c>
      <c r="G63" s="2" t="str">
        <f>+$G$6</f>
        <v>FY1994</v>
      </c>
      <c r="H63" s="2" t="str">
        <f>+$H$6</f>
        <v>FY1995</v>
      </c>
      <c r="I63" s="2" t="str">
        <f>+$I$6</f>
        <v>FY1996</v>
      </c>
      <c r="J63" s="2" t="str">
        <f>+$J$6</f>
        <v>FY1997</v>
      </c>
      <c r="K63" s="2" t="str">
        <f>+$K$6</f>
        <v>FY1998</v>
      </c>
      <c r="L63" s="2" t="str">
        <f>+$L$6</f>
        <v>FY1999</v>
      </c>
      <c r="M63" s="2" t="str">
        <f>+$M$6</f>
        <v>FY2000</v>
      </c>
      <c r="N63" s="2" t="str">
        <f>+$N$6</f>
        <v>FY2001*</v>
      </c>
      <c r="O63" s="2" t="str">
        <f>+$O$6</f>
        <v>FY2002</v>
      </c>
      <c r="P63" s="2" t="str">
        <f>+$P$6</f>
        <v>FY2003</v>
      </c>
      <c r="Q63" s="2" t="str">
        <f>+$Q$6</f>
        <v>FY2004*</v>
      </c>
      <c r="R63" s="2" t="str">
        <f>+$R$6</f>
        <v>FY2005*</v>
      </c>
      <c r="S63" s="2" t="str">
        <f>+$S$6</f>
        <v>FY2006</v>
      </c>
      <c r="T63" s="2" t="str">
        <f>+$T$6</f>
        <v>FY2007</v>
      </c>
      <c r="U63" s="2" t="str">
        <f>+U6</f>
        <v>FY2008</v>
      </c>
      <c r="V63" s="2" t="str">
        <f>+$V$6</f>
        <v>FY2009</v>
      </c>
      <c r="W63" s="2" t="str">
        <f>+$W$6</f>
        <v>FY2010</v>
      </c>
      <c r="X63" s="2" t="str">
        <f>+$X$6</f>
        <v>FY2011</v>
      </c>
      <c r="Y63" s="2" t="str">
        <f>+$Y$6</f>
        <v>FY2012</v>
      </c>
      <c r="Z63" s="2" t="str">
        <f>+$Z$6</f>
        <v>FY2013</v>
      </c>
      <c r="AA63" s="2" t="str">
        <f>+$AA$6</f>
        <v>FY2014</v>
      </c>
      <c r="AB63" s="2" t="str">
        <f>+$AB$6</f>
        <v>FY2015</v>
      </c>
      <c r="AC63" s="2" t="str">
        <f>+$AC$6</f>
        <v>FY2016</v>
      </c>
      <c r="AD63" s="2" t="str">
        <f>+$AD$6</f>
        <v>FY2017</v>
      </c>
      <c r="AE63" s="2" t="str">
        <f t="shared" ref="AE63:AL63" si="90">+AE$6</f>
        <v>FY2018</v>
      </c>
      <c r="AF63" s="2" t="str">
        <f t="shared" si="90"/>
        <v>FY2019</v>
      </c>
      <c r="AG63" s="2" t="str">
        <f t="shared" si="90"/>
        <v>FY2020</v>
      </c>
      <c r="AH63" s="2" t="str">
        <f t="shared" si="90"/>
        <v>FY2021</v>
      </c>
      <c r="AI63" s="2" t="str">
        <f t="shared" si="90"/>
        <v>FY2022</v>
      </c>
      <c r="AJ63" s="2" t="str">
        <f t="shared" si="90"/>
        <v>FY2023</v>
      </c>
      <c r="AK63" s="2" t="str">
        <f t="shared" si="90"/>
        <v>FY2024</v>
      </c>
      <c r="AL63" s="2" t="str">
        <f t="shared" si="90"/>
        <v>FY2025</v>
      </c>
    </row>
    <row r="64" spans="1:38">
      <c r="R64" s="3"/>
      <c r="AA64"/>
    </row>
    <row r="65" spans="1:38">
      <c r="A65" s="1" t="str">
        <f>+$A$8&amp;"001-1"</f>
        <v>360001-1</v>
      </c>
      <c r="B65" s="1" t="str">
        <f>+$B$8</f>
        <v>University of Washington</v>
      </c>
      <c r="C65" s="3">
        <v>237504</v>
      </c>
      <c r="D65" s="3">
        <v>265961</v>
      </c>
      <c r="E65" s="3">
        <v>259794</v>
      </c>
      <c r="F65" s="3">
        <v>272390</v>
      </c>
      <c r="G65" s="3">
        <v>254767</v>
      </c>
      <c r="H65" s="3">
        <v>248525</v>
      </c>
      <c r="I65" s="3">
        <v>259062</v>
      </c>
      <c r="J65" s="3">
        <v>267601</v>
      </c>
      <c r="K65" s="3">
        <v>284108</v>
      </c>
      <c r="L65" s="3">
        <v>295832</v>
      </c>
      <c r="M65" s="3">
        <f>VLOOKUP($A65,OversightActuals!$A$17:D$58,COLUMN(OversightActuals!D:D),0)/1000</f>
        <v>316574.83905000001</v>
      </c>
      <c r="N65" s="3">
        <f>VLOOKUP($A65,OversightActuals!$A$17:E$58,COLUMN(OversightActuals!E:E),0)/1000</f>
        <v>335810.87915999995</v>
      </c>
      <c r="O65" s="3">
        <f>VLOOKUP($A65,OversightActuals!$A$17:F$58,COLUMN(OversightActuals!F:F),0)/1000</f>
        <v>345476.77648</v>
      </c>
      <c r="P65" s="3">
        <f>VLOOKUP($A65,OversightActuals!$A$17:G$58,COLUMN(OversightActuals!G:G),0)/1000</f>
        <v>333762.49959000002</v>
      </c>
      <c r="Q65" s="3">
        <f>VLOOKUP($A65,OversightActuals!$A$17:H$58,COLUMN(OversightActuals!H:H),0)/1000+SUM('5Biennia'!AE19:AE21)/1000</f>
        <v>312047.25599999999</v>
      </c>
      <c r="R65" s="3">
        <f>+SUM('5Biennia'!AF19:AF21)/1000+SUM('5Biennia'!AF53:AF56)/1000+VLOOKUP($A65,OversightActuals!$A$17:I$58,COLUMN(OversightActuals!I:I),0)/1000</f>
        <v>326917.11900000001</v>
      </c>
      <c r="S65" s="3">
        <f>VLOOKUP($A65,OversightActuals!$A$17:J$58,COLUMN(OversightActuals!J:J),0)/1000</f>
        <v>337460.32607000007</v>
      </c>
      <c r="T65" s="3">
        <f>VLOOKUP($A65,OversightActuals!$A$17:K$58,COLUMN(OversightActuals!K:K),0)/1000</f>
        <v>351957.48443999997</v>
      </c>
      <c r="U65" s="3">
        <f>VLOOKUP($A65,OversightActuals!$A$17:L$58,COLUMN(OversightActuals!L:L),0)/1000</f>
        <v>373689.18984000001</v>
      </c>
      <c r="V65" s="3">
        <f>VLOOKUP($A65,OversightActuals!$A$17:M$58,COLUMN(OversightActuals!M:M),0)/1000</f>
        <v>358707.24752999999</v>
      </c>
      <c r="W65" s="3">
        <f>VLOOKUP($A65,OversightActuals!$A$17:N$58,COLUMN(OversightActuals!N:N),0)/1000</f>
        <v>269570.99429</v>
      </c>
      <c r="X65" s="3">
        <f>VLOOKUP($A65,OversightActuals!$A$17:O$58,COLUMN(OversightActuals!O:O),0)/1000</f>
        <v>259702.09726000001</v>
      </c>
      <c r="Y65" s="3">
        <f>VLOOKUP($A65,OversightActuals!$A$17:P$58,COLUMN(OversightActuals!P:P),0)/1000</f>
        <v>201255.99061000001</v>
      </c>
      <c r="Z65" s="3">
        <f>VLOOKUP($A65,OversightActuals!$A$17:Q$58,COLUMN(OversightActuals!Q:Q),0)/1000</f>
        <v>201669.86411999998</v>
      </c>
      <c r="AA65" s="3">
        <f>VLOOKUP($A65,OversightActuals!$A$17:R$58,COLUMN(OversightActuals!R:R),0)/1000</f>
        <v>247021.21826999998</v>
      </c>
      <c r="AB65" s="3">
        <f>VLOOKUP($A65,OversightActuals!$A$17:S$58,COLUMN(OversightActuals!S:S),0)/1000</f>
        <v>237597.91931</v>
      </c>
      <c r="AC65" s="3">
        <f>VLOOKUP($A65,OversightActuals!$A$17:T$58,COLUMN(OversightActuals!T:T),0)/1000</f>
        <v>279418.97322000004</v>
      </c>
      <c r="AD65" s="3">
        <f>VLOOKUP($A65,OversightActuals!$A$17:U$58,COLUMN(OversightActuals!U:U),0)/1000</f>
        <v>317222.20139000006</v>
      </c>
      <c r="AE65" s="3">
        <f>VLOOKUP($A65,OversightActuals!$A$17:V$58,COLUMN(OversightActuals!V:V),0)/1000</f>
        <v>310916.21552000003</v>
      </c>
      <c r="AF65" s="3">
        <f>VLOOKUP($A65,OversightActuals!$A$17:W$58,COLUMN(OversightActuals!W:W),0)/1000</f>
        <v>325829.28688999999</v>
      </c>
      <c r="AG65" s="3">
        <f>VLOOKUP($A65,OversightActuals!$A$17:X$58,COLUMN(OversightActuals!X:X),0)/1000</f>
        <v>340647.04282999999</v>
      </c>
      <c r="AH65" s="3">
        <f>VLOOKUP($A65,OversightActuals!$A$17:Y$58,COLUMN(OversightActuals!Y:Y),0)/1000</f>
        <v>354253.80303999997</v>
      </c>
      <c r="AI65" s="3">
        <f>VLOOKUP($A65,OversightActuals!$A$17:Z$58,COLUMN(OversightActuals!Z:Z),0)/1000</f>
        <v>391266.50381999998</v>
      </c>
      <c r="AJ65" s="3">
        <f>VLOOKUP($A65,OversightActuals!$A$17:AA$58,COLUMN(OversightActuals!AA:AA),0)/1000</f>
        <v>424716.11200000002</v>
      </c>
      <c r="AK65" s="3">
        <f>VLOOKUP($A65,OversightActuals!$A$17:AB$58,COLUMN(OversightActuals!AB:AB),0)/1000</f>
        <v>521308.22080000001</v>
      </c>
      <c r="AL65" s="3">
        <f>VLOOKUP($A65,OversightBudgets!$A$17:$F$1064,COLUMN(E:E),0)/1000</f>
        <v>540966</v>
      </c>
    </row>
    <row r="66" spans="1:38">
      <c r="A66" s="1" t="str">
        <f>+$A$9&amp;"001-1"</f>
        <v>365001-1</v>
      </c>
      <c r="B66" s="1" t="str">
        <f>+$B$9</f>
        <v>Washington State University</v>
      </c>
      <c r="C66" s="3">
        <v>137061</v>
      </c>
      <c r="D66" s="3">
        <v>147957</v>
      </c>
      <c r="E66" s="3">
        <v>149891</v>
      </c>
      <c r="F66" s="3">
        <v>155831</v>
      </c>
      <c r="G66" s="3">
        <v>148092</v>
      </c>
      <c r="H66" s="3">
        <v>143748</v>
      </c>
      <c r="I66" s="3">
        <v>150969</v>
      </c>
      <c r="J66" s="3">
        <v>160691</v>
      </c>
      <c r="K66" s="3">
        <v>171407</v>
      </c>
      <c r="L66" s="3">
        <v>171200</v>
      </c>
      <c r="M66" s="3">
        <f>VLOOKUP($A66,OversightActuals!$A$17:D$58,COLUMN(OversightActuals!D:D),0)/1000</f>
        <v>183312.06099999999</v>
      </c>
      <c r="N66" s="3">
        <f>VLOOKUP($A66,OversightActuals!$A$17:E$58,COLUMN(OversightActuals!E:E),0)/1000+HighDemandFY2001!B29/1000</f>
        <v>197707.86199999999</v>
      </c>
      <c r="O66" s="3">
        <f>VLOOKUP($A66,OversightActuals!$A$17:F$58,COLUMN(OversightActuals!F:F),0)/1000</f>
        <v>201270.03099999999</v>
      </c>
      <c r="P66" s="3">
        <f>VLOOKUP($A66,OversightActuals!$A$17:G$58,COLUMN(OversightActuals!G:G),0)/1000</f>
        <v>194177.66447999998</v>
      </c>
      <c r="Q66" s="3">
        <f>VLOOKUP($A66,OversightActuals!$A$17:H$58,COLUMN(OversightActuals!H:H),0)/1000+SUM('5Biennia'!AE22:AE24,'5Biennia'!AE28)/1000</f>
        <v>187044.18400000001</v>
      </c>
      <c r="R66" s="3">
        <f>+SUM('5Biennia'!AF22:AF28)/1000+SUM('5Biennia'!AF57:AF61)/1000+VLOOKUP($A66,OversightActuals!$A$17:I$58,COLUMN(OversightActuals!I:I),0)/1000</f>
        <v>195701.58726000003</v>
      </c>
      <c r="S66" s="3">
        <f>VLOOKUP($A66,OversightActuals!$A$17:J$58,COLUMN(OversightActuals!J:J),0)/1000</f>
        <v>206409</v>
      </c>
      <c r="T66" s="3">
        <f>VLOOKUP($A66,OversightActuals!$A$17:K$58,COLUMN(OversightActuals!K:K),0)/1000</f>
        <v>213133.01500000001</v>
      </c>
      <c r="U66" s="3">
        <f>VLOOKUP($A66,OversightActuals!$A$17:L$58,COLUMN(OversightActuals!L:L),0)/1000</f>
        <v>232087.03757999997</v>
      </c>
      <c r="V66" s="3">
        <f>VLOOKUP($A66,OversightActuals!$A$17:M$58,COLUMN(OversightActuals!M:M),0)/1000</f>
        <v>223360.07693000001</v>
      </c>
      <c r="W66" s="3">
        <f>VLOOKUP($A66,OversightActuals!$A$17:N$58,COLUMN(OversightActuals!N:N),0)/1000</f>
        <v>169462</v>
      </c>
      <c r="X66" s="3">
        <f>VLOOKUP($A66,OversightActuals!$A$17:O$58,COLUMN(OversightActuals!O:O),0)/1000</f>
        <v>170685.29480999999</v>
      </c>
      <c r="Y66" s="3">
        <f>VLOOKUP($A66,OversightActuals!$A$17:P$58,COLUMN(OversightActuals!P:P),0)/1000</f>
        <v>134423.87685</v>
      </c>
      <c r="Z66" s="3">
        <f>VLOOKUP($A66,OversightActuals!$A$17:Q$58,COLUMN(OversightActuals!Q:Q),0)/1000</f>
        <v>133699.95000000001</v>
      </c>
      <c r="AA66" s="3">
        <f>VLOOKUP($A66,OversightActuals!$A$17:R$58,COLUMN(OversightActuals!R:R),0)/1000</f>
        <v>156854</v>
      </c>
      <c r="AB66" s="3">
        <f>VLOOKUP($A66,OversightActuals!$A$17:S$58,COLUMN(OversightActuals!S:S),0)/1000</f>
        <v>153044</v>
      </c>
      <c r="AC66" s="3">
        <f>VLOOKUP($A66,OversightActuals!$A$17:T$58,COLUMN(OversightActuals!T:T),0)/1000</f>
        <v>181340.19536000001</v>
      </c>
      <c r="AD66" s="3">
        <f>VLOOKUP($A66,OversightActuals!$A$17:U$58,COLUMN(OversightActuals!U:U),0)/1000</f>
        <v>207355.80463999999</v>
      </c>
      <c r="AE66" s="3">
        <f>VLOOKUP($A66,OversightActuals!$A$17:V$58,COLUMN(OversightActuals!V:V),0)/1000</f>
        <v>200116</v>
      </c>
      <c r="AF66" s="3">
        <f>VLOOKUP($A66,OversightActuals!$A$17:W$58,COLUMN(OversightActuals!W:W),0)/1000</f>
        <v>213081.06200000001</v>
      </c>
      <c r="AG66" s="3">
        <f>VLOOKUP($A66,OversightActuals!$A$17:X$58,COLUMN(OversightActuals!X:X),0)/1000</f>
        <v>222366.85</v>
      </c>
      <c r="AH66" s="3">
        <f>VLOOKUP($A66,OversightActuals!$A$17:Y$58,COLUMN(OversightActuals!Y:Y),0)/1000</f>
        <v>225638.85273999997</v>
      </c>
      <c r="AI66" s="3">
        <f>VLOOKUP($A66,OversightActuals!$A$17:Z$58,COLUMN(OversightActuals!Z:Z),0)/1000</f>
        <v>246492</v>
      </c>
      <c r="AJ66" s="3">
        <f>VLOOKUP($A66,OversightActuals!$A$17:AA$58,COLUMN(OversightActuals!AA:AA),0)/1000</f>
        <v>264611</v>
      </c>
      <c r="AK66" s="3">
        <f>VLOOKUP($A66,OversightActuals!$A$17:AB$58,COLUMN(OversightActuals!AB:AB),0)/1000</f>
        <v>281902.75</v>
      </c>
      <c r="AL66" s="3">
        <f>VLOOKUP($A66,OversightBudgets!$A$17:$F$1064,COLUMN(E:E),0)/1000</f>
        <v>293782</v>
      </c>
    </row>
    <row r="67" spans="1:38">
      <c r="A67" s="1" t="str">
        <f>+$A$10&amp;"001-1"</f>
        <v>370001-1</v>
      </c>
      <c r="B67" s="1" t="str">
        <f>+$B$10</f>
        <v>Eastern Washington University</v>
      </c>
      <c r="C67" s="3">
        <v>34419</v>
      </c>
      <c r="D67" s="3">
        <v>38169</v>
      </c>
      <c r="E67" s="3">
        <v>36710</v>
      </c>
      <c r="F67" s="3">
        <v>39892</v>
      </c>
      <c r="G67" s="3">
        <v>36367</v>
      </c>
      <c r="H67" s="3">
        <v>36560</v>
      </c>
      <c r="I67" s="3">
        <v>37382</v>
      </c>
      <c r="J67" s="3">
        <v>38188</v>
      </c>
      <c r="K67" s="3">
        <v>39189</v>
      </c>
      <c r="L67" s="3">
        <v>39454</v>
      </c>
      <c r="M67" s="3">
        <f>VLOOKUP($A67,OversightActuals!$A$17:D$58,COLUMN(OversightActuals!D:D),0)/1000</f>
        <v>41668.078000000001</v>
      </c>
      <c r="N67" s="3">
        <f>VLOOKUP($A67,OversightActuals!$A$17:E$58,COLUMN(OversightActuals!E:E),0)/1000</f>
        <v>43970.171000000002</v>
      </c>
      <c r="O67" s="3">
        <f>VLOOKUP($A67,OversightActuals!$A$17:F$58,COLUMN(OversightActuals!F:F),0)/1000</f>
        <v>45591.631999999998</v>
      </c>
      <c r="P67" s="3">
        <f>VLOOKUP($A67,OversightActuals!$A$17:G$58,COLUMN(OversightActuals!G:G),0)/1000</f>
        <v>43906.379000000001</v>
      </c>
      <c r="Q67" s="3">
        <f>VLOOKUP($A67,OversightActuals!$A$17:H$58,COLUMN(OversightActuals!H:H),0)/1000+SUM('5Biennia'!AE17:AE18)/1000</f>
        <v>41928.862540000002</v>
      </c>
      <c r="R67" s="3">
        <f>+SUM('5Biennia'!AF17:AF18)/1000+SUM('5Biennia'!AF50:AF51)/1000+VLOOKUP($A67,OversightActuals!$A$17:I$58,COLUMN(OversightActuals!I:I),0)/1000</f>
        <v>43978.451000000001</v>
      </c>
      <c r="S67" s="3">
        <f>VLOOKUP($A67,OversightActuals!$A$17:J$58,COLUMN(OversightActuals!J:J),0)/1000</f>
        <v>46277</v>
      </c>
      <c r="T67" s="3">
        <f>VLOOKUP($A67,OversightActuals!$A$17:K$58,COLUMN(OversightActuals!K:K),0)/1000</f>
        <v>47123.040000000001</v>
      </c>
      <c r="U67" s="3">
        <f>VLOOKUP($A67,OversightActuals!$A$17:L$58,COLUMN(OversightActuals!L:L),0)/1000</f>
        <v>48911</v>
      </c>
      <c r="V67" s="3">
        <f>VLOOKUP($A67,OversightActuals!$A$17:M$58,COLUMN(OversightActuals!M:M),0)/1000</f>
        <v>45771</v>
      </c>
      <c r="W67" s="3">
        <f>VLOOKUP($A67,OversightActuals!$A$17:N$58,COLUMN(OversightActuals!N:N),0)/1000</f>
        <v>34689</v>
      </c>
      <c r="X67" s="3">
        <f>VLOOKUP($A67,OversightActuals!$A$17:O$58,COLUMN(OversightActuals!O:O),0)/1000</f>
        <v>35126</v>
      </c>
      <c r="Y67" s="3">
        <f>VLOOKUP($A67,OversightActuals!$A$17:P$58,COLUMN(OversightActuals!P:P),0)/1000</f>
        <v>26240</v>
      </c>
      <c r="Z67" s="3">
        <f>VLOOKUP($A67,OversightActuals!$A$17:Q$58,COLUMN(OversightActuals!Q:Q),0)/1000</f>
        <v>25762</v>
      </c>
      <c r="AA67" s="3">
        <f>VLOOKUP($A67,OversightActuals!$A$17:R$58,COLUMN(OversightActuals!R:R),0)/1000</f>
        <v>31383</v>
      </c>
      <c r="AB67" s="3">
        <f>VLOOKUP($A67,OversightActuals!$A$17:S$58,COLUMN(OversightActuals!S:S),0)/1000</f>
        <v>31525</v>
      </c>
      <c r="AC67" s="3">
        <f>VLOOKUP($A67,OversightActuals!$A$17:T$58,COLUMN(OversightActuals!T:T),0)/1000</f>
        <v>38603</v>
      </c>
      <c r="AD67" s="3">
        <f>VLOOKUP($A67,OversightActuals!$A$17:U$58,COLUMN(OversightActuals!U:U),0)/1000</f>
        <v>48158</v>
      </c>
      <c r="AE67" s="3">
        <f>VLOOKUP($A67,OversightActuals!$A$17:V$58,COLUMN(OversightActuals!V:V),0)/1000</f>
        <v>50213</v>
      </c>
      <c r="AF67" s="3">
        <f>VLOOKUP($A67,OversightActuals!$A$17:W$58,COLUMN(OversightActuals!W:W),0)/1000</f>
        <v>52025.651899999997</v>
      </c>
      <c r="AG67" s="3">
        <f>VLOOKUP($A67,OversightActuals!$A$17:X$58,COLUMN(OversightActuals!X:X),0)/1000</f>
        <v>55072.385999999999</v>
      </c>
      <c r="AH67" s="3">
        <f>VLOOKUP($A67,OversightActuals!$A$17:Y$58,COLUMN(OversightActuals!Y:Y),0)/1000</f>
        <v>56791.514999999999</v>
      </c>
      <c r="AI67" s="3">
        <f>VLOOKUP($A67,OversightActuals!$A$17:Z$58,COLUMN(OversightActuals!Z:Z),0)/1000</f>
        <v>58296</v>
      </c>
      <c r="AJ67" s="3">
        <f>VLOOKUP($A67,OversightActuals!$A$17:AA$58,COLUMN(OversightActuals!AA:AA),0)/1000</f>
        <v>62135</v>
      </c>
      <c r="AK67" s="3">
        <f>VLOOKUP($A67,OversightActuals!$A$17:AB$58,COLUMN(OversightActuals!AB:AB),0)/1000</f>
        <v>65664</v>
      </c>
      <c r="AL67" s="3">
        <f>VLOOKUP($A67,OversightBudgets!$A$17:$F$1064,COLUMN(E:E),0)/1000</f>
        <v>68260</v>
      </c>
    </row>
    <row r="68" spans="1:38">
      <c r="A68" s="1" t="str">
        <f>+$A$11&amp;"001-1"</f>
        <v>375001-1</v>
      </c>
      <c r="B68" s="1" t="str">
        <f>+$B$11</f>
        <v>Central Washington University</v>
      </c>
      <c r="C68" s="3">
        <v>29139</v>
      </c>
      <c r="D68" s="3">
        <v>33307</v>
      </c>
      <c r="E68" s="3">
        <v>31968</v>
      </c>
      <c r="F68" s="3">
        <v>35310</v>
      </c>
      <c r="G68" s="3">
        <v>31966</v>
      </c>
      <c r="H68" s="3">
        <v>34167</v>
      </c>
      <c r="I68" s="3">
        <v>33642</v>
      </c>
      <c r="J68" s="3">
        <v>36347</v>
      </c>
      <c r="K68" s="3">
        <v>37244</v>
      </c>
      <c r="L68" s="3">
        <v>39158</v>
      </c>
      <c r="M68" s="3">
        <f>VLOOKUP($A68,OversightActuals!$A$17:D$58,COLUMN(OversightActuals!D:D),0)/1000</f>
        <v>42130.065999999999</v>
      </c>
      <c r="N68" s="3">
        <f>VLOOKUP($A68,OversightActuals!$A$17:E$58,COLUMN(OversightActuals!E:E),0)/1000</f>
        <v>44321.897450000004</v>
      </c>
      <c r="O68" s="3">
        <f>VLOOKUP($A68,OversightActuals!$A$17:F$58,COLUMN(OversightActuals!F:F),0)/1000</f>
        <v>44143.528199999993</v>
      </c>
      <c r="P68" s="3">
        <f>VLOOKUP($A68,OversightActuals!$A$17:G$58,COLUMN(OversightActuals!G:G),0)/1000</f>
        <v>41599.184879999993</v>
      </c>
      <c r="Q68" s="3">
        <f>VLOOKUP($A68,OversightActuals!$A$17:H$58,COLUMN(OversightActuals!H:H),0)/1000+SUM('5Biennia'!AE12:AE16)/1000</f>
        <v>40839.830430000002</v>
      </c>
      <c r="R68" s="3">
        <f>SUM('5Biennia'!AF12:AF16)/1000+SUM('5Biennia'!AF47:AF49)/1000+VLOOKUP($A68,OversightActuals!$A$17:I$58,COLUMN(OversightActuals!I:I),0)/1000</f>
        <v>43452.648400000005</v>
      </c>
      <c r="S68" s="3">
        <f>VLOOKUP($A68,OversightActuals!$A$17:J$58,COLUMN(OversightActuals!J:J),0)/1000</f>
        <v>45563</v>
      </c>
      <c r="T68" s="3">
        <f>VLOOKUP($A68,OversightActuals!$A$17:K$58,COLUMN(OversightActuals!K:K),0)/1000</f>
        <v>46902.258999999998</v>
      </c>
      <c r="U68" s="3">
        <f>VLOOKUP($A68,OversightActuals!$A$17:L$58,COLUMN(OversightActuals!L:L),0)/1000</f>
        <v>47691</v>
      </c>
      <c r="V68" s="3">
        <f>VLOOKUP($A68,OversightActuals!$A$17:M$58,COLUMN(OversightActuals!M:M),0)/1000</f>
        <v>45275</v>
      </c>
      <c r="W68" s="3">
        <f>VLOOKUP($A68,OversightActuals!$A$17:N$58,COLUMN(OversightActuals!N:N),0)/1000</f>
        <v>30289</v>
      </c>
      <c r="X68" s="3">
        <f>VLOOKUP($A68,OversightActuals!$A$17:O$58,COLUMN(OversightActuals!O:O),0)/1000</f>
        <v>32337</v>
      </c>
      <c r="Y68" s="3">
        <f>VLOOKUP($A68,OversightActuals!$A$17:P$58,COLUMN(OversightActuals!P:P),0)/1000</f>
        <v>23263</v>
      </c>
      <c r="Z68" s="3">
        <f>VLOOKUP($A68,OversightActuals!$A$17:Q$58,COLUMN(OversightActuals!Q:Q),0)/1000</f>
        <v>21882.546969999999</v>
      </c>
      <c r="AA68" s="3">
        <f>VLOOKUP($A68,OversightActuals!$A$17:R$58,COLUMN(OversightActuals!R:R),0)/1000</f>
        <v>29730</v>
      </c>
      <c r="AB68" s="3">
        <f>VLOOKUP($A68,OversightActuals!$A$17:S$58,COLUMN(OversightActuals!S:S),0)/1000</f>
        <v>29239</v>
      </c>
      <c r="AC68" s="3">
        <f>VLOOKUP($A68,OversightActuals!$A$17:T$58,COLUMN(OversightActuals!T:T),0)/1000</f>
        <v>36958</v>
      </c>
      <c r="AD68" s="3">
        <f>VLOOKUP($A68,OversightActuals!$A$17:U$58,COLUMN(OversightActuals!U:U),0)/1000</f>
        <v>47752</v>
      </c>
      <c r="AE68" s="3">
        <f>VLOOKUP($A68,OversightActuals!$A$17:V$58,COLUMN(OversightActuals!V:V),0)/1000</f>
        <v>48136</v>
      </c>
      <c r="AF68" s="3">
        <f>VLOOKUP($A68,OversightActuals!$A$17:W$58,COLUMN(OversightActuals!W:W),0)/1000</f>
        <v>51471</v>
      </c>
      <c r="AG68" s="3">
        <f>VLOOKUP($A68,OversightActuals!$A$17:X$58,COLUMN(OversightActuals!X:X),0)/1000</f>
        <v>54365</v>
      </c>
      <c r="AH68" s="3">
        <f>VLOOKUP($A68,OversightActuals!$A$17:Y$58,COLUMN(OversightActuals!Y:Y),0)/1000</f>
        <v>56301</v>
      </c>
      <c r="AI68" s="3">
        <f>VLOOKUP($A68,OversightActuals!$A$17:Z$58,COLUMN(OversightActuals!Z:Z),0)/1000</f>
        <v>60220</v>
      </c>
      <c r="AJ68" s="3">
        <f>VLOOKUP($A68,OversightActuals!$A$17:AA$58,COLUMN(OversightActuals!AA:AA),0)/1000</f>
        <v>64862</v>
      </c>
      <c r="AK68" s="3">
        <f>VLOOKUP($A68,OversightActuals!$A$17:AB$58,COLUMN(OversightActuals!AB:AB),0)/1000</f>
        <v>68904</v>
      </c>
      <c r="AL68" s="3">
        <f>VLOOKUP($A68,OversightBudgets!$A$17:$F$1064,COLUMN(E:E),0)/1000</f>
        <v>72120</v>
      </c>
    </row>
    <row r="69" spans="1:38">
      <c r="A69" s="1" t="str">
        <f>+$A$12&amp;"001-1"</f>
        <v>376001-1</v>
      </c>
      <c r="B69" s="1" t="str">
        <f>+$B$12</f>
        <v>The Evergreen State College</v>
      </c>
      <c r="C69" s="3">
        <v>17876</v>
      </c>
      <c r="D69" s="3">
        <v>20640</v>
      </c>
      <c r="E69" s="3">
        <v>18594</v>
      </c>
      <c r="F69" s="3">
        <v>21955</v>
      </c>
      <c r="G69" s="3">
        <v>17846</v>
      </c>
      <c r="H69" s="3">
        <v>19216</v>
      </c>
      <c r="I69" s="3">
        <v>18476</v>
      </c>
      <c r="J69" s="3">
        <v>19439</v>
      </c>
      <c r="K69" s="3">
        <v>20491</v>
      </c>
      <c r="L69" s="3">
        <v>20528</v>
      </c>
      <c r="M69" s="3">
        <f>VLOOKUP($A69,OversightActuals!$A$17:D$58,COLUMN(OversightActuals!D:D),0)/1000</f>
        <v>22388.343000000001</v>
      </c>
      <c r="N69" s="3">
        <f>VLOOKUP($A69,OversightActuals!$A$17:E$58,COLUMN(OversightActuals!E:E),0)/1000</f>
        <v>24869.694</v>
      </c>
      <c r="O69" s="3">
        <f>VLOOKUP($A69,OversightActuals!$A$17:F$58,COLUMN(OversightActuals!F:F),0)/1000</f>
        <v>25413.817999999999</v>
      </c>
      <c r="P69" s="3">
        <f>VLOOKUP($A69,OversightActuals!$A$17:G$58,COLUMN(OversightActuals!G:G),0)/1000</f>
        <v>24342.161</v>
      </c>
      <c r="Q69" s="3">
        <f>VLOOKUP($A69,OversightActuals!$A$17:H$58,COLUMN(OversightActuals!H:H),0)/1000</f>
        <v>23121.200000000001</v>
      </c>
      <c r="R69" s="3">
        <f>'5Biennia'!AF52/1000+VLOOKUP($A69,OversightActuals!$A$17:I$58,COLUMN(OversightActuals!I:I),0)/1000</f>
        <v>24366.954999999998</v>
      </c>
      <c r="S69" s="3">
        <f>VLOOKUP($A69,OversightActuals!$A$17:J$58,COLUMN(OversightActuals!J:J),0)/1000</f>
        <v>25648</v>
      </c>
      <c r="T69" s="3">
        <f>VLOOKUP($A69,OversightActuals!$A$17:K$58,COLUMN(OversightActuals!K:K),0)/1000</f>
        <v>26856.725999999999</v>
      </c>
      <c r="U69" s="3">
        <f>VLOOKUP($A69,OversightActuals!$A$17:L$58,COLUMN(OversightActuals!L:L),0)/1000</f>
        <v>29747</v>
      </c>
      <c r="V69" s="3">
        <f>VLOOKUP($A69,OversightActuals!$A$17:M$58,COLUMN(OversightActuals!M:M),0)/1000</f>
        <v>27973</v>
      </c>
      <c r="W69" s="3">
        <f>VLOOKUP($A69,OversightActuals!$A$17:N$58,COLUMN(OversightActuals!N:N),0)/1000</f>
        <v>20514</v>
      </c>
      <c r="X69" s="3">
        <f>VLOOKUP($A69,OversightActuals!$A$17:O$58,COLUMN(OversightActuals!O:O),0)/1000</f>
        <v>17728</v>
      </c>
      <c r="Y69" s="3">
        <f>VLOOKUP($A69,OversightActuals!$A$17:P$58,COLUMN(OversightActuals!P:P),0)/1000</f>
        <v>15635</v>
      </c>
      <c r="Z69" s="3">
        <f>VLOOKUP($A69,OversightActuals!$A$17:Q$58,COLUMN(OversightActuals!Q:Q),0)/1000</f>
        <v>15165</v>
      </c>
      <c r="AA69" s="3">
        <f>VLOOKUP($A69,OversightActuals!$A$17:R$58,COLUMN(OversightActuals!R:R),0)/1000</f>
        <v>18350</v>
      </c>
      <c r="AB69" s="3">
        <f>VLOOKUP($A69,OversightActuals!$A$17:S$58,COLUMN(OversightActuals!S:S),0)/1000</f>
        <v>17230</v>
      </c>
      <c r="AC69" s="3">
        <f>VLOOKUP($A69,OversightActuals!$A$17:T$58,COLUMN(OversightActuals!T:T),0)/1000</f>
        <v>22302</v>
      </c>
      <c r="AD69" s="3">
        <f>VLOOKUP($A69,OversightActuals!$A$17:U$58,COLUMN(OversightActuals!U:U),0)/1000</f>
        <v>25744</v>
      </c>
      <c r="AE69" s="3">
        <f>VLOOKUP($A69,OversightActuals!$A$17:V$58,COLUMN(OversightActuals!V:V),0)/1000</f>
        <v>26608</v>
      </c>
      <c r="AF69" s="3">
        <f>VLOOKUP($A69,OversightActuals!$A$17:W$58,COLUMN(OversightActuals!W:W),0)/1000</f>
        <v>28134.12657</v>
      </c>
      <c r="AG69" s="3">
        <f>VLOOKUP($A69,OversightActuals!$A$17:X$58,COLUMN(OversightActuals!X:X),0)/1000</f>
        <v>30208</v>
      </c>
      <c r="AH69" s="3">
        <f>VLOOKUP($A69,OversightActuals!$A$17:Y$58,COLUMN(OversightActuals!Y:Y),0)/1000</f>
        <v>30839</v>
      </c>
      <c r="AI69" s="3">
        <f>VLOOKUP($A69,OversightActuals!$A$17:Z$58,COLUMN(OversightActuals!Z:Z),0)/1000</f>
        <v>31983.624179999999</v>
      </c>
      <c r="AJ69" s="3">
        <f>VLOOKUP($A69,OversightActuals!$A$17:AA$58,COLUMN(OversightActuals!AA:AA),0)/1000</f>
        <v>35530.124040000002</v>
      </c>
      <c r="AK69" s="3">
        <f>VLOOKUP($A69,OversightActuals!$A$17:AB$58,COLUMN(OversightActuals!AB:AB),0)/1000</f>
        <v>38495.577709999998</v>
      </c>
      <c r="AL69" s="3">
        <f>VLOOKUP($A69,OversightBudgets!$A$17:$F$1064,COLUMN(E:E),0)/1000</f>
        <v>39723</v>
      </c>
    </row>
    <row r="70" spans="1:38">
      <c r="A70" s="1" t="str">
        <f>+$A$13&amp;"001-1"</f>
        <v>380001-1</v>
      </c>
      <c r="B70" s="1" t="str">
        <f>+$B$13</f>
        <v>Western Washington University</v>
      </c>
      <c r="C70" s="41">
        <v>37940</v>
      </c>
      <c r="D70" s="41">
        <v>43046</v>
      </c>
      <c r="E70" s="41">
        <v>42326</v>
      </c>
      <c r="F70" s="41">
        <v>43495</v>
      </c>
      <c r="G70" s="41">
        <v>41588</v>
      </c>
      <c r="H70" s="41">
        <v>39519</v>
      </c>
      <c r="I70" s="41">
        <v>42543</v>
      </c>
      <c r="J70" s="41">
        <v>45828</v>
      </c>
      <c r="K70" s="41">
        <v>47835</v>
      </c>
      <c r="L70" s="41">
        <v>48757</v>
      </c>
      <c r="M70" s="3">
        <f>VLOOKUP($A70,OversightActuals!$A$17:D$58,COLUMN(OversightActuals!D:D),0)/1000</f>
        <v>53392.33</v>
      </c>
      <c r="N70" s="41">
        <f>VLOOKUP($A70,OversightActuals!$A$17:E$58,COLUMN(OversightActuals!E:E),0)/1000+HighDemandFY2001!B30/1000</f>
        <v>57095.087979999997</v>
      </c>
      <c r="O70" s="3">
        <f>VLOOKUP($A70,OversightActuals!$A$17:F$58,COLUMN(OversightActuals!F:F),0)/1000</f>
        <v>59840.387999999999</v>
      </c>
      <c r="P70" s="3">
        <f>VLOOKUP($A70,OversightActuals!$A$17:G$58,COLUMN(OversightActuals!G:G),0)/1000</f>
        <v>57965.646050000003</v>
      </c>
      <c r="Q70" s="3">
        <f>VLOOKUP($A70,OversightActuals!$A$17:H$58,COLUMN(OversightActuals!H:H),0)/1000+SUM('5Biennia'!AE29:AE32)/1000</f>
        <v>54645.436829999999</v>
      </c>
      <c r="R70" s="41">
        <f>SUM('5Biennia'!AF29:AF32)/1000+VLOOKUP($A70,OversightActuals!$A$17:I$58,COLUMN(OversightActuals!I:I),0)/1000</f>
        <v>57053.581410000006</v>
      </c>
      <c r="S70" s="3">
        <f>VLOOKUP($A70,OversightActuals!$A$17:J$58,COLUMN(OversightActuals!J:J),0)/1000</f>
        <v>58964</v>
      </c>
      <c r="T70" s="3">
        <f>VLOOKUP($A70,OversightActuals!$A$17:K$58,COLUMN(OversightActuals!K:K),0)/1000</f>
        <v>61331.508000000002</v>
      </c>
      <c r="U70" s="3">
        <f>VLOOKUP($A70,OversightActuals!$A$17:L$58,COLUMN(OversightActuals!L:L),0)/1000</f>
        <v>66773.998500000002</v>
      </c>
      <c r="V70" s="3">
        <f>VLOOKUP($A70,OversightActuals!$A$17:M$58,COLUMN(OversightActuals!M:M),0)/1000</f>
        <v>64450</v>
      </c>
      <c r="W70" s="3">
        <f>VLOOKUP($A70,OversightActuals!$A$17:N$58,COLUMN(OversightActuals!N:N),0)/1000</f>
        <v>43146</v>
      </c>
      <c r="X70" s="3">
        <f>VLOOKUP($A70,OversightActuals!$A$17:O$58,COLUMN(OversightActuals!O:O),0)/1000</f>
        <v>46354.91648</v>
      </c>
      <c r="Y70" s="3">
        <f>VLOOKUP($A70,OversightActuals!$A$17:P$58,COLUMN(OversightActuals!P:P),0)/1000</f>
        <v>33729</v>
      </c>
      <c r="Z70" s="3">
        <f>VLOOKUP($A70,OversightActuals!$A$17:Q$58,COLUMN(OversightActuals!Q:Q),0)/1000</f>
        <v>32786</v>
      </c>
      <c r="AA70" s="3">
        <f>VLOOKUP($A70,OversightActuals!$A$17:R$58,COLUMN(OversightActuals!R:R),0)/1000</f>
        <v>39456.41491</v>
      </c>
      <c r="AB70" s="3">
        <f>VLOOKUP($A70,OversightActuals!$A$17:S$58,COLUMN(OversightActuals!S:S),0)/1000</f>
        <v>43005</v>
      </c>
      <c r="AC70" s="3">
        <f>VLOOKUP($A70,OversightActuals!$A$17:T$58,COLUMN(OversightActuals!T:T),0)/1000</f>
        <v>53401</v>
      </c>
      <c r="AD70" s="3">
        <f>VLOOKUP($A70,OversightActuals!$A$17:U$58,COLUMN(OversightActuals!U:U),0)/1000</f>
        <v>67188</v>
      </c>
      <c r="AE70" s="3">
        <f>VLOOKUP($A70,OversightActuals!$A$17:V$58,COLUMN(OversightActuals!V:V),0)/1000</f>
        <v>70475</v>
      </c>
      <c r="AF70" s="3">
        <f>VLOOKUP($A70,OversightActuals!$A$17:W$58,COLUMN(OversightActuals!W:W),0)/1000</f>
        <v>74902</v>
      </c>
      <c r="AG70" s="3">
        <f>VLOOKUP($A70,OversightActuals!$A$17:X$58,COLUMN(OversightActuals!X:X),0)/1000</f>
        <v>78664</v>
      </c>
      <c r="AH70" s="3">
        <f>VLOOKUP($A70,OversightActuals!$A$17:Y$58,COLUMN(OversightActuals!Y:Y),0)/1000</f>
        <v>81724</v>
      </c>
      <c r="AI70" s="3">
        <f>VLOOKUP($A70,OversightActuals!$A$17:Z$58,COLUMN(OversightActuals!Z:Z),0)/1000</f>
        <v>84528</v>
      </c>
      <c r="AJ70" s="3">
        <f>VLOOKUP($A70,OversightActuals!$A$17:AA$58,COLUMN(OversightActuals!AA:AA),0)/1000</f>
        <v>92158</v>
      </c>
      <c r="AK70" s="3">
        <f>VLOOKUP($A70,OversightActuals!$A$17:AB$58,COLUMN(OversightActuals!AB:AB),0)/1000</f>
        <v>99066</v>
      </c>
      <c r="AL70" s="3">
        <f>VLOOKUP($A70,OversightBudgets!$A$17:$F$1064,COLUMN(E:E),0)/1000</f>
        <v>104923</v>
      </c>
    </row>
    <row r="71" spans="1:38">
      <c r="B71" s="199" t="str">
        <f>+$B$14</f>
        <v>Total Four-Year Institutions</v>
      </c>
      <c r="C71" s="42">
        <f t="shared" ref="C71:R71" si="91">SUM(C65:C70)</f>
        <v>493939</v>
      </c>
      <c r="D71" s="42">
        <f t="shared" si="91"/>
        <v>549080</v>
      </c>
      <c r="E71" s="42">
        <f t="shared" si="91"/>
        <v>539283</v>
      </c>
      <c r="F71" s="42">
        <f t="shared" si="91"/>
        <v>568873</v>
      </c>
      <c r="G71" s="42">
        <f t="shared" si="91"/>
        <v>530626</v>
      </c>
      <c r="H71" s="42">
        <f t="shared" si="91"/>
        <v>521735</v>
      </c>
      <c r="I71" s="42">
        <f t="shared" si="91"/>
        <v>542074</v>
      </c>
      <c r="J71" s="42">
        <f t="shared" si="91"/>
        <v>568094</v>
      </c>
      <c r="K71" s="42">
        <f t="shared" si="91"/>
        <v>600274</v>
      </c>
      <c r="L71" s="42">
        <f t="shared" si="91"/>
        <v>614929</v>
      </c>
      <c r="M71" s="42">
        <f t="shared" si="91"/>
        <v>659465.71704999998</v>
      </c>
      <c r="N71" s="42">
        <f t="shared" si="91"/>
        <v>703775.59158999997</v>
      </c>
      <c r="O71" s="42">
        <f t="shared" si="91"/>
        <v>721736.17367999989</v>
      </c>
      <c r="P71" s="42">
        <f t="shared" si="91"/>
        <v>695753.5349999998</v>
      </c>
      <c r="Q71" s="42">
        <f t="shared" si="91"/>
        <v>659626.76980000001</v>
      </c>
      <c r="R71" s="42">
        <f t="shared" si="91"/>
        <v>691470.34207000001</v>
      </c>
      <c r="S71" s="42">
        <f t="shared" ref="S71:AE71" si="92">SUM(S65:S70)</f>
        <v>720321.32607000007</v>
      </c>
      <c r="T71" s="42">
        <f t="shared" si="92"/>
        <v>747304.03243999998</v>
      </c>
      <c r="U71" s="42">
        <f t="shared" si="92"/>
        <v>798899.22592</v>
      </c>
      <c r="V71" s="42">
        <f t="shared" si="92"/>
        <v>765536.32446000003</v>
      </c>
      <c r="W71" s="42">
        <f t="shared" si="92"/>
        <v>567670.99429000006</v>
      </c>
      <c r="X71" s="42">
        <f t="shared" si="92"/>
        <v>561933.30854999996</v>
      </c>
      <c r="Y71" s="42">
        <f t="shared" si="92"/>
        <v>434546.86745999998</v>
      </c>
      <c r="Z71" s="42">
        <f t="shared" si="92"/>
        <v>430965.36109000002</v>
      </c>
      <c r="AA71" s="42">
        <f t="shared" si="92"/>
        <v>522794.63317999995</v>
      </c>
      <c r="AB71" s="42">
        <f t="shared" si="92"/>
        <v>511640.91931000003</v>
      </c>
      <c r="AC71" s="42">
        <f t="shared" si="92"/>
        <v>612023.16858000006</v>
      </c>
      <c r="AD71" s="42">
        <f t="shared" si="92"/>
        <v>713420.00603000005</v>
      </c>
      <c r="AE71" s="42">
        <f t="shared" si="92"/>
        <v>706464.21552000009</v>
      </c>
      <c r="AF71" s="42">
        <f t="shared" ref="AF71:AL71" si="93">SUM(AF65:AF70)</f>
        <v>745443.12735999993</v>
      </c>
      <c r="AG71" s="42">
        <f t="shared" si="93"/>
        <v>781323.27882999997</v>
      </c>
      <c r="AH71" s="42">
        <f t="shared" si="93"/>
        <v>805548.17077999993</v>
      </c>
      <c r="AI71" s="42">
        <f t="shared" si="93"/>
        <v>872786.12800000003</v>
      </c>
      <c r="AJ71" s="42">
        <f t="shared" si="93"/>
        <v>944012.23603999999</v>
      </c>
      <c r="AK71" s="42">
        <f t="shared" ref="AK71" si="94">SUM(AK65:AK70)</f>
        <v>1075340.5485100001</v>
      </c>
      <c r="AL71" s="42">
        <f t="shared" si="93"/>
        <v>1119774</v>
      </c>
    </row>
    <row r="72" spans="1:38">
      <c r="C72"/>
      <c r="D72"/>
      <c r="E72"/>
      <c r="F72"/>
      <c r="G72"/>
      <c r="H72"/>
      <c r="I72"/>
      <c r="J72"/>
      <c r="K72"/>
      <c r="L72"/>
      <c r="M72"/>
      <c r="N72"/>
      <c r="O72"/>
      <c r="P72"/>
      <c r="Q72"/>
      <c r="R72" s="3"/>
      <c r="S72"/>
      <c r="T72"/>
      <c r="U72"/>
      <c r="V72"/>
      <c r="W72"/>
      <c r="X72"/>
      <c r="Y72"/>
      <c r="Z72"/>
      <c r="AA72"/>
      <c r="AB72"/>
      <c r="AC72"/>
      <c r="AD72"/>
      <c r="AF72" s="1"/>
    </row>
    <row r="73" spans="1:38">
      <c r="A73" s="1" t="str">
        <f>+$A$16&amp;"001-1"</f>
        <v>699001-1</v>
      </c>
      <c r="B73" s="1" t="str">
        <f>+$B$16</f>
        <v>Community/Technical College System</v>
      </c>
      <c r="C73" s="3">
        <v>299035</v>
      </c>
      <c r="D73" s="3">
        <v>330772</v>
      </c>
      <c r="E73" s="3">
        <v>336269</v>
      </c>
      <c r="F73" s="3">
        <v>358000</v>
      </c>
      <c r="G73" s="3">
        <v>335728</v>
      </c>
      <c r="H73" s="3">
        <v>358586</v>
      </c>
      <c r="I73" s="3">
        <v>346249</v>
      </c>
      <c r="J73" s="3">
        <v>360791</v>
      </c>
      <c r="K73" s="3">
        <v>380079</v>
      </c>
      <c r="L73" s="3">
        <v>420342</v>
      </c>
      <c r="M73" s="3">
        <f>VLOOKUP($A73,OversightActuals!$A$17:D$58,COLUMN(OversightActuals!D:D),0)/1000</f>
        <v>455436.40385</v>
      </c>
      <c r="N73" s="3">
        <f>VLOOKUP($A73,OversightActuals!$A$17:E$58,COLUMN(OversightActuals!E:E),0)/1000+HighDemandFY2001!B27/1000</f>
        <v>493333.36426</v>
      </c>
      <c r="O73" s="3">
        <f>VLOOKUP($A73,OversightActuals!$A$17:F$58,COLUMN(OversightActuals!F:F),0)/1000</f>
        <v>514954.04729000002</v>
      </c>
      <c r="P73" s="3">
        <f>VLOOKUP($A73,OversightActuals!$A$17:G$58,COLUMN(OversightActuals!G:G),0)/1000</f>
        <v>534151.50091000006</v>
      </c>
      <c r="Q73" s="3">
        <f>VLOOKUP($A73,OversightActuals!$A$17:H$58,COLUMN(OversightActuals!H:H),0)/1000</f>
        <v>509382.42418999999</v>
      </c>
      <c r="R73" s="3">
        <f>VLOOKUP($A73,OversightActuals!$A$17:I$58,COLUMN(OversightActuals!I:I),0)/1000</f>
        <v>524122.23387</v>
      </c>
      <c r="S73" s="3">
        <f>VLOOKUP($A73,OversightActuals!$A$17:J$58,COLUMN(OversightActuals!J:J),0)/1000</f>
        <v>558362.72698000004</v>
      </c>
      <c r="T73" s="3">
        <f>VLOOKUP($A73,OversightActuals!$A$17:K$58,COLUMN(OversightActuals!K:K),0)/1000</f>
        <v>584578.03090000001</v>
      </c>
      <c r="U73" s="3">
        <f>VLOOKUP($A73,OversightActuals!$A$17:L$58,COLUMN(OversightActuals!L:L),0)/1000</f>
        <v>617365.99424999999</v>
      </c>
      <c r="V73" s="3">
        <f>VLOOKUP($A73,OversightActuals!$A$17:M$58,COLUMN(OversightActuals!M:M),0)/1000</f>
        <v>630499.18157000002</v>
      </c>
      <c r="W73" s="3">
        <f>VLOOKUP($A73,OversightActuals!$A$17:N$58,COLUMN(OversightActuals!N:N),0)/1000</f>
        <v>631425.08911000006</v>
      </c>
      <c r="X73" s="3">
        <f>VLOOKUP($A73,OversightActuals!$A$17:O$58,COLUMN(OversightActuals!O:O),0)/1000</f>
        <v>603406.7313300001</v>
      </c>
      <c r="Y73" s="3">
        <f>VLOOKUP($A73,OversightActuals!$A$17:P$58,COLUMN(OversightActuals!P:P),0)/1000</f>
        <v>531526.82975999999</v>
      </c>
      <c r="Z73" s="3">
        <f>VLOOKUP($A73,OversightActuals!$A$17:Q$58,COLUMN(OversightActuals!Q:Q),0)/1000</f>
        <v>515753.94537000009</v>
      </c>
      <c r="AA73" s="3">
        <f>VLOOKUP($A73,OversightActuals!$A$17:R$58,COLUMN(OversightActuals!R:R),0)/1000</f>
        <v>569188.85879999993</v>
      </c>
      <c r="AB73" s="3">
        <f>VLOOKUP($A73,OversightActuals!$A$17:S$58,COLUMN(OversightActuals!S:S),0)/1000</f>
        <v>560655.83512000006</v>
      </c>
      <c r="AC73" s="3">
        <f>VLOOKUP($A73,OversightActuals!$A$17:T$58,COLUMN(OversightActuals!T:T),0)/1000</f>
        <v>623990.37560999999</v>
      </c>
      <c r="AD73" s="3">
        <f>VLOOKUP($A73,OversightActuals!$A$17:U$58,COLUMN(OversightActuals!U:U),0)/1000</f>
        <v>667390.68186999997</v>
      </c>
      <c r="AE73" s="3">
        <f>VLOOKUP($A73,OversightActuals!$A$17:V$58,COLUMN(OversightActuals!V:V),0)/1000</f>
        <v>629036.98021000007</v>
      </c>
      <c r="AF73" s="3">
        <f>VLOOKUP($A73,OversightActuals!$A$17:W$58,COLUMN(OversightActuals!W:W),0)/1000</f>
        <v>637338.82702999993</v>
      </c>
      <c r="AG73" s="3">
        <f>VLOOKUP($A73,OversightActuals!$A$17:X$58,COLUMN(OversightActuals!X:X),0)/1000</f>
        <v>677082.56755000004</v>
      </c>
      <c r="AH73" s="3">
        <f>VLOOKUP($A73,OversightActuals!$A$17:Y$58,COLUMN(OversightActuals!Y:Y),0)/1000</f>
        <v>700084.63466999994</v>
      </c>
      <c r="AI73" s="3">
        <f>VLOOKUP($A73,OversightActuals!$A$17:Z$58,COLUMN(OversightActuals!Z:Z),0)/1000</f>
        <v>741774.79531999992</v>
      </c>
      <c r="AJ73" s="3">
        <f>VLOOKUP($A73,OversightActuals!$A$17:AA$58,COLUMN(OversightActuals!AA:AA),0)/1000</f>
        <v>825056.08973999997</v>
      </c>
      <c r="AK73" s="3">
        <f>VLOOKUP($A73,OversightActuals!$A$17:AB$58,COLUMN(OversightActuals!AB:AB),0)/1000</f>
        <v>915601.08359000005</v>
      </c>
      <c r="AL73" s="3">
        <f>VLOOKUP($A73,OversightBudgets!$A$17:$F$1064,COLUMN(E:E),0)/1000</f>
        <v>988064</v>
      </c>
    </row>
    <row r="74" spans="1:38">
      <c r="A74" s="1" t="str">
        <f>+$A$17&amp;"001-1"</f>
        <v>340001-1</v>
      </c>
      <c r="B74" s="1" t="str">
        <f>+$B$17</f>
        <v>HEC Board, CHE, SFA, &amp; SAC (1)</v>
      </c>
      <c r="C74" s="3">
        <v>29537</v>
      </c>
      <c r="D74" s="3">
        <v>34001</v>
      </c>
      <c r="E74" s="3">
        <v>39017</v>
      </c>
      <c r="F74" s="3">
        <v>39681</v>
      </c>
      <c r="G74" s="3">
        <v>63643</v>
      </c>
      <c r="H74" s="3">
        <v>69829</v>
      </c>
      <c r="I74" s="3">
        <v>72875</v>
      </c>
      <c r="J74" s="3">
        <v>78214</v>
      </c>
      <c r="K74" s="3">
        <v>91048</v>
      </c>
      <c r="L74" s="3">
        <v>100008</v>
      </c>
      <c r="M74" s="3">
        <f>VLOOKUP("343001-1",OversightActuals!$A$17:D$58,COLUMN(OversightActuals!D:D),0)/1000</f>
        <v>106710.88920000001</v>
      </c>
      <c r="N74" s="3">
        <f>VLOOKUP("343001-1",OversightActuals!$A$17:E$58,COLUMN(OversightActuals!E:E),0)/1000-HighDemandFY2001!B32/1000</f>
        <v>124503.73546000001</v>
      </c>
      <c r="O74" s="3">
        <f>VLOOKUP("343001-1",OversightActuals!$A$17:F$58,COLUMN(OversightActuals!F:F),0)/1000</f>
        <v>125863.46089</v>
      </c>
      <c r="P74" s="3">
        <f>VLOOKUP("343001-1",OversightActuals!$A$17:G$58,COLUMN(OversightActuals!G:G),0)/1000</f>
        <v>138130.20137999998</v>
      </c>
      <c r="Q74" s="3">
        <f>VLOOKUP("343001-1",OversightActuals!$A$17:H$58,COLUMN(OversightActuals!H:H),0)/1000-'5Biennia'!AE34/1000</f>
        <v>147382.80502</v>
      </c>
      <c r="R74" s="3">
        <f>-'5Biennia'!AF34/1000-'5Biennia'!AF63/1000+VLOOKUP("343001-1",OversightActuals!$A$17:I$58,COLUMN(OversightActuals!I:I),0)/1000</f>
        <v>165712.82459999999</v>
      </c>
      <c r="S74" s="3">
        <f>VLOOKUP("343001-1",OversightActuals!$A$17:J$58,COLUMN(OversightActuals!J:J),0)/1000</f>
        <v>162107.80129</v>
      </c>
      <c r="T74" s="3">
        <f>VLOOKUP("343001-1",OversightActuals!$A$17:K$58,COLUMN(OversightActuals!K:K),0)/1000</f>
        <v>169328.28761000003</v>
      </c>
      <c r="U74" s="3">
        <f>VLOOKUP("343001-1",OversightActuals!$A$17:L$58,COLUMN(OversightActuals!L:L),0)/1000</f>
        <v>170248.09026</v>
      </c>
      <c r="V74" s="3">
        <f>VLOOKUP("343001-1",OversightActuals!$A$17:M$58,COLUMN(OversightActuals!M:M),0)/1000</f>
        <v>195031</v>
      </c>
      <c r="W74" s="3">
        <f>VLOOKUP("343001-1",OversightActuals!$A$17:N$58,COLUMN(OversightActuals!N:N),0)/1000</f>
        <v>194733.99244</v>
      </c>
      <c r="X74" s="3">
        <f>VLOOKUP("343001-1",OversightActuals!$A$17:O$58,COLUMN(OversightActuals!O:O),0)/1000</f>
        <v>187919.85075000001</v>
      </c>
      <c r="Y74" s="3">
        <f>VLOOKUP("343001-1",OversightActuals!$A$17:P$58,COLUMN(OversightActuals!P:P),0)/1000</f>
        <v>218926.95181999999</v>
      </c>
      <c r="Z74" s="3">
        <f>VLOOKUP($A74,OversightActuals!$A$17:Q$58,COLUMN(OversightActuals!Q:Q),0)/1000</f>
        <v>216904.95790000001</v>
      </c>
      <c r="AA74" s="3">
        <f>VLOOKUP($A74,OversightActuals!$A$17:R$58,COLUMN(OversightActuals!R:R),0)/1000</f>
        <v>250385.96812000001</v>
      </c>
      <c r="AB74" s="3">
        <f>VLOOKUP($A74,OversightActuals!$A$17:S$58,COLUMN(OversightActuals!S:S),0)/1000</f>
        <v>254861.07768000002</v>
      </c>
      <c r="AC74" s="3">
        <f>VLOOKUP($A74,OversightActuals!$A$17:T$58,COLUMN(OversightActuals!T:T),0)/1000</f>
        <v>271468.59506999998</v>
      </c>
      <c r="AD74" s="3">
        <f>VLOOKUP($A74,OversightActuals!$A$17:U$58,COLUMN(OversightActuals!U:U),0)/1000</f>
        <v>240658.13982999997</v>
      </c>
      <c r="AE74" s="3">
        <f>VLOOKUP($A74,OversightActuals!$A$17:V$58,COLUMN(OversightActuals!V:V),0)/1000</f>
        <v>243579.46728000001</v>
      </c>
      <c r="AF74" s="3">
        <f>VLOOKUP($A74,OversightActuals!$A$17:W$58,COLUMN(OversightActuals!W:W),0)/1000</f>
        <v>269059.97901000001</v>
      </c>
      <c r="AG74" s="3">
        <f>VLOOKUP($A74,OversightActuals!$A$17:X$58,COLUMN(OversightActuals!X:X),0)/1000</f>
        <v>279818.42915999994</v>
      </c>
      <c r="AH74" s="3">
        <f>VLOOKUP($A74,OversightActuals!$A$17:Y$58,COLUMN(OversightActuals!Y:Y),0)/1000</f>
        <v>296268.65811000002</v>
      </c>
      <c r="AI74" s="3">
        <f>VLOOKUP($A74,OversightActuals!$A$17:Z$58,COLUMN(OversightActuals!Z:Z),0)/1000</f>
        <v>281195.46811000002</v>
      </c>
      <c r="AJ74" s="3">
        <f>VLOOKUP($A74,OversightActuals!$A$17:AA$58,COLUMN(OversightActuals!AA:AA),0)/1000</f>
        <v>244713.11674999999</v>
      </c>
      <c r="AK74" s="3">
        <f>VLOOKUP($A74,OversightActuals!$A$17:AB$58,COLUMN(OversightActuals!AB:AB),0)/1000</f>
        <v>319021.32833000005</v>
      </c>
      <c r="AL74" s="3">
        <f>VLOOKUP($A74,OversightBudgets!$A$17:$F$1064,COLUMN(E:E),0)/1000</f>
        <v>312282</v>
      </c>
    </row>
    <row r="75" spans="1:38" ht="13.5" thickBot="1">
      <c r="C75" s="3"/>
      <c r="D75" s="3"/>
      <c r="E75" s="3"/>
      <c r="F75" s="3"/>
      <c r="G75" s="3"/>
      <c r="H75" s="3"/>
      <c r="I75" s="3"/>
      <c r="J75" s="3"/>
      <c r="AF75" s="1"/>
    </row>
    <row r="76" spans="1:38" ht="13.5" thickTop="1">
      <c r="B76" s="1" t="str">
        <f>+$B$19</f>
        <v>Total Higher Education</v>
      </c>
      <c r="C76" s="39">
        <f t="shared" ref="C76:Z76" si="95">+C73+C71+C74</f>
        <v>822511</v>
      </c>
      <c r="D76" s="39">
        <f t="shared" si="95"/>
        <v>913853</v>
      </c>
      <c r="E76" s="39">
        <f t="shared" si="95"/>
        <v>914569</v>
      </c>
      <c r="F76" s="39">
        <f t="shared" si="95"/>
        <v>966554</v>
      </c>
      <c r="G76" s="39">
        <f t="shared" si="95"/>
        <v>929997</v>
      </c>
      <c r="H76" s="39">
        <f t="shared" si="95"/>
        <v>950150</v>
      </c>
      <c r="I76" s="39">
        <f t="shared" si="95"/>
        <v>961198</v>
      </c>
      <c r="J76" s="39">
        <f t="shared" si="95"/>
        <v>1007099</v>
      </c>
      <c r="K76" s="39">
        <f t="shared" si="95"/>
        <v>1071401</v>
      </c>
      <c r="L76" s="39">
        <f t="shared" si="95"/>
        <v>1135279</v>
      </c>
      <c r="M76" s="39">
        <f t="shared" si="95"/>
        <v>1221613.0101000001</v>
      </c>
      <c r="N76" s="39">
        <f t="shared" si="95"/>
        <v>1321612.6913100001</v>
      </c>
      <c r="O76" s="39">
        <f t="shared" si="95"/>
        <v>1362553.6818599999</v>
      </c>
      <c r="P76" s="39">
        <f t="shared" si="95"/>
        <v>1368035.2372899998</v>
      </c>
      <c r="Q76" s="39">
        <f t="shared" si="95"/>
        <v>1316391.9990100001</v>
      </c>
      <c r="R76" s="39">
        <f t="shared" si="95"/>
        <v>1381305.4005399998</v>
      </c>
      <c r="S76" s="39">
        <f t="shared" si="95"/>
        <v>1440791.8543400003</v>
      </c>
      <c r="T76" s="39">
        <f t="shared" si="95"/>
        <v>1501210.3509499999</v>
      </c>
      <c r="U76" s="39">
        <f t="shared" si="95"/>
        <v>1586513.3104300001</v>
      </c>
      <c r="V76" s="39">
        <f t="shared" si="95"/>
        <v>1591066.50603</v>
      </c>
      <c r="W76" s="39">
        <f t="shared" si="95"/>
        <v>1393830.0758400001</v>
      </c>
      <c r="X76" s="39">
        <f t="shared" si="95"/>
        <v>1353259.89063</v>
      </c>
      <c r="Y76" s="39">
        <f t="shared" si="95"/>
        <v>1185000.64904</v>
      </c>
      <c r="Z76" s="39">
        <f t="shared" si="95"/>
        <v>1163624.2643600001</v>
      </c>
      <c r="AA76" s="39">
        <f t="shared" ref="AA76:AL76" si="96">+AA73+AA71+AA74</f>
        <v>1342369.4601</v>
      </c>
      <c r="AB76" s="39">
        <f t="shared" si="96"/>
        <v>1327157.8321100003</v>
      </c>
      <c r="AC76" s="39">
        <f t="shared" si="96"/>
        <v>1507482.1392600001</v>
      </c>
      <c r="AD76" s="39">
        <f t="shared" si="96"/>
        <v>1621468.82773</v>
      </c>
      <c r="AE76" s="39">
        <f t="shared" si="96"/>
        <v>1579080.6630100003</v>
      </c>
      <c r="AF76" s="39">
        <f t="shared" si="96"/>
        <v>1651841.9334</v>
      </c>
      <c r="AG76" s="39">
        <f t="shared" si="96"/>
        <v>1738224.2755399998</v>
      </c>
      <c r="AH76" s="39">
        <f t="shared" ref="AH76:AK76" si="97">+AH73+AH71+AH74</f>
        <v>1801901.4635599998</v>
      </c>
      <c r="AI76" s="39">
        <f t="shared" si="97"/>
        <v>1895756.3914300001</v>
      </c>
      <c r="AJ76" s="39">
        <f t="shared" ref="AJ76:AK76" si="98">+AJ73+AJ71+AJ74</f>
        <v>2013781.4425300001</v>
      </c>
      <c r="AK76" s="39">
        <f t="shared" si="98"/>
        <v>2309962.96043</v>
      </c>
      <c r="AL76" s="39">
        <f t="shared" si="96"/>
        <v>2420120</v>
      </c>
    </row>
    <row r="77" spans="1:38">
      <c r="B77" s="199" t="str">
        <f>+$B$20</f>
        <v>[biennial]</v>
      </c>
      <c r="C77" s="7"/>
      <c r="D77" s="3">
        <f>+D76+C76</f>
        <v>1736364</v>
      </c>
      <c r="F77" s="3">
        <f>+F76+E76</f>
        <v>1881123</v>
      </c>
      <c r="H77" s="3">
        <f>+H76+G76</f>
        <v>1880147</v>
      </c>
      <c r="J77" s="3">
        <f>+J76+I76</f>
        <v>1968297</v>
      </c>
      <c r="L77" s="3">
        <f>+L76+K76</f>
        <v>2206680</v>
      </c>
      <c r="N77" s="3">
        <f>+N76+M76</f>
        <v>2543225.7014100002</v>
      </c>
      <c r="P77" s="3">
        <f>+P76+O76</f>
        <v>2730588.9191499995</v>
      </c>
      <c r="R77" s="3">
        <f>+R76+Q76</f>
        <v>2697697.3995500002</v>
      </c>
      <c r="T77" s="3">
        <f>+T76+S76</f>
        <v>2942002.20529</v>
      </c>
      <c r="U77" s="3"/>
      <c r="V77" s="3">
        <f>+V76+U76</f>
        <v>3177579.8164600004</v>
      </c>
      <c r="W77" s="3"/>
      <c r="X77" s="3">
        <f>+X76+W76</f>
        <v>2747089.9664700003</v>
      </c>
      <c r="Y77" s="3"/>
      <c r="Z77" s="3">
        <f>+Z76+Y76</f>
        <v>2348624.9134</v>
      </c>
      <c r="AA77" s="3"/>
      <c r="AB77" s="3">
        <f>+AB76+AA76</f>
        <v>2669527.2922100006</v>
      </c>
      <c r="AC77" s="3"/>
      <c r="AD77" s="3">
        <f>+AD76+AC76</f>
        <v>3128950.9669900001</v>
      </c>
      <c r="AE77" s="3"/>
      <c r="AF77" s="3">
        <f>+AF76+AE76</f>
        <v>3230922.5964100002</v>
      </c>
      <c r="AG77" s="3"/>
      <c r="AH77" s="3">
        <f>+AH76+AG76</f>
        <v>3540125.7390999999</v>
      </c>
      <c r="AI77" s="3"/>
      <c r="AJ77" s="3">
        <f>+AJ76+AI76</f>
        <v>3909537.8339600004</v>
      </c>
      <c r="AK77" s="3"/>
      <c r="AL77" s="3">
        <f>+AL76+AK76</f>
        <v>4730082.96043</v>
      </c>
    </row>
    <row r="78" spans="1:38" ht="13.5">
      <c r="B78" s="199"/>
      <c r="C78" s="7"/>
      <c r="D78" s="3"/>
      <c r="F78" s="3"/>
      <c r="H78" s="3"/>
      <c r="J78" s="3"/>
      <c r="L78" s="3"/>
      <c r="N78" s="1880" t="str">
        <f>IF(SUM(M65:N70,M73:N74)&lt;&gt;N77,"Error","")</f>
        <v/>
      </c>
      <c r="P78" s="1880" t="str">
        <f>IF(SUM(O65:P70,O73:P74)&lt;&gt;P77,"Error","")</f>
        <v/>
      </c>
      <c r="R78" s="1880" t="str">
        <f>IF(SUM(Q65:R70,Q73:R74)&lt;&gt;R77,"Error","")</f>
        <v/>
      </c>
      <c r="T78" s="1880" t="str">
        <f>IF(SUM(S65:T70,S73:T74)&lt;&gt;T77,"Error","")</f>
        <v/>
      </c>
      <c r="V78" s="1880" t="str">
        <f>IF(SUM(U65:V70,U73:V74)&lt;&gt;V77,"Error","")</f>
        <v/>
      </c>
      <c r="X78" s="1880" t="str">
        <f>IF(SUM(W65:X70,W73:X74)&lt;&gt;X77,"Error","")</f>
        <v/>
      </c>
      <c r="Z78" s="1880" t="str">
        <f>IF(SUM(Y65:Z70,Y73:Z74)&lt;&gt;Z77,"Error","")</f>
        <v/>
      </c>
      <c r="AB78" s="1880" t="str">
        <f>IF(SUM(AA65:AB70,AA73:AB74)&lt;&gt;AB77,"Error","")</f>
        <v/>
      </c>
      <c r="AD78" s="1880" t="str">
        <f>IF(SUM(AC65:AD70,AC73:AD74)&lt;&gt;AD77,"Error","")</f>
        <v/>
      </c>
      <c r="AG78" s="1880"/>
      <c r="AH78" s="1880"/>
      <c r="AI78" s="1880"/>
      <c r="AJ78" s="1880"/>
      <c r="AK78" s="1880"/>
      <c r="AL78" s="1880"/>
    </row>
    <row r="79" spans="1:38" ht="15.75" hidden="1">
      <c r="B79" s="376" t="s">
        <v>659</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2392"/>
    </row>
    <row r="80" spans="1:38" hidden="1">
      <c r="B80" s="5" t="str">
        <f>+$B$4</f>
        <v>(Dollars in Thousands)</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row>
    <row r="81" spans="1:30" hidden="1">
      <c r="I81" s="13"/>
      <c r="J81" s="13"/>
      <c r="K81" s="13"/>
      <c r="L81" s="13"/>
      <c r="M81" s="13"/>
      <c r="N81" s="13"/>
      <c r="O81" s="13"/>
      <c r="P81" s="13"/>
      <c r="Q81" s="13"/>
      <c r="R81" s="13"/>
      <c r="S81"/>
      <c r="T81"/>
      <c r="U81"/>
      <c r="V81" s="2"/>
      <c r="W81"/>
      <c r="X81" s="2"/>
      <c r="Y81"/>
      <c r="Z81"/>
      <c r="AA81"/>
      <c r="AB81"/>
      <c r="AC81"/>
      <c r="AD81"/>
    </row>
    <row r="82" spans="1:30" hidden="1">
      <c r="C82" s="2" t="str">
        <f t="shared" ref="C82:U82" si="99">+C44</f>
        <v>FY1990</v>
      </c>
      <c r="D82" s="2" t="str">
        <f t="shared" si="99"/>
        <v>FY1991</v>
      </c>
      <c r="E82" s="2" t="str">
        <f t="shared" si="99"/>
        <v>FY1992</v>
      </c>
      <c r="F82" s="2" t="str">
        <f t="shared" si="99"/>
        <v>FY1993</v>
      </c>
      <c r="G82" s="2" t="str">
        <f t="shared" si="99"/>
        <v>FY1994</v>
      </c>
      <c r="H82" s="2" t="str">
        <f t="shared" si="99"/>
        <v>FY1995</v>
      </c>
      <c r="I82" s="2" t="str">
        <f t="shared" si="99"/>
        <v>FY1996</v>
      </c>
      <c r="J82" s="2" t="str">
        <f t="shared" si="99"/>
        <v>FY1997</v>
      </c>
      <c r="K82" s="2" t="str">
        <f t="shared" si="99"/>
        <v>FY1998</v>
      </c>
      <c r="L82" s="2" t="str">
        <f t="shared" si="99"/>
        <v>FY1999</v>
      </c>
      <c r="M82" s="2" t="str">
        <f t="shared" si="99"/>
        <v>FY2000</v>
      </c>
      <c r="N82" s="2" t="str">
        <f t="shared" si="99"/>
        <v>FY2001</v>
      </c>
      <c r="O82" s="2" t="str">
        <f t="shared" si="99"/>
        <v>FY2002</v>
      </c>
      <c r="P82" s="2" t="str">
        <f t="shared" si="99"/>
        <v>FY2003</v>
      </c>
      <c r="Q82" s="2" t="str">
        <f t="shared" si="99"/>
        <v>FY2004</v>
      </c>
      <c r="R82" s="2" t="str">
        <f t="shared" si="99"/>
        <v>FY2005</v>
      </c>
      <c r="S82" s="2" t="str">
        <f t="shared" si="99"/>
        <v>FY2006</v>
      </c>
      <c r="T82" s="2" t="str">
        <f t="shared" si="99"/>
        <v>FY2007</v>
      </c>
      <c r="U82" s="2" t="str">
        <f t="shared" si="99"/>
        <v>FY2008</v>
      </c>
      <c r="V82" s="2" t="str">
        <f>+$V$6</f>
        <v>FY2009</v>
      </c>
      <c r="W82" s="2" t="str">
        <f>+$W$6</f>
        <v>FY2010</v>
      </c>
      <c r="X82" s="2" t="str">
        <f>+$X$6</f>
        <v>FY2011</v>
      </c>
      <c r="Y82"/>
      <c r="Z82"/>
      <c r="AA82"/>
      <c r="AB82"/>
      <c r="AC82"/>
      <c r="AD82"/>
    </row>
    <row r="83" spans="1:30" hidden="1">
      <c r="Y83"/>
      <c r="Z83"/>
      <c r="AA83"/>
      <c r="AB83"/>
      <c r="AC83"/>
      <c r="AD83"/>
    </row>
    <row r="84" spans="1:30" hidden="1">
      <c r="A84" s="1" t="str">
        <f>+$A$8&amp;"001-8"</f>
        <v>360001-8</v>
      </c>
      <c r="B84" s="1" t="str">
        <f>+$B$8</f>
        <v>University of Washington</v>
      </c>
      <c r="C84"/>
      <c r="D84"/>
      <c r="E84"/>
      <c r="F84"/>
      <c r="G84"/>
      <c r="H84"/>
      <c r="I84"/>
      <c r="J84"/>
      <c r="K84"/>
      <c r="L84"/>
      <c r="M84"/>
      <c r="N84"/>
      <c r="O84"/>
      <c r="P84"/>
      <c r="Q84" s="3"/>
      <c r="R84" s="3"/>
      <c r="S84" s="3"/>
      <c r="T84" s="3"/>
      <c r="U84" s="3"/>
      <c r="V84" s="3"/>
      <c r="W84" s="3">
        <f>VLOOKUP($A84,OversightActuals!$A$17:N$58,COLUMN(OversightActuals!N:N),0)/1000</f>
        <v>43971</v>
      </c>
      <c r="X84" s="3"/>
      <c r="Y84"/>
      <c r="Z84"/>
      <c r="AA84"/>
      <c r="AB84"/>
      <c r="AC84"/>
      <c r="AD84"/>
    </row>
    <row r="85" spans="1:30" hidden="1">
      <c r="A85" s="1" t="str">
        <f>+$A$9&amp;"001-8"</f>
        <v>365001-8</v>
      </c>
      <c r="B85" s="1" t="str">
        <f>+$B$9</f>
        <v>Washington State University</v>
      </c>
      <c r="C85"/>
      <c r="D85"/>
      <c r="E85"/>
      <c r="F85"/>
      <c r="G85"/>
      <c r="H85"/>
      <c r="I85"/>
      <c r="J85"/>
      <c r="K85"/>
      <c r="L85"/>
      <c r="M85"/>
      <c r="N85"/>
      <c r="O85"/>
      <c r="P85"/>
      <c r="Q85" s="3"/>
      <c r="R85" s="3"/>
      <c r="S85" s="3"/>
      <c r="T85" s="3"/>
      <c r="U85" s="3"/>
      <c r="V85" s="3"/>
      <c r="W85" s="3">
        <f>VLOOKUP($A85,OversightActuals!$A$17:N$58,COLUMN(OversightActuals!N:N),0)/1000</f>
        <v>15772</v>
      </c>
      <c r="X85" s="3"/>
      <c r="Y85"/>
      <c r="Z85"/>
      <c r="AA85"/>
      <c r="AB85"/>
      <c r="AC85"/>
      <c r="AD85"/>
    </row>
    <row r="86" spans="1:30" hidden="1">
      <c r="A86" s="1" t="str">
        <f>+$A$10&amp;"001-8"</f>
        <v>370001-8</v>
      </c>
      <c r="B86" s="1" t="str">
        <f>+$B$10</f>
        <v>Eastern Washington University</v>
      </c>
      <c r="C86"/>
      <c r="D86"/>
      <c r="E86"/>
      <c r="F86"/>
      <c r="G86"/>
      <c r="H86"/>
      <c r="I86"/>
      <c r="J86"/>
      <c r="K86"/>
      <c r="L86"/>
      <c r="M86"/>
      <c r="N86"/>
      <c r="O86"/>
      <c r="P86"/>
      <c r="Q86" s="3"/>
      <c r="R86" s="3"/>
      <c r="S86" s="3"/>
      <c r="T86" s="3"/>
      <c r="U86" s="3"/>
      <c r="V86" s="3"/>
      <c r="W86" s="3">
        <f>VLOOKUP($A86,OversightActuals!$A$17:N$58,COLUMN(OversightActuals!N:N),0)/1000</f>
        <v>5522</v>
      </c>
      <c r="X86" s="3"/>
      <c r="Y86"/>
      <c r="Z86"/>
      <c r="AA86"/>
      <c r="AB86"/>
      <c r="AC86"/>
      <c r="AD86"/>
    </row>
    <row r="87" spans="1:30" hidden="1">
      <c r="A87" s="1" t="str">
        <f>+$A$11&amp;"001-8"</f>
        <v>375001-8</v>
      </c>
      <c r="B87" s="1" t="str">
        <f>+$B$11</f>
        <v>Central Washington University</v>
      </c>
      <c r="C87"/>
      <c r="D87"/>
      <c r="E87"/>
      <c r="F87"/>
      <c r="G87"/>
      <c r="H87"/>
      <c r="I87"/>
      <c r="J87"/>
      <c r="K87"/>
      <c r="L87"/>
      <c r="M87"/>
      <c r="N87"/>
      <c r="O87"/>
      <c r="P87"/>
      <c r="Q87" s="3"/>
      <c r="R87" s="3"/>
      <c r="S87" s="3"/>
      <c r="T87" s="3"/>
      <c r="U87" s="3"/>
      <c r="V87" s="3"/>
      <c r="W87" s="3">
        <f>VLOOKUP($A87,OversightActuals!$A$17:N$58,COLUMN(OversightActuals!N:N),0)/1000</f>
        <v>6975</v>
      </c>
      <c r="X87" s="3"/>
      <c r="Y87"/>
      <c r="Z87"/>
      <c r="AA87"/>
      <c r="AB87"/>
      <c r="AC87"/>
      <c r="AD87"/>
    </row>
    <row r="88" spans="1:30" hidden="1">
      <c r="A88" s="1" t="str">
        <f>+$A$12&amp;"001-8"</f>
        <v>376001-8</v>
      </c>
      <c r="B88" s="1" t="str">
        <f>+$B$12</f>
        <v>The Evergreen State College</v>
      </c>
      <c r="C88"/>
      <c r="D88"/>
      <c r="E88"/>
      <c r="F88"/>
      <c r="G88"/>
      <c r="H88"/>
      <c r="I88"/>
      <c r="J88"/>
      <c r="K88"/>
      <c r="L88"/>
      <c r="M88"/>
      <c r="N88"/>
      <c r="O88"/>
      <c r="P88"/>
      <c r="Q88" s="3"/>
      <c r="R88" s="3"/>
      <c r="S88" s="3"/>
      <c r="T88" s="3"/>
      <c r="U88" s="3"/>
      <c r="V88" s="3"/>
      <c r="W88" s="3">
        <f>VLOOKUP($A88,OversightActuals!$A$17:N$58,COLUMN(OversightActuals!N:N),0)/1000</f>
        <v>2366</v>
      </c>
      <c r="X88" s="3"/>
      <c r="Y88"/>
      <c r="Z88"/>
      <c r="AA88"/>
      <c r="AB88"/>
      <c r="AC88"/>
      <c r="AD88"/>
    </row>
    <row r="89" spans="1:30" hidden="1">
      <c r="A89" s="1" t="str">
        <f>+$A$13&amp;"001-8"</f>
        <v>380001-8</v>
      </c>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VLOOKUP($A89,OversightActuals!$A$17:N$58,COLUMN(OversightActuals!N:N),0)/1000</f>
        <v>8885</v>
      </c>
      <c r="X89" s="3"/>
      <c r="Y89"/>
      <c r="Z89"/>
      <c r="AA89"/>
      <c r="AB89"/>
      <c r="AC89"/>
      <c r="AD89"/>
    </row>
    <row r="90" spans="1:30" hidden="1">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SUM(W84:W89)</f>
        <v>83491</v>
      </c>
      <c r="X90" s="42"/>
      <c r="Y90"/>
      <c r="Z90"/>
      <c r="AA90"/>
      <c r="AB90"/>
      <c r="AC90"/>
      <c r="AD90"/>
    </row>
    <row r="91" spans="1:30" hidden="1">
      <c r="C91"/>
      <c r="D91"/>
      <c r="E91"/>
      <c r="F91"/>
      <c r="G91"/>
      <c r="H91"/>
      <c r="I91"/>
      <c r="J91"/>
      <c r="K91"/>
      <c r="L91"/>
      <c r="M91"/>
      <c r="N91"/>
      <c r="O91"/>
      <c r="P91"/>
      <c r="Q91" s="3"/>
      <c r="R91" s="3"/>
      <c r="W91"/>
      <c r="X91"/>
      <c r="Y91"/>
      <c r="Z91"/>
      <c r="AA91"/>
      <c r="AB91"/>
      <c r="AC91"/>
      <c r="AD91"/>
    </row>
    <row r="92" spans="1:30" hidden="1">
      <c r="A92" s="1" t="str">
        <f>+$A$16&amp;"001-8"</f>
        <v>699001-8</v>
      </c>
      <c r="B92" s="1" t="str">
        <f>+$B$16</f>
        <v>Community/Technical College System</v>
      </c>
      <c r="C92"/>
      <c r="D92"/>
      <c r="E92"/>
      <c r="F92"/>
      <c r="G92"/>
      <c r="H92"/>
      <c r="I92"/>
      <c r="J92"/>
      <c r="K92"/>
      <c r="L92"/>
      <c r="M92"/>
      <c r="N92"/>
      <c r="O92"/>
      <c r="P92"/>
      <c r="Q92" s="3"/>
      <c r="R92" s="3"/>
      <c r="S92" s="3"/>
      <c r="T92" s="3"/>
      <c r="U92" s="3"/>
      <c r="V92" s="3"/>
      <c r="W92" s="3">
        <f>VLOOKUP($A92,OversightActuals!$A$17:N$58,COLUMN(OversightActuals!N:N),0)/1000</f>
        <v>17171</v>
      </c>
      <c r="X92" s="3"/>
      <c r="Y92"/>
      <c r="Z92"/>
      <c r="AA92"/>
      <c r="AB92"/>
      <c r="AC92"/>
      <c r="AD92"/>
    </row>
    <row r="93" spans="1:30" hidden="1">
      <c r="B93" s="1" t="str">
        <f>+$B$17</f>
        <v>HEC Board, CHE, SFA, &amp; SAC (1)</v>
      </c>
      <c r="C93"/>
      <c r="D93"/>
      <c r="E93"/>
      <c r="F93"/>
      <c r="G93"/>
      <c r="H93"/>
      <c r="I93"/>
      <c r="J93"/>
      <c r="K93"/>
      <c r="L93"/>
      <c r="M93"/>
      <c r="N93"/>
      <c r="O93"/>
      <c r="P93"/>
      <c r="Q93" s="3"/>
      <c r="R93" s="3"/>
      <c r="S93" s="3"/>
      <c r="T93" s="3"/>
      <c r="U93" s="3"/>
      <c r="V93" s="3"/>
      <c r="W93" s="3"/>
      <c r="X93" s="3"/>
      <c r="Y93"/>
      <c r="Z93"/>
      <c r="AA93"/>
      <c r="AB93"/>
      <c r="AC93"/>
      <c r="AD93"/>
    </row>
    <row r="94" spans="1:30" ht="13.5" hidden="1" thickBot="1">
      <c r="C94"/>
      <c r="D94"/>
      <c r="E94"/>
      <c r="F94"/>
      <c r="G94"/>
      <c r="H94"/>
      <c r="I94"/>
      <c r="J94"/>
      <c r="K94"/>
      <c r="L94"/>
      <c r="M94"/>
      <c r="N94"/>
      <c r="O94"/>
      <c r="P94"/>
      <c r="S94" s="3"/>
      <c r="Y94"/>
      <c r="Z94"/>
      <c r="AA94"/>
      <c r="AB94"/>
      <c r="AC94"/>
      <c r="AD94"/>
    </row>
    <row r="95" spans="1:30" ht="13.5" hidden="1"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+W92+W90+W93</f>
        <v>100662</v>
      </c>
      <c r="X95" s="39"/>
      <c r="Y95"/>
      <c r="Z95"/>
      <c r="AA95"/>
      <c r="AB95"/>
      <c r="AC95"/>
      <c r="AD95"/>
    </row>
    <row r="96" spans="1:30" hidden="1">
      <c r="B96" s="199" t="str">
        <f>+$B$20</f>
        <v>[biennial]</v>
      </c>
      <c r="C96"/>
      <c r="D96"/>
      <c r="E96"/>
      <c r="F96"/>
      <c r="G96"/>
      <c r="H96"/>
      <c r="I96"/>
      <c r="J96"/>
      <c r="K96"/>
      <c r="L96"/>
      <c r="M96"/>
      <c r="N96"/>
      <c r="O96"/>
      <c r="P96"/>
      <c r="R96" s="3"/>
      <c r="T96" s="3"/>
      <c r="U96" s="3"/>
      <c r="V96" s="3"/>
      <c r="W96" s="3"/>
      <c r="X96" s="3">
        <f>+X95+W95</f>
        <v>100662</v>
      </c>
      <c r="Y96"/>
      <c r="Z96"/>
      <c r="AA96"/>
      <c r="AB96"/>
      <c r="AC96"/>
      <c r="AD96"/>
    </row>
    <row r="97" spans="1:38" hidden="1">
      <c r="D97" s="7"/>
      <c r="F97" s="7"/>
      <c r="H97" s="7"/>
      <c r="J97" s="7"/>
      <c r="L97" s="7"/>
      <c r="N97" s="7"/>
      <c r="P97" s="7"/>
      <c r="R97" s="7"/>
      <c r="T97" s="7"/>
      <c r="U97" s="7"/>
      <c r="V97" s="7"/>
      <c r="W97" s="3"/>
      <c r="X97" s="7"/>
    </row>
    <row r="98" spans="1:38" ht="15.75">
      <c r="B98" s="376" t="s">
        <v>360</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row>
    <row r="99" spans="1:38">
      <c r="B99" s="5" t="str">
        <f>+$B$4</f>
        <v>(Dollars in Thousands)</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row>
    <row r="100" spans="1:38">
      <c r="I100" s="13"/>
      <c r="J100" s="13"/>
      <c r="K100" s="13"/>
      <c r="L100" s="13"/>
      <c r="M100" s="13"/>
      <c r="N100" s="13"/>
      <c r="O100" s="13"/>
      <c r="P100" s="13"/>
      <c r="Q100" s="13"/>
      <c r="R100" s="13"/>
      <c r="S100"/>
      <c r="T100"/>
      <c r="U100"/>
      <c r="V100" s="2"/>
      <c r="W100"/>
      <c r="X100" s="2"/>
      <c r="Y100" s="2"/>
      <c r="Z100" s="2"/>
      <c r="AA100"/>
      <c r="AB100"/>
      <c r="AC100"/>
      <c r="AD100"/>
      <c r="AE100"/>
      <c r="AG100"/>
      <c r="AH100"/>
      <c r="AI100" s="2" t="str">
        <f t="shared" ref="AI100:AL100" si="100">TRIM(+AI$5)</f>
        <v/>
      </c>
      <c r="AJ100" s="2" t="str">
        <f t="shared" si="100"/>
        <v/>
      </c>
      <c r="AK100" s="2" t="str">
        <f t="shared" si="100"/>
        <v>Final</v>
      </c>
      <c r="AL100" s="2" t="str">
        <f t="shared" si="100"/>
        <v>Enacted</v>
      </c>
    </row>
    <row r="101" spans="1:38">
      <c r="C101" s="2" t="str">
        <f t="shared" ref="C101:S101" si="101">+C44</f>
        <v>FY1990</v>
      </c>
      <c r="D101" s="2" t="str">
        <f t="shared" si="101"/>
        <v>FY1991</v>
      </c>
      <c r="E101" s="2" t="str">
        <f t="shared" si="101"/>
        <v>FY1992</v>
      </c>
      <c r="F101" s="2" t="str">
        <f t="shared" si="101"/>
        <v>FY1993</v>
      </c>
      <c r="G101" s="2" t="str">
        <f t="shared" si="101"/>
        <v>FY1994</v>
      </c>
      <c r="H101" s="2" t="str">
        <f t="shared" si="101"/>
        <v>FY1995</v>
      </c>
      <c r="I101" s="2" t="str">
        <f t="shared" si="101"/>
        <v>FY1996</v>
      </c>
      <c r="J101" s="2" t="str">
        <f t="shared" si="101"/>
        <v>FY1997</v>
      </c>
      <c r="K101" s="2" t="str">
        <f t="shared" si="101"/>
        <v>FY1998</v>
      </c>
      <c r="L101" s="2" t="str">
        <f t="shared" si="101"/>
        <v>FY1999</v>
      </c>
      <c r="M101" s="2" t="str">
        <f t="shared" si="101"/>
        <v>FY2000</v>
      </c>
      <c r="N101" s="2" t="str">
        <f t="shared" si="101"/>
        <v>FY2001</v>
      </c>
      <c r="O101" s="2" t="str">
        <f t="shared" si="101"/>
        <v>FY2002</v>
      </c>
      <c r="P101" s="2" t="str">
        <f t="shared" si="101"/>
        <v>FY2003</v>
      </c>
      <c r="Q101" s="2" t="str">
        <f t="shared" si="101"/>
        <v>FY2004</v>
      </c>
      <c r="R101" s="2" t="str">
        <f t="shared" si="101"/>
        <v>FY2005</v>
      </c>
      <c r="S101" s="2" t="str">
        <f t="shared" si="101"/>
        <v>FY2006</v>
      </c>
      <c r="T101" s="2" t="str">
        <f>+$T$6</f>
        <v>FY2007</v>
      </c>
      <c r="U101" s="2" t="str">
        <f>+U6</f>
        <v>FY2008</v>
      </c>
      <c r="V101" s="2" t="str">
        <f>+$V$6</f>
        <v>FY2009</v>
      </c>
      <c r="W101" s="2" t="str">
        <f>+$W$6</f>
        <v>FY2010</v>
      </c>
      <c r="X101" s="2" t="str">
        <f>+$X$6</f>
        <v>FY2011</v>
      </c>
      <c r="Y101" s="2" t="str">
        <f>+$Y$6</f>
        <v>FY2012</v>
      </c>
      <c r="Z101" s="2" t="str">
        <f>+$Z$6</f>
        <v>FY2013</v>
      </c>
      <c r="AA101" s="2" t="str">
        <f>+$AA$6</f>
        <v>FY2014</v>
      </c>
      <c r="AB101" s="2" t="str">
        <f>+$AB$6</f>
        <v>FY2015</v>
      </c>
      <c r="AC101" s="2" t="str">
        <f>+$AC$6</f>
        <v>FY2016</v>
      </c>
      <c r="AD101" s="2" t="str">
        <f>+$AD$6</f>
        <v>FY2017</v>
      </c>
      <c r="AE101" s="2" t="str">
        <f>+$AE$6</f>
        <v>FY2018</v>
      </c>
      <c r="AF101" s="2" t="str">
        <f>+AF$6</f>
        <v>FY2019</v>
      </c>
      <c r="AG101" s="2" t="str">
        <f t="shared" ref="AG101:AL101" si="102">+AG$6</f>
        <v>FY2020</v>
      </c>
      <c r="AH101" s="2" t="str">
        <f t="shared" si="102"/>
        <v>FY2021</v>
      </c>
      <c r="AI101" s="2" t="str">
        <f t="shared" si="102"/>
        <v>FY2022</v>
      </c>
      <c r="AJ101" s="2" t="str">
        <f t="shared" si="102"/>
        <v>FY2023</v>
      </c>
      <c r="AK101" s="2" t="str">
        <f t="shared" si="102"/>
        <v>FY2024</v>
      </c>
      <c r="AL101" s="2" t="str">
        <f t="shared" si="102"/>
        <v>FY2025</v>
      </c>
    </row>
    <row r="102" spans="1:38">
      <c r="AF102" s="1"/>
    </row>
    <row r="103" spans="1:38">
      <c r="A103" s="1" t="str">
        <f>+$A$8&amp;"08A-1"</f>
        <v>36008A-1</v>
      </c>
      <c r="B103" s="1" t="str">
        <f>+$B$8</f>
        <v>University of Washington</v>
      </c>
      <c r="C103"/>
      <c r="D103"/>
      <c r="E103"/>
      <c r="F103"/>
      <c r="G103"/>
      <c r="H103"/>
      <c r="I103"/>
      <c r="J103"/>
      <c r="K103"/>
      <c r="L103"/>
      <c r="M103"/>
      <c r="N103"/>
      <c r="O103"/>
      <c r="P103"/>
      <c r="Q103" s="3"/>
      <c r="R103" s="3"/>
      <c r="S103" s="3">
        <f>VLOOKUP($A103,OversightActuals!$A$17:J$58,COLUMN(OversightActuals!J:J),0)/1000</f>
        <v>3057</v>
      </c>
      <c r="T103" s="3">
        <f>VLOOKUP($A103,OversightActuals!$A$17:K$58,COLUMN(OversightActuals!K:K),0)/1000</f>
        <v>7691</v>
      </c>
      <c r="U103" s="3">
        <f>VLOOKUP($A103,OversightActuals!$A$17:L$58,COLUMN(OversightActuals!L:L),0)/1000</f>
        <v>15915.9776</v>
      </c>
      <c r="V103" s="3">
        <f>VLOOKUP($A103,OversightActuals!$A$17:M$58,COLUMN(OversightActuals!M:M),0)/1000</f>
        <v>27214.139950000001</v>
      </c>
      <c r="W103" s="3">
        <f>VLOOKUP($A103,OversightActuals!$A$17:N$58,COLUMN(OversightActuals!N:N),0)/1000</f>
        <v>26345</v>
      </c>
      <c r="X103" s="3">
        <f>VLOOKUP($A103,OversightActuals!$A$17:O$58,COLUMN(OversightActuals!O:O),0)/1000</f>
        <v>28188.991999999998</v>
      </c>
      <c r="Y103" s="3">
        <f>VLOOKUP($A103,OversightActuals!$A$17:P$58,COLUMN(OversightActuals!P:P),0)/1000</f>
        <v>10726</v>
      </c>
      <c r="Z103" s="3">
        <f>VLOOKUP($A103,OversightActuals!$A$17:Q$58,COLUMN(OversightActuals!Q:Q),0)/1000</f>
        <v>7853</v>
      </c>
      <c r="AA103" s="3">
        <f>VLOOKUP($A103,OversightActuals!$A$17:R$58,COLUMN(OversightActuals!R:R),0)/1000</f>
        <v>6999</v>
      </c>
      <c r="AB103" s="3">
        <f>VLOOKUP($A103,OversightActuals!$A$17:S$58,COLUMN(OversightActuals!S:S),0)/1000</f>
        <v>6999</v>
      </c>
      <c r="AC103" s="3">
        <f>VLOOKUP($A103,OversightActuals!$A$17:T$58,COLUMN(OversightActuals!T:T),0)/1000</f>
        <v>12999</v>
      </c>
      <c r="AD103" s="3">
        <f>VLOOKUP($A103,OversightActuals!$A$17:U$58,COLUMN(OversightActuals!U:U),0)/1000</f>
        <v>15089</v>
      </c>
      <c r="AE103" s="3">
        <f>VLOOKUP($A103,OversightActuals!$A$17:V$58,COLUMN(OversightActuals!V:V),0)/1000</f>
        <v>16079.220600000002</v>
      </c>
      <c r="AF103" s="3">
        <f>VLOOKUP($A103,OversightActuals!$A$17:W$58,COLUMN(OversightActuals!W:W),0)/1000</f>
        <v>16971.779399999999</v>
      </c>
      <c r="AG103" s="3">
        <f>VLOOKUP($A103,OversightActuals!$A$17:X$58,COLUMN(OversightActuals!X:X),0)/1000</f>
        <v>19441.440279999999</v>
      </c>
      <c r="AH103" s="3">
        <f>VLOOKUP($A103,OversightActuals!$A$17:Y$58,COLUMN(OversightActuals!Y:Y),0)/1000</f>
        <v>17153.559710000001</v>
      </c>
      <c r="AI103" s="3">
        <f>VLOOKUP($A103,OversightActuals!$A$17:Z$58,COLUMN(OversightActuals!Z:Z),0)/1000</f>
        <v>18355.091820000001</v>
      </c>
      <c r="AJ103" s="3">
        <f>VLOOKUP($A103,OversightActuals!$A$17:AA$58,COLUMN(OversightActuals!AA:AA),0)/1000</f>
        <v>18664.908119999996</v>
      </c>
      <c r="AK103" s="3">
        <f>VLOOKUP($A103,OversightActuals!$A$17:AB$58,COLUMN(OversightActuals!AB:AB),0)/1000</f>
        <v>23225.314300000002</v>
      </c>
      <c r="AL103" s="3">
        <f>VLOOKUP($A103,OversightBudgets!$A$17:$F$1064,COLUMN(E:E),0)/1000</f>
        <v>19850</v>
      </c>
    </row>
    <row r="104" spans="1:38">
      <c r="A104" s="1" t="str">
        <f>+$A$9&amp;"08A-1"</f>
        <v>36508A-1</v>
      </c>
      <c r="B104" s="1" t="str">
        <f>+$B$9</f>
        <v>Washington State University</v>
      </c>
      <c r="C104"/>
      <c r="D104"/>
      <c r="E104"/>
      <c r="F104"/>
      <c r="G104"/>
      <c r="H104"/>
      <c r="I104"/>
      <c r="J104"/>
      <c r="K104"/>
      <c r="L104"/>
      <c r="M104"/>
      <c r="N104"/>
      <c r="O104"/>
      <c r="P104"/>
      <c r="Q104" s="3"/>
      <c r="R104" s="3"/>
      <c r="S104" s="3">
        <f>VLOOKUP($A104,OversightActuals!$A$17:J$58,COLUMN(OversightActuals!J:J),0)/1000</f>
        <v>3248</v>
      </c>
      <c r="T104" s="3">
        <f>VLOOKUP($A104,OversightActuals!$A$17:K$58,COLUMN(OversightActuals!K:K),0)/1000</f>
        <v>7914</v>
      </c>
      <c r="U104" s="3">
        <f>VLOOKUP($A104,OversightActuals!$A$17:L$58,COLUMN(OversightActuals!L:L),0)/1000</f>
        <v>12491</v>
      </c>
      <c r="V104" s="3">
        <f>VLOOKUP($A104,OversightActuals!$A$17:M$58,COLUMN(OversightActuals!M:M),0)/1000</f>
        <v>21393</v>
      </c>
      <c r="W104" s="3">
        <f>VLOOKUP($A104,OversightActuals!$A$17:N$58,COLUMN(OversightActuals!N:N),0)/1000</f>
        <v>17699</v>
      </c>
      <c r="X104" s="3">
        <f>VLOOKUP($A104,OversightActuals!$A$17:O$58,COLUMN(OversightActuals!O:O),0)/1000</f>
        <v>16736</v>
      </c>
      <c r="Y104" s="3">
        <f>VLOOKUP($A104,OversightActuals!$A$17:P$58,COLUMN(OversightActuals!P:P),0)/1000</f>
        <v>16533</v>
      </c>
      <c r="Z104" s="3">
        <f>VLOOKUP($A104,OversightActuals!$A$17:Q$58,COLUMN(OversightActuals!Q:Q),0)/1000</f>
        <v>16532</v>
      </c>
      <c r="AA104" s="3">
        <f>VLOOKUP($A104,OversightActuals!$A$17:R$58,COLUMN(OversightActuals!R:R),0)/1000</f>
        <v>16998</v>
      </c>
      <c r="AB104" s="3">
        <f>VLOOKUP($A104,OversightActuals!$A$17:S$58,COLUMN(OversightActuals!S:S),0)/1000</f>
        <v>16997</v>
      </c>
      <c r="AC104" s="3">
        <f>VLOOKUP($A104,OversightActuals!$A$17:T$58,COLUMN(OversightActuals!T:T),0)/1000</f>
        <v>16998</v>
      </c>
      <c r="AD104" s="3">
        <f>VLOOKUP($A104,OversightActuals!$A$17:U$58,COLUMN(OversightActuals!U:U),0)/1000</f>
        <v>16997</v>
      </c>
      <c r="AE104" s="3">
        <f>VLOOKUP($A104,OversightActuals!$A$17:V$58,COLUMN(OversightActuals!V:V),0)/1000</f>
        <v>16998</v>
      </c>
      <c r="AF104" s="3">
        <f>VLOOKUP($A104,OversightActuals!$A$17:W$58,COLUMN(OversightActuals!W:W),0)/1000</f>
        <v>16997</v>
      </c>
      <c r="AG104" s="3">
        <f>VLOOKUP($A104,OversightActuals!$A$17:X$58,COLUMN(OversightActuals!X:X),0)/1000</f>
        <v>16998</v>
      </c>
      <c r="AH104" s="3">
        <f>VLOOKUP($A104,OversightActuals!$A$17:Y$58,COLUMN(OversightActuals!Y:Y),0)/1000</f>
        <v>16997</v>
      </c>
      <c r="AI104" s="3">
        <f>VLOOKUP($A104,OversightActuals!$A$17:Z$58,COLUMN(OversightActuals!Z:Z),0)/1000</f>
        <v>16998</v>
      </c>
      <c r="AJ104" s="3">
        <f>VLOOKUP($A104,OversightActuals!$A$17:AA$58,COLUMN(OversightActuals!AA:AA),0)/1000</f>
        <v>16997</v>
      </c>
      <c r="AK104" s="3">
        <f>VLOOKUP($A104,OversightActuals!$A$17:AB$58,COLUMN(OversightActuals!AB:AB),0)/1000</f>
        <v>16998</v>
      </c>
      <c r="AL104" s="3">
        <f>VLOOKUP($A104,OversightBudgets!$A$17:$F$1064,COLUMN(E:E),0)/1000</f>
        <v>16997</v>
      </c>
    </row>
    <row r="105" spans="1:38">
      <c r="A105" s="1" t="str">
        <f>+$A$10&amp;"08A-1"</f>
        <v>37008A-1</v>
      </c>
      <c r="B105" s="1" t="str">
        <f>+$B$10</f>
        <v>Eastern Washington University</v>
      </c>
      <c r="C105"/>
      <c r="D105"/>
      <c r="E105"/>
      <c r="F105"/>
      <c r="G105"/>
      <c r="H105"/>
      <c r="I105"/>
      <c r="J105"/>
      <c r="K105"/>
      <c r="L105"/>
      <c r="M105"/>
      <c r="N105"/>
      <c r="O105"/>
      <c r="P105"/>
      <c r="Q105" s="3"/>
      <c r="R105" s="3"/>
      <c r="S105" s="3">
        <f>VLOOKUP($A105,OversightActuals!$A$17:J$58,COLUMN(OversightActuals!J:J),0)/1000</f>
        <v>2147</v>
      </c>
      <c r="T105" s="3">
        <f>VLOOKUP($A105,OversightActuals!$A$17:K$58,COLUMN(OversightActuals!K:K),0)/1000</f>
        <v>4314</v>
      </c>
      <c r="U105" s="3">
        <f>VLOOKUP($A105,OversightActuals!$A$17:L$58,COLUMN(OversightActuals!L:L),0)/1000</f>
        <v>6707</v>
      </c>
      <c r="V105" s="3">
        <f>VLOOKUP($A105,OversightActuals!$A$17:M$58,COLUMN(OversightActuals!M:M),0)/1000</f>
        <v>8046</v>
      </c>
      <c r="W105" s="3">
        <f>VLOOKUP($A105,OversightActuals!$A$17:N$58,COLUMN(OversightActuals!N:N),0)/1000</f>
        <v>8046</v>
      </c>
      <c r="X105" s="3">
        <f>VLOOKUP($A105,OversightActuals!$A$17:O$58,COLUMN(OversightActuals!O:O),0)/1000</f>
        <v>7995</v>
      </c>
      <c r="Y105" s="3">
        <f>VLOOKUP($A105,OversightActuals!$A$17:P$58,COLUMN(OversightActuals!P:P),0)/1000</f>
        <v>8046</v>
      </c>
      <c r="Z105" s="3">
        <f>VLOOKUP($A105,OversightActuals!$A$17:Q$58,COLUMN(OversightActuals!Q:Q),0)/1000</f>
        <v>8041</v>
      </c>
      <c r="AA105" s="3">
        <f>VLOOKUP($A105,OversightActuals!$A$17:R$58,COLUMN(OversightActuals!R:R),0)/1000</f>
        <v>7790</v>
      </c>
      <c r="AB105" s="3">
        <f>VLOOKUP($A105,OversightActuals!$A$17:S$58,COLUMN(OversightActuals!S:S),0)/1000</f>
        <v>7151</v>
      </c>
      <c r="AC105" s="3">
        <f>VLOOKUP($A105,OversightActuals!$A$17:T$58,COLUMN(OversightActuals!T:T),0)/1000</f>
        <v>8304</v>
      </c>
      <c r="AD105" s="3">
        <f>VLOOKUP($A105,OversightActuals!$A$17:U$58,COLUMN(OversightActuals!U:U),0)/1000</f>
        <v>8414</v>
      </c>
      <c r="AE105" s="3">
        <f>VLOOKUP($A105,OversightActuals!$A$17:V$58,COLUMN(OversightActuals!V:V),0)/1000</f>
        <v>8304</v>
      </c>
      <c r="AF105" s="3">
        <f>VLOOKUP($A105,OversightActuals!$A$17:W$58,COLUMN(OversightActuals!W:W),0)/1000</f>
        <v>8294</v>
      </c>
      <c r="AG105" s="3">
        <f>VLOOKUP($A105,OversightActuals!$A$17:X$58,COLUMN(OversightActuals!X:X),0)/1000</f>
        <v>8380</v>
      </c>
      <c r="AH105" s="3">
        <f>VLOOKUP($A105,OversightActuals!$A$17:Y$58,COLUMN(OversightActuals!Y:Y),0)/1000</f>
        <v>8414</v>
      </c>
      <c r="AI105" s="3">
        <f>VLOOKUP($A105,OversightActuals!$A$17:Z$58,COLUMN(OversightActuals!Z:Z),0)/1000</f>
        <v>8424</v>
      </c>
      <c r="AJ105" s="3">
        <f>VLOOKUP($A105,OversightActuals!$A$17:AA$58,COLUMN(OversightActuals!AA:AA),0)/1000</f>
        <v>8414</v>
      </c>
      <c r="AK105" s="3">
        <f>VLOOKUP($A105,OversightActuals!$A$17:AB$58,COLUMN(OversightActuals!AB:AB),0)/1000</f>
        <v>8424</v>
      </c>
      <c r="AL105" s="3">
        <f>VLOOKUP($A105,OversightBudgets!$A$17:$F$1064,COLUMN(E:E),0)/1000</f>
        <v>8414</v>
      </c>
    </row>
    <row r="106" spans="1:38">
      <c r="A106" s="1" t="str">
        <f>+$A$11&amp;"08A-1"</f>
        <v>37508A-1</v>
      </c>
      <c r="B106" s="1" t="str">
        <f>+$B$11</f>
        <v>Central Washington University</v>
      </c>
      <c r="C106"/>
      <c r="D106"/>
      <c r="E106"/>
      <c r="F106"/>
      <c r="G106"/>
      <c r="H106"/>
      <c r="I106"/>
      <c r="J106"/>
      <c r="K106"/>
      <c r="L106"/>
      <c r="M106"/>
      <c r="N106"/>
      <c r="O106"/>
      <c r="P106"/>
      <c r="Q106" s="3"/>
      <c r="R106" s="3"/>
      <c r="S106" s="3">
        <f>VLOOKUP($A106,OversightActuals!$A$17:J$58,COLUMN(OversightActuals!J:J),0)/1000</f>
        <v>2147</v>
      </c>
      <c r="T106" s="3">
        <f>VLOOKUP($A106,OversightActuals!$A$17:K$58,COLUMN(OversightActuals!K:K),0)/1000</f>
        <v>4314</v>
      </c>
      <c r="U106" s="3">
        <f>VLOOKUP($A106,OversightActuals!$A$17:L$58,COLUMN(OversightActuals!L:L),0)/1000</f>
        <v>6681</v>
      </c>
      <c r="V106" s="3">
        <f>VLOOKUP($A106,OversightActuals!$A$17:M$58,COLUMN(OversightActuals!M:M),0)/1000</f>
        <v>9538</v>
      </c>
      <c r="W106" s="3">
        <f>VLOOKUP($A106,OversightActuals!$A$17:N$58,COLUMN(OversightActuals!N:N),0)/1000</f>
        <v>9538</v>
      </c>
      <c r="X106" s="3">
        <f>VLOOKUP($A106,OversightActuals!$A$17:O$58,COLUMN(OversightActuals!O:O),0)/1000</f>
        <v>9474</v>
      </c>
      <c r="Y106" s="3">
        <f>VLOOKUP($A106,OversightActuals!$A$17:P$58,COLUMN(OversightActuals!P:P),0)/1000</f>
        <v>9538</v>
      </c>
      <c r="Z106" s="3">
        <f>VLOOKUP($A106,OversightActuals!$A$17:Q$58,COLUMN(OversightActuals!Q:Q),0)/1000</f>
        <v>9538</v>
      </c>
      <c r="AA106" s="3">
        <f>VLOOKUP($A106,OversightActuals!$A$17:R$58,COLUMN(OversightActuals!R:R),0)/1000</f>
        <v>9538</v>
      </c>
      <c r="AB106" s="3">
        <f>VLOOKUP($A106,OversightActuals!$A$17:S$58,COLUMN(OversightActuals!S:S),0)/1000</f>
        <v>9538</v>
      </c>
      <c r="AC106" s="3">
        <f>VLOOKUP($A106,OversightActuals!$A$17:T$58,COLUMN(OversightActuals!T:T),0)/1000</f>
        <v>9538</v>
      </c>
      <c r="AD106" s="3">
        <f>VLOOKUP($A106,OversightActuals!$A$17:U$58,COLUMN(OversightActuals!U:U),0)/1000</f>
        <v>9602</v>
      </c>
      <c r="AE106" s="3">
        <f>VLOOKUP($A106,OversightActuals!$A$17:V$58,COLUMN(OversightActuals!V:V),0)/1000</f>
        <v>9538</v>
      </c>
      <c r="AF106" s="3">
        <f>VLOOKUP($A106,OversightActuals!$A$17:W$58,COLUMN(OversightActuals!W:W),0)/1000</f>
        <v>9538</v>
      </c>
      <c r="AG106" s="3">
        <f>VLOOKUP($A106,OversightActuals!$A$17:X$58,COLUMN(OversightActuals!X:X),0)/1000</f>
        <v>9538</v>
      </c>
      <c r="AH106" s="3">
        <f>VLOOKUP($A106,OversightActuals!$A$17:Y$58,COLUMN(OversightActuals!Y:Y),0)/1000</f>
        <v>9538</v>
      </c>
      <c r="AI106" s="3">
        <f>VLOOKUP($A106,OversightActuals!$A$17:Z$58,COLUMN(OversightActuals!Z:Z),0)/1000</f>
        <v>9538</v>
      </c>
      <c r="AJ106" s="3">
        <f>VLOOKUP($A106,OversightActuals!$A$17:AA$58,COLUMN(OversightActuals!AA:AA),0)/1000</f>
        <v>9538</v>
      </c>
      <c r="AK106" s="3">
        <f>VLOOKUP($A106,OversightActuals!$A$17:AB$58,COLUMN(OversightActuals!AB:AB),0)/1000</f>
        <v>9538</v>
      </c>
      <c r="AL106" s="3">
        <f>VLOOKUP($A106,OversightBudgets!$A$17:$F$1064,COLUMN(E:E),0)/1000</f>
        <v>9538</v>
      </c>
    </row>
    <row r="107" spans="1:38">
      <c r="A107" s="1" t="str">
        <f>+$A$12&amp;"08A-1"</f>
        <v>37608A-1</v>
      </c>
      <c r="B107" s="1" t="str">
        <f>+$B$12</f>
        <v>The Evergreen State College</v>
      </c>
      <c r="C107"/>
      <c r="D107"/>
      <c r="E107"/>
      <c r="F107"/>
      <c r="G107"/>
      <c r="H107"/>
      <c r="I107"/>
      <c r="J107"/>
      <c r="K107"/>
      <c r="L107"/>
      <c r="M107"/>
      <c r="N107"/>
      <c r="O107"/>
      <c r="P107"/>
      <c r="Q107" s="3"/>
      <c r="R107" s="3"/>
      <c r="S107" s="3">
        <f>VLOOKUP($A107,OversightActuals!$A$17:J$58,COLUMN(OversightActuals!J:J),0)/1000</f>
        <v>705</v>
      </c>
      <c r="T107" s="3">
        <f>VLOOKUP($A107,OversightActuals!$A$17:K$58,COLUMN(OversightActuals!K:K),0)/1000</f>
        <v>1411</v>
      </c>
      <c r="U107" s="3">
        <f>VLOOKUP($A107,OversightActuals!$A$17:L$58,COLUMN(OversightActuals!L:L),0)/1000</f>
        <v>2033</v>
      </c>
      <c r="V107" s="3">
        <f>VLOOKUP($A107,OversightActuals!$A$17:M$58,COLUMN(OversightActuals!M:M),0)/1000</f>
        <v>2692</v>
      </c>
      <c r="W107" s="3">
        <f>VLOOKUP($A107,OversightActuals!$A$17:N$58,COLUMN(OversightActuals!N:N),0)/1000</f>
        <v>2725</v>
      </c>
      <c r="X107" s="3">
        <f>VLOOKUP($A107,OversightActuals!$A$17:O$58,COLUMN(OversightActuals!O:O),0)/1000</f>
        <v>2692</v>
      </c>
      <c r="Y107" s="3">
        <f>VLOOKUP($A107,OversightActuals!$A$17:P$58,COLUMN(OversightActuals!P:P),0)/1000</f>
        <v>2725</v>
      </c>
      <c r="Z107" s="3">
        <f>VLOOKUP($A107,OversightActuals!$A$17:Q$58,COLUMN(OversightActuals!Q:Q),0)/1000</f>
        <v>2725</v>
      </c>
      <c r="AA107" s="3">
        <f>VLOOKUP($A107,OversightActuals!$A$17:R$58,COLUMN(OversightActuals!R:R),0)/1000</f>
        <v>2725</v>
      </c>
      <c r="AB107" s="3">
        <f>VLOOKUP($A107,OversightActuals!$A$17:S$58,COLUMN(OversightActuals!S:S),0)/1000</f>
        <v>2725</v>
      </c>
      <c r="AC107" s="3">
        <f>VLOOKUP($A107,OversightActuals!$A$17:T$58,COLUMN(OversightActuals!T:T),0)/1000</f>
        <v>2725</v>
      </c>
      <c r="AD107" s="3">
        <f>VLOOKUP($A107,OversightActuals!$A$17:U$58,COLUMN(OversightActuals!U:U),0)/1000</f>
        <v>2768</v>
      </c>
      <c r="AE107" s="3">
        <f>VLOOKUP($A107,OversightActuals!$A$17:V$58,COLUMN(OversightActuals!V:V),0)/1000</f>
        <v>2725</v>
      </c>
      <c r="AF107" s="3">
        <f>VLOOKUP($A107,OversightActuals!$A$17:W$58,COLUMN(OversightActuals!W:W),0)/1000</f>
        <v>2725</v>
      </c>
      <c r="AG107" s="3">
        <f>VLOOKUP($A107,OversightActuals!$A$17:X$58,COLUMN(OversightActuals!X:X),0)/1000</f>
        <v>2725</v>
      </c>
      <c r="AH107" s="3">
        <f>VLOOKUP($A107,OversightActuals!$A$17:Y$58,COLUMN(OversightActuals!Y:Y),0)/1000</f>
        <v>2725</v>
      </c>
      <c r="AI107" s="3">
        <f>VLOOKUP($A107,OversightActuals!$A$17:Z$58,COLUMN(OversightActuals!Z:Z),0)/1000</f>
        <v>2725</v>
      </c>
      <c r="AJ107" s="3">
        <f>VLOOKUP($A107,OversightActuals!$A$17:AA$58,COLUMN(OversightActuals!AA:AA),0)/1000</f>
        <v>2725</v>
      </c>
      <c r="AK107" s="3">
        <f>VLOOKUP($A107,OversightActuals!$A$17:AB$58,COLUMN(OversightActuals!AB:AB),0)/1000</f>
        <v>2725</v>
      </c>
      <c r="AL107" s="3">
        <f>VLOOKUP($A107,OversightBudgets!$A$17:$F$1064,COLUMN(E:E),0)/1000</f>
        <v>2725</v>
      </c>
    </row>
    <row r="108" spans="1:38">
      <c r="A108" s="1" t="str">
        <f>+$A$13&amp;"08A-1"</f>
        <v>38008A-1</v>
      </c>
      <c r="B108" s="1" t="str">
        <f>+$B$13</f>
        <v>Western Washington University</v>
      </c>
      <c r="C108" s="41"/>
      <c r="D108" s="41"/>
      <c r="E108" s="41"/>
      <c r="F108" s="41"/>
      <c r="G108" s="41"/>
      <c r="H108" s="41"/>
      <c r="I108" s="41"/>
      <c r="J108" s="41"/>
      <c r="K108" s="41"/>
      <c r="L108" s="41"/>
      <c r="M108" s="41"/>
      <c r="N108" s="41"/>
      <c r="O108" s="41"/>
      <c r="P108" s="41"/>
      <c r="Q108" s="41"/>
      <c r="R108" s="41"/>
      <c r="S108" s="3">
        <f>VLOOKUP($A108,OversightActuals!$A$17:J$58,COLUMN(OversightActuals!J:J),0)/1000</f>
        <v>1158</v>
      </c>
      <c r="T108" s="3">
        <f>VLOOKUP($A108,OversightActuals!$A$17:K$58,COLUMN(OversightActuals!K:K),0)/1000</f>
        <v>2317</v>
      </c>
      <c r="U108" s="3">
        <f>VLOOKUP($A108,OversightActuals!$A$17:L$58,COLUMN(OversightActuals!L:L),0)/1000</f>
        <v>5110</v>
      </c>
      <c r="V108" s="3">
        <f>VLOOKUP($A108,OversightActuals!$A$17:M$58,COLUMN(OversightActuals!M:M),0)/1000</f>
        <v>6735</v>
      </c>
      <c r="W108" s="3">
        <f>VLOOKUP($A108,OversightActuals!$A$17:N$58,COLUMN(OversightActuals!N:N),0)/1000</f>
        <v>6518</v>
      </c>
      <c r="X108" s="3">
        <f>VLOOKUP($A108,OversightActuals!$A$17:O$58,COLUMN(OversightActuals!O:O),0)/1000</f>
        <v>6398.4896600000002</v>
      </c>
      <c r="Y108" s="3">
        <f>VLOOKUP($A108,OversightActuals!$A$17:P$58,COLUMN(OversightActuals!P:P),0)/1000</f>
        <v>6647</v>
      </c>
      <c r="Z108" s="3">
        <f>VLOOKUP($A108,OversightActuals!$A$17:Q$58,COLUMN(OversightActuals!Q:Q),0)/1000</f>
        <v>6557</v>
      </c>
      <c r="AA108" s="3">
        <f>VLOOKUP($A108,OversightActuals!$A$17:R$58,COLUMN(OversightActuals!R:R),0)/1000</f>
        <v>7891.28298</v>
      </c>
      <c r="AB108" s="3">
        <f>VLOOKUP($A108,OversightActuals!$A$17:S$58,COLUMN(OversightActuals!S:S),0)/1000</f>
        <v>5003.7168100000008</v>
      </c>
      <c r="AC108" s="3">
        <f>VLOOKUP($A108,OversightActuals!$A$17:T$58,COLUMN(OversightActuals!T:T),0)/1000</f>
        <v>6803</v>
      </c>
      <c r="AD108" s="3">
        <f>VLOOKUP($A108,OversightActuals!$A$17:U$58,COLUMN(OversightActuals!U:U),0)/1000</f>
        <v>6934</v>
      </c>
      <c r="AE108" s="3">
        <f>VLOOKUP($A108,OversightActuals!$A$17:V$58,COLUMN(OversightActuals!V:V),0)/1000</f>
        <v>6919</v>
      </c>
      <c r="AF108" s="3">
        <f>VLOOKUP($A108,OversightActuals!$A$17:W$58,COLUMN(OversightActuals!W:W),0)/1000</f>
        <v>6912</v>
      </c>
      <c r="AG108" s="3">
        <f>VLOOKUP($A108,OversightActuals!$A$17:X$58,COLUMN(OversightActuals!X:X),0)/1000</f>
        <v>6915.5</v>
      </c>
      <c r="AH108" s="3">
        <f>VLOOKUP($A108,OversightActuals!$A$17:Y$58,COLUMN(OversightActuals!Y:Y),0)/1000</f>
        <v>6915.5</v>
      </c>
      <c r="AI108" s="3">
        <f>VLOOKUP($A108,OversightActuals!$A$17:Z$58,COLUMN(OversightActuals!Z:Z),0)/1000</f>
        <v>6919</v>
      </c>
      <c r="AJ108" s="3">
        <f>VLOOKUP($A108,OversightActuals!$A$17:AA$58,COLUMN(OversightActuals!AA:AA),0)/1000</f>
        <v>6912</v>
      </c>
      <c r="AK108" s="3">
        <f>VLOOKUP($A108,OversightActuals!$A$17:AB$58,COLUMN(OversightActuals!AB:AB),0)/1000</f>
        <v>6919</v>
      </c>
      <c r="AL108" s="3">
        <f>VLOOKUP($A108,OversightBudgets!$A$17:$F$1064,COLUMN(E:E),0)/1000</f>
        <v>6912</v>
      </c>
    </row>
    <row r="109" spans="1:38">
      <c r="B109" s="199" t="str">
        <f>+$B$14</f>
        <v>Total Four-Year Institutions</v>
      </c>
      <c r="C109" s="42"/>
      <c r="D109" s="42"/>
      <c r="E109" s="42"/>
      <c r="F109" s="42"/>
      <c r="G109" s="42"/>
      <c r="H109" s="42"/>
      <c r="I109" s="42"/>
      <c r="J109" s="42"/>
      <c r="K109" s="42"/>
      <c r="L109" s="42"/>
      <c r="M109" s="42"/>
      <c r="N109" s="42"/>
      <c r="O109" s="42"/>
      <c r="P109" s="42"/>
      <c r="Q109" s="42"/>
      <c r="R109" s="42"/>
      <c r="S109" s="42">
        <f t="shared" ref="S109:AE109" si="103">SUM(S103:S108)</f>
        <v>12462</v>
      </c>
      <c r="T109" s="42">
        <f t="shared" si="103"/>
        <v>27961</v>
      </c>
      <c r="U109" s="42">
        <f t="shared" si="103"/>
        <v>48937.977599999998</v>
      </c>
      <c r="V109" s="42">
        <f t="shared" si="103"/>
        <v>75618.139949999997</v>
      </c>
      <c r="W109" s="42">
        <f t="shared" si="103"/>
        <v>70871</v>
      </c>
      <c r="X109" s="42">
        <f t="shared" si="103"/>
        <v>71484.481660000005</v>
      </c>
      <c r="Y109" s="42">
        <f t="shared" si="103"/>
        <v>54215</v>
      </c>
      <c r="Z109" s="42">
        <f t="shared" si="103"/>
        <v>51246</v>
      </c>
      <c r="AA109" s="42">
        <f t="shared" si="103"/>
        <v>51941.282980000004</v>
      </c>
      <c r="AB109" s="42">
        <f t="shared" si="103"/>
        <v>48413.716809999998</v>
      </c>
      <c r="AC109" s="42">
        <f t="shared" si="103"/>
        <v>57367</v>
      </c>
      <c r="AD109" s="42">
        <f t="shared" si="103"/>
        <v>59804</v>
      </c>
      <c r="AE109" s="42">
        <f t="shared" si="103"/>
        <v>60563.220600000001</v>
      </c>
      <c r="AF109" s="42">
        <f t="shared" ref="AF109:AL109" si="104">SUM(AF103:AF108)</f>
        <v>61437.779399999999</v>
      </c>
      <c r="AG109" s="42">
        <f t="shared" si="104"/>
        <v>63997.940279999995</v>
      </c>
      <c r="AH109" s="42">
        <f t="shared" si="104"/>
        <v>61743.059710000001</v>
      </c>
      <c r="AI109" s="42">
        <f t="shared" si="104"/>
        <v>62959.091820000001</v>
      </c>
      <c r="AJ109" s="42">
        <f t="shared" si="104"/>
        <v>63250.908119999993</v>
      </c>
      <c r="AK109" s="42">
        <f t="shared" ref="AK109" si="105">SUM(AK103:AK108)</f>
        <v>67829.314299999998</v>
      </c>
      <c r="AL109" s="42">
        <f t="shared" si="104"/>
        <v>64436</v>
      </c>
    </row>
    <row r="110" spans="1:38">
      <c r="C110"/>
      <c r="D110"/>
      <c r="E110"/>
      <c r="F110"/>
      <c r="G110"/>
      <c r="H110"/>
      <c r="I110"/>
      <c r="J110"/>
      <c r="K110"/>
      <c r="L110"/>
      <c r="M110"/>
      <c r="N110"/>
      <c r="O110"/>
      <c r="P110"/>
      <c r="Q110" s="3"/>
      <c r="R110" s="3"/>
      <c r="AF110" s="1"/>
    </row>
    <row r="111" spans="1:38">
      <c r="A111" s="1" t="str">
        <f>+$A$16&amp;"08A-1"</f>
        <v>69908A-1</v>
      </c>
      <c r="B111" s="1" t="str">
        <f>+$B$16</f>
        <v>Community/Technical College System</v>
      </c>
      <c r="C111"/>
      <c r="D111"/>
      <c r="E111"/>
      <c r="F111"/>
      <c r="G111"/>
      <c r="H111"/>
      <c r="I111"/>
      <c r="J111"/>
      <c r="K111"/>
      <c r="L111"/>
      <c r="M111"/>
      <c r="N111"/>
      <c r="O111"/>
      <c r="P111"/>
      <c r="Q111" s="3"/>
      <c r="R111" s="3"/>
      <c r="S111" s="3">
        <f>VLOOKUP($A111,OversightActuals!$A$17:J$58,COLUMN(OversightActuals!J:J),0)/1000</f>
        <v>17570</v>
      </c>
      <c r="T111" s="3">
        <f>VLOOKUP($A111,OversightActuals!$A$17:K$58,COLUMN(OversightActuals!K:K),0)/1000</f>
        <v>27800.375629999999</v>
      </c>
      <c r="U111" s="3">
        <f>VLOOKUP($A111,OversightActuals!$A$17:L$58,COLUMN(OversightActuals!L:L),0)/1000</f>
        <v>55728.38985</v>
      </c>
      <c r="V111" s="3">
        <f>VLOOKUP($A111,OversightActuals!$A$17:M$58,COLUMN(OversightActuals!M:M),0)/1000</f>
        <v>48343.623540000001</v>
      </c>
      <c r="W111" s="3">
        <f>VLOOKUP($A111,OversightActuals!$A$17:N$58,COLUMN(OversightActuals!N:N),0)/1000</f>
        <v>47501.390679999997</v>
      </c>
      <c r="X111" s="3">
        <f>VLOOKUP($A111,OversightActuals!$A$17:O$58,COLUMN(OversightActuals!O:O),0)/1000</f>
        <v>47465.505699999994</v>
      </c>
      <c r="Y111" s="3">
        <f>VLOOKUP($A111,OversightActuals!$A$17:P$58,COLUMN(OversightActuals!P:P),0)/1000</f>
        <v>47317.354159999995</v>
      </c>
      <c r="Z111" s="3">
        <f>VLOOKUP($A111,OversightActuals!$A$17:Q$58,COLUMN(OversightActuals!Q:Q),0)/1000</f>
        <v>47767.247210000001</v>
      </c>
      <c r="AA111" s="3">
        <f>VLOOKUP($A111,OversightActuals!$A$17:R$58,COLUMN(OversightActuals!R:R),0)/1000</f>
        <v>46759.085699999996</v>
      </c>
      <c r="AB111" s="3">
        <f>VLOOKUP($A111,OversightActuals!$A$17:S$58,COLUMN(OversightActuals!S:S),0)/1000</f>
        <v>47358.037659999995</v>
      </c>
      <c r="AC111" s="3">
        <f>VLOOKUP($A111,OversightActuals!$A$17:T$58,COLUMN(OversightActuals!T:T),0)/1000</f>
        <v>47152.669969999995</v>
      </c>
      <c r="AD111" s="3">
        <f>VLOOKUP($A111,OversightActuals!$A$17:U$58,COLUMN(OversightActuals!U:U),0)/1000</f>
        <v>48684.470470000007</v>
      </c>
      <c r="AE111" s="3">
        <f>VLOOKUP($A111,OversightActuals!$A$17:V$58,COLUMN(OversightActuals!V:V),0)/1000</f>
        <v>59388.840400000008</v>
      </c>
      <c r="AF111" s="3">
        <f>VLOOKUP($A111,OversightActuals!$A$17:W$58,COLUMN(OversightActuals!W:W),0)/1000</f>
        <v>74838.840219999998</v>
      </c>
      <c r="AG111" s="3">
        <f>VLOOKUP($A111,OversightActuals!$A$17:X$58,COLUMN(OversightActuals!X:X),0)/1000</f>
        <v>77719.616309999998</v>
      </c>
      <c r="AH111" s="3">
        <f>VLOOKUP($A111,OversightActuals!$A$17:Y$58,COLUMN(OversightActuals!Y:Y),0)/1000</f>
        <v>78537.263310000009</v>
      </c>
      <c r="AI111" s="3">
        <f>VLOOKUP($A111,OversightActuals!$A$17:Z$58,COLUMN(OversightActuals!Z:Z),0)/1000</f>
        <v>76486.242840000006</v>
      </c>
      <c r="AJ111" s="3">
        <f>VLOOKUP($A111,OversightActuals!$A$17:AA$58,COLUMN(OversightActuals!AA:AA),0)/1000</f>
        <v>81587.149059999996</v>
      </c>
      <c r="AK111" s="3">
        <f>VLOOKUP($A111,OversightActuals!$A$17:AB$58,COLUMN(OversightActuals!AB:AB),0)/1000</f>
        <v>80080.370609999998</v>
      </c>
      <c r="AL111" s="3">
        <f>VLOOKUP($A111,OversightBudgets!$A$17:$F$1064,COLUMN(E:E),0)/1000</f>
        <v>82430</v>
      </c>
    </row>
    <row r="112" spans="1:38">
      <c r="A112" s="1" t="str">
        <f>+$A$17&amp;"08A-1"</f>
        <v>34008A-1</v>
      </c>
      <c r="B112" s="1" t="str">
        <f>+$B$17</f>
        <v>HEC Board, CHE, SFA, &amp; SAC (1)</v>
      </c>
      <c r="C112"/>
      <c r="D112"/>
      <c r="E112"/>
      <c r="F112"/>
      <c r="G112"/>
      <c r="H112"/>
      <c r="I112"/>
      <c r="J112"/>
      <c r="K112"/>
      <c r="L112"/>
      <c r="M112"/>
      <c r="N112"/>
      <c r="O112"/>
      <c r="P112"/>
      <c r="Q112" s="3"/>
      <c r="R112" s="3"/>
      <c r="S112" s="3">
        <f>VLOOKUP("34308A-1",OversightActuals!$A$17:J$58,COLUMN(OversightActuals!J:J),0)/1000</f>
        <v>29263</v>
      </c>
      <c r="T112" s="3">
        <f>VLOOKUP("34308A-1",OversightActuals!$A$17:K$58,COLUMN(OversightActuals!K:K),0)/1000</f>
        <v>33647</v>
      </c>
      <c r="U112" s="3">
        <f>VLOOKUP("34308A-1",OversightActuals!$A$17:L$58,COLUMN(OversightActuals!L:L),0)/1000</f>
        <v>63573.289929999999</v>
      </c>
      <c r="V112" s="3">
        <f>VLOOKUP("34308A-1",OversightActuals!$A$17:M$58,COLUMN(OversightActuals!M:M),0)/1000</f>
        <v>43008.085319999998</v>
      </c>
      <c r="W112" s="3">
        <f>VLOOKUP("34308A-1",OversightActuals!$A$17:N$58,COLUMN(OversightActuals!N:N),0)/1000</f>
        <v>59984.612070000003</v>
      </c>
      <c r="X112" s="3">
        <f>VLOOKUP("34308A-1",OversightActuals!$A$17:O$58,COLUMN(OversightActuals!O:O),0)/1000</f>
        <v>-29913.94846</v>
      </c>
      <c r="Y112" s="3">
        <f>VLOOKUP("34308A-1",OversightActuals!$A$17:P$58,COLUMN(OversightActuals!P:P),0)/1000</f>
        <v>0</v>
      </c>
      <c r="Z112" s="3">
        <f>VLOOKUP($A112,OversightActuals!$A$17:Q$58,COLUMN(OversightActuals!Q:Q),0)/1000</f>
        <v>0</v>
      </c>
      <c r="AA112" s="3">
        <f>VLOOKUP($A112,OversightActuals!$A$17:R$58,COLUMN(OversightActuals!R:R),0)/1000</f>
        <v>51784.3505</v>
      </c>
      <c r="AB112" s="3">
        <f>VLOOKUP($A112,OversightActuals!$A$17:S$58,COLUMN(OversightActuals!S:S),0)/1000</f>
        <v>26775.649499999996</v>
      </c>
      <c r="AC112" s="3">
        <f>VLOOKUP($A112,OversightActuals!$A$17:T$58,COLUMN(OversightActuals!T:T),0)/1000</f>
        <v>2057.5247700000004</v>
      </c>
      <c r="AD112" s="3">
        <f>VLOOKUP($A112,OversightActuals!$A$17:U$58,COLUMN(OversightActuals!U:U),0)/1000</f>
        <v>38613.475229999996</v>
      </c>
      <c r="AE112" s="3">
        <f>VLOOKUP($A112,OversightActuals!$A$17:V$58,COLUMN(OversightActuals!V:V),0)/1000</f>
        <v>52731</v>
      </c>
      <c r="AF112" s="3">
        <f>VLOOKUP($A112,OversightActuals!$A$17:W$58,COLUMN(OversightActuals!W:W),0)/1000</f>
        <v>51560</v>
      </c>
      <c r="AG112" s="3">
        <f>VLOOKUP($A112,OversightActuals!$A$17:X$58,COLUMN(OversightActuals!X:X),0)/1000</f>
        <v>52600.15552</v>
      </c>
      <c r="AH112" s="3">
        <f>VLOOKUP($A112,OversightActuals!$A$17:Y$58,COLUMN(OversightActuals!Y:Y),0)/1000</f>
        <v>40887.84448</v>
      </c>
      <c r="AI112" s="3">
        <f>VLOOKUP($A112,OversightActuals!$A$17:Z$58,COLUMN(OversightActuals!Z:Z),0)/1000</f>
        <v>42828</v>
      </c>
      <c r="AJ112" s="3">
        <f>VLOOKUP($A112,OversightActuals!$A$17:AA$58,COLUMN(OversightActuals!AA:AA),0)/1000</f>
        <v>42660</v>
      </c>
      <c r="AK112" s="3">
        <f>VLOOKUP($A112,OversightActuals!$A$17:AB$58,COLUMN(OversightActuals!AB:AB),0)/1000</f>
        <v>42916.748</v>
      </c>
      <c r="AL112" s="3">
        <f>VLOOKUP($A112,OversightBudgets!$A$17:$F$1064,COLUMN(E:E),0)/1000</f>
        <v>42660</v>
      </c>
    </row>
    <row r="113" spans="1:38" ht="13.5" thickBot="1">
      <c r="C113"/>
      <c r="D113"/>
      <c r="E113"/>
      <c r="F113"/>
      <c r="G113"/>
      <c r="H113"/>
      <c r="I113"/>
      <c r="J113"/>
      <c r="K113"/>
      <c r="L113"/>
      <c r="M113"/>
      <c r="N113"/>
      <c r="O113"/>
      <c r="P113"/>
      <c r="S113" s="3"/>
      <c r="T113" s="3"/>
      <c r="U113" s="3"/>
      <c r="V113" s="3"/>
      <c r="W113" s="3"/>
      <c r="X113" s="3"/>
      <c r="Y113" s="3"/>
      <c r="Z113" s="3"/>
      <c r="AA113" s="3"/>
      <c r="AB113" s="3"/>
      <c r="AC113" s="3"/>
      <c r="AD113" s="3"/>
      <c r="AF113" s="1"/>
    </row>
    <row r="114" spans="1:38" ht="13.5" thickTop="1">
      <c r="B114" s="1" t="str">
        <f>+$B$19</f>
        <v>Total Higher Education</v>
      </c>
      <c r="C114" s="38"/>
      <c r="D114" s="38"/>
      <c r="E114" s="38"/>
      <c r="F114" s="38"/>
      <c r="G114" s="38"/>
      <c r="H114" s="38"/>
      <c r="I114" s="38"/>
      <c r="J114" s="38"/>
      <c r="K114" s="38"/>
      <c r="L114" s="38"/>
      <c r="M114" s="38"/>
      <c r="N114" s="38"/>
      <c r="O114" s="38"/>
      <c r="P114" s="38"/>
      <c r="Q114" s="39"/>
      <c r="R114" s="39"/>
      <c r="S114" s="39">
        <f>+S111+S109+S112</f>
        <v>59295</v>
      </c>
      <c r="T114" s="39">
        <f t="shared" ref="T114:Z114" si="106">+T111+T109+T112</f>
        <v>89408.375629999995</v>
      </c>
      <c r="U114" s="39">
        <f t="shared" si="106"/>
        <v>168239.65737999999</v>
      </c>
      <c r="V114" s="39">
        <f t="shared" si="106"/>
        <v>166969.84881</v>
      </c>
      <c r="W114" s="39">
        <f t="shared" si="106"/>
        <v>178357.00274999999</v>
      </c>
      <c r="X114" s="39">
        <f t="shared" si="106"/>
        <v>89036.0389</v>
      </c>
      <c r="Y114" s="39">
        <f t="shared" si="106"/>
        <v>101532.35415999999</v>
      </c>
      <c r="Z114" s="39">
        <f t="shared" si="106"/>
        <v>99013.247210000001</v>
      </c>
      <c r="AA114" s="39">
        <f>+AA111+AA109+AA112</f>
        <v>150484.71918000001</v>
      </c>
      <c r="AB114" s="39">
        <f t="shared" ref="AB114:AL114" si="107">+AB111+AB109+AB112</f>
        <v>122547.40396999998</v>
      </c>
      <c r="AC114" s="39">
        <f t="shared" si="107"/>
        <v>106577.19473999999</v>
      </c>
      <c r="AD114" s="39">
        <f t="shared" si="107"/>
        <v>147101.94569999998</v>
      </c>
      <c r="AE114" s="39">
        <f t="shared" si="107"/>
        <v>172683.06100000002</v>
      </c>
      <c r="AF114" s="39">
        <f t="shared" si="107"/>
        <v>187836.61962000001</v>
      </c>
      <c r="AG114" s="39">
        <f t="shared" si="107"/>
        <v>194317.71210999999</v>
      </c>
      <c r="AH114" s="39">
        <f t="shared" ref="AH114:AK114" si="108">+AH111+AH109+AH112</f>
        <v>181168.16750000001</v>
      </c>
      <c r="AI114" s="39">
        <f t="shared" si="108"/>
        <v>182273.33465999999</v>
      </c>
      <c r="AJ114" s="39">
        <f t="shared" ref="AJ114:AK114" si="109">+AJ111+AJ109+AJ112</f>
        <v>187498.05718</v>
      </c>
      <c r="AK114" s="39">
        <f t="shared" si="109"/>
        <v>190826.43291</v>
      </c>
      <c r="AL114" s="39">
        <f t="shared" si="107"/>
        <v>189526</v>
      </c>
    </row>
    <row r="115" spans="1:38">
      <c r="B115" s="199" t="str">
        <f>+$B$20</f>
        <v>[biennial]</v>
      </c>
      <c r="C115"/>
      <c r="D115"/>
      <c r="E115"/>
      <c r="F115"/>
      <c r="G115"/>
      <c r="H115"/>
      <c r="I115"/>
      <c r="J115"/>
      <c r="K115"/>
      <c r="L115"/>
      <c r="M115"/>
      <c r="N115"/>
      <c r="O115"/>
      <c r="P115"/>
      <c r="R115" s="3"/>
      <c r="T115" s="3">
        <f>+T114+S114</f>
        <v>148703.37562999999</v>
      </c>
      <c r="U115" s="3"/>
      <c r="V115" s="3">
        <f>+V114+U114</f>
        <v>335209.50618999999</v>
      </c>
      <c r="W115" s="3"/>
      <c r="X115" s="3">
        <f>+X114+W114</f>
        <v>267393.04164999997</v>
      </c>
      <c r="Y115" s="3"/>
      <c r="Z115" s="3">
        <f>+Z114+Y114</f>
        <v>200545.60136999999</v>
      </c>
      <c r="AA115" s="3"/>
      <c r="AB115" s="3">
        <f>+AB114+AA114</f>
        <v>273032.12315</v>
      </c>
      <c r="AC115" s="3"/>
      <c r="AD115" s="3">
        <f>+AD114+AC114</f>
        <v>253679.14043999999</v>
      </c>
      <c r="AE115" s="3"/>
      <c r="AF115" s="3">
        <f>+AF114+AE114</f>
        <v>360519.68062</v>
      </c>
      <c r="AG115" s="3"/>
      <c r="AH115" s="3">
        <f>+AH114+AG114</f>
        <v>375485.87961</v>
      </c>
      <c r="AI115" s="3"/>
      <c r="AJ115" s="3">
        <f>+AJ114+AI114</f>
        <v>369771.39184</v>
      </c>
      <c r="AK115" s="3"/>
      <c r="AL115" s="3">
        <f>+AL114+AK114</f>
        <v>380352.43290999997</v>
      </c>
    </row>
    <row r="116" spans="1:38" ht="13.5">
      <c r="C116"/>
      <c r="D116"/>
      <c r="E116"/>
      <c r="F116"/>
      <c r="G116"/>
      <c r="H116"/>
      <c r="I116"/>
      <c r="J116"/>
      <c r="K116"/>
      <c r="L116"/>
      <c r="M116" s="1880" t="str">
        <f t="shared" ref="M116:AE116" si="110">IF(SUM(M103:M108,M111:M112)&lt;&gt;M114,"Error","")</f>
        <v/>
      </c>
      <c r="N116" s="1880" t="str">
        <f t="shared" si="110"/>
        <v/>
      </c>
      <c r="O116" s="1880" t="str">
        <f t="shared" si="110"/>
        <v/>
      </c>
      <c r="P116" s="1880" t="str">
        <f t="shared" si="110"/>
        <v/>
      </c>
      <c r="Q116" s="1880" t="str">
        <f t="shared" si="110"/>
        <v/>
      </c>
      <c r="R116" s="1880" t="str">
        <f t="shared" si="110"/>
        <v/>
      </c>
      <c r="S116" s="1880" t="str">
        <f t="shared" si="110"/>
        <v/>
      </c>
      <c r="T116" s="1880" t="str">
        <f t="shared" si="110"/>
        <v/>
      </c>
      <c r="U116" s="1880" t="str">
        <f t="shared" si="110"/>
        <v/>
      </c>
      <c r="V116" s="1880" t="str">
        <f t="shared" si="110"/>
        <v/>
      </c>
      <c r="W116" s="1880" t="str">
        <f t="shared" si="110"/>
        <v/>
      </c>
      <c r="X116" s="1880" t="str">
        <f t="shared" si="110"/>
        <v/>
      </c>
      <c r="Y116" s="1880" t="str">
        <f t="shared" si="110"/>
        <v/>
      </c>
      <c r="Z116" s="1880" t="str">
        <f t="shared" si="110"/>
        <v/>
      </c>
      <c r="AA116" s="1880" t="str">
        <f t="shared" si="110"/>
        <v/>
      </c>
      <c r="AB116" s="1880" t="str">
        <f t="shared" si="110"/>
        <v/>
      </c>
      <c r="AC116" s="1880" t="str">
        <f t="shared" si="110"/>
        <v/>
      </c>
      <c r="AD116" s="1880" t="str">
        <f t="shared" si="110"/>
        <v/>
      </c>
      <c r="AE116" s="1880" t="str">
        <f t="shared" si="110"/>
        <v/>
      </c>
      <c r="AG116" s="1880" t="str">
        <f>IF(SUM(AG103:AG108,AG111:AG112)&lt;&gt;AG114,"Error","")</f>
        <v/>
      </c>
      <c r="AH116" s="1880"/>
      <c r="AI116" s="1880"/>
      <c r="AJ116" s="1880"/>
      <c r="AK116" s="1880"/>
      <c r="AL116" s="1880" t="str">
        <f>IF(SUM(AL103:AL108,AL111:AL112)&lt;&gt;AL114,"Error","")</f>
        <v/>
      </c>
    </row>
    <row r="117" spans="1:38" ht="14.25">
      <c r="B117" s="2447" t="s">
        <v>550</v>
      </c>
      <c r="C117" s="5"/>
      <c r="D117" s="5"/>
      <c r="E117" s="5"/>
      <c r="F117" s="5"/>
      <c r="G117" s="5"/>
      <c r="H117" s="5"/>
      <c r="I117" s="5"/>
      <c r="J117" s="6"/>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row>
    <row r="118" spans="1:38">
      <c r="B118" s="5" t="str">
        <f>+$B$4</f>
        <v>(Dollars in Thousands)</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row>
    <row r="119" spans="1:38">
      <c r="I119" s="13"/>
      <c r="J119" s="13"/>
      <c r="K119" s="13"/>
      <c r="L119" s="13"/>
      <c r="M119" s="13"/>
      <c r="N119" s="13"/>
      <c r="O119" s="13"/>
      <c r="P119" s="13"/>
      <c r="Q119" s="13"/>
      <c r="R119" s="13"/>
      <c r="S119"/>
      <c r="T119"/>
      <c r="U119"/>
      <c r="V119" s="2"/>
      <c r="W119"/>
      <c r="X119" s="2"/>
      <c r="Y119" s="2"/>
      <c r="Z119" s="2"/>
      <c r="AA119"/>
      <c r="AB119"/>
      <c r="AC119"/>
      <c r="AD119"/>
      <c r="AE119"/>
      <c r="AG119"/>
      <c r="AH119"/>
      <c r="AI119" s="2" t="str">
        <f t="shared" ref="AI119:AL119" si="111">TRIM(+AI$5)</f>
        <v/>
      </c>
      <c r="AJ119" s="2" t="str">
        <f t="shared" si="111"/>
        <v/>
      </c>
      <c r="AK119" s="2" t="str">
        <f t="shared" si="111"/>
        <v>Final</v>
      </c>
      <c r="AL119" s="2" t="str">
        <f t="shared" si="111"/>
        <v>Enacted</v>
      </c>
    </row>
    <row r="120" spans="1:38">
      <c r="C120" s="2" t="str">
        <f t="shared" ref="C120:U120" si="112">+C101</f>
        <v>FY1990</v>
      </c>
      <c r="D120" s="2" t="str">
        <f t="shared" si="112"/>
        <v>FY1991</v>
      </c>
      <c r="E120" s="2" t="str">
        <f t="shared" si="112"/>
        <v>FY1992</v>
      </c>
      <c r="F120" s="2" t="str">
        <f t="shared" si="112"/>
        <v>FY1993</v>
      </c>
      <c r="G120" s="2" t="str">
        <f t="shared" si="112"/>
        <v>FY1994</v>
      </c>
      <c r="H120" s="2" t="str">
        <f t="shared" si="112"/>
        <v>FY1995</v>
      </c>
      <c r="I120" s="2" t="str">
        <f t="shared" si="112"/>
        <v>FY1996</v>
      </c>
      <c r="J120" s="2" t="str">
        <f t="shared" si="112"/>
        <v>FY1997</v>
      </c>
      <c r="K120" s="2" t="str">
        <f t="shared" si="112"/>
        <v>FY1998</v>
      </c>
      <c r="L120" s="2" t="str">
        <f t="shared" si="112"/>
        <v>FY1999</v>
      </c>
      <c r="M120" s="2" t="str">
        <f t="shared" si="112"/>
        <v>FY2000</v>
      </c>
      <c r="N120" s="2" t="str">
        <f t="shared" si="112"/>
        <v>FY2001</v>
      </c>
      <c r="O120" s="2" t="str">
        <f t="shared" si="112"/>
        <v>FY2002</v>
      </c>
      <c r="P120" s="2" t="str">
        <f t="shared" si="112"/>
        <v>FY2003</v>
      </c>
      <c r="Q120" s="2" t="str">
        <f t="shared" si="112"/>
        <v>FY2004</v>
      </c>
      <c r="R120" s="2" t="str">
        <f t="shared" si="112"/>
        <v>FY2005</v>
      </c>
      <c r="S120" s="2" t="str">
        <f t="shared" si="112"/>
        <v>FY2006</v>
      </c>
      <c r="T120" s="2" t="str">
        <f t="shared" si="112"/>
        <v>FY2007</v>
      </c>
      <c r="U120" s="2" t="str">
        <f t="shared" si="112"/>
        <v>FY2008</v>
      </c>
      <c r="V120" s="2" t="str">
        <f>+$V$6</f>
        <v>FY2009</v>
      </c>
      <c r="W120" s="2" t="str">
        <f>+$W$6</f>
        <v>FY2010</v>
      </c>
      <c r="X120" s="2" t="str">
        <f>+$X$6</f>
        <v>FY2011</v>
      </c>
      <c r="Y120" s="2" t="str">
        <f>+$Y$6</f>
        <v>FY2012</v>
      </c>
      <c r="Z120" s="2" t="str">
        <f>+$Z$6</f>
        <v>FY2013</v>
      </c>
      <c r="AA120" s="2" t="str">
        <f>+$AA$6</f>
        <v>FY2014</v>
      </c>
      <c r="AB120" s="2" t="str">
        <f>+$AB$6</f>
        <v>FY2015</v>
      </c>
      <c r="AC120" s="2" t="str">
        <f>+$AC$6</f>
        <v>FY2016</v>
      </c>
      <c r="AD120" s="2" t="str">
        <f>+$AD$6</f>
        <v>FY2017</v>
      </c>
      <c r="AE120" s="2" t="str">
        <f>+$AE$6</f>
        <v>FY2018</v>
      </c>
      <c r="AF120" s="2" t="str">
        <f>+AF$6</f>
        <v>FY2019</v>
      </c>
      <c r="AG120" s="2" t="str">
        <f t="shared" ref="AG120:AL120" si="113">+AG$6</f>
        <v>FY2020</v>
      </c>
      <c r="AH120" s="2" t="str">
        <f t="shared" si="113"/>
        <v>FY2021</v>
      </c>
      <c r="AI120" s="2" t="str">
        <f t="shared" si="113"/>
        <v>FY2022</v>
      </c>
      <c r="AJ120" s="2" t="str">
        <f t="shared" si="113"/>
        <v>FY2023</v>
      </c>
      <c r="AK120" s="2" t="str">
        <f t="shared" si="113"/>
        <v>FY2024</v>
      </c>
      <c r="AL120" s="2" t="str">
        <f t="shared" si="113"/>
        <v>FY2025</v>
      </c>
    </row>
    <row r="121" spans="1:38">
      <c r="W121"/>
      <c r="X121"/>
      <c r="AF121" s="1"/>
    </row>
    <row r="122" spans="1:38">
      <c r="A122" s="1" t="str">
        <f t="shared" ref="A122:A127" si="114">+A8</f>
        <v>360</v>
      </c>
      <c r="B122" s="1" t="str">
        <f>+$B$8</f>
        <v>University of Washington</v>
      </c>
      <c r="C122"/>
      <c r="D122"/>
      <c r="E122"/>
      <c r="F122"/>
      <c r="G122"/>
      <c r="H122"/>
      <c r="I122"/>
      <c r="J122"/>
      <c r="K122"/>
      <c r="L122"/>
      <c r="M122"/>
      <c r="N122"/>
      <c r="O122"/>
      <c r="P122"/>
      <c r="Q122" s="3">
        <f>VLOOKUP($A122,OversightActuals!$A$102:E$109,COLUMN(OversightActuals!E:E),0)/1000</f>
        <v>10795.78938</v>
      </c>
      <c r="R122" s="3">
        <f>VLOOKUP($A122,OversightActuals!$A$102:F$109,COLUMN(OversightActuals!F:F),0)/1000</f>
        <v>9312.2106199999998</v>
      </c>
      <c r="S122" s="3">
        <f>VLOOKUP($A122,OversightActuals!$A$102:G$109,COLUMN(OversightActuals!G:G),0)/1000</f>
        <v>12816.13816</v>
      </c>
      <c r="T122" s="3">
        <f>VLOOKUP($A122,OversightActuals!$A$102:H$109,COLUMN(OversightActuals!H:H),0)/1000</f>
        <v>13008.86184</v>
      </c>
      <c r="U122" s="3">
        <f>VLOOKUP($A122,OversightActuals!$A$102:I$109,COLUMN(OversightActuals!I:I),0)/1000</f>
        <v>11442.828380000001</v>
      </c>
      <c r="V122" s="3">
        <f>VLOOKUP($A122,OversightActuals!$A$102:J$109,COLUMN(OversightActuals!J:J),0)/1000</f>
        <v>14382.171619999999</v>
      </c>
      <c r="W122" s="3">
        <f>VLOOKUP($A122,OversightActuals!$A$102:K$109,COLUMN(OversightActuals!K:K),0)/1000</f>
        <v>7269.3917300000003</v>
      </c>
      <c r="X122" s="3">
        <f>VLOOKUP($A122,OversightActuals!$A$102:L$109,COLUMN(OversightActuals!L:L),0)/1000</f>
        <v>13471.608269999999</v>
      </c>
      <c r="Y122" s="3">
        <f>VLOOKUP($A122,OversightActuals!$A$102:M$109,COLUMN(OversightActuals!M:M),0)/1000</f>
        <v>11835.23148</v>
      </c>
      <c r="Z122" s="3">
        <f>VLOOKUP($A122,OversightActuals!$A$102:N$109,COLUMN(OversightActuals!N:N),0)/1000</f>
        <v>13989.76852</v>
      </c>
      <c r="AA122" s="3">
        <f>VLOOKUP($A122,OversightActuals!$A$102:O$109,COLUMN(OversightActuals!O:O),0)/1000</f>
        <v>14792.322380000001</v>
      </c>
      <c r="AB122" s="3">
        <f>VLOOKUP($A122,OversightActuals!$A$102:P$109,COLUMN(OversightActuals!P:P),0)/1000</f>
        <v>11032.677619999999</v>
      </c>
      <c r="AC122" s="3">
        <f>VLOOKUP($A122,OversightActuals!$A$102:Q$109,COLUMN(OversightActuals!Q:Q),0)/1000</f>
        <v>12913</v>
      </c>
      <c r="AD122" s="3">
        <f>VLOOKUP($A122,OversightActuals!$A$102:R$109,COLUMN(OversightActuals!R:R),0)/1000</f>
        <v>12912</v>
      </c>
      <c r="AE122" s="3">
        <f>VLOOKUP($A122,OversightActuals!$A$102:S$109,COLUMN(OversightActuals!S:S),0)/1000</f>
        <v>12912.5</v>
      </c>
      <c r="AF122" s="3">
        <f>VLOOKUP($A122,OversightActuals!$A$102:T$109,COLUMN(OversightActuals!T:T),0)/1000</f>
        <v>12912.5</v>
      </c>
      <c r="AG122" s="3">
        <f>VLOOKUP($A122,OversightActuals!$A$102:U$109,COLUMN(OversightActuals!U:U),0)/1000</f>
        <v>12912.49956</v>
      </c>
      <c r="AH122" s="3">
        <f>VLOOKUP($A122,OversightActuals!$A$102:V$109,COLUMN(OversightActuals!V:V),0)/1000</f>
        <v>12912.50044</v>
      </c>
      <c r="AI122" s="3">
        <f>VLOOKUP($A122,OversightActuals!$A$102:W$109,COLUMN(OversightActuals!W:W),0)/1000</f>
        <v>12912.500039999999</v>
      </c>
      <c r="AJ122" s="3">
        <f>VLOOKUP($A122,OversightActuals!$A$102:X$109,COLUMN(OversightActuals!X:X),0)/1000</f>
        <v>12912.499960000001</v>
      </c>
      <c r="AK122" s="3">
        <f>VLOOKUP($A122,OversightActuals!$A$102:Y$109,COLUMN(OversightActuals!Y:Y),0)/1000</f>
        <v>12912.58037</v>
      </c>
      <c r="AL122" s="3">
        <f>IFERROR(ROUND(VLOOKUP($A122,OversightBudgets!$K$16:$N$22,4,0)/2,0),0)</f>
        <v>12913</v>
      </c>
    </row>
    <row r="123" spans="1:38">
      <c r="A123" s="1" t="str">
        <f t="shared" si="114"/>
        <v>365</v>
      </c>
      <c r="B123" s="1" t="str">
        <f>+$B$9</f>
        <v>Washington State University</v>
      </c>
      <c r="C123"/>
      <c r="D123"/>
      <c r="E123"/>
      <c r="F123"/>
      <c r="G123"/>
      <c r="H123"/>
      <c r="I123"/>
      <c r="J123"/>
      <c r="K123"/>
      <c r="L123"/>
      <c r="M123"/>
      <c r="N123"/>
      <c r="O123"/>
      <c r="P123"/>
      <c r="Q123" s="3">
        <f>VLOOKUP($A123,OversightActuals!$A$102:E$109,COLUMN(OversightActuals!E:E),0)/1000</f>
        <v>3938</v>
      </c>
      <c r="R123" s="3">
        <f>VLOOKUP($A123,OversightActuals!$A$102:F$109,COLUMN(OversightActuals!F:F),0)/1000</f>
        <v>3938</v>
      </c>
      <c r="S123" s="3">
        <f>VLOOKUP($A123,OversightActuals!$A$102:G$109,COLUMN(OversightActuals!G:G),0)/1000</f>
        <v>5057</v>
      </c>
      <c r="T123" s="3">
        <f>VLOOKUP($A123,OversightActuals!$A$102:H$109,COLUMN(OversightActuals!H:H),0)/1000</f>
        <v>5058</v>
      </c>
      <c r="U123" s="3">
        <f>VLOOKUP($A123,OversightActuals!$A$102:I$109,COLUMN(OversightActuals!I:I),0)/1000</f>
        <v>5057</v>
      </c>
      <c r="V123" s="3">
        <f>VLOOKUP($A123,OversightActuals!$A$102:J$109,COLUMN(OversightActuals!J:J),0)/1000</f>
        <v>5058</v>
      </c>
      <c r="W123" s="3">
        <f>VLOOKUP($A123,OversightActuals!$A$102:K$109,COLUMN(OversightActuals!K:K),0)/1000</f>
        <v>14187</v>
      </c>
      <c r="X123" s="3">
        <f>VLOOKUP($A123,OversightActuals!$A$102:L$109,COLUMN(OversightActuals!L:L),0)/1000</f>
        <v>14188</v>
      </c>
      <c r="Y123" s="3">
        <f>VLOOKUP($A123,OversightActuals!$A$102:M$109,COLUMN(OversightActuals!M:M),0)/1000</f>
        <v>5057</v>
      </c>
      <c r="Z123" s="3">
        <f>VLOOKUP($A123,OversightActuals!$A$102:N$109,COLUMN(OversightActuals!N:N),0)/1000</f>
        <v>5058</v>
      </c>
      <c r="AA123" s="3">
        <f>VLOOKUP($A123,OversightActuals!$A$102:O$109,COLUMN(OversightActuals!O:O),0)/1000</f>
        <v>5057</v>
      </c>
      <c r="AB123" s="3">
        <f>VLOOKUP($A123,OversightActuals!$A$102:P$109,COLUMN(OversightActuals!P:P),0)/1000</f>
        <v>5058</v>
      </c>
      <c r="AC123" s="3">
        <f>VLOOKUP($A123,OversightActuals!$A$102:Q$109,COLUMN(OversightActuals!Q:Q),0)/1000</f>
        <v>5056.9765199999993</v>
      </c>
      <c r="AD123" s="3">
        <f>VLOOKUP($A123,OversightActuals!$A$102:R$109,COLUMN(OversightActuals!R:R),0)/1000</f>
        <v>5058.0234800000007</v>
      </c>
      <c r="AE123" s="3">
        <f>VLOOKUP($A123,OversightActuals!$A$102:S$109,COLUMN(OversightActuals!S:S),0)/1000</f>
        <v>5057</v>
      </c>
      <c r="AF123" s="3">
        <f>VLOOKUP($A123,OversightActuals!$A$102:T$109,COLUMN(OversightActuals!T:T),0)/1000</f>
        <v>5058</v>
      </c>
      <c r="AG123" s="3">
        <f>VLOOKUP($A123,OversightActuals!$A$102:U$109,COLUMN(OversightActuals!U:U),0)/1000</f>
        <v>5058</v>
      </c>
      <c r="AH123" s="3">
        <f>VLOOKUP($A123,OversightActuals!$A$102:V$109,COLUMN(OversightActuals!V:V),0)/1000</f>
        <v>5057</v>
      </c>
      <c r="AI123" s="3">
        <f>VLOOKUP($A123,OversightActuals!$A$102:W$109,COLUMN(OversightActuals!W:W),0)/1000</f>
        <v>5057</v>
      </c>
      <c r="AJ123" s="3">
        <f>VLOOKUP($A123,OversightActuals!$A$102:X$109,COLUMN(OversightActuals!X:X),0)/1000</f>
        <v>5058</v>
      </c>
      <c r="AK123" s="3">
        <f>VLOOKUP($A123,OversightActuals!$A$102:Y$109,COLUMN(OversightActuals!Y:Y),0)/1000</f>
        <v>5057</v>
      </c>
      <c r="AL123" s="3">
        <f>IFERROR(ROUND(VLOOKUP($A123,OversightBudgets!$K$16:$N$22,4,0)/2,0),0)</f>
        <v>5058</v>
      </c>
    </row>
    <row r="124" spans="1:38">
      <c r="A124" s="1" t="str">
        <f t="shared" si="114"/>
        <v>370</v>
      </c>
      <c r="B124" s="1" t="str">
        <f>+$B$10</f>
        <v>Eastern Washington University</v>
      </c>
      <c r="C124"/>
      <c r="D124"/>
      <c r="E124"/>
      <c r="F124"/>
      <c r="G124"/>
      <c r="H124"/>
      <c r="I124"/>
      <c r="J124"/>
      <c r="K124"/>
      <c r="L124"/>
      <c r="M124"/>
      <c r="N124"/>
      <c r="O124"/>
      <c r="P124"/>
      <c r="Q124" s="3">
        <f>VLOOKUP($A124,OversightActuals!$A$102:E$109,COLUMN(OversightActuals!E:E),0)/1000</f>
        <v>42.312870000000004</v>
      </c>
      <c r="R124" s="3">
        <f>VLOOKUP($A124,OversightActuals!$A$102:F$109,COLUMN(OversightActuals!F:F),0)/1000</f>
        <v>1683.6871099999998</v>
      </c>
      <c r="S124" s="3">
        <f>VLOOKUP($A124,OversightActuals!$A$102:G$109,COLUMN(OversightActuals!G:G),0)/1000</f>
        <v>765.04918999999995</v>
      </c>
      <c r="T124" s="3">
        <f>VLOOKUP($A124,OversightActuals!$A$102:H$109,COLUMN(OversightActuals!H:H),0)/1000</f>
        <v>1451.95081</v>
      </c>
      <c r="U124" s="3">
        <f>VLOOKUP($A124,OversightActuals!$A$102:I$109,COLUMN(OversightActuals!I:I),0)/1000</f>
        <v>1213.0405899999998</v>
      </c>
      <c r="V124" s="3">
        <f>VLOOKUP($A124,OversightActuals!$A$102:J$109,COLUMN(OversightActuals!J:J),0)/1000</f>
        <v>1003.9594099999999</v>
      </c>
      <c r="W124" s="3">
        <f>VLOOKUP($A124,OversightActuals!$A$102:K$109,COLUMN(OversightActuals!K:K),0)/1000</f>
        <v>1108.5</v>
      </c>
      <c r="X124" s="3">
        <f>VLOOKUP($A124,OversightActuals!$A$102:L$109,COLUMN(OversightActuals!L:L),0)/1000</f>
        <v>3300.5</v>
      </c>
      <c r="Y124" s="3">
        <f>VLOOKUP($A124,OversightActuals!$A$102:M$109,COLUMN(OversightActuals!M:M),0)/1000</f>
        <v>1108.5</v>
      </c>
      <c r="Z124" s="3">
        <f>VLOOKUP($A124,OversightActuals!$A$102:N$109,COLUMN(OversightActuals!N:N),0)/1000</f>
        <v>1108.5</v>
      </c>
      <c r="AA124" s="3">
        <f>VLOOKUP($A124,OversightActuals!$A$102:O$109,COLUMN(OversightActuals!O:O),0)/1000</f>
        <v>1108.5</v>
      </c>
      <c r="AB124" s="3">
        <f>VLOOKUP($A124,OversightActuals!$A$102:P$109,COLUMN(OversightActuals!P:P),0)/1000</f>
        <v>1108.5</v>
      </c>
      <c r="AC124" s="3">
        <f>VLOOKUP($A124,OversightActuals!$A$102:Q$109,COLUMN(OversightActuals!Q:Q),0)/1000</f>
        <v>1108.5</v>
      </c>
      <c r="AD124" s="3">
        <f>VLOOKUP($A124,OversightActuals!$A$102:R$109,COLUMN(OversightActuals!R:R),0)/1000</f>
        <v>1108.5</v>
      </c>
      <c r="AE124" s="3">
        <f>VLOOKUP($A124,OversightActuals!$A$102:S$109,COLUMN(OversightActuals!S:S),0)/1000</f>
        <v>1108.5</v>
      </c>
      <c r="AF124" s="3">
        <f>VLOOKUP($A124,OversightActuals!$A$102:T$109,COLUMN(OversightActuals!T:T),0)/1000</f>
        <v>1108.5</v>
      </c>
      <c r="AG124" s="3">
        <f>VLOOKUP($A124,OversightActuals!$A$102:U$109,COLUMN(OversightActuals!U:U),0)/1000</f>
        <v>1108.5</v>
      </c>
      <c r="AH124" s="3">
        <f>VLOOKUP($A124,OversightActuals!$A$102:V$109,COLUMN(OversightActuals!V:V),0)/1000</f>
        <v>1108.5</v>
      </c>
      <c r="AI124" s="2452">
        <f>VLOOKUP($A124,OversightActuals!$A$102:W$109,COLUMN(OversightActuals!W:W),0)/1000</f>
        <v>0</v>
      </c>
      <c r="AJ124" s="2452">
        <f>VLOOKUP($A124,OversightActuals!$A$102:X$109,COLUMN(OversightActuals!X:X),0)/1000</f>
        <v>0</v>
      </c>
      <c r="AK124" s="2452">
        <f>VLOOKUP($A124,OversightActuals!$A$102:Y$109,COLUMN(OversightActuals!Y:Y),0)/1000</f>
        <v>1108.5</v>
      </c>
      <c r="AL124" s="3">
        <f>IFERROR(ROUND(VLOOKUP($A124,OversightBudgets!$K$16:$N$22,4,0)/2,0),0)</f>
        <v>1109</v>
      </c>
    </row>
    <row r="125" spans="1:38">
      <c r="A125" s="1" t="str">
        <f t="shared" si="114"/>
        <v>375</v>
      </c>
      <c r="B125" s="1" t="str">
        <f>+$B$11</f>
        <v>Central Washington University</v>
      </c>
      <c r="C125"/>
      <c r="D125"/>
      <c r="E125"/>
      <c r="F125"/>
      <c r="G125"/>
      <c r="H125"/>
      <c r="I125"/>
      <c r="J125"/>
      <c r="K125"/>
      <c r="L125"/>
      <c r="M125"/>
      <c r="N125"/>
      <c r="O125"/>
      <c r="P125"/>
      <c r="Q125" s="3">
        <f>VLOOKUP($A125,OversightActuals!$A$102:E$109,COLUMN(OversightActuals!E:E),0)/1000</f>
        <v>800</v>
      </c>
      <c r="R125" s="3">
        <f>VLOOKUP($A125,OversightActuals!$A$102:F$109,COLUMN(OversightActuals!F:F),0)/1000</f>
        <v>1086</v>
      </c>
      <c r="S125" s="3">
        <f>VLOOKUP($A125,OversightActuals!$A$102:G$109,COLUMN(OversightActuals!G:G),0)/1000</f>
        <v>1211</v>
      </c>
      <c r="T125" s="3">
        <f>VLOOKUP($A125,OversightActuals!$A$102:H$109,COLUMN(OversightActuals!H:H),0)/1000</f>
        <v>1211</v>
      </c>
      <c r="U125" s="3">
        <f>VLOOKUP($A125,OversightActuals!$A$102:I$109,COLUMN(OversightActuals!I:I),0)/1000</f>
        <v>1211</v>
      </c>
      <c r="V125" s="3">
        <f>VLOOKUP($A125,OversightActuals!$A$102:J$109,COLUMN(OversightActuals!J:J),0)/1000</f>
        <v>1211</v>
      </c>
      <c r="W125" s="3">
        <f>VLOOKUP($A125,OversightActuals!$A$102:K$109,COLUMN(OversightActuals!K:K),0)/1000</f>
        <v>1211</v>
      </c>
      <c r="X125" s="3">
        <f>VLOOKUP($A125,OversightActuals!$A$102:L$109,COLUMN(OversightActuals!L:L),0)/1000</f>
        <v>3195.9991500000001</v>
      </c>
      <c r="Y125" s="3">
        <f>VLOOKUP($A125,OversightActuals!$A$102:M$109,COLUMN(OversightActuals!M:M),0)/1000</f>
        <v>1211</v>
      </c>
      <c r="Z125" s="3">
        <f>VLOOKUP($A125,OversightActuals!$A$102:N$109,COLUMN(OversightActuals!N:N),0)/1000</f>
        <v>1211</v>
      </c>
      <c r="AA125" s="3">
        <f>VLOOKUP($A125,OversightActuals!$A$102:O$109,COLUMN(OversightActuals!O:O),0)/1000</f>
        <v>1211</v>
      </c>
      <c r="AB125" s="3">
        <f>VLOOKUP($A125,OversightActuals!$A$102:P$109,COLUMN(OversightActuals!P:P),0)/1000</f>
        <v>1211</v>
      </c>
      <c r="AC125" s="3">
        <f>VLOOKUP($A125,OversightActuals!$A$102:Q$109,COLUMN(OversightActuals!Q:Q),0)/1000</f>
        <v>1211</v>
      </c>
      <c r="AD125" s="3">
        <f>VLOOKUP($A125,OversightActuals!$A$102:R$109,COLUMN(OversightActuals!R:R),0)/1000</f>
        <v>1211</v>
      </c>
      <c r="AE125" s="3">
        <f>VLOOKUP($A125,OversightActuals!$A$102:S$109,COLUMN(OversightActuals!S:S),0)/1000</f>
        <v>1211</v>
      </c>
      <c r="AF125" s="3">
        <f>VLOOKUP($A125,OversightActuals!$A$102:T$109,COLUMN(OversightActuals!T:T),0)/1000</f>
        <v>1211</v>
      </c>
      <c r="AG125" s="3">
        <f>VLOOKUP($A125,OversightActuals!$A$102:U$109,COLUMN(OversightActuals!U:U),0)/1000</f>
        <v>1211</v>
      </c>
      <c r="AH125" s="3">
        <f>VLOOKUP($A125,OversightActuals!$A$102:V$109,COLUMN(OversightActuals!V:V),0)/1000</f>
        <v>1211</v>
      </c>
      <c r="AI125" s="3">
        <f>VLOOKUP($A125,OversightActuals!$A$102:W$109,COLUMN(OversightActuals!W:W),0)/1000</f>
        <v>1211.001</v>
      </c>
      <c r="AJ125" s="3">
        <f>VLOOKUP($A125,OversightActuals!$A$102:X$109,COLUMN(OversightActuals!X:X),0)/1000</f>
        <v>1210.999</v>
      </c>
      <c r="AK125" s="3">
        <f>VLOOKUP($A125,OversightActuals!$A$102:Y$109,COLUMN(OversightActuals!Y:Y),0)/1000</f>
        <v>1233.164</v>
      </c>
      <c r="AL125" s="3">
        <f>IFERROR(ROUND(VLOOKUP($A125,OversightBudgets!$K$16:$N$22,4,0)/2,0),0)</f>
        <v>1211</v>
      </c>
    </row>
    <row r="126" spans="1:38">
      <c r="A126" s="1" t="str">
        <f t="shared" si="114"/>
        <v>376</v>
      </c>
      <c r="B126" s="1" t="str">
        <f>+$B$12</f>
        <v>The Evergreen State College</v>
      </c>
      <c r="C126"/>
      <c r="D126"/>
      <c r="E126"/>
      <c r="F126"/>
      <c r="G126"/>
      <c r="H126"/>
      <c r="I126"/>
      <c r="J126"/>
      <c r="K126"/>
      <c r="L126"/>
      <c r="M126"/>
      <c r="N126"/>
      <c r="O126"/>
      <c r="P126"/>
      <c r="Q126" s="3">
        <f>VLOOKUP($A126,OversightActuals!$A$102:E$109,COLUMN(OversightActuals!E:E),0)/1000</f>
        <v>248.55948999999998</v>
      </c>
      <c r="R126" s="22">
        <f>VLOOKUP($A126,OversightActuals!$A$102:F$109,COLUMN(OversightActuals!F:F),0)/1000</f>
        <v>485.44006999999999</v>
      </c>
      <c r="S126" s="3">
        <f>VLOOKUP($A126,OversightActuals!$A$102:G$109,COLUMN(OversightActuals!G:G),0)/1000</f>
        <v>199.75819000000001</v>
      </c>
      <c r="T126" s="3">
        <f>VLOOKUP($A126,OversightActuals!$A$102:H$109,COLUMN(OversightActuals!H:H),0)/1000</f>
        <v>560.24180999999999</v>
      </c>
      <c r="U126" s="3">
        <f>VLOOKUP($A126,OversightActuals!$A$102:I$109,COLUMN(OversightActuals!I:I),0)/1000</f>
        <v>540.01887999999997</v>
      </c>
      <c r="V126" s="3">
        <f>VLOOKUP($A126,OversightActuals!$A$102:J$109,COLUMN(OversightActuals!J:J),0)/1000</f>
        <v>219.98112</v>
      </c>
      <c r="W126" s="3">
        <f>VLOOKUP($A126,OversightActuals!$A$102:K$109,COLUMN(OversightActuals!K:K),0)/1000</f>
        <v>758.98340000000007</v>
      </c>
      <c r="X126" s="3">
        <f>VLOOKUP($A126,OversightActuals!$A$102:L$109,COLUMN(OversightActuals!L:L),0)/1000</f>
        <v>3226.3872799999999</v>
      </c>
      <c r="Y126" s="3">
        <f>VLOOKUP($A126,OversightActuals!$A$102:M$109,COLUMN(OversightActuals!M:M),0)/1000</f>
        <v>588.46597999999994</v>
      </c>
      <c r="Z126" s="3">
        <f>VLOOKUP($A126,OversightActuals!$A$102:N$109,COLUMN(OversightActuals!N:N),0)/1000</f>
        <v>170.36063999999999</v>
      </c>
      <c r="AA126" s="3">
        <f>VLOOKUP($A126,OversightActuals!$A$102:O$109,COLUMN(OversightActuals!O:O),0)/1000</f>
        <v>747.57281</v>
      </c>
      <c r="AB126" s="3">
        <f>VLOOKUP($A126,OversightActuals!$A$102:P$109,COLUMN(OversightActuals!P:P),0)/1000</f>
        <v>3.1010000000000218E-2</v>
      </c>
      <c r="AC126" s="3">
        <f>VLOOKUP($A126,OversightActuals!$A$102:Q$109,COLUMN(OversightActuals!Q:Q),0)/1000</f>
        <v>757.62924999999996</v>
      </c>
      <c r="AD126" s="3">
        <f>VLOOKUP($A126,OversightActuals!$A$102:R$109,COLUMN(OversightActuals!R:R),0)/1000</f>
        <v>25.370750000000001</v>
      </c>
      <c r="AE126" s="3">
        <f>VLOOKUP($A126,OversightActuals!$A$102:S$109,COLUMN(OversightActuals!S:S),0)/1000</f>
        <v>830</v>
      </c>
      <c r="AF126" s="3">
        <f>VLOOKUP($A126,OversightActuals!$A$102:T$109,COLUMN(OversightActuals!T:T),0)/1000</f>
        <v>0</v>
      </c>
      <c r="AG126" s="3">
        <f>VLOOKUP($A126,OversightActuals!$A$102:U$109,COLUMN(OversightActuals!U:U),0)/1000</f>
        <v>745.57548999999995</v>
      </c>
      <c r="AH126" s="3">
        <f>VLOOKUP($A126,OversightActuals!$A$102:V$109,COLUMN(OversightActuals!V:V),0)/1000</f>
        <v>134.33497</v>
      </c>
      <c r="AI126" s="3">
        <f>VLOOKUP($A126,OversightActuals!$A$102:W$109,COLUMN(OversightActuals!W:W),0)/1000</f>
        <v>466.35741999999999</v>
      </c>
      <c r="AJ126" s="3">
        <f>VLOOKUP($A126,OversightActuals!$A$102:X$109,COLUMN(OversightActuals!X:X),0)/1000</f>
        <v>413.64224999999999</v>
      </c>
      <c r="AK126" s="3">
        <f>VLOOKUP($A126,OversightActuals!$A$102:Y$109,COLUMN(OversightActuals!Y:Y),0)/1000</f>
        <v>726.87128000000007</v>
      </c>
      <c r="AL126" s="3">
        <f>IFERROR(ROUND(VLOOKUP($A126,OversightBudgets!$K$16:$N$22,4,0)/2,0),0)</f>
        <v>440</v>
      </c>
    </row>
    <row r="127" spans="1:38">
      <c r="A127" s="1" t="str">
        <f t="shared" si="114"/>
        <v>380</v>
      </c>
      <c r="B127" s="1" t="str">
        <f>+$B$13</f>
        <v>Western Washington University</v>
      </c>
      <c r="C127" s="41"/>
      <c r="D127" s="41"/>
      <c r="E127" s="41"/>
      <c r="F127" s="41"/>
      <c r="G127" s="41"/>
      <c r="H127" s="41"/>
      <c r="I127" s="41"/>
      <c r="J127" s="41"/>
      <c r="K127" s="41"/>
      <c r="L127" s="41"/>
      <c r="M127" s="41"/>
      <c r="N127" s="41"/>
      <c r="O127" s="41"/>
      <c r="P127" s="41"/>
      <c r="Q127" s="3">
        <f>VLOOKUP($A127,OversightActuals!$A$102:E$109,COLUMN(OversightActuals!E:E),0)/1000</f>
        <v>1407</v>
      </c>
      <c r="R127" s="3">
        <f>VLOOKUP($A127,OversightActuals!$A$102:F$109,COLUMN(OversightActuals!F:F),0)/1000</f>
        <v>1407</v>
      </c>
      <c r="S127" s="3">
        <f>VLOOKUP($A127,OversightActuals!$A$102:G$109,COLUMN(OversightActuals!G:G),0)/1000</f>
        <v>1807</v>
      </c>
      <c r="T127" s="3">
        <f>VLOOKUP($A127,OversightActuals!$A$102:H$109,COLUMN(OversightActuals!H:H),0)/1000</f>
        <v>1807</v>
      </c>
      <c r="U127" s="3">
        <f>VLOOKUP($A127,OversightActuals!$A$102:I$109,COLUMN(OversightActuals!I:I),0)/1000</f>
        <v>1807</v>
      </c>
      <c r="V127" s="3">
        <f>VLOOKUP($A127,OversightActuals!$A$102:J$109,COLUMN(OversightActuals!J:J),0)/1000</f>
        <v>1807</v>
      </c>
      <c r="W127" s="3">
        <f>VLOOKUP($A127,OversightActuals!$A$102:K$109,COLUMN(OversightActuals!K:K),0)/1000</f>
        <v>1807</v>
      </c>
      <c r="X127" s="3">
        <f>VLOOKUP($A127,OversightActuals!$A$102:L$109,COLUMN(OversightActuals!L:L),0)/1000</f>
        <v>4007</v>
      </c>
      <c r="Y127" s="3">
        <f>VLOOKUP($A127,OversightActuals!$A$102:M$109,COLUMN(OversightActuals!M:M),0)/1000</f>
        <v>1807</v>
      </c>
      <c r="Z127" s="3">
        <f>VLOOKUP($A127,OversightActuals!$A$102:N$109,COLUMN(OversightActuals!N:N),0)/1000</f>
        <v>1807</v>
      </c>
      <c r="AA127" s="3">
        <f>VLOOKUP($A127,OversightActuals!$A$102:O$109,COLUMN(OversightActuals!O:O),0)/1000</f>
        <v>1807</v>
      </c>
      <c r="AB127" s="3">
        <f>VLOOKUP($A127,OversightActuals!$A$102:P$109,COLUMN(OversightActuals!P:P),0)/1000</f>
        <v>1806.9996799999999</v>
      </c>
      <c r="AC127" s="3">
        <f>VLOOKUP($A127,OversightActuals!$A$102:Q$109,COLUMN(OversightActuals!Q:Q),0)/1000</f>
        <v>1807</v>
      </c>
      <c r="AD127" s="3">
        <f>VLOOKUP($A127,OversightActuals!$A$102:R$109,COLUMN(OversightActuals!R:R),0)/1000</f>
        <v>1807</v>
      </c>
      <c r="AE127" s="3">
        <f>VLOOKUP($A127,OversightActuals!$A$102:S$109,COLUMN(OversightActuals!S:S),0)/1000</f>
        <v>2077</v>
      </c>
      <c r="AF127" s="3">
        <f>VLOOKUP($A127,OversightActuals!$A$102:T$109,COLUMN(OversightActuals!T:T),0)/1000</f>
        <v>1537</v>
      </c>
      <c r="AG127" s="3">
        <f>VLOOKUP($A127,OversightActuals!$A$102:U$109,COLUMN(OversightActuals!U:U),0)/1000</f>
        <v>1802.4972399999999</v>
      </c>
      <c r="AH127" s="3">
        <f>VLOOKUP($A127,OversightActuals!$A$102:V$109,COLUMN(OversightActuals!V:V),0)/1000</f>
        <v>1806.9993300000001</v>
      </c>
      <c r="AI127" s="3">
        <f>VLOOKUP($A127,OversightActuals!$A$102:W$109,COLUMN(OversightActuals!W:W),0)/1000</f>
        <v>1805.7859099999998</v>
      </c>
      <c r="AJ127" s="3">
        <f>VLOOKUP($A127,OversightActuals!$A$102:X$109,COLUMN(OversightActuals!X:X),0)/1000</f>
        <v>1807</v>
      </c>
      <c r="AK127" s="3">
        <f>VLOOKUP($A127,OversightActuals!$A$102:Y$109,COLUMN(OversightActuals!Y:Y),0)/1000</f>
        <v>1807</v>
      </c>
      <c r="AL127" s="3">
        <f>IFERROR(ROUND(VLOOKUP($A127,OversightBudgets!$K$16:$N$22,4,0)/2,0),0)</f>
        <v>1807</v>
      </c>
    </row>
    <row r="128" spans="1:38">
      <c r="B128" s="199" t="str">
        <f>+$B$14</f>
        <v>Total Four-Year Institutions</v>
      </c>
      <c r="C128" s="42"/>
      <c r="D128" s="42"/>
      <c r="E128" s="42"/>
      <c r="F128" s="42"/>
      <c r="G128" s="42"/>
      <c r="H128" s="42"/>
      <c r="I128" s="42"/>
      <c r="J128" s="42"/>
      <c r="K128" s="42"/>
      <c r="L128" s="42"/>
      <c r="M128" s="42"/>
      <c r="N128" s="42"/>
      <c r="O128" s="42"/>
      <c r="P128" s="42"/>
      <c r="Q128" s="42">
        <f>SUM(Q122:Q127)</f>
        <v>17231.66174</v>
      </c>
      <c r="R128" s="42">
        <f>SUM(R122:R127)</f>
        <v>17912.337800000001</v>
      </c>
      <c r="S128" s="42">
        <f>SUM(S122:S127)</f>
        <v>21855.945540000004</v>
      </c>
      <c r="T128" s="42">
        <f t="shared" ref="T128:Z128" si="115">SUM(T122:T127)</f>
        <v>23097.054459999996</v>
      </c>
      <c r="U128" s="42">
        <f t="shared" si="115"/>
        <v>21270.887849999999</v>
      </c>
      <c r="V128" s="42">
        <f t="shared" si="115"/>
        <v>23682.112150000001</v>
      </c>
      <c r="W128" s="42">
        <f t="shared" si="115"/>
        <v>26341.87513</v>
      </c>
      <c r="X128" s="42">
        <f t="shared" si="115"/>
        <v>41389.494700000003</v>
      </c>
      <c r="Y128" s="42">
        <f t="shared" si="115"/>
        <v>21607.197460000003</v>
      </c>
      <c r="Z128" s="42">
        <f t="shared" si="115"/>
        <v>23344.629159999997</v>
      </c>
      <c r="AA128" s="42">
        <f t="shared" ref="AA128:AL128" si="116">SUM(AA122:AA127)</f>
        <v>24723.395190000003</v>
      </c>
      <c r="AB128" s="42">
        <f t="shared" si="116"/>
        <v>20217.208309999998</v>
      </c>
      <c r="AC128" s="42">
        <f t="shared" si="116"/>
        <v>22854.105770000002</v>
      </c>
      <c r="AD128" s="42">
        <f t="shared" si="116"/>
        <v>22121.894229999998</v>
      </c>
      <c r="AE128" s="42">
        <f t="shared" si="116"/>
        <v>23196</v>
      </c>
      <c r="AF128" s="42">
        <f t="shared" si="116"/>
        <v>21827</v>
      </c>
      <c r="AG128" s="42">
        <f t="shared" ref="AG128:AK128" si="117">SUM(AG122:AG127)</f>
        <v>22838.07229</v>
      </c>
      <c r="AH128" s="42">
        <f t="shared" si="117"/>
        <v>22230.334739999998</v>
      </c>
      <c r="AI128" s="42">
        <f t="shared" si="117"/>
        <v>21452.644369999998</v>
      </c>
      <c r="AJ128" s="42">
        <f t="shared" ref="AJ128:AK128" si="118">SUM(AJ122:AJ127)</f>
        <v>21402.141210000002</v>
      </c>
      <c r="AK128" s="42">
        <f t="shared" si="118"/>
        <v>22845.11565</v>
      </c>
      <c r="AL128" s="42">
        <f t="shared" si="116"/>
        <v>22538</v>
      </c>
    </row>
    <row r="129" spans="1:38">
      <c r="C129"/>
      <c r="D129"/>
      <c r="E129"/>
      <c r="F129"/>
      <c r="G129"/>
      <c r="H129"/>
      <c r="I129"/>
      <c r="J129"/>
      <c r="K129"/>
      <c r="L129"/>
      <c r="M129"/>
      <c r="N129"/>
      <c r="O129"/>
      <c r="P129"/>
      <c r="Q129" s="3"/>
      <c r="R129" s="3"/>
      <c r="S129" s="3"/>
      <c r="T129" s="3"/>
      <c r="U129" s="3"/>
      <c r="V129" s="3"/>
      <c r="W129" s="3"/>
      <c r="X129" s="3"/>
      <c r="Y129" s="3"/>
      <c r="Z129" s="3"/>
      <c r="AA129" s="3"/>
      <c r="AB129" s="3"/>
      <c r="AC129" s="3"/>
      <c r="AD129" s="3"/>
      <c r="AF129" s="1"/>
    </row>
    <row r="130" spans="1:38">
      <c r="A130" s="1" t="str">
        <f>+A16</f>
        <v>699</v>
      </c>
      <c r="B130" s="1" t="str">
        <f>+$B$16</f>
        <v>Community/Technical College System</v>
      </c>
      <c r="C130"/>
      <c r="D130"/>
      <c r="E130"/>
      <c r="F130"/>
      <c r="G130"/>
      <c r="H130"/>
      <c r="I130"/>
      <c r="J130"/>
      <c r="K130"/>
      <c r="L130"/>
      <c r="M130"/>
      <c r="N130"/>
      <c r="O130"/>
      <c r="P130"/>
      <c r="Q130" s="3">
        <f>VLOOKUP($A130,OversightActuals!$A$102:E$109,COLUMN(OversightActuals!E:E),0)/1000</f>
        <v>8844.4200199999996</v>
      </c>
      <c r="R130" s="3">
        <f>VLOOKUP($A130,OversightActuals!$A$102:F$109,COLUMN(OversightActuals!F:F),0)/1000</f>
        <v>8909.5795299999991</v>
      </c>
      <c r="S130" s="3">
        <f>VLOOKUP($A130,OversightActuals!$A$102:G$109,COLUMN(OversightActuals!G:G),0)/1000</f>
        <v>11554.36759</v>
      </c>
      <c r="T130" s="3">
        <f>VLOOKUP($A130,OversightActuals!$A$102:H$109,COLUMN(OversightActuals!H:H),0)/1000</f>
        <v>11247.63206</v>
      </c>
      <c r="U130" s="3">
        <f>VLOOKUP($A130,OversightActuals!$A$102:I$109,COLUMN(OversightActuals!I:I),0)/1000</f>
        <v>11395.09064</v>
      </c>
      <c r="V130" s="3">
        <f>VLOOKUP($A130,OversightActuals!$A$102:J$109,COLUMN(OversightActuals!J:J),0)/1000</f>
        <v>11406.82849</v>
      </c>
      <c r="W130" s="3">
        <f>VLOOKUP($A130,OversightActuals!$A$102:K$109,COLUMN(OversightActuals!K:K),0)/1000</f>
        <v>0</v>
      </c>
      <c r="X130" s="3">
        <f>VLOOKUP($A130,OversightActuals!$A$102:L$109,COLUMN(OversightActuals!L:L),0)/1000</f>
        <v>0</v>
      </c>
      <c r="Y130" s="3">
        <f>VLOOKUP($A130,OversightActuals!$A$102:M$109,COLUMN(OversightActuals!M:M),0)/1000</f>
        <v>10145.311310000001</v>
      </c>
      <c r="Z130" s="3">
        <f>VLOOKUP($A130,OversightActuals!$A$102:N$109,COLUMN(OversightActuals!N:N),0)/1000</f>
        <v>12654.688690000001</v>
      </c>
      <c r="AA130" s="3">
        <f>VLOOKUP($A130,OversightActuals!$A$102:O$109,COLUMN(OversightActuals!O:O),0)/1000</f>
        <v>11398.36076</v>
      </c>
      <c r="AB130" s="3">
        <f>VLOOKUP($A130,OversightActuals!$A$102:P$109,COLUMN(OversightActuals!P:P),0)/1000</f>
        <v>11398.364</v>
      </c>
      <c r="AC130" s="3">
        <f>VLOOKUP($A130,OversightActuals!$A$102:Q$109,COLUMN(OversightActuals!Q:Q),0)/1000</f>
        <v>10944.856659999999</v>
      </c>
      <c r="AD130" s="3">
        <f>VLOOKUP($A130,OversightActuals!$A$102:R$109,COLUMN(OversightActuals!R:R),0)/1000</f>
        <v>11643.751399999999</v>
      </c>
      <c r="AE130" s="3">
        <f>VLOOKUP($A130,OversightActuals!$A$102:S$109,COLUMN(OversightActuals!S:S),0)/1000</f>
        <v>11088.65307</v>
      </c>
      <c r="AF130" s="3">
        <f>VLOOKUP($A130,OversightActuals!$A$102:T$109,COLUMN(OversightActuals!T:T),0)/1000</f>
        <v>11511.41959</v>
      </c>
      <c r="AG130" s="3">
        <f>VLOOKUP($A130,OversightActuals!$A$102:U$109,COLUMN(OversightActuals!U:U),0)/1000</f>
        <v>11108.44073</v>
      </c>
      <c r="AH130" s="3">
        <f>VLOOKUP($A130,OversightActuals!$A$102:V$109,COLUMN(OversightActuals!V:V),0)/1000</f>
        <v>11406.494480000001</v>
      </c>
      <c r="AI130" s="3">
        <f>VLOOKUP($A130,OversightActuals!$A$102:W$109,COLUMN(OversightActuals!W:W),0)/1000</f>
        <v>10429.768679999999</v>
      </c>
      <c r="AJ130" s="3">
        <f>VLOOKUP($A130,OversightActuals!$A$102:X$109,COLUMN(OversightActuals!X:X),0)/1000</f>
        <v>11337.053529999999</v>
      </c>
      <c r="AK130" s="3">
        <f>VLOOKUP($A130,OversightActuals!$A$102:Y$109,COLUMN(OversightActuals!Y:Y),0)/1000</f>
        <v>10590.913400000001</v>
      </c>
      <c r="AL130" s="3">
        <f>IFERROR(ROUND(VLOOKUP($A130,OversightBudgets!$K$16:$N$22,4,0)/2,0),0)</f>
        <v>11400</v>
      </c>
    </row>
    <row r="131" spans="1:38" hidden="1">
      <c r="B131" s="1" t="str">
        <f>+$B$17</f>
        <v>HEC Board, CHE, SFA, &amp; SAC (1)</v>
      </c>
      <c r="C131"/>
      <c r="D131"/>
      <c r="E131"/>
      <c r="F131"/>
      <c r="G131"/>
      <c r="H131"/>
      <c r="I131"/>
      <c r="J131"/>
      <c r="K131"/>
      <c r="L131"/>
      <c r="M131"/>
      <c r="N131"/>
      <c r="O131"/>
      <c r="P131"/>
      <c r="Q131" s="3"/>
      <c r="R131" s="3"/>
      <c r="S131" s="3"/>
      <c r="T131" s="3"/>
      <c r="U131" s="3"/>
      <c r="V131" s="3"/>
      <c r="W131"/>
      <c r="X131"/>
      <c r="AF131" s="1"/>
    </row>
    <row r="132" spans="1:38" ht="13.5" thickBot="1">
      <c r="C132"/>
      <c r="D132"/>
      <c r="E132"/>
      <c r="F132"/>
      <c r="G132"/>
      <c r="H132"/>
      <c r="I132"/>
      <c r="J132"/>
      <c r="K132"/>
      <c r="L132"/>
      <c r="M132"/>
      <c r="N132"/>
      <c r="O132"/>
      <c r="P132"/>
      <c r="S132" s="3"/>
      <c r="W132"/>
      <c r="X132"/>
      <c r="AF132" s="1"/>
    </row>
    <row r="133" spans="1:38" ht="13.5" thickTop="1">
      <c r="B133" s="1" t="str">
        <f>+$B$19</f>
        <v>Total Higher Education</v>
      </c>
      <c r="C133" s="38"/>
      <c r="D133" s="38"/>
      <c r="E133" s="38"/>
      <c r="F133" s="38"/>
      <c r="G133" s="38"/>
      <c r="H133" s="38"/>
      <c r="I133" s="38"/>
      <c r="J133" s="38"/>
      <c r="K133" s="38"/>
      <c r="L133" s="38"/>
      <c r="M133" s="38"/>
      <c r="N133" s="38"/>
      <c r="O133" s="38"/>
      <c r="P133" s="38"/>
      <c r="Q133" s="39">
        <f t="shared" ref="Q133:V133" si="119">+Q130+Q128</f>
        <v>26076.081760000001</v>
      </c>
      <c r="R133" s="39">
        <f t="shared" si="119"/>
        <v>26821.91733</v>
      </c>
      <c r="S133" s="39">
        <f t="shared" si="119"/>
        <v>33410.313130000002</v>
      </c>
      <c r="T133" s="39">
        <f t="shared" si="119"/>
        <v>34344.686519999996</v>
      </c>
      <c r="U133" s="39">
        <f t="shared" si="119"/>
        <v>32665.978490000001</v>
      </c>
      <c r="V133" s="39">
        <f t="shared" si="119"/>
        <v>35088.940640000001</v>
      </c>
      <c r="W133" s="39">
        <f t="shared" ref="W133:AB133" si="120">+W130+W128</f>
        <v>26341.87513</v>
      </c>
      <c r="X133" s="39">
        <f t="shared" si="120"/>
        <v>41389.494700000003</v>
      </c>
      <c r="Y133" s="39">
        <f t="shared" si="120"/>
        <v>31752.508770000004</v>
      </c>
      <c r="Z133" s="39">
        <f t="shared" si="120"/>
        <v>35999.317849999999</v>
      </c>
      <c r="AA133" s="39">
        <f t="shared" si="120"/>
        <v>36121.755950000006</v>
      </c>
      <c r="AB133" s="39">
        <f t="shared" si="120"/>
        <v>31615.572309999996</v>
      </c>
      <c r="AC133" s="39">
        <f t="shared" ref="AC133:AL133" si="121">+AC130+AC128</f>
        <v>33798.96243</v>
      </c>
      <c r="AD133" s="39">
        <f t="shared" si="121"/>
        <v>33765.645629999999</v>
      </c>
      <c r="AE133" s="39">
        <f t="shared" si="121"/>
        <v>34284.65307</v>
      </c>
      <c r="AF133" s="39">
        <f t="shared" si="121"/>
        <v>33338.419589999998</v>
      </c>
      <c r="AG133" s="39">
        <f t="shared" si="121"/>
        <v>33946.513019999999</v>
      </c>
      <c r="AH133" s="39">
        <f t="shared" ref="AH133:AK133" si="122">+AH130+AH128</f>
        <v>33636.82922</v>
      </c>
      <c r="AI133" s="39">
        <f t="shared" si="122"/>
        <v>31882.413049999996</v>
      </c>
      <c r="AJ133" s="39">
        <f t="shared" ref="AJ133:AK133" si="123">+AJ130+AJ128</f>
        <v>32739.194739999999</v>
      </c>
      <c r="AK133" s="39">
        <f t="shared" si="123"/>
        <v>33436.029049999997</v>
      </c>
      <c r="AL133" s="39">
        <f t="shared" si="121"/>
        <v>33938</v>
      </c>
    </row>
    <row r="134" spans="1:38">
      <c r="B134" s="199" t="str">
        <f>+$B$20</f>
        <v>[biennial]</v>
      </c>
      <c r="C134"/>
      <c r="D134"/>
      <c r="E134"/>
      <c r="F134"/>
      <c r="G134"/>
      <c r="H134"/>
      <c r="I134"/>
      <c r="J134"/>
      <c r="K134"/>
      <c r="L134"/>
      <c r="M134"/>
      <c r="N134"/>
      <c r="O134"/>
      <c r="P134"/>
      <c r="R134" s="3">
        <f>+R133+Q133</f>
        <v>52897.999089999998</v>
      </c>
      <c r="T134" s="3">
        <f>+T133+S133</f>
        <v>67754.999649999998</v>
      </c>
      <c r="U134" s="3"/>
      <c r="V134" s="3">
        <f>+V133+U133</f>
        <v>67754.919129999995</v>
      </c>
      <c r="W134" s="3"/>
      <c r="X134" s="3">
        <f>+X133+W133</f>
        <v>67731.369830000011</v>
      </c>
      <c r="Y134" s="3"/>
      <c r="Z134" s="3">
        <f>+Z133+Y133</f>
        <v>67751.826620000007</v>
      </c>
      <c r="AA134" s="3"/>
      <c r="AB134" s="3">
        <f>+AB133+AA133</f>
        <v>67737.328260000009</v>
      </c>
      <c r="AC134" s="3"/>
      <c r="AD134" s="3">
        <f>+AD133+AC133</f>
        <v>67564.608059999999</v>
      </c>
      <c r="AE134" s="3"/>
      <c r="AF134" s="3">
        <f>+AF133+AE133</f>
        <v>67623.072660000005</v>
      </c>
      <c r="AG134" s="3"/>
      <c r="AH134" s="3">
        <f>+AH133+AG133</f>
        <v>67583.342239999998</v>
      </c>
      <c r="AI134" s="3"/>
      <c r="AJ134" s="3">
        <f>+AJ133+AI133</f>
        <v>64621.607789999995</v>
      </c>
      <c r="AK134" s="3"/>
      <c r="AL134" s="3">
        <f>+AL133+AI133</f>
        <v>65820.413050000003</v>
      </c>
    </row>
    <row r="135" spans="1:38" ht="13.5">
      <c r="C135"/>
      <c r="D135"/>
      <c r="E135"/>
      <c r="F135"/>
      <c r="G135"/>
      <c r="H135"/>
      <c r="I135"/>
      <c r="J135"/>
      <c r="K135"/>
      <c r="L135"/>
      <c r="M135" s="1880" t="str">
        <f t="shared" ref="M135:AE135" si="124">IF(SUM(M122:M127,M130:M131)&lt;&gt;M133,"Error","")</f>
        <v/>
      </c>
      <c r="N135" s="1880" t="str">
        <f t="shared" si="124"/>
        <v/>
      </c>
      <c r="O135" s="1880" t="str">
        <f t="shared" si="124"/>
        <v/>
      </c>
      <c r="P135" s="1880" t="str">
        <f t="shared" si="124"/>
        <v/>
      </c>
      <c r="Q135" s="1880" t="str">
        <f t="shared" si="124"/>
        <v/>
      </c>
      <c r="R135" s="1880" t="str">
        <f t="shared" si="124"/>
        <v/>
      </c>
      <c r="S135" s="1880" t="str">
        <f t="shared" si="124"/>
        <v/>
      </c>
      <c r="T135" s="1880" t="str">
        <f t="shared" si="124"/>
        <v/>
      </c>
      <c r="U135" s="1880" t="str">
        <f t="shared" si="124"/>
        <v/>
      </c>
      <c r="V135" s="1880" t="str">
        <f t="shared" si="124"/>
        <v/>
      </c>
      <c r="W135" s="1880" t="str">
        <f t="shared" si="124"/>
        <v/>
      </c>
      <c r="X135" s="1880" t="str">
        <f t="shared" si="124"/>
        <v/>
      </c>
      <c r="Y135" s="1880" t="str">
        <f t="shared" si="124"/>
        <v/>
      </c>
      <c r="Z135" s="1880" t="str">
        <f t="shared" si="124"/>
        <v/>
      </c>
      <c r="AA135" s="1880" t="str">
        <f t="shared" si="124"/>
        <v/>
      </c>
      <c r="AB135" s="1880" t="str">
        <f t="shared" si="124"/>
        <v/>
      </c>
      <c r="AC135" s="1880" t="str">
        <f t="shared" si="124"/>
        <v/>
      </c>
      <c r="AD135" s="1880" t="str">
        <f t="shared" si="124"/>
        <v/>
      </c>
      <c r="AE135" s="1880" t="str">
        <f t="shared" si="124"/>
        <v/>
      </c>
      <c r="AG135" s="1880" t="str">
        <f>IF(SUM(AG122:AG127,AG130:AG131)&lt;&gt;AG133,"Error","")</f>
        <v/>
      </c>
      <c r="AH135" s="1880"/>
      <c r="AI135" s="1880"/>
      <c r="AJ135" s="1880"/>
      <c r="AK135" s="1880"/>
      <c r="AL135" s="1880" t="str">
        <f>IF(SUM(AL122:AL127,AL130:AL131)&lt;&gt;AL133,"Error","")</f>
        <v/>
      </c>
    </row>
    <row r="136" spans="1:38" ht="39.950000000000003" customHeight="1">
      <c r="B136" s="2448" t="str">
        <f>CONCATENATE(B165&amp;B166&amp;OversightBudgets!N15&amp;B167)</f>
        <v>Other State Funds:  Aquatic Lands (02R-1); Economic Development Strategic Reserve (09R-1); Geoduck Aquaculture (12P-1); Biotoxin (15M-1); Aerospace Training (17R-1); Workforce Education Investment (24J-1); Dedicated Marijuana (315-1); Pension Funding Stablilization (489-1); Accident (608-1); Medical Aid (609-1); Health Professions (747-1), and capital funds appropriated in the 2023-25 Operating Budget</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c r="AK136" s="2401"/>
      <c r="AL136" s="2401"/>
    </row>
    <row r="137" spans="1:38">
      <c r="B137" s="5" t="str">
        <f>+$B$4</f>
        <v>(Dollars in Thousands)</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row>
    <row r="138" spans="1:38">
      <c r="I138" s="13"/>
      <c r="J138" s="13"/>
      <c r="K138" s="13"/>
      <c r="L138" s="13"/>
      <c r="M138" s="13"/>
      <c r="N138" s="13"/>
      <c r="O138" s="13"/>
      <c r="P138" s="13"/>
      <c r="Q138"/>
      <c r="R138" s="13"/>
      <c r="S138"/>
      <c r="T138"/>
      <c r="U138"/>
      <c r="V138" s="2"/>
      <c r="W138"/>
      <c r="X138" s="2"/>
      <c r="Y138" s="2"/>
      <c r="Z138" s="2"/>
      <c r="AA138"/>
      <c r="AB138"/>
      <c r="AC138"/>
      <c r="AD138"/>
      <c r="AE138"/>
      <c r="AG138"/>
      <c r="AH138"/>
      <c r="AI138" s="2" t="str">
        <f t="shared" ref="AI138:AL138" si="125">TRIM(+AI$5)</f>
        <v/>
      </c>
      <c r="AJ138" s="2" t="str">
        <f t="shared" si="125"/>
        <v/>
      </c>
      <c r="AK138" s="2" t="str">
        <f t="shared" si="125"/>
        <v>Final</v>
      </c>
      <c r="AL138" s="2" t="str">
        <f t="shared" si="125"/>
        <v>Enacted</v>
      </c>
    </row>
    <row r="139" spans="1:38">
      <c r="C139" s="2" t="str">
        <f t="shared" ref="C139:V139" si="126">+C44</f>
        <v>FY1990</v>
      </c>
      <c r="D139" s="2" t="str">
        <f t="shared" si="126"/>
        <v>FY1991</v>
      </c>
      <c r="E139" s="2" t="str">
        <f t="shared" si="126"/>
        <v>FY1992</v>
      </c>
      <c r="F139" s="2" t="str">
        <f t="shared" si="126"/>
        <v>FY1993</v>
      </c>
      <c r="G139" s="2" t="str">
        <f t="shared" si="126"/>
        <v>FY1994</v>
      </c>
      <c r="H139" s="2" t="str">
        <f t="shared" si="126"/>
        <v>FY1995</v>
      </c>
      <c r="I139" s="2" t="str">
        <f t="shared" si="126"/>
        <v>FY1996</v>
      </c>
      <c r="J139" s="2" t="str">
        <f t="shared" si="126"/>
        <v>FY1997</v>
      </c>
      <c r="K139" s="2" t="str">
        <f t="shared" si="126"/>
        <v>FY1998</v>
      </c>
      <c r="L139" s="2" t="str">
        <f t="shared" si="126"/>
        <v>FY1999</v>
      </c>
      <c r="M139" s="2" t="str">
        <f t="shared" si="126"/>
        <v>FY2000</v>
      </c>
      <c r="N139" s="2" t="str">
        <f t="shared" si="126"/>
        <v>FY2001</v>
      </c>
      <c r="O139" s="2" t="str">
        <f t="shared" si="126"/>
        <v>FY2002</v>
      </c>
      <c r="P139" s="2" t="str">
        <f t="shared" si="126"/>
        <v>FY2003</v>
      </c>
      <c r="Q139" s="2" t="str">
        <f t="shared" si="126"/>
        <v>FY2004</v>
      </c>
      <c r="R139" s="2" t="str">
        <f t="shared" si="126"/>
        <v>FY2005</v>
      </c>
      <c r="S139" s="2" t="str">
        <f t="shared" si="126"/>
        <v>FY2006</v>
      </c>
      <c r="T139" s="2" t="str">
        <f t="shared" si="126"/>
        <v>FY2007</v>
      </c>
      <c r="U139" s="2" t="str">
        <f t="shared" si="126"/>
        <v>FY2008</v>
      </c>
      <c r="V139" s="2" t="str">
        <f t="shared" si="126"/>
        <v>FY2009</v>
      </c>
      <c r="W139" s="2" t="str">
        <f>+$W$6</f>
        <v>FY2010</v>
      </c>
      <c r="X139" s="2" t="str">
        <f>+$X$6</f>
        <v>FY2011</v>
      </c>
      <c r="Y139" s="2" t="str">
        <f>+$Y$6</f>
        <v>FY2012</v>
      </c>
      <c r="Z139" s="2" t="str">
        <f>+$Z$6</f>
        <v>FY2013</v>
      </c>
      <c r="AA139" s="2" t="str">
        <f>+$AA$6</f>
        <v>FY2014</v>
      </c>
      <c r="AB139" s="2" t="str">
        <f>+$AB$6</f>
        <v>FY2015</v>
      </c>
      <c r="AC139" s="2" t="str">
        <f>+$AC$6</f>
        <v>FY2016</v>
      </c>
      <c r="AD139" s="2" t="str">
        <f>+$AD$6</f>
        <v>FY2017</v>
      </c>
      <c r="AE139" s="2" t="str">
        <f>+$AE$6</f>
        <v>FY2018</v>
      </c>
      <c r="AF139" s="2" t="str">
        <f>+AF$6</f>
        <v>FY2019</v>
      </c>
      <c r="AG139" s="2" t="str">
        <f t="shared" ref="AG139:AL139" si="127">+AG$6</f>
        <v>FY2020</v>
      </c>
      <c r="AH139" s="2" t="str">
        <f t="shared" si="127"/>
        <v>FY2021</v>
      </c>
      <c r="AI139" s="2" t="str">
        <f t="shared" si="127"/>
        <v>FY2022</v>
      </c>
      <c r="AJ139" s="2" t="str">
        <f t="shared" si="127"/>
        <v>FY2023</v>
      </c>
      <c r="AK139" s="2" t="str">
        <f t="shared" si="127"/>
        <v>FY2024</v>
      </c>
      <c r="AL139" s="2" t="str">
        <f t="shared" si="127"/>
        <v>FY2025</v>
      </c>
    </row>
    <row r="140" spans="1:38">
      <c r="R140" s="3"/>
      <c r="W140"/>
      <c r="X140"/>
      <c r="AF140" s="1"/>
    </row>
    <row r="141" spans="1:38">
      <c r="A141" s="1" t="str">
        <f>+$A$8</f>
        <v>360</v>
      </c>
      <c r="B141" s="1" t="str">
        <f>+$B$8</f>
        <v>University of Washington</v>
      </c>
      <c r="C141" s="3"/>
      <c r="D141" s="3"/>
      <c r="E141" s="3"/>
      <c r="F141" s="3"/>
      <c r="G141" s="3"/>
      <c r="H141" s="3"/>
      <c r="I141" s="3"/>
      <c r="J141" s="3"/>
      <c r="K141" s="3"/>
      <c r="L141" s="3"/>
      <c r="M141" s="3">
        <f>IFERROR(VLOOKUP($A141,OversightActuals!$A$75:$AA$88,COLUMN(OversightActuals!D:D),0)/1000,"")</f>
        <v>5296.0886</v>
      </c>
      <c r="N141" s="3">
        <f>IFERROR(VLOOKUP($A141,OversightActuals!$A$75:$AA$88,COLUMN(OversightActuals!E:E),0)/1000,"")</f>
        <v>6298.9114</v>
      </c>
      <c r="O141" s="3">
        <f>IFERROR(VLOOKUP($A141,OversightActuals!$A$75:$AA$88,COLUMN(OversightActuals!F:F),0)/1000,"")</f>
        <v>5800.3806600000007</v>
      </c>
      <c r="P141" s="3">
        <f>IFERROR(VLOOKUP($A141,OversightActuals!$A$75:$AA$88,COLUMN(OversightActuals!G:G),0)/1000,"")</f>
        <v>7120.6193400000002</v>
      </c>
      <c r="Q141" s="3">
        <f>IFERROR(VLOOKUP($A141,OversightActuals!$A$75:$AA$88,COLUMN(OversightActuals!H:H),0)/1000,"")</f>
        <v>5873.9603799999995</v>
      </c>
      <c r="R141" s="3">
        <f>IFERROR(VLOOKUP($A141,OversightActuals!$A$75:$AA$88,COLUMN(OversightActuals!I:I),0)/1000,"")</f>
        <v>6013.7756200000013</v>
      </c>
      <c r="S141" s="3">
        <f>IFERROR(VLOOKUP($A141,OversightActuals!$A$75:$AA$88,COLUMN(OversightActuals!J:J),0)/1000,"")</f>
        <v>6057.4288399999996</v>
      </c>
      <c r="T141" s="3">
        <f>IFERROR(VLOOKUP($A141,OversightActuals!$A$75:$AA$88,COLUMN(OversightActuals!K:K),0)/1000,"")</f>
        <v>6894.2282900000009</v>
      </c>
      <c r="U141" s="3">
        <f>IFERROR(VLOOKUP($A141,OversightActuals!$A$75:$AA$88,COLUMN(OversightActuals!L:L),0)/1000,"")</f>
        <v>6488.101529999999</v>
      </c>
      <c r="V141" s="3">
        <f>IFERROR(VLOOKUP($A141,OversightActuals!$A$75:$AA$88,COLUMN(OversightActuals!M:M),0)/1000,"")</f>
        <v>6381.0505499999999</v>
      </c>
      <c r="W141" s="3">
        <f>IFERROR(VLOOKUP($A141,OversightActuals!$A$75:$AA$88,COLUMN(OversightActuals!N:N),0)/1000,"")</f>
        <v>6596.5375299999996</v>
      </c>
      <c r="X141" s="3">
        <f>IFERROR(VLOOKUP($A141,OversightActuals!$A$75:$AA$88,COLUMN(OversightActuals!O:O),0)/1000,"")</f>
        <v>6910.5389100000002</v>
      </c>
      <c r="Y141" s="3">
        <f>IFERROR(VLOOKUP($A141,OversightActuals!$A$75:$AA$88,COLUMN(OversightActuals!P:P),0)/1000,"")</f>
        <v>6187.80159</v>
      </c>
      <c r="Z141" s="3">
        <f>IFERROR(VLOOKUP($A141,OversightActuals!$A$75:$AA$88,COLUMN(OversightActuals!Q:Q),0)/1000,"")</f>
        <v>8815.2296400000014</v>
      </c>
      <c r="AA141" s="3">
        <f>IFERROR(VLOOKUP($A141,OversightActuals!$A$75:$AA$88,COLUMN(OversightActuals!R:R),0)/1000,"")</f>
        <v>7781.2381899999991</v>
      </c>
      <c r="AB141" s="3">
        <f>IFERROR(VLOOKUP($A141,OversightActuals!$A$75:$AA$88,COLUMN(OversightActuals!S:S),0)/1000,"")</f>
        <v>9572.6825899999985</v>
      </c>
      <c r="AC141" s="3">
        <f>IFERROR(VLOOKUP($A141,OversightActuals!$A$75:$AA$88,COLUMN(OversightActuals!T:T),0)/1000,"")</f>
        <v>9655.4633400000002</v>
      </c>
      <c r="AD141" s="3">
        <f>IFERROR(VLOOKUP($A141,OversightActuals!$A$75:$AA$88,COLUMN(OversightActuals!U:U),0)/1000,"")</f>
        <v>9516.75605</v>
      </c>
      <c r="AE141" s="3">
        <f>IFERROR(VLOOKUP($A141,OversightActuals!$A$75:$AA$88,COLUMN(OversightActuals!V:V),0)/1000,"")</f>
        <v>36518.033769999995</v>
      </c>
      <c r="AF141" s="3">
        <f>IFERROR(VLOOKUP($A141,OversightActuals!$A$75:$AA$88,COLUMN(OversightActuals!W:W),0)/1000,"")</f>
        <v>35557.65155000001</v>
      </c>
      <c r="AG141" s="3">
        <f>IFERROR(VLOOKUP($A141,OversightActuals!$A$75:$AA$88,COLUMN(OversightActuals!X:X),0)/1000,"")</f>
        <v>48050.579410000006</v>
      </c>
      <c r="AH141" s="3">
        <f>IFERROR(VLOOKUP($A141,OversightActuals!$A$75:$AA$88,COLUMN(OversightActuals!Y:Y),0)/1000,"")</f>
        <v>61423.650740000012</v>
      </c>
      <c r="AI141" s="3">
        <f>IFERROR(VLOOKUP($A141,OversightActuals!$A$75:$AA$88,COLUMN(OversightActuals!Z:Z),0)/1000,"")</f>
        <v>35854.387040000001</v>
      </c>
      <c r="AJ141" s="3">
        <f>IFERROR(VLOOKUP($A141,OversightActuals!$A$75:$AA$88,COLUMN(OversightActuals!AA:AA),0)/1000,"")</f>
        <v>39308.538699999997</v>
      </c>
      <c r="AK141" s="3">
        <f>IFERROR(VLOOKUP($A141,OversightActuals!$A$75:AB$88,COLUMN(OversightActuals!AB:AB),0)/1000,"")</f>
        <v>46788.052269999993</v>
      </c>
      <c r="AL141" s="3">
        <f>IFERROR(VLOOKUP($A141,OversightBudgets!$K$37:N52,COLUMN(OversightBudgets!C:C),0)/1000,0)</f>
        <v>61638</v>
      </c>
    </row>
    <row r="142" spans="1:38">
      <c r="A142" s="1" t="str">
        <f>+$A$9</f>
        <v>365</v>
      </c>
      <c r="B142" s="1" t="str">
        <f>+$B$9</f>
        <v>Washington State University</v>
      </c>
      <c r="C142" s="3"/>
      <c r="D142" s="3"/>
      <c r="E142" s="3"/>
      <c r="F142" s="3"/>
      <c r="G142" s="3"/>
      <c r="H142" s="3"/>
      <c r="I142" s="3"/>
      <c r="J142" s="3"/>
      <c r="K142" s="3"/>
      <c r="L142" s="3"/>
      <c r="M142" s="3">
        <f>IFERROR(VLOOKUP($A142,OversightActuals!$A$75:$AA$88,COLUMN(OversightActuals!D:D),0)/1000,"")</f>
        <v>0</v>
      </c>
      <c r="N142" s="3">
        <f>IFERROR(VLOOKUP($A142,OversightActuals!$A$75:$AA$88,COLUMN(OversightActuals!E:E),0)/1000,"")</f>
        <v>0</v>
      </c>
      <c r="O142" s="3">
        <f>IFERROR(VLOOKUP($A142,OversightActuals!$A$75:$AA$88,COLUMN(OversightActuals!F:F),0)/1000,"")</f>
        <v>0</v>
      </c>
      <c r="P142" s="3">
        <f>IFERROR(VLOOKUP($A142,OversightActuals!$A$75:$AA$88,COLUMN(OversightActuals!G:G),0)/1000,"")</f>
        <v>0</v>
      </c>
      <c r="Q142" s="3">
        <f>IFERROR(VLOOKUP($A142,OversightActuals!$A$75:$AA$88,COLUMN(OversightActuals!H:H),0)/1000,"")</f>
        <v>0</v>
      </c>
      <c r="R142" s="3">
        <f>IFERROR(VLOOKUP($A142,OversightActuals!$A$75:$AA$88,COLUMN(OversightActuals!I:I),0)/1000,"")</f>
        <v>150</v>
      </c>
      <c r="S142" s="3">
        <f>IFERROR(VLOOKUP($A142,OversightActuals!$A$75:$AA$88,COLUMN(OversightActuals!J:J),0)/1000,"")</f>
        <v>0</v>
      </c>
      <c r="T142" s="3">
        <f>IFERROR(VLOOKUP($A142,OversightActuals!$A$75:$AA$88,COLUMN(OversightActuals!K:K),0)/1000,"")</f>
        <v>293</v>
      </c>
      <c r="U142" s="3">
        <f>IFERROR(VLOOKUP($A142,OversightActuals!$A$75:$AA$88,COLUMN(OversightActuals!L:L),0)/1000,"")</f>
        <v>1225</v>
      </c>
      <c r="V142" s="3">
        <f>IFERROR(VLOOKUP($A142,OversightActuals!$A$75:$AA$88,COLUMN(OversightActuals!M:M),0)/1000,"")</f>
        <v>1225</v>
      </c>
      <c r="W142" s="3">
        <f>IFERROR(VLOOKUP($A142,OversightActuals!$A$75:$AA$88,COLUMN(OversightActuals!N:N),0)/1000,"")</f>
        <v>0</v>
      </c>
      <c r="X142" s="3">
        <f>IFERROR(VLOOKUP($A142,OversightActuals!$A$75:$AA$88,COLUMN(OversightActuals!O:O),0)/1000,"")</f>
        <v>0</v>
      </c>
      <c r="Y142" s="3">
        <f>IFERROR(VLOOKUP($A142,OversightActuals!$A$75:$AA$88,COLUMN(OversightActuals!P:P),0)/1000,"")</f>
        <v>0</v>
      </c>
      <c r="Z142" s="3">
        <f>IFERROR(VLOOKUP($A142,OversightActuals!$A$75:$AA$88,COLUMN(OversightActuals!Q:Q),0)/1000,"")</f>
        <v>0</v>
      </c>
      <c r="AA142" s="3">
        <f>IFERROR(VLOOKUP($A142,OversightActuals!$A$75:$AA$88,COLUMN(OversightActuals!R:R),0)/1000,"")</f>
        <v>0</v>
      </c>
      <c r="AB142" s="3">
        <f>IFERROR(VLOOKUP($A142,OversightActuals!$A$75:$AA$88,COLUMN(OversightActuals!S:S),0)/1000,"")</f>
        <v>0</v>
      </c>
      <c r="AC142" s="3">
        <f>IFERROR(VLOOKUP($A142,OversightActuals!$A$75:$AA$88,COLUMN(OversightActuals!T:T),0)/1000,"")</f>
        <v>138</v>
      </c>
      <c r="AD142" s="3">
        <f>IFERROR(VLOOKUP($A142,OversightActuals!$A$75:$AA$88,COLUMN(OversightActuals!U:U),0)/1000,"")</f>
        <v>138</v>
      </c>
      <c r="AE142" s="3">
        <f>IFERROR(VLOOKUP($A142,OversightActuals!$A$75:$AA$88,COLUMN(OversightActuals!V:V),0)/1000,"")</f>
        <v>16040</v>
      </c>
      <c r="AF142" s="3">
        <f>IFERROR(VLOOKUP($A142,OversightActuals!$A$75:$AA$88,COLUMN(OversightActuals!W:W),0)/1000,"")</f>
        <v>16011</v>
      </c>
      <c r="AG142" s="3">
        <f>IFERROR(VLOOKUP($A142,OversightActuals!$A$75:$AA$88,COLUMN(OversightActuals!X:X),0)/1000,"")</f>
        <v>22724</v>
      </c>
      <c r="AH142" s="3">
        <f>IFERROR(VLOOKUP($A142,OversightActuals!$A$75:$AA$88,COLUMN(OversightActuals!Y:Y),0)/1000,"")</f>
        <v>29051</v>
      </c>
      <c r="AI142" s="3">
        <f>IFERROR(VLOOKUP($A142,OversightActuals!$A$75:$AA$88,COLUMN(OversightActuals!Z:Z),0)/1000,"")</f>
        <v>15374</v>
      </c>
      <c r="AJ142" s="3">
        <f>IFERROR(VLOOKUP($A142,OversightActuals!$A$75:$AA$88,COLUMN(OversightActuals!AA:AA),0)/1000,"")</f>
        <v>17467</v>
      </c>
      <c r="AK142" s="3">
        <f>IFERROR(VLOOKUP($A142,OversightActuals!$A$75:AB$88,COLUMN(OversightActuals!AB:AB),0)/1000,"")</f>
        <v>23737</v>
      </c>
      <c r="AL142" s="3">
        <f>IFERROR(VLOOKUP($A142,OversightBudgets!$K$37:N52,COLUMN(OversightBudgets!C:C),0)/1000,0)</f>
        <v>26504</v>
      </c>
    </row>
    <row r="143" spans="1:38">
      <c r="A143" s="1" t="str">
        <f>+$A$10</f>
        <v>370</v>
      </c>
      <c r="B143" s="1" t="str">
        <f>+$B$10</f>
        <v>Eastern Washington University</v>
      </c>
      <c r="C143" s="3"/>
      <c r="D143" s="3"/>
      <c r="E143" s="3"/>
      <c r="F143" s="3"/>
      <c r="G143" s="3"/>
      <c r="H143" s="3"/>
      <c r="I143" s="3"/>
      <c r="J143" s="3"/>
      <c r="K143" s="3"/>
      <c r="L143" s="3"/>
      <c r="M143" s="3">
        <f>IFERROR(VLOOKUP($A143,OversightActuals!$A$75:$AA$88,COLUMN(OversightActuals!D:D),0)/1000,"")</f>
        <v>0</v>
      </c>
      <c r="N143" s="3">
        <f>IFERROR(VLOOKUP($A143,OversightActuals!$A$75:$AA$88,COLUMN(OversightActuals!E:E),0)/1000,"")</f>
        <v>0</v>
      </c>
      <c r="O143" s="3">
        <f>IFERROR(VLOOKUP($A143,OversightActuals!$A$75:$AA$88,COLUMN(OversightActuals!F:F),0)/1000,"")</f>
        <v>0</v>
      </c>
      <c r="P143" s="3">
        <f>IFERROR(VLOOKUP($A143,OversightActuals!$A$75:$AA$88,COLUMN(OversightActuals!G:G),0)/1000,"")</f>
        <v>0</v>
      </c>
      <c r="Q143" s="3">
        <f>IFERROR(VLOOKUP($A143,OversightActuals!$A$75:$AA$88,COLUMN(OversightActuals!H:H),0)/1000,"")</f>
        <v>0</v>
      </c>
      <c r="R143" s="3">
        <f>IFERROR(VLOOKUP($A143,OversightActuals!$A$75:$AA$88,COLUMN(OversightActuals!I:I),0)/1000,"")</f>
        <v>0</v>
      </c>
      <c r="S143" s="3">
        <f>IFERROR(VLOOKUP($A143,OversightActuals!$A$75:$AA$88,COLUMN(OversightActuals!J:J),0)/1000,"")</f>
        <v>0</v>
      </c>
      <c r="T143" s="3">
        <f>IFERROR(VLOOKUP($A143,OversightActuals!$A$75:$AA$88,COLUMN(OversightActuals!K:K),0)/1000,"")</f>
        <v>110</v>
      </c>
      <c r="U143" s="3">
        <f>IFERROR(VLOOKUP($A143,OversightActuals!$A$75:$AA$88,COLUMN(OversightActuals!L:L),0)/1000,"")</f>
        <v>2379</v>
      </c>
      <c r="V143" s="3">
        <f>IFERROR(VLOOKUP($A143,OversightActuals!$A$75:$AA$88,COLUMN(OversightActuals!M:M),0)/1000,"")</f>
        <v>2379</v>
      </c>
      <c r="W143" s="3">
        <f>IFERROR(VLOOKUP($A143,OversightActuals!$A$75:$AA$88,COLUMN(OversightActuals!N:N),0)/1000,"")</f>
        <v>0</v>
      </c>
      <c r="X143" s="3">
        <f>IFERROR(VLOOKUP($A143,OversightActuals!$A$75:$AA$88,COLUMN(OversightActuals!O:O),0)/1000,"")</f>
        <v>0</v>
      </c>
      <c r="Y143" s="3">
        <f>IFERROR(VLOOKUP($A143,OversightActuals!$A$75:$AA$88,COLUMN(OversightActuals!P:P),0)/1000,"")</f>
        <v>0</v>
      </c>
      <c r="Z143" s="3">
        <f>IFERROR(VLOOKUP($A143,OversightActuals!$A$75:$AA$88,COLUMN(OversightActuals!Q:Q),0)/1000,"")</f>
        <v>0</v>
      </c>
      <c r="AA143" s="3">
        <f>IFERROR(VLOOKUP($A143,OversightActuals!$A$75:$AA$88,COLUMN(OversightActuals!R:R),0)/1000,"")</f>
        <v>0</v>
      </c>
      <c r="AB143" s="3">
        <f>IFERROR(VLOOKUP($A143,OversightActuals!$A$75:$AA$88,COLUMN(OversightActuals!S:S),0)/1000,"")</f>
        <v>0</v>
      </c>
      <c r="AC143" s="3">
        <f>IFERROR(VLOOKUP($A143,OversightActuals!$A$75:$AA$88,COLUMN(OversightActuals!T:T),0)/1000,"")</f>
        <v>0</v>
      </c>
      <c r="AD143" s="3">
        <f>IFERROR(VLOOKUP($A143,OversightActuals!$A$75:$AA$88,COLUMN(OversightActuals!U:U),0)/1000,"")</f>
        <v>0</v>
      </c>
      <c r="AE143" s="3">
        <f>IFERROR(VLOOKUP($A143,OversightActuals!$A$75:$AA$88,COLUMN(OversightActuals!V:V),0)/1000,"")</f>
        <v>0</v>
      </c>
      <c r="AF143" s="3">
        <f>IFERROR(VLOOKUP($A143,OversightActuals!$A$75:$AA$88,COLUMN(OversightActuals!W:W),0)/1000,"")</f>
        <v>0</v>
      </c>
      <c r="AG143" s="3">
        <f>IFERROR(VLOOKUP($A143,OversightActuals!$A$75:$AA$88,COLUMN(OversightActuals!X:X),0)/1000,"")</f>
        <v>1995</v>
      </c>
      <c r="AH143" s="3">
        <f>IFERROR(VLOOKUP($A143,OversightActuals!$A$75:$AA$88,COLUMN(OversightActuals!Y:Y),0)/1000,"")</f>
        <v>2455</v>
      </c>
      <c r="AI143" s="3">
        <f>IFERROR(VLOOKUP($A143,OversightActuals!$A$75:$AA$88,COLUMN(OversightActuals!Z:Z),0)/1000,"")</f>
        <v>2605</v>
      </c>
      <c r="AJ143" s="3">
        <f>IFERROR(VLOOKUP($A143,OversightActuals!$A$75:$AA$88,COLUMN(OversightActuals!AA:AA),0)/1000,"")</f>
        <v>12639</v>
      </c>
      <c r="AK143" s="3">
        <f>IFERROR(VLOOKUP($A143,OversightActuals!$A$75:AB$88,COLUMN(OversightActuals!AB:AB),0)/1000,"")</f>
        <v>12374</v>
      </c>
      <c r="AL143" s="3">
        <f>IFERROR(VLOOKUP($A143,OversightBudgets!$K$37:N52,COLUMN(OversightBudgets!C:C),0)/1000,0)</f>
        <v>12535</v>
      </c>
    </row>
    <row r="144" spans="1:38">
      <c r="A144" s="1" t="str">
        <f>+$A$11</f>
        <v>375</v>
      </c>
      <c r="B144" s="1" t="str">
        <f>+$B$11</f>
        <v>Central Washington University</v>
      </c>
      <c r="C144" s="3"/>
      <c r="D144" s="3"/>
      <c r="E144" s="3"/>
      <c r="F144" s="3"/>
      <c r="G144" s="3"/>
      <c r="H144" s="3"/>
      <c r="I144" s="3"/>
      <c r="J144" s="3"/>
      <c r="K144" s="3"/>
      <c r="L144" s="3"/>
      <c r="M144" s="3">
        <f>IFERROR(VLOOKUP($A144,OversightActuals!$A$75:$AA$88,COLUMN(OversightActuals!D:D),0)/1000,"")</f>
        <v>0</v>
      </c>
      <c r="N144" s="3">
        <f>IFERROR(VLOOKUP($A144,OversightActuals!$A$75:$AA$88,COLUMN(OversightActuals!E:E),0)/1000,"")</f>
        <v>0</v>
      </c>
      <c r="O144" s="3">
        <f>IFERROR(VLOOKUP($A144,OversightActuals!$A$75:$AA$88,COLUMN(OversightActuals!F:F),0)/1000,"")</f>
        <v>0</v>
      </c>
      <c r="P144" s="3">
        <f>IFERROR(VLOOKUP($A144,OversightActuals!$A$75:$AA$88,COLUMN(OversightActuals!G:G),0)/1000,"")</f>
        <v>0</v>
      </c>
      <c r="Q144" s="3">
        <f>IFERROR(VLOOKUP($A144,OversightActuals!$A$75:$AA$88,COLUMN(OversightActuals!H:H),0)/1000,"")</f>
        <v>0</v>
      </c>
      <c r="R144" s="3">
        <f>IFERROR(VLOOKUP($A144,OversightActuals!$A$75:$AA$88,COLUMN(OversightActuals!I:I),0)/1000,"")</f>
        <v>0</v>
      </c>
      <c r="S144" s="3">
        <f>IFERROR(VLOOKUP($A144,OversightActuals!$A$75:$AA$88,COLUMN(OversightActuals!J:J),0)/1000,"")</f>
        <v>0</v>
      </c>
      <c r="T144" s="3">
        <f>IFERROR(VLOOKUP($A144,OversightActuals!$A$75:$AA$88,COLUMN(OversightActuals!K:K),0)/1000,"")</f>
        <v>103</v>
      </c>
      <c r="U144" s="3">
        <f>IFERROR(VLOOKUP($A144,OversightActuals!$A$75:$AA$88,COLUMN(OversightActuals!L:L),0)/1000,"")</f>
        <v>2165</v>
      </c>
      <c r="V144" s="3">
        <f>IFERROR(VLOOKUP($A144,OversightActuals!$A$75:$AA$88,COLUMN(OversightActuals!M:M),0)/1000,"")</f>
        <v>2165</v>
      </c>
      <c r="W144" s="3">
        <f>IFERROR(VLOOKUP($A144,OversightActuals!$A$75:$AA$88,COLUMN(OversightActuals!N:N),0)/1000,"")</f>
        <v>0</v>
      </c>
      <c r="X144" s="3">
        <f>IFERROR(VLOOKUP($A144,OversightActuals!$A$75:$AA$88,COLUMN(OversightActuals!O:O),0)/1000,"")</f>
        <v>0</v>
      </c>
      <c r="Y144" s="3">
        <f>IFERROR(VLOOKUP($A144,OversightActuals!$A$75:$AA$88,COLUMN(OversightActuals!P:P),0)/1000,"")</f>
        <v>0</v>
      </c>
      <c r="Z144" s="3">
        <f>IFERROR(VLOOKUP($A144,OversightActuals!$A$75:$AA$88,COLUMN(OversightActuals!Q:Q),0)/1000,"")</f>
        <v>0</v>
      </c>
      <c r="AA144" s="3">
        <f>IFERROR(VLOOKUP($A144,OversightActuals!$A$75:$AA$88,COLUMN(OversightActuals!R:R),0)/1000,"")</f>
        <v>0</v>
      </c>
      <c r="AB144" s="3">
        <f>IFERROR(VLOOKUP($A144,OversightActuals!$A$75:$AA$88,COLUMN(OversightActuals!S:S),0)/1000,"")</f>
        <v>0</v>
      </c>
      <c r="AC144" s="3">
        <f>IFERROR(VLOOKUP($A144,OversightActuals!$A$75:$AA$88,COLUMN(OversightActuals!T:T),0)/1000,"")</f>
        <v>0</v>
      </c>
      <c r="AD144" s="3">
        <f>IFERROR(VLOOKUP($A144,OversightActuals!$A$75:$AA$88,COLUMN(OversightActuals!U:U),0)/1000,"")</f>
        <v>0</v>
      </c>
      <c r="AE144" s="3">
        <f>IFERROR(VLOOKUP($A144,OversightActuals!$A$75:$AA$88,COLUMN(OversightActuals!V:V),0)/1000,"")</f>
        <v>1998.5</v>
      </c>
      <c r="AF144" s="3">
        <f>IFERROR(VLOOKUP($A144,OversightActuals!$A$75:$AA$88,COLUMN(OversightActuals!W:W),0)/1000,"")</f>
        <v>1998.5</v>
      </c>
      <c r="AG144" s="3">
        <f>IFERROR(VLOOKUP($A144,OversightActuals!$A$75:$AA$88,COLUMN(OversightActuals!X:X),0)/1000,"")</f>
        <v>3595</v>
      </c>
      <c r="AH144" s="3">
        <f>IFERROR(VLOOKUP($A144,OversightActuals!$A$75:$AA$88,COLUMN(OversightActuals!Y:Y),0)/1000,"")</f>
        <v>4010</v>
      </c>
      <c r="AI144" s="3">
        <f>IFERROR(VLOOKUP($A144,OversightActuals!$A$75:$AA$88,COLUMN(OversightActuals!Z:Z),0)/1000,"")</f>
        <v>2049.002</v>
      </c>
      <c r="AJ144" s="3">
        <f>IFERROR(VLOOKUP($A144,OversightActuals!$A$75:$AA$88,COLUMN(OversightActuals!AA:AA),0)/1000,"")</f>
        <v>3097.998</v>
      </c>
      <c r="AK144" s="3">
        <f>IFERROR(VLOOKUP($A144,OversightActuals!$A$75:AB$88,COLUMN(OversightActuals!AB:AB),0)/1000,"")</f>
        <v>7948.835</v>
      </c>
      <c r="AL144" s="3">
        <f>IFERROR(VLOOKUP($A144,OversightBudgets!$K$37:N52,COLUMN(OversightBudgets!C:C),0)/1000,0)</f>
        <v>7919</v>
      </c>
    </row>
    <row r="145" spans="1:38">
      <c r="A145" s="1" t="str">
        <f>+$A$12</f>
        <v>376</v>
      </c>
      <c r="B145" s="1" t="str">
        <f>+$B$12</f>
        <v>The Evergreen State College</v>
      </c>
      <c r="C145" s="3"/>
      <c r="D145" s="3"/>
      <c r="E145" s="3"/>
      <c r="F145" s="3"/>
      <c r="G145" s="3"/>
      <c r="H145" s="3"/>
      <c r="I145" s="3"/>
      <c r="J145" s="3"/>
      <c r="K145" s="3"/>
      <c r="L145" s="3"/>
      <c r="M145" s="3">
        <f>IFERROR(VLOOKUP($A145,OversightActuals!$A$75:$AA$88,COLUMN(OversightActuals!D:D),0)/1000,"")</f>
        <v>0</v>
      </c>
      <c r="N145" s="3">
        <f>IFERROR(VLOOKUP($A145,OversightActuals!$A$75:$AA$88,COLUMN(OversightActuals!E:E),0)/1000,"")</f>
        <v>0</v>
      </c>
      <c r="O145" s="3">
        <f>IFERROR(VLOOKUP($A145,OversightActuals!$A$75:$AA$88,COLUMN(OversightActuals!F:F),0)/1000,"")</f>
        <v>0</v>
      </c>
      <c r="P145" s="3">
        <f>IFERROR(VLOOKUP($A145,OversightActuals!$A$75:$AA$88,COLUMN(OversightActuals!G:G),0)/1000,"")</f>
        <v>0</v>
      </c>
      <c r="Q145" s="3">
        <f>IFERROR(VLOOKUP($A145,OversightActuals!$A$75:$AA$88,COLUMN(OversightActuals!H:H),0)/1000,"")</f>
        <v>0</v>
      </c>
      <c r="R145" s="3">
        <f>IFERROR(VLOOKUP($A145,OversightActuals!$A$75:$AA$88,COLUMN(OversightActuals!I:I),0)/1000,"")</f>
        <v>0</v>
      </c>
      <c r="S145" s="3">
        <f>IFERROR(VLOOKUP($A145,OversightActuals!$A$75:$AA$88,COLUMN(OversightActuals!J:J),0)/1000,"")</f>
        <v>0</v>
      </c>
      <c r="T145" s="3">
        <f>IFERROR(VLOOKUP($A145,OversightActuals!$A$75:$AA$88,COLUMN(OversightActuals!K:K),0)/1000,"")</f>
        <v>75</v>
      </c>
      <c r="U145" s="3">
        <f>IFERROR(VLOOKUP($A145,OversightActuals!$A$75:$AA$88,COLUMN(OversightActuals!L:L),0)/1000,"")</f>
        <v>0</v>
      </c>
      <c r="V145" s="3">
        <f>IFERROR(VLOOKUP($A145,OversightActuals!$A$75:$AA$88,COLUMN(OversightActuals!M:M),0)/1000,"")</f>
        <v>0</v>
      </c>
      <c r="W145" s="3">
        <f>IFERROR(VLOOKUP($A145,OversightActuals!$A$75:$AA$88,COLUMN(OversightActuals!N:N),0)/1000,"")</f>
        <v>0</v>
      </c>
      <c r="X145" s="3">
        <f>IFERROR(VLOOKUP($A145,OversightActuals!$A$75:$AA$88,COLUMN(OversightActuals!O:O),0)/1000,"")</f>
        <v>0</v>
      </c>
      <c r="Y145" s="3">
        <f>IFERROR(VLOOKUP($A145,OversightActuals!$A$75:$AA$88,COLUMN(OversightActuals!P:P),0)/1000,"")</f>
        <v>0</v>
      </c>
      <c r="Z145" s="3">
        <f>IFERROR(VLOOKUP($A145,OversightActuals!$A$75:$AA$88,COLUMN(OversightActuals!Q:Q),0)/1000,"")</f>
        <v>0</v>
      </c>
      <c r="AA145" s="3">
        <f>IFERROR(VLOOKUP($A145,OversightActuals!$A$75:$AA$88,COLUMN(OversightActuals!R:R),0)/1000,"")</f>
        <v>0</v>
      </c>
      <c r="AB145" s="3">
        <f>IFERROR(VLOOKUP($A145,OversightActuals!$A$75:$AA$88,COLUMN(OversightActuals!S:S),0)/1000,"")</f>
        <v>0</v>
      </c>
      <c r="AC145" s="3">
        <f>IFERROR(VLOOKUP($A145,OversightActuals!$A$75:$AA$88,COLUMN(OversightActuals!T:T),0)/1000,"")</f>
        <v>0</v>
      </c>
      <c r="AD145" s="3">
        <f>IFERROR(VLOOKUP($A145,OversightActuals!$A$75:$AA$88,COLUMN(OversightActuals!U:U),0)/1000,"")</f>
        <v>0</v>
      </c>
      <c r="AE145" s="3">
        <f>IFERROR(VLOOKUP($A145,OversightActuals!$A$75:$AA$88,COLUMN(OversightActuals!V:V),0)/1000,"")</f>
        <v>42</v>
      </c>
      <c r="AF145" s="3">
        <f>IFERROR(VLOOKUP($A145,OversightActuals!$A$75:$AA$88,COLUMN(OversightActuals!W:W),0)/1000,"")</f>
        <v>40</v>
      </c>
      <c r="AG145" s="3">
        <f>IFERROR(VLOOKUP($A145,OversightActuals!$A$75:$AA$88,COLUMN(OversightActuals!X:X),0)/1000,"")</f>
        <v>1413</v>
      </c>
      <c r="AH145" s="3">
        <f>IFERROR(VLOOKUP($A145,OversightActuals!$A$75:$AA$88,COLUMN(OversightActuals!Y:Y),0)/1000,"")</f>
        <v>1994</v>
      </c>
      <c r="AI145" s="3">
        <f>IFERROR(VLOOKUP($A145,OversightActuals!$A$75:$AA$88,COLUMN(OversightActuals!Z:Z),0)/1000,"")</f>
        <v>1993</v>
      </c>
      <c r="AJ145" s="3">
        <f>IFERROR(VLOOKUP($A145,OversightActuals!$A$75:$AA$88,COLUMN(OversightActuals!AA:AA),0)/1000,"")</f>
        <v>1993</v>
      </c>
      <c r="AK145" s="3">
        <f>IFERROR(VLOOKUP($A145,OversightActuals!$A$75:AB$88,COLUMN(OversightActuals!AB:AB),0)/1000,"")</f>
        <v>2817</v>
      </c>
      <c r="AL145" s="3">
        <f>IFERROR(VLOOKUP($A145,OversightBudgets!$K$37:N52,COLUMN(OversightBudgets!C:C),0)/1000,0)</f>
        <v>3064</v>
      </c>
    </row>
    <row r="146" spans="1:38">
      <c r="A146" s="1" t="str">
        <f>+$A$13</f>
        <v>380</v>
      </c>
      <c r="B146" s="1" t="str">
        <f>+$B$13</f>
        <v>Western Washington University</v>
      </c>
      <c r="C146" s="41"/>
      <c r="D146" s="41"/>
      <c r="E146" s="41"/>
      <c r="F146" s="41"/>
      <c r="G146" s="41"/>
      <c r="H146" s="41"/>
      <c r="I146" s="41"/>
      <c r="J146" s="41"/>
      <c r="K146" s="41"/>
      <c r="L146" s="41"/>
      <c r="M146" s="3">
        <f>IFERROR(VLOOKUP($A146,OversightActuals!$A$75:$AA$88,COLUMN(OversightActuals!D:D),0)/1000,"")</f>
        <v>0</v>
      </c>
      <c r="N146" s="3">
        <f>IFERROR(VLOOKUP($A146,OversightActuals!$A$75:$AA$88,COLUMN(OversightActuals!E:E),0)/1000,"")</f>
        <v>0</v>
      </c>
      <c r="O146" s="3">
        <f>IFERROR(VLOOKUP($A146,OversightActuals!$A$75:$AA$88,COLUMN(OversightActuals!F:F),0)/1000,"")</f>
        <v>0</v>
      </c>
      <c r="P146" s="3">
        <f>IFERROR(VLOOKUP($A146,OversightActuals!$A$75:$AA$88,COLUMN(OversightActuals!G:G),0)/1000,"")</f>
        <v>0</v>
      </c>
      <c r="Q146" s="3">
        <f>IFERROR(VLOOKUP($A146,OversightActuals!$A$75:$AA$88,COLUMN(OversightActuals!H:H),0)/1000,"")</f>
        <v>0</v>
      </c>
      <c r="R146" s="3">
        <f>IFERROR(VLOOKUP($A146,OversightActuals!$A$75:$AA$88,COLUMN(OversightActuals!I:I),0)/1000,"")</f>
        <v>0</v>
      </c>
      <c r="S146" s="3">
        <f>IFERROR(VLOOKUP($A146,OversightActuals!$A$75:$AA$88,COLUMN(OversightActuals!J:J),0)/1000,"")</f>
        <v>0</v>
      </c>
      <c r="T146" s="3">
        <f>IFERROR(VLOOKUP($A146,OversightActuals!$A$75:$AA$88,COLUMN(OversightActuals!K:K),0)/1000,"")</f>
        <v>161</v>
      </c>
      <c r="U146" s="3">
        <f>IFERROR(VLOOKUP($A146,OversightActuals!$A$75:$AA$88,COLUMN(OversightActuals!L:L),0)/1000,"")</f>
        <v>0</v>
      </c>
      <c r="V146" s="3">
        <f>IFERROR(VLOOKUP($A146,OversightActuals!$A$75:$AA$88,COLUMN(OversightActuals!M:M),0)/1000,"")</f>
        <v>0</v>
      </c>
      <c r="W146" s="3">
        <f>IFERROR(VLOOKUP($A146,OversightActuals!$A$75:$AA$88,COLUMN(OversightActuals!N:N),0)/1000,"")</f>
        <v>0</v>
      </c>
      <c r="X146" s="3">
        <f>IFERROR(VLOOKUP($A146,OversightActuals!$A$75:$AA$88,COLUMN(OversightActuals!O:O),0)/1000,"")</f>
        <v>0</v>
      </c>
      <c r="Y146" s="3">
        <f>IFERROR(VLOOKUP($A146,OversightActuals!$A$75:$AA$88,COLUMN(OversightActuals!P:P),0)/1000,"")</f>
        <v>0</v>
      </c>
      <c r="Z146" s="3">
        <f>IFERROR(VLOOKUP($A146,OversightActuals!$A$75:$AA$88,COLUMN(OversightActuals!Q:Q),0)/1000,"")</f>
        <v>0</v>
      </c>
      <c r="AA146" s="3">
        <f>IFERROR(VLOOKUP($A146,OversightActuals!$A$75:$AA$88,COLUMN(OversightActuals!R:R),0)/1000,"")</f>
        <v>0</v>
      </c>
      <c r="AB146" s="3">
        <f>IFERROR(VLOOKUP($A146,OversightActuals!$A$75:$AA$88,COLUMN(OversightActuals!S:S),0)/1000,"")</f>
        <v>0</v>
      </c>
      <c r="AC146" s="3">
        <f>IFERROR(VLOOKUP($A146,OversightActuals!$A$75:$AA$88,COLUMN(OversightActuals!T:T),0)/1000,"")</f>
        <v>0</v>
      </c>
      <c r="AD146" s="3">
        <f>IFERROR(VLOOKUP($A146,OversightActuals!$A$75:$AA$88,COLUMN(OversightActuals!U:U),0)/1000,"")</f>
        <v>0</v>
      </c>
      <c r="AE146" s="3">
        <f>IFERROR(VLOOKUP($A146,OversightActuals!$A$75:$AA$88,COLUMN(OversightActuals!V:V),0)/1000,"")</f>
        <v>444.46769</v>
      </c>
      <c r="AF146" s="3">
        <f>IFERROR(VLOOKUP($A146,OversightActuals!$A$75:$AA$88,COLUMN(OversightActuals!W:W),0)/1000,"")</f>
        <v>712</v>
      </c>
      <c r="AG146" s="3">
        <f>IFERROR(VLOOKUP($A146,OversightActuals!$A$75:$AA$88,COLUMN(OversightActuals!X:X),0)/1000,"")</f>
        <v>3093.5208299999999</v>
      </c>
      <c r="AH146" s="3">
        <f>IFERROR(VLOOKUP($A146,OversightActuals!$A$75:$AA$88,COLUMN(OversightActuals!Y:Y),0)/1000,"")</f>
        <v>3533.7291700000001</v>
      </c>
      <c r="AI146" s="3">
        <f>IFERROR(VLOOKUP($A146,OversightActuals!$A$75:$AA$88,COLUMN(OversightActuals!Z:Z),0)/1000,"")</f>
        <v>4096.4375</v>
      </c>
      <c r="AJ146" s="3">
        <f>IFERROR(VLOOKUP($A146,OversightActuals!$A$75:$AA$88,COLUMN(OversightActuals!AA:AA),0)/1000,"")</f>
        <v>6017.6458300000004</v>
      </c>
      <c r="AK146" s="3">
        <f>IFERROR(VLOOKUP($A146,OversightActuals!$A$75:AB$88,COLUMN(OversightActuals!AB:AB),0)/1000,"")</f>
        <v>11392.854170000001</v>
      </c>
      <c r="AL146" s="3">
        <f>IFERROR(VLOOKUP($A146,OversightBudgets!$K$37:N52,COLUMN(OversightBudgets!C:C),0)/1000,0)</f>
        <v>13265</v>
      </c>
    </row>
    <row r="147" spans="1:38">
      <c r="B147" s="199" t="str">
        <f>+$B$14</f>
        <v>Total Four-Year Institutions</v>
      </c>
      <c r="C147" s="42"/>
      <c r="D147" s="42"/>
      <c r="E147" s="42"/>
      <c r="F147" s="42"/>
      <c r="G147" s="42"/>
      <c r="H147" s="42"/>
      <c r="I147" s="42"/>
      <c r="J147" s="42"/>
      <c r="K147" s="42"/>
      <c r="L147" s="42"/>
      <c r="M147" s="42">
        <f t="shared" ref="M147:S147" si="128">SUM(M141:M146)</f>
        <v>5296.0886</v>
      </c>
      <c r="N147" s="42">
        <f t="shared" si="128"/>
        <v>6298.9114</v>
      </c>
      <c r="O147" s="42">
        <f t="shared" si="128"/>
        <v>5800.3806600000007</v>
      </c>
      <c r="P147" s="42">
        <f t="shared" si="128"/>
        <v>7120.6193400000002</v>
      </c>
      <c r="Q147" s="42">
        <f t="shared" si="128"/>
        <v>5873.9603799999995</v>
      </c>
      <c r="R147" s="42">
        <f t="shared" si="128"/>
        <v>6163.7756200000013</v>
      </c>
      <c r="S147" s="42">
        <f t="shared" si="128"/>
        <v>6057.4288399999996</v>
      </c>
      <c r="T147" s="42">
        <f>SUM(T141:T146)</f>
        <v>7636.2282900000009</v>
      </c>
      <c r="U147" s="42">
        <f>SUM(U141:U146)</f>
        <v>12257.10153</v>
      </c>
      <c r="V147" s="42">
        <f>SUM(V141:V146)</f>
        <v>12150.05055</v>
      </c>
      <c r="W147" s="42">
        <f t="shared" ref="W147:AD147" si="129">SUM(W141:W146)</f>
        <v>6596.5375299999996</v>
      </c>
      <c r="X147" s="42">
        <f t="shared" si="129"/>
        <v>6910.5389100000002</v>
      </c>
      <c r="Y147" s="42">
        <f t="shared" si="129"/>
        <v>6187.80159</v>
      </c>
      <c r="Z147" s="42">
        <f t="shared" si="129"/>
        <v>8815.2296400000014</v>
      </c>
      <c r="AA147" s="42">
        <f t="shared" si="129"/>
        <v>7781.2381899999991</v>
      </c>
      <c r="AB147" s="42">
        <f t="shared" si="129"/>
        <v>9572.6825899999985</v>
      </c>
      <c r="AC147" s="42">
        <f t="shared" si="129"/>
        <v>9793.4633400000002</v>
      </c>
      <c r="AD147" s="42">
        <f t="shared" si="129"/>
        <v>9654.75605</v>
      </c>
      <c r="AE147" s="42">
        <f t="shared" ref="AE147:AL147" si="130">SUM(AE141:AE146)</f>
        <v>55043.001459999992</v>
      </c>
      <c r="AF147" s="42">
        <f t="shared" si="130"/>
        <v>54319.15155000001</v>
      </c>
      <c r="AG147" s="42">
        <f t="shared" si="130"/>
        <v>80871.10024</v>
      </c>
      <c r="AH147" s="42">
        <f t="shared" si="130"/>
        <v>102467.37991000002</v>
      </c>
      <c r="AI147" s="42">
        <f t="shared" si="130"/>
        <v>61971.826540000002</v>
      </c>
      <c r="AJ147" s="42">
        <f t="shared" ref="AJ147:AK147" si="131">SUM(AJ141:AJ146)</f>
        <v>80523.182530000005</v>
      </c>
      <c r="AK147" s="42">
        <f t="shared" si="131"/>
        <v>105057.74144</v>
      </c>
      <c r="AL147" s="42">
        <f t="shared" si="130"/>
        <v>124925</v>
      </c>
    </row>
    <row r="148" spans="1:38">
      <c r="C148"/>
      <c r="D148"/>
      <c r="E148"/>
      <c r="F148"/>
      <c r="G148"/>
      <c r="H148"/>
      <c r="I148"/>
      <c r="J148"/>
      <c r="K148"/>
      <c r="L148"/>
      <c r="M148"/>
      <c r="N148"/>
      <c r="O148"/>
      <c r="P148"/>
      <c r="Q148"/>
      <c r="R148" s="3"/>
      <c r="AF148" s="1"/>
    </row>
    <row r="149" spans="1:38">
      <c r="A149" s="1" t="str">
        <f>+$A$16</f>
        <v>699</v>
      </c>
      <c r="B149" s="1" t="str">
        <f>+$B$16</f>
        <v>Community/Technical College System</v>
      </c>
      <c r="C149" s="3"/>
      <c r="D149" s="3"/>
      <c r="E149" s="3"/>
      <c r="F149" s="3"/>
      <c r="G149" s="3"/>
      <c r="H149" s="3"/>
      <c r="I149" s="3"/>
      <c r="J149" s="3"/>
      <c r="K149" s="3"/>
      <c r="L149" s="3"/>
      <c r="M149" s="3">
        <f>IFERROR(VLOOKUP($A149,OversightActuals!$A$75:$AA$88,COLUMN(OversightActuals!D:D),0)/1000,"")</f>
        <v>0</v>
      </c>
      <c r="N149" s="3">
        <f>IFERROR(VLOOKUP($A149,OversightActuals!$A$75:$AA$88,COLUMN(OversightActuals!E:E),0)/1000,"")</f>
        <v>0</v>
      </c>
      <c r="O149" s="3">
        <f>IFERROR(VLOOKUP($A149,OversightActuals!$A$75:$AA$88,COLUMN(OversightActuals!F:F),0)/1000,"")</f>
        <v>0</v>
      </c>
      <c r="P149" s="3">
        <f>IFERROR(VLOOKUP($A149,OversightActuals!$A$75:$AA$88,COLUMN(OversightActuals!G:G),0)/1000,"")</f>
        <v>0</v>
      </c>
      <c r="Q149" s="3">
        <f>IFERROR(VLOOKUP($A149,OversightActuals!$A$75:$AA$88,COLUMN(OversightActuals!H:H),0)/1000,"")</f>
        <v>0</v>
      </c>
      <c r="R149" s="3">
        <f>IFERROR(VLOOKUP($A149,OversightActuals!$A$75:$AA$88,COLUMN(OversightActuals!I:I),0)/1000,"")</f>
        <v>0</v>
      </c>
      <c r="S149" s="3">
        <f>IFERROR(VLOOKUP($A149,OversightActuals!$A$75:$AA$88,COLUMN(OversightActuals!J:J),0)/1000,"")</f>
        <v>0</v>
      </c>
      <c r="T149" s="3">
        <f>IFERROR(VLOOKUP($A149,OversightActuals!$A$75:$AA$88,COLUMN(OversightActuals!K:K),0)/1000,"")</f>
        <v>1276</v>
      </c>
      <c r="U149" s="3">
        <f>IFERROR(VLOOKUP($A149,OversightActuals!$A$75:$AA$88,COLUMN(OversightActuals!L:L),0)/1000,"")</f>
        <v>22000</v>
      </c>
      <c r="V149" s="3">
        <f>IFERROR(VLOOKUP($A149,OversightActuals!$A$75:$AA$88,COLUMN(OversightActuals!M:M),0)/1000,"")</f>
        <v>27800</v>
      </c>
      <c r="W149" s="3">
        <f>IFERROR(VLOOKUP($A149,OversightActuals!$A$75:$AA$88,COLUMN(OversightActuals!N:N),0)/1000,"")</f>
        <v>0</v>
      </c>
      <c r="X149" s="3">
        <f>IFERROR(VLOOKUP($A149,OversightActuals!$A$75:$AA$88,COLUMN(OversightActuals!O:O),0)/1000,"")</f>
        <v>0</v>
      </c>
      <c r="Y149" s="3">
        <f>IFERROR(VLOOKUP($A149,OversightActuals!$A$75:$AA$88,COLUMN(OversightActuals!P:P),0)/1000,"")</f>
        <v>4019</v>
      </c>
      <c r="Z149" s="3">
        <f>IFERROR(VLOOKUP($A149,OversightActuals!$A$75:$AA$88,COLUMN(OversightActuals!Q:Q),0)/1000,"")</f>
        <v>8003.4999399999997</v>
      </c>
      <c r="AA149" s="3">
        <f>IFERROR(VLOOKUP($A149,OversightActuals!$A$75:$AA$88,COLUMN(OversightActuals!R:R),0)/1000,"")</f>
        <v>8380.0762599999998</v>
      </c>
      <c r="AB149" s="3">
        <f>IFERROR(VLOOKUP($A149,OversightActuals!$A$75:$AA$88,COLUMN(OversightActuals!S:S),0)/1000,"")</f>
        <v>8390.1759999999995</v>
      </c>
      <c r="AC149" s="3">
        <f>IFERROR(VLOOKUP($A149,OversightActuals!$A$75:$AA$88,COLUMN(OversightActuals!T:T),0)/1000,"")</f>
        <v>8386.3760000000002</v>
      </c>
      <c r="AD149" s="3">
        <f>IFERROR(VLOOKUP($A149,OversightActuals!$A$75:$AA$88,COLUMN(OversightActuals!U:U),0)/1000,"")</f>
        <v>8395.3359999999993</v>
      </c>
      <c r="AE149" s="3">
        <f>IFERROR(VLOOKUP($A149,OversightActuals!$A$75:$AA$88,COLUMN(OversightActuals!V:V),0)/1000,"")</f>
        <v>43129.936000000002</v>
      </c>
      <c r="AF149" s="3">
        <f>IFERROR(VLOOKUP($A149,OversightActuals!$A$75:$AA$88,COLUMN(OversightActuals!W:W),0)/1000,"")</f>
        <v>45636.13106</v>
      </c>
      <c r="AG149" s="3">
        <f>IFERROR(VLOOKUP($A149,OversightActuals!$A$75:$AA$88,COLUMN(OversightActuals!X:X),0)/1000,"")</f>
        <v>80531.507140000002</v>
      </c>
      <c r="AH149" s="3">
        <f>IFERROR(VLOOKUP($A149,OversightActuals!$A$75:$AA$88,COLUMN(OversightActuals!Y:Y),0)/1000,"")</f>
        <v>130484.03041000001</v>
      </c>
      <c r="AI149" s="3">
        <f>IFERROR(VLOOKUP($A149,OversightActuals!$A$75:$AA$88,COLUMN(OversightActuals!Z:Z),0)/1000,"")</f>
        <v>112250.29084999999</v>
      </c>
      <c r="AJ149" s="3">
        <f>IFERROR(VLOOKUP($A149,OversightActuals!$A$75:$AA$88,COLUMN(OversightActuals!AA:AA),0)/1000,"")</f>
        <v>141967.63164000001</v>
      </c>
      <c r="AK149" s="3">
        <f>IFERROR(VLOOKUP($A149,OversightActuals!$A$75:AB$88,COLUMN(OversightActuals!AB:AB),0)/1000,"")</f>
        <v>153348.67937999999</v>
      </c>
      <c r="AL149" s="3">
        <f>IFERROR(VLOOKUP($A149,OversightBudgets!$K$37:N62,COLUMN(OversightBudgets!C:C),0)/1000,0)</f>
        <v>167916</v>
      </c>
    </row>
    <row r="150" spans="1:38">
      <c r="A150" s="1" t="str">
        <f>TEXT(340,"000")</f>
        <v>340</v>
      </c>
      <c r="B150" s="1" t="str">
        <f>+$B$17</f>
        <v>HEC Board, CHE, SFA, &amp; SAC (1)</v>
      </c>
      <c r="C150" s="3"/>
      <c r="D150" s="3"/>
      <c r="E150" s="3"/>
      <c r="F150" s="3"/>
      <c r="G150" s="3"/>
      <c r="H150" s="3"/>
      <c r="I150" s="3"/>
      <c r="J150" s="3"/>
      <c r="K150" s="3"/>
      <c r="L150" s="3"/>
      <c r="M150" s="3">
        <f>IFERROR(VLOOKUP("343",OversightActuals!$A$75:$AA$88,COLUMN(OversightActuals!D:D),0)/1000,"")</f>
        <v>0</v>
      </c>
      <c r="N150" s="3">
        <f>IFERROR(VLOOKUP("343",OversightActuals!$A$75:$AA$88,COLUMN(OversightActuals!E:E),0)/1000,"")</f>
        <v>0</v>
      </c>
      <c r="O150" s="3">
        <f>IFERROR(VLOOKUP("343",OversightActuals!$A$75:$AA$88,COLUMN(OversightActuals!F:F),0)/1000,"")</f>
        <v>0</v>
      </c>
      <c r="P150" s="3">
        <f>IFERROR(VLOOKUP("343",OversightActuals!$A$75:$AA$88,COLUMN(OversightActuals!G:G),0)/1000,"")</f>
        <v>0</v>
      </c>
      <c r="Q150" s="3">
        <f>IFERROR(VLOOKUP("343",OversightActuals!$A$75:$AA$88,COLUMN(OversightActuals!H:H),0)/1000,"")</f>
        <v>0</v>
      </c>
      <c r="R150" s="3">
        <f>IFERROR(VLOOKUP("343",OversightActuals!$A$75:$AA$88,COLUMN(OversightActuals!I:I),0)/1000,"")</f>
        <v>0</v>
      </c>
      <c r="S150" s="3">
        <f>IFERROR(VLOOKUP("343",OversightActuals!$A$75:$AA$88,COLUMN(OversightActuals!J:J),0)/1000,"")</f>
        <v>0</v>
      </c>
      <c r="T150" s="3">
        <f>IFERROR(VLOOKUP("343",OversightActuals!$A$75:$AA$88,COLUMN(OversightActuals!K:K),0)/1000,"")</f>
        <v>30</v>
      </c>
      <c r="U150" s="3">
        <f>IFERROR(VLOOKUP("343",OversightActuals!$A$75:$AA$88,COLUMN(OversightActuals!L:L),0)/1000,"")</f>
        <v>0</v>
      </c>
      <c r="V150" s="3">
        <f>IFERROR(VLOOKUP("343",OversightActuals!$A$75:$AA$88,COLUMN(OversightActuals!M:M),0)/1000,"")</f>
        <v>0</v>
      </c>
      <c r="W150" s="3">
        <f>IFERROR(VLOOKUP("343",OversightActuals!$A$75:$AA$88,COLUMN(OversightActuals!N:N),0)/1000,"")</f>
        <v>0</v>
      </c>
      <c r="X150" s="3">
        <f>IFERROR(VLOOKUP("343",OversightActuals!$A$75:$AA$88,COLUMN(OversightActuals!O:O),0)/1000,"")</f>
        <v>0</v>
      </c>
      <c r="Y150" s="3">
        <f>IFERROR(VLOOKUP("343",OversightActuals!$A$75:$AA$88,COLUMN(OversightActuals!P:P),0)/1000,"")</f>
        <v>0</v>
      </c>
      <c r="Z150" s="3">
        <f>IFERROR(VLOOKUP("343",OversightActuals!$A$75:$AA$88,COLUMN(OversightActuals!Q:Q),0)/1000,"")</f>
        <v>0</v>
      </c>
      <c r="AA150" s="3">
        <f>IFERROR(VLOOKUP("343",OversightActuals!$A$75:$AA$88,COLUMN(OversightActuals!R:R),0)/1000,"")</f>
        <v>0</v>
      </c>
      <c r="AB150" s="3">
        <f>IFERROR(VLOOKUP("343",OversightActuals!$A$75:$AA$88,COLUMN(OversightActuals!S:S),0)/1000,"")</f>
        <v>0</v>
      </c>
      <c r="AC150" s="3">
        <f>IFERROR(VLOOKUP("343",OversightActuals!$A$75:$AA$88,COLUMN(OversightActuals!T:T),0)/1000,"")</f>
        <v>0</v>
      </c>
      <c r="AD150" s="3">
        <f>IFERROR(VLOOKUP("340",OversightActuals!$A$75:$AA$88,COLUMN(OversightActuals!U:U),0)/1000,"")</f>
        <v>60.986270000000005</v>
      </c>
      <c r="AE150" s="3">
        <f>IFERROR(VLOOKUP($A150,OversightActuals!$A$75:$AA$88,COLUMN(OversightActuals!V:V),0)/1000,"")</f>
        <v>1425.2834399999999</v>
      </c>
      <c r="AF150" s="3">
        <f>IFERROR(VLOOKUP($A150,OversightActuals!$A$75:$AA$88,COLUMN(OversightActuals!W:W),0)/1000,"")</f>
        <v>3951.5823400000004</v>
      </c>
      <c r="AG150" s="3">
        <f>IFERROR(VLOOKUP($A150,OversightActuals!$A$75:$AA$88,COLUMN(OversightActuals!X:X),0)/1000,"")</f>
        <v>41697.46471</v>
      </c>
      <c r="AH150" s="3">
        <f>IFERROR(VLOOKUP($A150,OversightActuals!$A$75:$AA$88,COLUMN(OversightActuals!Y:Y),0)/1000,"")</f>
        <v>127204.4706</v>
      </c>
      <c r="AI150" s="3">
        <f>IFERROR(VLOOKUP($A150,OversightActuals!$A$75:$AA$88,COLUMN(OversightActuals!Z:Z),0)/1000,"")</f>
        <v>108111.59255</v>
      </c>
      <c r="AJ150" s="3">
        <f>IFERROR(VLOOKUP($A150,OversightActuals!$A$75:$AA$88,COLUMN(OversightActuals!AA:AA),0)/1000,"")</f>
        <v>114260.00423000001</v>
      </c>
      <c r="AK150" s="3">
        <f>IFERROR(VLOOKUP($A150,OversightActuals!$A$75:AB$88,COLUMN(OversightActuals!AB:AB),0)/1000,"")</f>
        <v>164109.51916</v>
      </c>
      <c r="AL150" s="3">
        <f>IFERROR(VLOOKUP($A150,OversightBudgets!$K$37:N62,COLUMN(OversightBudgets!C:C),0)/1000,0)</f>
        <v>187142</v>
      </c>
    </row>
    <row r="151" spans="1:38" ht="13.5" thickBot="1">
      <c r="C151" s="3"/>
      <c r="D151" s="3"/>
      <c r="E151" s="3"/>
      <c r="F151" s="3"/>
      <c r="G151" s="3"/>
      <c r="H151" s="3"/>
      <c r="I151" s="3"/>
      <c r="J151" s="3"/>
      <c r="AF151" s="1"/>
    </row>
    <row r="152" spans="1:38" ht="13.5" thickTop="1">
      <c r="B152" s="1" t="str">
        <f>+$B$19</f>
        <v>Total Higher Education</v>
      </c>
      <c r="C152" s="39"/>
      <c r="D152" s="39"/>
      <c r="E152" s="39"/>
      <c r="F152" s="39"/>
      <c r="G152" s="39"/>
      <c r="H152" s="39"/>
      <c r="I152" s="39"/>
      <c r="J152" s="39"/>
      <c r="K152" s="39"/>
      <c r="L152" s="39"/>
      <c r="M152" s="39">
        <f t="shared" ref="M152:T152" si="132">+M149+M147+M150</f>
        <v>5296.0886</v>
      </c>
      <c r="N152" s="39">
        <f t="shared" si="132"/>
        <v>6298.9114</v>
      </c>
      <c r="O152" s="39">
        <f t="shared" si="132"/>
        <v>5800.3806600000007</v>
      </c>
      <c r="P152" s="39">
        <f t="shared" si="132"/>
        <v>7120.6193400000002</v>
      </c>
      <c r="Q152" s="39">
        <f t="shared" si="132"/>
        <v>5873.9603799999995</v>
      </c>
      <c r="R152" s="39">
        <f t="shared" si="132"/>
        <v>6163.7756200000013</v>
      </c>
      <c r="S152" s="39">
        <f t="shared" si="132"/>
        <v>6057.4288399999996</v>
      </c>
      <c r="T152" s="39">
        <f t="shared" si="132"/>
        <v>8942.2282900000009</v>
      </c>
      <c r="U152" s="39">
        <f t="shared" ref="U152:AE152" si="133">+U149+U147+U150</f>
        <v>34257.10153</v>
      </c>
      <c r="V152" s="39">
        <f t="shared" si="133"/>
        <v>39950.05055</v>
      </c>
      <c r="W152" s="39">
        <f t="shared" si="133"/>
        <v>6596.5375299999996</v>
      </c>
      <c r="X152" s="39">
        <f t="shared" si="133"/>
        <v>6910.5389100000002</v>
      </c>
      <c r="Y152" s="39">
        <f t="shared" si="133"/>
        <v>10206.801589999999</v>
      </c>
      <c r="Z152" s="39">
        <f t="shared" si="133"/>
        <v>16818.729579999999</v>
      </c>
      <c r="AA152" s="39">
        <f t="shared" si="133"/>
        <v>16161.314449999998</v>
      </c>
      <c r="AB152" s="39">
        <f t="shared" si="133"/>
        <v>17962.858589999996</v>
      </c>
      <c r="AC152" s="39">
        <f t="shared" si="133"/>
        <v>18179.839339999999</v>
      </c>
      <c r="AD152" s="39">
        <f t="shared" si="133"/>
        <v>18111.078320000001</v>
      </c>
      <c r="AE152" s="39">
        <f t="shared" si="133"/>
        <v>99598.220899999986</v>
      </c>
      <c r="AF152" s="39">
        <f t="shared" ref="AF152:AL152" si="134">+AF149+AF147+AF150</f>
        <v>103906.86495</v>
      </c>
      <c r="AG152" s="39">
        <f t="shared" si="134"/>
        <v>203100.07209</v>
      </c>
      <c r="AH152" s="39">
        <f t="shared" si="134"/>
        <v>360155.88092000003</v>
      </c>
      <c r="AI152" s="39">
        <f t="shared" si="134"/>
        <v>282333.70993999997</v>
      </c>
      <c r="AJ152" s="39">
        <f t="shared" si="134"/>
        <v>336750.81840000005</v>
      </c>
      <c r="AK152" s="39">
        <f t="shared" ref="AK152" si="135">+AK149+AK147+AK150</f>
        <v>422515.93998000002</v>
      </c>
      <c r="AL152" s="39">
        <f t="shared" si="134"/>
        <v>479983</v>
      </c>
    </row>
    <row r="153" spans="1:38">
      <c r="B153" s="199" t="str">
        <f>+$B$20</f>
        <v>[biennial]</v>
      </c>
      <c r="C153" s="7"/>
      <c r="D153" s="3"/>
      <c r="E153" s="7"/>
      <c r="F153" s="3"/>
      <c r="G153" s="7"/>
      <c r="H153" s="3"/>
      <c r="I153" s="7"/>
      <c r="J153" s="3"/>
      <c r="K153" s="7"/>
      <c r="L153" s="3"/>
      <c r="M153" s="7"/>
      <c r="N153" s="3">
        <f>+N152+M152</f>
        <v>11595</v>
      </c>
      <c r="O153" s="7"/>
      <c r="P153" s="3">
        <f>+P152+O152</f>
        <v>12921</v>
      </c>
      <c r="Q153" s="7"/>
      <c r="R153" s="3">
        <f>+R152+Q152</f>
        <v>12037.736000000001</v>
      </c>
      <c r="S153" s="7"/>
      <c r="T153" s="3">
        <f>+T152+S152</f>
        <v>14999.65713</v>
      </c>
      <c r="U153" s="7"/>
      <c r="V153" s="3">
        <f>+V152+U152</f>
        <v>74207.15208</v>
      </c>
      <c r="W153" s="7"/>
      <c r="X153" s="3">
        <f>+X152+W152</f>
        <v>13507.076440000001</v>
      </c>
      <c r="Y153" s="7"/>
      <c r="Z153" s="3">
        <f>+Z152+Y152</f>
        <v>27025.531169999998</v>
      </c>
      <c r="AA153" s="7"/>
      <c r="AB153" s="3">
        <f>+AB152+AA152</f>
        <v>34124.173039999994</v>
      </c>
      <c r="AC153" s="7"/>
      <c r="AD153" s="3">
        <f>+AD152+AC152</f>
        <v>36290.917659999999</v>
      </c>
      <c r="AE153" s="7"/>
      <c r="AF153" s="3">
        <f>+AF152+AE152</f>
        <v>203505.08584999997</v>
      </c>
      <c r="AG153" s="3"/>
      <c r="AH153" s="3">
        <f>+AH152+AG152</f>
        <v>563255.95301000006</v>
      </c>
      <c r="AI153" s="3"/>
      <c r="AJ153" s="3">
        <f>+AJ152+AI152</f>
        <v>619084.52833999996</v>
      </c>
      <c r="AK153" s="3"/>
      <c r="AL153" s="3">
        <f>+AL152+AK152</f>
        <v>902498.93998000002</v>
      </c>
    </row>
    <row r="154" spans="1:38" ht="13.5">
      <c r="B154" s="199"/>
      <c r="C154" s="7"/>
      <c r="D154" s="3"/>
      <c r="F154" s="3"/>
      <c r="H154" s="3"/>
      <c r="J154" s="3"/>
      <c r="L154" s="3"/>
      <c r="M154" s="1880" t="str">
        <f t="shared" ref="M154:AE154" si="136">IF(SUM(M141:M146,M149:M150)&lt;&gt;M152,"Error","")</f>
        <v/>
      </c>
      <c r="N154" s="1880" t="str">
        <f t="shared" si="136"/>
        <v/>
      </c>
      <c r="O154" s="1880" t="str">
        <f t="shared" si="136"/>
        <v/>
      </c>
      <c r="P154" s="1880" t="str">
        <f t="shared" si="136"/>
        <v/>
      </c>
      <c r="Q154" s="1880" t="str">
        <f t="shared" si="136"/>
        <v/>
      </c>
      <c r="R154" s="1880" t="str">
        <f t="shared" si="136"/>
        <v/>
      </c>
      <c r="S154" s="1880" t="str">
        <f t="shared" si="136"/>
        <v/>
      </c>
      <c r="T154" s="1880" t="str">
        <f t="shared" si="136"/>
        <v/>
      </c>
      <c r="U154" s="1880" t="str">
        <f t="shared" si="136"/>
        <v/>
      </c>
      <c r="V154" s="1880" t="str">
        <f t="shared" si="136"/>
        <v/>
      </c>
      <c r="W154" s="1880" t="str">
        <f t="shared" si="136"/>
        <v/>
      </c>
      <c r="X154" s="1880" t="str">
        <f t="shared" si="136"/>
        <v/>
      </c>
      <c r="Y154" s="1880" t="str">
        <f t="shared" si="136"/>
        <v/>
      </c>
      <c r="Z154" s="1880" t="str">
        <f t="shared" si="136"/>
        <v/>
      </c>
      <c r="AA154" s="1880" t="str">
        <f t="shared" si="136"/>
        <v/>
      </c>
      <c r="AB154" s="1880" t="str">
        <f t="shared" si="136"/>
        <v/>
      </c>
      <c r="AC154" s="1880" t="str">
        <f t="shared" si="136"/>
        <v/>
      </c>
      <c r="AD154" s="1880" t="str">
        <f t="shared" si="136"/>
        <v/>
      </c>
      <c r="AE154" s="1880" t="str">
        <f t="shared" si="136"/>
        <v/>
      </c>
      <c r="AG154" s="1880" t="str">
        <f>IF(SUM(AG141:AG146,AG149:AG150)&lt;&gt;AG152,"Error","")</f>
        <v/>
      </c>
      <c r="AH154" s="1880"/>
      <c r="AI154" s="1880"/>
      <c r="AJ154" s="1880"/>
      <c r="AK154" s="1880"/>
      <c r="AL154" s="1880" t="str">
        <f>IF(SUM(AL141:AL146,AL149:AL150)&lt;&gt;AL152,"Error","")</f>
        <v/>
      </c>
    </row>
    <row r="155" spans="1:38">
      <c r="B155" s="199"/>
      <c r="C155" s="7"/>
      <c r="D155" s="3"/>
      <c r="F155" s="3"/>
      <c r="H155" s="3"/>
      <c r="J155" s="3"/>
      <c r="L155" s="3"/>
      <c r="N155" s="3"/>
      <c r="P155" s="3"/>
      <c r="R155" s="3"/>
      <c r="T155" s="3"/>
      <c r="U155" s="3"/>
      <c r="V155" s="3"/>
      <c r="W155" s="2"/>
      <c r="X155" s="2"/>
      <c r="Y155" s="2"/>
      <c r="Z155" s="2"/>
      <c r="AA155"/>
      <c r="AB155"/>
      <c r="AC155"/>
      <c r="AD155"/>
      <c r="AE155"/>
      <c r="AG155"/>
      <c r="AH155"/>
      <c r="AI155" s="2" t="str">
        <f t="shared" ref="AI155:AL155" si="137">TRIM(+AI$5)</f>
        <v/>
      </c>
      <c r="AJ155" s="2" t="str">
        <f t="shared" si="137"/>
        <v/>
      </c>
      <c r="AK155" s="2" t="str">
        <f t="shared" si="137"/>
        <v>Final</v>
      </c>
      <c r="AL155" s="2" t="str">
        <f t="shared" si="137"/>
        <v>Enacted</v>
      </c>
    </row>
    <row r="156" spans="1:38">
      <c r="B156" s="199"/>
      <c r="C156" s="7"/>
      <c r="D156" s="3"/>
      <c r="F156" s="3"/>
      <c r="H156" s="3"/>
      <c r="J156" s="3"/>
      <c r="L156" s="3"/>
      <c r="N156" s="3"/>
      <c r="P156" s="3"/>
      <c r="R156" s="3"/>
      <c r="T156" s="3"/>
      <c r="U156" s="3"/>
      <c r="V156" s="3"/>
      <c r="W156"/>
      <c r="X156" s="2" t="str">
        <f>+$X$6</f>
        <v>FY2011</v>
      </c>
      <c r="Y156" s="2" t="str">
        <f>+$Y$6</f>
        <v>FY2012</v>
      </c>
      <c r="Z156" s="2" t="str">
        <f>+$Z$6</f>
        <v>FY2013</v>
      </c>
      <c r="AA156" s="2" t="str">
        <f>+$AA$6</f>
        <v>FY2014</v>
      </c>
      <c r="AB156" s="2" t="str">
        <f>+$AB$6</f>
        <v>FY2015</v>
      </c>
      <c r="AC156" s="2" t="str">
        <f>+$AC$6</f>
        <v>FY2016</v>
      </c>
      <c r="AD156" s="2" t="str">
        <f>+$AD$6</f>
        <v>FY2017</v>
      </c>
      <c r="AE156" s="2" t="str">
        <f>+$AE$6</f>
        <v>FY2018</v>
      </c>
      <c r="AF156" s="2" t="str">
        <f t="shared" ref="AF156:AL156" si="138">+AF$6</f>
        <v>FY2019</v>
      </c>
      <c r="AG156" s="2" t="str">
        <f t="shared" si="138"/>
        <v>FY2020</v>
      </c>
      <c r="AH156" s="2" t="str">
        <f t="shared" si="138"/>
        <v>FY2021</v>
      </c>
      <c r="AI156" s="2" t="str">
        <f t="shared" si="138"/>
        <v>FY2022</v>
      </c>
      <c r="AJ156" s="2" t="str">
        <f t="shared" si="138"/>
        <v>FY2023</v>
      </c>
      <c r="AK156" s="2" t="str">
        <f t="shared" si="138"/>
        <v>FY2024</v>
      </c>
      <c r="AL156" s="2" t="str">
        <f t="shared" si="138"/>
        <v>FY2025</v>
      </c>
    </row>
    <row r="157" spans="1:38" hidden="1">
      <c r="A157" s="1" t="str">
        <f>+$A$16&amp;"17C-1"</f>
        <v>69917C-1</v>
      </c>
      <c r="B157" s="1" t="str">
        <f>+B149&amp;" Opportunity Express Account (17C-1)"</f>
        <v>Community/Technical College System Opportunity Express Account (17C-1)</v>
      </c>
      <c r="C157"/>
      <c r="D157"/>
      <c r="E157"/>
      <c r="F157"/>
      <c r="G157"/>
      <c r="H157"/>
      <c r="I157"/>
      <c r="J157"/>
      <c r="K157"/>
      <c r="L157"/>
      <c r="M157"/>
      <c r="N157"/>
      <c r="O157"/>
      <c r="P157"/>
      <c r="R157" s="3"/>
      <c r="T157" s="3"/>
      <c r="U157" s="3"/>
      <c r="V157" s="3"/>
      <c r="W157"/>
      <c r="X157" s="3">
        <f>VLOOKUP($A157,OversightActuals!$A$17:O$58,COLUMN(OversightActuals!O:O),0)/1000</f>
        <v>18491.235069999999</v>
      </c>
      <c r="Y157" s="3"/>
      <c r="Z157" s="3"/>
    </row>
    <row r="158" spans="1:38">
      <c r="A158" s="1" t="str">
        <f>+$A$17&amp;"17F-1"</f>
        <v>34017F-1</v>
      </c>
      <c r="B158" s="1" t="str">
        <f>+B150&amp;" Opportunity Pathways Account (17F-1)"</f>
        <v>HEC Board, CHE, SFA, &amp; SAC (1) Opportunity Pathways Account (17F-1)</v>
      </c>
      <c r="C158"/>
      <c r="D158"/>
      <c r="E158"/>
      <c r="F158"/>
      <c r="G158"/>
      <c r="H158"/>
      <c r="I158"/>
      <c r="J158"/>
      <c r="K158"/>
      <c r="L158"/>
      <c r="M158"/>
      <c r="N158"/>
      <c r="O158"/>
      <c r="P158"/>
      <c r="R158" s="3"/>
      <c r="T158" s="3"/>
      <c r="U158" s="3"/>
      <c r="V158" s="3"/>
      <c r="W158" s="3"/>
      <c r="X158" s="3">
        <f>VLOOKUP("34317F-1",OversightActuals!$A$17:O$58,COLUMN(OversightActuals!O:O),0)/1000</f>
        <v>73500</v>
      </c>
      <c r="Y158" s="3">
        <f>VLOOKUP("34317F-1",OversightActuals!$A$17:P$58,COLUMN(OversightActuals!P:P),0)/1000</f>
        <v>73500</v>
      </c>
      <c r="Z158" s="3">
        <f>VLOOKUP($A158,OversightActuals!$A$17:Q$58,COLUMN(OversightActuals!Q:Q),0)/1000</f>
        <v>108500</v>
      </c>
      <c r="AA158" s="3">
        <f>VLOOKUP($A158,OversightActuals!$A$17:R$58,COLUMN(OversightActuals!R:R),0)/1000</f>
        <v>67500</v>
      </c>
      <c r="AB158" s="3">
        <f>VLOOKUP($A158,OversightActuals!$A$17:S$58,COLUMN(OversightActuals!S:S),0)/1000</f>
        <v>73500</v>
      </c>
      <c r="AC158" s="3">
        <f>VLOOKUP($A158,OversightActuals!$A$17:T$58,COLUMN(OversightActuals!T:T),0)/1000</f>
        <v>95061</v>
      </c>
      <c r="AD158" s="3">
        <f>VLOOKUP($A158,OversightActuals!$A$17:U$58,COLUMN(OversightActuals!U:U),0)/1000</f>
        <v>74973.626580000011</v>
      </c>
      <c r="AE158" s="3">
        <f>VLOOKUP($A158,OversightActuals!$A$17:V$58,COLUMN(OversightActuals!V:V),0)/1000</f>
        <v>59108</v>
      </c>
      <c r="AF158" s="3">
        <f>VLOOKUP($A158,OversightActuals!$A$17:W$58,COLUMN(OversightActuals!W:W),0)/1000</f>
        <v>60634.754999999997</v>
      </c>
      <c r="AG158" s="3">
        <f>VLOOKUP($A158,OversightActuals!$A$17:X$58,COLUMN(OversightActuals!X:X),0)/1000</f>
        <v>51568</v>
      </c>
      <c r="AH158" s="3">
        <f>VLOOKUP($A158,OversightActuals!$A$17:Y$58,COLUMN(OversightActuals!Y:Y),0)/1000</f>
        <v>50409.232779999998</v>
      </c>
      <c r="AI158" s="3">
        <f>VLOOKUP($A158,OversightActuals!$A$17:Z$58,COLUMN(OversightActuals!Z:Z),0)/1000</f>
        <v>78989.300669999997</v>
      </c>
      <c r="AJ158" s="3">
        <f>VLOOKUP($A158,OversightActuals!$A$17:AA$58,COLUMN(OversightActuals!AA:AA),0)/1000</f>
        <v>141903.46905000001</v>
      </c>
      <c r="AK158" s="3">
        <f>VLOOKUP($A158,OversightActuals!$A$17:AB$58,COLUMN(OversightActuals!AB:AB),0)/1000</f>
        <v>34455.046119999999</v>
      </c>
      <c r="AL158" s="3">
        <f>VLOOKUP($A158,OversightBudgets!$A$17:$F$1064,COLUMN(E:E),0)/1000</f>
        <v>42016</v>
      </c>
    </row>
    <row r="159" spans="1:38">
      <c r="C159"/>
      <c r="D159"/>
      <c r="E159"/>
      <c r="F159"/>
      <c r="G159"/>
      <c r="H159"/>
      <c r="I159"/>
      <c r="J159"/>
      <c r="K159"/>
      <c r="L159"/>
      <c r="M159"/>
      <c r="N159"/>
      <c r="O159"/>
      <c r="P159"/>
      <c r="R159" s="3"/>
      <c r="T159" s="3"/>
      <c r="U159" s="3"/>
      <c r="V159" s="3"/>
      <c r="W159"/>
      <c r="X159"/>
    </row>
    <row r="160" spans="1:38">
      <c r="B160" s="1" t="s">
        <v>1976</v>
      </c>
      <c r="C160" s="3">
        <v>5994609.5839999998</v>
      </c>
      <c r="D160" s="3">
        <v>7062378.5039999997</v>
      </c>
      <c r="E160" s="3">
        <v>7310350.0609999998</v>
      </c>
      <c r="F160" s="3">
        <v>7984238.0099999998</v>
      </c>
      <c r="G160" s="3">
        <v>8049040.898</v>
      </c>
      <c r="H160" s="3">
        <v>8673219</v>
      </c>
      <c r="I160" s="3">
        <v>8937073.8640000001</v>
      </c>
      <c r="J160" s="3">
        <v>9590212.7809999995</v>
      </c>
      <c r="K160" s="3">
        <v>9766415.9010000005</v>
      </c>
      <c r="L160" s="3">
        <v>10315793.278000001</v>
      </c>
      <c r="M160" s="3">
        <f>VLOOKUP("Grand Total",OversightActuals!$C$121:D146,COLUMN(OversightActuals!B:B),0)/1000</f>
        <v>10837586.667490002</v>
      </c>
      <c r="N160" s="3">
        <f>VLOOKUP("Grand Total",OversightActuals!$C$121:E146,COLUMN(OversightActuals!C:C),0)/1000</f>
        <v>11512202.535820004</v>
      </c>
      <c r="O160" s="3">
        <f>VLOOKUP("Grand Total",OversightActuals!$C$121:F146,COLUMN(OversightActuals!D:D),0)/1000</f>
        <v>12221775.434459995</v>
      </c>
      <c r="P160" s="3">
        <f>VLOOKUP("Grand Total",OversightActuals!$C$121:G146,COLUMN(OversightActuals!E:E),0)/1000</f>
        <v>12321653.47146</v>
      </c>
      <c r="Q160" s="3">
        <f>VLOOKUP("Grand Total",OversightActuals!$C$121:H146,COLUMN(OversightActuals!F:F),0)/1000</f>
        <v>12445372.242529999</v>
      </c>
      <c r="R160" s="3">
        <f>VLOOKUP("Grand Total",OversightActuals!$C$121:I146,COLUMN(OversightActuals!G:G),0)/1000</f>
        <v>13162122.553410003</v>
      </c>
      <c r="S160" s="3">
        <f>VLOOKUP("Grand Total",OversightActuals!$C$121:J146,COLUMN(OversightActuals!H:H),0)/1000</f>
        <v>14712231.52083</v>
      </c>
      <c r="T160" s="3">
        <f>VLOOKUP("Grand Total",OversightActuals!$C$121:K146,COLUMN(OversightActuals!I:I),0)/1000</f>
        <v>15459006.454179997</v>
      </c>
      <c r="U160" s="3">
        <f>VLOOKUP("Grand Total",OversightActuals!$C$121:L146,COLUMN(OversightActuals!J:J),0)/1000</f>
        <v>16418502.593209999</v>
      </c>
      <c r="V160" s="3">
        <f>VLOOKUP("Grand Total",OversightActuals!$C$121:M146,COLUMN(OversightActuals!K:K),0)/1000</f>
        <v>16144280.723040007</v>
      </c>
      <c r="W160" s="3">
        <f>VLOOKUP("Grand Total",OversightActuals!$C$121:N146,COLUMN(OversightActuals!L:L),0)/1000</f>
        <v>15289686.631930001</v>
      </c>
      <c r="X160" s="3">
        <f>VLOOKUP("Grand Total",OversightActuals!$C$121:O146,COLUMN(OversightActuals!M:M),0)/1000</f>
        <v>15112899.274570007</v>
      </c>
      <c r="Y160" s="3">
        <f>VLOOKUP("Grand Total",OversightActuals!$C$121:P146,COLUMN(OversightActuals!N:N),0)/1000</f>
        <v>15519480.984579993</v>
      </c>
      <c r="Z160" s="3">
        <f>VLOOKUP("Grand Total",OversightActuals!$C$121:Q146,COLUMN(OversightActuals!O:O),0)/1000</f>
        <v>15726366.980079999</v>
      </c>
      <c r="AA160" s="3">
        <f>VLOOKUP("Grand Total",OversightActuals!$C$121:R146,COLUMN(OversightActuals!P:P),0)/1000</f>
        <v>16490446.169009995</v>
      </c>
      <c r="AB160" s="3">
        <f>VLOOKUP("Grand Total",OversightActuals!$C$121:S146,COLUMN(OversightActuals!Q:Q),0)/1000</f>
        <v>17153211.615609996</v>
      </c>
      <c r="AC160" s="3">
        <f>VLOOKUP("Grand Total",OversightActuals!$C$121:T146,COLUMN(OversightActuals!R:R),0)/1000</f>
        <v>18467612.173250005</v>
      </c>
      <c r="AD160" s="3">
        <f>VLOOKUP("Grand Total",OversightActuals!$C$121:U146,COLUMN(OversightActuals!S:S),0)/1000</f>
        <v>19737879.869879995</v>
      </c>
      <c r="AE160" s="3">
        <f>VLOOKUP("Grand Total",OversightActuals!$C$121:V146,COLUMN(OversightActuals!T:T),0)/1000</f>
        <v>21200345.423999988</v>
      </c>
      <c r="AF160" s="3">
        <f>VLOOKUP("Grand Total",OversightActuals!$C$121:W146,COLUMN(OversightActuals!U:U),0)/1000</f>
        <v>24050344.119830001</v>
      </c>
      <c r="AG160" s="3">
        <f>VLOOKUP("Grand Total",OversightActuals!$C$121:X146,COLUMN(OversightActuals!V:V),0)/1000</f>
        <v>25669399.632029988</v>
      </c>
      <c r="AH160" s="3">
        <f>VLOOKUP("Grand Total",OversightActuals!$C$121:Y146,COLUMN(OversightActuals!W:W),0)/1000</f>
        <v>26402128.593620006</v>
      </c>
      <c r="AI160" s="3">
        <f>VLOOKUP("Grand Total",OversightActuals!$C$121:Z146,COLUMN(OversightActuals!X:X),0)/1000</f>
        <v>29062895.557920013</v>
      </c>
      <c r="AJ160" s="3">
        <f>VLOOKUP("Grand Total",OversightActuals!$C$121:AA146,COLUMN(OversightActuals!Y:Y),0)/1000</f>
        <v>33055875.934759989</v>
      </c>
      <c r="AK160" s="3">
        <f>VLOOKUP("Grand Total",OversightActuals!$C$121:AB146,COLUMN(OversightActuals!Z:Z),0)/1000</f>
        <v>34251049.329320006</v>
      </c>
      <c r="AL160" s="3">
        <f ca="1">+OversightBudgets!E1</f>
        <v>37274822</v>
      </c>
    </row>
    <row r="161" spans="2:38">
      <c r="C161" s="815">
        <f t="shared" ref="C161:L161" si="139">+C19/C160</f>
        <v>0.1639436207193706</v>
      </c>
      <c r="D161" s="815">
        <f t="shared" si="139"/>
        <v>0.15417907711733148</v>
      </c>
      <c r="E161" s="815">
        <f t="shared" si="139"/>
        <v>0.15207903735432349</v>
      </c>
      <c r="F161" s="815">
        <f t="shared" si="139"/>
        <v>0.14746341460830276</v>
      </c>
      <c r="G161" s="815">
        <f t="shared" si="139"/>
        <v>0.14626947668914678</v>
      </c>
      <c r="H161" s="815">
        <f t="shared" si="139"/>
        <v>0.1456167542869608</v>
      </c>
      <c r="I161" s="815">
        <f t="shared" si="139"/>
        <v>0.14221545209777847</v>
      </c>
      <c r="J161" s="815">
        <f t="shared" si="139"/>
        <v>0.13922621223225601</v>
      </c>
      <c r="K161" s="815">
        <f t="shared" si="139"/>
        <v>0.14474962097971378</v>
      </c>
      <c r="L161" s="815">
        <f t="shared" si="139"/>
        <v>0.14702863455345017</v>
      </c>
      <c r="M161" s="815"/>
      <c r="N161" s="815"/>
      <c r="O161" s="815"/>
      <c r="P161" s="815"/>
      <c r="Q161" s="815"/>
      <c r="R161" s="815"/>
      <c r="S161" s="815"/>
      <c r="T161" s="815"/>
      <c r="U161" s="815"/>
      <c r="V161" s="815"/>
      <c r="W161" s="815"/>
      <c r="X161" s="815"/>
      <c r="Y161" s="815"/>
      <c r="Z161" s="815"/>
      <c r="AA161" s="815"/>
      <c r="AB161" s="815"/>
      <c r="AC161" s="815"/>
      <c r="AD161" s="815"/>
      <c r="AE161" s="815"/>
      <c r="AG161" s="815"/>
      <c r="AH161" s="815"/>
      <c r="AI161" s="815"/>
      <c r="AJ161" s="815"/>
      <c r="AK161" s="815"/>
      <c r="AL161" s="815"/>
    </row>
    <row r="162" spans="2:38">
      <c r="B162" s="2446" t="s">
        <v>2007</v>
      </c>
      <c r="W162"/>
      <c r="X162" s="3"/>
      <c r="Y162" s="3"/>
      <c r="Z162" s="3"/>
    </row>
    <row r="163" spans="2:38">
      <c r="B163" s="1" t="s">
        <v>1835</v>
      </c>
      <c r="X163" s="3"/>
      <c r="Y163" s="3"/>
      <c r="Z163" s="3"/>
    </row>
    <row r="164" spans="2:38" hidden="1">
      <c r="B164" s="1" t="s">
        <v>1929</v>
      </c>
    </row>
    <row r="165" spans="2:38" hidden="1">
      <c r="B165" s="36" t="s">
        <v>2006</v>
      </c>
    </row>
    <row r="166" spans="2:38" hidden="1">
      <c r="B166" s="1" t="s">
        <v>1868</v>
      </c>
    </row>
    <row r="167" spans="2:38" hidden="1">
      <c r="B167" s="1" t="s">
        <v>1845</v>
      </c>
    </row>
    <row r="168" spans="2:38" hidden="1">
      <c r="B168" s="1" t="s">
        <v>1975</v>
      </c>
    </row>
  </sheetData>
  <phoneticPr fontId="0" type="noConversion"/>
  <printOptions horizontalCentered="1"/>
  <pageMargins left="0.5" right="0.5" top="0.25" bottom="0.25" header="0.25" footer="0.25"/>
  <pageSetup scale="53" fitToHeight="2" orientation="portrait" r:id="rId1"/>
  <headerFooter alignWithMargins="0">
    <oddFooter>&amp;R&amp;8Page &amp;P of &amp;N</oddFooter>
  </headerFooter>
  <rowBreaks count="1" manualBreakCount="1">
    <brk id="116" min="1" max="37"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B1:AL170"/>
  <sheetViews>
    <sheetView topLeftCell="B1" zoomScale="85" zoomScaleNormal="85" workbookViewId="0">
      <pane xSplit="11" ySplit="6" topLeftCell="Y7" activePane="bottomRight" state="frozen"/>
      <selection activeCell="Y7" sqref="Y7"/>
      <selection pane="topRight" activeCell="Y7" sqref="Y7"/>
      <selection pane="bottomLeft" activeCell="Y7" sqref="Y7"/>
      <selection pane="bottomRight" activeCell="AK72" sqref="AK72"/>
    </sheetView>
  </sheetViews>
  <sheetFormatPr defaultRowHeight="12.75"/>
  <cols>
    <col min="1" max="1" width="0" style="1" hidden="1" customWidth="1"/>
    <col min="2" max="2" width="35.625" style="1" customWidth="1"/>
    <col min="3" max="24" width="8.625" style="1" hidden="1" customWidth="1"/>
    <col min="25" max="38" width="8.625" style="1" customWidth="1"/>
    <col min="39" max="16384" width="9" style="1"/>
  </cols>
  <sheetData>
    <row r="1" spans="2:38">
      <c r="B1" s="1" t="str">
        <f>+OperatingFunds!B1</f>
        <v>Last updated: 18 December 2024</v>
      </c>
    </row>
    <row r="2" spans="2:38" ht="12.75" customHeight="1">
      <c r="B2" s="4" t="s">
        <v>10</v>
      </c>
      <c r="C2" s="376"/>
      <c r="D2" s="5"/>
      <c r="E2" s="5"/>
      <c r="F2" s="5"/>
      <c r="G2" s="5"/>
      <c r="H2" s="5"/>
      <c r="I2" s="5"/>
      <c r="J2" s="5"/>
      <c r="K2" s="5"/>
      <c r="L2" s="5"/>
      <c r="N2" s="5"/>
      <c r="O2" s="5"/>
      <c r="P2" s="5"/>
      <c r="Q2" s="5"/>
      <c r="R2" s="375"/>
      <c r="S2" s="375"/>
      <c r="T2" s="375"/>
      <c r="U2" s="375"/>
      <c r="V2" s="375"/>
      <c r="W2" s="375"/>
      <c r="X2" s="375"/>
      <c r="Y2" s="375"/>
      <c r="Z2"/>
      <c r="AA2"/>
      <c r="AB2"/>
      <c r="AC2"/>
      <c r="AD2"/>
    </row>
    <row r="3" spans="2:38"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row>
    <row r="4" spans="2:38" ht="12.75" customHeight="1">
      <c r="B4" s="33" t="str">
        <f>+"(FY"&amp;$B$6&amp;" Constant Dollars in Thousands)"</f>
        <v>(FY2024 Constant Dollars in Thousands)</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row>
    <row r="5" spans="2:38" ht="12.75" customHeight="1">
      <c r="B5" s="2398" t="s">
        <v>1857</v>
      </c>
      <c r="I5" s="13"/>
      <c r="J5" s="13"/>
      <c r="K5" s="13"/>
      <c r="L5" s="13"/>
      <c r="M5" s="13"/>
      <c r="N5" s="13"/>
      <c r="O5" s="13"/>
      <c r="P5" s="13"/>
      <c r="Q5"/>
      <c r="R5" s="13"/>
      <c r="S5"/>
      <c r="T5"/>
      <c r="U5" s="2"/>
      <c r="V5" s="2"/>
      <c r="W5"/>
      <c r="X5"/>
      <c r="Y5"/>
      <c r="Z5"/>
      <c r="AA5"/>
      <c r="AB5"/>
      <c r="AC5"/>
      <c r="AD5" s="2"/>
      <c r="AE5" s="2"/>
      <c r="AF5" s="2"/>
      <c r="AG5" s="2"/>
      <c r="AH5" s="2"/>
      <c r="AI5" s="2" t="str">
        <f>TRIM(OperatingFunds!AI5)</f>
        <v/>
      </c>
      <c r="AJ5" s="2" t="str">
        <f>TRIM(OperatingFunds!AJ5)</f>
        <v/>
      </c>
      <c r="AK5" s="2" t="str">
        <f>TRIM(OperatingFunds!AK5)</f>
        <v>Final</v>
      </c>
      <c r="AL5" s="2" t="str">
        <f>TRIM(OperatingFunds!AL5)</f>
        <v>Enacted</v>
      </c>
    </row>
    <row r="6" spans="2:38" ht="15.75">
      <c r="B6" s="2066">
        <v>2024</v>
      </c>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+OperatingFunds!U6</f>
        <v>FY2008</v>
      </c>
      <c r="V6" s="2" t="str">
        <f>+OperatingFunds!V6</f>
        <v>FY2009</v>
      </c>
      <c r="W6" s="2" t="str">
        <f>IF(ISBLANK(OperatingFunds!W6),"",OperatingFunds!W6)</f>
        <v>FY2010</v>
      </c>
      <c r="X6" s="2" t="str">
        <f>IF(ISBLANK(OperatingFunds!$X$6),"",OperatingFunds!$X$6)</f>
        <v>FY2011</v>
      </c>
      <c r="Y6" s="2"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c r="AE6" s="2" t="str">
        <f>IF(ISBLANK(OperatingFunds!AE6),"",OperatingFunds!AE6)</f>
        <v>FY2018</v>
      </c>
      <c r="AF6" s="2" t="str">
        <f>IF(ISBLANK(OperatingFunds!AF6),"",OperatingFunds!AF6)</f>
        <v>FY2019</v>
      </c>
      <c r="AG6" s="2" t="str">
        <f>IF(ISBLANK(OperatingFunds!AG6),"",OperatingFunds!AG6)</f>
        <v>FY2020</v>
      </c>
      <c r="AH6" s="2" t="str">
        <f>IF(ISBLANK(OperatingFunds!AH6),"",OperatingFunds!AH6)</f>
        <v>FY2021</v>
      </c>
      <c r="AI6" s="2" t="str">
        <f>IF(ISBLANK(OperatingFunds!AI6),"",OperatingFunds!AI6)</f>
        <v>FY2022</v>
      </c>
      <c r="AJ6" s="2" t="str">
        <f>IF(ISBLANK(OperatingFunds!AJ6),"",OperatingFunds!AJ6)</f>
        <v>FY2023</v>
      </c>
      <c r="AK6" s="2" t="str">
        <f>IF(ISBLANK(OperatingFunds!AK6),"",OperatingFunds!AK6)</f>
        <v>FY2024</v>
      </c>
      <c r="AL6" s="2" t="str">
        <f>IF(ISBLANK(OperatingFunds!AL6),"",OperatingFunds!AL6)</f>
        <v>FY2025</v>
      </c>
    </row>
    <row r="8" spans="2:38">
      <c r="B8" s="1" t="str">
        <f>+OperatingFunds!$B$8</f>
        <v>University of Washington</v>
      </c>
      <c r="C8" s="3">
        <f t="shared" ref="C8:AL8" si="0">+C27+C46</f>
        <v>609797.16810000013</v>
      </c>
      <c r="D8" s="3">
        <f t="shared" si="0"/>
        <v>653082.27812976262</v>
      </c>
      <c r="E8" s="3">
        <f t="shared" si="0"/>
        <v>640621.29902120866</v>
      </c>
      <c r="F8" s="3">
        <f t="shared" si="0"/>
        <v>653007.8677720509</v>
      </c>
      <c r="G8" s="3">
        <f t="shared" si="0"/>
        <v>612130.56403184915</v>
      </c>
      <c r="H8" s="3">
        <f t="shared" si="0"/>
        <v>632944.94229815225</v>
      </c>
      <c r="I8" s="3">
        <f t="shared" si="0"/>
        <v>631129.25761118135</v>
      </c>
      <c r="J8" s="3">
        <f t="shared" si="0"/>
        <v>643676.09690275474</v>
      </c>
      <c r="K8" s="3">
        <f t="shared" si="0"/>
        <v>669426.56631582428</v>
      </c>
      <c r="L8" s="3">
        <f t="shared" si="0"/>
        <v>730512.7587123909</v>
      </c>
      <c r="M8" s="3">
        <f t="shared" si="0"/>
        <v>752717.19377857714</v>
      </c>
      <c r="N8" s="3">
        <f t="shared" si="0"/>
        <v>776338.68816439807</v>
      </c>
      <c r="O8" s="3">
        <f t="shared" si="0"/>
        <v>811251.94292360207</v>
      </c>
      <c r="P8" s="3">
        <f t="shared" si="0"/>
        <v>814475.91051351093</v>
      </c>
      <c r="Q8" s="3">
        <f t="shared" si="0"/>
        <v>785735.57243593386</v>
      </c>
      <c r="R8" s="3">
        <f t="shared" si="0"/>
        <v>829623.66401434131</v>
      </c>
      <c r="S8" s="3">
        <f t="shared" si="0"/>
        <v>837097.40009353217</v>
      </c>
      <c r="T8" s="3">
        <f t="shared" si="0"/>
        <v>900404.48607176868</v>
      </c>
      <c r="U8" s="3">
        <f t="shared" si="0"/>
        <v>939170.2985777338</v>
      </c>
      <c r="V8" s="3">
        <f t="shared" si="0"/>
        <v>962432.24209118623</v>
      </c>
      <c r="W8" s="3">
        <f t="shared" si="0"/>
        <v>884363.88953195233</v>
      </c>
      <c r="X8" s="3">
        <f t="shared" si="0"/>
        <v>970610.10458596796</v>
      </c>
      <c r="Y8" s="3">
        <f t="shared" si="0"/>
        <v>889550.45575670572</v>
      </c>
      <c r="Z8" s="3">
        <f t="shared" si="0"/>
        <v>982258.94450240431</v>
      </c>
      <c r="AA8" s="3">
        <f t="shared" si="0"/>
        <v>962071.47905569198</v>
      </c>
      <c r="AB8" s="3">
        <f t="shared" si="0"/>
        <v>1090238.3846939877</v>
      </c>
      <c r="AC8" s="3">
        <f t="shared" si="0"/>
        <v>1093741.5108847688</v>
      </c>
      <c r="AD8" s="3">
        <f t="shared" si="0"/>
        <v>1178628.7797673217</v>
      </c>
      <c r="AE8" s="3">
        <f t="shared" si="0"/>
        <v>1287707.9056325289</v>
      </c>
      <c r="AF8" s="3">
        <f t="shared" si="0"/>
        <v>1212506.6838235673</v>
      </c>
      <c r="AG8" s="3">
        <f t="shared" si="0"/>
        <v>1224142.4593839785</v>
      </c>
      <c r="AH8" s="3">
        <f t="shared" ref="AH8:AI8" si="1">+AH27+AH46</f>
        <v>1233816.148219204</v>
      </c>
      <c r="AI8" s="3">
        <f t="shared" si="1"/>
        <v>1167414.1257947132</v>
      </c>
      <c r="AJ8" s="3">
        <f t="shared" ref="AJ8:AK8" si="2">+AJ27+AJ46</f>
        <v>1176436.8358021951</v>
      </c>
      <c r="AK8" s="3">
        <f t="shared" si="2"/>
        <v>1376734.8219599999</v>
      </c>
      <c r="AL8" s="3">
        <f t="shared" si="0"/>
        <v>1391626.7239894494</v>
      </c>
    </row>
    <row r="9" spans="2:38">
      <c r="B9" s="1" t="str">
        <f>+OperatingFunds!$B$9</f>
        <v>Washington State University</v>
      </c>
      <c r="C9" s="3">
        <f t="shared" ref="C9:AL9" si="3">+C28+C47</f>
        <v>342404.53130000003</v>
      </c>
      <c r="D9" s="3">
        <f t="shared" si="3"/>
        <v>352373.02638767747</v>
      </c>
      <c r="E9" s="3">
        <f t="shared" si="3"/>
        <v>355577.42771033751</v>
      </c>
      <c r="F9" s="3">
        <f t="shared" si="3"/>
        <v>362465.70577326906</v>
      </c>
      <c r="G9" s="3">
        <f t="shared" si="3"/>
        <v>352405.05880521331</v>
      </c>
      <c r="H9" s="3">
        <f t="shared" si="3"/>
        <v>353253.57490361267</v>
      </c>
      <c r="I9" s="3">
        <f t="shared" si="3"/>
        <v>359880.72958974715</v>
      </c>
      <c r="J9" s="3">
        <f t="shared" si="3"/>
        <v>376111.90776776092</v>
      </c>
      <c r="K9" s="3">
        <f t="shared" si="3"/>
        <v>392071.29186563345</v>
      </c>
      <c r="L9" s="3">
        <f t="shared" si="3"/>
        <v>390605.7882678319</v>
      </c>
      <c r="M9" s="3">
        <f t="shared" si="3"/>
        <v>405992.64114577329</v>
      </c>
      <c r="N9" s="3">
        <f t="shared" si="3"/>
        <v>421039.5593458775</v>
      </c>
      <c r="O9" s="3">
        <f t="shared" si="3"/>
        <v>430974.01103120681</v>
      </c>
      <c r="P9" s="3">
        <f t="shared" si="3"/>
        <v>432550.95568153227</v>
      </c>
      <c r="Q9" s="3">
        <f t="shared" si="3"/>
        <v>428675.55971023568</v>
      </c>
      <c r="R9" s="3">
        <f t="shared" si="3"/>
        <v>447014.16646624717</v>
      </c>
      <c r="S9" s="3">
        <f t="shared" si="3"/>
        <v>463960.88764520793</v>
      </c>
      <c r="T9" s="3">
        <f t="shared" si="3"/>
        <v>479441.20837194764</v>
      </c>
      <c r="U9" s="3">
        <f t="shared" si="3"/>
        <v>512784.67163400771</v>
      </c>
      <c r="V9" s="3">
        <f t="shared" si="3"/>
        <v>526428.33647492644</v>
      </c>
      <c r="W9" s="3">
        <f t="shared" si="3"/>
        <v>494871.42901021207</v>
      </c>
      <c r="X9" s="3">
        <f t="shared" si="3"/>
        <v>479459.25532410503</v>
      </c>
      <c r="Y9" s="3">
        <f t="shared" si="3"/>
        <v>475621.49481439596</v>
      </c>
      <c r="Z9" s="3">
        <f t="shared" si="3"/>
        <v>494449.41981084255</v>
      </c>
      <c r="AA9" s="3">
        <f t="shared" si="3"/>
        <v>529228.02812786819</v>
      </c>
      <c r="AB9" s="3">
        <f t="shared" si="3"/>
        <v>538375.84350441303</v>
      </c>
      <c r="AC9" s="3">
        <f t="shared" si="3"/>
        <v>587641.31517425529</v>
      </c>
      <c r="AD9" s="3">
        <f t="shared" si="3"/>
        <v>559695.48115866946</v>
      </c>
      <c r="AE9" s="3">
        <f t="shared" si="3"/>
        <v>582380.02646153024</v>
      </c>
      <c r="AF9" s="3">
        <f t="shared" si="3"/>
        <v>595598.260107012</v>
      </c>
      <c r="AG9" s="3">
        <f t="shared" si="3"/>
        <v>598483.3337338483</v>
      </c>
      <c r="AH9" s="3">
        <f t="shared" ref="AH9:AI9" si="4">+AH28+AH47</f>
        <v>583792.27275845222</v>
      </c>
      <c r="AI9" s="3">
        <f t="shared" si="4"/>
        <v>562337.80095280672</v>
      </c>
      <c r="AJ9" s="3">
        <f t="shared" ref="AJ9:AK9" si="5">+AJ28+AJ47</f>
        <v>577676.77040935017</v>
      </c>
      <c r="AK9" s="3">
        <f t="shared" si="5"/>
        <v>554147.99413000001</v>
      </c>
      <c r="AL9" s="3">
        <f t="shared" si="3"/>
        <v>620196.82462624146</v>
      </c>
    </row>
    <row r="10" spans="2:38">
      <c r="B10" s="1" t="str">
        <f>+OperatingFunds!$B$10</f>
        <v>Eastern Washington University</v>
      </c>
      <c r="C10" s="3">
        <f t="shared" ref="C10:AL10" si="6">+C29+C48</f>
        <v>92192.105500000005</v>
      </c>
      <c r="D10" s="3">
        <f t="shared" si="6"/>
        <v>97918.569045998724</v>
      </c>
      <c r="E10" s="3">
        <f t="shared" si="6"/>
        <v>93955.034290352982</v>
      </c>
      <c r="F10" s="3">
        <f t="shared" si="6"/>
        <v>99470.549828647287</v>
      </c>
      <c r="G10" s="3">
        <f t="shared" si="6"/>
        <v>94215.411680975056</v>
      </c>
      <c r="H10" s="3">
        <f t="shared" si="6"/>
        <v>96405.218361894149</v>
      </c>
      <c r="I10" s="3">
        <f t="shared" si="6"/>
        <v>94579.773797740549</v>
      </c>
      <c r="J10" s="3">
        <f t="shared" si="6"/>
        <v>94392.509378629256</v>
      </c>
      <c r="K10" s="3">
        <f t="shared" si="6"/>
        <v>93845.216908180635</v>
      </c>
      <c r="L10" s="3">
        <f t="shared" si="6"/>
        <v>95771.084435934594</v>
      </c>
      <c r="M10" s="3">
        <f t="shared" si="6"/>
        <v>99450.878937532456</v>
      </c>
      <c r="N10" s="3">
        <f t="shared" si="6"/>
        <v>104420.03868663948</v>
      </c>
      <c r="O10" s="3">
        <f t="shared" si="6"/>
        <v>104286.5794538943</v>
      </c>
      <c r="P10" s="3">
        <f t="shared" si="6"/>
        <v>105447.02631356058</v>
      </c>
      <c r="Q10" s="3">
        <f t="shared" si="6"/>
        <v>105692.01031559172</v>
      </c>
      <c r="R10" s="3">
        <f t="shared" si="6"/>
        <v>115656.76186051224</v>
      </c>
      <c r="S10" s="3">
        <f t="shared" si="6"/>
        <v>115203.72348550794</v>
      </c>
      <c r="T10" s="3">
        <f t="shared" si="6"/>
        <v>123736.9620281738</v>
      </c>
      <c r="U10" s="3">
        <f t="shared" si="6"/>
        <v>131617.54474411669</v>
      </c>
      <c r="V10" s="3">
        <f t="shared" si="6"/>
        <v>129138.53133205589</v>
      </c>
      <c r="W10" s="3">
        <f t="shared" si="6"/>
        <v>123787.46924368966</v>
      </c>
      <c r="X10" s="3">
        <f t="shared" si="6"/>
        <v>120200.20211910876</v>
      </c>
      <c r="Y10" s="3">
        <f t="shared" si="6"/>
        <v>117738.43785055714</v>
      </c>
      <c r="Z10" s="3">
        <f t="shared" si="6"/>
        <v>120121.41240890167</v>
      </c>
      <c r="AA10" s="3">
        <f t="shared" si="6"/>
        <v>128610.11586742118</v>
      </c>
      <c r="AB10" s="3">
        <f t="shared" si="6"/>
        <v>136091.3336442271</v>
      </c>
      <c r="AC10" s="3">
        <f t="shared" si="6"/>
        <v>142989.65055067136</v>
      </c>
      <c r="AD10" s="3">
        <f t="shared" si="6"/>
        <v>142783.36891838728</v>
      </c>
      <c r="AE10" s="3">
        <f t="shared" si="6"/>
        <v>146896.09329693409</v>
      </c>
      <c r="AF10" s="3">
        <f t="shared" si="6"/>
        <v>150243.16748413941</v>
      </c>
      <c r="AG10" s="3">
        <f t="shared" si="6"/>
        <v>159049.91815495573</v>
      </c>
      <c r="AH10" s="3">
        <f t="shared" ref="AH10:AI10" si="7">+AH29+AH48</f>
        <v>141563.41952039601</v>
      </c>
      <c r="AI10" s="3">
        <f t="shared" si="7"/>
        <v>128602.84692735691</v>
      </c>
      <c r="AJ10" s="3">
        <f t="shared" ref="AJ10:AK10" si="8">+AJ29+AJ48</f>
        <v>135475.65849126136</v>
      </c>
      <c r="AK10" s="3">
        <f t="shared" si="8"/>
        <v>138801.12077000001</v>
      </c>
      <c r="AL10" s="3">
        <f t="shared" si="6"/>
        <v>159890.27523793592</v>
      </c>
    </row>
    <row r="11" spans="2:38">
      <c r="B11" s="1" t="str">
        <f>+OperatingFunds!$B$11</f>
        <v>Central Washington University</v>
      </c>
      <c r="C11" s="3">
        <f t="shared" ref="C11:AL11" si="9">+C30+C49</f>
        <v>77248.248000000007</v>
      </c>
      <c r="D11" s="3">
        <f t="shared" si="9"/>
        <v>83927.340145117851</v>
      </c>
      <c r="E11" s="3">
        <f t="shared" si="9"/>
        <v>79761.735698356861</v>
      </c>
      <c r="F11" s="3">
        <f t="shared" si="9"/>
        <v>85515.604007017741</v>
      </c>
      <c r="G11" s="3">
        <f t="shared" si="9"/>
        <v>81182.930519105023</v>
      </c>
      <c r="H11" s="3">
        <f t="shared" si="9"/>
        <v>87814.078032393096</v>
      </c>
      <c r="I11" s="3">
        <f t="shared" si="9"/>
        <v>87214.414485136032</v>
      </c>
      <c r="J11" s="3">
        <f t="shared" si="9"/>
        <v>88394.095390476825</v>
      </c>
      <c r="K11" s="3">
        <f t="shared" si="9"/>
        <v>93458.432816708257</v>
      </c>
      <c r="L11" s="3">
        <f t="shared" si="9"/>
        <v>96215.735899387131</v>
      </c>
      <c r="M11" s="3">
        <f t="shared" si="9"/>
        <v>98181.440009414859</v>
      </c>
      <c r="N11" s="3">
        <f t="shared" si="9"/>
        <v>100549.66810729305</v>
      </c>
      <c r="O11" s="3">
        <f t="shared" si="9"/>
        <v>99958.369454758606</v>
      </c>
      <c r="P11" s="3">
        <f t="shared" si="9"/>
        <v>103705.18721888763</v>
      </c>
      <c r="Q11" s="3">
        <f t="shared" si="9"/>
        <v>105581.57981347345</v>
      </c>
      <c r="R11" s="3">
        <f t="shared" si="9"/>
        <v>109048.99959420417</v>
      </c>
      <c r="S11" s="3">
        <f t="shared" si="9"/>
        <v>113885.0503709476</v>
      </c>
      <c r="T11" s="3">
        <f t="shared" si="9"/>
        <v>117950.60573609374</v>
      </c>
      <c r="U11" s="3">
        <f t="shared" si="9"/>
        <v>126627.4326101559</v>
      </c>
      <c r="V11" s="3">
        <f t="shared" si="9"/>
        <v>130906.65479317021</v>
      </c>
      <c r="W11" s="3">
        <f t="shared" si="9"/>
        <v>126462.62762881073</v>
      </c>
      <c r="X11" s="3">
        <f t="shared" si="9"/>
        <v>120862.48154063942</v>
      </c>
      <c r="Y11" s="3">
        <f t="shared" si="9"/>
        <v>119243.7628857305</v>
      </c>
      <c r="Z11" s="3">
        <f t="shared" si="9"/>
        <v>117695.08222580599</v>
      </c>
      <c r="AA11" s="3">
        <f t="shared" si="9"/>
        <v>133421.28316083772</v>
      </c>
      <c r="AB11" s="3">
        <f t="shared" si="9"/>
        <v>128368.91724696229</v>
      </c>
      <c r="AC11" s="3">
        <f t="shared" si="9"/>
        <v>135326.35993385027</v>
      </c>
      <c r="AD11" s="3">
        <f t="shared" si="9"/>
        <v>144271.48418607848</v>
      </c>
      <c r="AE11" s="3">
        <f t="shared" si="9"/>
        <v>138989.72115799182</v>
      </c>
      <c r="AF11" s="3">
        <f t="shared" si="9"/>
        <v>144310.19709386595</v>
      </c>
      <c r="AG11" s="3">
        <f t="shared" si="9"/>
        <v>147041.63890530152</v>
      </c>
      <c r="AH11" s="3">
        <f t="shared" ref="AH11:AI11" si="10">+AH30+AH49</f>
        <v>139317.94499976217</v>
      </c>
      <c r="AI11" s="3">
        <f t="shared" si="10"/>
        <v>137932.28478049661</v>
      </c>
      <c r="AJ11" s="3">
        <f t="shared" ref="AJ11:AK11" si="11">+AJ30+AJ49</f>
        <v>138752.69133785838</v>
      </c>
      <c r="AK11" s="3">
        <f t="shared" si="11"/>
        <v>144428.84929000001</v>
      </c>
      <c r="AL11" s="3">
        <f t="shared" si="9"/>
        <v>159710.28116787891</v>
      </c>
    </row>
    <row r="12" spans="2:38">
      <c r="B12" s="1" t="str">
        <f>+OperatingFunds!$B$12</f>
        <v>The Evergreen State College</v>
      </c>
      <c r="C12" s="3">
        <f t="shared" ref="C12:AL12" si="12">+C31+C50</f>
        <v>47805.713650000005</v>
      </c>
      <c r="D12" s="3">
        <f t="shared" si="12"/>
        <v>52717.524130395199</v>
      </c>
      <c r="E12" s="3">
        <f t="shared" si="12"/>
        <v>49456.176462355259</v>
      </c>
      <c r="F12" s="3">
        <f t="shared" si="12"/>
        <v>54759.625387475353</v>
      </c>
      <c r="G12" s="3">
        <f t="shared" si="12"/>
        <v>48247.513366843115</v>
      </c>
      <c r="H12" s="3">
        <f t="shared" si="12"/>
        <v>53616.864779244737</v>
      </c>
      <c r="I12" s="3">
        <f t="shared" si="12"/>
        <v>49929.289267551809</v>
      </c>
      <c r="J12" s="3">
        <f t="shared" si="12"/>
        <v>54338.47105366498</v>
      </c>
      <c r="K12" s="3">
        <f t="shared" si="12"/>
        <v>53460.813643198228</v>
      </c>
      <c r="L12" s="3">
        <f t="shared" si="12"/>
        <v>56781.991882891074</v>
      </c>
      <c r="M12" s="3">
        <f t="shared" si="12"/>
        <v>61416.150929601688</v>
      </c>
      <c r="N12" s="3">
        <f t="shared" si="12"/>
        <v>64248.477386199054</v>
      </c>
      <c r="O12" s="3">
        <f t="shared" si="12"/>
        <v>63913.51754709048</v>
      </c>
      <c r="P12" s="3">
        <f t="shared" si="12"/>
        <v>63380.932280234309</v>
      </c>
      <c r="Q12" s="3">
        <f t="shared" si="12"/>
        <v>56764.867907405445</v>
      </c>
      <c r="R12" s="3">
        <f t="shared" si="12"/>
        <v>74876.330227683036</v>
      </c>
      <c r="S12" s="3">
        <f t="shared" si="12"/>
        <v>68081.719126196564</v>
      </c>
      <c r="T12" s="3">
        <f t="shared" si="12"/>
        <v>70893.378289909146</v>
      </c>
      <c r="U12" s="3">
        <f t="shared" si="12"/>
        <v>73079.445706946586</v>
      </c>
      <c r="V12" s="3">
        <f t="shared" si="12"/>
        <v>75998.005593712936</v>
      </c>
      <c r="W12" s="3">
        <f t="shared" si="12"/>
        <v>71342.421957744256</v>
      </c>
      <c r="X12" s="3">
        <f t="shared" si="12"/>
        <v>71563.268875391892</v>
      </c>
      <c r="Y12" s="3">
        <f t="shared" si="12"/>
        <v>68331.846889028035</v>
      </c>
      <c r="Z12" s="3">
        <f t="shared" si="12"/>
        <v>66557.682994240356</v>
      </c>
      <c r="AA12" s="3">
        <f t="shared" si="12"/>
        <v>69130.40945575037</v>
      </c>
      <c r="AB12" s="3">
        <f t="shared" si="12"/>
        <v>65412.955979423947</v>
      </c>
      <c r="AC12" s="3">
        <f t="shared" si="12"/>
        <v>83991.267629901064</v>
      </c>
      <c r="AD12" s="3">
        <f t="shared" si="12"/>
        <v>73452.1805089915</v>
      </c>
      <c r="AE12" s="3">
        <f t="shared" si="12"/>
        <v>73113.777356783452</v>
      </c>
      <c r="AF12" s="3">
        <f t="shared" si="12"/>
        <v>64055.925389906428</v>
      </c>
      <c r="AG12" s="3">
        <f t="shared" si="12"/>
        <v>64558.456991305633</v>
      </c>
      <c r="AH12" s="3">
        <f t="shared" ref="AH12:AI12" si="13">+AH31+AH50</f>
        <v>53201.315813094523</v>
      </c>
      <c r="AI12" s="3">
        <f t="shared" si="13"/>
        <v>43716.687616423311</v>
      </c>
      <c r="AJ12" s="3">
        <f t="shared" ref="AJ12:AK12" si="14">+AJ31+AJ50</f>
        <v>56910.36723124663</v>
      </c>
      <c r="AK12" s="3">
        <f t="shared" si="14"/>
        <v>58498.374830000001</v>
      </c>
      <c r="AL12" s="3">
        <f t="shared" si="12"/>
        <v>86282.98596006025</v>
      </c>
    </row>
    <row r="13" spans="2:38">
      <c r="B13" s="1" t="str">
        <f>+OperatingFunds!$B$13</f>
        <v>Western Washington University</v>
      </c>
      <c r="C13" s="41">
        <f t="shared" ref="C13:AL13" si="15">+C32+C51</f>
        <v>101168.87025000001</v>
      </c>
      <c r="D13" s="41">
        <f t="shared" si="15"/>
        <v>109630.01293983457</v>
      </c>
      <c r="E13" s="41">
        <f t="shared" si="15"/>
        <v>107565.23364093568</v>
      </c>
      <c r="F13" s="41">
        <f t="shared" si="15"/>
        <v>108840.97771050935</v>
      </c>
      <c r="G13" s="41">
        <f t="shared" si="15"/>
        <v>105771.53529647258</v>
      </c>
      <c r="H13" s="41">
        <f t="shared" si="15"/>
        <v>108297.84497088796</v>
      </c>
      <c r="I13" s="41">
        <f t="shared" si="15"/>
        <v>108971.65022697023</v>
      </c>
      <c r="J13" s="41">
        <f t="shared" si="15"/>
        <v>114572.32656846609</v>
      </c>
      <c r="K13" s="41">
        <f t="shared" si="15"/>
        <v>120084.37339931595</v>
      </c>
      <c r="L13" s="41">
        <f t="shared" si="15"/>
        <v>125420.78605853811</v>
      </c>
      <c r="M13" s="41">
        <f t="shared" si="15"/>
        <v>134438.1473926749</v>
      </c>
      <c r="N13" s="41">
        <f t="shared" si="15"/>
        <v>140353.56286471972</v>
      </c>
      <c r="O13" s="41">
        <f t="shared" si="15"/>
        <v>144722.04473855958</v>
      </c>
      <c r="P13" s="41">
        <f t="shared" si="15"/>
        <v>146523.10814342837</v>
      </c>
      <c r="Q13" s="41">
        <f t="shared" si="15"/>
        <v>146382.73447539634</v>
      </c>
      <c r="R13" s="41">
        <f t="shared" si="15"/>
        <v>148804.38523799268</v>
      </c>
      <c r="S13" s="41">
        <f t="shared" si="15"/>
        <v>151982.92715042352</v>
      </c>
      <c r="T13" s="41">
        <f t="shared" si="15"/>
        <v>158985.87159026155</v>
      </c>
      <c r="U13" s="41">
        <f t="shared" si="15"/>
        <v>170194.69364176138</v>
      </c>
      <c r="V13" s="41">
        <f t="shared" si="15"/>
        <v>171019.65807716298</v>
      </c>
      <c r="W13" s="41">
        <f t="shared" si="15"/>
        <v>173614.18464030526</v>
      </c>
      <c r="X13" s="41">
        <f t="shared" si="15"/>
        <v>165915.48252815736</v>
      </c>
      <c r="Y13" s="41">
        <f t="shared" si="15"/>
        <v>157320.83899069659</v>
      </c>
      <c r="Z13" s="41">
        <f t="shared" si="15"/>
        <v>160400.95572135641</v>
      </c>
      <c r="AA13" s="41">
        <f t="shared" si="15"/>
        <v>169066.53148780146</v>
      </c>
      <c r="AB13" s="41">
        <f t="shared" si="15"/>
        <v>176662.74521565571</v>
      </c>
      <c r="AC13" s="41">
        <f t="shared" si="15"/>
        <v>187769.01315810971</v>
      </c>
      <c r="AD13" s="41">
        <f t="shared" si="15"/>
        <v>200144.43397335795</v>
      </c>
      <c r="AE13" s="41">
        <f t="shared" si="15"/>
        <v>205756.11726123266</v>
      </c>
      <c r="AF13" s="41">
        <f t="shared" si="15"/>
        <v>210970.07244791728</v>
      </c>
      <c r="AG13" s="41">
        <f t="shared" si="15"/>
        <v>222626.7181959619</v>
      </c>
      <c r="AH13" s="41">
        <f t="shared" ref="AH13:AI13" si="16">+AH32+AH51</f>
        <v>212354.13894690567</v>
      </c>
      <c r="AI13" s="41">
        <f t="shared" si="16"/>
        <v>216451.25228296465</v>
      </c>
      <c r="AJ13" s="41">
        <f t="shared" ref="AJ13:AK13" si="17">+AJ32+AJ51</f>
        <v>220140.63094683576</v>
      </c>
      <c r="AK13" s="41">
        <f t="shared" si="17"/>
        <v>224421.91490999999</v>
      </c>
      <c r="AL13" s="41">
        <f t="shared" si="15"/>
        <v>223523.83595956815</v>
      </c>
    </row>
    <row r="14" spans="2:38">
      <c r="B14" s="199" t="str">
        <f>+OperatingFunds!$B$14</f>
        <v>Total Four-Year Institutions</v>
      </c>
      <c r="C14" s="42">
        <f t="shared" ref="C14:AL14" si="18">+C33+C52</f>
        <v>1270616.6368</v>
      </c>
      <c r="D14" s="42">
        <f t="shared" si="18"/>
        <v>1349648.7507787864</v>
      </c>
      <c r="E14" s="42">
        <f t="shared" si="18"/>
        <v>1326936.9068235471</v>
      </c>
      <c r="F14" s="42">
        <f t="shared" si="18"/>
        <v>1364060.33047897</v>
      </c>
      <c r="G14" s="42">
        <f t="shared" si="18"/>
        <v>1293953.0137004582</v>
      </c>
      <c r="H14" s="42">
        <f t="shared" si="18"/>
        <v>1332332.523346185</v>
      </c>
      <c r="I14" s="42">
        <f t="shared" si="18"/>
        <v>1331705.1149783272</v>
      </c>
      <c r="J14" s="42">
        <f t="shared" si="18"/>
        <v>1371485.4070617529</v>
      </c>
      <c r="K14" s="42">
        <f t="shared" si="18"/>
        <v>1422346.6949488607</v>
      </c>
      <c r="L14" s="42">
        <f t="shared" si="18"/>
        <v>1495308.1452569736</v>
      </c>
      <c r="M14" s="42">
        <f t="shared" si="18"/>
        <v>1552196.4521935745</v>
      </c>
      <c r="N14" s="42">
        <f t="shared" si="18"/>
        <v>1606949.9945551266</v>
      </c>
      <c r="O14" s="42">
        <f t="shared" si="18"/>
        <v>1655106.4651491118</v>
      </c>
      <c r="P14" s="42">
        <f t="shared" si="18"/>
        <v>1666083.120151154</v>
      </c>
      <c r="Q14" s="42">
        <f t="shared" si="18"/>
        <v>1628832.3246580367</v>
      </c>
      <c r="R14" s="42">
        <f t="shared" si="18"/>
        <v>1725024.307400981</v>
      </c>
      <c r="S14" s="42">
        <f t="shared" si="18"/>
        <v>1750211.7078718157</v>
      </c>
      <c r="T14" s="42">
        <f t="shared" si="18"/>
        <v>1851412.5120881544</v>
      </c>
      <c r="U14" s="42">
        <f t="shared" si="18"/>
        <v>1953474.0869147219</v>
      </c>
      <c r="V14" s="42">
        <f t="shared" si="18"/>
        <v>1995923.4283622147</v>
      </c>
      <c r="W14" s="42">
        <f t="shared" si="18"/>
        <v>1874442.0220127143</v>
      </c>
      <c r="X14" s="42">
        <f t="shared" si="18"/>
        <v>1928610.7949733706</v>
      </c>
      <c r="Y14" s="42">
        <f t="shared" si="18"/>
        <v>1827806.8371871139</v>
      </c>
      <c r="Z14" s="42">
        <f t="shared" si="18"/>
        <v>1941483.4976635512</v>
      </c>
      <c r="AA14" s="42">
        <f t="shared" si="18"/>
        <v>1991527.847155371</v>
      </c>
      <c r="AB14" s="42">
        <f t="shared" si="18"/>
        <v>2135150.1802846696</v>
      </c>
      <c r="AC14" s="42">
        <f t="shared" si="18"/>
        <v>2231459.117331557</v>
      </c>
      <c r="AD14" s="42">
        <f t="shared" si="18"/>
        <v>2298975.7285128068</v>
      </c>
      <c r="AE14" s="42">
        <f t="shared" si="18"/>
        <v>2434843.6411670013</v>
      </c>
      <c r="AF14" s="42">
        <f t="shared" si="18"/>
        <v>2377684.3063464081</v>
      </c>
      <c r="AG14" s="42">
        <f t="shared" si="18"/>
        <v>2415902.5253653517</v>
      </c>
      <c r="AH14" s="42">
        <f t="shared" ref="AH14:AI14" si="19">+AH33+AH52</f>
        <v>2364045.2402578145</v>
      </c>
      <c r="AI14" s="42">
        <f t="shared" si="19"/>
        <v>2256454.9983547614</v>
      </c>
      <c r="AJ14" s="42">
        <f t="shared" ref="AJ14:AK14" si="20">+AJ33+AJ52</f>
        <v>2305392.9542187476</v>
      </c>
      <c r="AK14" s="42">
        <f t="shared" si="20"/>
        <v>2497033.07589</v>
      </c>
      <c r="AL14" s="42">
        <f t="shared" si="18"/>
        <v>2641230.926941134</v>
      </c>
    </row>
    <row r="15" spans="2:38">
      <c r="C15"/>
      <c r="D15"/>
      <c r="E15"/>
      <c r="F15"/>
      <c r="G15"/>
      <c r="H15"/>
      <c r="I15"/>
      <c r="J15"/>
      <c r="K15"/>
      <c r="L15"/>
      <c r="M15"/>
      <c r="N15"/>
      <c r="O15"/>
      <c r="P15"/>
      <c r="Q15"/>
      <c r="R15"/>
      <c r="S15"/>
      <c r="T15"/>
      <c r="U15"/>
      <c r="V15"/>
      <c r="W15"/>
      <c r="X15"/>
      <c r="Y15"/>
      <c r="Z15"/>
      <c r="AA15"/>
      <c r="AB15"/>
      <c r="AC15"/>
      <c r="AD15"/>
      <c r="AE15"/>
      <c r="AF15"/>
      <c r="AG15"/>
      <c r="AH15"/>
      <c r="AI15"/>
      <c r="AJ15"/>
      <c r="AK15"/>
      <c r="AL15"/>
    </row>
    <row r="16" spans="2:38">
      <c r="B16" s="1" t="str">
        <f>+OperatingFunds!$B$16</f>
        <v>Community/Technical College System</v>
      </c>
      <c r="C16" s="3">
        <f t="shared" ref="C16:AL16" si="21">+C35+C54</f>
        <v>721704.71525000001</v>
      </c>
      <c r="D16" s="3">
        <f t="shared" si="21"/>
        <v>763599.76449501095</v>
      </c>
      <c r="E16" s="3">
        <f t="shared" si="21"/>
        <v>765071.05852220242</v>
      </c>
      <c r="F16" s="3">
        <f t="shared" si="21"/>
        <v>797487.63019626029</v>
      </c>
      <c r="G16" s="3">
        <f t="shared" si="21"/>
        <v>776826.24371691654</v>
      </c>
      <c r="H16" s="3">
        <f t="shared" si="21"/>
        <v>837984.5207613511</v>
      </c>
      <c r="I16" s="3">
        <f t="shared" si="21"/>
        <v>804989.18836820382</v>
      </c>
      <c r="J16" s="3">
        <f t="shared" si="21"/>
        <v>823558.66602053691</v>
      </c>
      <c r="K16" s="3">
        <f t="shared" si="21"/>
        <v>861470.04787594383</v>
      </c>
      <c r="L16" s="3">
        <f t="shared" si="21"/>
        <v>927544.66295996273</v>
      </c>
      <c r="M16" s="3">
        <f t="shared" si="21"/>
        <v>987133.15951498353</v>
      </c>
      <c r="N16" s="3">
        <f t="shared" si="21"/>
        <v>1026028.5026499759</v>
      </c>
      <c r="O16" s="3">
        <f t="shared" si="21"/>
        <v>1066666.935422464</v>
      </c>
      <c r="P16" s="3">
        <f t="shared" si="21"/>
        <v>1096642.512168329</v>
      </c>
      <c r="Q16" s="3">
        <f t="shared" si="21"/>
        <v>1087797.6972576932</v>
      </c>
      <c r="R16" s="3">
        <f t="shared" si="21"/>
        <v>1104531.8195449733</v>
      </c>
      <c r="S16" s="3">
        <f t="shared" si="21"/>
        <v>1164623.4112235981</v>
      </c>
      <c r="T16" s="3">
        <f t="shared" si="21"/>
        <v>1203328.0384269482</v>
      </c>
      <c r="U16" s="3">
        <f t="shared" si="21"/>
        <v>1302345.1780772984</v>
      </c>
      <c r="V16" s="3">
        <f t="shared" si="21"/>
        <v>1311040.5292467179</v>
      </c>
      <c r="W16" s="3">
        <f t="shared" si="21"/>
        <v>1295105.7577568926</v>
      </c>
      <c r="X16" s="3">
        <f t="shared" si="21"/>
        <v>1282900.0726593211</v>
      </c>
      <c r="Y16" s="3">
        <f t="shared" si="21"/>
        <v>1172382.0002663727</v>
      </c>
      <c r="Z16" s="3">
        <f t="shared" si="21"/>
        <v>1178608.9951475866</v>
      </c>
      <c r="AA16" s="3">
        <f t="shared" si="21"/>
        <v>1244908.5693540694</v>
      </c>
      <c r="AB16" s="3">
        <f t="shared" si="21"/>
        <v>1240528.3785132342</v>
      </c>
      <c r="AC16" s="3">
        <f t="shared" si="21"/>
        <v>1318141.4690334541</v>
      </c>
      <c r="AD16" s="3">
        <f t="shared" si="21"/>
        <v>1347988.1028573783</v>
      </c>
      <c r="AE16" s="3">
        <f t="shared" si="21"/>
        <v>1326099.549539905</v>
      </c>
      <c r="AF16" s="3">
        <f t="shared" si="21"/>
        <v>1295294.0563731415</v>
      </c>
      <c r="AG16" s="3">
        <f t="shared" si="21"/>
        <v>1413189.0368028979</v>
      </c>
      <c r="AH16" s="3">
        <f t="shared" ref="AH16:AI16" si="22">+AH35+AH54</f>
        <v>1390047.1120600812</v>
      </c>
      <c r="AI16" s="3">
        <f t="shared" si="22"/>
        <v>1381784.9775395372</v>
      </c>
      <c r="AJ16" s="3">
        <f t="shared" ref="AJ16:AK16" si="23">+AJ35+AJ54</f>
        <v>1391820.2382986506</v>
      </c>
      <c r="AK16" s="3">
        <f t="shared" si="23"/>
        <v>1524740.4374000002</v>
      </c>
      <c r="AL16" s="3">
        <f t="shared" si="21"/>
        <v>1661436.8064673292</v>
      </c>
    </row>
    <row r="17" spans="2:38">
      <c r="B17" s="1" t="str">
        <f>+OperatingFunds!$B$17</f>
        <v>HEC Board, CHE, SFA, &amp; SAC (1)</v>
      </c>
      <c r="C17" s="3">
        <f t="shared" ref="C17:AL17" si="24">+C36+C55</f>
        <v>61733.806850000008</v>
      </c>
      <c r="D17" s="3">
        <f t="shared" si="24"/>
        <v>68115.087895024393</v>
      </c>
      <c r="E17" s="3">
        <f t="shared" si="24"/>
        <v>76089.57559273325</v>
      </c>
      <c r="F17" s="3">
        <f t="shared" si="24"/>
        <v>75390.906078704094</v>
      </c>
      <c r="G17" s="3">
        <f t="shared" si="24"/>
        <v>118337.30897202082</v>
      </c>
      <c r="H17" s="3">
        <f t="shared" si="24"/>
        <v>127019.00022628174</v>
      </c>
      <c r="I17" s="3">
        <f t="shared" si="24"/>
        <v>129963.81595788254</v>
      </c>
      <c r="J17" s="3">
        <f t="shared" si="24"/>
        <v>136582.22756021956</v>
      </c>
      <c r="K17" s="3">
        <f t="shared" si="24"/>
        <v>157213.91946597051</v>
      </c>
      <c r="L17" s="3">
        <f t="shared" si="24"/>
        <v>171033.47521908832</v>
      </c>
      <c r="M17" s="3">
        <f t="shared" si="24"/>
        <v>178676.45162185159</v>
      </c>
      <c r="N17" s="3">
        <f t="shared" si="24"/>
        <v>203385.09996418204</v>
      </c>
      <c r="O17" s="3">
        <f t="shared" si="24"/>
        <v>203099.77875214789</v>
      </c>
      <c r="P17" s="3">
        <f t="shared" si="24"/>
        <v>218625.25928745419</v>
      </c>
      <c r="Q17" s="3">
        <f t="shared" si="24"/>
        <v>228309.47860751921</v>
      </c>
      <c r="R17" s="3">
        <f t="shared" si="24"/>
        <v>250155.71280884487</v>
      </c>
      <c r="S17" s="3">
        <f t="shared" si="24"/>
        <v>280002.06041160441</v>
      </c>
      <c r="T17" s="3">
        <f t="shared" si="24"/>
        <v>290062.0753707242</v>
      </c>
      <c r="U17" s="3">
        <f t="shared" si="24"/>
        <v>324145.77366504801</v>
      </c>
      <c r="V17" s="3">
        <f t="shared" si="24"/>
        <v>326707.59337873146</v>
      </c>
      <c r="W17" s="3">
        <f t="shared" si="24"/>
        <v>345962.89322735969</v>
      </c>
      <c r="X17" s="3">
        <f t="shared" si="24"/>
        <v>308707.5234827862</v>
      </c>
      <c r="Y17" s="3">
        <f t="shared" si="24"/>
        <v>380661.90662086278</v>
      </c>
      <c r="Z17" s="3">
        <f t="shared" si="24"/>
        <v>417323.82172111131</v>
      </c>
      <c r="AA17" s="3">
        <f t="shared" si="24"/>
        <v>467599.96455413324</v>
      </c>
      <c r="AB17" s="3">
        <f t="shared" si="24"/>
        <v>445955.93432060553</v>
      </c>
      <c r="AC17" s="3">
        <f t="shared" si="24"/>
        <v>460538.34094849322</v>
      </c>
      <c r="AD17" s="3">
        <f t="shared" si="24"/>
        <v>436070.64802097296</v>
      </c>
      <c r="AE17" s="3">
        <f t="shared" si="24"/>
        <v>431197.8037130842</v>
      </c>
      <c r="AF17" s="3">
        <f t="shared" si="24"/>
        <v>457396.66482252808</v>
      </c>
      <c r="AG17" s="3">
        <f t="shared" si="24"/>
        <v>499444.78293658257</v>
      </c>
      <c r="AH17" s="3">
        <f t="shared" ref="AH17:AI17" si="25">+AH36+AH55</f>
        <v>591648.73161921767</v>
      </c>
      <c r="AI17" s="3">
        <f t="shared" si="25"/>
        <v>554122.15107749309</v>
      </c>
      <c r="AJ17" s="3">
        <f t="shared" ref="AJ17:AK17" si="26">+AJ36+AJ55</f>
        <v>559047.78893940221</v>
      </c>
      <c r="AK17" s="3">
        <f t="shared" si="26"/>
        <v>560502.64161000005</v>
      </c>
      <c r="AL17" s="3">
        <f t="shared" si="24"/>
        <v>600768.77897306194</v>
      </c>
    </row>
    <row r="18" spans="2:38"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row>
    <row r="19" spans="2:38" ht="13.5" thickTop="1">
      <c r="B19" s="1" t="str">
        <f>+OperatingFunds!$B$19</f>
        <v>Total Higher Education</v>
      </c>
      <c r="C19" s="39">
        <f t="shared" ref="C19:AL19" si="27">+C38+C57</f>
        <v>2054055.1589000002</v>
      </c>
      <c r="D19" s="39">
        <f t="shared" si="27"/>
        <v>2181363.6031688214</v>
      </c>
      <c r="E19" s="39">
        <f t="shared" si="27"/>
        <v>2168097.5409384826</v>
      </c>
      <c r="F19" s="39">
        <f t="shared" si="27"/>
        <v>2236938.866753934</v>
      </c>
      <c r="G19" s="39">
        <f t="shared" si="27"/>
        <v>2189116.5663893954</v>
      </c>
      <c r="H19" s="39">
        <f t="shared" si="27"/>
        <v>2297336.0443338174</v>
      </c>
      <c r="I19" s="39">
        <f t="shared" si="27"/>
        <v>2266658.1193044134</v>
      </c>
      <c r="J19" s="39">
        <f t="shared" si="27"/>
        <v>2331626.3006425095</v>
      </c>
      <c r="K19" s="39">
        <f t="shared" si="27"/>
        <v>2441030.6622907752</v>
      </c>
      <c r="L19" s="39">
        <f t="shared" si="27"/>
        <v>2593886.283436025</v>
      </c>
      <c r="M19" s="39">
        <f t="shared" si="27"/>
        <v>2718006.0633304096</v>
      </c>
      <c r="N19" s="39">
        <f t="shared" si="27"/>
        <v>2836363.5971692847</v>
      </c>
      <c r="O19" s="39">
        <f t="shared" si="27"/>
        <v>2924873.1793237235</v>
      </c>
      <c r="P19" s="39">
        <f t="shared" si="27"/>
        <v>2981350.8916069367</v>
      </c>
      <c r="Q19" s="39">
        <f t="shared" si="27"/>
        <v>2944939.5005232492</v>
      </c>
      <c r="R19" s="39">
        <f t="shared" si="27"/>
        <v>3079711.8397547989</v>
      </c>
      <c r="S19" s="39">
        <f t="shared" si="27"/>
        <v>3194837.1795070181</v>
      </c>
      <c r="T19" s="39">
        <f t="shared" si="27"/>
        <v>3344802.6258858265</v>
      </c>
      <c r="U19" s="39">
        <f t="shared" si="27"/>
        <v>3579965.0386570683</v>
      </c>
      <c r="V19" s="39">
        <f t="shared" si="27"/>
        <v>3633671.5509876637</v>
      </c>
      <c r="W19" s="39">
        <f t="shared" si="27"/>
        <v>3515510.6729969666</v>
      </c>
      <c r="X19" s="39">
        <f t="shared" si="27"/>
        <v>3520218.3911154778</v>
      </c>
      <c r="Y19" s="39">
        <f t="shared" si="27"/>
        <v>3380850.7440743498</v>
      </c>
      <c r="Z19" s="39">
        <f t="shared" si="27"/>
        <v>3537416.3145322492</v>
      </c>
      <c r="AA19" s="39">
        <f t="shared" si="27"/>
        <v>3704036.381063574</v>
      </c>
      <c r="AB19" s="39">
        <f t="shared" si="27"/>
        <v>3821634.4931185097</v>
      </c>
      <c r="AC19" s="39">
        <f t="shared" si="27"/>
        <v>4010138.9273135038</v>
      </c>
      <c r="AD19" s="39">
        <f t="shared" si="27"/>
        <v>4083034.4793911572</v>
      </c>
      <c r="AE19" s="39">
        <f t="shared" si="27"/>
        <v>4192140.994419991</v>
      </c>
      <c r="AF19" s="39">
        <f t="shared" si="27"/>
        <v>4130375.0275420779</v>
      </c>
      <c r="AG19" s="39">
        <f t="shared" si="27"/>
        <v>4328536.3451048322</v>
      </c>
      <c r="AH19" s="39">
        <f t="shared" ref="AH19:AI19" si="28">+AH38+AH57</f>
        <v>4345741.0839371132</v>
      </c>
      <c r="AI19" s="39">
        <f t="shared" si="28"/>
        <v>4192362.1269717924</v>
      </c>
      <c r="AJ19" s="39">
        <f t="shared" ref="AJ19:AK19" si="29">+AJ38+AJ57</f>
        <v>4256260.9814567994</v>
      </c>
      <c r="AK19" s="39">
        <f t="shared" si="29"/>
        <v>4582276.1549000004</v>
      </c>
      <c r="AL19" s="39">
        <f t="shared" si="27"/>
        <v>4903436.5123815248</v>
      </c>
    </row>
    <row r="20" spans="2:38">
      <c r="B20" s="199" t="str">
        <f>+OperatingFunds!$B$20</f>
        <v>[biennial]</v>
      </c>
      <c r="C20" s="3"/>
      <c r="D20" s="3">
        <f>+D19+C19</f>
        <v>4235418.7620688211</v>
      </c>
      <c r="E20" s="3"/>
      <c r="F20" s="3">
        <f>+F19+E19</f>
        <v>4405036.4076924166</v>
      </c>
      <c r="G20" s="3"/>
      <c r="H20" s="3">
        <f>+H19+G19</f>
        <v>4486452.6107232124</v>
      </c>
      <c r="I20" s="3"/>
      <c r="J20" s="3">
        <f>+J19+I19</f>
        <v>4598284.4199469229</v>
      </c>
      <c r="K20" s="3"/>
      <c r="L20" s="3">
        <f>+L19+K19</f>
        <v>5034916.9457268007</v>
      </c>
      <c r="M20" s="3"/>
      <c r="N20" s="3">
        <f>+N19+M19</f>
        <v>5554369.6604996938</v>
      </c>
      <c r="O20" s="3"/>
      <c r="P20" s="3">
        <f>+P19+O19</f>
        <v>5906224.0709306598</v>
      </c>
      <c r="Q20" s="3"/>
      <c r="R20" s="3">
        <f>+R19+Q19</f>
        <v>6024651.3402780481</v>
      </c>
      <c r="S20" s="3"/>
      <c r="T20" s="3">
        <f>+T19+S19</f>
        <v>6539639.8053928446</v>
      </c>
      <c r="U20" s="3"/>
      <c r="V20" s="3">
        <f>+V19+U19</f>
        <v>7213636.589644732</v>
      </c>
      <c r="W20" s="3"/>
      <c r="X20" s="3">
        <f>+X19+W19</f>
        <v>7035729.0641124444</v>
      </c>
      <c r="Y20" s="3"/>
      <c r="Z20" s="3">
        <f>+Z19+Y19</f>
        <v>6918267.0586065985</v>
      </c>
      <c r="AA20" s="3"/>
      <c r="AB20" s="3">
        <f>+AB19+AA19</f>
        <v>7525670.8741820836</v>
      </c>
      <c r="AC20" s="3"/>
      <c r="AD20" s="3">
        <f>+AD19+AC19</f>
        <v>8093173.4067046605</v>
      </c>
      <c r="AE20" s="3"/>
      <c r="AF20" s="3">
        <f>+AF19+AE19</f>
        <v>8322516.021962069</v>
      </c>
      <c r="AG20" s="3"/>
      <c r="AH20" s="3">
        <f>+AH19+AG19</f>
        <v>8674277.4290419444</v>
      </c>
      <c r="AI20" s="3"/>
      <c r="AJ20" s="3">
        <f>+AJ19+AI19</f>
        <v>8448623.1084285919</v>
      </c>
      <c r="AK20" s="3"/>
      <c r="AL20" s="3">
        <f>+AL19+AG19</f>
        <v>9231972.857486356</v>
      </c>
    </row>
    <row r="21" spans="2:38" ht="13.5">
      <c r="M21" s="1880" t="str">
        <f t="shared" ref="M21:AC21" si="30">IF(ROUND(SUM(M8:M13,M16:M17),0)&lt;&gt;ROUND(M19,0),"Error","")</f>
        <v/>
      </c>
      <c r="N21" s="1880" t="str">
        <f t="shared" si="30"/>
        <v/>
      </c>
      <c r="O21" s="1880" t="str">
        <f t="shared" si="30"/>
        <v/>
      </c>
      <c r="P21" s="1880" t="str">
        <f t="shared" si="30"/>
        <v/>
      </c>
      <c r="Q21" s="1880" t="str">
        <f t="shared" si="30"/>
        <v/>
      </c>
      <c r="R21" s="1880" t="str">
        <f t="shared" si="30"/>
        <v/>
      </c>
      <c r="S21" s="1880" t="str">
        <f t="shared" si="30"/>
        <v/>
      </c>
      <c r="T21" s="1880" t="str">
        <f t="shared" si="30"/>
        <v/>
      </c>
      <c r="U21" s="1880" t="str">
        <f t="shared" si="30"/>
        <v/>
      </c>
      <c r="V21" s="1880" t="str">
        <f t="shared" si="30"/>
        <v/>
      </c>
      <c r="W21" s="1880" t="str">
        <f t="shared" si="30"/>
        <v/>
      </c>
      <c r="X21" s="1880" t="str">
        <f t="shared" si="30"/>
        <v/>
      </c>
      <c r="Y21" s="1880" t="str">
        <f t="shared" si="30"/>
        <v/>
      </c>
      <c r="Z21" s="1880" t="str">
        <f t="shared" si="30"/>
        <v/>
      </c>
      <c r="AA21" s="1880" t="str">
        <f t="shared" si="30"/>
        <v/>
      </c>
      <c r="AB21" s="1880" t="str">
        <f t="shared" si="30"/>
        <v/>
      </c>
      <c r="AC21" s="1880" t="str">
        <f t="shared" si="30"/>
        <v/>
      </c>
      <c r="AD21" s="1880" t="str">
        <f>IF(ROUND(SUM(AD8:AD13,AD16:AD17),0)&lt;&gt;ROUND(AD19,0),"Error","")</f>
        <v/>
      </c>
      <c r="AE21" s="1880" t="str">
        <f>IF(ROUND(SUM(AE8:AE13,AE16:AE17),0)&lt;&gt;ROUND(AE19,0),"Error","")</f>
        <v/>
      </c>
      <c r="AF21" s="1880" t="str">
        <f>IF(ROUND(SUM(AF8:AF13,AF16:AF17),0)&lt;&gt;ROUND(AF19,0),"Error","")</f>
        <v/>
      </c>
      <c r="AG21" s="1880" t="str">
        <f>IF(ROUND(SUM(AG8:AG13,AG16:AG17),0)&lt;&gt;ROUND(AG19,0),"Error","")</f>
        <v/>
      </c>
      <c r="AH21" s="1880" t="str">
        <f t="shared" ref="AH21:AI21" si="31">IF(ROUND(SUM(AH8:AH13,AH16:AH17),0)&lt;&gt;ROUND(AH19,0),"Error","")</f>
        <v/>
      </c>
      <c r="AI21" s="1880" t="str">
        <f t="shared" si="31"/>
        <v/>
      </c>
      <c r="AJ21" s="1880" t="str">
        <f t="shared" ref="AJ21:AK21" si="32">IF(ROUND(SUM(AJ8:AJ13,AJ16:AJ17),0)&lt;&gt;ROUND(AJ19,0),"Error","")</f>
        <v/>
      </c>
      <c r="AK21" s="1880" t="str">
        <f t="shared" si="32"/>
        <v/>
      </c>
      <c r="AL21" s="1880" t="str">
        <f>IF(ROUND(SUM(AL8:AL13,AL16:AL17),0)&lt;&gt;ROUND(AL19,0),"Error","")</f>
        <v/>
      </c>
    </row>
    <row r="22" spans="2:38" ht="15.75">
      <c r="B22" s="376"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row>
    <row r="23" spans="2:38" ht="12.75" customHeight="1">
      <c r="B23" s="33" t="str">
        <f>+$B$4</f>
        <v>(FY2024 Constant Dollars in Thousands)</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2:38">
      <c r="I24" s="13"/>
      <c r="J24" s="13"/>
      <c r="K24" s="13"/>
      <c r="L24" s="13"/>
      <c r="M24" s="13"/>
      <c r="N24" s="13"/>
      <c r="O24" s="13"/>
      <c r="P24" s="13"/>
      <c r="Q24"/>
      <c r="R24" s="13"/>
      <c r="S24"/>
      <c r="T24"/>
      <c r="U24" s="2"/>
      <c r="V24" s="2"/>
      <c r="W24"/>
      <c r="X24"/>
      <c r="Y24"/>
      <c r="Z24"/>
      <c r="AA24"/>
      <c r="AB24"/>
      <c r="AC24"/>
      <c r="AD24" s="2"/>
      <c r="AE24" s="2"/>
      <c r="AF24" s="2"/>
      <c r="AG24" s="2"/>
      <c r="AH24" s="2"/>
      <c r="AI24" s="2" t="str">
        <f t="shared" ref="AI24:AK24" si="33">TRIM(+AI$5)</f>
        <v/>
      </c>
      <c r="AJ24" s="2" t="str">
        <f t="shared" si="33"/>
        <v/>
      </c>
      <c r="AK24" s="2" t="str">
        <f t="shared" si="33"/>
        <v>Final</v>
      </c>
      <c r="AL24" s="2" t="str">
        <f>TRIM(+AL$5)</f>
        <v>Enacted</v>
      </c>
    </row>
    <row r="25" spans="2:38">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+OperatingFunds!U25</f>
        <v>FY2008</v>
      </c>
      <c r="V25" s="2" t="str">
        <f>+OperatingFunds!V25</f>
        <v>FY2009</v>
      </c>
      <c r="W25" s="2" t="str">
        <f>+OperatingFunds!W25</f>
        <v>FY2010</v>
      </c>
      <c r="X25" s="2" t="str">
        <f>+OperatingFunds!X25</f>
        <v>FY2011</v>
      </c>
      <c r="Y25" s="2" t="str">
        <f>IF(ISBLANK(OperatingFunds!Y25),"",OperatingFunds!Y25)</f>
        <v>FY2012</v>
      </c>
      <c r="Z25" s="2" t="str">
        <f>IF(ISBLANK(OperatingFunds!Z25),"",OperatingFunds!Z25)</f>
        <v>FY2013</v>
      </c>
      <c r="AA25" s="2" t="str">
        <f>IF(ISBLANK(OperatingFunds!AA25),"",OperatingFunds!AA25)</f>
        <v>FY2014</v>
      </c>
      <c r="AB25" s="2" t="str">
        <f>IF(ISBLANK(OperatingFunds!AB25),"",OperatingFunds!AB25)</f>
        <v>FY2015</v>
      </c>
      <c r="AC25" s="2" t="str">
        <f>IF(ISBLANK(OperatingFunds!AC25),"",OperatingFunds!AC25)</f>
        <v>FY2016</v>
      </c>
      <c r="AD25" s="2" t="str">
        <f>IF(ISBLANK(OperatingFunds!AD25),"",OperatingFunds!AD25)</f>
        <v>FY2017</v>
      </c>
      <c r="AE25" s="2" t="str">
        <f>IF(ISBLANK(OperatingFunds!AE25),"",OperatingFunds!AE25)</f>
        <v>FY2018</v>
      </c>
      <c r="AF25" s="2" t="str">
        <f>IF(ISBLANK(OperatingFunds!AF25),"",OperatingFunds!AF25)</f>
        <v>FY2019</v>
      </c>
      <c r="AG25" s="2" t="str">
        <f>IF(ISBLANK(OperatingFunds!AG25),"",OperatingFunds!AG25)</f>
        <v>FY2020</v>
      </c>
      <c r="AH25" s="2" t="str">
        <f>IF(ISBLANK(OperatingFunds!AH25),"",OperatingFunds!AH25)</f>
        <v>FY2021</v>
      </c>
      <c r="AI25" s="2" t="str">
        <f>IF(ISBLANK(OperatingFunds!AI25),"",OperatingFunds!AI25)</f>
        <v>FY2022</v>
      </c>
      <c r="AJ25" s="2" t="str">
        <f>IF(ISBLANK(OperatingFunds!AJ25),"",OperatingFunds!AJ25)</f>
        <v>FY2023</v>
      </c>
      <c r="AK25" s="2" t="str">
        <f>IF(ISBLANK(OperatingFunds!AK25),"",OperatingFunds!AK25)</f>
        <v>FY2024</v>
      </c>
      <c r="AL25" s="2" t="str">
        <f>IF(ISBLANK(OperatingFunds!AL25),"",OperatingFunds!AL25)</f>
        <v>FY2025</v>
      </c>
    </row>
    <row r="26" spans="2:38">
      <c r="C26" s="3"/>
      <c r="D26" s="3"/>
      <c r="E26" s="3"/>
      <c r="F26" s="3"/>
      <c r="G26" s="3"/>
      <c r="H26" s="3"/>
      <c r="I26" s="3"/>
      <c r="J26" s="3"/>
      <c r="K26" s="3"/>
      <c r="L26" s="3"/>
      <c r="M26" s="3"/>
      <c r="N26" s="3"/>
      <c r="O26" s="3"/>
      <c r="P26" s="3"/>
      <c r="Q26" s="3"/>
      <c r="R26" s="3"/>
    </row>
    <row r="27" spans="2:38">
      <c r="B27" s="1" t="str">
        <f>+$B$8</f>
        <v>University of Washington</v>
      </c>
      <c r="C27" s="3">
        <f t="shared" ref="C27:AL27" si="34">SUM(C65,C84,C103,C122,C141)</f>
        <v>496395.23520000005</v>
      </c>
      <c r="D27" s="3">
        <f t="shared" si="34"/>
        <v>532806.59073699545</v>
      </c>
      <c r="E27" s="3">
        <f t="shared" si="34"/>
        <v>506641.0846948392</v>
      </c>
      <c r="F27" s="3">
        <f t="shared" si="34"/>
        <v>517520.44824420271</v>
      </c>
      <c r="G27" s="3">
        <f t="shared" si="34"/>
        <v>473711.81740136119</v>
      </c>
      <c r="H27" s="3">
        <f t="shared" si="34"/>
        <v>452067.15019886685</v>
      </c>
      <c r="I27" s="3">
        <f t="shared" si="34"/>
        <v>462005.98407795496</v>
      </c>
      <c r="J27" s="3">
        <f t="shared" si="34"/>
        <v>467301.77049303602</v>
      </c>
      <c r="K27" s="3">
        <f t="shared" si="34"/>
        <v>490573.45830372931</v>
      </c>
      <c r="L27" s="3">
        <f t="shared" si="34"/>
        <v>505931.27590806072</v>
      </c>
      <c r="M27" s="3">
        <f t="shared" si="34"/>
        <v>538939.89323758462</v>
      </c>
      <c r="N27" s="3">
        <f t="shared" si="34"/>
        <v>558859.00687795284</v>
      </c>
      <c r="O27" s="3">
        <f t="shared" si="34"/>
        <v>566838.95700412826</v>
      </c>
      <c r="P27" s="3">
        <f t="shared" si="34"/>
        <v>539531.97431288171</v>
      </c>
      <c r="Q27" s="3">
        <f t="shared" si="34"/>
        <v>509212.78221232269</v>
      </c>
      <c r="R27" s="3">
        <f t="shared" si="34"/>
        <v>516641.17217168427</v>
      </c>
      <c r="S27" s="3">
        <f t="shared" si="34"/>
        <v>525838.78979674319</v>
      </c>
      <c r="T27" s="3">
        <f t="shared" si="34"/>
        <v>542318.47222376091</v>
      </c>
      <c r="U27" s="3">
        <f t="shared" si="34"/>
        <v>564965.88748473965</v>
      </c>
      <c r="V27" s="3">
        <f t="shared" si="34"/>
        <v>558172.83075300441</v>
      </c>
      <c r="W27" s="3">
        <f t="shared" si="34"/>
        <v>480472.89342852152</v>
      </c>
      <c r="X27" s="3">
        <f t="shared" si="34"/>
        <v>411074.90753390844</v>
      </c>
      <c r="Y27" s="3">
        <f t="shared" si="34"/>
        <v>299405.20291131863</v>
      </c>
      <c r="Z27" s="3">
        <f t="shared" si="34"/>
        <v>297954.74538768735</v>
      </c>
      <c r="AA27" s="3">
        <f t="shared" si="34"/>
        <v>349866.4476615095</v>
      </c>
      <c r="AB27" s="3">
        <f t="shared" si="34"/>
        <v>333022.52708814299</v>
      </c>
      <c r="AC27" s="3">
        <f t="shared" si="34"/>
        <v>393565.92541158455</v>
      </c>
      <c r="AD27" s="3">
        <f t="shared" si="34"/>
        <v>436604.47074920638</v>
      </c>
      <c r="AE27" s="3">
        <f t="shared" si="34"/>
        <v>454860.28871077648</v>
      </c>
      <c r="AF27" s="3">
        <f t="shared" si="34"/>
        <v>464598.17112255108</v>
      </c>
      <c r="AG27" s="3">
        <f t="shared" si="34"/>
        <v>494009.59779794549</v>
      </c>
      <c r="AH27" s="3">
        <f t="shared" ref="AH27:AI27" si="35">SUM(AH65,AH84,AH103,AH122,AH141)</f>
        <v>512313.22556291637</v>
      </c>
      <c r="AI27" s="3">
        <f t="shared" si="35"/>
        <v>496949.92313223192</v>
      </c>
      <c r="AJ27" s="3">
        <f t="shared" ref="AJ27:AK27" si="36">SUM(AJ65,AJ84,AJ103,AJ122,AJ141)</f>
        <v>509745.32393390907</v>
      </c>
      <c r="AK27" s="3">
        <f t="shared" si="36"/>
        <v>604234.16773999995</v>
      </c>
      <c r="AL27" s="3">
        <f t="shared" si="34"/>
        <v>653498.81319941347</v>
      </c>
    </row>
    <row r="28" spans="2:38">
      <c r="B28" s="1" t="str">
        <f>+$B$9</f>
        <v>Washington State University</v>
      </c>
      <c r="C28" s="3">
        <f t="shared" ref="C28:AL28" si="37">SUM(C66,C85,C104,C123,C142)</f>
        <v>286464.34305000002</v>
      </c>
      <c r="D28" s="3">
        <f t="shared" si="37"/>
        <v>296406.10745813727</v>
      </c>
      <c r="E28" s="3">
        <f t="shared" si="37"/>
        <v>292312.13509932539</v>
      </c>
      <c r="F28" s="3">
        <f t="shared" si="37"/>
        <v>296067.14259092609</v>
      </c>
      <c r="G28" s="3">
        <f t="shared" si="37"/>
        <v>275361.13571460347</v>
      </c>
      <c r="H28" s="3">
        <f t="shared" si="37"/>
        <v>261477.71333582822</v>
      </c>
      <c r="I28" s="3">
        <f t="shared" si="37"/>
        <v>269235.09202532517</v>
      </c>
      <c r="J28" s="3">
        <f t="shared" si="37"/>
        <v>280608.77501315932</v>
      </c>
      <c r="K28" s="3">
        <f t="shared" si="37"/>
        <v>295970.9855669933</v>
      </c>
      <c r="L28" s="3">
        <f t="shared" si="37"/>
        <v>292785.88670414285</v>
      </c>
      <c r="M28" s="3">
        <f t="shared" si="37"/>
        <v>306937.26614517241</v>
      </c>
      <c r="N28" s="3">
        <f t="shared" si="37"/>
        <v>322968.89027472958</v>
      </c>
      <c r="O28" s="3">
        <f t="shared" si="37"/>
        <v>324779.71348065592</v>
      </c>
      <c r="P28" s="3">
        <f t="shared" si="37"/>
        <v>307334.25290523731</v>
      </c>
      <c r="Q28" s="3">
        <f t="shared" si="37"/>
        <v>295848.91430481547</v>
      </c>
      <c r="R28" s="3">
        <f t="shared" si="37"/>
        <v>301597.09565900569</v>
      </c>
      <c r="S28" s="3">
        <f t="shared" si="37"/>
        <v>314156.4020945488</v>
      </c>
      <c r="T28" s="3">
        <f t="shared" si="37"/>
        <v>323486.54000023933</v>
      </c>
      <c r="U28" s="3">
        <f t="shared" si="37"/>
        <v>347766.40569368162</v>
      </c>
      <c r="V28" s="3">
        <f t="shared" si="37"/>
        <v>344545.90696642827</v>
      </c>
      <c r="W28" s="3">
        <f t="shared" si="37"/>
        <v>294895.8656633005</v>
      </c>
      <c r="X28" s="3">
        <f t="shared" si="37"/>
        <v>268841.12023175159</v>
      </c>
      <c r="Y28" s="3">
        <f t="shared" si="37"/>
        <v>203088.46175570507</v>
      </c>
      <c r="Z28" s="3">
        <f t="shared" si="37"/>
        <v>199155.52555531694</v>
      </c>
      <c r="AA28" s="3">
        <f t="shared" si="37"/>
        <v>226303.9195862812</v>
      </c>
      <c r="AB28" s="3">
        <f t="shared" si="37"/>
        <v>219877.11258043392</v>
      </c>
      <c r="AC28" s="3">
        <f t="shared" si="37"/>
        <v>254308.47758947485</v>
      </c>
      <c r="AD28" s="3">
        <f t="shared" si="37"/>
        <v>282522.57043635822</v>
      </c>
      <c r="AE28" s="3">
        <f t="shared" si="37"/>
        <v>287846.0385338075</v>
      </c>
      <c r="AF28" s="3">
        <f t="shared" si="37"/>
        <v>298213.77184895863</v>
      </c>
      <c r="AG28" s="3">
        <f t="shared" si="37"/>
        <v>313436.9274621362</v>
      </c>
      <c r="AH28" s="3">
        <f t="shared" ref="AH28:AI28" si="38">SUM(AH66,AH85,AH104,AH123,AH142)</f>
        <v>318074.25441125617</v>
      </c>
      <c r="AI28" s="3">
        <f t="shared" si="38"/>
        <v>307805.55019269971</v>
      </c>
      <c r="AJ28" s="3">
        <f t="shared" ref="AJ28:AK28" si="39">SUM(AJ66,AJ85,AJ104,AJ123,AJ142)</f>
        <v>312812.20862080844</v>
      </c>
      <c r="AK28" s="3">
        <f t="shared" si="39"/>
        <v>327694.75</v>
      </c>
      <c r="AL28" s="3">
        <f t="shared" si="37"/>
        <v>352110.57107073616</v>
      </c>
    </row>
    <row r="29" spans="2:38">
      <c r="B29" s="1" t="str">
        <f>+$B$10</f>
        <v>Eastern Washington University</v>
      </c>
      <c r="C29" s="3">
        <f t="shared" ref="C29:AL29" si="40">SUM(C67,C86,C105,C124,C143)</f>
        <v>71937.430950000009</v>
      </c>
      <c r="D29" s="3">
        <f t="shared" si="40"/>
        <v>76464.950732778045</v>
      </c>
      <c r="E29" s="3">
        <f t="shared" si="40"/>
        <v>71590.545659821044</v>
      </c>
      <c r="F29" s="3">
        <f t="shared" si="40"/>
        <v>75791.790158808086</v>
      </c>
      <c r="G29" s="3">
        <f t="shared" si="40"/>
        <v>67620.522530136572</v>
      </c>
      <c r="H29" s="3">
        <f t="shared" si="40"/>
        <v>66502.665773143832</v>
      </c>
      <c r="I29" s="3">
        <f t="shared" si="40"/>
        <v>66666.310368954582</v>
      </c>
      <c r="J29" s="3">
        <f t="shared" si="40"/>
        <v>66686.297927093168</v>
      </c>
      <c r="K29" s="3">
        <f t="shared" si="40"/>
        <v>67668.222146031956</v>
      </c>
      <c r="L29" s="3">
        <f t="shared" si="40"/>
        <v>67474.149380988631</v>
      </c>
      <c r="M29" s="3">
        <f t="shared" si="40"/>
        <v>69768.927789447553</v>
      </c>
      <c r="N29" s="3">
        <f t="shared" si="40"/>
        <v>71828.187252665244</v>
      </c>
      <c r="O29" s="3">
        <f t="shared" si="40"/>
        <v>73569.011265643945</v>
      </c>
      <c r="P29" s="3">
        <f t="shared" si="40"/>
        <v>69492.720616840335</v>
      </c>
      <c r="Q29" s="3">
        <f t="shared" si="40"/>
        <v>65017.199076252407</v>
      </c>
      <c r="R29" s="3">
        <f t="shared" si="40"/>
        <v>68930.360307689625</v>
      </c>
      <c r="S29" s="3">
        <f t="shared" si="40"/>
        <v>71970.41048083581</v>
      </c>
      <c r="T29" s="3">
        <f t="shared" si="40"/>
        <v>75727.078086931899</v>
      </c>
      <c r="U29" s="3">
        <f t="shared" si="40"/>
        <v>82082.675246330065</v>
      </c>
      <c r="V29" s="3">
        <f t="shared" si="40"/>
        <v>78506.691685023427</v>
      </c>
      <c r="W29" s="3">
        <f t="shared" si="40"/>
        <v>67049.013708555911</v>
      </c>
      <c r="X29" s="3">
        <f t="shared" si="40"/>
        <v>61901.947896795275</v>
      </c>
      <c r="Y29" s="3">
        <f t="shared" si="40"/>
        <v>46074.199966990331</v>
      </c>
      <c r="Z29" s="3">
        <f t="shared" si="40"/>
        <v>44773.136512855133</v>
      </c>
      <c r="AA29" s="3">
        <f t="shared" si="40"/>
        <v>50952.502874728416</v>
      </c>
      <c r="AB29" s="3">
        <f t="shared" si="40"/>
        <v>49958.600480049994</v>
      </c>
      <c r="AC29" s="3">
        <f t="shared" si="40"/>
        <v>59993.899730981917</v>
      </c>
      <c r="AD29" s="3">
        <f t="shared" si="40"/>
        <v>70991.619767866418</v>
      </c>
      <c r="AE29" s="3">
        <f t="shared" si="40"/>
        <v>72049.418249356822</v>
      </c>
      <c r="AF29" s="3">
        <f t="shared" si="40"/>
        <v>72940.215704413757</v>
      </c>
      <c r="AG29" s="3">
        <f t="shared" si="40"/>
        <v>78088.408724865003</v>
      </c>
      <c r="AH29" s="3">
        <f t="shared" ref="AH29:AI29" si="41">SUM(AH67,AH86,AH105,AH124,AH143)</f>
        <v>79039.346154047089</v>
      </c>
      <c r="AI29" s="3">
        <f t="shared" si="41"/>
        <v>75156.89141384016</v>
      </c>
      <c r="AJ29" s="3">
        <f t="shared" ref="AJ29:AK29" si="42">SUM(AJ67,AJ86,AJ105,AJ124,AJ143)</f>
        <v>85561.981142289122</v>
      </c>
      <c r="AK29" s="3">
        <f t="shared" si="42"/>
        <v>87570.5</v>
      </c>
      <c r="AL29" s="3">
        <f t="shared" si="40"/>
        <v>92895.45382518234</v>
      </c>
    </row>
    <row r="30" spans="2:38">
      <c r="B30" s="1" t="str">
        <f>+$B$11</f>
        <v>Central Washington University</v>
      </c>
      <c r="C30" s="3">
        <f t="shared" ref="C30:AL30" si="43">SUM(C68,C87,C106,C125,C144)</f>
        <v>60901.966950000009</v>
      </c>
      <c r="D30" s="3">
        <f t="shared" si="43"/>
        <v>66724.779639409942</v>
      </c>
      <c r="E30" s="3">
        <f t="shared" si="43"/>
        <v>62342.864714060444</v>
      </c>
      <c r="F30" s="3">
        <f t="shared" si="43"/>
        <v>67086.335869535586</v>
      </c>
      <c r="G30" s="3">
        <f t="shared" si="43"/>
        <v>59437.336684311202</v>
      </c>
      <c r="H30" s="3">
        <f t="shared" si="43"/>
        <v>62149.797086187238</v>
      </c>
      <c r="I30" s="3">
        <f t="shared" si="43"/>
        <v>59996.469248097215</v>
      </c>
      <c r="J30" s="3">
        <f t="shared" si="43"/>
        <v>63471.427431550626</v>
      </c>
      <c r="K30" s="3">
        <f t="shared" si="43"/>
        <v>64309.762066059717</v>
      </c>
      <c r="L30" s="3">
        <f t="shared" si="43"/>
        <v>66967.930791827253</v>
      </c>
      <c r="M30" s="3">
        <f t="shared" si="43"/>
        <v>70542.479365586754</v>
      </c>
      <c r="N30" s="3">
        <f t="shared" si="43"/>
        <v>72402.755709820325</v>
      </c>
      <c r="O30" s="3">
        <f t="shared" si="43"/>
        <v>71232.276209175194</v>
      </c>
      <c r="P30" s="3">
        <f t="shared" si="43"/>
        <v>65841.014417384053</v>
      </c>
      <c r="Q30" s="3">
        <f t="shared" si="43"/>
        <v>64503.915320981541</v>
      </c>
      <c r="R30" s="3">
        <f t="shared" si="43"/>
        <v>67234.369849999639</v>
      </c>
      <c r="S30" s="3">
        <f t="shared" si="43"/>
        <v>71578.217288427491</v>
      </c>
      <c r="T30" s="3">
        <f t="shared" si="43"/>
        <v>75057.33532701878</v>
      </c>
      <c r="U30" s="3">
        <f t="shared" si="43"/>
        <v>80055.853414253987</v>
      </c>
      <c r="V30" s="3">
        <f t="shared" si="43"/>
        <v>79864.145527019136</v>
      </c>
      <c r="W30" s="3">
        <f t="shared" si="43"/>
        <v>65212.026520320775</v>
      </c>
      <c r="X30" s="3">
        <f t="shared" si="43"/>
        <v>60015.745212334994</v>
      </c>
      <c r="Y30" s="3">
        <f t="shared" si="43"/>
        <v>44274.553653174225</v>
      </c>
      <c r="Z30" s="3">
        <f t="shared" si="43"/>
        <v>41849.153061697551</v>
      </c>
      <c r="AA30" s="3">
        <f t="shared" si="43"/>
        <v>51202.322750298074</v>
      </c>
      <c r="AB30" s="3">
        <f t="shared" si="43"/>
        <v>50214.141587709761</v>
      </c>
      <c r="AC30" s="3">
        <f t="shared" si="43"/>
        <v>59608.438409804221</v>
      </c>
      <c r="AD30" s="3">
        <f t="shared" si="43"/>
        <v>72080.238758420892</v>
      </c>
      <c r="AE30" s="3">
        <f t="shared" si="43"/>
        <v>73569.542494146226</v>
      </c>
      <c r="AF30" s="3">
        <f t="shared" si="43"/>
        <v>76253.494486359341</v>
      </c>
      <c r="AG30" s="3">
        <f t="shared" si="43"/>
        <v>80614.605221794351</v>
      </c>
      <c r="AH30" s="3">
        <f t="shared" ref="AH30:AI30" si="44">SUM(AH68,AH87,AH106,AH125,AH144)</f>
        <v>81672.479062068669</v>
      </c>
      <c r="AI30" s="3">
        <f t="shared" si="44"/>
        <v>79160.564337922173</v>
      </c>
      <c r="AJ30" s="3">
        <f t="shared" ref="AJ30:AK30" si="45">SUM(AJ68,AJ87,AJ106,AJ125,AJ144)</f>
        <v>80955.158400760818</v>
      </c>
      <c r="AK30" s="3">
        <f t="shared" si="45"/>
        <v>87623.999000000011</v>
      </c>
      <c r="AL30" s="3">
        <f t="shared" si="43"/>
        <v>93378.866470478242</v>
      </c>
    </row>
    <row r="31" spans="2:38">
      <c r="B31" s="1" t="str">
        <f>+$B$12</f>
        <v>The Evergreen State College</v>
      </c>
      <c r="C31" s="3">
        <f t="shared" ref="C31:AL31" si="46">SUM(C69,C88,C107,C126,C145)</f>
        <v>37361.733800000002</v>
      </c>
      <c r="D31" s="3">
        <f t="shared" si="46"/>
        <v>41348.648985421125</v>
      </c>
      <c r="E31" s="3">
        <f t="shared" si="46"/>
        <v>36261.36219010385</v>
      </c>
      <c r="F31" s="3">
        <f t="shared" si="46"/>
        <v>41712.843500868134</v>
      </c>
      <c r="G31" s="3">
        <f t="shared" si="46"/>
        <v>33182.716338241182</v>
      </c>
      <c r="H31" s="3">
        <f t="shared" si="46"/>
        <v>34953.917546409517</v>
      </c>
      <c r="I31" s="3">
        <f t="shared" si="46"/>
        <v>32949.728489026937</v>
      </c>
      <c r="J31" s="3">
        <f t="shared" si="46"/>
        <v>33945.609757116479</v>
      </c>
      <c r="K31" s="3">
        <f t="shared" si="46"/>
        <v>35382.110796252542</v>
      </c>
      <c r="L31" s="3">
        <f t="shared" si="46"/>
        <v>35106.94323751545</v>
      </c>
      <c r="M31" s="3">
        <f t="shared" si="46"/>
        <v>37486.986707003467</v>
      </c>
      <c r="N31" s="3">
        <f t="shared" si="46"/>
        <v>40626.292709857444</v>
      </c>
      <c r="O31" s="3">
        <f t="shared" si="46"/>
        <v>41009.048826000013</v>
      </c>
      <c r="P31" s="3">
        <f t="shared" si="46"/>
        <v>38527.499468429109</v>
      </c>
      <c r="Q31" s="3">
        <f t="shared" si="46"/>
        <v>36201.900239454568</v>
      </c>
      <c r="R31" s="3">
        <f t="shared" si="46"/>
        <v>37516.520635922294</v>
      </c>
      <c r="S31" s="3">
        <f t="shared" si="46"/>
        <v>38850.372954986458</v>
      </c>
      <c r="T31" s="3">
        <f t="shared" si="46"/>
        <v>41297.716557255124</v>
      </c>
      <c r="U31" s="3">
        <f t="shared" si="46"/>
        <v>44805.130806317124</v>
      </c>
      <c r="V31" s="3">
        <f t="shared" si="46"/>
        <v>42389.500193626256</v>
      </c>
      <c r="W31" s="3">
        <f t="shared" si="46"/>
        <v>35807.985017851344</v>
      </c>
      <c r="X31" s="3">
        <f t="shared" si="46"/>
        <v>31531.885728681802</v>
      </c>
      <c r="Y31" s="3">
        <f t="shared" si="46"/>
        <v>24665.849514196656</v>
      </c>
      <c r="Z31" s="3">
        <f t="shared" si="46"/>
        <v>23161.96646967663</v>
      </c>
      <c r="AA31" s="3">
        <f t="shared" si="46"/>
        <v>27603.607210145976</v>
      </c>
      <c r="AB31" s="3">
        <f t="shared" si="46"/>
        <v>25058.136253958161</v>
      </c>
      <c r="AC31" s="3">
        <f t="shared" si="46"/>
        <v>32217.106180817518</v>
      </c>
      <c r="AD31" s="3">
        <f t="shared" si="46"/>
        <v>35123.034187613361</v>
      </c>
      <c r="AE31" s="3">
        <f t="shared" si="46"/>
        <v>36498.69063105253</v>
      </c>
      <c r="AF31" s="3">
        <f t="shared" si="46"/>
        <v>36689.838248149907</v>
      </c>
      <c r="AG31" s="3">
        <f t="shared" si="46"/>
        <v>41172.095427631677</v>
      </c>
      <c r="AH31" s="3">
        <f t="shared" ref="AH31:AI31" si="47">SUM(AH69,AH88,AH107,AH126,AH145)</f>
        <v>41022.8184704991</v>
      </c>
      <c r="AI31" s="3">
        <f t="shared" si="47"/>
        <v>40294.698264447296</v>
      </c>
      <c r="AJ31" s="3">
        <f t="shared" ref="AJ31:AK31" si="48">SUM(AJ69,AJ88,AJ107,AJ126,AJ145)</f>
        <v>41822.153201388996</v>
      </c>
      <c r="AK31" s="3">
        <f t="shared" si="48"/>
        <v>44764.448989999997</v>
      </c>
      <c r="AL31" s="3">
        <f t="shared" si="46"/>
        <v>47263.357184335116</v>
      </c>
    </row>
    <row r="32" spans="2:38">
      <c r="B32" s="1" t="str">
        <f>+$B$13</f>
        <v>Western Washington University</v>
      </c>
      <c r="C32" s="3">
        <f t="shared" ref="C32:AL32" si="49">SUM(C70,C89,C108,C127,C146)</f>
        <v>79296.497000000003</v>
      </c>
      <c r="D32" s="3">
        <f t="shared" si="49"/>
        <v>86235.171716397177</v>
      </c>
      <c r="E32" s="3">
        <f t="shared" si="49"/>
        <v>82542.670542020845</v>
      </c>
      <c r="F32" s="3">
        <f t="shared" si="49"/>
        <v>82637.218313380072</v>
      </c>
      <c r="G32" s="3">
        <f t="shared" si="49"/>
        <v>77328.410124104805</v>
      </c>
      <c r="H32" s="3">
        <f t="shared" si="49"/>
        <v>71885.088859104784</v>
      </c>
      <c r="I32" s="3">
        <f t="shared" si="49"/>
        <v>75870.334439741986</v>
      </c>
      <c r="J32" s="3">
        <f t="shared" si="49"/>
        <v>80027.74854411924</v>
      </c>
      <c r="K32" s="3">
        <f t="shared" si="49"/>
        <v>82597.397390988262</v>
      </c>
      <c r="L32" s="3">
        <f t="shared" si="49"/>
        <v>83384.120782908256</v>
      </c>
      <c r="M32" s="3">
        <f t="shared" si="49"/>
        <v>89399.986634381217</v>
      </c>
      <c r="N32" s="3">
        <f t="shared" si="49"/>
        <v>93268.608635495999</v>
      </c>
      <c r="O32" s="3">
        <f t="shared" si="49"/>
        <v>96561.539602541641</v>
      </c>
      <c r="P32" s="3">
        <f t="shared" si="49"/>
        <v>91744.993280527764</v>
      </c>
      <c r="Q32" s="3">
        <f t="shared" si="49"/>
        <v>86830.364136451317</v>
      </c>
      <c r="R32" s="3">
        <f t="shared" si="49"/>
        <v>88250.553022303968</v>
      </c>
      <c r="S32" s="3">
        <f t="shared" si="49"/>
        <v>90610.727876679244</v>
      </c>
      <c r="T32" s="3">
        <f t="shared" si="49"/>
        <v>93755.491362492816</v>
      </c>
      <c r="U32" s="3">
        <f t="shared" si="49"/>
        <v>102157.57729905815</v>
      </c>
      <c r="V32" s="3">
        <f t="shared" si="49"/>
        <v>100181.1976543364</v>
      </c>
      <c r="W32" s="3">
        <f t="shared" si="49"/>
        <v>81976.487048517709</v>
      </c>
      <c r="X32" s="3">
        <f t="shared" si="49"/>
        <v>75688.629266163713</v>
      </c>
      <c r="Y32" s="3">
        <f t="shared" si="49"/>
        <v>54911.016604488075</v>
      </c>
      <c r="Z32" s="3">
        <f t="shared" si="49"/>
        <v>52773.858685647669</v>
      </c>
      <c r="AA32" s="3">
        <f t="shared" si="49"/>
        <v>62176.306382498951</v>
      </c>
      <c r="AB32" s="3">
        <f t="shared" si="49"/>
        <v>62555.102558819344</v>
      </c>
      <c r="AC32" s="3">
        <f t="shared" si="49"/>
        <v>77480.849230309366</v>
      </c>
      <c r="AD32" s="3">
        <f t="shared" si="49"/>
        <v>93451.386471239472</v>
      </c>
      <c r="AE32" s="3">
        <f t="shared" si="49"/>
        <v>96567.122392093501</v>
      </c>
      <c r="AF32" s="3">
        <f t="shared" si="49"/>
        <v>99816.992097399139</v>
      </c>
      <c r="AG32" s="3">
        <f t="shared" si="49"/>
        <v>106152.73357857591</v>
      </c>
      <c r="AH32" s="3">
        <f t="shared" ref="AH32:AI32" si="50">SUM(AH70,AH89,AH108,AH127,AH146)</f>
        <v>108015.73662277905</v>
      </c>
      <c r="AI32" s="3">
        <f t="shared" si="50"/>
        <v>105538.62261878162</v>
      </c>
      <c r="AJ32" s="3">
        <f t="shared" ref="AJ32:AK32" si="51">SUM(AJ70,AJ89,AJ108,AJ127,AJ146)</f>
        <v>109945.15640138162</v>
      </c>
      <c r="AK32" s="3">
        <f t="shared" si="51"/>
        <v>119184.85417000001</v>
      </c>
      <c r="AL32" s="3">
        <f t="shared" si="49"/>
        <v>130528.61399269709</v>
      </c>
    </row>
    <row r="33" spans="2:38">
      <c r="B33" s="199" t="str">
        <f>+$B$14</f>
        <v>Total Four-Year Institutions</v>
      </c>
      <c r="C33" s="42">
        <f t="shared" ref="C33:M33" si="52">SUM(C27:C32)</f>
        <v>1032357.20695</v>
      </c>
      <c r="D33" s="42">
        <f t="shared" si="52"/>
        <v>1099986.249269139</v>
      </c>
      <c r="E33" s="42">
        <f t="shared" si="52"/>
        <v>1051690.6629001708</v>
      </c>
      <c r="F33" s="42">
        <f t="shared" si="52"/>
        <v>1080815.7786777208</v>
      </c>
      <c r="G33" s="42">
        <f t="shared" si="52"/>
        <v>986641.93879275827</v>
      </c>
      <c r="H33" s="42">
        <f t="shared" si="52"/>
        <v>949036.33279954048</v>
      </c>
      <c r="I33" s="42">
        <f t="shared" si="52"/>
        <v>966723.91864910081</v>
      </c>
      <c r="J33" s="42">
        <f t="shared" si="52"/>
        <v>992041.62916607503</v>
      </c>
      <c r="K33" s="42">
        <f t="shared" si="52"/>
        <v>1036501.936270055</v>
      </c>
      <c r="L33" s="42">
        <f t="shared" si="52"/>
        <v>1051650.306805443</v>
      </c>
      <c r="M33" s="42">
        <f t="shared" si="52"/>
        <v>1113075.5398791761</v>
      </c>
      <c r="N33" s="42">
        <f>SUM(N27:N32)</f>
        <v>1159953.7414605212</v>
      </c>
      <c r="O33" s="42">
        <f>SUM(O27:O32)</f>
        <v>1173990.5463881451</v>
      </c>
      <c r="P33" s="42">
        <f t="shared" ref="P33:X33" si="53">SUM(P27:P32)</f>
        <v>1112472.4550013002</v>
      </c>
      <c r="Q33" s="42">
        <f t="shared" si="53"/>
        <v>1057615.0752902781</v>
      </c>
      <c r="R33" s="42">
        <f t="shared" si="53"/>
        <v>1080170.0716466056</v>
      </c>
      <c r="S33" s="42">
        <f t="shared" si="53"/>
        <v>1113004.9204922209</v>
      </c>
      <c r="T33" s="42">
        <f t="shared" si="53"/>
        <v>1151642.6335576987</v>
      </c>
      <c r="U33" s="42">
        <f t="shared" si="53"/>
        <v>1221833.5299443805</v>
      </c>
      <c r="V33" s="42">
        <f t="shared" si="53"/>
        <v>1203660.2727794379</v>
      </c>
      <c r="W33" s="42">
        <f t="shared" si="53"/>
        <v>1025414.2713870677</v>
      </c>
      <c r="X33" s="42">
        <f t="shared" si="53"/>
        <v>909054.23586963583</v>
      </c>
      <c r="Y33" s="42">
        <f>SUM(Y27:Y32)</f>
        <v>672419.28440587292</v>
      </c>
      <c r="Z33" s="42">
        <f>SUM(Z27:Z32)</f>
        <v>659668.38567288127</v>
      </c>
      <c r="AA33" s="42">
        <f>SUM(AA27:AA32)</f>
        <v>768105.10646546213</v>
      </c>
      <c r="AB33" s="42">
        <f>SUM(AB27:AB32)</f>
        <v>740685.62054911419</v>
      </c>
      <c r="AC33" s="42">
        <f t="shared" ref="AC33:AL33" si="54">SUM(AC27:AC32)</f>
        <v>877174.69655297243</v>
      </c>
      <c r="AD33" s="42">
        <f t="shared" si="54"/>
        <v>990773.32037070487</v>
      </c>
      <c r="AE33" s="42">
        <f t="shared" si="54"/>
        <v>1021391.1010112331</v>
      </c>
      <c r="AF33" s="42">
        <f t="shared" si="54"/>
        <v>1048512.4835078318</v>
      </c>
      <c r="AG33" s="42">
        <f t="shared" si="54"/>
        <v>1113474.3682129486</v>
      </c>
      <c r="AH33" s="42">
        <f t="shared" ref="AH33:AI33" si="55">SUM(AH27:AH32)</f>
        <v>1140137.8602835664</v>
      </c>
      <c r="AI33" s="42">
        <f t="shared" si="55"/>
        <v>1104906.2499599229</v>
      </c>
      <c r="AJ33" s="42">
        <f t="shared" ref="AJ33:AK33" si="56">SUM(AJ27:AJ32)</f>
        <v>1140841.9817005382</v>
      </c>
      <c r="AK33" s="42">
        <f t="shared" si="56"/>
        <v>1271072.7198999999</v>
      </c>
      <c r="AL33" s="42">
        <f t="shared" si="54"/>
        <v>1369675.6757428425</v>
      </c>
    </row>
    <row r="34" spans="2:38">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2:38">
      <c r="B35" s="1" t="str">
        <f>+$B$16</f>
        <v>Community/Technical College System</v>
      </c>
      <c r="C35" s="3">
        <f t="shared" ref="C35:AL35" si="57">SUM(C73,C92,C111,C130,C149,C157)</f>
        <v>624998.10175000003</v>
      </c>
      <c r="D35" s="3">
        <f t="shared" si="57"/>
        <v>662644.15320764121</v>
      </c>
      <c r="E35" s="3">
        <f t="shared" si="57"/>
        <v>655779.92913327052</v>
      </c>
      <c r="F35" s="3">
        <f t="shared" si="57"/>
        <v>680172.98899160966</v>
      </c>
      <c r="G35" s="3">
        <f t="shared" si="57"/>
        <v>624250.0835372092</v>
      </c>
      <c r="H35" s="3">
        <f t="shared" si="57"/>
        <v>652268.18678688607</v>
      </c>
      <c r="I35" s="3">
        <f t="shared" si="57"/>
        <v>617493.5342929794</v>
      </c>
      <c r="J35" s="3">
        <f t="shared" si="57"/>
        <v>630036.03528369835</v>
      </c>
      <c r="K35" s="3">
        <f t="shared" si="57"/>
        <v>656287.99420862179</v>
      </c>
      <c r="L35" s="3">
        <f t="shared" si="57"/>
        <v>718868.0209637431</v>
      </c>
      <c r="M35" s="3">
        <f t="shared" si="57"/>
        <v>762581.59958557051</v>
      </c>
      <c r="N35" s="3">
        <f t="shared" si="57"/>
        <v>805892.73273589474</v>
      </c>
      <c r="O35" s="3">
        <f t="shared" si="57"/>
        <v>830956.43749640184</v>
      </c>
      <c r="P35" s="3">
        <f t="shared" si="57"/>
        <v>845427.06242763891</v>
      </c>
      <c r="Q35" s="3">
        <f t="shared" si="57"/>
        <v>802780.89825980435</v>
      </c>
      <c r="R35" s="3">
        <f t="shared" si="57"/>
        <v>804650.77795112424</v>
      </c>
      <c r="S35" s="3">
        <f t="shared" si="57"/>
        <v>859575.2112442184</v>
      </c>
      <c r="T35" s="3">
        <f t="shared" si="57"/>
        <v>892885.02950246772</v>
      </c>
      <c r="U35" s="3">
        <f t="shared" si="57"/>
        <v>979403.92443891976</v>
      </c>
      <c r="V35" s="3">
        <f t="shared" si="57"/>
        <v>985519.95108101494</v>
      </c>
      <c r="W35" s="3">
        <f t="shared" si="57"/>
        <v>945450.75943585986</v>
      </c>
      <c r="X35" s="3">
        <f t="shared" si="57"/>
        <v>892580.00654765964</v>
      </c>
      <c r="Y35" s="3">
        <f t="shared" si="57"/>
        <v>771938.91681902693</v>
      </c>
      <c r="Z35" s="3">
        <f t="shared" si="57"/>
        <v>749195.62845797441</v>
      </c>
      <c r="AA35" s="3">
        <f t="shared" si="57"/>
        <v>804137.14191225474</v>
      </c>
      <c r="AB35" s="3">
        <f t="shared" si="57"/>
        <v>788350.48625689535</v>
      </c>
      <c r="AC35" s="3">
        <f t="shared" si="57"/>
        <v>862726.50738933624</v>
      </c>
      <c r="AD35" s="3">
        <f t="shared" si="57"/>
        <v>905989.75760151423</v>
      </c>
      <c r="AE35" s="3">
        <f t="shared" si="57"/>
        <v>897386.14659132448</v>
      </c>
      <c r="AF35" s="3">
        <f t="shared" si="57"/>
        <v>913502.12573253585</v>
      </c>
      <c r="AG35" s="3">
        <f t="shared" si="57"/>
        <v>993110.04806514445</v>
      </c>
      <c r="AH35" s="3">
        <f t="shared" si="57"/>
        <v>1057986.6532961465</v>
      </c>
      <c r="AI35" s="3">
        <f t="shared" si="57"/>
        <v>1020096.7602727283</v>
      </c>
      <c r="AJ35" s="3">
        <f t="shared" ref="AJ35:AK35" si="58">SUM(AJ73,AJ92,AJ111,AJ130,AJ149,AJ157)</f>
        <v>1090196.2336217922</v>
      </c>
      <c r="AK35" s="3">
        <f t="shared" si="58"/>
        <v>1159621.0469800001</v>
      </c>
      <c r="AL35" s="3">
        <f t="shared" si="57"/>
        <v>1285476.5068452707</v>
      </c>
    </row>
    <row r="36" spans="2:38">
      <c r="B36" s="1" t="str">
        <f>+$B$17</f>
        <v>HEC Board, CHE, SFA, &amp; SAC (1)</v>
      </c>
      <c r="C36" s="3">
        <f t="shared" ref="C36:AL36" si="59">SUM(C74,C93,C112,C131,C150,C158)</f>
        <v>61733.806850000008</v>
      </c>
      <c r="D36" s="3">
        <f t="shared" si="59"/>
        <v>68115.087895024393</v>
      </c>
      <c r="E36" s="3">
        <f t="shared" si="59"/>
        <v>76089.57559273325</v>
      </c>
      <c r="F36" s="3">
        <f t="shared" si="59"/>
        <v>75390.906078704094</v>
      </c>
      <c r="G36" s="3">
        <f t="shared" si="59"/>
        <v>118337.30897202082</v>
      </c>
      <c r="H36" s="3">
        <f t="shared" si="59"/>
        <v>127019.00022628174</v>
      </c>
      <c r="I36" s="3">
        <f t="shared" si="59"/>
        <v>129963.81595788254</v>
      </c>
      <c r="J36" s="3">
        <f t="shared" si="59"/>
        <v>136582.22756021956</v>
      </c>
      <c r="K36" s="3">
        <f t="shared" si="59"/>
        <v>157213.91946597051</v>
      </c>
      <c r="L36" s="3">
        <f t="shared" si="59"/>
        <v>171033.47521908832</v>
      </c>
      <c r="M36" s="3">
        <f t="shared" si="59"/>
        <v>178676.45162185159</v>
      </c>
      <c r="N36" s="3">
        <f t="shared" si="59"/>
        <v>203385.09996418204</v>
      </c>
      <c r="O36" s="3">
        <f t="shared" si="59"/>
        <v>203099.77875214789</v>
      </c>
      <c r="P36" s="3">
        <f t="shared" si="59"/>
        <v>218625.25928745419</v>
      </c>
      <c r="Q36" s="3">
        <f t="shared" si="59"/>
        <v>228309.47860751921</v>
      </c>
      <c r="R36" s="3">
        <f t="shared" si="59"/>
        <v>250155.71280884487</v>
      </c>
      <c r="S36" s="3">
        <f t="shared" si="59"/>
        <v>280002.06041160441</v>
      </c>
      <c r="T36" s="3">
        <f t="shared" si="59"/>
        <v>290062.0753707242</v>
      </c>
      <c r="U36" s="3">
        <f t="shared" si="59"/>
        <v>324145.77366504801</v>
      </c>
      <c r="V36" s="3">
        <f t="shared" si="59"/>
        <v>326707.59337873146</v>
      </c>
      <c r="W36" s="3">
        <f t="shared" si="59"/>
        <v>345962.89322735969</v>
      </c>
      <c r="X36" s="3">
        <f t="shared" si="59"/>
        <v>308707.5234827862</v>
      </c>
      <c r="Y36" s="3">
        <f t="shared" si="59"/>
        <v>380661.90662086278</v>
      </c>
      <c r="Z36" s="3">
        <f t="shared" si="59"/>
        <v>417323.82172111131</v>
      </c>
      <c r="AA36" s="3">
        <f t="shared" si="59"/>
        <v>467599.96455413324</v>
      </c>
      <c r="AB36" s="3">
        <f t="shared" si="59"/>
        <v>445955.93432060553</v>
      </c>
      <c r="AC36" s="3">
        <f t="shared" si="59"/>
        <v>460538.34094849322</v>
      </c>
      <c r="AD36" s="3">
        <f t="shared" si="59"/>
        <v>436070.64802097296</v>
      </c>
      <c r="AE36" s="3">
        <f t="shared" si="59"/>
        <v>431197.8037130842</v>
      </c>
      <c r="AF36" s="3">
        <f t="shared" si="59"/>
        <v>457396.66482252808</v>
      </c>
      <c r="AG36" s="3">
        <f t="shared" si="59"/>
        <v>499444.78293658257</v>
      </c>
      <c r="AH36" s="3">
        <f t="shared" si="59"/>
        <v>591648.73161921767</v>
      </c>
      <c r="AI36" s="3">
        <f t="shared" si="59"/>
        <v>554122.15107749309</v>
      </c>
      <c r="AJ36" s="3">
        <f t="shared" ref="AJ36:AK36" si="60">SUM(AJ74,AJ93,AJ112,AJ131,AJ150,AJ158)</f>
        <v>559047.78893940221</v>
      </c>
      <c r="AK36" s="3">
        <f t="shared" si="60"/>
        <v>560502.64161000005</v>
      </c>
      <c r="AL36" s="3">
        <f t="shared" si="59"/>
        <v>600768.77897306194</v>
      </c>
    </row>
    <row r="37" spans="2:38"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2:38" ht="13.5" thickTop="1">
      <c r="B38" s="1" t="str">
        <f>+$B$19</f>
        <v>Total Higher Education</v>
      </c>
      <c r="C38" s="39">
        <f t="shared" ref="C38:L38" si="61">SUM(C76,C114,C133)</f>
        <v>1719089.1155500002</v>
      </c>
      <c r="D38" s="39">
        <f t="shared" si="61"/>
        <v>1830745.4903718045</v>
      </c>
      <c r="E38" s="39">
        <f t="shared" si="61"/>
        <v>1783560.1676261744</v>
      </c>
      <c r="F38" s="39">
        <f t="shared" si="61"/>
        <v>1836379.6737480345</v>
      </c>
      <c r="G38" s="39">
        <f t="shared" si="61"/>
        <v>1729229.3313019883</v>
      </c>
      <c r="H38" s="39">
        <f t="shared" si="61"/>
        <v>1728323.5198127083</v>
      </c>
      <c r="I38" s="39">
        <f t="shared" si="61"/>
        <v>1714181.2688999628</v>
      </c>
      <c r="J38" s="39">
        <f t="shared" si="61"/>
        <v>1758659.8920099929</v>
      </c>
      <c r="K38" s="39">
        <f t="shared" si="61"/>
        <v>1850003.8499446474</v>
      </c>
      <c r="L38" s="39">
        <f t="shared" si="61"/>
        <v>1941551.8029882747</v>
      </c>
      <c r="M38" s="39">
        <f t="shared" ref="M38:W38" si="62">SUM(M76,M95,M114,M133,M152)</f>
        <v>2054333.5910865983</v>
      </c>
      <c r="N38" s="39">
        <f t="shared" si="62"/>
        <v>2169231.5741605982</v>
      </c>
      <c r="O38" s="39">
        <f t="shared" si="62"/>
        <v>2208046.7626366946</v>
      </c>
      <c r="P38" s="39">
        <f t="shared" si="62"/>
        <v>2176524.776716393</v>
      </c>
      <c r="Q38" s="39">
        <f t="shared" si="62"/>
        <v>2088705.4521576019</v>
      </c>
      <c r="R38" s="39">
        <f t="shared" si="62"/>
        <v>2134976.5624065744</v>
      </c>
      <c r="S38" s="39">
        <f t="shared" si="62"/>
        <v>2252582.1921480438</v>
      </c>
      <c r="T38" s="39">
        <f t="shared" si="62"/>
        <v>2334589.7384308907</v>
      </c>
      <c r="U38" s="39">
        <f t="shared" si="62"/>
        <v>2525383.2280483483</v>
      </c>
      <c r="V38" s="39">
        <f t="shared" si="62"/>
        <v>2515887.8172391839</v>
      </c>
      <c r="W38" s="39">
        <f t="shared" si="62"/>
        <v>2316827.9240502873</v>
      </c>
      <c r="X38" s="39">
        <f t="shared" ref="X38:AL38" si="63">SUM(X76,X95,X114,X133,X152,X158,X157)</f>
        <v>2110341.7659000815</v>
      </c>
      <c r="Y38" s="39">
        <f t="shared" si="63"/>
        <v>1825020.1078457627</v>
      </c>
      <c r="Z38" s="39">
        <f t="shared" si="63"/>
        <v>1826187.8358519671</v>
      </c>
      <c r="AA38" s="39">
        <f t="shared" si="63"/>
        <v>2039842.2129318505</v>
      </c>
      <c r="AB38" s="39">
        <f t="shared" si="63"/>
        <v>1974992.0411266149</v>
      </c>
      <c r="AC38" s="39">
        <f t="shared" si="63"/>
        <v>2200439.5448908019</v>
      </c>
      <c r="AD38" s="39">
        <f t="shared" si="63"/>
        <v>2332833.7259931914</v>
      </c>
      <c r="AE38" s="39">
        <f t="shared" si="63"/>
        <v>2349975.051315642</v>
      </c>
      <c r="AF38" s="39">
        <f t="shared" si="63"/>
        <v>2419411.2740628961</v>
      </c>
      <c r="AG38" s="39">
        <f t="shared" si="63"/>
        <v>2606029.1992146755</v>
      </c>
      <c r="AH38" s="39">
        <f t="shared" si="63"/>
        <v>2789773.2451989306</v>
      </c>
      <c r="AI38" s="39">
        <f t="shared" si="63"/>
        <v>2679125.1613101447</v>
      </c>
      <c r="AJ38" s="39">
        <f t="shared" ref="AJ38:AK38" si="64">SUM(AJ76,AJ95,AJ114,AJ133,AJ152,AJ158,AJ157)</f>
        <v>2790086.0042617321</v>
      </c>
      <c r="AK38" s="39">
        <f t="shared" si="64"/>
        <v>2991196.4084900003</v>
      </c>
      <c r="AL38" s="39">
        <f t="shared" si="63"/>
        <v>3255920.9615611746</v>
      </c>
    </row>
    <row r="39" spans="2:38">
      <c r="B39" s="199" t="str">
        <f>+$B$20</f>
        <v>[biennial]</v>
      </c>
      <c r="C39" s="3"/>
      <c r="D39" s="3">
        <f>+D38+C38</f>
        <v>3549834.6059218049</v>
      </c>
      <c r="E39" s="3"/>
      <c r="F39" s="3">
        <f>+F38+E38</f>
        <v>3619939.8413742092</v>
      </c>
      <c r="G39" s="3"/>
      <c r="H39" s="3">
        <f>+H38+G38</f>
        <v>3457552.8511146968</v>
      </c>
      <c r="I39" s="3"/>
      <c r="J39" s="3">
        <f>+J38+I38</f>
        <v>3472841.1609099554</v>
      </c>
      <c r="K39" s="3"/>
      <c r="L39" s="3">
        <f>+L38+K38</f>
        <v>3791555.6529329224</v>
      </c>
      <c r="M39" s="3"/>
      <c r="N39" s="3">
        <f>+N38+M38</f>
        <v>4223565.1652471963</v>
      </c>
      <c r="O39" s="3"/>
      <c r="P39" s="3">
        <f>+P38+O38</f>
        <v>4384571.5393530875</v>
      </c>
      <c r="Q39" s="3"/>
      <c r="R39" s="3">
        <f>+R38+Q38</f>
        <v>4223682.0145641761</v>
      </c>
      <c r="S39" s="3"/>
      <c r="T39" s="3">
        <f>+T38+S38</f>
        <v>4587171.930578934</v>
      </c>
      <c r="U39" s="3"/>
      <c r="V39" s="3">
        <f>+V38+U38</f>
        <v>5041271.0452875327</v>
      </c>
      <c r="W39" s="3"/>
      <c r="X39" s="3">
        <f>+X38+W38</f>
        <v>4427169.6899503693</v>
      </c>
      <c r="Y39" s="3"/>
      <c r="Z39" s="3">
        <f>+Z38+Y38</f>
        <v>3651207.9436977301</v>
      </c>
      <c r="AA39" s="3"/>
      <c r="AB39" s="3">
        <f>+AB38+AA38</f>
        <v>4014834.2540584654</v>
      </c>
      <c r="AC39" s="3"/>
      <c r="AD39" s="3">
        <f>+AD38+AC38</f>
        <v>4533273.2708839932</v>
      </c>
      <c r="AE39" s="3"/>
      <c r="AF39" s="3">
        <f>+AF38+AE38</f>
        <v>4769386.3253785381</v>
      </c>
      <c r="AG39" s="3"/>
      <c r="AH39" s="3">
        <f>+AH38+AG38</f>
        <v>5395802.4444136061</v>
      </c>
      <c r="AI39" s="3"/>
      <c r="AJ39" s="3">
        <f>+AJ38+AI38</f>
        <v>5469211.1655718768</v>
      </c>
      <c r="AK39" s="3"/>
      <c r="AL39" s="3">
        <f>+AL38+AG38</f>
        <v>5861950.1607758496</v>
      </c>
    </row>
    <row r="40" spans="2:38">
      <c r="D40" s="3"/>
      <c r="E40" s="3"/>
      <c r="F40" s="3"/>
      <c r="G40" s="3"/>
      <c r="H40" s="3"/>
      <c r="I40" s="3"/>
      <c r="J40" s="3"/>
      <c r="K40" s="3"/>
      <c r="L40" s="3"/>
      <c r="M40" s="3"/>
      <c r="N40" s="3"/>
      <c r="O40" s="3"/>
      <c r="P40" s="3"/>
      <c r="Q40" s="3"/>
      <c r="R40" s="3"/>
      <c r="S40" s="3"/>
      <c r="T40" s="3"/>
      <c r="U40" s="3"/>
      <c r="V40" s="3"/>
      <c r="X40" s="5"/>
      <c r="Y40" s="5"/>
      <c r="Z40" s="5"/>
    </row>
    <row r="41" spans="2:38" ht="15.75">
      <c r="B41" s="376"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row>
    <row r="42" spans="2:38" ht="12.75" customHeight="1">
      <c r="B42" s="33" t="str">
        <f>+$B$4</f>
        <v>(FY2024 Constant Dollars in Thousands)</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row>
    <row r="43" spans="2:38">
      <c r="I43" s="13"/>
      <c r="J43" s="13"/>
      <c r="K43" s="13"/>
      <c r="L43" s="13"/>
      <c r="M43" s="13"/>
      <c r="N43" s="13"/>
      <c r="O43" s="13"/>
      <c r="P43" s="13"/>
      <c r="Q43"/>
      <c r="R43" s="13"/>
      <c r="S43"/>
      <c r="T43"/>
      <c r="U43" s="2"/>
      <c r="V43" s="2"/>
      <c r="W43"/>
      <c r="X43"/>
      <c r="Y43"/>
      <c r="Z43"/>
      <c r="AA43"/>
      <c r="AB43"/>
      <c r="AC43"/>
      <c r="AD43" s="2"/>
      <c r="AE43" s="2"/>
      <c r="AF43" s="2"/>
      <c r="AG43" s="2"/>
      <c r="AH43" s="2"/>
      <c r="AI43" s="2" t="str">
        <f t="shared" ref="AI43:AK43" si="65">TRIM(+AI$5)</f>
        <v/>
      </c>
      <c r="AJ43" s="2" t="str">
        <f t="shared" si="65"/>
        <v/>
      </c>
      <c r="AK43" s="2" t="str">
        <f t="shared" si="65"/>
        <v>Final</v>
      </c>
      <c r="AL43" s="2" t="str">
        <f>TRIM(+AL$5)</f>
        <v>Enacted</v>
      </c>
    </row>
    <row r="44" spans="2:38">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+OperatingFunds!U44</f>
        <v>FY2008</v>
      </c>
      <c r="V44" s="2" t="str">
        <f>+OperatingFunds!V44</f>
        <v>FY2009</v>
      </c>
      <c r="W44" s="2" t="str">
        <f>+$W$6</f>
        <v>FY2010</v>
      </c>
      <c r="X44" s="2" t="str">
        <f>IF(ISBLANK(OperatingFunds!$X$6),"",OperatingFunds!$X$6)</f>
        <v>FY2011</v>
      </c>
      <c r="Y44" s="2" t="str">
        <f>IF(ISBLANK(OperatingFunds!Y44),"",OperatingFunds!Y44)</f>
        <v>FY2012</v>
      </c>
      <c r="Z44" s="2" t="str">
        <f>IF(ISBLANK(OperatingFunds!Z44),"",OperatingFunds!Z44)</f>
        <v>FY2013</v>
      </c>
      <c r="AA44" s="2" t="str">
        <f>IF(ISBLANK(OperatingFunds!AA44),"",OperatingFunds!AA44)</f>
        <v>FY2014</v>
      </c>
      <c r="AB44" s="2" t="str">
        <f>IF(ISBLANK(OperatingFunds!AB44),"",OperatingFunds!AB44)</f>
        <v>FY2015</v>
      </c>
      <c r="AC44" s="2" t="str">
        <f>IF(ISBLANK(OperatingFunds!AC44),"",OperatingFunds!AC44)</f>
        <v>FY2016</v>
      </c>
      <c r="AD44" s="2" t="str">
        <f>IF(ISBLANK(OperatingFunds!AD44),"",OperatingFunds!AD44)</f>
        <v>FY2017</v>
      </c>
      <c r="AE44" s="2" t="str">
        <f>IF(ISBLANK(OperatingFunds!AE44),"",OperatingFunds!AE44)</f>
        <v>FY2018</v>
      </c>
      <c r="AF44" s="2" t="str">
        <f>IF(ISBLANK(OperatingFunds!AF44),"",OperatingFunds!AF44)</f>
        <v>FY2019</v>
      </c>
      <c r="AG44" s="2" t="str">
        <f>IF(ISBLANK(OperatingFunds!AG44),"",OperatingFunds!AG44)</f>
        <v>FY2020</v>
      </c>
      <c r="AH44" s="2" t="str">
        <f>IF(ISBLANK(OperatingFunds!AH44),"",OperatingFunds!AH44)</f>
        <v>FY2021</v>
      </c>
      <c r="AI44" s="2" t="str">
        <f>IF(ISBLANK(OperatingFunds!AI44),"",OperatingFunds!AI44)</f>
        <v>FY2022</v>
      </c>
      <c r="AJ44" s="2" t="str">
        <f>IF(ISBLANK(OperatingFunds!AJ44),"",OperatingFunds!AJ44)</f>
        <v>FY2023</v>
      </c>
      <c r="AK44" s="2" t="str">
        <f>IF(ISBLANK(OperatingFunds!AK44),"",OperatingFunds!AK44)</f>
        <v>FY2024</v>
      </c>
      <c r="AL44" s="2" t="str">
        <f>IF(ISBLANK(OperatingFunds!AL44),"",OperatingFunds!AL44)</f>
        <v>FY2025</v>
      </c>
    </row>
    <row r="46" spans="2:38">
      <c r="B46" s="1" t="str">
        <f>+$B$8</f>
        <v>University of Washington</v>
      </c>
      <c r="C46" s="3">
        <f>+OperatingFunds!C46/(EconomicIndicators!B$7/$C$162)</f>
        <v>113401.93290000001</v>
      </c>
      <c r="D46" s="3">
        <f>+OperatingFunds!D46/(EconomicIndicators!C$7/$C$162)</f>
        <v>120275.68739276713</v>
      </c>
      <c r="E46" s="3">
        <f>+OperatingFunds!E46/(EconomicIndicators!D$7/$C$162)</f>
        <v>133980.21432636952</v>
      </c>
      <c r="F46" s="3">
        <f>+OperatingFunds!F46/(EconomicIndicators!E$7/$C$162)</f>
        <v>135487.41952784825</v>
      </c>
      <c r="G46" s="3">
        <f>+OperatingFunds!G46/(EconomicIndicators!F$7/$C$162)</f>
        <v>138418.74663048799</v>
      </c>
      <c r="H46" s="3">
        <f>+OperatingFunds!H46/(EconomicIndicators!G$7/$C$162)</f>
        <v>180877.79209928546</v>
      </c>
      <c r="I46" s="3">
        <f>+OperatingFunds!I46/(EconomicIndicators!H$7/$C$162)</f>
        <v>169123.27353322643</v>
      </c>
      <c r="J46" s="3">
        <f>+OperatingFunds!J46/(EconomicIndicators!I$7/$C$162)</f>
        <v>176374.32640971869</v>
      </c>
      <c r="K46" s="3">
        <f>+OperatingFunds!K46/(EconomicIndicators!J$7/$C$162)</f>
        <v>178853.10801209498</v>
      </c>
      <c r="L46" s="3">
        <f>+OperatingFunds!L46/(EconomicIndicators!K$7/$C$162)</f>
        <v>224581.48280433024</v>
      </c>
      <c r="M46" s="3">
        <f>+OperatingFunds!M46/(EconomicIndicators!L$7/$C$162)</f>
        <v>213777.30054099252</v>
      </c>
      <c r="N46" s="3">
        <f>+OperatingFunds!N46/(EconomicIndicators!M$7/$C$162)</f>
        <v>217479.68128644527</v>
      </c>
      <c r="O46" s="3">
        <f>+OperatingFunds!O46/(EconomicIndicators!N$7/$C$162)</f>
        <v>244412.98591947378</v>
      </c>
      <c r="P46" s="3">
        <f>+OperatingFunds!P46/(EconomicIndicators!O$7/$C$162)</f>
        <v>274943.93620062928</v>
      </c>
      <c r="Q46" s="3">
        <f>+OperatingFunds!Q46/(EconomicIndicators!P$7/$C$162)</f>
        <v>276522.79022361123</v>
      </c>
      <c r="R46" s="3">
        <f>+OperatingFunds!R46/(EconomicIndicators!Q$7/$C$162)</f>
        <v>312982.49184265709</v>
      </c>
      <c r="S46" s="3">
        <f>+OperatingFunds!S46/(EconomicIndicators!R$7/$C$162)</f>
        <v>311258.61029678892</v>
      </c>
      <c r="T46" s="3">
        <f>+OperatingFunds!T46/(EconomicIndicators!S$7/$C$162)</f>
        <v>358086.01384800783</v>
      </c>
      <c r="U46" s="3">
        <f>+OperatingFunds!U46/(EconomicIndicators!T$7/$C$162)</f>
        <v>374204.41109299415</v>
      </c>
      <c r="V46" s="3">
        <f>+OperatingFunds!V46/(EconomicIndicators!U$7/$C$162)</f>
        <v>404259.41133818182</v>
      </c>
      <c r="W46" s="3">
        <f>+OperatingFunds!W46/(EconomicIndicators!V$7/$C$162)</f>
        <v>403890.99610343087</v>
      </c>
      <c r="X46" s="3">
        <f>+OperatingFunds!X46/(EconomicIndicators!W$7/$C$162)</f>
        <v>559535.19705205958</v>
      </c>
      <c r="Y46" s="3">
        <f>+OperatingFunds!Y46/(EconomicIndicators!X$7/$C$162)</f>
        <v>590145.25284538709</v>
      </c>
      <c r="Z46" s="3">
        <f>+OperatingFunds!Z46/(EconomicIndicators!Y$7/$C$162)</f>
        <v>684304.19911471696</v>
      </c>
      <c r="AA46" s="3">
        <f>+OperatingFunds!AA46/(EconomicIndicators!Z$7/$C$162)</f>
        <v>612205.03139418247</v>
      </c>
      <c r="AB46" s="3">
        <f>+OperatingFunds!AB46/(EconomicIndicators!AA$7/$C$162)</f>
        <v>757215.85760584474</v>
      </c>
      <c r="AC46" s="3">
        <f>+OperatingFunds!AC46/(EconomicIndicators!AB$7/$C$162)</f>
        <v>700175.58547318436</v>
      </c>
      <c r="AD46" s="3">
        <f>+OperatingFunds!AD46/(EconomicIndicators!AC$7/$C$162)</f>
        <v>742024.30901811528</v>
      </c>
      <c r="AE46" s="3">
        <f>+OperatingFunds!AE46/(EconomicIndicators!AD$7/$C$162)</f>
        <v>832847.61692175246</v>
      </c>
      <c r="AF46" s="3">
        <f>+OperatingFunds!AF46/(EconomicIndicators!AE$7/$C$162)</f>
        <v>747908.51270101615</v>
      </c>
      <c r="AG46" s="3">
        <f>+OperatingFunds!AG46/(EconomicIndicators!AF$7/$C$162)</f>
        <v>730132.86158603313</v>
      </c>
      <c r="AH46" s="3">
        <f>+OperatingFunds!AH46/(EconomicIndicators!AG$7/$C$162)</f>
        <v>721502.92265628756</v>
      </c>
      <c r="AI46" s="3">
        <f>+OperatingFunds!AI46/(EconomicIndicators!AH$7/$C$162)</f>
        <v>670464.20266248123</v>
      </c>
      <c r="AJ46" s="3">
        <f>+OperatingFunds!AJ46/(EconomicIndicators!AI$7/$C$162)</f>
        <v>666691.51186828595</v>
      </c>
      <c r="AK46" s="3">
        <f>+OperatingFunds!AK46/(EconomicIndicators!AJ$7/$C$162)</f>
        <v>772500.65422000003</v>
      </c>
      <c r="AL46" s="3">
        <f>+OperatingFunds!AL46/(EconomicIndicators!AI$7/$C$162)</f>
        <v>738127.91079003585</v>
      </c>
    </row>
    <row r="47" spans="2:38">
      <c r="B47" s="1" t="str">
        <f>+$B$9</f>
        <v>Washington State University</v>
      </c>
      <c r="C47" s="3">
        <f>+OperatingFunds!C47/(EconomicIndicators!B$7/$C$162)</f>
        <v>55940.188250000007</v>
      </c>
      <c r="D47" s="3">
        <f>+OperatingFunds!D47/(EconomicIndicators!C$7/$C$162)</f>
        <v>55966.91892954021</v>
      </c>
      <c r="E47" s="3">
        <f>+OperatingFunds!E47/(EconomicIndicators!D$7/$C$162)</f>
        <v>63265.292611012104</v>
      </c>
      <c r="F47" s="3">
        <f>+OperatingFunds!F47/(EconomicIndicators!E$7/$C$162)</f>
        <v>66398.563182342943</v>
      </c>
      <c r="G47" s="3">
        <f>+OperatingFunds!G47/(EconomicIndicators!F$7/$C$162)</f>
        <v>77043.923090609853</v>
      </c>
      <c r="H47" s="3">
        <f>+OperatingFunds!H47/(EconomicIndicators!G$7/$C$162)</f>
        <v>91775.861567784435</v>
      </c>
      <c r="I47" s="3">
        <f>+OperatingFunds!I47/(EconomicIndicators!H$7/$C$162)</f>
        <v>90645.63756442201</v>
      </c>
      <c r="J47" s="3">
        <f>+OperatingFunds!J47/(EconomicIndicators!I$7/$C$162)</f>
        <v>95503.132754601582</v>
      </c>
      <c r="K47" s="3">
        <f>+OperatingFunds!K47/(EconomicIndicators!J$7/$C$162)</f>
        <v>96100.306298640149</v>
      </c>
      <c r="L47" s="3">
        <f>+OperatingFunds!L47/(EconomicIndicators!K$7/$C$162)</f>
        <v>97819.90156368904</v>
      </c>
      <c r="M47" s="3">
        <f>+OperatingFunds!M47/(EconomicIndicators!L$7/$C$162)</f>
        <v>99055.375000600863</v>
      </c>
      <c r="N47" s="3">
        <f>+OperatingFunds!N47/(EconomicIndicators!M$7/$C$162)</f>
        <v>98070.669071147931</v>
      </c>
      <c r="O47" s="3">
        <f>+OperatingFunds!O47/(EconomicIndicators!N$7/$C$162)</f>
        <v>106194.29755055089</v>
      </c>
      <c r="P47" s="3">
        <f>+OperatingFunds!P47/(EconomicIndicators!O$7/$C$162)</f>
        <v>125216.70277629496</v>
      </c>
      <c r="Q47" s="3">
        <f>+OperatingFunds!Q47/(EconomicIndicators!P$7/$C$162)</f>
        <v>132826.64540542022</v>
      </c>
      <c r="R47" s="3">
        <f>+OperatingFunds!R47/(EconomicIndicators!Q$7/$C$162)</f>
        <v>145417.07080724146</v>
      </c>
      <c r="S47" s="3">
        <f>+OperatingFunds!S47/(EconomicIndicators!R$7/$C$162)</f>
        <v>149804.48555065913</v>
      </c>
      <c r="T47" s="3">
        <f>+OperatingFunds!T47/(EconomicIndicators!S$7/$C$162)</f>
        <v>155954.66837170828</v>
      </c>
      <c r="U47" s="3">
        <f>+OperatingFunds!U47/(EconomicIndicators!T$7/$C$162)</f>
        <v>165018.26594032606</v>
      </c>
      <c r="V47" s="3">
        <f>+OperatingFunds!V47/(EconomicIndicators!U$7/$C$162)</f>
        <v>181882.42950849814</v>
      </c>
      <c r="W47" s="3">
        <f>+OperatingFunds!W47/(EconomicIndicators!V$7/$C$162)</f>
        <v>199975.5633469116</v>
      </c>
      <c r="X47" s="3">
        <f>+OperatingFunds!X47/(EconomicIndicators!W$7/$C$162)</f>
        <v>210618.13509235345</v>
      </c>
      <c r="Y47" s="3">
        <f>+OperatingFunds!Y47/(EconomicIndicators!X$7/$C$162)</f>
        <v>272533.0330586909</v>
      </c>
      <c r="Z47" s="3">
        <f>+OperatingFunds!Z47/(EconomicIndicators!Y$7/$C$162)</f>
        <v>295293.89425552561</v>
      </c>
      <c r="AA47" s="3">
        <f>+OperatingFunds!AA47/(EconomicIndicators!Z$7/$C$162)</f>
        <v>302924.10854158702</v>
      </c>
      <c r="AB47" s="3">
        <f>+OperatingFunds!AB47/(EconomicIndicators!AA$7/$C$162)</f>
        <v>318498.73092397908</v>
      </c>
      <c r="AC47" s="3">
        <f>+OperatingFunds!AC47/(EconomicIndicators!AB$7/$C$162)</f>
        <v>333332.83758478047</v>
      </c>
      <c r="AD47" s="3">
        <f>+OperatingFunds!AD47/(EconomicIndicators!AC$7/$C$162)</f>
        <v>277172.91072231124</v>
      </c>
      <c r="AE47" s="3">
        <f>+OperatingFunds!AE47/(EconomicIndicators!AD$7/$C$162)</f>
        <v>294533.98792772269</v>
      </c>
      <c r="AF47" s="3">
        <f>+OperatingFunds!AF47/(EconomicIndicators!AE$7/$C$162)</f>
        <v>297384.48825805343</v>
      </c>
      <c r="AG47" s="3">
        <f>+OperatingFunds!AG47/(EconomicIndicators!AF$7/$C$162)</f>
        <v>285046.40627171216</v>
      </c>
      <c r="AH47" s="3">
        <f>+OperatingFunds!AH47/(EconomicIndicators!AG$7/$C$162)</f>
        <v>265718.01834719599</v>
      </c>
      <c r="AI47" s="3">
        <f>+OperatingFunds!AI47/(EconomicIndicators!AH$7/$C$162)</f>
        <v>254532.25076010704</v>
      </c>
      <c r="AJ47" s="3">
        <f>+OperatingFunds!AJ47/(EconomicIndicators!AI$7/$C$162)</f>
        <v>264864.56178854173</v>
      </c>
      <c r="AK47" s="3">
        <f>+OperatingFunds!AK47/(EconomicIndicators!AJ$7/$C$162)</f>
        <v>226453.24413000001</v>
      </c>
      <c r="AL47" s="3">
        <f>+OperatingFunds!AL47/(EconomicIndicators!AI$7/$C$162)</f>
        <v>268086.2535555053</v>
      </c>
    </row>
    <row r="48" spans="2:38">
      <c r="B48" s="1" t="str">
        <f>+$B$10</f>
        <v>Eastern Washington University</v>
      </c>
      <c r="C48" s="3">
        <f>+OperatingFunds!C48/(EconomicIndicators!B$7/$C$162)</f>
        <v>20254.674550000003</v>
      </c>
      <c r="D48" s="3">
        <f>+OperatingFunds!D48/(EconomicIndicators!C$7/$C$162)</f>
        <v>21453.618313220679</v>
      </c>
      <c r="E48" s="3">
        <f>+OperatingFunds!E48/(EconomicIndicators!D$7/$C$162)</f>
        <v>22364.488630531945</v>
      </c>
      <c r="F48" s="3">
        <f>+OperatingFunds!F48/(EconomicIndicators!E$7/$C$162)</f>
        <v>23678.759669839194</v>
      </c>
      <c r="G48" s="3">
        <f>+OperatingFunds!G48/(EconomicIndicators!F$7/$C$162)</f>
        <v>26594.889150838488</v>
      </c>
      <c r="H48" s="3">
        <f>+OperatingFunds!H48/(EconomicIndicators!G$7/$C$162)</f>
        <v>29902.552588750314</v>
      </c>
      <c r="I48" s="3">
        <f>+OperatingFunds!I48/(EconomicIndicators!H$7/$C$162)</f>
        <v>27913.46342878597</v>
      </c>
      <c r="J48" s="3">
        <f>+OperatingFunds!J48/(EconomicIndicators!I$7/$C$162)</f>
        <v>27706.211451536088</v>
      </c>
      <c r="K48" s="3">
        <f>+OperatingFunds!K48/(EconomicIndicators!J$7/$C$162)</f>
        <v>26176.994762148679</v>
      </c>
      <c r="L48" s="3">
        <f>+OperatingFunds!L48/(EconomicIndicators!K$7/$C$162)</f>
        <v>28296.93505494596</v>
      </c>
      <c r="M48" s="3">
        <f>+OperatingFunds!M48/(EconomicIndicators!L$7/$C$162)</f>
        <v>29681.951148084907</v>
      </c>
      <c r="N48" s="3">
        <f>+OperatingFunds!N48/(EconomicIndicators!M$7/$C$162)</f>
        <v>32591.85143397424</v>
      </c>
      <c r="O48" s="3">
        <f>+OperatingFunds!O48/(EconomicIndicators!N$7/$C$162)</f>
        <v>30717.568188250356</v>
      </c>
      <c r="P48" s="3">
        <f>+OperatingFunds!P48/(EconomicIndicators!O$7/$C$162)</f>
        <v>35954.305696720236</v>
      </c>
      <c r="Q48" s="3">
        <f>+OperatingFunds!Q48/(EconomicIndicators!P$7/$C$162)</f>
        <v>40674.811239339309</v>
      </c>
      <c r="R48" s="3">
        <f>+OperatingFunds!R48/(EconomicIndicators!Q$7/$C$162)</f>
        <v>46726.401552822615</v>
      </c>
      <c r="S48" s="3">
        <f>+OperatingFunds!S48/(EconomicIndicators!R$7/$C$162)</f>
        <v>43233.313004672134</v>
      </c>
      <c r="T48" s="3">
        <f>+OperatingFunds!T48/(EconomicIndicators!S$7/$C$162)</f>
        <v>48009.883941241904</v>
      </c>
      <c r="U48" s="3">
        <f>+OperatingFunds!U48/(EconomicIndicators!T$7/$C$162)</f>
        <v>49534.869497786625</v>
      </c>
      <c r="V48" s="3">
        <f>+OperatingFunds!V48/(EconomicIndicators!U$7/$C$162)</f>
        <v>50631.839647032473</v>
      </c>
      <c r="W48" s="3">
        <f>+OperatingFunds!W48/(EconomicIndicators!V$7/$C$162)</f>
        <v>56738.455535133748</v>
      </c>
      <c r="X48" s="3">
        <f>+OperatingFunds!X48/(EconomicIndicators!W$7/$C$162)</f>
        <v>58298.254222313488</v>
      </c>
      <c r="Y48" s="3">
        <f>+OperatingFunds!Y48/(EconomicIndicators!X$7/$C$162)</f>
        <v>71664.237883566806</v>
      </c>
      <c r="Z48" s="3">
        <f>+OperatingFunds!Z48/(EconomicIndicators!Y$7/$C$162)</f>
        <v>75348.275896046529</v>
      </c>
      <c r="AA48" s="3">
        <f>+OperatingFunds!AA48/(EconomicIndicators!Z$7/$C$162)</f>
        <v>77657.612992692753</v>
      </c>
      <c r="AB48" s="3">
        <f>+OperatingFunds!AB48/(EconomicIndicators!AA$7/$C$162)</f>
        <v>86132.733164177102</v>
      </c>
      <c r="AC48" s="3">
        <f>+OperatingFunds!AC48/(EconomicIndicators!AB$7/$C$162)</f>
        <v>82995.750819689449</v>
      </c>
      <c r="AD48" s="3">
        <f>+OperatingFunds!AD48/(EconomicIndicators!AC$7/$C$162)</f>
        <v>71791.749150520875</v>
      </c>
      <c r="AE48" s="3">
        <f>+OperatingFunds!AE48/(EconomicIndicators!AD$7/$C$162)</f>
        <v>74846.675047577257</v>
      </c>
      <c r="AF48" s="3">
        <f>+OperatingFunds!AF48/(EconomicIndicators!AE$7/$C$162)</f>
        <v>77302.951779725656</v>
      </c>
      <c r="AG48" s="3">
        <f>+OperatingFunds!AG48/(EconomicIndicators!AF$7/$C$162)</f>
        <v>80961.509430090722</v>
      </c>
      <c r="AH48" s="3">
        <f>+OperatingFunds!AH48/(EconomicIndicators!AG$7/$C$162)</f>
        <v>62524.073366348923</v>
      </c>
      <c r="AI48" s="3">
        <f>+OperatingFunds!AI48/(EconomicIndicators!AH$7/$C$162)</f>
        <v>53445.955513516739</v>
      </c>
      <c r="AJ48" s="3">
        <f>+OperatingFunds!AJ48/(EconomicIndicators!AI$7/$C$162)</f>
        <v>49913.67734897224</v>
      </c>
      <c r="AK48" s="3">
        <f>+OperatingFunds!AK48/(EconomicIndicators!AJ$7/$C$162)</f>
        <v>51230.620770000001</v>
      </c>
      <c r="AL48" s="3">
        <f>+OperatingFunds!AL48/(EconomicIndicators!AI$7/$C$162)</f>
        <v>66994.821412753576</v>
      </c>
    </row>
    <row r="49" spans="2:38">
      <c r="B49" s="1" t="str">
        <f>+$B$11</f>
        <v>Central Washington University</v>
      </c>
      <c r="C49" s="3">
        <f>+OperatingFunds!C49/(EconomicIndicators!B$7/$C$162)</f>
        <v>16346.281050000001</v>
      </c>
      <c r="D49" s="3">
        <f>+OperatingFunds!D49/(EconomicIndicators!C$7/$C$162)</f>
        <v>17202.560505707905</v>
      </c>
      <c r="E49" s="3">
        <f>+OperatingFunds!E49/(EconomicIndicators!D$7/$C$162)</f>
        <v>17418.87098429642</v>
      </c>
      <c r="F49" s="3">
        <f>+OperatingFunds!F49/(EconomicIndicators!E$7/$C$162)</f>
        <v>18429.268137482162</v>
      </c>
      <c r="G49" s="3">
        <f>+OperatingFunds!G49/(EconomicIndicators!F$7/$C$162)</f>
        <v>21745.593834793828</v>
      </c>
      <c r="H49" s="3">
        <f>+OperatingFunds!H49/(EconomicIndicators!G$7/$C$162)</f>
        <v>25664.280946205861</v>
      </c>
      <c r="I49" s="3">
        <f>+OperatingFunds!I49/(EconomicIndicators!H$7/$C$162)</f>
        <v>27217.945237038814</v>
      </c>
      <c r="J49" s="3">
        <f>+OperatingFunds!J49/(EconomicIndicators!I$7/$C$162)</f>
        <v>24922.667958926198</v>
      </c>
      <c r="K49" s="3">
        <f>+OperatingFunds!K49/(EconomicIndicators!J$7/$C$162)</f>
        <v>29148.670750648536</v>
      </c>
      <c r="L49" s="3">
        <f>+OperatingFunds!L49/(EconomicIndicators!K$7/$C$162)</f>
        <v>29247.805107559881</v>
      </c>
      <c r="M49" s="3">
        <f>+OperatingFunds!M49/(EconomicIndicators!L$7/$C$162)</f>
        <v>27638.960643828112</v>
      </c>
      <c r="N49" s="3">
        <f>+OperatingFunds!N49/(EconomicIndicators!M$7/$C$162)</f>
        <v>28146.912397472726</v>
      </c>
      <c r="O49" s="3">
        <f>+OperatingFunds!O49/(EconomicIndicators!N$7/$C$162)</f>
        <v>28726.093245583408</v>
      </c>
      <c r="P49" s="3">
        <f>+OperatingFunds!P49/(EconomicIndicators!O$7/$C$162)</f>
        <v>37864.172801503577</v>
      </c>
      <c r="Q49" s="3">
        <f>+OperatingFunds!Q49/(EconomicIndicators!P$7/$C$162)</f>
        <v>41077.664492491902</v>
      </c>
      <c r="R49" s="3">
        <f>+OperatingFunds!R49/(EconomicIndicators!Q$7/$C$162)</f>
        <v>41814.629744204532</v>
      </c>
      <c r="S49" s="3">
        <f>+OperatingFunds!S49/(EconomicIndicators!R$7/$C$162)</f>
        <v>42306.833082520119</v>
      </c>
      <c r="T49" s="3">
        <f>+OperatingFunds!T49/(EconomicIndicators!S$7/$C$162)</f>
        <v>42893.270409074968</v>
      </c>
      <c r="U49" s="3">
        <f>+OperatingFunds!U49/(EconomicIndicators!T$7/$C$162)</f>
        <v>46571.579195901912</v>
      </c>
      <c r="V49" s="3">
        <f>+OperatingFunds!V49/(EconomicIndicators!U$7/$C$162)</f>
        <v>51042.509266151072</v>
      </c>
      <c r="W49" s="3">
        <f>+OperatingFunds!W49/(EconomicIndicators!V$7/$C$162)</f>
        <v>61250.601108489951</v>
      </c>
      <c r="X49" s="3">
        <f>+OperatingFunds!X49/(EconomicIndicators!W$7/$C$162)</f>
        <v>60846.736328304425</v>
      </c>
      <c r="Y49" s="3">
        <f>+OperatingFunds!Y49/(EconomicIndicators!X$7/$C$162)</f>
        <v>74969.20923255627</v>
      </c>
      <c r="Z49" s="3">
        <f>+OperatingFunds!Z49/(EconomicIndicators!Y$7/$C$162)</f>
        <v>75845.929164108442</v>
      </c>
      <c r="AA49" s="3">
        <f>+OperatingFunds!AA49/(EconomicIndicators!Z$7/$C$162)</f>
        <v>82218.960410539657</v>
      </c>
      <c r="AB49" s="3">
        <f>+OperatingFunds!AB49/(EconomicIndicators!AA$7/$C$162)</f>
        <v>78154.775659252526</v>
      </c>
      <c r="AC49" s="3">
        <f>+OperatingFunds!AC49/(EconomicIndicators!AB$7/$C$162)</f>
        <v>75717.921524046047</v>
      </c>
      <c r="AD49" s="3">
        <f>+OperatingFunds!AD49/(EconomicIndicators!AC$7/$C$162)</f>
        <v>72191.245427657588</v>
      </c>
      <c r="AE49" s="3">
        <f>+OperatingFunds!AE49/(EconomicIndicators!AD$7/$C$162)</f>
        <v>65420.178663845589</v>
      </c>
      <c r="AF49" s="3">
        <f>+OperatingFunds!AF49/(EconomicIndicators!AE$7/$C$162)</f>
        <v>68056.702607506624</v>
      </c>
      <c r="AG49" s="3">
        <f>+OperatingFunds!AG49/(EconomicIndicators!AF$7/$C$162)</f>
        <v>66427.033683507179</v>
      </c>
      <c r="AH49" s="3">
        <f>+OperatingFunds!AH49/(EconomicIndicators!AG$7/$C$162)</f>
        <v>57645.465937693509</v>
      </c>
      <c r="AI49" s="3">
        <f>+OperatingFunds!AI49/(EconomicIndicators!AH$7/$C$162)</f>
        <v>58771.720442574457</v>
      </c>
      <c r="AJ49" s="3">
        <f>+OperatingFunds!AJ49/(EconomicIndicators!AI$7/$C$162)</f>
        <v>57797.532937097581</v>
      </c>
      <c r="AK49" s="3">
        <f>+OperatingFunds!AK49/(EconomicIndicators!AJ$7/$C$162)</f>
        <v>56804.850290000002</v>
      </c>
      <c r="AL49" s="3">
        <f>+OperatingFunds!AL49/(EconomicIndicators!AI$7/$C$162)</f>
        <v>66331.414697400673</v>
      </c>
    </row>
    <row r="50" spans="2:38">
      <c r="B50" s="1" t="str">
        <f>+$B$12</f>
        <v>The Evergreen State College</v>
      </c>
      <c r="C50" s="3">
        <f>+OperatingFunds!C50/(EconomicIndicators!B$7/$C$162)</f>
        <v>10443.979850000002</v>
      </c>
      <c r="D50" s="3">
        <f>+OperatingFunds!D50/(EconomicIndicators!C$7/$C$162)</f>
        <v>11368.875144974074</v>
      </c>
      <c r="E50" s="3">
        <f>+OperatingFunds!E50/(EconomicIndicators!D$7/$C$162)</f>
        <v>13194.814272251408</v>
      </c>
      <c r="F50" s="3">
        <f>+OperatingFunds!F50/(EconomicIndicators!E$7/$C$162)</f>
        <v>13046.781886607218</v>
      </c>
      <c r="G50" s="3">
        <f>+OperatingFunds!G50/(EconomicIndicators!F$7/$C$162)</f>
        <v>15064.797028601932</v>
      </c>
      <c r="H50" s="3">
        <f>+OperatingFunds!H50/(EconomicIndicators!G$7/$C$162)</f>
        <v>18662.94723283522</v>
      </c>
      <c r="I50" s="3">
        <f>+OperatingFunds!I50/(EconomicIndicators!H$7/$C$162)</f>
        <v>16979.560778524869</v>
      </c>
      <c r="J50" s="3">
        <f>+OperatingFunds!J50/(EconomicIndicators!I$7/$C$162)</f>
        <v>20392.861296548497</v>
      </c>
      <c r="K50" s="3">
        <f>+OperatingFunds!K50/(EconomicIndicators!J$7/$C$162)</f>
        <v>18078.702846945689</v>
      </c>
      <c r="L50" s="3">
        <f>+OperatingFunds!L50/(EconomicIndicators!K$7/$C$162)</f>
        <v>21675.048645375624</v>
      </c>
      <c r="M50" s="3">
        <f>+OperatingFunds!M50/(EconomicIndicators!L$7/$C$162)</f>
        <v>23929.164222598221</v>
      </c>
      <c r="N50" s="3">
        <f>+OperatingFunds!N50/(EconomicIndicators!M$7/$C$162)</f>
        <v>23622.184676341607</v>
      </c>
      <c r="O50" s="3">
        <f>+OperatingFunds!O50/(EconomicIndicators!N$7/$C$162)</f>
        <v>22904.468721090467</v>
      </c>
      <c r="P50" s="3">
        <f>+OperatingFunds!P50/(EconomicIndicators!O$7/$C$162)</f>
        <v>24853.432811805196</v>
      </c>
      <c r="Q50" s="3">
        <f>+OperatingFunds!Q50/(EconomicIndicators!P$7/$C$162)</f>
        <v>20562.967667950878</v>
      </c>
      <c r="R50" s="3">
        <f>+OperatingFunds!R50/(EconomicIndicators!Q$7/$C$162)</f>
        <v>37359.809591760735</v>
      </c>
      <c r="S50" s="3">
        <f>+OperatingFunds!S50/(EconomicIndicators!R$7/$C$162)</f>
        <v>29231.346171210109</v>
      </c>
      <c r="T50" s="3">
        <f>+OperatingFunds!T50/(EconomicIndicators!S$7/$C$162)</f>
        <v>29595.661732654022</v>
      </c>
      <c r="U50" s="3">
        <f>+OperatingFunds!U50/(EconomicIndicators!T$7/$C$162)</f>
        <v>28274.314900629459</v>
      </c>
      <c r="V50" s="3">
        <f>+OperatingFunds!V50/(EconomicIndicators!U$7/$C$162)</f>
        <v>33608.505400086688</v>
      </c>
      <c r="W50" s="3">
        <f>+OperatingFunds!W50/(EconomicIndicators!V$7/$C$162)</f>
        <v>35534.436939892905</v>
      </c>
      <c r="X50" s="3">
        <f>+OperatingFunds!X50/(EconomicIndicators!W$7/$C$162)</f>
        <v>40031.383146710097</v>
      </c>
      <c r="Y50" s="3">
        <f>+OperatingFunds!Y50/(EconomicIndicators!X$7/$C$162)</f>
        <v>43665.997374831371</v>
      </c>
      <c r="Z50" s="3">
        <f>+OperatingFunds!Z50/(EconomicIndicators!Y$7/$C$162)</f>
        <v>43395.71652456373</v>
      </c>
      <c r="AA50" s="3">
        <f>+OperatingFunds!AA50/(EconomicIndicators!Z$7/$C$162)</f>
        <v>41526.802245604391</v>
      </c>
      <c r="AB50" s="3">
        <f>+OperatingFunds!AB50/(EconomicIndicators!AA$7/$C$162)</f>
        <v>40354.819725465786</v>
      </c>
      <c r="AC50" s="3">
        <f>+OperatingFunds!AC50/(EconomicIndicators!AB$7/$C$162)</f>
        <v>51774.161449083542</v>
      </c>
      <c r="AD50" s="3">
        <f>+OperatingFunds!AD50/(EconomicIndicators!AC$7/$C$162)</f>
        <v>38329.146321378146</v>
      </c>
      <c r="AE50" s="3">
        <f>+OperatingFunds!AE50/(EconomicIndicators!AD$7/$C$162)</f>
        <v>36615.086725730929</v>
      </c>
      <c r="AF50" s="3">
        <f>+OperatingFunds!AF50/(EconomicIndicators!AE$7/$C$162)</f>
        <v>27366.087141756521</v>
      </c>
      <c r="AG50" s="3">
        <f>+OperatingFunds!AG50/(EconomicIndicators!AF$7/$C$162)</f>
        <v>23386.361563673952</v>
      </c>
      <c r="AH50" s="3">
        <f>+OperatingFunds!AH50/(EconomicIndicators!AG$7/$C$162)</f>
        <v>12178.497342595423</v>
      </c>
      <c r="AI50" s="3">
        <f>+OperatingFunds!AI50/(EconomicIndicators!AH$7/$C$162)</f>
        <v>3421.9893519760153</v>
      </c>
      <c r="AJ50" s="3">
        <f>+OperatingFunds!AJ50/(EconomicIndicators!AI$7/$C$162)</f>
        <v>15088.214029857636</v>
      </c>
      <c r="AK50" s="3">
        <f>+OperatingFunds!AK50/(EconomicIndicators!AJ$7/$C$162)</f>
        <v>13733.92584</v>
      </c>
      <c r="AL50" s="3">
        <f>+OperatingFunds!AL50/(EconomicIndicators!AI$7/$C$162)</f>
        <v>39019.628775725134</v>
      </c>
    </row>
    <row r="51" spans="2:38">
      <c r="B51" s="1" t="str">
        <f>+$B$13</f>
        <v>Western Washington University</v>
      </c>
      <c r="C51" s="41">
        <f>+OperatingFunds!C51/(EconomicIndicators!B$7/$C$162)</f>
        <v>21872.373250000004</v>
      </c>
      <c r="D51" s="41">
        <f>+OperatingFunds!D51/(EconomicIndicators!C$7/$C$162)</f>
        <v>23394.841223437397</v>
      </c>
      <c r="E51" s="41">
        <f>+OperatingFunds!E51/(EconomicIndicators!D$7/$C$162)</f>
        <v>25022.563098914841</v>
      </c>
      <c r="F51" s="41">
        <f>+OperatingFunds!F51/(EconomicIndicators!E$7/$C$162)</f>
        <v>26203.759397129277</v>
      </c>
      <c r="G51" s="41">
        <f>+OperatingFunds!G51/(EconomicIndicators!F$7/$C$162)</f>
        <v>28443.125172367778</v>
      </c>
      <c r="H51" s="41">
        <f>+OperatingFunds!H51/(EconomicIndicators!G$7/$C$162)</f>
        <v>36412.756111783186</v>
      </c>
      <c r="I51" s="41">
        <f>+OperatingFunds!I51/(EconomicIndicators!H$7/$C$162)</f>
        <v>33101.315787228239</v>
      </c>
      <c r="J51" s="41">
        <f>+OperatingFunds!J51/(EconomicIndicators!I$7/$C$162)</f>
        <v>34544.57802434684</v>
      </c>
      <c r="K51" s="41">
        <f>+OperatingFunds!K51/(EconomicIndicators!J$7/$C$162)</f>
        <v>37486.976008327692</v>
      </c>
      <c r="L51" s="41">
        <f>+OperatingFunds!L51/(EconomicIndicators!K$7/$C$162)</f>
        <v>42036.665275629857</v>
      </c>
      <c r="M51" s="41">
        <f>+OperatingFunds!M51/(EconomicIndicators!L$7/$C$162)</f>
        <v>45038.160758293678</v>
      </c>
      <c r="N51" s="41">
        <f>+OperatingFunds!N51/(EconomicIndicators!M$7/$C$162)</f>
        <v>47084.954229223731</v>
      </c>
      <c r="O51" s="41">
        <f>+OperatingFunds!O51/(EconomicIndicators!N$7/$C$162)</f>
        <v>48160.505136017935</v>
      </c>
      <c r="P51" s="41">
        <f>+OperatingFunds!P51/(EconomicIndicators!O$7/$C$162)</f>
        <v>54778.114862900598</v>
      </c>
      <c r="Q51" s="41">
        <f>+OperatingFunds!Q51/(EconomicIndicators!P$7/$C$162)</f>
        <v>59552.370338945009</v>
      </c>
      <c r="R51" s="41">
        <f>+OperatingFunds!R51/(EconomicIndicators!Q$7/$C$162)</f>
        <v>60553.832215688715</v>
      </c>
      <c r="S51" s="41">
        <f>+OperatingFunds!S51/(EconomicIndicators!R$7/$C$162)</f>
        <v>61372.199273744292</v>
      </c>
      <c r="T51" s="41">
        <f>+OperatingFunds!T51/(EconomicIndicators!S$7/$C$162)</f>
        <v>65230.380227768743</v>
      </c>
      <c r="U51" s="41">
        <f>+OperatingFunds!U51/(EconomicIndicators!T$7/$C$162)</f>
        <v>68037.11634270323</v>
      </c>
      <c r="V51" s="41">
        <f>+OperatingFunds!V51/(EconomicIndicators!U$7/$C$162)</f>
        <v>70838.460422826567</v>
      </c>
      <c r="W51" s="41">
        <f>+OperatingFunds!W51/(EconomicIndicators!V$7/$C$162)</f>
        <v>91637.697591787553</v>
      </c>
      <c r="X51" s="41">
        <f>+OperatingFunds!X51/(EconomicIndicators!W$7/$C$162)</f>
        <v>90226.85326199366</v>
      </c>
      <c r="Y51" s="41">
        <f>+OperatingFunds!Y51/(EconomicIndicators!X$7/$C$162)</f>
        <v>102409.82238620851</v>
      </c>
      <c r="Z51" s="41">
        <f>+OperatingFunds!Z51/(EconomicIndicators!Y$7/$C$162)</f>
        <v>107627.09703570875</v>
      </c>
      <c r="AA51" s="41">
        <f>+OperatingFunds!AA51/(EconomicIndicators!Z$7/$C$162)</f>
        <v>106890.22510530252</v>
      </c>
      <c r="AB51" s="41">
        <f>+OperatingFunds!AB51/(EconomicIndicators!AA$7/$C$162)</f>
        <v>114107.64265683637</v>
      </c>
      <c r="AC51" s="41">
        <f>+OperatingFunds!AC51/(EconomicIndicators!AB$7/$C$162)</f>
        <v>110288.16392780034</v>
      </c>
      <c r="AD51" s="41">
        <f>+OperatingFunds!AD51/(EconomicIndicators!AC$7/$C$162)</f>
        <v>106693.04750211848</v>
      </c>
      <c r="AE51" s="41">
        <f>+OperatingFunds!AE51/(EconomicIndicators!AD$7/$C$162)</f>
        <v>109188.99486913916</v>
      </c>
      <c r="AF51" s="41">
        <f>+OperatingFunds!AF51/(EconomicIndicators!AE$7/$C$162)</f>
        <v>111153.08035051814</v>
      </c>
      <c r="AG51" s="41">
        <f>+OperatingFunds!AG51/(EconomicIndicators!AF$7/$C$162)</f>
        <v>116473.98461738598</v>
      </c>
      <c r="AH51" s="41">
        <f>+OperatingFunds!AH51/(EconomicIndicators!AG$7/$C$162)</f>
        <v>104338.40232412663</v>
      </c>
      <c r="AI51" s="41">
        <f>+OperatingFunds!AI51/(EconomicIndicators!AH$7/$C$162)</f>
        <v>110912.62966418303</v>
      </c>
      <c r="AJ51" s="41">
        <f>+OperatingFunds!AJ51/(EconomicIndicators!AI$7/$C$162)</f>
        <v>110195.47454545414</v>
      </c>
      <c r="AK51" s="41">
        <f>+OperatingFunds!AK51/(EconomicIndicators!AJ$7/$C$162)</f>
        <v>105237.06074</v>
      </c>
      <c r="AL51" s="41">
        <f>+OperatingFunds!AL51/(EconomicIndicators!AI$7/$C$162)</f>
        <v>92995.221966871075</v>
      </c>
    </row>
    <row r="52" spans="2:38">
      <c r="B52" s="199" t="str">
        <f>+$B$14</f>
        <v>Total Four-Year Institutions</v>
      </c>
      <c r="C52" s="42">
        <f>+OperatingFunds!C52/(EconomicIndicators!B$7/$C$162)</f>
        <v>238259.42985000004</v>
      </c>
      <c r="D52" s="42">
        <f>+OperatingFunds!D52/(EconomicIndicators!C$7/$C$162)</f>
        <v>249662.50150964738</v>
      </c>
      <c r="E52" s="42">
        <f>+OperatingFunds!E52/(EconomicIndicators!D$7/$C$162)</f>
        <v>275246.24392337626</v>
      </c>
      <c r="F52" s="42">
        <f>+OperatingFunds!F52/(EconomicIndicators!E$7/$C$162)</f>
        <v>283244.55180124904</v>
      </c>
      <c r="G52" s="42">
        <f>+OperatingFunds!G52/(EconomicIndicators!F$7/$C$162)</f>
        <v>307311.07490769983</v>
      </c>
      <c r="H52" s="42">
        <f>+OperatingFunds!H52/(EconomicIndicators!G$7/$C$162)</f>
        <v>383296.1905466445</v>
      </c>
      <c r="I52" s="42">
        <f>+OperatingFunds!I52/(EconomicIndicators!H$7/$C$162)</f>
        <v>364981.19632922631</v>
      </c>
      <c r="J52" s="42">
        <f>+OperatingFunds!J52/(EconomicIndicators!I$7/$C$162)</f>
        <v>379443.77789567789</v>
      </c>
      <c r="K52" s="42">
        <f>+OperatingFunds!K52/(EconomicIndicators!J$7/$C$162)</f>
        <v>385844.75867880572</v>
      </c>
      <c r="L52" s="42">
        <f>+OperatingFunds!L52/(EconomicIndicators!K$7/$C$162)</f>
        <v>443657.83845153061</v>
      </c>
      <c r="M52" s="42">
        <f>+OperatingFunds!M52/(EconomicIndicators!L$7/$C$162)</f>
        <v>439120.91231439833</v>
      </c>
      <c r="N52" s="42">
        <f>+OperatingFunds!N52/(EconomicIndicators!M$7/$C$162)</f>
        <v>446996.25309460546</v>
      </c>
      <c r="O52" s="42">
        <f>+OperatingFunds!O52/(EconomicIndicators!N$7/$C$162)</f>
        <v>481115.9187609668</v>
      </c>
      <c r="P52" s="42">
        <f>+OperatingFunds!P52/(EconomicIndicators!O$7/$C$162)</f>
        <v>553610.6651498538</v>
      </c>
      <c r="Q52" s="42">
        <f>+OperatingFunds!Q52/(EconomicIndicators!P$7/$C$162)</f>
        <v>571217.24936775852</v>
      </c>
      <c r="R52" s="42">
        <f>+OperatingFunds!R52/(EconomicIndicators!Q$7/$C$162)</f>
        <v>644854.23575437523</v>
      </c>
      <c r="S52" s="42">
        <f>+OperatingFunds!S52/(EconomicIndicators!R$7/$C$162)</f>
        <v>637206.78737959464</v>
      </c>
      <c r="T52" s="42">
        <f>+OperatingFunds!T52/(EconomicIndicators!S$7/$C$162)</f>
        <v>699769.87853045564</v>
      </c>
      <c r="U52" s="42">
        <f>+OperatingFunds!U52/(EconomicIndicators!T$7/$C$162)</f>
        <v>731640.55697034148</v>
      </c>
      <c r="V52" s="42">
        <f>+OperatingFunds!V52/(EconomicIndicators!U$7/$C$162)</f>
        <v>792263.15558277676</v>
      </c>
      <c r="W52" s="42">
        <f>+OperatingFunds!W52/(EconomicIndicators!V$7/$C$162)</f>
        <v>849027.75062564656</v>
      </c>
      <c r="X52" s="42">
        <f>+OperatingFunds!X52/(EconomicIndicators!W$7/$C$162)</f>
        <v>1019556.5591037348</v>
      </c>
      <c r="Y52" s="42">
        <f>+OperatingFunds!Y52/(EconomicIndicators!X$7/$C$162)</f>
        <v>1155387.552781241</v>
      </c>
      <c r="Z52" s="42">
        <f>+OperatingFunds!Z52/(EconomicIndicators!Y$7/$C$162)</f>
        <v>1281815.11199067</v>
      </c>
      <c r="AA52" s="42">
        <f>+OperatingFunds!AA52/(EconomicIndicators!Z$7/$C$162)</f>
        <v>1223422.7406899089</v>
      </c>
      <c r="AB52" s="42">
        <f>+OperatingFunds!AB52/(EconomicIndicators!AA$7/$C$162)</f>
        <v>1394464.5597355557</v>
      </c>
      <c r="AC52" s="42">
        <f>+OperatingFunds!AC52/(EconomicIndicators!AB$7/$C$162)</f>
        <v>1354284.4207785844</v>
      </c>
      <c r="AD52" s="42">
        <f>+OperatingFunds!AD52/(EconomicIndicators!AC$7/$C$162)</f>
        <v>1308202.4081421017</v>
      </c>
      <c r="AE52" s="42">
        <f>+OperatingFunds!AE52/(EconomicIndicators!AD$7/$C$162)</f>
        <v>1413452.5401557682</v>
      </c>
      <c r="AF52" s="42">
        <f>+OperatingFunds!AF52/(EconomicIndicators!AE$7/$C$162)</f>
        <v>1329171.8228385765</v>
      </c>
      <c r="AG52" s="42">
        <f>+OperatingFunds!AG52/(EconomicIndicators!AF$7/$C$162)</f>
        <v>1302428.1571524031</v>
      </c>
      <c r="AH52" s="42">
        <f>+OperatingFunds!AH52/(EconomicIndicators!AG$7/$C$162)</f>
        <v>1223907.3799742479</v>
      </c>
      <c r="AI52" s="42">
        <f>+OperatingFunds!AI52/(EconomicIndicators!AH$7/$C$162)</f>
        <v>1151548.7483948385</v>
      </c>
      <c r="AJ52" s="42">
        <f>+OperatingFunds!AJ52/(EconomicIndicators!AI$7/$C$162)</f>
        <v>1164550.9725182094</v>
      </c>
      <c r="AK52" s="42">
        <f>+OperatingFunds!AK52/(EconomicIndicators!AJ$7/$C$162)</f>
        <v>1225960.3559900001</v>
      </c>
      <c r="AL52" s="42">
        <f>+OperatingFunds!AL52/(EconomicIndicators!AI$7/$C$162)</f>
        <v>1271555.2511982915</v>
      </c>
    </row>
    <row r="53" spans="2:38">
      <c r="C53"/>
      <c r="D53"/>
      <c r="E53"/>
      <c r="F53"/>
      <c r="G53"/>
      <c r="H53"/>
      <c r="I53"/>
      <c r="J53"/>
      <c r="K53"/>
      <c r="L53"/>
      <c r="M53"/>
      <c r="N53"/>
      <c r="O53"/>
      <c r="P53"/>
      <c r="Q53"/>
      <c r="R53"/>
      <c r="S53"/>
      <c r="T53" s="655"/>
      <c r="U53"/>
      <c r="V53"/>
      <c r="W53"/>
      <c r="X53"/>
      <c r="Y53"/>
      <c r="Z53"/>
      <c r="AA53"/>
      <c r="AB53"/>
      <c r="AC53"/>
      <c r="AD53"/>
      <c r="AE53"/>
      <c r="AF53"/>
      <c r="AG53"/>
      <c r="AH53"/>
      <c r="AI53"/>
      <c r="AJ53"/>
      <c r="AK53"/>
      <c r="AL53"/>
    </row>
    <row r="54" spans="2:38">
      <c r="B54" s="1" t="str">
        <f>+$B$16</f>
        <v>Community/Technical College System</v>
      </c>
      <c r="C54" s="3">
        <f>+OperatingFunds!C54/(EconomicIndicators!B$7/$C$162)</f>
        <v>96706.613500000007</v>
      </c>
      <c r="D54" s="3">
        <f>+OperatingFunds!D54/(EconomicIndicators!C$7/$C$162)</f>
        <v>100955.61128736977</v>
      </c>
      <c r="E54" s="3">
        <f>+OperatingFunds!E54/(EconomicIndicators!D$7/$C$162)</f>
        <v>109291.12938893192</v>
      </c>
      <c r="F54" s="3">
        <f>+OperatingFunds!F54/(EconomicIndicators!E$7/$C$162)</f>
        <v>117314.64120465063</v>
      </c>
      <c r="G54" s="3">
        <f>+OperatingFunds!G54/(EconomicIndicators!F$7/$C$162)</f>
        <v>152576.16017970731</v>
      </c>
      <c r="H54" s="3">
        <f>+OperatingFunds!H54/(EconomicIndicators!G$7/$C$162)</f>
        <v>185716.33397446497</v>
      </c>
      <c r="I54" s="3">
        <f>+OperatingFunds!I54/(EconomicIndicators!H$7/$C$162)</f>
        <v>187495.65407522445</v>
      </c>
      <c r="J54" s="3">
        <f>+OperatingFunds!J54/(EconomicIndicators!I$7/$C$162)</f>
        <v>193522.63073683859</v>
      </c>
      <c r="K54" s="3">
        <f>+OperatingFunds!K54/(EconomicIndicators!J$7/$C$162)</f>
        <v>205182.05366732209</v>
      </c>
      <c r="L54" s="3">
        <f>+OperatingFunds!L54/(EconomicIndicators!K$7/$C$162)</f>
        <v>208676.64199621967</v>
      </c>
      <c r="M54" s="3">
        <f>+OperatingFunds!M54/(EconomicIndicators!L$7/$C$162)</f>
        <v>224551.55992941302</v>
      </c>
      <c r="N54" s="3">
        <f>+OperatingFunds!N54/(EconomicIndicators!M$7/$C$162)</f>
        <v>220135.7699140812</v>
      </c>
      <c r="O54" s="3">
        <f>+OperatingFunds!O54/(EconomicIndicators!N$7/$C$162)</f>
        <v>235710.49792606218</v>
      </c>
      <c r="P54" s="3">
        <f>+OperatingFunds!P54/(EconomicIndicators!O$7/$C$162)</f>
        <v>251215.44974069006</v>
      </c>
      <c r="Q54" s="3">
        <f>+OperatingFunds!Q54/(EconomicIndicators!P$7/$C$162)</f>
        <v>285016.79899788875</v>
      </c>
      <c r="R54" s="3">
        <f>+OperatingFunds!R54/(EconomicIndicators!Q$7/$C$162)</f>
        <v>299881.04159384919</v>
      </c>
      <c r="S54" s="3">
        <f>+OperatingFunds!S54/(EconomicIndicators!R$7/$C$162)</f>
        <v>305048.19997937971</v>
      </c>
      <c r="T54" s="3">
        <f>+OperatingFunds!T54/(EconomicIndicators!S$7/$C$162)</f>
        <v>310443.00892448041</v>
      </c>
      <c r="U54" s="3">
        <f>+OperatingFunds!U54/(EconomicIndicators!T$7/$C$162)</f>
        <v>322941.25363837869</v>
      </c>
      <c r="V54" s="3">
        <f>+OperatingFunds!V54/(EconomicIndicators!U$7/$C$162)</f>
        <v>325520.57816570293</v>
      </c>
      <c r="W54" s="3">
        <f>+OperatingFunds!W54/(EconomicIndicators!V$7/$C$162)</f>
        <v>349654.99832103268</v>
      </c>
      <c r="X54" s="3">
        <f>+OperatingFunds!X54/(EconomicIndicators!W$7/$C$162)</f>
        <v>390320.06611166161</v>
      </c>
      <c r="Y54" s="3">
        <f>+OperatingFunds!Y54/(EconomicIndicators!X$7/$C$162)</f>
        <v>400443.08344734588</v>
      </c>
      <c r="Z54" s="3">
        <f>+OperatingFunds!Z54/(EconomicIndicators!Y$7/$C$162)</f>
        <v>429413.36668961222</v>
      </c>
      <c r="AA54" s="3">
        <f>+OperatingFunds!AA54/(EconomicIndicators!Z$7/$C$162)</f>
        <v>440771.42744181462</v>
      </c>
      <c r="AB54" s="3">
        <f>+OperatingFunds!AB54/(EconomicIndicators!AA$7/$C$162)</f>
        <v>452177.89225633896</v>
      </c>
      <c r="AC54" s="3">
        <f>+OperatingFunds!AC54/(EconomicIndicators!AB$7/$C$162)</f>
        <v>455414.96164411778</v>
      </c>
      <c r="AD54" s="3">
        <f>+OperatingFunds!AD54/(EconomicIndicators!AC$7/$C$162)</f>
        <v>441998.34525586414</v>
      </c>
      <c r="AE54" s="3">
        <f>+OperatingFunds!AE54/(EconomicIndicators!AD$7/$C$162)</f>
        <v>428713.40294858068</v>
      </c>
      <c r="AF54" s="3">
        <f>+OperatingFunds!AF54/(EconomicIndicators!AE$7/$C$162)</f>
        <v>381791.93064060557</v>
      </c>
      <c r="AG54" s="3">
        <f>+OperatingFunds!AG54/(EconomicIndicators!AF$7/$C$162)</f>
        <v>420078.98873775342</v>
      </c>
      <c r="AH54" s="3">
        <f>+OperatingFunds!AH54/(EconomicIndicators!AG$7/$C$162)</f>
        <v>332060.45876393456</v>
      </c>
      <c r="AI54" s="3">
        <f>+OperatingFunds!AI54/(EconomicIndicators!AH$7/$C$162)</f>
        <v>361688.21726680902</v>
      </c>
      <c r="AJ54" s="3">
        <f>+OperatingFunds!AJ54/(EconomicIndicators!AI$7/$C$162)</f>
        <v>301624.00467685849</v>
      </c>
      <c r="AK54" s="3">
        <f>+OperatingFunds!AK54/(EconomicIndicators!AJ$7/$C$162)</f>
        <v>365119.39042000001</v>
      </c>
      <c r="AL54" s="3">
        <f>+OperatingFunds!AL54/(EconomicIndicators!AI$7/$C$162)</f>
        <v>375960.29962205846</v>
      </c>
    </row>
    <row r="55" spans="2:38" hidden="1">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spans="2:38" ht="13.5" thickBot="1">
      <c r="C56" s="3"/>
      <c r="D56" s="3"/>
      <c r="E56" s="3"/>
      <c r="F56" s="3"/>
      <c r="G56" s="3"/>
      <c r="H56" s="3"/>
      <c r="I56" s="3"/>
      <c r="J56" s="3"/>
      <c r="K56" s="3"/>
      <c r="L56" s="3"/>
      <c r="M56" s="3"/>
      <c r="N56" s="3"/>
      <c r="O56" s="3"/>
      <c r="P56" s="3"/>
      <c r="Q56" s="3"/>
      <c r="R56" s="3"/>
      <c r="S56" s="3"/>
      <c r="T56" s="3"/>
    </row>
    <row r="57" spans="2:38" ht="13.5" thickTop="1">
      <c r="B57" s="1" t="str">
        <f>+$B$19</f>
        <v>Total Higher Education</v>
      </c>
      <c r="C57" s="39">
        <f t="shared" ref="C57:AB57" si="66">+C54+C52</f>
        <v>334966.04335000005</v>
      </c>
      <c r="D57" s="39">
        <f t="shared" si="66"/>
        <v>350618.11279701715</v>
      </c>
      <c r="E57" s="39">
        <f t="shared" si="66"/>
        <v>384537.37331230816</v>
      </c>
      <c r="F57" s="39">
        <f t="shared" si="66"/>
        <v>400559.19300589967</v>
      </c>
      <c r="G57" s="39">
        <f t="shared" si="66"/>
        <v>459887.23508740717</v>
      </c>
      <c r="H57" s="39">
        <f t="shared" si="66"/>
        <v>569012.52452110942</v>
      </c>
      <c r="I57" s="39">
        <f t="shared" si="66"/>
        <v>552476.85040445079</v>
      </c>
      <c r="J57" s="39">
        <f t="shared" si="66"/>
        <v>572966.40863251651</v>
      </c>
      <c r="K57" s="39">
        <f t="shared" si="66"/>
        <v>591026.81234612782</v>
      </c>
      <c r="L57" s="39">
        <f t="shared" si="66"/>
        <v>652334.48044775031</v>
      </c>
      <c r="M57" s="39">
        <f t="shared" si="66"/>
        <v>663672.47224381135</v>
      </c>
      <c r="N57" s="39">
        <f t="shared" si="66"/>
        <v>667132.02300868672</v>
      </c>
      <c r="O57" s="39">
        <f t="shared" si="66"/>
        <v>716826.41668702895</v>
      </c>
      <c r="P57" s="39">
        <f t="shared" si="66"/>
        <v>804826.11489054386</v>
      </c>
      <c r="Q57" s="39">
        <f t="shared" si="66"/>
        <v>856234.04836564721</v>
      </c>
      <c r="R57" s="39">
        <f t="shared" si="66"/>
        <v>944735.27734822442</v>
      </c>
      <c r="S57" s="39">
        <f t="shared" si="66"/>
        <v>942254.98735897429</v>
      </c>
      <c r="T57" s="39">
        <f t="shared" si="66"/>
        <v>1010212.887454936</v>
      </c>
      <c r="U57" s="39">
        <f t="shared" si="66"/>
        <v>1054581.8106087202</v>
      </c>
      <c r="V57" s="39">
        <f t="shared" si="66"/>
        <v>1117783.7337484797</v>
      </c>
      <c r="W57" s="39">
        <f t="shared" si="66"/>
        <v>1198682.7489466793</v>
      </c>
      <c r="X57" s="39">
        <f t="shared" si="66"/>
        <v>1409876.6252153963</v>
      </c>
      <c r="Y57" s="39">
        <f t="shared" si="66"/>
        <v>1555830.636228587</v>
      </c>
      <c r="Z57" s="39">
        <f t="shared" si="66"/>
        <v>1711228.4786802821</v>
      </c>
      <c r="AA57" s="39">
        <f t="shared" si="66"/>
        <v>1664194.1681317235</v>
      </c>
      <c r="AB57" s="39">
        <f t="shared" si="66"/>
        <v>1846642.4519918947</v>
      </c>
      <c r="AC57" s="39">
        <f t="shared" ref="AC57:AL57" si="67">+AC54+AC52</f>
        <v>1809699.3824227022</v>
      </c>
      <c r="AD57" s="39">
        <f t="shared" si="67"/>
        <v>1750200.7533979658</v>
      </c>
      <c r="AE57" s="39">
        <f t="shared" si="67"/>
        <v>1842165.9431043488</v>
      </c>
      <c r="AF57" s="39">
        <f t="shared" si="67"/>
        <v>1710963.753479182</v>
      </c>
      <c r="AG57" s="39">
        <f t="shared" si="67"/>
        <v>1722507.1458901565</v>
      </c>
      <c r="AH57" s="39">
        <f t="shared" ref="AH57:AI57" si="68">+AH54+AH52</f>
        <v>1555967.8387381826</v>
      </c>
      <c r="AI57" s="39">
        <f t="shared" si="68"/>
        <v>1513236.9656616475</v>
      </c>
      <c r="AJ57" s="39">
        <f t="shared" ref="AJ57:AK57" si="69">+AJ54+AJ52</f>
        <v>1466174.9771950678</v>
      </c>
      <c r="AK57" s="39">
        <f t="shared" si="69"/>
        <v>1591079.7464100001</v>
      </c>
      <c r="AL57" s="39">
        <f t="shared" si="67"/>
        <v>1647515.5508203499</v>
      </c>
    </row>
    <row r="58" spans="2:38">
      <c r="B58" s="199" t="str">
        <f>+$B$20</f>
        <v>[biennial]</v>
      </c>
      <c r="D58" s="3">
        <f>+D57+C57</f>
        <v>685584.15614701714</v>
      </c>
      <c r="F58" s="3">
        <f>+F57+E57</f>
        <v>785096.56631820789</v>
      </c>
      <c r="H58" s="3">
        <f>+H57+G57</f>
        <v>1028899.7596085166</v>
      </c>
      <c r="J58" s="3">
        <f>+J57+I57</f>
        <v>1125443.2590369673</v>
      </c>
      <c r="L58" s="3">
        <f>+L57+K57</f>
        <v>1243361.2927938781</v>
      </c>
      <c r="N58" s="3">
        <f>+N57+M57</f>
        <v>1330804.495252498</v>
      </c>
      <c r="P58" s="3">
        <f>+P57+O57</f>
        <v>1521652.5315775727</v>
      </c>
      <c r="R58" s="3">
        <f>+R57+Q57</f>
        <v>1800969.3257138715</v>
      </c>
      <c r="T58" s="3"/>
      <c r="V58" s="3">
        <f>+V57+U57</f>
        <v>2172365.5443572002</v>
      </c>
      <c r="X58" s="3">
        <f>+X57+W57</f>
        <v>2608559.3741620756</v>
      </c>
      <c r="Z58" s="3">
        <f>+Z57+Y57</f>
        <v>3267059.1149088694</v>
      </c>
      <c r="AB58" s="3">
        <f>+AB57+AA57</f>
        <v>3510836.6201236183</v>
      </c>
      <c r="AD58" s="3">
        <f>+AD57+AC57</f>
        <v>3559900.1358206682</v>
      </c>
      <c r="AF58" s="3">
        <f>+AF57+AE57</f>
        <v>3553129.6965835309</v>
      </c>
      <c r="AH58" s="3">
        <f>+AH57+AG57</f>
        <v>3278474.9846283393</v>
      </c>
      <c r="AJ58" s="3">
        <f>+AJ57+AI57</f>
        <v>2979411.9428567151</v>
      </c>
      <c r="AL58" s="3">
        <f>+AL57+AG57</f>
        <v>3370022.6967105065</v>
      </c>
    </row>
    <row r="59" spans="2:38">
      <c r="D59" s="3"/>
      <c r="F59" s="3"/>
      <c r="H59" s="3"/>
      <c r="J59" s="3"/>
      <c r="L59" s="3"/>
      <c r="N59" s="3"/>
      <c r="P59" s="3"/>
      <c r="R59" s="3"/>
      <c r="T59" s="3"/>
    </row>
    <row r="60" spans="2:38" ht="15.75">
      <c r="B60" s="376" t="str">
        <f>+OperatingFunds!B60</f>
        <v>General Fund-State</v>
      </c>
      <c r="C60" s="5"/>
      <c r="D60" s="5"/>
      <c r="E60" s="5"/>
      <c r="F60" s="5"/>
      <c r="G60" s="5"/>
      <c r="H60" s="5"/>
      <c r="I60" s="5"/>
      <c r="J60" s="6"/>
      <c r="K60" s="5"/>
      <c r="L60" s="5"/>
      <c r="M60" s="5"/>
      <c r="N60" s="5"/>
      <c r="O60" s="5"/>
      <c r="P60" s="5"/>
      <c r="Q60" s="5"/>
      <c r="R60" s="5"/>
      <c r="S60" s="5"/>
      <c r="T60" s="656"/>
      <c r="U60" s="5"/>
      <c r="V60" s="5"/>
      <c r="W60" s="5"/>
      <c r="X60" s="5"/>
      <c r="Y60" s="5"/>
      <c r="Z60" s="5"/>
      <c r="AA60" s="5"/>
      <c r="AB60" s="5"/>
      <c r="AC60" s="5"/>
      <c r="AD60" s="5"/>
      <c r="AE60" s="5"/>
      <c r="AF60" s="5"/>
      <c r="AG60" s="5"/>
      <c r="AH60" s="5"/>
      <c r="AI60" s="5"/>
      <c r="AJ60" s="5"/>
      <c r="AK60" s="5"/>
      <c r="AL60" s="5"/>
    </row>
    <row r="61" spans="2:38" ht="12.75" customHeight="1">
      <c r="B61" s="33" t="str">
        <f>+$B$4</f>
        <v>(FY2024 Constant Dollars in Thousands)</v>
      </c>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row>
    <row r="62" spans="2:38">
      <c r="I62" s="13"/>
      <c r="J62" s="13"/>
      <c r="K62" s="13"/>
      <c r="L62" s="13"/>
      <c r="M62" s="13"/>
      <c r="N62" s="13"/>
      <c r="O62" s="13"/>
      <c r="P62" s="13"/>
      <c r="Q62"/>
      <c r="R62" s="13"/>
      <c r="S62"/>
      <c r="T62"/>
      <c r="U62" s="2"/>
      <c r="V62" s="2"/>
      <c r="W62"/>
      <c r="X62"/>
      <c r="Y62"/>
      <c r="Z62"/>
      <c r="AA62"/>
      <c r="AB62"/>
      <c r="AC62"/>
      <c r="AD62" s="2"/>
      <c r="AE62" s="2"/>
      <c r="AF62" s="2"/>
      <c r="AG62" s="2"/>
      <c r="AH62" s="2"/>
      <c r="AI62" s="2" t="str">
        <f t="shared" ref="AI62:AK62" si="70">TRIM(+AI$5)</f>
        <v/>
      </c>
      <c r="AJ62" s="2" t="str">
        <f t="shared" si="70"/>
        <v/>
      </c>
      <c r="AK62" s="2" t="str">
        <f t="shared" si="70"/>
        <v>Final</v>
      </c>
      <c r="AL62" s="2" t="str">
        <f>TRIM(+AL$5)</f>
        <v>Enacted</v>
      </c>
    </row>
    <row r="63" spans="2:38">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+OperatingFunds!U63</f>
        <v>FY2008</v>
      </c>
      <c r="V63" s="2" t="str">
        <f>+OperatingFunds!V63</f>
        <v>FY2009</v>
      </c>
      <c r="W63" s="2" t="str">
        <f>+$W$6</f>
        <v>FY2010</v>
      </c>
      <c r="X63" s="2" t="str">
        <f>IF(ISBLANK(OperatingFunds!$X$6),"",OperatingFunds!$X$6)</f>
        <v>FY2011</v>
      </c>
      <c r="Y63" s="2" t="str">
        <f>IF(ISBLANK(OperatingFunds!Y63),"",OperatingFunds!Y63)</f>
        <v>FY2012</v>
      </c>
      <c r="Z63" s="2" t="str">
        <f>IF(ISBLANK(OperatingFunds!Z63),"",OperatingFunds!Z63)</f>
        <v>FY2013</v>
      </c>
      <c r="AA63" s="2" t="str">
        <f>IF(ISBLANK(OperatingFunds!AA63),"",OperatingFunds!AA63)</f>
        <v>FY2014</v>
      </c>
      <c r="AB63" s="2" t="str">
        <f>IF(ISBLANK(OperatingFunds!AB63),"",OperatingFunds!AB63)</f>
        <v>FY2015</v>
      </c>
      <c r="AC63" s="2" t="str">
        <f>IF(ISBLANK(OperatingFunds!AC63),"",OperatingFunds!AC63)</f>
        <v>FY2016</v>
      </c>
      <c r="AD63" s="2" t="str">
        <f>IF(ISBLANK(OperatingFunds!AD63),"",OperatingFunds!AD63)</f>
        <v>FY2017</v>
      </c>
      <c r="AE63" s="2" t="str">
        <f>IF(ISBLANK(OperatingFunds!AE63),"",OperatingFunds!AE63)</f>
        <v>FY2018</v>
      </c>
      <c r="AF63" s="2" t="str">
        <f>IF(ISBLANK(OperatingFunds!AF63),"",OperatingFunds!AF63)</f>
        <v>FY2019</v>
      </c>
      <c r="AG63" s="2" t="str">
        <f>IF(ISBLANK(OperatingFunds!AG63),"",OperatingFunds!AG63)</f>
        <v>FY2020</v>
      </c>
      <c r="AH63" s="2" t="str">
        <f>IF(ISBLANK(OperatingFunds!AH63),"",OperatingFunds!AH63)</f>
        <v>FY2021</v>
      </c>
      <c r="AI63" s="2" t="str">
        <f>IF(ISBLANK(OperatingFunds!AI63),"",OperatingFunds!AI63)</f>
        <v>FY2022</v>
      </c>
      <c r="AJ63" s="2" t="str">
        <f>IF(ISBLANK(OperatingFunds!AJ63),"",OperatingFunds!AJ63)</f>
        <v>FY2023</v>
      </c>
      <c r="AK63" s="2" t="str">
        <f>IF(ISBLANK(OperatingFunds!AK63),"",OperatingFunds!AK63)</f>
        <v>FY2024</v>
      </c>
      <c r="AL63" s="2" t="str">
        <f>IF(ISBLANK(OperatingFunds!AL63),"",OperatingFunds!AL63)</f>
        <v>FY2025</v>
      </c>
    </row>
    <row r="64" spans="2:38">
      <c r="R64" s="3"/>
      <c r="T64" s="653"/>
      <c r="U64" s="654"/>
      <c r="V64" s="654"/>
    </row>
    <row r="65" spans="2:38">
      <c r="B65" s="1" t="str">
        <f>+$B$8</f>
        <v>University of Washington</v>
      </c>
      <c r="C65" s="3">
        <f>+OperatingFunds!C65/(EconomicIndicators!B$7/$C$162)</f>
        <v>496395.23520000005</v>
      </c>
      <c r="D65" s="3">
        <f>+OperatingFunds!D65/(EconomicIndicators!C$7/$C$162)</f>
        <v>532806.59073699545</v>
      </c>
      <c r="E65" s="3">
        <f>+OperatingFunds!E65/(EconomicIndicators!D$7/$C$162)</f>
        <v>506641.0846948392</v>
      </c>
      <c r="F65" s="3">
        <f>+OperatingFunds!F65/(EconomicIndicators!E$7/$C$162)</f>
        <v>517520.44824420271</v>
      </c>
      <c r="G65" s="3">
        <f>+OperatingFunds!G65/(EconomicIndicators!F$7/$C$162)</f>
        <v>473711.81740136119</v>
      </c>
      <c r="H65" s="3">
        <f>+OperatingFunds!H65/(EconomicIndicators!G$7/$C$162)</f>
        <v>452067.15019886685</v>
      </c>
      <c r="I65" s="3">
        <f>+OperatingFunds!I65/(EconomicIndicators!H$7/$C$162)</f>
        <v>462005.98407795496</v>
      </c>
      <c r="J65" s="3">
        <f>+OperatingFunds!J65/(EconomicIndicators!I$7/$C$162)</f>
        <v>467301.77049303602</v>
      </c>
      <c r="K65" s="3">
        <f>+OperatingFunds!K65/(EconomicIndicators!J$7/$C$162)</f>
        <v>490573.45830372931</v>
      </c>
      <c r="L65" s="3">
        <f>+OperatingFunds!L65/(EconomicIndicators!K$7/$C$162)</f>
        <v>505931.27590806072</v>
      </c>
      <c r="M65" s="3">
        <f>+OperatingFunds!M65/(EconomicIndicators!L$7/$C$162)</f>
        <v>530072.1354518783</v>
      </c>
      <c r="N65" s="3">
        <f>+OperatingFunds!N65/(EconomicIndicators!M$7/$C$162)</f>
        <v>548569.3178174498</v>
      </c>
      <c r="O65" s="3">
        <f>+OperatingFunds!O65/(EconomicIndicators!N$7/$C$162)</f>
        <v>557479.16330074507</v>
      </c>
      <c r="P65" s="3">
        <f>+OperatingFunds!P65/(EconomicIndicators!O$7/$C$162)</f>
        <v>528261.8303911183</v>
      </c>
      <c r="Q65" s="3">
        <f>+OperatingFunds!Q65/(EconomicIndicators!P$7/$C$162)</f>
        <v>483389.8113731739</v>
      </c>
      <c r="R65" s="3">
        <f>+OperatingFunds!R65/(EconomicIndicators!Q$7/$C$162)</f>
        <v>493505.46724588849</v>
      </c>
      <c r="S65" s="3">
        <f>+OperatingFunds!S65/(EconomicIndicators!R$7/$C$162)</f>
        <v>493751.32449586183</v>
      </c>
      <c r="T65" s="3">
        <f>+OperatingFunds!T65/(EconomicIndicators!S$7/$C$162)</f>
        <v>502890.93245222862</v>
      </c>
      <c r="U65" s="3">
        <f>+OperatingFunds!U65/(EconomicIndicators!T$7/$C$162)</f>
        <v>518044.03623194521</v>
      </c>
      <c r="V65" s="3">
        <f>+OperatingFunds!V65/(EconomicIndicators!U$7/$C$162)</f>
        <v>492324.11311987485</v>
      </c>
      <c r="W65" s="3">
        <f>+OperatingFunds!W65/(EconomicIndicators!V$7/$C$162)</f>
        <v>366135.64719448314</v>
      </c>
      <c r="X65" s="3">
        <f>+OperatingFunds!X65/(EconomicIndicators!W$7/$C$162)</f>
        <v>346306.4677633635</v>
      </c>
      <c r="Y65" s="3">
        <f>+OperatingFunds!Y65/(EconomicIndicators!X$7/$C$162)</f>
        <v>261981.62866885727</v>
      </c>
      <c r="Z65" s="3">
        <f>+OperatingFunds!Z65/(EconomicIndicators!Y$7/$C$162)</f>
        <v>258636.61993250661</v>
      </c>
      <c r="AA65" s="3">
        <f>+OperatingFunds!AA65/(EconomicIndicators!Z$7/$C$162)</f>
        <v>312459.79752544197</v>
      </c>
      <c r="AB65" s="3">
        <f>+OperatingFunds!AB65/(EconomicIndicators!AA$7/$C$162)</f>
        <v>298358.89669844904</v>
      </c>
      <c r="AC65" s="3">
        <f>+OperatingFunds!AC65/(EconomicIndicators!AB$7/$C$162)</f>
        <v>349125.4670324084</v>
      </c>
      <c r="AD65" s="3">
        <f>+OperatingFunds!AD65/(EconomicIndicators!AC$7/$C$162)</f>
        <v>390428.61804256943</v>
      </c>
      <c r="AE65" s="3">
        <f>+OperatingFunds!AE65/(EconomicIndicators!AD$7/$C$162)</f>
        <v>375700.53840232192</v>
      </c>
      <c r="AF65" s="3">
        <f>+OperatingFunds!AF65/(EconomicIndicators!AE$7/$C$162)</f>
        <v>386891.96619916399</v>
      </c>
      <c r="AG65" s="3">
        <f>+OperatingFunds!AG65/(EconomicIndicators!AF$7/$C$162)</f>
        <v>399672.92316453625</v>
      </c>
      <c r="AH65" s="3">
        <f>+OperatingFunds!AH65/(EconomicIndicators!AG$7/$C$162)</f>
        <v>407159.95372139878</v>
      </c>
      <c r="AI65" s="3">
        <f>+OperatingFunds!AI65/(EconomicIndicators!AH$7/$C$162)</f>
        <v>424181.37961013505</v>
      </c>
      <c r="AJ65" s="3">
        <f>+OperatingFunds!AJ65/(EconomicIndicators!AI$7/$C$162)</f>
        <v>436836.46638662252</v>
      </c>
      <c r="AK65" s="3">
        <f>+OperatingFunds!AK65/(EconomicIndicators!AJ$7/$C$162)</f>
        <v>521308.22080000001</v>
      </c>
      <c r="AL65" s="3">
        <f>+OperatingFunds!AL65/(EconomicIndicators!AI$7/$C$162)</f>
        <v>556403.84058541583</v>
      </c>
    </row>
    <row r="66" spans="2:38">
      <c r="B66" s="1" t="str">
        <f>+$B$9</f>
        <v>Washington State University</v>
      </c>
      <c r="C66" s="3">
        <f>+OperatingFunds!C66/(EconomicIndicators!B$7/$C$162)</f>
        <v>286464.34305000002</v>
      </c>
      <c r="D66" s="3">
        <f>+OperatingFunds!D66/(EconomicIndicators!C$7/$C$162)</f>
        <v>296406.10745813727</v>
      </c>
      <c r="E66" s="3">
        <f>+OperatingFunds!E66/(EconomicIndicators!D$7/$C$162)</f>
        <v>292312.13509932539</v>
      </c>
      <c r="F66" s="3">
        <f>+OperatingFunds!F66/(EconomicIndicators!E$7/$C$162)</f>
        <v>296067.14259092609</v>
      </c>
      <c r="G66" s="3">
        <f>+OperatingFunds!G66/(EconomicIndicators!F$7/$C$162)</f>
        <v>275361.13571460347</v>
      </c>
      <c r="H66" s="3">
        <f>+OperatingFunds!H66/(EconomicIndicators!G$7/$C$162)</f>
        <v>261477.71333582822</v>
      </c>
      <c r="I66" s="3">
        <f>+OperatingFunds!I66/(EconomicIndicators!H$7/$C$162)</f>
        <v>269235.09202532517</v>
      </c>
      <c r="J66" s="3">
        <f>+OperatingFunds!J66/(EconomicIndicators!I$7/$C$162)</f>
        <v>280608.77501315932</v>
      </c>
      <c r="K66" s="3">
        <f>+OperatingFunds!K66/(EconomicIndicators!J$7/$C$162)</f>
        <v>295970.9855669933</v>
      </c>
      <c r="L66" s="3">
        <f>+OperatingFunds!L66/(EconomicIndicators!K$7/$C$162)</f>
        <v>292785.88670414285</v>
      </c>
      <c r="M66" s="3">
        <f>+OperatingFunds!M66/(EconomicIndicators!L$7/$C$162)</f>
        <v>306937.26614517241</v>
      </c>
      <c r="N66" s="3">
        <f>+OperatingFunds!N66/(EconomicIndicators!M$7/$C$162)</f>
        <v>322968.89027472958</v>
      </c>
      <c r="O66" s="3">
        <f>+OperatingFunds!O66/(EconomicIndicators!N$7/$C$162)</f>
        <v>324779.71348065592</v>
      </c>
      <c r="P66" s="3">
        <f>+OperatingFunds!P66/(EconomicIndicators!O$7/$C$162)</f>
        <v>307334.25290523731</v>
      </c>
      <c r="Q66" s="3">
        <f>+OperatingFunds!Q66/(EconomicIndicators!P$7/$C$162)</f>
        <v>289748.59122686612</v>
      </c>
      <c r="R66" s="3">
        <f>+OperatingFunds!R66/(EconomicIndicators!Q$7/$C$162)</f>
        <v>295425.95859444223</v>
      </c>
      <c r="S66" s="3">
        <f>+OperatingFunds!S66/(EconomicIndicators!R$7/$C$162)</f>
        <v>302005.0336723908</v>
      </c>
      <c r="T66" s="3">
        <f>+OperatingFunds!T66/(EconomicIndicators!S$7/$C$162)</f>
        <v>304532.97738572973</v>
      </c>
      <c r="U66" s="3">
        <f>+OperatingFunds!U66/(EconomicIndicators!T$7/$C$162)</f>
        <v>321741.46048093325</v>
      </c>
      <c r="V66" s="3">
        <f>+OperatingFunds!V66/(EconomicIndicators!U$7/$C$162)</f>
        <v>306560.71918857022</v>
      </c>
      <c r="W66" s="3">
        <f>+OperatingFunds!W66/(EconomicIndicators!V$7/$C$162)</f>
        <v>230166.00583564033</v>
      </c>
      <c r="X66" s="3">
        <f>+OperatingFunds!X66/(EconomicIndicators!W$7/$C$162)</f>
        <v>227604.71389502191</v>
      </c>
      <c r="Y66" s="3">
        <f>+OperatingFunds!Y66/(EconomicIndicators!X$7/$C$162)</f>
        <v>174984.03939383186</v>
      </c>
      <c r="Z66" s="3">
        <f>+OperatingFunds!Z66/(EconomicIndicators!Y$7/$C$162)</f>
        <v>171466.88378075723</v>
      </c>
      <c r="AA66" s="3">
        <f>+OperatingFunds!AA66/(EconomicIndicators!Z$7/$C$162)</f>
        <v>198406.31272203496</v>
      </c>
      <c r="AB66" s="3">
        <f>+OperatingFunds!AB66/(EconomicIndicators!AA$7/$C$162)</f>
        <v>192181.9817232533</v>
      </c>
      <c r="AC66" s="3">
        <f>+OperatingFunds!AC66/(EconomicIndicators!AB$7/$C$162)</f>
        <v>226579.0317215173</v>
      </c>
      <c r="AD66" s="3">
        <f>+OperatingFunds!AD66/(EconomicIndicators!AC$7/$C$162)</f>
        <v>255207.98952267869</v>
      </c>
      <c r="AE66" s="3">
        <f>+OperatingFunds!AE66/(EconomicIndicators!AD$7/$C$162)</f>
        <v>241813.34131182614</v>
      </c>
      <c r="AF66" s="3">
        <f>+OperatingFunds!AF66/(EconomicIndicators!AE$7/$C$162)</f>
        <v>253013.93813876991</v>
      </c>
      <c r="AG66" s="3">
        <f>+OperatingFunds!AG66/(EconomicIndicators!AF$7/$C$162)</f>
        <v>260897.63825938324</v>
      </c>
      <c r="AH66" s="3">
        <f>+OperatingFunds!AH66/(EconomicIndicators!AG$7/$C$162)</f>
        <v>259336.96138470087</v>
      </c>
      <c r="AI66" s="3">
        <f>+OperatingFunds!AI66/(EconomicIndicators!AH$7/$C$162)</f>
        <v>267227.87563476793</v>
      </c>
      <c r="AJ66" s="3">
        <f>+OperatingFunds!AJ66/(EconomicIndicators!AI$7/$C$162)</f>
        <v>272162.34783913865</v>
      </c>
      <c r="AK66" s="3">
        <f>+OperatingFunds!AK66/(EconomicIndicators!AJ$7/$C$162)</f>
        <v>281902.75</v>
      </c>
      <c r="AL66" s="3">
        <f>+OperatingFunds!AL66/(EconomicIndicators!AI$7/$C$162)</f>
        <v>302165.81651132356</v>
      </c>
    </row>
    <row r="67" spans="2:38">
      <c r="B67" s="1" t="str">
        <f>+$B$10</f>
        <v>Eastern Washington University</v>
      </c>
      <c r="C67" s="3">
        <f>+OperatingFunds!C67/(EconomicIndicators!B$7/$C$162)</f>
        <v>71937.430950000009</v>
      </c>
      <c r="D67" s="3">
        <f>+OperatingFunds!D67/(EconomicIndicators!C$7/$C$162)</f>
        <v>76464.950732778045</v>
      </c>
      <c r="E67" s="3">
        <f>+OperatingFunds!E67/(EconomicIndicators!D$7/$C$162)</f>
        <v>71590.545659821044</v>
      </c>
      <c r="F67" s="3">
        <f>+OperatingFunds!F67/(EconomicIndicators!E$7/$C$162)</f>
        <v>75791.790158808086</v>
      </c>
      <c r="G67" s="3">
        <f>+OperatingFunds!G67/(EconomicIndicators!F$7/$C$162)</f>
        <v>67620.522530136572</v>
      </c>
      <c r="H67" s="3">
        <f>+OperatingFunds!H67/(EconomicIndicators!G$7/$C$162)</f>
        <v>66502.665773143832</v>
      </c>
      <c r="I67" s="3">
        <f>+OperatingFunds!I67/(EconomicIndicators!H$7/$C$162)</f>
        <v>66666.310368954582</v>
      </c>
      <c r="J67" s="3">
        <f>+OperatingFunds!J67/(EconomicIndicators!I$7/$C$162)</f>
        <v>66686.297927093168</v>
      </c>
      <c r="K67" s="3">
        <f>+OperatingFunds!K67/(EconomicIndicators!J$7/$C$162)</f>
        <v>67668.222146031956</v>
      </c>
      <c r="L67" s="3">
        <f>+OperatingFunds!L67/(EconomicIndicators!K$7/$C$162)</f>
        <v>67474.149380988631</v>
      </c>
      <c r="M67" s="3">
        <f>+OperatingFunds!M67/(EconomicIndicators!L$7/$C$162)</f>
        <v>69768.927789447553</v>
      </c>
      <c r="N67" s="3">
        <f>+OperatingFunds!N67/(EconomicIndicators!M$7/$C$162)</f>
        <v>71828.187252665244</v>
      </c>
      <c r="O67" s="3">
        <f>+OperatingFunds!O67/(EconomicIndicators!N$7/$C$162)</f>
        <v>73569.011265643945</v>
      </c>
      <c r="P67" s="3">
        <f>+OperatingFunds!P67/(EconomicIndicators!O$7/$C$162)</f>
        <v>69492.720616840335</v>
      </c>
      <c r="Q67" s="3">
        <f>+OperatingFunds!Q67/(EconomicIndicators!P$7/$C$162)</f>
        <v>64951.652560926028</v>
      </c>
      <c r="R67" s="3">
        <f>+OperatingFunds!R67/(EconomicIndicators!Q$7/$C$162)</f>
        <v>66388.71061844092</v>
      </c>
      <c r="S67" s="3">
        <f>+OperatingFunds!S67/(EconomicIndicators!R$7/$C$162)</f>
        <v>67709.678082143844</v>
      </c>
      <c r="T67" s="3">
        <f>+OperatingFunds!T67/(EconomicIndicators!S$7/$C$162)</f>
        <v>67331.284525144249</v>
      </c>
      <c r="U67" s="3">
        <f>+OperatingFunds!U67/(EconomicIndicators!T$7/$C$162)</f>
        <v>67805.150764434729</v>
      </c>
      <c r="V67" s="3">
        <f>+OperatingFunds!V67/(EconomicIndicators!U$7/$C$162)</f>
        <v>62820.495367117379</v>
      </c>
      <c r="W67" s="3">
        <f>+OperatingFunds!W67/(EconomicIndicators!V$7/$C$162)</f>
        <v>47115.156061137757</v>
      </c>
      <c r="X67" s="3">
        <f>+OperatingFunds!X67/(EconomicIndicators!W$7/$C$162)</f>
        <v>46839.671743111074</v>
      </c>
      <c r="Y67" s="3">
        <f>+OperatingFunds!Y67/(EconomicIndicators!X$7/$C$162)</f>
        <v>34157.482296227558</v>
      </c>
      <c r="Z67" s="3">
        <f>+OperatingFunds!Z67/(EconomicIndicators!Y$7/$C$162)</f>
        <v>33039.128735350067</v>
      </c>
      <c r="AA67" s="3">
        <f>+OperatingFunds!AA67/(EconomicIndicators!Z$7/$C$162)</f>
        <v>39696.694455708006</v>
      </c>
      <c r="AB67" s="3">
        <f>+OperatingFunds!AB67/(EconomicIndicators!AA$7/$C$162)</f>
        <v>39586.89640773608</v>
      </c>
      <c r="AC67" s="3">
        <f>+OperatingFunds!AC67/(EconomicIndicators!AB$7/$C$162)</f>
        <v>48233.268659393216</v>
      </c>
      <c r="AD67" s="3">
        <f>+OperatingFunds!AD67/(EconomicIndicators!AC$7/$C$162)</f>
        <v>59271.580946436152</v>
      </c>
      <c r="AE67" s="3">
        <f>+OperatingFunds!AE67/(EconomicIndicators!AD$7/$C$162)</f>
        <v>60675.674645159437</v>
      </c>
      <c r="AF67" s="3">
        <f>+OperatingFunds!AF67/(EconomicIndicators!AE$7/$C$162)</f>
        <v>61775.621671417124</v>
      </c>
      <c r="AG67" s="3">
        <f>+OperatingFunds!AG67/(EconomicIndicators!AF$7/$C$162)</f>
        <v>64615.096363100529</v>
      </c>
      <c r="AH67" s="3">
        <f>+OperatingFunds!AH67/(EconomicIndicators!AG$7/$C$162)</f>
        <v>65273.062478759624</v>
      </c>
      <c r="AI67" s="3">
        <f>+OperatingFunds!AI67/(EconomicIndicators!AH$7/$C$162)</f>
        <v>63200.088595185371</v>
      </c>
      <c r="AJ67" s="3">
        <f>+OperatingFunds!AJ67/(EconomicIndicators!AI$7/$C$162)</f>
        <v>63908.18024566205</v>
      </c>
      <c r="AK67" s="3">
        <f>+OperatingFunds!AK67/(EconomicIndicators!AJ$7/$C$162)</f>
        <v>65664</v>
      </c>
      <c r="AL67" s="3">
        <f>+OperatingFunds!AL67/(EconomicIndicators!AI$7/$C$162)</f>
        <v>70207.972697656573</v>
      </c>
    </row>
    <row r="68" spans="2:38">
      <c r="B68" s="1" t="str">
        <f>+$B$11</f>
        <v>Central Washington University</v>
      </c>
      <c r="C68" s="3">
        <f>+OperatingFunds!C68/(EconomicIndicators!B$7/$C$162)</f>
        <v>60901.966950000009</v>
      </c>
      <c r="D68" s="3">
        <f>+OperatingFunds!D68/(EconomicIndicators!C$7/$C$162)</f>
        <v>66724.779639409942</v>
      </c>
      <c r="E68" s="3">
        <f>+OperatingFunds!E68/(EconomicIndicators!D$7/$C$162)</f>
        <v>62342.864714060444</v>
      </c>
      <c r="F68" s="3">
        <f>+OperatingFunds!F68/(EconomicIndicators!E$7/$C$162)</f>
        <v>67086.335869535586</v>
      </c>
      <c r="G68" s="3">
        <f>+OperatingFunds!G68/(EconomicIndicators!F$7/$C$162)</f>
        <v>59437.336684311202</v>
      </c>
      <c r="H68" s="3">
        <f>+OperatingFunds!H68/(EconomicIndicators!G$7/$C$162)</f>
        <v>62149.797086187238</v>
      </c>
      <c r="I68" s="3">
        <f>+OperatingFunds!I68/(EconomicIndicators!H$7/$C$162)</f>
        <v>59996.469248097215</v>
      </c>
      <c r="J68" s="3">
        <f>+OperatingFunds!J68/(EconomicIndicators!I$7/$C$162)</f>
        <v>63471.427431550626</v>
      </c>
      <c r="K68" s="3">
        <f>+OperatingFunds!K68/(EconomicIndicators!J$7/$C$162)</f>
        <v>64309.762066059717</v>
      </c>
      <c r="L68" s="3">
        <f>+OperatingFunds!L68/(EconomicIndicators!K$7/$C$162)</f>
        <v>66967.930791827253</v>
      </c>
      <c r="M68" s="3">
        <f>+OperatingFunds!M68/(EconomicIndicators!L$7/$C$162)</f>
        <v>70542.479365586754</v>
      </c>
      <c r="N68" s="3">
        <f>+OperatingFunds!N68/(EconomicIndicators!M$7/$C$162)</f>
        <v>72402.755709820325</v>
      </c>
      <c r="O68" s="3">
        <f>+OperatingFunds!O68/(EconomicIndicators!N$7/$C$162)</f>
        <v>71232.276209175194</v>
      </c>
      <c r="P68" s="3">
        <f>+OperatingFunds!P68/(EconomicIndicators!O$7/$C$162)</f>
        <v>65841.014417384053</v>
      </c>
      <c r="Q68" s="3">
        <f>+OperatingFunds!Q68/(EconomicIndicators!P$7/$C$162)</f>
        <v>63264.64196842708</v>
      </c>
      <c r="R68" s="3">
        <f>+OperatingFunds!R68/(EconomicIndicators!Q$7/$C$162)</f>
        <v>65594.972870519239</v>
      </c>
      <c r="S68" s="3">
        <f>+OperatingFunds!S68/(EconomicIndicators!R$7/$C$162)</f>
        <v>66664.996919781319</v>
      </c>
      <c r="T68" s="3">
        <f>+OperatingFunds!T68/(EconomicIndicators!S$7/$C$162)</f>
        <v>67015.823800862752</v>
      </c>
      <c r="U68" s="3">
        <f>+OperatingFunds!U68/(EconomicIndicators!T$7/$C$162)</f>
        <v>66113.868968261871</v>
      </c>
      <c r="V68" s="3">
        <f>+OperatingFunds!V68/(EconomicIndicators!U$7/$C$162)</f>
        <v>62139.737557541659</v>
      </c>
      <c r="W68" s="3">
        <f>+OperatingFunds!W68/(EconomicIndicators!V$7/$C$162)</f>
        <v>41139.005504217523</v>
      </c>
      <c r="X68" s="3">
        <f>+OperatingFunds!X68/(EconomicIndicators!W$7/$C$162)</f>
        <v>43120.607674001672</v>
      </c>
      <c r="Y68" s="3">
        <f>+OperatingFunds!Y68/(EconomicIndicators!X$7/$C$162)</f>
        <v>30282.222204921556</v>
      </c>
      <c r="Z68" s="3">
        <f>+OperatingFunds!Z68/(EconomicIndicators!Y$7/$C$162)</f>
        <v>28063.826038319017</v>
      </c>
      <c r="AA68" s="3">
        <f>+OperatingFunds!AA68/(EconomicIndicators!Z$7/$C$162)</f>
        <v>37605.796965497211</v>
      </c>
      <c r="AB68" s="3">
        <f>+OperatingFunds!AB68/(EconomicIndicators!AA$7/$C$162)</f>
        <v>36716.297036186996</v>
      </c>
      <c r="AC68" s="3">
        <f>+OperatingFunds!AC68/(EconomicIndicators!AB$7/$C$162)</f>
        <v>46177.891436257662</v>
      </c>
      <c r="AD68" s="3">
        <f>+OperatingFunds!AD68/(EconomicIndicators!AC$7/$C$162)</f>
        <v>58771.886983558681</v>
      </c>
      <c r="AE68" s="3">
        <f>+OperatingFunds!AE68/(EconomicIndicators!AD$7/$C$162)</f>
        <v>58165.898765646234</v>
      </c>
      <c r="AF68" s="3">
        <f>+OperatingFunds!AF68/(EconomicIndicators!AE$7/$C$162)</f>
        <v>61117.024139576635</v>
      </c>
      <c r="AG68" s="3">
        <f>+OperatingFunds!AG68/(EconomicIndicators!AF$7/$C$162)</f>
        <v>63785.137505753977</v>
      </c>
      <c r="AH68" s="3">
        <f>+OperatingFunds!AH68/(EconomicIndicators!AG$7/$C$162)</f>
        <v>64709.29135482027</v>
      </c>
      <c r="AI68" s="3">
        <f>+OperatingFunds!AI68/(EconomicIndicators!AH$7/$C$162)</f>
        <v>65285.943035578137</v>
      </c>
      <c r="AJ68" s="3">
        <f>+OperatingFunds!AJ68/(EconomicIndicators!AI$7/$C$162)</f>
        <v>66713.002125921485</v>
      </c>
      <c r="AK68" s="3">
        <f>+OperatingFunds!AK68/(EconomicIndicators!AJ$7/$C$162)</f>
        <v>68904</v>
      </c>
      <c r="AL68" s="3">
        <f>+OperatingFunds!AL68/(EconomicIndicators!AI$7/$C$162)</f>
        <v>74178.127614342113</v>
      </c>
    </row>
    <row r="69" spans="2:38">
      <c r="B69" s="1" t="str">
        <f>+$B$12</f>
        <v>The Evergreen State College</v>
      </c>
      <c r="C69" s="3">
        <f>+OperatingFunds!C69/(EconomicIndicators!B$7/$C$162)</f>
        <v>37361.733800000002</v>
      </c>
      <c r="D69" s="3">
        <f>+OperatingFunds!D69/(EconomicIndicators!C$7/$C$162)</f>
        <v>41348.648985421125</v>
      </c>
      <c r="E69" s="3">
        <f>+OperatingFunds!E69/(EconomicIndicators!D$7/$C$162)</f>
        <v>36261.36219010385</v>
      </c>
      <c r="F69" s="3">
        <f>+OperatingFunds!F69/(EconomicIndicators!E$7/$C$162)</f>
        <v>41712.843500868134</v>
      </c>
      <c r="G69" s="3">
        <f>+OperatingFunds!G69/(EconomicIndicators!F$7/$C$162)</f>
        <v>33182.716338241182</v>
      </c>
      <c r="H69" s="3">
        <f>+OperatingFunds!H69/(EconomicIndicators!G$7/$C$162)</f>
        <v>34953.917546409517</v>
      </c>
      <c r="I69" s="3">
        <f>+OperatingFunds!I69/(EconomicIndicators!H$7/$C$162)</f>
        <v>32949.728489026937</v>
      </c>
      <c r="J69" s="3">
        <f>+OperatingFunds!J69/(EconomicIndicators!I$7/$C$162)</f>
        <v>33945.609757116479</v>
      </c>
      <c r="K69" s="3">
        <f>+OperatingFunds!K69/(EconomicIndicators!J$7/$C$162)</f>
        <v>35382.110796252542</v>
      </c>
      <c r="L69" s="3">
        <f>+OperatingFunds!L69/(EconomicIndicators!K$7/$C$162)</f>
        <v>35106.94323751545</v>
      </c>
      <c r="M69" s="3">
        <f>+OperatingFunds!M69/(EconomicIndicators!L$7/$C$162)</f>
        <v>37486.986707003467</v>
      </c>
      <c r="N69" s="3">
        <f>+OperatingFunds!N69/(EconomicIndicators!M$7/$C$162)</f>
        <v>40626.292709857444</v>
      </c>
      <c r="O69" s="3">
        <f>+OperatingFunds!O69/(EconomicIndicators!N$7/$C$162)</f>
        <v>41009.048826000013</v>
      </c>
      <c r="P69" s="3">
        <f>+OperatingFunds!P69/(EconomicIndicators!O$7/$C$162)</f>
        <v>38527.499468429109</v>
      </c>
      <c r="Q69" s="3">
        <f>+OperatingFunds!Q69/(EconomicIndicators!P$7/$C$162)</f>
        <v>35816.858798852663</v>
      </c>
      <c r="R69" s="3">
        <f>+OperatingFunds!R69/(EconomicIndicators!Q$7/$C$162)</f>
        <v>36783.713099571694</v>
      </c>
      <c r="S69" s="3">
        <f>+OperatingFunds!S69/(EconomicIndicators!R$7/$C$162)</f>
        <v>37526.586067610806</v>
      </c>
      <c r="T69" s="3">
        <f>+OperatingFunds!T69/(EconomicIndicators!S$7/$C$162)</f>
        <v>38373.964407216496</v>
      </c>
      <c r="U69" s="3">
        <f>+OperatingFunds!U69/(EconomicIndicators!T$7/$C$162)</f>
        <v>41238.16359897855</v>
      </c>
      <c r="V69" s="3">
        <f>+OperatingFunds!V69/(EconomicIndicators!U$7/$C$162)</f>
        <v>38392.81896625318</v>
      </c>
      <c r="W69" s="3">
        <f>+OperatingFunds!W69/(EconomicIndicators!V$7/$C$162)</f>
        <v>27862.443755604945</v>
      </c>
      <c r="X69" s="3">
        <f>+OperatingFunds!X69/(EconomicIndicators!W$7/$C$162)</f>
        <v>23639.859382277318</v>
      </c>
      <c r="Y69" s="3">
        <f>+OperatingFunds!Y69/(EconomicIndicators!X$7/$C$162)</f>
        <v>20352.600445941993</v>
      </c>
      <c r="Z69" s="3">
        <f>+OperatingFunds!Z69/(EconomicIndicators!Y$7/$C$162)</f>
        <v>19448.737957906367</v>
      </c>
      <c r="AA69" s="3">
        <f>+OperatingFunds!AA69/(EconomicIndicators!Z$7/$C$162)</f>
        <v>23211.112489635849</v>
      </c>
      <c r="AB69" s="3">
        <f>+OperatingFunds!AB69/(EconomicIndicators!AA$7/$C$162)</f>
        <v>21636.232358613564</v>
      </c>
      <c r="AC69" s="3">
        <f>+OperatingFunds!AC69/(EconomicIndicators!AB$7/$C$162)</f>
        <v>27865.667374084594</v>
      </c>
      <c r="AD69" s="3">
        <f>+OperatingFunds!AD69/(EconomicIndicators!AC$7/$C$162)</f>
        <v>31685.028030338723</v>
      </c>
      <c r="AE69" s="3">
        <f>+OperatingFunds!AE69/(EconomicIndicators!AD$7/$C$162)</f>
        <v>32152.198652906663</v>
      </c>
      <c r="AF69" s="3">
        <f>+OperatingFunds!AF69/(EconomicIndicators!AE$7/$C$162)</f>
        <v>33406.657976814022</v>
      </c>
      <c r="AG69" s="3">
        <f>+OperatingFunds!AG69/(EconomicIndicators!AF$7/$C$162)</f>
        <v>35442.314610021451</v>
      </c>
      <c r="AH69" s="3">
        <f>+OperatingFunds!AH69/(EconomicIndicators!AG$7/$C$162)</f>
        <v>35444.660593795888</v>
      </c>
      <c r="AI69" s="3">
        <f>+OperatingFunds!AI69/(EconomicIndicators!AH$7/$C$162)</f>
        <v>34674.212326250738</v>
      </c>
      <c r="AJ69" s="3">
        <f>+OperatingFunds!AJ69/(EconomicIndicators!AI$7/$C$162)</f>
        <v>36544.066489081037</v>
      </c>
      <c r="AK69" s="3">
        <f>+OperatingFunds!AK69/(EconomicIndicators!AJ$7/$C$162)</f>
        <v>38495.577709999998</v>
      </c>
      <c r="AL69" s="3">
        <f>+OperatingFunds!AL69/(EconomicIndicators!AI$7/$C$162)</f>
        <v>40856.596827849578</v>
      </c>
    </row>
    <row r="70" spans="2:38">
      <c r="B70" s="1" t="str">
        <f>+$B$13</f>
        <v>Western Washington University</v>
      </c>
      <c r="C70" s="41">
        <f>+OperatingFunds!C70/(EconomicIndicators!B$7/$C$162)</f>
        <v>79296.497000000003</v>
      </c>
      <c r="D70" s="41">
        <f>+OperatingFunds!D70/(EconomicIndicators!C$7/$C$162)</f>
        <v>86235.171716397177</v>
      </c>
      <c r="E70" s="41">
        <f>+OperatingFunds!E70/(EconomicIndicators!D$7/$C$162)</f>
        <v>82542.670542020845</v>
      </c>
      <c r="F70" s="41">
        <f>+OperatingFunds!F70/(EconomicIndicators!E$7/$C$162)</f>
        <v>82637.218313380072</v>
      </c>
      <c r="G70" s="41">
        <f>+OperatingFunds!G70/(EconomicIndicators!F$7/$C$162)</f>
        <v>77328.410124104805</v>
      </c>
      <c r="H70" s="41">
        <f>+OperatingFunds!H70/(EconomicIndicators!G$7/$C$162)</f>
        <v>71885.088859104784</v>
      </c>
      <c r="I70" s="41">
        <f>+OperatingFunds!I70/(EconomicIndicators!H$7/$C$162)</f>
        <v>75870.334439741986</v>
      </c>
      <c r="J70" s="41">
        <f>+OperatingFunds!J70/(EconomicIndicators!I$7/$C$162)</f>
        <v>80027.74854411924</v>
      </c>
      <c r="K70" s="41">
        <f>+OperatingFunds!K70/(EconomicIndicators!J$7/$C$162)</f>
        <v>82597.397390988262</v>
      </c>
      <c r="L70" s="41">
        <f>+OperatingFunds!L70/(EconomicIndicators!K$7/$C$162)</f>
        <v>83384.120782908256</v>
      </c>
      <c r="M70" s="41">
        <f>+OperatingFunds!M70/(EconomicIndicators!L$7/$C$162)</f>
        <v>89399.986634381217</v>
      </c>
      <c r="N70" s="41">
        <f>+OperatingFunds!N70/(EconomicIndicators!M$7/$C$162)</f>
        <v>93268.608635495999</v>
      </c>
      <c r="O70" s="41">
        <f>+OperatingFunds!O70/(EconomicIndicators!N$7/$C$162)</f>
        <v>96561.539602541641</v>
      </c>
      <c r="P70" s="41">
        <f>+OperatingFunds!P70/(EconomicIndicators!O$7/$C$162)</f>
        <v>91744.993280527764</v>
      </c>
      <c r="Q70" s="41">
        <f>+OperatingFunds!Q70/(EconomicIndicators!P$7/$C$162)</f>
        <v>84650.792127646171</v>
      </c>
      <c r="R70" s="41">
        <f>+OperatingFunds!R70/(EconomicIndicators!Q$7/$C$162)</f>
        <v>86126.582902479917</v>
      </c>
      <c r="S70" s="41">
        <f>+OperatingFunds!S70/(EconomicIndicators!R$7/$C$162)</f>
        <v>86272.521088997324</v>
      </c>
      <c r="T70" s="41">
        <f>+OperatingFunds!T70/(EconomicIndicators!S$7/$C$162)</f>
        <v>87632.911957805787</v>
      </c>
      <c r="U70" s="41">
        <f>+OperatingFunds!U70/(EconomicIndicators!T$7/$C$162)</f>
        <v>92568.564033379778</v>
      </c>
      <c r="V70" s="41">
        <f>+OperatingFunds!V70/(EconomicIndicators!U$7/$C$162)</f>
        <v>88457.340377328772</v>
      </c>
      <c r="W70" s="41">
        <f>+OperatingFunds!W70/(EconomicIndicators!V$7/$C$162)</f>
        <v>58601.589074745592</v>
      </c>
      <c r="X70" s="41">
        <f>+OperatingFunds!X70/(EconomicIndicators!W$7/$C$162)</f>
        <v>61813.160382694579</v>
      </c>
      <c r="Y70" s="41">
        <f>+OperatingFunds!Y70/(EconomicIndicators!X$7/$C$162)</f>
        <v>43906.163123836101</v>
      </c>
      <c r="Z70" s="41">
        <f>+OperatingFunds!Z70/(EconomicIndicators!Y$7/$C$162)</f>
        <v>42047.235258022956</v>
      </c>
      <c r="AA70" s="41">
        <f>+OperatingFunds!AA70/(EconomicIndicators!Z$7/$C$162)</f>
        <v>49908.843864509814</v>
      </c>
      <c r="AB70" s="41">
        <f>+OperatingFunds!AB70/(EconomicIndicators!AA$7/$C$162)</f>
        <v>54002.679778419981</v>
      </c>
      <c r="AC70" s="41">
        <f>+OperatingFunds!AC70/(EconomicIndicators!AB$7/$C$162)</f>
        <v>66722.917381557316</v>
      </c>
      <c r="AD70" s="41">
        <f>+OperatingFunds!AD70/(EconomicIndicators!AC$7/$C$162)</f>
        <v>82693.196989682969</v>
      </c>
      <c r="AE70" s="41">
        <f>+OperatingFunds!AE70/(EconomicIndicators!AD$7/$C$162)</f>
        <v>85159.58358627469</v>
      </c>
      <c r="AF70" s="41">
        <f>+OperatingFunds!AF70/(EconomicIndicators!AE$7/$C$162)</f>
        <v>88939.156847595135</v>
      </c>
      <c r="AG70" s="41">
        <f>+OperatingFunds!AG70/(EconomicIndicators!AF$7/$C$162)</f>
        <v>92294.565561530966</v>
      </c>
      <c r="AH70" s="41">
        <f>+OperatingFunds!AH70/(EconomicIndicators!AG$7/$C$162)</f>
        <v>93929.097648022798</v>
      </c>
      <c r="AI70" s="41">
        <f>+OperatingFunds!AI70/(EconomicIndicators!AH$7/$C$162)</f>
        <v>91638.827514303368</v>
      </c>
      <c r="AJ70" s="41">
        <f>+OperatingFunds!AJ70/(EconomicIndicators!AI$7/$C$162)</f>
        <v>94787.962904638654</v>
      </c>
      <c r="AK70" s="41">
        <f>+OperatingFunds!AK70/(EconomicIndicators!AJ$7/$C$162)</f>
        <v>99066</v>
      </c>
      <c r="AL70" s="41">
        <f>+OperatingFunds!AL70/(EconomicIndicators!AI$7/$C$162)</f>
        <v>107917.24464336685</v>
      </c>
    </row>
    <row r="71" spans="2:38">
      <c r="B71" s="199" t="str">
        <f>+$B$14</f>
        <v>Total Four-Year Institutions</v>
      </c>
      <c r="C71" s="42">
        <f>+OperatingFunds!C71/(EconomicIndicators!B$7/$C$162)</f>
        <v>1032357.2069500001</v>
      </c>
      <c r="D71" s="42">
        <f>+OperatingFunds!D71/(EconomicIndicators!C$7/$C$162)</f>
        <v>1099986.249269139</v>
      </c>
      <c r="E71" s="42">
        <f>+OperatingFunds!E71/(EconomicIndicators!D$7/$C$162)</f>
        <v>1051690.6629001708</v>
      </c>
      <c r="F71" s="42">
        <f>+OperatingFunds!F71/(EconomicIndicators!E$7/$C$162)</f>
        <v>1080815.7786777206</v>
      </c>
      <c r="G71" s="42">
        <f>+OperatingFunds!G71/(EconomicIndicators!F$7/$C$162)</f>
        <v>986641.93879275839</v>
      </c>
      <c r="H71" s="42">
        <f>+OperatingFunds!H71/(EconomicIndicators!G$7/$C$162)</f>
        <v>949036.33279954037</v>
      </c>
      <c r="I71" s="42">
        <f>+OperatingFunds!I71/(EconomicIndicators!H$7/$C$162)</f>
        <v>966723.91864910081</v>
      </c>
      <c r="J71" s="42">
        <f>+OperatingFunds!J71/(EconomicIndicators!I$7/$C$162)</f>
        <v>992041.6291660748</v>
      </c>
      <c r="K71" s="42">
        <f>+OperatingFunds!K71/(EconomicIndicators!J$7/$C$162)</f>
        <v>1036501.9362700551</v>
      </c>
      <c r="L71" s="42">
        <f>+OperatingFunds!L71/(EconomicIndicators!K$7/$C$162)</f>
        <v>1051650.3068054433</v>
      </c>
      <c r="M71" s="42">
        <f>+OperatingFunds!M71/(EconomicIndicators!L$7/$C$162)</f>
        <v>1104207.7820934698</v>
      </c>
      <c r="N71" s="42">
        <f>+OperatingFunds!N71/(EconomicIndicators!M$7/$C$162)</f>
        <v>1149664.0524000186</v>
      </c>
      <c r="O71" s="42">
        <f>+OperatingFunds!O71/(EconomicIndicators!N$7/$C$162)</f>
        <v>1164630.7526847618</v>
      </c>
      <c r="P71" s="42">
        <f>+OperatingFunds!P71/(EconomicIndicators!O$7/$C$162)</f>
        <v>1101202.3110795366</v>
      </c>
      <c r="Q71" s="42">
        <f>+OperatingFunds!Q71/(EconomicIndicators!P$7/$C$162)</f>
        <v>1021822.348055892</v>
      </c>
      <c r="R71" s="42">
        <f>+OperatingFunds!R71/(EconomicIndicators!Q$7/$C$162)</f>
        <v>1043825.4053313425</v>
      </c>
      <c r="S71" s="42">
        <f>+OperatingFunds!S71/(EconomicIndicators!R$7/$C$162)</f>
        <v>1053930.1403267859</v>
      </c>
      <c r="T71" s="42">
        <f>+OperatingFunds!T71/(EconomicIndicators!S$7/$C$162)</f>
        <v>1067777.8945289876</v>
      </c>
      <c r="U71" s="42">
        <f>+OperatingFunds!U71/(EconomicIndicators!T$7/$C$162)</f>
        <v>1107511.2440779335</v>
      </c>
      <c r="V71" s="42">
        <f>+OperatingFunds!V71/(EconomicIndicators!U$7/$C$162)</f>
        <v>1050695.224576686</v>
      </c>
      <c r="W71" s="42">
        <f>+OperatingFunds!W71/(EconomicIndicators!V$7/$C$162)</f>
        <v>771019.84742582939</v>
      </c>
      <c r="X71" s="42">
        <f>+OperatingFunds!X71/(EconomicIndicators!W$7/$C$162)</f>
        <v>749324.48084047006</v>
      </c>
      <c r="Y71" s="42">
        <f>+OperatingFunds!Y71/(EconomicIndicators!X$7/$C$162)</f>
        <v>565664.13613361632</v>
      </c>
      <c r="Z71" s="42">
        <f>+OperatingFunds!Z71/(EconomicIndicators!Y$7/$C$162)</f>
        <v>552702.43170286226</v>
      </c>
      <c r="AA71" s="42">
        <f>+OperatingFunds!AA71/(EconomicIndicators!Z$7/$C$162)</f>
        <v>661288.55802282772</v>
      </c>
      <c r="AB71" s="42">
        <f>+OperatingFunds!AB71/(EconomicIndicators!AA$7/$C$162)</f>
        <v>642482.98400265898</v>
      </c>
      <c r="AC71" s="42">
        <f>+OperatingFunds!AC71/(EconomicIndicators!AB$7/$C$162)</f>
        <v>764704.24360521848</v>
      </c>
      <c r="AD71" s="42">
        <f>+OperatingFunds!AD71/(EconomicIndicators!AC$7/$C$162)</f>
        <v>878058.30051526462</v>
      </c>
      <c r="AE71" s="42">
        <f>+OperatingFunds!AE71/(EconomicIndicators!AD$7/$C$162)</f>
        <v>853667.23536413512</v>
      </c>
      <c r="AF71" s="42">
        <f>+OperatingFunds!AF71/(EconomicIndicators!AE$7/$C$162)</f>
        <v>885144.36497333669</v>
      </c>
      <c r="AG71" s="42">
        <f>+OperatingFunds!AG71/(EconomicIndicators!AF$7/$C$162)</f>
        <v>916707.6754643264</v>
      </c>
      <c r="AH71" s="42">
        <f>+OperatingFunds!AH71/(EconomicIndicators!AG$7/$C$162)</f>
        <v>925853.02718149824</v>
      </c>
      <c r="AI71" s="42">
        <f>+OperatingFunds!AI71/(EconomicIndicators!AH$7/$C$162)</f>
        <v>946208.3267162207</v>
      </c>
      <c r="AJ71" s="42">
        <f>+OperatingFunds!AJ71/(EconomicIndicators!AI$7/$C$162)</f>
        <v>970952.02599106438</v>
      </c>
      <c r="AK71" s="42">
        <f>+OperatingFunds!AK71/(EconomicIndicators!AJ$7/$C$162)</f>
        <v>1075340.5485100001</v>
      </c>
      <c r="AL71" s="42">
        <f>+OperatingFunds!AL71/(EconomicIndicators!AI$7/$C$162)</f>
        <v>1151729.5988799545</v>
      </c>
    </row>
    <row r="72" spans="2:38">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2:38">
      <c r="B73" s="1" t="str">
        <f>+$B$16</f>
        <v>Community/Technical College System</v>
      </c>
      <c r="C73" s="3">
        <f>+OperatingFunds!C73/(EconomicIndicators!B$7/$C$162)</f>
        <v>624998.10175000003</v>
      </c>
      <c r="D73" s="3">
        <f>+OperatingFunds!D73/(EconomicIndicators!C$7/$C$162)</f>
        <v>662644.15320764121</v>
      </c>
      <c r="E73" s="3">
        <f>+OperatingFunds!E73/(EconomicIndicators!D$7/$C$162)</f>
        <v>655779.92913327052</v>
      </c>
      <c r="F73" s="3">
        <f>+OperatingFunds!F73/(EconomicIndicators!E$7/$C$162)</f>
        <v>680172.98899160966</v>
      </c>
      <c r="G73" s="3">
        <f>+OperatingFunds!G73/(EconomicIndicators!F$7/$C$162)</f>
        <v>624250.0835372092</v>
      </c>
      <c r="H73" s="3">
        <f>+OperatingFunds!H73/(EconomicIndicators!G$7/$C$162)</f>
        <v>652268.18678688607</v>
      </c>
      <c r="I73" s="3">
        <f>+OperatingFunds!I73/(EconomicIndicators!H$7/$C$162)</f>
        <v>617493.5342929794</v>
      </c>
      <c r="J73" s="3">
        <f>+OperatingFunds!J73/(EconomicIndicators!I$7/$C$162)</f>
        <v>630036.03528369835</v>
      </c>
      <c r="K73" s="3">
        <f>+OperatingFunds!K73/(EconomicIndicators!J$7/$C$162)</f>
        <v>656287.99420862179</v>
      </c>
      <c r="L73" s="3">
        <f>+OperatingFunds!L73/(EconomicIndicators!K$7/$C$162)</f>
        <v>718868.0209637431</v>
      </c>
      <c r="M73" s="3">
        <f>+OperatingFunds!M73/(EconomicIndicators!L$7/$C$162)</f>
        <v>762581.59958557051</v>
      </c>
      <c r="N73" s="3">
        <f>+OperatingFunds!N73/(EconomicIndicators!M$7/$C$162)</f>
        <v>805892.73273589474</v>
      </c>
      <c r="O73" s="3">
        <f>+OperatingFunds!O73/(EconomicIndicators!N$7/$C$162)</f>
        <v>830956.43749640184</v>
      </c>
      <c r="P73" s="3">
        <f>+OperatingFunds!P73/(EconomicIndicators!O$7/$C$162)</f>
        <v>845427.06242763891</v>
      </c>
      <c r="Q73" s="3">
        <f>+OperatingFunds!Q73/(EconomicIndicators!P$7/$C$162)</f>
        <v>789080.08069782285</v>
      </c>
      <c r="R73" s="3">
        <f>+OperatingFunds!R73/(EconomicIndicators!Q$7/$C$162)</f>
        <v>791201.11149631534</v>
      </c>
      <c r="S73" s="3">
        <f>+OperatingFunds!S73/(EconomicIndicators!R$7/$C$162)</f>
        <v>816962.21658456197</v>
      </c>
      <c r="T73" s="3">
        <f>+OperatingFunds!T73/(EconomicIndicators!S$7/$C$162)</f>
        <v>835268.47431058076</v>
      </c>
      <c r="U73" s="3">
        <f>+OperatingFunds!U73/(EconomicIndicators!T$7/$C$162)</f>
        <v>855852.35053375305</v>
      </c>
      <c r="V73" s="3">
        <f>+OperatingFunds!V73/(EconomicIndicators!U$7/$C$162)</f>
        <v>865357.34230821882</v>
      </c>
      <c r="W73" s="3">
        <f>+OperatingFunds!W73/(EconomicIndicators!V$7/$C$162)</f>
        <v>857611.6813495768</v>
      </c>
      <c r="X73" s="3">
        <f>+OperatingFunds!X73/(EconomicIndicators!W$7/$C$162)</f>
        <v>804628.28739625413</v>
      </c>
      <c r="Y73" s="3">
        <f>+OperatingFunds!Y73/(EconomicIndicators!X$7/$C$162)</f>
        <v>691906.18435583683</v>
      </c>
      <c r="Z73" s="3">
        <f>+OperatingFunds!Z73/(EconomicIndicators!Y$7/$C$162)</f>
        <v>661441.69695070805</v>
      </c>
      <c r="AA73" s="3">
        <f>+OperatingFunds!AA73/(EconomicIndicators!Z$7/$C$162)</f>
        <v>719973.11332175776</v>
      </c>
      <c r="AB73" s="3">
        <f>+OperatingFunds!AB73/(EconomicIndicators!AA$7/$C$162)</f>
        <v>704032.49691635848</v>
      </c>
      <c r="AC73" s="3">
        <f>+OperatingFunds!AC73/(EconomicIndicators!AB$7/$C$162)</f>
        <v>779656.90303014836</v>
      </c>
      <c r="AD73" s="3">
        <f>+OperatingFunds!AD73/(EconomicIndicators!AC$7/$C$162)</f>
        <v>821406.63697319082</v>
      </c>
      <c r="AE73" s="3">
        <f>+OperatingFunds!AE73/(EconomicIndicators!AD$7/$C$162)</f>
        <v>760106.80801775551</v>
      </c>
      <c r="AF73" s="3">
        <f>+OperatingFunds!AF73/(EconomicIndicators!AE$7/$C$162)</f>
        <v>756780.56530244148</v>
      </c>
      <c r="AG73" s="3">
        <f>+OperatingFunds!AG73/(EconomicIndicators!AF$7/$C$162)</f>
        <v>794404.57415480015</v>
      </c>
      <c r="AH73" s="3">
        <f>+OperatingFunds!AH73/(EconomicIndicators!AG$7/$C$162)</f>
        <v>804639.00459838961</v>
      </c>
      <c r="AI73" s="3">
        <f>+OperatingFunds!AI73/(EconomicIndicators!AH$7/$C$162)</f>
        <v>804175.80591977993</v>
      </c>
      <c r="AJ73" s="3">
        <f>+OperatingFunds!AJ73/(EconomicIndicators!AI$7/$C$162)</f>
        <v>848601.16352917103</v>
      </c>
      <c r="AK73" s="3">
        <f>+OperatingFunds!AK73/(EconomicIndicators!AJ$7/$C$162)</f>
        <v>915601.08359000005</v>
      </c>
      <c r="AL73" s="3">
        <f>+OperatingFunds!AL73/(EconomicIndicators!AI$7/$C$162)</f>
        <v>1016260.9190673506</v>
      </c>
    </row>
    <row r="74" spans="2:38">
      <c r="B74" s="1" t="str">
        <f>+$B$17</f>
        <v>HEC Board, CHE, SFA, &amp; SAC (1)</v>
      </c>
      <c r="C74" s="3">
        <f>+OperatingFunds!C74/(EconomicIndicators!B$7/$C$162)</f>
        <v>61733.806850000008</v>
      </c>
      <c r="D74" s="3">
        <f>+OperatingFunds!D74/(EconomicIndicators!C$7/$C$162)</f>
        <v>68115.087895024393</v>
      </c>
      <c r="E74" s="3">
        <f>+OperatingFunds!E74/(EconomicIndicators!D$7/$C$162)</f>
        <v>76089.57559273325</v>
      </c>
      <c r="F74" s="3">
        <f>+OperatingFunds!F74/(EconomicIndicators!E$7/$C$162)</f>
        <v>75390.906078704094</v>
      </c>
      <c r="G74" s="3">
        <f>+OperatingFunds!G74/(EconomicIndicators!F$7/$C$162)</f>
        <v>118337.30897202082</v>
      </c>
      <c r="H74" s="3">
        <f>+OperatingFunds!H74/(EconomicIndicators!G$7/$C$162)</f>
        <v>127019.00022628174</v>
      </c>
      <c r="I74" s="3">
        <f>+OperatingFunds!I74/(EconomicIndicators!H$7/$C$162)</f>
        <v>129963.81595788254</v>
      </c>
      <c r="J74" s="3">
        <f>+OperatingFunds!J74/(EconomicIndicators!I$7/$C$162)</f>
        <v>136582.22756021956</v>
      </c>
      <c r="K74" s="3">
        <f>+OperatingFunds!K74/(EconomicIndicators!J$7/$C$162)</f>
        <v>157213.91946597051</v>
      </c>
      <c r="L74" s="3">
        <f>+OperatingFunds!L74/(EconomicIndicators!K$7/$C$162)</f>
        <v>171033.47521908832</v>
      </c>
      <c r="M74" s="3">
        <f>+OperatingFunds!M74/(EconomicIndicators!L$7/$C$162)</f>
        <v>178676.45162185159</v>
      </c>
      <c r="N74" s="3">
        <f>+OperatingFunds!N74/(EconomicIndicators!M$7/$C$162)</f>
        <v>203385.09996418204</v>
      </c>
      <c r="O74" s="3">
        <f>+OperatingFunds!O74/(EconomicIndicators!N$7/$C$162)</f>
        <v>203099.77875214789</v>
      </c>
      <c r="P74" s="3">
        <f>+OperatingFunds!P74/(EconomicIndicators!O$7/$C$162)</f>
        <v>218625.25928745419</v>
      </c>
      <c r="Q74" s="3">
        <f>+OperatingFunds!Q74/(EconomicIndicators!P$7/$C$162)</f>
        <v>228309.47860751921</v>
      </c>
      <c r="R74" s="3">
        <f>+OperatingFunds!R74/(EconomicIndicators!Q$7/$C$162)</f>
        <v>250155.71280884487</v>
      </c>
      <c r="S74" s="3">
        <f>+OperatingFunds!S74/(EconomicIndicators!R$7/$C$162)</f>
        <v>237186.22728245225</v>
      </c>
      <c r="T74" s="3">
        <f>+OperatingFunds!T74/(EconomicIndicators!S$7/$C$162)</f>
        <v>241943.03065388754</v>
      </c>
      <c r="U74" s="3">
        <f>+OperatingFunds!U74/(EconomicIndicators!T$7/$C$162)</f>
        <v>236014.34089338579</v>
      </c>
      <c r="V74" s="3">
        <f>+OperatingFunds!V74/(EconomicIndicators!U$7/$C$162)</f>
        <v>267679.1862083911</v>
      </c>
      <c r="W74" s="3">
        <f>+OperatingFunds!W74/(EconomicIndicators!V$7/$C$162)</f>
        <v>264490.83122081991</v>
      </c>
      <c r="X74" s="3">
        <f>+OperatingFunds!X74/(EconomicIndicators!W$7/$C$162)</f>
        <v>250586.57755350528</v>
      </c>
      <c r="Y74" s="3">
        <f>+OperatingFunds!Y74/(EconomicIndicators!X$7/$C$162)</f>
        <v>284984.50765848754</v>
      </c>
      <c r="Z74" s="3">
        <f>+OperatingFunds!Z74/(EconomicIndicators!Y$7/$C$162)</f>
        <v>278175.25143210107</v>
      </c>
      <c r="AA74" s="3">
        <f>+OperatingFunds!AA74/(EconomicIndicators!Z$7/$C$162)</f>
        <v>316715.90582341666</v>
      </c>
      <c r="AB74" s="3">
        <f>+OperatingFunds!AB74/(EconomicIndicators!AA$7/$C$162)</f>
        <v>320036.7670256031</v>
      </c>
      <c r="AC74" s="3">
        <f>+OperatingFunds!AC74/(EconomicIndicators!AB$7/$C$162)</f>
        <v>339191.71252491616</v>
      </c>
      <c r="AD74" s="3">
        <f>+OperatingFunds!AD74/(EconomicIndicators!AC$7/$C$162)</f>
        <v>296195.61475461174</v>
      </c>
      <c r="AE74" s="3">
        <f>+OperatingFunds!AE74/(EconomicIndicators!AD$7/$C$162)</f>
        <v>294333.11108522769</v>
      </c>
      <c r="AF74" s="3">
        <f>+OperatingFunds!AF74/(EconomicIndicators!AE$7/$C$162)</f>
        <v>319483.69435503788</v>
      </c>
      <c r="AG74" s="3">
        <f>+OperatingFunds!AG74/(EconomicIndicators!AF$7/$C$162)</f>
        <v>328304.18432106456</v>
      </c>
      <c r="AH74" s="3">
        <f>+OperatingFunds!AH74/(EconomicIndicators!AG$7/$C$162)</f>
        <v>340514.99825831916</v>
      </c>
      <c r="AI74" s="3">
        <f>+OperatingFunds!AI74/(EconomicIndicators!AH$7/$C$162)</f>
        <v>304850.73585008614</v>
      </c>
      <c r="AJ74" s="3">
        <f>+OperatingFunds!AJ74/(EconomicIndicators!AI$7/$C$162)</f>
        <v>251696.62788664585</v>
      </c>
      <c r="AK74" s="3">
        <f>+OperatingFunds!AK74/(EconomicIndicators!AJ$7/$C$162)</f>
        <v>319021.32833000005</v>
      </c>
      <c r="AL74" s="3">
        <f>+OperatingFunds!AL74/(EconomicIndicators!AI$7/$C$162)</f>
        <v>321193.76106020494</v>
      </c>
    </row>
    <row r="75" spans="2:38" ht="13.5" thickBot="1">
      <c r="C75" s="3"/>
      <c r="D75" s="3"/>
      <c r="E75" s="3"/>
      <c r="F75" s="3"/>
      <c r="G75" s="3"/>
      <c r="H75" s="3"/>
      <c r="I75" s="3"/>
      <c r="J75" s="3"/>
    </row>
    <row r="76" spans="2:38" ht="13.5" thickTop="1">
      <c r="B76" s="1" t="str">
        <f>+$B$19</f>
        <v>Total Higher Education</v>
      </c>
      <c r="C76" s="39">
        <f>+C73+C71+C74</f>
        <v>1719089.1155500002</v>
      </c>
      <c r="D76" s="39">
        <f t="shared" ref="D76:Z76" si="71">+D73+D71+D74</f>
        <v>1830745.4903718045</v>
      </c>
      <c r="E76" s="39">
        <f t="shared" si="71"/>
        <v>1783560.1676261744</v>
      </c>
      <c r="F76" s="39">
        <f t="shared" si="71"/>
        <v>1836379.6737480345</v>
      </c>
      <c r="G76" s="39">
        <f t="shared" si="71"/>
        <v>1729229.3313019883</v>
      </c>
      <c r="H76" s="39">
        <f t="shared" si="71"/>
        <v>1728323.5198127083</v>
      </c>
      <c r="I76" s="39">
        <f t="shared" si="71"/>
        <v>1714181.2688999628</v>
      </c>
      <c r="J76" s="39">
        <f t="shared" si="71"/>
        <v>1758659.8920099929</v>
      </c>
      <c r="K76" s="39">
        <f t="shared" si="71"/>
        <v>1850003.8499446474</v>
      </c>
      <c r="L76" s="39">
        <f t="shared" si="71"/>
        <v>1941551.8029882747</v>
      </c>
      <c r="M76" s="39">
        <f t="shared" si="71"/>
        <v>2045465.833300892</v>
      </c>
      <c r="N76" s="39">
        <f t="shared" si="71"/>
        <v>2158941.8851000951</v>
      </c>
      <c r="O76" s="39">
        <f t="shared" si="71"/>
        <v>2198686.9689333113</v>
      </c>
      <c r="P76" s="39">
        <f t="shared" si="71"/>
        <v>2165254.6327946298</v>
      </c>
      <c r="Q76" s="39">
        <f t="shared" si="71"/>
        <v>2039211.9073612343</v>
      </c>
      <c r="R76" s="39">
        <f t="shared" si="71"/>
        <v>2085182.2296365027</v>
      </c>
      <c r="S76" s="39">
        <f t="shared" si="71"/>
        <v>2108078.5841938001</v>
      </c>
      <c r="T76" s="39">
        <f t="shared" si="71"/>
        <v>2144989.3994934559</v>
      </c>
      <c r="U76" s="39">
        <f t="shared" si="71"/>
        <v>2199377.9355050726</v>
      </c>
      <c r="V76" s="39">
        <f t="shared" si="71"/>
        <v>2183731.7530932957</v>
      </c>
      <c r="W76" s="39">
        <f t="shared" si="71"/>
        <v>1893122.3599962259</v>
      </c>
      <c r="X76" s="39">
        <f t="shared" si="71"/>
        <v>1804539.3457902295</v>
      </c>
      <c r="Y76" s="39">
        <f t="shared" si="71"/>
        <v>1542554.8281479408</v>
      </c>
      <c r="Z76" s="39">
        <f t="shared" si="71"/>
        <v>1492319.3800856713</v>
      </c>
      <c r="AA76" s="39">
        <f t="shared" ref="AA76:AL76" si="72">+AA73+AA71+AA74</f>
        <v>1697977.5771680023</v>
      </c>
      <c r="AB76" s="39">
        <f t="shared" si="72"/>
        <v>1666552.2479446204</v>
      </c>
      <c r="AC76" s="39">
        <f t="shared" si="72"/>
        <v>1883552.8591602831</v>
      </c>
      <c r="AD76" s="39">
        <f t="shared" si="72"/>
        <v>1995660.552243067</v>
      </c>
      <c r="AE76" s="39">
        <f t="shared" si="72"/>
        <v>1908107.1544671184</v>
      </c>
      <c r="AF76" s="39">
        <f>+AF73+AF71+AF74</f>
        <v>1961408.6246308163</v>
      </c>
      <c r="AG76" s="39">
        <f>+AG73+AG71+AG74</f>
        <v>2039416.4339401911</v>
      </c>
      <c r="AH76" s="39">
        <f t="shared" ref="AH76:AI76" si="73">+AH73+AH71+AH74</f>
        <v>2071007.0300382071</v>
      </c>
      <c r="AI76" s="39">
        <f t="shared" si="73"/>
        <v>2055234.8684860868</v>
      </c>
      <c r="AJ76" s="39">
        <f t="shared" ref="AJ76:AK76" si="74">+AJ73+AJ71+AJ74</f>
        <v>2071249.8174068811</v>
      </c>
      <c r="AK76" s="39">
        <f t="shared" si="74"/>
        <v>2309962.96043</v>
      </c>
      <c r="AL76" s="39">
        <f t="shared" si="72"/>
        <v>2489184.2790075098</v>
      </c>
    </row>
    <row r="77" spans="2:38">
      <c r="B77" s="199" t="str">
        <f>+$B$20</f>
        <v>[biennial]</v>
      </c>
      <c r="C77" s="7"/>
      <c r="D77" s="3">
        <f>+D76+C76</f>
        <v>3549834.6059218049</v>
      </c>
      <c r="F77" s="3">
        <f>+F76+E76</f>
        <v>3619939.8413742092</v>
      </c>
      <c r="H77" s="3">
        <f>+H76+G76</f>
        <v>3457552.8511146968</v>
      </c>
      <c r="J77" s="3">
        <f>+J76+I76</f>
        <v>3472841.1609099554</v>
      </c>
      <c r="L77" s="3">
        <f>+L76+K76</f>
        <v>3791555.6529329224</v>
      </c>
      <c r="N77" s="3">
        <f>+N76+M76</f>
        <v>4204407.7184009869</v>
      </c>
      <c r="P77" s="3">
        <f>+P76+O76</f>
        <v>4363941.6017279411</v>
      </c>
      <c r="R77" s="3">
        <f>+R76+Q76</f>
        <v>4124394.136997737</v>
      </c>
      <c r="T77" s="3">
        <f>+T76+S76</f>
        <v>4253067.9836872555</v>
      </c>
      <c r="V77" s="3">
        <f>+V76+U76</f>
        <v>4383109.6885983683</v>
      </c>
      <c r="X77" s="3">
        <f>+X76+W76</f>
        <v>3697661.7057864554</v>
      </c>
      <c r="Z77" s="3">
        <f>+Z76+Y76</f>
        <v>3034874.2082336121</v>
      </c>
      <c r="AB77" s="3">
        <f>+AB76+AA76</f>
        <v>3364529.8251126227</v>
      </c>
      <c r="AD77" s="3">
        <f>+AD76+AC76</f>
        <v>3879213.4114033501</v>
      </c>
      <c r="AF77" s="3">
        <f>+AF76+AE76</f>
        <v>3869515.7790979347</v>
      </c>
      <c r="AH77" s="3">
        <f>+AH76+AG76</f>
        <v>4110423.4639783981</v>
      </c>
      <c r="AJ77" s="3">
        <f>+AJ76+AI76</f>
        <v>4126484.685892968</v>
      </c>
      <c r="AL77" s="3">
        <f>+AL76+AG76</f>
        <v>4528600.7129477011</v>
      </c>
    </row>
    <row r="78" spans="2:38">
      <c r="B78" s="199"/>
      <c r="C78" s="7"/>
      <c r="D78" s="3"/>
      <c r="F78" s="3"/>
      <c r="H78" s="3"/>
      <c r="J78" s="3"/>
      <c r="L78" s="3"/>
      <c r="N78" s="3"/>
      <c r="P78" s="3"/>
      <c r="R78" s="3"/>
      <c r="T78" s="3"/>
      <c r="V78" s="3"/>
      <c r="X78" s="5"/>
      <c r="Y78" s="5"/>
      <c r="Z78" s="5"/>
    </row>
    <row r="79" spans="2:38" ht="15.75" hidden="1">
      <c r="B79" s="376"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row>
    <row r="80" spans="2:38" ht="12.75" hidden="1" customHeight="1">
      <c r="B80" s="33" t="str">
        <f>+$B$4</f>
        <v>(FY2024 Constant Dollars in Thousands)</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row>
    <row r="81" spans="2:38" hidden="1">
      <c r="I81" s="13"/>
      <c r="J81" s="13"/>
      <c r="K81" s="13"/>
      <c r="L81" s="13"/>
      <c r="M81" s="13"/>
      <c r="N81" s="13"/>
      <c r="O81" s="13"/>
      <c r="P81" s="13"/>
      <c r="Q81"/>
      <c r="R81" s="13"/>
      <c r="S81"/>
      <c r="T81"/>
      <c r="U81" s="2"/>
      <c r="V81" s="2"/>
      <c r="W81"/>
      <c r="X81"/>
      <c r="Y81"/>
      <c r="Z81"/>
      <c r="AA81"/>
      <c r="AB81"/>
      <c r="AC81"/>
      <c r="AD81" s="2"/>
      <c r="AE81" s="2"/>
      <c r="AF81" s="2"/>
      <c r="AG81" s="2"/>
      <c r="AH81" s="2"/>
      <c r="AI81" s="2" t="str">
        <f>IF(ISBLANK(OperatingFunds!AI81),"",OperatingFunds!AI81)</f>
        <v/>
      </c>
      <c r="AJ81" s="2" t="str">
        <f>IF(ISBLANK(OperatingFunds!AJ81),"",OperatingFunds!AJ81)</f>
        <v/>
      </c>
      <c r="AK81" s="2" t="str">
        <f>IF(ISBLANK(OperatingFunds!AK81),"",OperatingFunds!AK81)</f>
        <v/>
      </c>
      <c r="AL81" s="2" t="str">
        <f>IF(ISBLANK(OperatingFunds!AL81),"",OperatingFunds!AL81)</f>
        <v/>
      </c>
    </row>
    <row r="82" spans="2:38" hidden="1">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+OperatingFunds!U82</f>
        <v>FY2008</v>
      </c>
      <c r="V82" s="2" t="str">
        <f>+OperatingFunds!V82</f>
        <v>FY2009</v>
      </c>
      <c r="W82" s="2" t="str">
        <f>+$W$6</f>
        <v>FY2010</v>
      </c>
      <c r="X82" s="2" t="str">
        <f>IF(ISBLANK(OperatingFunds!$X$6),"",OperatingFunds!$X$6)</f>
        <v>FY2011</v>
      </c>
      <c r="Y82" s="2" t="str">
        <f>IF(ISBLANK(OperatingFunds!Y82),"",OperatingFunds!Y82)</f>
        <v/>
      </c>
      <c r="Z82" s="2" t="str">
        <f>IF(ISBLANK(OperatingFunds!Z82),"",OperatingFunds!Z82)</f>
        <v/>
      </c>
      <c r="AA82" s="2" t="str">
        <f>IF(ISBLANK(OperatingFunds!AA82),"",OperatingFunds!AA82)</f>
        <v/>
      </c>
      <c r="AB82" s="2" t="str">
        <f>IF(ISBLANK(OperatingFunds!AB82),"",OperatingFunds!AB82)</f>
        <v/>
      </c>
      <c r="AC82" s="2" t="str">
        <f>IF(ISBLANK(OperatingFunds!AC82),"",OperatingFunds!AC82)</f>
        <v/>
      </c>
      <c r="AD82" s="2" t="str">
        <f>IF(ISBLANK(OperatingFunds!AD82),"",OperatingFunds!AD82)</f>
        <v/>
      </c>
      <c r="AE82" s="2" t="str">
        <f>IF(ISBLANK(OperatingFunds!AE82),"",OperatingFunds!AE82)</f>
        <v/>
      </c>
      <c r="AF82" s="2" t="str">
        <f>IF(ISBLANK(OperatingFunds!AF82),"",OperatingFunds!AF82)</f>
        <v/>
      </c>
      <c r="AG82" s="2" t="str">
        <f>IF(ISBLANK(OperatingFunds!AG82),"",OperatingFunds!AG82)</f>
        <v/>
      </c>
      <c r="AH82" s="2" t="str">
        <f>IF(ISBLANK(OperatingFunds!AH82),"",OperatingFunds!AH82)</f>
        <v/>
      </c>
      <c r="AI82" s="2" t="str">
        <f>IF(ISBLANK(OperatingFunds!AI82),"",OperatingFunds!AI82)</f>
        <v/>
      </c>
      <c r="AJ82" s="2" t="str">
        <f>IF(ISBLANK(OperatingFunds!AJ82),"",OperatingFunds!AJ82)</f>
        <v/>
      </c>
      <c r="AK82" s="2" t="str">
        <f>IF(ISBLANK(OperatingFunds!AK82),"",OperatingFunds!AK82)</f>
        <v/>
      </c>
      <c r="AL82" s="2" t="str">
        <f>IF(ISBLANK(OperatingFunds!AL82),"",OperatingFunds!AL82)</f>
        <v/>
      </c>
    </row>
    <row r="83" spans="2:38" hidden="1">
      <c r="Y83"/>
      <c r="Z83"/>
    </row>
    <row r="84" spans="2:38" hidden="1">
      <c r="B84" s="1" t="str">
        <f>+$B$8</f>
        <v>University of Washington</v>
      </c>
      <c r="C84" s="3"/>
      <c r="D84"/>
      <c r="E84"/>
      <c r="F84"/>
      <c r="G84"/>
      <c r="H84"/>
      <c r="I84"/>
      <c r="J84"/>
      <c r="K84"/>
      <c r="L84"/>
      <c r="M84"/>
      <c r="N84"/>
      <c r="O84"/>
      <c r="P84"/>
      <c r="Q84" s="3"/>
      <c r="R84" s="3"/>
      <c r="S84" s="3"/>
      <c r="T84" s="3"/>
      <c r="U84" s="3"/>
      <c r="V84" s="3"/>
      <c r="W84" s="3">
        <f>+OperatingFunds!W84/(EconomicIndicators!V$7/$C$162)</f>
        <v>59722.117304168132</v>
      </c>
      <c r="X84" s="3"/>
      <c r="Y84"/>
      <c r="Z84"/>
    </row>
    <row r="85" spans="2:38" hidden="1">
      <c r="B85" s="1" t="str">
        <f>+$B$9</f>
        <v>Washington State University</v>
      </c>
      <c r="C85"/>
      <c r="D85"/>
      <c r="E85"/>
      <c r="F85"/>
      <c r="G85"/>
      <c r="H85"/>
      <c r="I85"/>
      <c r="J85"/>
      <c r="K85"/>
      <c r="L85"/>
      <c r="M85"/>
      <c r="N85"/>
      <c r="O85"/>
      <c r="P85"/>
      <c r="Q85" s="3"/>
      <c r="R85" s="3"/>
      <c r="S85" s="3"/>
      <c r="T85" s="3"/>
      <c r="U85" s="3"/>
      <c r="V85" s="3"/>
      <c r="W85" s="3">
        <f>+OperatingFunds!W85/(EconomicIndicators!V$7/$C$162)</f>
        <v>21421.783314487726</v>
      </c>
      <c r="X85" s="3"/>
      <c r="Y85"/>
      <c r="Z85"/>
    </row>
    <row r="86" spans="2:38" hidden="1">
      <c r="B86" s="1" t="str">
        <f>+$B$10</f>
        <v>Eastern Washington University</v>
      </c>
      <c r="C86"/>
      <c r="D86"/>
      <c r="E86"/>
      <c r="F86"/>
      <c r="G86"/>
      <c r="H86"/>
      <c r="I86"/>
      <c r="J86"/>
      <c r="K86"/>
      <c r="L86"/>
      <c r="M86"/>
      <c r="N86"/>
      <c r="O86"/>
      <c r="P86"/>
      <c r="Q86" s="3"/>
      <c r="R86" s="3"/>
      <c r="S86" s="3"/>
      <c r="T86" s="3"/>
      <c r="U86" s="3"/>
      <c r="V86" s="3"/>
      <c r="W86" s="3">
        <f>+OperatingFunds!W86/(EconomicIndicators!V$7/$C$162)</f>
        <v>7500.0689489348988</v>
      </c>
      <c r="X86" s="3"/>
      <c r="Y86"/>
      <c r="Z86"/>
    </row>
    <row r="87" spans="2:38" hidden="1">
      <c r="B87" s="1" t="str">
        <f>+$B$11</f>
        <v>Central Washington University</v>
      </c>
      <c r="C87"/>
      <c r="D87"/>
      <c r="E87"/>
      <c r="F87"/>
      <c r="G87"/>
      <c r="H87"/>
      <c r="I87"/>
      <c r="J87"/>
      <c r="K87"/>
      <c r="L87"/>
      <c r="M87"/>
      <c r="N87"/>
      <c r="O87"/>
      <c r="P87"/>
      <c r="Q87" s="3"/>
      <c r="R87" s="3"/>
      <c r="S87" s="3"/>
      <c r="T87" s="3"/>
      <c r="U87" s="3"/>
      <c r="V87" s="3"/>
      <c r="W87" s="3">
        <f>+OperatingFunds!W87/(EconomicIndicators!V$7/$C$162)</f>
        <v>9473.5568487542405</v>
      </c>
      <c r="X87" s="3"/>
      <c r="Y87"/>
      <c r="Z87"/>
    </row>
    <row r="88" spans="2:38" hidden="1">
      <c r="B88" s="1" t="str">
        <f>+$B$12</f>
        <v>The Evergreen State College</v>
      </c>
      <c r="C88"/>
      <c r="D88"/>
      <c r="E88"/>
      <c r="F88"/>
      <c r="G88"/>
      <c r="H88"/>
      <c r="I88"/>
      <c r="J88"/>
      <c r="K88"/>
      <c r="L88"/>
      <c r="M88"/>
      <c r="N88"/>
      <c r="O88"/>
      <c r="P88"/>
      <c r="Q88" s="3"/>
      <c r="R88" s="3"/>
      <c r="S88" s="3"/>
      <c r="T88" s="3"/>
      <c r="U88" s="3"/>
      <c r="V88" s="3"/>
      <c r="W88" s="3">
        <f>+OperatingFunds!W88/(EconomicIndicators!V$7/$C$162)</f>
        <v>3213.5391403802919</v>
      </c>
      <c r="X88" s="3"/>
      <c r="Y88"/>
      <c r="Z88"/>
    </row>
    <row r="89" spans="2:38" hidden="1">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+OperatingFunds!W89/(EconomicIndicators!V$7/$C$162)</f>
        <v>12067.74947687189</v>
      </c>
      <c r="X89" s="3"/>
      <c r="Y89"/>
      <c r="Z89"/>
    </row>
    <row r="90" spans="2:38" hidden="1">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+OperatingFunds!W90/(EconomicIndicators!V$7/$C$162)</f>
        <v>113398.81503359719</v>
      </c>
      <c r="X90" s="42"/>
      <c r="Y90"/>
      <c r="Z90"/>
    </row>
    <row r="91" spans="2:38" hidden="1">
      <c r="C91"/>
      <c r="D91"/>
      <c r="E91"/>
      <c r="F91"/>
      <c r="G91"/>
      <c r="H91"/>
      <c r="I91"/>
      <c r="J91"/>
      <c r="K91"/>
      <c r="L91"/>
      <c r="M91"/>
      <c r="N91"/>
      <c r="O91"/>
      <c r="P91"/>
      <c r="Q91" s="3"/>
      <c r="R91" s="3"/>
      <c r="Y91"/>
      <c r="Z91"/>
    </row>
    <row r="92" spans="2:38" hidden="1">
      <c r="B92" s="1" t="str">
        <f>+$B$16</f>
        <v>Community/Technical College System</v>
      </c>
      <c r="C92"/>
      <c r="D92"/>
      <c r="E92"/>
      <c r="F92"/>
      <c r="G92"/>
      <c r="H92"/>
      <c r="I92"/>
      <c r="J92"/>
      <c r="K92"/>
      <c r="L92"/>
      <c r="M92"/>
      <c r="N92"/>
      <c r="O92"/>
      <c r="P92"/>
      <c r="Q92" s="3"/>
      <c r="R92" s="3"/>
      <c r="S92" s="3"/>
      <c r="T92" s="3"/>
      <c r="U92" s="3"/>
      <c r="V92" s="3"/>
      <c r="W92" s="3">
        <f>+OperatingFunds!W92/(EconomicIndicators!V$7/$C$162)</f>
        <v>23321.927548381231</v>
      </c>
      <c r="X92" s="3"/>
      <c r="Y92"/>
      <c r="Z92"/>
    </row>
    <row r="93" spans="2:38" hidden="1">
      <c r="B93" s="1" t="str">
        <f>+$B$17</f>
        <v>HEC Board, CHE, SFA, &amp; SAC (1)</v>
      </c>
      <c r="C93"/>
      <c r="D93"/>
      <c r="E93"/>
      <c r="F93"/>
      <c r="G93"/>
      <c r="H93"/>
      <c r="I93"/>
      <c r="J93"/>
      <c r="K93"/>
      <c r="L93"/>
      <c r="M93"/>
      <c r="N93"/>
      <c r="O93"/>
      <c r="P93"/>
      <c r="Q93" s="3"/>
      <c r="R93" s="3"/>
      <c r="S93" s="3"/>
      <c r="T93" s="3"/>
      <c r="U93" s="3"/>
      <c r="V93" s="3"/>
      <c r="W93" s="3"/>
      <c r="X93" s="3"/>
      <c r="Y93"/>
      <c r="Z93"/>
    </row>
    <row r="94" spans="2:38" ht="13.5" hidden="1" thickBot="1">
      <c r="C94"/>
      <c r="D94"/>
      <c r="E94"/>
      <c r="F94"/>
      <c r="G94"/>
      <c r="H94"/>
      <c r="I94"/>
      <c r="J94"/>
      <c r="K94"/>
      <c r="L94"/>
      <c r="M94"/>
      <c r="N94"/>
      <c r="O94"/>
      <c r="P94"/>
      <c r="S94" s="3"/>
      <c r="Y94"/>
      <c r="Z94"/>
    </row>
    <row r="95" spans="2:38" ht="13.5" hidden="1"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+OperatingFunds!W95/(EconomicIndicators!V$7/$C$162)</f>
        <v>136720.74258197841</v>
      </c>
      <c r="X95" s="39"/>
      <c r="Y95"/>
      <c r="Z95"/>
    </row>
    <row r="96" spans="2:38" hidden="1">
      <c r="B96" s="199" t="str">
        <f>+$B$20</f>
        <v>[biennial]</v>
      </c>
      <c r="C96"/>
      <c r="D96"/>
      <c r="E96"/>
      <c r="F96"/>
      <c r="G96"/>
      <c r="H96"/>
      <c r="I96"/>
      <c r="J96"/>
      <c r="K96"/>
      <c r="L96"/>
      <c r="M96"/>
      <c r="N96"/>
      <c r="O96"/>
      <c r="P96"/>
      <c r="R96" s="3"/>
      <c r="T96" s="3"/>
      <c r="V96" s="3"/>
      <c r="W96" s="3"/>
      <c r="X96" s="3">
        <f>+X95+W95</f>
        <v>136720.74258197841</v>
      </c>
      <c r="Y96"/>
      <c r="Z96"/>
    </row>
    <row r="97" spans="2:38">
      <c r="B97" s="199"/>
      <c r="C97"/>
      <c r="D97"/>
      <c r="E97"/>
      <c r="F97"/>
      <c r="G97"/>
      <c r="H97"/>
      <c r="I97"/>
      <c r="J97"/>
      <c r="K97"/>
      <c r="L97"/>
      <c r="M97"/>
      <c r="N97"/>
      <c r="O97"/>
      <c r="P97"/>
      <c r="R97" s="3"/>
      <c r="T97" s="3"/>
      <c r="V97" s="3"/>
      <c r="W97" s="3"/>
      <c r="Y97"/>
      <c r="Z97"/>
    </row>
    <row r="98" spans="2:38" ht="15.75">
      <c r="B98" s="376"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row>
    <row r="99" spans="2:38" ht="13.5">
      <c r="B99" s="33" t="str">
        <f>+$B$4</f>
        <v>(FY2024 Constant Dollars in Thousands)</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row>
    <row r="100" spans="2:38">
      <c r="I100" s="13"/>
      <c r="J100" s="13"/>
      <c r="K100" s="13"/>
      <c r="L100" s="13"/>
      <c r="M100" s="13"/>
      <c r="N100" s="13"/>
      <c r="O100" s="13"/>
      <c r="P100" s="13"/>
      <c r="Q100"/>
      <c r="R100" s="13"/>
      <c r="S100"/>
      <c r="T100"/>
      <c r="U100" s="2"/>
      <c r="V100" s="2"/>
      <c r="W100"/>
      <c r="X100"/>
      <c r="Y100"/>
      <c r="Z100"/>
      <c r="AA100"/>
      <c r="AB100"/>
      <c r="AC100"/>
      <c r="AD100" s="2"/>
      <c r="AE100" s="2"/>
      <c r="AF100" s="2"/>
      <c r="AG100" s="2"/>
      <c r="AH100" s="2"/>
      <c r="AI100" s="2" t="str">
        <f t="shared" ref="AI100:AK100" si="75">TRIM(+AI$5)</f>
        <v/>
      </c>
      <c r="AJ100" s="2" t="str">
        <f t="shared" si="75"/>
        <v/>
      </c>
      <c r="AK100" s="2" t="str">
        <f t="shared" si="75"/>
        <v>Final</v>
      </c>
      <c r="AL100" s="2" t="str">
        <f>TRIM(+AL$5)</f>
        <v>Enacted</v>
      </c>
    </row>
    <row r="101" spans="2:38">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+OperatingFunds!U101</f>
        <v>FY2008</v>
      </c>
      <c r="V101" s="2" t="str">
        <f>+OperatingFunds!V101</f>
        <v>FY2009</v>
      </c>
      <c r="W101" s="2" t="str">
        <f>+$W$6</f>
        <v>FY2010</v>
      </c>
      <c r="X101" s="2" t="str">
        <f>IF(ISBLANK(OperatingFunds!$X$6),"",OperatingFunds!$X$6)</f>
        <v>FY2011</v>
      </c>
      <c r="Y101" s="2" t="str">
        <f>IF(ISBLANK(OperatingFunds!Y101),"",OperatingFunds!Y101)</f>
        <v>FY2012</v>
      </c>
      <c r="Z101" s="2" t="str">
        <f>IF(ISBLANK(OperatingFunds!Z101),"",OperatingFunds!Z101)</f>
        <v>FY2013</v>
      </c>
      <c r="AA101" s="2" t="str">
        <f>IF(ISBLANK(OperatingFunds!AA101),"",OperatingFunds!AA101)</f>
        <v>FY2014</v>
      </c>
      <c r="AB101" s="2" t="str">
        <f>IF(ISBLANK(OperatingFunds!AB101),"",OperatingFunds!AB101)</f>
        <v>FY2015</v>
      </c>
      <c r="AC101" s="2" t="str">
        <f>IF(ISBLANK(OperatingFunds!AC101),"",OperatingFunds!AC101)</f>
        <v>FY2016</v>
      </c>
      <c r="AD101" s="2" t="str">
        <f>IF(ISBLANK(OperatingFunds!AD101),"",OperatingFunds!AD101)</f>
        <v>FY2017</v>
      </c>
      <c r="AE101" s="2" t="str">
        <f>IF(ISBLANK(OperatingFunds!AE101),"",OperatingFunds!AE101)</f>
        <v>FY2018</v>
      </c>
      <c r="AF101" s="2" t="str">
        <f>IF(ISBLANK(OperatingFunds!AF101),"",OperatingFunds!AF101)</f>
        <v>FY2019</v>
      </c>
      <c r="AG101" s="2" t="str">
        <f>IF(ISBLANK(OperatingFunds!AG101),"",OperatingFunds!AG101)</f>
        <v>FY2020</v>
      </c>
      <c r="AH101" s="2" t="str">
        <f>IF(ISBLANK(OperatingFunds!AH101),"",OperatingFunds!AH101)</f>
        <v>FY2021</v>
      </c>
      <c r="AI101" s="2" t="str">
        <f>IF(ISBLANK(OperatingFunds!AI101),"",OperatingFunds!AI101)</f>
        <v>FY2022</v>
      </c>
      <c r="AJ101" s="2" t="str">
        <f>IF(ISBLANK(OperatingFunds!AJ101),"",OperatingFunds!AJ101)</f>
        <v>FY2023</v>
      </c>
      <c r="AK101" s="2" t="str">
        <f>IF(ISBLANK(OperatingFunds!AK101),"",OperatingFunds!AK101)</f>
        <v>FY2024</v>
      </c>
      <c r="AL101" s="2" t="str">
        <f>IF(ISBLANK(OperatingFunds!AL101),"",OperatingFunds!AL101)</f>
        <v>FY2025</v>
      </c>
    </row>
    <row r="103" spans="2:38">
      <c r="B103" s="1" t="str">
        <f>+$B$8</f>
        <v>University of Washington</v>
      </c>
      <c r="C103" s="3"/>
      <c r="D103"/>
      <c r="E103"/>
      <c r="F103"/>
      <c r="G103"/>
      <c r="H103"/>
      <c r="I103"/>
      <c r="J103"/>
      <c r="K103"/>
      <c r="L103"/>
      <c r="M103"/>
      <c r="N103"/>
      <c r="O103"/>
      <c r="P103"/>
      <c r="Q103" s="3"/>
      <c r="R103" s="3"/>
      <c r="S103" s="3">
        <f>+OperatingFunds!S103/(EconomicIndicators!R$7/$C$162)</f>
        <v>4472.8155649051087</v>
      </c>
      <c r="T103" s="3">
        <f>+OperatingFunds!T103/(EconomicIndicators!S$7/$C$162)</f>
        <v>10989.20844841259</v>
      </c>
      <c r="U103" s="3">
        <f>+OperatingFunds!U103/(EconomicIndicators!T$7/$C$162)</f>
        <v>22064.264904241707</v>
      </c>
      <c r="V103" s="3">
        <f>+OperatingFunds!V103/(EconomicIndicators!U$7/$C$162)</f>
        <v>37351.28689888923</v>
      </c>
      <c r="W103" s="3">
        <f>+OperatingFunds!W103/(EconomicIndicators!V$7/$C$162)</f>
        <v>35782.201459559925</v>
      </c>
      <c r="X103" s="3">
        <f>+OperatingFunds!X103/(EconomicIndicators!W$7/$C$162)</f>
        <v>37589.339294231737</v>
      </c>
      <c r="Y103" s="3">
        <f>+OperatingFunds!Y103/(EconomicIndicators!X$7/$C$162)</f>
        <v>13962.391581910701</v>
      </c>
      <c r="Z103" s="3">
        <f>+OperatingFunds!Z103/(EconomicIndicators!Y$7/$C$162)</f>
        <v>10071.278548199056</v>
      </c>
      <c r="AA103" s="3">
        <f>+OperatingFunds!AA103/(EconomicIndicators!Z$7/$C$162)</f>
        <v>8853.1104258834494</v>
      </c>
      <c r="AB103" s="3">
        <f>+OperatingFunds!AB103/(EconomicIndicators!AA$7/$C$162)</f>
        <v>8788.8560811338557</v>
      </c>
      <c r="AC103" s="3">
        <f>+OperatingFunds!AC103/(EconomicIndicators!AB$7/$C$162)</f>
        <v>16241.853205798836</v>
      </c>
      <c r="AD103" s="3">
        <f>+OperatingFunds!AD103/(EconomicIndicators!AC$7/$C$162)</f>
        <v>18571.138438074155</v>
      </c>
      <c r="AE103" s="3">
        <f>+OperatingFunds!AE103/(EconomicIndicators!AD$7/$C$162)</f>
        <v>19429.581137819794</v>
      </c>
      <c r="AF103" s="3">
        <f>+OperatingFunds!AF103/(EconomicIndicators!AE$7/$C$162)</f>
        <v>20152.409148479132</v>
      </c>
      <c r="AG103" s="3">
        <f>+OperatingFunds!AG103/(EconomicIndicators!AF$7/$C$162)</f>
        <v>22810.170910874716</v>
      </c>
      <c r="AH103" s="3">
        <f>+OperatingFunds!AH103/(EconomicIndicators!AG$7/$C$162)</f>
        <v>19715.363724386712</v>
      </c>
      <c r="AI103" s="3">
        <f>+OperatingFunds!AI103/(EconomicIndicators!AH$7/$C$162)</f>
        <v>19899.194270563374</v>
      </c>
      <c r="AJ103" s="3">
        <f>+OperatingFunds!AJ103/(EconomicIndicators!AI$7/$C$162)</f>
        <v>19197.558741477122</v>
      </c>
      <c r="AK103" s="3">
        <f>+OperatingFunds!AK103/(EconomicIndicators!AJ$7/$C$162)</f>
        <v>23225.314300000002</v>
      </c>
      <c r="AL103" s="3">
        <f>+OperatingFunds!AL103/(EconomicIndicators!AI$7/$C$162)</f>
        <v>20416.470232178188</v>
      </c>
    </row>
    <row r="104" spans="2:38">
      <c r="B104" s="1" t="str">
        <f>+$B$9</f>
        <v>Washington State University</v>
      </c>
      <c r="C104"/>
      <c r="D104"/>
      <c r="E104"/>
      <c r="F104"/>
      <c r="G104"/>
      <c r="H104"/>
      <c r="I104"/>
      <c r="J104"/>
      <c r="K104"/>
      <c r="L104"/>
      <c r="M104"/>
      <c r="N104"/>
      <c r="O104"/>
      <c r="P104"/>
      <c r="Q104" s="3"/>
      <c r="R104" s="3"/>
      <c r="S104" s="3">
        <f>+OperatingFunds!S104/(EconomicIndicators!R$7/$C$162)</f>
        <v>4752.2750915314991</v>
      </c>
      <c r="T104" s="3">
        <f>+OperatingFunds!T104/(EconomicIndicators!S$7/$C$162)</f>
        <v>11307.839768656513</v>
      </c>
      <c r="U104" s="3">
        <f>+OperatingFunds!U104/(EconomicIndicators!T$7/$C$162)</f>
        <v>17316.230259012373</v>
      </c>
      <c r="V104" s="3">
        <f>+OperatingFunds!V104/(EconomicIndicators!U$7/$C$162)</f>
        <v>29361.798024704334</v>
      </c>
      <c r="W104" s="3">
        <f>+OperatingFunds!W104/(EconomicIndicators!V$7/$C$162)</f>
        <v>24039.065615211657</v>
      </c>
      <c r="X104" s="3">
        <f>+OperatingFunds!X104/(EconomicIndicators!W$7/$C$162)</f>
        <v>22317.051366301512</v>
      </c>
      <c r="Y104" s="3">
        <f>+OperatingFunds!Y104/(EconomicIndicators!X$7/$C$162)</f>
        <v>21521.556966597949</v>
      </c>
      <c r="Z104" s="3">
        <f>+OperatingFunds!Z104/(EconomicIndicators!Y$7/$C$162)</f>
        <v>21201.881696017674</v>
      </c>
      <c r="AA104" s="3">
        <f>+OperatingFunds!AA104/(EconomicIndicators!Z$7/$C$162)</f>
        <v>21500.953138900826</v>
      </c>
      <c r="AB104" s="3">
        <f>+OperatingFunds!AB104/(EconomicIndicators!AA$7/$C$162)</f>
        <v>21343.647208320068</v>
      </c>
      <c r="AC104" s="3">
        <f>+OperatingFunds!AC104/(EconomicIndicators!AB$7/$C$162)</f>
        <v>21238.481482588555</v>
      </c>
      <c r="AD104" s="3">
        <f>+OperatingFunds!AD104/(EconomicIndicators!AC$7/$C$162)</f>
        <v>20919.453908936735</v>
      </c>
      <c r="AE104" s="3">
        <f>+OperatingFunds!AE104/(EconomicIndicators!AD$7/$C$162)</f>
        <v>20539.802792472467</v>
      </c>
      <c r="AF104" s="3">
        <f>+OperatingFunds!AF104/(EconomicIndicators!AE$7/$C$162)</f>
        <v>20182.3562647002</v>
      </c>
      <c r="AG104" s="3">
        <f>+OperatingFunds!AG104/(EconomicIndicators!AF$7/$C$162)</f>
        <v>19943.341622786833</v>
      </c>
      <c r="AH104" s="3">
        <f>+OperatingFunds!AH104/(EconomicIndicators!AG$7/$C$162)</f>
        <v>19535.422553025346</v>
      </c>
      <c r="AI104" s="3">
        <f>+OperatingFunds!AI104/(EconomicIndicators!AH$7/$C$162)</f>
        <v>18427.938553948141</v>
      </c>
      <c r="AJ104" s="3">
        <f>+OperatingFunds!AJ104/(EconomicIndicators!AI$7/$C$162)</f>
        <v>17482.052621477716</v>
      </c>
      <c r="AK104" s="3">
        <f>+OperatingFunds!AK104/(EconomicIndicators!AJ$7/$C$162)</f>
        <v>16998</v>
      </c>
      <c r="AL104" s="3">
        <f>+OperatingFunds!AL104/(EconomicIndicators!AI$7/$C$162)</f>
        <v>17482.052621477716</v>
      </c>
    </row>
    <row r="105" spans="2:38">
      <c r="B105" s="1" t="str">
        <f>+$B$10</f>
        <v>Eastern Washington University</v>
      </c>
      <c r="C105"/>
      <c r="D105"/>
      <c r="E105"/>
      <c r="F105"/>
      <c r="G105"/>
      <c r="H105"/>
      <c r="I105"/>
      <c r="J105"/>
      <c r="K105"/>
      <c r="L105"/>
      <c r="M105"/>
      <c r="N105"/>
      <c r="O105"/>
      <c r="P105"/>
      <c r="Q105" s="3"/>
      <c r="R105" s="3"/>
      <c r="S105" s="3">
        <f>+OperatingFunds!S105/(EconomicIndicators!R$7/$C$162)</f>
        <v>3141.3591815018872</v>
      </c>
      <c r="T105" s="3">
        <f>+OperatingFunds!T105/(EconomicIndicators!S$7/$C$162)</f>
        <v>6164.0157647187507</v>
      </c>
      <c r="U105" s="3">
        <f>+OperatingFunds!U105/(EconomicIndicators!T$7/$C$162)</f>
        <v>9297.8909892879674</v>
      </c>
      <c r="V105" s="3">
        <f>+OperatingFunds!V105/(EconomicIndicators!U$7/$C$162)</f>
        <v>11043.099467431921</v>
      </c>
      <c r="W105" s="3">
        <f>+OperatingFunds!W105/(EconomicIndicators!V$7/$C$162)</f>
        <v>10928.206222950053</v>
      </c>
      <c r="X105" s="3">
        <f>+OperatingFunds!X105/(EconomicIndicators!W$7/$C$162)</f>
        <v>10661.139201337273</v>
      </c>
      <c r="Y105" s="3">
        <f>+OperatingFunds!Y105/(EconomicIndicators!X$7/$C$162)</f>
        <v>10473.74628641185</v>
      </c>
      <c r="Z105" s="3">
        <f>+OperatingFunds!Z105/(EconomicIndicators!Y$7/$C$162)</f>
        <v>10312.383905013194</v>
      </c>
      <c r="AA105" s="3">
        <f>+OperatingFunds!AA105/(EconomicIndicators!Z$7/$C$162)</f>
        <v>9853.654838924429</v>
      </c>
      <c r="AB105" s="3">
        <f>+OperatingFunds!AB105/(EconomicIndicators!AA$7/$C$162)</f>
        <v>8979.7270804669533</v>
      </c>
      <c r="AC105" s="3">
        <f>+OperatingFunds!AC105/(EconomicIndicators!AB$7/$C$162)</f>
        <v>10375.594201165746</v>
      </c>
      <c r="AD105" s="3">
        <f>+OperatingFunds!AD105/(EconomicIndicators!AC$7/$C$162)</f>
        <v>10355.726609977861</v>
      </c>
      <c r="AE105" s="3">
        <f>+OperatingFunds!AE105/(EconomicIndicators!AD$7/$C$162)</f>
        <v>10034.270054635332</v>
      </c>
      <c r="AF105" s="3">
        <f>+OperatingFunds!AF105/(EconomicIndicators!AE$7/$C$162)</f>
        <v>9848.3534070379173</v>
      </c>
      <c r="AG105" s="3">
        <f>+OperatingFunds!AG105/(EconomicIndicators!AF$7/$C$162)</f>
        <v>9832.0509941730579</v>
      </c>
      <c r="AH105" s="3">
        <f>+OperatingFunds!AH105/(EconomicIndicators!AG$7/$C$162)</f>
        <v>9670.5915962319978</v>
      </c>
      <c r="AI105" s="3">
        <f>+OperatingFunds!AI105/(EconomicIndicators!AH$7/$C$162)</f>
        <v>9132.6599822602166</v>
      </c>
      <c r="AJ105" s="3">
        <f>+OperatingFunds!AJ105/(EconomicIndicators!AI$7/$C$162)</f>
        <v>8654.1148883399128</v>
      </c>
      <c r="AK105" s="3">
        <f>+OperatingFunds!AK105/(EconomicIndicators!AJ$7/$C$162)</f>
        <v>8424</v>
      </c>
      <c r="AL105" s="3">
        <f>+OperatingFunds!AL105/(EconomicIndicators!AI$7/$C$162)</f>
        <v>8654.1148883399128</v>
      </c>
    </row>
    <row r="106" spans="2:38">
      <c r="B106" s="1" t="str">
        <f>+$B$11</f>
        <v>Central Washington University</v>
      </c>
      <c r="C106"/>
      <c r="D106"/>
      <c r="E106"/>
      <c r="F106"/>
      <c r="G106"/>
      <c r="H106"/>
      <c r="I106"/>
      <c r="J106"/>
      <c r="K106"/>
      <c r="L106"/>
      <c r="M106"/>
      <c r="N106"/>
      <c r="O106"/>
      <c r="P106"/>
      <c r="Q106" s="3"/>
      <c r="R106" s="3"/>
      <c r="S106" s="3">
        <f>+OperatingFunds!S106/(EconomicIndicators!R$7/$C$162)</f>
        <v>3141.3591815018872</v>
      </c>
      <c r="T106" s="3">
        <f>+OperatingFunds!T106/(EconomicIndicators!S$7/$C$162)</f>
        <v>6164.0157647187507</v>
      </c>
      <c r="U106" s="3">
        <f>+OperatingFunds!U106/(EconomicIndicators!T$7/$C$162)</f>
        <v>9261.8472788777253</v>
      </c>
      <c r="V106" s="3">
        <f>+OperatingFunds!V106/(EconomicIndicators!U$7/$C$162)</f>
        <v>13090.862878494365</v>
      </c>
      <c r="W106" s="3">
        <f>+OperatingFunds!W106/(EconomicIndicators!V$7/$C$162)</f>
        <v>12954.664548160279</v>
      </c>
      <c r="X106" s="3">
        <f>+OperatingFunds!X106/(EconomicIndicators!W$7/$C$162)</f>
        <v>12633.349942897976</v>
      </c>
      <c r="Y106" s="3">
        <f>+OperatingFunds!Y106/(EconomicIndicators!X$7/$C$162)</f>
        <v>12415.932398682105</v>
      </c>
      <c r="Z106" s="3">
        <f>+OperatingFunds!Z106/(EconomicIndicators!Y$7/$C$162)</f>
        <v>12232.249432410874</v>
      </c>
      <c r="AA106" s="3">
        <f>+OperatingFunds!AA106/(EconomicIndicators!Z$7/$C$162)</f>
        <v>12064.718851561131</v>
      </c>
      <c r="AB106" s="3">
        <f>+OperatingFunds!AB106/(EconomicIndicators!AA$7/$C$162)</f>
        <v>11977.155208151838</v>
      </c>
      <c r="AC106" s="3">
        <f>+OperatingFunds!AC106/(EconomicIndicators!AB$7/$C$162)</f>
        <v>11917.439485876552</v>
      </c>
      <c r="AD106" s="3">
        <f>+OperatingFunds!AD106/(EconomicIndicators!AC$7/$C$162)</f>
        <v>11817.885299382864</v>
      </c>
      <c r="AE106" s="3">
        <f>+OperatingFunds!AE106/(EconomicIndicators!AD$7/$C$162)</f>
        <v>11525.393518920015</v>
      </c>
      <c r="AF106" s="3">
        <f>+OperatingFunds!AF106/(EconomicIndicators!AE$7/$C$162)</f>
        <v>11325.48767739663</v>
      </c>
      <c r="AG106" s="3">
        <f>+OperatingFunds!AG106/(EconomicIndicators!AF$7/$C$162)</f>
        <v>11190.704341577879</v>
      </c>
      <c r="AH106" s="3">
        <f>+OperatingFunds!AH106/(EconomicIndicators!AG$7/$C$162)</f>
        <v>10962.455745764297</v>
      </c>
      <c r="AI106" s="3">
        <f>+OperatingFunds!AI106/(EconomicIndicators!AH$7/$C$162)</f>
        <v>10340.374039743345</v>
      </c>
      <c r="AJ106" s="3">
        <f>+OperatingFunds!AJ106/(EconomicIndicators!AI$7/$C$162)</f>
        <v>9810.1910868773575</v>
      </c>
      <c r="AK106" s="3">
        <f>+OperatingFunds!AK106/(EconomicIndicators!AJ$7/$C$162)</f>
        <v>9538</v>
      </c>
      <c r="AL106" s="3">
        <f>+OperatingFunds!AL106/(EconomicIndicators!AI$7/$C$162)</f>
        <v>9810.1910868773575</v>
      </c>
    </row>
    <row r="107" spans="2:38">
      <c r="B107" s="1" t="str">
        <f>+$B$12</f>
        <v>The Evergreen State College</v>
      </c>
      <c r="C107"/>
      <c r="D107"/>
      <c r="E107"/>
      <c r="F107"/>
      <c r="G107"/>
      <c r="H107"/>
      <c r="I107"/>
      <c r="J107"/>
      <c r="K107"/>
      <c r="L107"/>
      <c r="M107"/>
      <c r="N107"/>
      <c r="O107"/>
      <c r="P107"/>
      <c r="Q107" s="3"/>
      <c r="R107" s="3"/>
      <c r="S107" s="3">
        <f>+OperatingFunds!S107/(EconomicIndicators!R$7/$C$162)</f>
        <v>1031.5129124167818</v>
      </c>
      <c r="T107" s="3">
        <f>+OperatingFunds!T107/(EconomicIndicators!S$7/$C$162)</f>
        <v>2016.0932415433838</v>
      </c>
      <c r="U107" s="3">
        <f>+OperatingFunds!U107/(EconomicIndicators!T$7/$C$162)</f>
        <v>2818.3408947700068</v>
      </c>
      <c r="V107" s="3">
        <f>+OperatingFunds!V107/(EconomicIndicators!U$7/$C$162)</f>
        <v>3694.7581116488604</v>
      </c>
      <c r="W107" s="3">
        <f>+OperatingFunds!W107/(EconomicIndicators!V$7/$C$162)</f>
        <v>3701.1386971835568</v>
      </c>
      <c r="X107" s="3">
        <f>+OperatingFunds!X107/(EconomicIndicators!W$7/$C$162)</f>
        <v>3589.7169143214433</v>
      </c>
      <c r="Y107" s="3">
        <f>+OperatingFunds!Y107/(EconomicIndicators!X$7/$C$162)</f>
        <v>3547.2232948635706</v>
      </c>
      <c r="Z107" s="3">
        <f>+OperatingFunds!Z107/(EconomicIndicators!Y$7/$C$162)</f>
        <v>3494.7451985027924</v>
      </c>
      <c r="AA107" s="3">
        <f>+OperatingFunds!AA107/(EconomicIndicators!Z$7/$C$162)</f>
        <v>3446.8818274799833</v>
      </c>
      <c r="AB107" s="3">
        <f>+OperatingFunds!AB107/(EconomicIndicators!AA$7/$C$162)</f>
        <v>3421.8649551492722</v>
      </c>
      <c r="AC107" s="3">
        <f>+OperatingFunds!AC107/(EconomicIndicators!AB$7/$C$162)</f>
        <v>3404.8042146166495</v>
      </c>
      <c r="AD107" s="3">
        <f>+OperatingFunds!AD107/(EconomicIndicators!AC$7/$C$162)</f>
        <v>3406.7805153813542</v>
      </c>
      <c r="AE107" s="3">
        <f>+OperatingFunds!AE107/(EconomicIndicators!AD$7/$C$162)</f>
        <v>3292.7969531408094</v>
      </c>
      <c r="AF107" s="3">
        <f>+OperatingFunds!AF107/(EconomicIndicators!AE$7/$C$162)</f>
        <v>3235.6839925462168</v>
      </c>
      <c r="AG107" s="3">
        <f>+OperatingFunds!AG107/(EconomicIndicators!AF$7/$C$162)</f>
        <v>3197.1764867686857</v>
      </c>
      <c r="AH107" s="3">
        <f>+OperatingFunds!AH107/(EconomicIndicators!AG$7/$C$162)</f>
        <v>3131.9660208856899</v>
      </c>
      <c r="AI107" s="3">
        <f>+OperatingFunds!AI107/(EconomicIndicators!AH$7/$C$162)</f>
        <v>2954.2377079367388</v>
      </c>
      <c r="AJ107" s="3">
        <f>+OperatingFunds!AJ107/(EconomicIndicators!AI$7/$C$162)</f>
        <v>2802.7648051730762</v>
      </c>
      <c r="AK107" s="3">
        <f>+OperatingFunds!AK107/(EconomicIndicators!AJ$7/$C$162)</f>
        <v>2725</v>
      </c>
      <c r="AL107" s="3">
        <f>+OperatingFunds!AL107/(EconomicIndicators!AI$7/$C$162)</f>
        <v>2802.7648051730762</v>
      </c>
    </row>
    <row r="108" spans="2:38">
      <c r="B108" s="1" t="str">
        <f>+$B$13</f>
        <v>Western Washington University</v>
      </c>
      <c r="C108" s="41"/>
      <c r="D108" s="41"/>
      <c r="E108" s="41"/>
      <c r="F108" s="41"/>
      <c r="G108" s="41"/>
      <c r="H108" s="41"/>
      <c r="I108" s="41"/>
      <c r="J108" s="41"/>
      <c r="K108" s="41"/>
      <c r="L108" s="41"/>
      <c r="M108" s="41"/>
      <c r="N108" s="41"/>
      <c r="O108" s="41"/>
      <c r="P108" s="41"/>
      <c r="Q108" s="41"/>
      <c r="R108" s="41"/>
      <c r="S108" s="3">
        <f>+OperatingFunds!S108/(EconomicIndicators!R$7/$C$162)</f>
        <v>1694.3148263526712</v>
      </c>
      <c r="T108" s="3">
        <f>+OperatingFunds!T108/(EconomicIndicators!S$7/$C$162)</f>
        <v>3310.6222825343871</v>
      </c>
      <c r="U108" s="3">
        <f>+OperatingFunds!U108/(EconomicIndicators!T$7/$C$162)</f>
        <v>7083.9753921666188</v>
      </c>
      <c r="V108" s="3">
        <f>+OperatingFunds!V108/(EconomicIndicators!U$7/$C$162)</f>
        <v>9243.7577570412614</v>
      </c>
      <c r="W108" s="3">
        <f>+OperatingFunds!W108/(EconomicIndicators!V$7/$C$162)</f>
        <v>8852.8521204559347</v>
      </c>
      <c r="X108" s="3">
        <f>+OperatingFunds!X108/(EconomicIndicators!W$7/$C$162)</f>
        <v>8532.2312624862043</v>
      </c>
      <c r="Y108" s="3">
        <f>+OperatingFunds!Y108/(EconomicIndicators!X$7/$C$162)</f>
        <v>8652.6213728286803</v>
      </c>
      <c r="Z108" s="3">
        <f>+OperatingFunds!Z108/(EconomicIndicators!Y$7/$C$162)</f>
        <v>8409.1905565441502</v>
      </c>
      <c r="AA108" s="3">
        <f>+OperatingFunds!AA108/(EconomicIndicators!Z$7/$C$162)</f>
        <v>9981.7687703721422</v>
      </c>
      <c r="AB108" s="3">
        <f>+OperatingFunds!AB108/(EconomicIndicators!AA$7/$C$162)</f>
        <v>6283.3186046349774</v>
      </c>
      <c r="AC108" s="3">
        <f>+OperatingFunds!AC108/(EconomicIndicators!AB$7/$C$162)</f>
        <v>8500.1405768943368</v>
      </c>
      <c r="AD108" s="3">
        <f>+OperatingFunds!AD108/(EconomicIndicators!AC$7/$C$162)</f>
        <v>8534.1821147595056</v>
      </c>
      <c r="AE108" s="3">
        <f>+OperatingFunds!AE108/(EconomicIndicators!AD$7/$C$162)</f>
        <v>8360.6833463417461</v>
      </c>
      <c r="AF108" s="3">
        <f>+OperatingFunds!AF108/(EconomicIndicators!AE$7/$C$162)</f>
        <v>8207.3569748548452</v>
      </c>
      <c r="AG108" s="3">
        <f>+OperatingFunds!AG108/(EconomicIndicators!AF$7/$C$162)</f>
        <v>8113.7886217426949</v>
      </c>
      <c r="AH108" s="3">
        <f>+OperatingFunds!AH108/(EconomicIndicators!AG$7/$C$162)</f>
        <v>7948.2976210770603</v>
      </c>
      <c r="AI108" s="3">
        <f>+OperatingFunds!AI108/(EconomicIndicators!AH$7/$C$162)</f>
        <v>7501.0534683355218</v>
      </c>
      <c r="AJ108" s="3">
        <f>+OperatingFunds!AJ108/(EconomicIndicators!AI$7/$C$162)</f>
        <v>7109.251498479377</v>
      </c>
      <c r="AK108" s="3">
        <f>+OperatingFunds!AK108/(EconomicIndicators!AJ$7/$C$162)</f>
        <v>6919</v>
      </c>
      <c r="AL108" s="3">
        <f>+OperatingFunds!AL108/(EconomicIndicators!AI$7/$C$162)</f>
        <v>7109.251498479377</v>
      </c>
    </row>
    <row r="109" spans="2:38">
      <c r="B109" s="199" t="str">
        <f>+$B$14</f>
        <v>Total Four-Year Institutions</v>
      </c>
      <c r="C109" s="42"/>
      <c r="D109" s="42"/>
      <c r="E109" s="42"/>
      <c r="F109" s="42"/>
      <c r="G109" s="42"/>
      <c r="H109" s="42"/>
      <c r="I109" s="42"/>
      <c r="J109" s="42"/>
      <c r="K109" s="42"/>
      <c r="L109" s="42"/>
      <c r="M109" s="42"/>
      <c r="N109" s="42"/>
      <c r="O109" s="42"/>
      <c r="P109" s="42"/>
      <c r="Q109" s="42"/>
      <c r="R109" s="42"/>
      <c r="S109" s="42">
        <f t="shared" ref="S109:X109" si="76">SUM(S103:S108)</f>
        <v>18233.636758209839</v>
      </c>
      <c r="T109" s="42">
        <f t="shared" si="76"/>
        <v>39951.795270584378</v>
      </c>
      <c r="U109" s="42">
        <f t="shared" si="76"/>
        <v>67842.549718356386</v>
      </c>
      <c r="V109" s="42">
        <f t="shared" si="76"/>
        <v>103785.56313820998</v>
      </c>
      <c r="W109" s="42">
        <f t="shared" si="76"/>
        <v>96258.128663521406</v>
      </c>
      <c r="X109" s="42">
        <f t="shared" si="76"/>
        <v>95322.827981576134</v>
      </c>
      <c r="Y109" s="42">
        <f t="shared" ref="Y109:AD109" si="77">SUM(Y103:Y108)</f>
        <v>70573.471901294848</v>
      </c>
      <c r="Z109" s="42">
        <f t="shared" si="77"/>
        <v>65721.729336687742</v>
      </c>
      <c r="AA109" s="42">
        <f t="shared" si="77"/>
        <v>65701.087853121964</v>
      </c>
      <c r="AB109" s="42">
        <f t="shared" si="77"/>
        <v>60794.569137856968</v>
      </c>
      <c r="AC109" s="42">
        <f t="shared" si="77"/>
        <v>71678.313166940672</v>
      </c>
      <c r="AD109" s="42">
        <f t="shared" si="77"/>
        <v>73605.166886512467</v>
      </c>
      <c r="AE109" s="42">
        <f>SUM(AE103:AE108)</f>
        <v>73182.527803330158</v>
      </c>
      <c r="AF109" s="42">
        <f>SUM(AF103:AF108)</f>
        <v>72951.647465014947</v>
      </c>
      <c r="AG109" s="42">
        <f>SUM(AG103:AG108)</f>
        <v>75087.232977923864</v>
      </c>
      <c r="AH109" s="42">
        <f t="shared" ref="AH109:AI109" si="78">SUM(AH103:AH108)</f>
        <v>70964.097261371106</v>
      </c>
      <c r="AI109" s="42">
        <f t="shared" si="78"/>
        <v>68255.458022787323</v>
      </c>
      <c r="AJ109" s="42">
        <f t="shared" ref="AJ109:AK109" si="79">SUM(AJ103:AJ108)</f>
        <v>65055.933641824558</v>
      </c>
      <c r="AK109" s="42">
        <f t="shared" si="79"/>
        <v>67829.314299999998</v>
      </c>
      <c r="AL109" s="42">
        <f>SUM(AL103:AL108)</f>
        <v>66274.845132525632</v>
      </c>
    </row>
    <row r="110" spans="2:38">
      <c r="C110"/>
      <c r="D110"/>
      <c r="E110"/>
      <c r="F110"/>
      <c r="G110"/>
      <c r="H110"/>
      <c r="I110"/>
      <c r="J110"/>
      <c r="K110"/>
      <c r="L110"/>
      <c r="M110"/>
      <c r="N110"/>
      <c r="O110"/>
      <c r="P110"/>
      <c r="Q110" s="3"/>
      <c r="R110" s="3"/>
    </row>
    <row r="111" spans="2:38">
      <c r="B111" s="1" t="str">
        <f>+$B$16</f>
        <v>Community/Technical College System</v>
      </c>
      <c r="C111"/>
      <c r="D111"/>
      <c r="E111"/>
      <c r="F111"/>
      <c r="G111"/>
      <c r="H111"/>
      <c r="I111"/>
      <c r="J111"/>
      <c r="K111"/>
      <c r="L111"/>
      <c r="M111"/>
      <c r="N111"/>
      <c r="O111"/>
      <c r="P111"/>
      <c r="Q111" s="3"/>
      <c r="R111" s="3"/>
      <c r="S111" s="3">
        <f>+OperatingFunds!S111/(EconomicIndicators!R$7/$C$162)</f>
        <v>25707.350171862206</v>
      </c>
      <c r="T111" s="3">
        <f>+OperatingFunds!T111/(EconomicIndicators!S$7/$C$162)</f>
        <v>39722.288745577876</v>
      </c>
      <c r="U111" s="3">
        <f>+OperatingFunds!U111/(EconomicIndicators!T$7/$C$162)</f>
        <v>77256.074822400769</v>
      </c>
      <c r="V111" s="3">
        <f>+OperatingFunds!V111/(EconomicIndicators!U$7/$C$162)</f>
        <v>66351.409814603932</v>
      </c>
      <c r="W111" s="3">
        <f>+OperatingFunds!W111/(EconomicIndicators!V$7/$C$162)</f>
        <v>64517.150537901769</v>
      </c>
      <c r="X111" s="3">
        <f>+OperatingFunds!X111/(EconomicIndicators!W$7/$C$162)</f>
        <v>63294.104256356186</v>
      </c>
      <c r="Y111" s="3">
        <f>+OperatingFunds!Y111/(EconomicIndicators!X$7/$C$162)</f>
        <v>61594.576487215287</v>
      </c>
      <c r="Z111" s="3">
        <f>+OperatingFunds!Z111/(EconomicIndicators!Y$7/$C$162)</f>
        <v>61260.314801043452</v>
      </c>
      <c r="AA111" s="3">
        <f>+OperatingFunds!AA111/(EconomicIndicators!Z$7/$C$162)</f>
        <v>59146.070740884083</v>
      </c>
      <c r="AB111" s="3">
        <f>+OperatingFunds!AB111/(EconomicIndicators!AA$7/$C$162)</f>
        <v>59468.920885648964</v>
      </c>
      <c r="AC111" s="3">
        <f>+OperatingFunds!AC111/(EconomicIndicators!AB$7/$C$162)</f>
        <v>58915.819979553729</v>
      </c>
      <c r="AD111" s="3">
        <f>+OperatingFunds!AD111/(EconomicIndicators!AC$7/$C$162)</f>
        <v>59919.546748141242</v>
      </c>
      <c r="AE111" s="3">
        <f>+OperatingFunds!AE111/(EconomicIndicators!AD$7/$C$162)</f>
        <v>71763.446869609485</v>
      </c>
      <c r="AF111" s="3">
        <f>+OperatingFunds!AF111/(EconomicIndicators!AE$7/$C$162)</f>
        <v>88864.160484615772</v>
      </c>
      <c r="AG111" s="3">
        <f>+OperatingFunds!AG111/(EconomicIndicators!AF$7/$C$162)</f>
        <v>91186.543055785689</v>
      </c>
      <c r="AH111" s="3">
        <f>+OperatingFunds!AH111/(EconomicIndicators!AG$7/$C$162)</f>
        <v>90266.436719366029</v>
      </c>
      <c r="AI111" s="3">
        <f>+OperatingFunds!AI111/(EconomicIndicators!AH$7/$C$162)</f>
        <v>82920.566141774107</v>
      </c>
      <c r="AJ111" s="3">
        <f>+OperatingFunds!AJ111/(EconomicIndicators!AI$7/$C$162)</f>
        <v>83915.445849459677</v>
      </c>
      <c r="AK111" s="3">
        <f>+OperatingFunds!AK111/(EconomicIndicators!AJ$7/$C$162)</f>
        <v>80080.370609999998</v>
      </c>
      <c r="AL111" s="3">
        <f>+OperatingFunds!AL111/(EconomicIndicators!AI$7/$C$162)</f>
        <v>84782.349684556568</v>
      </c>
    </row>
    <row r="112" spans="2:38">
      <c r="B112" s="1" t="str">
        <f>+$B$17</f>
        <v>HEC Board, CHE, SFA, &amp; SAC (1)</v>
      </c>
      <c r="C112"/>
      <c r="D112"/>
      <c r="E112"/>
      <c r="F112"/>
      <c r="G112"/>
      <c r="H112"/>
      <c r="I112"/>
      <c r="J112"/>
      <c r="K112"/>
      <c r="L112"/>
      <c r="M112"/>
      <c r="N112"/>
      <c r="O112"/>
      <c r="P112"/>
      <c r="Q112" s="3"/>
      <c r="R112" s="3"/>
      <c r="S112" s="3">
        <f>+OperatingFunds!S112/(EconomicIndicators!R$7/$C$162)</f>
        <v>42815.833129152175</v>
      </c>
      <c r="T112" s="3">
        <f>+OperatingFunds!T112/(EconomicIndicators!S$7/$C$162)</f>
        <v>48076.179516803852</v>
      </c>
      <c r="U112" s="3">
        <f>+OperatingFunds!U112/(EconomicIndicators!T$7/$C$162)</f>
        <v>88131.432771662207</v>
      </c>
      <c r="V112" s="3">
        <f>+OperatingFunds!V112/(EconomicIndicators!U$7/$C$162)</f>
        <v>59028.407170340368</v>
      </c>
      <c r="W112" s="3">
        <f>+OperatingFunds!W112/(EconomicIndicators!V$7/$C$162)</f>
        <v>81472.062006539767</v>
      </c>
      <c r="X112" s="3">
        <f>+OperatingFunds!X112/(EconomicIndicators!W$7/$C$162)</f>
        <v>-39889.527028603967</v>
      </c>
      <c r="Y112" s="3">
        <f>+OperatingFunds!Y112/(EconomicIndicators!X$7/$C$162)</f>
        <v>0</v>
      </c>
      <c r="Z112" s="3">
        <f>+OperatingFunds!Z112/(EconomicIndicators!Y$7/$C$162)</f>
        <v>0</v>
      </c>
      <c r="AA112" s="3">
        <f>+OperatingFunds!AA112/(EconomicIndicators!Z$7/$C$162)</f>
        <v>65502.582270203297</v>
      </c>
      <c r="AB112" s="3">
        <f>+OperatingFunds!AB112/(EconomicIndicators!AA$7/$C$162)</f>
        <v>33622.993275379864</v>
      </c>
      <c r="AC112" s="3">
        <f>+OperatingFunds!AC112/(EconomicIndicators!AB$7/$C$162)</f>
        <v>2570.8143150730839</v>
      </c>
      <c r="AD112" s="3">
        <f>+OperatingFunds!AD112/(EconomicIndicators!AC$7/$C$162)</f>
        <v>47524.434625984301</v>
      </c>
      <c r="AE112" s="3">
        <f>+OperatingFunds!AE112/(EconomicIndicators!AD$7/$C$162)</f>
        <v>63718.339866446979</v>
      </c>
      <c r="AF112" s="3">
        <f>+OperatingFunds!AF112/(EconomicIndicators!AE$7/$C$162)</f>
        <v>61222.70335988365</v>
      </c>
      <c r="AG112" s="3">
        <f>+OperatingFunds!AG112/(EconomicIndicators!AF$7/$C$162)</f>
        <v>61714.488230796356</v>
      </c>
      <c r="AH112" s="3">
        <f>+OperatingFunds!AH112/(EconomicIndicators!AG$7/$C$162)</f>
        <v>46994.253056373767</v>
      </c>
      <c r="AI112" s="3">
        <f>+OperatingFunds!AI112/(EconomicIndicators!AH$7/$C$162)</f>
        <v>46430.859653399872</v>
      </c>
      <c r="AJ112" s="3">
        <f>+OperatingFunds!AJ112/(EconomicIndicators!AI$7/$C$162)</f>
        <v>43877.411592177406</v>
      </c>
      <c r="AK112" s="3">
        <f>+OperatingFunds!AK112/(EconomicIndicators!AJ$7/$C$162)</f>
        <v>42916.748</v>
      </c>
      <c r="AL112" s="3">
        <f>+OperatingFunds!AL112/(EconomicIndicators!AI$7/$C$162)</f>
        <v>43877.411592177406</v>
      </c>
    </row>
    <row r="113" spans="2:38" ht="13.5" thickBot="1">
      <c r="C113"/>
      <c r="D113"/>
      <c r="E113"/>
      <c r="F113"/>
      <c r="G113"/>
      <c r="H113"/>
      <c r="I113"/>
      <c r="J113"/>
      <c r="K113"/>
      <c r="L113"/>
      <c r="M113"/>
      <c r="N113"/>
      <c r="O113"/>
      <c r="P113"/>
      <c r="S113" s="3"/>
    </row>
    <row r="114" spans="2:38" ht="13.5" thickTop="1">
      <c r="B114" s="1" t="str">
        <f>+$B$19</f>
        <v>Total Higher Education</v>
      </c>
      <c r="C114" s="38"/>
      <c r="D114" s="38"/>
      <c r="E114" s="38"/>
      <c r="F114" s="38"/>
      <c r="G114" s="38"/>
      <c r="H114" s="38"/>
      <c r="I114" s="38"/>
      <c r="J114" s="38"/>
      <c r="K114" s="38"/>
      <c r="L114" s="38"/>
      <c r="M114" s="38"/>
      <c r="N114" s="38"/>
      <c r="O114" s="38"/>
      <c r="P114" s="38"/>
      <c r="Q114" s="39"/>
      <c r="R114" s="39"/>
      <c r="S114" s="39">
        <f t="shared" ref="S114:AB114" si="80">+S111+S109+S112</f>
        <v>86756.820059224221</v>
      </c>
      <c r="T114" s="39">
        <f t="shared" si="80"/>
        <v>127750.26353296611</v>
      </c>
      <c r="U114" s="39">
        <f t="shared" si="80"/>
        <v>233230.05731241935</v>
      </c>
      <c r="V114" s="39">
        <f t="shared" si="80"/>
        <v>229165.38012315426</v>
      </c>
      <c r="W114" s="39">
        <f t="shared" si="80"/>
        <v>242247.34120796295</v>
      </c>
      <c r="X114" s="39">
        <f t="shared" si="80"/>
        <v>118727.40520932834</v>
      </c>
      <c r="Y114" s="39">
        <f t="shared" si="80"/>
        <v>132168.04838851013</v>
      </c>
      <c r="Z114" s="39">
        <f t="shared" si="80"/>
        <v>126982.04413773119</v>
      </c>
      <c r="AA114" s="39">
        <f t="shared" si="80"/>
        <v>190349.74086420934</v>
      </c>
      <c r="AB114" s="39">
        <f t="shared" si="80"/>
        <v>153886.48329888581</v>
      </c>
      <c r="AC114" s="39">
        <f t="shared" ref="AC114:AL114" si="81">+AC111+AC109+AC112</f>
        <v>133164.94746156747</v>
      </c>
      <c r="AD114" s="39">
        <f t="shared" si="81"/>
        <v>181049.148260638</v>
      </c>
      <c r="AE114" s="39">
        <f t="shared" si="81"/>
        <v>208664.3145393866</v>
      </c>
      <c r="AF114" s="39">
        <f t="shared" si="81"/>
        <v>223038.51130951438</v>
      </c>
      <c r="AG114" s="39">
        <f t="shared" si="81"/>
        <v>227988.26426450591</v>
      </c>
      <c r="AH114" s="39">
        <f t="shared" ref="AH114:AI114" si="82">+AH111+AH109+AH112</f>
        <v>208224.78703711092</v>
      </c>
      <c r="AI114" s="39">
        <f t="shared" si="82"/>
        <v>197606.88381796129</v>
      </c>
      <c r="AJ114" s="39">
        <f t="shared" ref="AJ114:AK114" si="83">+AJ111+AJ109+AJ112</f>
        <v>192848.79108346163</v>
      </c>
      <c r="AK114" s="39">
        <f t="shared" si="83"/>
        <v>190826.43291</v>
      </c>
      <c r="AL114" s="39">
        <f t="shared" si="81"/>
        <v>194934.60640925961</v>
      </c>
    </row>
    <row r="115" spans="2:38">
      <c r="B115" s="199" t="str">
        <f>+$B$20</f>
        <v>[biennial]</v>
      </c>
      <c r="C115"/>
      <c r="D115"/>
      <c r="E115"/>
      <c r="F115"/>
      <c r="G115"/>
      <c r="H115"/>
      <c r="I115"/>
      <c r="J115"/>
      <c r="K115"/>
      <c r="L115"/>
      <c r="M115"/>
      <c r="N115"/>
      <c r="O115"/>
      <c r="P115"/>
      <c r="R115" s="3"/>
      <c r="T115" s="3">
        <f>+T114+S114</f>
        <v>214507.08359219035</v>
      </c>
      <c r="V115" s="3">
        <f>+V114+U114</f>
        <v>462395.43743557361</v>
      </c>
      <c r="X115" s="3">
        <f>+X114+W114</f>
        <v>360974.74641729129</v>
      </c>
      <c r="Z115" s="3">
        <f>+Z114+Y114</f>
        <v>259150.09252624132</v>
      </c>
      <c r="AB115" s="3">
        <f>+AB114+AA114</f>
        <v>344236.22416309512</v>
      </c>
      <c r="AD115" s="3">
        <f>+AD114+AC114</f>
        <v>314214.09572220547</v>
      </c>
      <c r="AF115" s="3">
        <f>+AF114+AE114</f>
        <v>431702.82584890095</v>
      </c>
      <c r="AH115" s="3">
        <f>+AH114+AG114</f>
        <v>436213.05130161683</v>
      </c>
      <c r="AJ115" s="3">
        <f>+AJ114+AI114</f>
        <v>390455.67490142293</v>
      </c>
      <c r="AL115" s="3">
        <f>+AL114+AG114</f>
        <v>422922.87067376554</v>
      </c>
    </row>
    <row r="116" spans="2:38">
      <c r="C116"/>
      <c r="D116"/>
      <c r="E116"/>
      <c r="F116"/>
      <c r="G116"/>
      <c r="H116"/>
      <c r="I116"/>
      <c r="J116"/>
      <c r="K116"/>
      <c r="L116"/>
      <c r="M116"/>
      <c r="N116"/>
      <c r="O116"/>
      <c r="P116"/>
      <c r="R116" s="3"/>
      <c r="T116" s="3"/>
    </row>
    <row r="117" spans="2:38" ht="14.25">
      <c r="B117" s="2447" t="str">
        <f>+OperatingFunds!B117</f>
        <v>Capital Budget Education Construction Account-State (253-1) and Higher Education Building Accounts (060 through 066) for Preventive Facility Maintenance and Repairs</v>
      </c>
      <c r="C117" s="5"/>
      <c r="D117" s="5"/>
      <c r="E117" s="5"/>
      <c r="F117" s="5"/>
      <c r="G117" s="5"/>
      <c r="H117" s="5"/>
      <c r="I117" s="5"/>
      <c r="J117" s="6"/>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row>
    <row r="118" spans="2:38" ht="13.5">
      <c r="B118" s="33" t="str">
        <f>+$B$4</f>
        <v>(FY2024 Constant Dollars in Thousands)</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row>
    <row r="119" spans="2:38">
      <c r="I119" s="13"/>
      <c r="J119" s="13"/>
      <c r="K119" s="13"/>
      <c r="L119" s="13"/>
      <c r="M119" s="13"/>
      <c r="N119" s="13"/>
      <c r="O119" s="13"/>
      <c r="P119" s="13"/>
      <c r="Q119"/>
      <c r="R119" s="13"/>
      <c r="S119"/>
      <c r="T119"/>
      <c r="U119" s="2"/>
      <c r="V119" s="2"/>
      <c r="W119"/>
      <c r="X119"/>
      <c r="Y119"/>
      <c r="Z119"/>
      <c r="AA119"/>
      <c r="AB119"/>
      <c r="AC119"/>
      <c r="AD119" s="2"/>
      <c r="AE119" s="2"/>
      <c r="AF119" s="2"/>
      <c r="AG119" s="2"/>
      <c r="AH119" s="2"/>
      <c r="AI119" s="2" t="str">
        <f t="shared" ref="AI119:AK119" si="84">TRIM(+AI$5)</f>
        <v/>
      </c>
      <c r="AJ119" s="2" t="str">
        <f t="shared" si="84"/>
        <v/>
      </c>
      <c r="AK119" s="2" t="str">
        <f t="shared" si="84"/>
        <v>Final</v>
      </c>
      <c r="AL119" s="2" t="str">
        <f>TRIM(+AL$5)</f>
        <v>Enacted</v>
      </c>
    </row>
    <row r="120" spans="2:38">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+OperatingFunds!U120</f>
        <v>FY2008</v>
      </c>
      <c r="V120" s="2" t="str">
        <f>+OperatingFunds!V120</f>
        <v>FY2009</v>
      </c>
      <c r="W120" s="2" t="str">
        <f>+$W$6</f>
        <v>FY2010</v>
      </c>
      <c r="X120" s="2" t="str">
        <f>IF(ISBLANK(OperatingFunds!$X$6),"",OperatingFunds!$X$6)</f>
        <v>FY2011</v>
      </c>
      <c r="Y120" s="2" t="str">
        <f>IF(ISBLANK(OperatingFunds!Y120),"",OperatingFunds!Y120)</f>
        <v>FY2012</v>
      </c>
      <c r="Z120" s="2" t="str">
        <f>IF(ISBLANK(OperatingFunds!Z120),"",OperatingFunds!Z120)</f>
        <v>FY2013</v>
      </c>
      <c r="AA120" s="2" t="str">
        <f>IF(ISBLANK(OperatingFunds!AA120),"",OperatingFunds!AA120)</f>
        <v>FY2014</v>
      </c>
      <c r="AB120" s="2" t="str">
        <f>IF(ISBLANK(OperatingFunds!AB120),"",OperatingFunds!AB120)</f>
        <v>FY2015</v>
      </c>
      <c r="AC120" s="2" t="str">
        <f>IF(ISBLANK(OperatingFunds!AC120),"",OperatingFunds!AC120)</f>
        <v>FY2016</v>
      </c>
      <c r="AD120" s="2" t="str">
        <f>IF(ISBLANK(OperatingFunds!AD120),"",OperatingFunds!AD120)</f>
        <v>FY2017</v>
      </c>
      <c r="AE120" s="2" t="str">
        <f>IF(ISBLANK(OperatingFunds!AE120),"",OperatingFunds!AE120)</f>
        <v>FY2018</v>
      </c>
      <c r="AF120" s="2" t="str">
        <f>IF(ISBLANK(OperatingFunds!AF120),"",OperatingFunds!AF120)</f>
        <v>FY2019</v>
      </c>
      <c r="AG120" s="2" t="str">
        <f>IF(ISBLANK(OperatingFunds!AG120),"",OperatingFunds!AG120)</f>
        <v>FY2020</v>
      </c>
      <c r="AH120" s="2" t="str">
        <f>IF(ISBLANK(OperatingFunds!AH120),"",OperatingFunds!AH120)</f>
        <v>FY2021</v>
      </c>
      <c r="AI120" s="2" t="str">
        <f>IF(ISBLANK(OperatingFunds!AI120),"",OperatingFunds!AI120)</f>
        <v>FY2022</v>
      </c>
      <c r="AJ120" s="2" t="str">
        <f>IF(ISBLANK(OperatingFunds!AJ120),"",OperatingFunds!AJ120)</f>
        <v>FY2023</v>
      </c>
      <c r="AK120" s="2" t="str">
        <f>IF(ISBLANK(OperatingFunds!AK120),"",OperatingFunds!AK120)</f>
        <v>FY2024</v>
      </c>
      <c r="AL120" s="2" t="str">
        <f>IF(ISBLANK(OperatingFunds!AL120),"",OperatingFunds!AL120)</f>
        <v>FY2025</v>
      </c>
    </row>
    <row r="121" spans="2:38">
      <c r="W121"/>
      <c r="X121"/>
      <c r="Y121"/>
      <c r="Z121"/>
      <c r="AA121"/>
      <c r="AB121"/>
      <c r="AC121"/>
      <c r="AD121"/>
      <c r="AE121"/>
      <c r="AF121"/>
      <c r="AG121"/>
      <c r="AH121"/>
      <c r="AI121"/>
      <c r="AJ121"/>
      <c r="AK121"/>
      <c r="AL121"/>
    </row>
    <row r="122" spans="2:38">
      <c r="B122" s="1" t="str">
        <f>+$B$8</f>
        <v>University of Washington</v>
      </c>
      <c r="C122"/>
      <c r="D122"/>
      <c r="E122"/>
      <c r="F122"/>
      <c r="G122"/>
      <c r="H122"/>
      <c r="I122"/>
      <c r="J122"/>
      <c r="K122"/>
      <c r="L122"/>
      <c r="M122"/>
      <c r="N122"/>
      <c r="O122"/>
      <c r="P122"/>
      <c r="Q122" s="3">
        <f>+OperatingFunds!Q122/(EconomicIndicators!P$7/$C$162)</f>
        <v>16723.667623030513</v>
      </c>
      <c r="R122" s="3">
        <f>+OperatingFunds!R122/(EconomicIndicators!Q$7/$C$162)</f>
        <v>14057.467737305078</v>
      </c>
      <c r="S122" s="3">
        <f>+OperatingFunds!S122/(EconomicIndicators!R$7/$C$162)</f>
        <v>18751.790070010575</v>
      </c>
      <c r="T122" s="3">
        <f>+OperatingFunds!T122/(EconomicIndicators!S$7/$C$162)</f>
        <v>18587.582165694988</v>
      </c>
      <c r="U122" s="3">
        <f>+OperatingFunds!U122/(EconomicIndicators!T$7/$C$162)</f>
        <v>15863.153553954171</v>
      </c>
      <c r="V122" s="3">
        <f>+OperatingFunds!V122/(EconomicIndicators!U$7/$C$162)</f>
        <v>19739.467034220292</v>
      </c>
      <c r="W122" s="3">
        <f>+OperatingFunds!W122/(EconomicIndicators!V$7/$C$162)</f>
        <v>9873.4044172070171</v>
      </c>
      <c r="X122" s="3">
        <f>+OperatingFunds!X122/(EconomicIndicators!W$7/$C$162)</f>
        <v>17964.063918993921</v>
      </c>
      <c r="Y122" s="3">
        <f>+OperatingFunds!Y122/(EconomicIndicators!X$7/$C$162)</f>
        <v>15406.315158149964</v>
      </c>
      <c r="Z122" s="3">
        <f>+OperatingFunds!Z122/(EconomicIndicators!Y$7/$C$162)</f>
        <v>17941.53261043505</v>
      </c>
      <c r="AA122" s="3">
        <f>+OperatingFunds!AA122/(EconomicIndicators!Z$7/$C$162)</f>
        <v>18710.967779026589</v>
      </c>
      <c r="AB122" s="3">
        <f>+OperatingFunds!AB122/(EconomicIndicators!AA$7/$C$162)</f>
        <v>13854.067122692724</v>
      </c>
      <c r="AC122" s="3">
        <f>+OperatingFunds!AC122/(EconomicIndicators!AB$7/$C$162)</f>
        <v>16134.398834254971</v>
      </c>
      <c r="AD122" s="3">
        <f>+OperatingFunds!AD122/(EconomicIndicators!AC$7/$C$162)</f>
        <v>15891.744947472562</v>
      </c>
      <c r="AE122" s="3">
        <f>+OperatingFunds!AE122/(EconomicIndicators!AD$7/$C$162)</f>
        <v>15603.024094469982</v>
      </c>
      <c r="AF122" s="3">
        <f>+OperatingFunds!AF122/(EconomicIndicators!AE$7/$C$162)</f>
        <v>15332.392496790102</v>
      </c>
      <c r="AG122" s="3">
        <f>+OperatingFunds!AG122/(EconomicIndicators!AF$7/$C$162)</f>
        <v>15149.922927942385</v>
      </c>
      <c r="AH122" s="3">
        <f>+OperatingFunds!AH122/(EconomicIndicators!AG$7/$C$162)</f>
        <v>14840.922063395054</v>
      </c>
      <c r="AI122" s="3">
        <f>+OperatingFunds!AI122/(EconomicIndicators!AH$7/$C$162)</f>
        <v>13998.750283267025</v>
      </c>
      <c r="AJ122" s="3">
        <f>+OperatingFunds!AJ122/(EconomicIndicators!AI$7/$C$162)</f>
        <v>13280.990985206148</v>
      </c>
      <c r="AK122" s="3">
        <f>+OperatingFunds!AK122/(EconomicIndicators!AJ$7/$C$162)</f>
        <v>12912.58037</v>
      </c>
      <c r="AL122" s="3">
        <f>+OperatingFunds!AL122/(EconomicIndicators!AI$7/$C$162)</f>
        <v>13281.505295119241</v>
      </c>
    </row>
    <row r="123" spans="2:38">
      <c r="B123" s="1" t="str">
        <f>+$B$9</f>
        <v>Washington State University</v>
      </c>
      <c r="C123"/>
      <c r="D123"/>
      <c r="E123"/>
      <c r="F123"/>
      <c r="G123"/>
      <c r="H123"/>
      <c r="I123"/>
      <c r="J123"/>
      <c r="K123"/>
      <c r="L123"/>
      <c r="M123"/>
      <c r="N123"/>
      <c r="O123"/>
      <c r="P123"/>
      <c r="Q123" s="3">
        <f>+OperatingFunds!Q123/(EconomicIndicators!P$7/$C$162)</f>
        <v>6100.3230779493188</v>
      </c>
      <c r="R123" s="3">
        <f>+OperatingFunds!R123/(EconomicIndicators!Q$7/$C$162)</f>
        <v>5944.7010176738677</v>
      </c>
      <c r="S123" s="3">
        <f>+OperatingFunds!S123/(EconomicIndicators!R$7/$C$162)</f>
        <v>7399.0933306264751</v>
      </c>
      <c r="T123" s="3">
        <f>+OperatingFunds!T123/(EconomicIndicators!S$7/$C$162)</f>
        <v>7227.0727255325546</v>
      </c>
      <c r="U123" s="3">
        <f>+OperatingFunds!U123/(EconomicIndicators!T$7/$C$162)</f>
        <v>7010.5016747918962</v>
      </c>
      <c r="V123" s="3">
        <f>+OperatingFunds!V123/(EconomicIndicators!U$7/$C$162)</f>
        <v>6942.082662971744</v>
      </c>
      <c r="W123" s="3">
        <f>+OperatingFunds!W123/(EconomicIndicators!V$7/$C$162)</f>
        <v>19269.010897960776</v>
      </c>
      <c r="X123" s="3">
        <f>+OperatingFunds!X123/(EconomicIndicators!W$7/$C$162)</f>
        <v>18919.354970428172</v>
      </c>
      <c r="Y123" s="3">
        <f>+OperatingFunds!Y123/(EconomicIndicators!X$7/$C$162)</f>
        <v>6582.8653952752575</v>
      </c>
      <c r="Z123" s="3">
        <f>+OperatingFunds!Z123/(EconomicIndicators!Y$7/$C$162)</f>
        <v>6486.7600785420636</v>
      </c>
      <c r="AA123" s="3">
        <f>+OperatingFunds!AA123/(EconomicIndicators!Z$7/$C$162)</f>
        <v>6396.6537253454217</v>
      </c>
      <c r="AB123" s="3">
        <f>+OperatingFunds!AB123/(EconomicIndicators!AA$7/$C$162)</f>
        <v>6351.4836488605579</v>
      </c>
      <c r="AC123" s="3">
        <f>+OperatingFunds!AC123/(EconomicIndicators!AB$7/$C$162)</f>
        <v>6318.5376031241967</v>
      </c>
      <c r="AD123" s="3">
        <f>+OperatingFunds!AD123/(EconomicIndicators!AC$7/$C$162)</f>
        <v>6225.2802882967462</v>
      </c>
      <c r="AE123" s="3">
        <f>+OperatingFunds!AE123/(EconomicIndicators!AD$7/$C$162)</f>
        <v>6110.7061255167237</v>
      </c>
      <c r="AF123" s="3">
        <f>+OperatingFunds!AF123/(EconomicIndicators!AE$7/$C$162)</f>
        <v>6005.904452953675</v>
      </c>
      <c r="AG123" s="3">
        <f>+OperatingFunds!AG123/(EconomicIndicators!AF$7/$C$162)</f>
        <v>5934.4288697526645</v>
      </c>
      <c r="AH123" s="3">
        <f>+OperatingFunds!AH123/(EconomicIndicators!AG$7/$C$162)</f>
        <v>5812.2393275665809</v>
      </c>
      <c r="AI123" s="3">
        <f>+OperatingFunds!AI123/(EconomicIndicators!AH$7/$C$162)</f>
        <v>5482.4147115728765</v>
      </c>
      <c r="AJ123" s="3">
        <f>+OperatingFunds!AJ123/(EconomicIndicators!AI$7/$C$162)</f>
        <v>5202.3428934185022</v>
      </c>
      <c r="AK123" s="3">
        <f>+OperatingFunds!AK123/(EconomicIndicators!AJ$7/$C$162)</f>
        <v>5057</v>
      </c>
      <c r="AL123" s="3">
        <f>+OperatingFunds!AL123/(EconomicIndicators!AI$7/$C$162)</f>
        <v>5202.3428934185022</v>
      </c>
    </row>
    <row r="124" spans="2:38">
      <c r="B124" s="1" t="str">
        <f>+$B$10</f>
        <v>Eastern Washington University</v>
      </c>
      <c r="C124"/>
      <c r="D124"/>
      <c r="E124"/>
      <c r="F124"/>
      <c r="G124"/>
      <c r="H124"/>
      <c r="I124"/>
      <c r="J124"/>
      <c r="K124"/>
      <c r="L124"/>
      <c r="M124"/>
      <c r="N124"/>
      <c r="O124"/>
      <c r="P124"/>
      <c r="Q124" s="3">
        <f>+OperatingFunds!Q124/(EconomicIndicators!P$7/$C$162)</f>
        <v>65.546515326376181</v>
      </c>
      <c r="R124" s="3">
        <f>+OperatingFunds!R124/(EconomicIndicators!Q$7/$C$162)</f>
        <v>2541.649689248698</v>
      </c>
      <c r="S124" s="3">
        <f>+OperatingFunds!S124/(EconomicIndicators!R$7/$C$162)</f>
        <v>1119.3732171900706</v>
      </c>
      <c r="T124" s="3">
        <f>+OperatingFunds!T124/(EconomicIndicators!S$7/$C$162)</f>
        <v>2074.6053969485765</v>
      </c>
      <c r="U124" s="3">
        <f>+OperatingFunds!U124/(EconomicIndicators!T$7/$C$162)</f>
        <v>1681.6339900703083</v>
      </c>
      <c r="V124" s="3">
        <f>+OperatingFunds!V124/(EconomicIndicators!U$7/$C$162)</f>
        <v>1377.9298565615541</v>
      </c>
      <c r="W124" s="3">
        <f>+OperatingFunds!W124/(EconomicIndicators!V$7/$C$162)</f>
        <v>1505.582475533201</v>
      </c>
      <c r="X124" s="3">
        <f>+OperatingFunds!X124/(EconomicIndicators!W$7/$C$162)</f>
        <v>4401.1369523469257</v>
      </c>
      <c r="Y124" s="3">
        <f>+OperatingFunds!Y124/(EconomicIndicators!X$7/$C$162)</f>
        <v>1442.9713843509242</v>
      </c>
      <c r="Z124" s="3">
        <f>+OperatingFunds!Z124/(EconomicIndicators!Y$7/$C$162)</f>
        <v>1421.6238724918699</v>
      </c>
      <c r="AA124" s="3">
        <f>+OperatingFunds!AA124/(EconomicIndicators!Z$7/$C$162)</f>
        <v>1402.1535800959857</v>
      </c>
      <c r="AB124" s="3">
        <f>+OperatingFunds!AB124/(EconomicIndicators!AA$7/$C$162)</f>
        <v>1391.9769918469608</v>
      </c>
      <c r="AC124" s="3">
        <f>+OperatingFunds!AC124/(EconomicIndicators!AB$7/$C$162)</f>
        <v>1385.0368704229563</v>
      </c>
      <c r="AD124" s="3">
        <f>+OperatingFunds!AD124/(EconomicIndicators!AC$7/$C$162)</f>
        <v>1364.3122114523958</v>
      </c>
      <c r="AE124" s="3">
        <f>+OperatingFunds!AE124/(EconomicIndicators!AD$7/$C$162)</f>
        <v>1339.4735495620503</v>
      </c>
      <c r="AF124" s="3">
        <f>+OperatingFunds!AF124/(EconomicIndicators!AE$7/$C$162)</f>
        <v>1316.2406259587087</v>
      </c>
      <c r="AG124" s="3">
        <f>+OperatingFunds!AG124/(EconomicIndicators!AF$7/$C$162)</f>
        <v>1300.5761965442525</v>
      </c>
      <c r="AH124" s="3">
        <f>+OperatingFunds!AH124/(EconomicIndicators!AG$7/$C$162)</f>
        <v>1274.0492969364357</v>
      </c>
      <c r="AI124" s="3">
        <f>+OperatingFunds!AI124/(EconomicIndicators!AH$7/$C$162)</f>
        <v>0</v>
      </c>
      <c r="AJ124" s="3">
        <f>+OperatingFunds!AJ124/(EconomicIndicators!AI$7/$C$162)</f>
        <v>0</v>
      </c>
      <c r="AK124" s="3">
        <f>+OperatingFunds!AK124/(EconomicIndicators!AJ$7/$C$162)</f>
        <v>1108.5</v>
      </c>
      <c r="AL124" s="3">
        <f>+OperatingFunds!AL124/(EconomicIndicators!AI$7/$C$162)</f>
        <v>1140.6481353897032</v>
      </c>
    </row>
    <row r="125" spans="2:38">
      <c r="B125" s="1" t="str">
        <f>+$B$11</f>
        <v>Central Washington University</v>
      </c>
      <c r="C125"/>
      <c r="D125"/>
      <c r="E125"/>
      <c r="F125"/>
      <c r="G125"/>
      <c r="H125"/>
      <c r="I125"/>
      <c r="J125"/>
      <c r="K125"/>
      <c r="L125"/>
      <c r="M125"/>
      <c r="N125"/>
      <c r="O125"/>
      <c r="P125"/>
      <c r="Q125" s="3">
        <f>+OperatingFunds!Q125/(EconomicIndicators!P$7/$C$162)</f>
        <v>1239.2733525544579</v>
      </c>
      <c r="R125" s="3">
        <f>+OperatingFunds!R125/(EconomicIndicators!Q$7/$C$162)</f>
        <v>1639.3969794804013</v>
      </c>
      <c r="S125" s="3">
        <f>+OperatingFunds!S125/(EconomicIndicators!R$7/$C$162)</f>
        <v>1771.8611871442874</v>
      </c>
      <c r="T125" s="3">
        <f>+OperatingFunds!T125/(EconomicIndicators!S$7/$C$162)</f>
        <v>1730.3252413246191</v>
      </c>
      <c r="U125" s="3">
        <f>+OperatingFunds!U125/(EconomicIndicators!T$7/$C$162)</f>
        <v>1678.8051271846919</v>
      </c>
      <c r="V125" s="3">
        <f>+OperatingFunds!V125/(EconomicIndicators!U$7/$C$162)</f>
        <v>1662.0921520084582</v>
      </c>
      <c r="W125" s="3">
        <f>+OperatingFunds!W125/(EconomicIndicators!V$7/$C$162)</f>
        <v>1644.7996191887291</v>
      </c>
      <c r="X125" s="3">
        <f>+OperatingFunds!X125/(EconomicIndicators!W$7/$C$162)</f>
        <v>4261.7875954353476</v>
      </c>
      <c r="Y125" s="3">
        <f>+OperatingFunds!Y125/(EconomicIndicators!X$7/$C$162)</f>
        <v>1576.399049570563</v>
      </c>
      <c r="Z125" s="3">
        <f>+OperatingFunds!Z125/(EconomicIndicators!Y$7/$C$162)</f>
        <v>1553.0775909676629</v>
      </c>
      <c r="AA125" s="3">
        <f>+OperatingFunds!AA125/(EconomicIndicators!Z$7/$C$162)</f>
        <v>1531.8069332397283</v>
      </c>
      <c r="AB125" s="3">
        <f>+OperatingFunds!AB125/(EconomicIndicators!AA$7/$C$162)</f>
        <v>1520.6893433709242</v>
      </c>
      <c r="AC125" s="3">
        <f>+OperatingFunds!AC125/(EconomicIndicators!AB$7/$C$162)</f>
        <v>1513.1074876700047</v>
      </c>
      <c r="AD125" s="3">
        <f>+OperatingFunds!AD125/(EconomicIndicators!AC$7/$C$162)</f>
        <v>1490.4664754793425</v>
      </c>
      <c r="AE125" s="3">
        <f>+OperatingFunds!AE125/(EconomicIndicators!AD$7/$C$162)</f>
        <v>1463.3310496343192</v>
      </c>
      <c r="AF125" s="3">
        <f>+OperatingFunds!AF125/(EconomicIndicators!AE$7/$C$162)</f>
        <v>1437.9498403572363</v>
      </c>
      <c r="AG125" s="3">
        <f>+OperatingFunds!AG125/(EconomicIndicators!AF$7/$C$162)</f>
        <v>1420.8369634777534</v>
      </c>
      <c r="AH125" s="3">
        <f>+OperatingFunds!AH125/(EconomicIndicators!AG$7/$C$162)</f>
        <v>1391.8571931348883</v>
      </c>
      <c r="AI125" s="3">
        <f>+OperatingFunds!AI125/(EconomicIndicators!AH$7/$C$162)</f>
        <v>1312.8751627703114</v>
      </c>
      <c r="AJ125" s="3">
        <f>+OperatingFunds!AJ125/(EconomicIndicators!AI$7/$C$162)</f>
        <v>1245.5579362568037</v>
      </c>
      <c r="AK125" s="3">
        <f>+OperatingFunds!AK125/(EconomicIndicators!AJ$7/$C$162)</f>
        <v>1233.164</v>
      </c>
      <c r="AL125" s="3">
        <f>+OperatingFunds!AL125/(EconomicIndicators!AI$7/$C$162)</f>
        <v>1245.5589647943468</v>
      </c>
    </row>
    <row r="126" spans="2:38">
      <c r="B126" s="1" t="str">
        <f>+$B$12</f>
        <v>The Evergreen State College</v>
      </c>
      <c r="C126"/>
      <c r="D126"/>
      <c r="E126"/>
      <c r="F126"/>
      <c r="G126"/>
      <c r="H126"/>
      <c r="I126"/>
      <c r="J126"/>
      <c r="K126"/>
      <c r="L126"/>
      <c r="M126"/>
      <c r="N126"/>
      <c r="O126"/>
      <c r="P126"/>
      <c r="Q126" s="3">
        <f>+OperatingFunds!Q126/(EconomicIndicators!P$7/$C$162)</f>
        <v>385.04144060190777</v>
      </c>
      <c r="R126" s="3">
        <f>+OperatingFunds!R126/(EconomicIndicators!Q$7/$C$162)</f>
        <v>732.80753635060273</v>
      </c>
      <c r="S126" s="3">
        <f>+OperatingFunds!S126/(EconomicIndicators!R$7/$C$162)</f>
        <v>292.27397495887215</v>
      </c>
      <c r="T126" s="3">
        <f>+OperatingFunds!T126/(EconomicIndicators!S$7/$C$162)</f>
        <v>800.49590841320514</v>
      </c>
      <c r="U126" s="3">
        <f>+OperatingFunds!U126/(EconomicIndicators!T$7/$C$162)</f>
        <v>748.62631256856707</v>
      </c>
      <c r="V126" s="3">
        <f>+OperatingFunds!V126/(EconomicIndicators!U$7/$C$162)</f>
        <v>301.92311572422039</v>
      </c>
      <c r="W126" s="3">
        <f>+OperatingFunds!W126/(EconomicIndicators!V$7/$C$162)</f>
        <v>1030.8634246825491</v>
      </c>
      <c r="X126" s="3">
        <f>+OperatingFunds!X126/(EconomicIndicators!W$7/$C$162)</f>
        <v>4302.3094320830442</v>
      </c>
      <c r="Y126" s="3">
        <f>+OperatingFunds!Y126/(EconomicIndicators!X$7/$C$162)</f>
        <v>766.02577339108984</v>
      </c>
      <c r="Z126" s="3">
        <f>+OperatingFunds!Z126/(EconomicIndicators!Y$7/$C$162)</f>
        <v>218.48331326747257</v>
      </c>
      <c r="AA126" s="3">
        <f>+OperatingFunds!AA126/(EconomicIndicators!Z$7/$C$162)</f>
        <v>945.61289303014541</v>
      </c>
      <c r="AB126" s="3">
        <f>+OperatingFunds!AB126/(EconomicIndicators!AA$7/$C$162)</f>
        <v>3.8940195324469608E-2</v>
      </c>
      <c r="AC126" s="3">
        <f>+OperatingFunds!AC126/(EconomicIndicators!AB$7/$C$162)</f>
        <v>946.6345921162756</v>
      </c>
      <c r="AD126" s="3">
        <f>+OperatingFunds!AD126/(EconomicIndicators!AC$7/$C$162)</f>
        <v>31.225641893284504</v>
      </c>
      <c r="AE126" s="3">
        <f>+OperatingFunds!AE126/(EconomicIndicators!AD$7/$C$162)</f>
        <v>1002.9436591217877</v>
      </c>
      <c r="AF126" s="3">
        <f>+OperatingFunds!AF126/(EconomicIndicators!AE$7/$C$162)</f>
        <v>0</v>
      </c>
      <c r="AG126" s="3">
        <f>+OperatingFunds!AG126/(EconomicIndicators!AF$7/$C$162)</f>
        <v>874.76566082166642</v>
      </c>
      <c r="AH126" s="3">
        <f>+OperatingFunds!AH126/(EconomicIndicators!AG$7/$C$162)</f>
        <v>154.39727025933891</v>
      </c>
      <c r="AI126" s="3">
        <f>+OperatingFunds!AI126/(EconomicIndicators!AH$7/$C$162)</f>
        <v>505.58923873030864</v>
      </c>
      <c r="AJ126" s="3">
        <f>+OperatingFunds!AJ126/(EconomicIndicators!AI$7/$C$162)</f>
        <v>425.44658357159733</v>
      </c>
      <c r="AK126" s="3">
        <f>+OperatingFunds!AK126/(EconomicIndicators!AJ$7/$C$162)</f>
        <v>726.87128000000007</v>
      </c>
      <c r="AL126" s="3">
        <f>+OperatingFunds!AL126/(EconomicIndicators!AI$7/$C$162)</f>
        <v>452.55651900042329</v>
      </c>
    </row>
    <row r="127" spans="2:38">
      <c r="B127" s="1" t="str">
        <f>+$B$13</f>
        <v>Western Washington University</v>
      </c>
      <c r="C127" s="41"/>
      <c r="D127" s="41"/>
      <c r="E127" s="41"/>
      <c r="F127" s="41"/>
      <c r="G127" s="41"/>
      <c r="H127" s="41"/>
      <c r="I127" s="41"/>
      <c r="J127" s="41"/>
      <c r="K127" s="41"/>
      <c r="L127" s="41"/>
      <c r="M127" s="41"/>
      <c r="N127" s="41"/>
      <c r="O127" s="41"/>
      <c r="P127" s="41"/>
      <c r="Q127" s="3">
        <f>+OperatingFunds!Q127/(EconomicIndicators!P$7/$C$162)</f>
        <v>2179.5720088051526</v>
      </c>
      <c r="R127" s="3">
        <f>+OperatingFunds!R127/(EconomicIndicators!Q$7/$C$162)</f>
        <v>2123.9701198240559</v>
      </c>
      <c r="S127" s="3">
        <f>+OperatingFunds!S127/(EconomicIndicators!R$7/$C$162)</f>
        <v>2643.8919613292546</v>
      </c>
      <c r="T127" s="3">
        <f>+OperatingFunds!T127/(EconomicIndicators!S$7/$C$162)</f>
        <v>2581.9138819765376</v>
      </c>
      <c r="U127" s="3">
        <f>+OperatingFunds!U127/(EconomicIndicators!T$7/$C$162)</f>
        <v>2505.0378735117574</v>
      </c>
      <c r="V127" s="3">
        <f>+OperatingFunds!V127/(EconomicIndicators!U$7/$C$162)</f>
        <v>2480.0995199663785</v>
      </c>
      <c r="W127" s="3">
        <f>+OperatingFunds!W127/(EconomicIndicators!V$7/$C$162)</f>
        <v>2454.2963764442889</v>
      </c>
      <c r="X127" s="3">
        <f>+OperatingFunds!X127/(EconomicIndicators!W$7/$C$162)</f>
        <v>5343.2376209829208</v>
      </c>
      <c r="Y127" s="3">
        <f>+OperatingFunds!Y127/(EconomicIndicators!X$7/$C$162)</f>
        <v>2352.2321078232926</v>
      </c>
      <c r="Z127" s="3">
        <f>+OperatingFunds!Z127/(EconomicIndicators!Y$7/$C$162)</f>
        <v>2317.4328710805671</v>
      </c>
      <c r="AA127" s="3">
        <f>+OperatingFunds!AA127/(EconomicIndicators!Z$7/$C$162)</f>
        <v>2285.6937476170015</v>
      </c>
      <c r="AB127" s="3">
        <f>+OperatingFunds!AB127/(EconomicIndicators!AA$7/$C$162)</f>
        <v>2269.1041757643848</v>
      </c>
      <c r="AC127" s="3">
        <f>+OperatingFunds!AC127/(EconomicIndicators!AB$7/$C$162)</f>
        <v>2257.7912718577195</v>
      </c>
      <c r="AD127" s="3">
        <f>+OperatingFunds!AD127/(EconomicIndicators!AC$7/$C$162)</f>
        <v>2224.0073667970041</v>
      </c>
      <c r="AE127" s="3">
        <f>+OperatingFunds!AE127/(EconomicIndicators!AD$7/$C$162)</f>
        <v>2509.7758795131967</v>
      </c>
      <c r="AF127" s="3">
        <f>+OperatingFunds!AF127/(EconomicIndicators!AE$7/$C$162)</f>
        <v>1825.0445124930404</v>
      </c>
      <c r="AG127" s="3">
        <f>+OperatingFunds!AG127/(EconomicIndicators!AF$7/$C$162)</f>
        <v>2114.8263461260376</v>
      </c>
      <c r="AH127" s="3">
        <f>+OperatingFunds!AH127/(EconomicIndicators!AG$7/$C$162)</f>
        <v>2076.866239017691</v>
      </c>
      <c r="AI127" s="3">
        <f>+OperatingFunds!AI127/(EconomicIndicators!AH$7/$C$162)</f>
        <v>1957.6957166175625</v>
      </c>
      <c r="AJ127" s="3">
        <f>+OperatingFunds!AJ127/(EconomicIndicators!AI$7/$C$162)</f>
        <v>1858.5673405312839</v>
      </c>
      <c r="AK127" s="3">
        <f>+OperatingFunds!AK127/(EconomicIndicators!AJ$7/$C$162)</f>
        <v>1807</v>
      </c>
      <c r="AL127" s="3">
        <f>+OperatingFunds!AL127/(EconomicIndicators!AI$7/$C$162)</f>
        <v>1858.5673405312839</v>
      </c>
    </row>
    <row r="128" spans="2:38">
      <c r="B128" s="199" t="str">
        <f>+$B$14</f>
        <v>Total Four-Year Institutions</v>
      </c>
      <c r="C128" s="42"/>
      <c r="D128" s="42"/>
      <c r="E128" s="42"/>
      <c r="F128" s="42"/>
      <c r="G128" s="42"/>
      <c r="H128" s="42"/>
      <c r="I128" s="42"/>
      <c r="J128" s="42"/>
      <c r="K128" s="42"/>
      <c r="L128" s="42"/>
      <c r="M128" s="42"/>
      <c r="N128" s="42"/>
      <c r="O128" s="42"/>
      <c r="P128" s="42"/>
      <c r="Q128" s="42">
        <f t="shared" ref="Q128:V128" si="85">SUM(Q122:Q127)</f>
        <v>26693.424018267728</v>
      </c>
      <c r="R128" s="42">
        <f t="shared" si="85"/>
        <v>27039.993079882701</v>
      </c>
      <c r="S128" s="42">
        <f t="shared" si="85"/>
        <v>31978.283741259533</v>
      </c>
      <c r="T128" s="42">
        <f t="shared" si="85"/>
        <v>33001.995319890484</v>
      </c>
      <c r="U128" s="42">
        <f t="shared" si="85"/>
        <v>29487.758532081389</v>
      </c>
      <c r="V128" s="42">
        <f t="shared" si="85"/>
        <v>32503.594341452648</v>
      </c>
      <c r="W128" s="42">
        <f t="shared" ref="W128:AB128" si="86">SUM(W122:W127)</f>
        <v>35777.957211016561</v>
      </c>
      <c r="X128" s="42">
        <f t="shared" si="86"/>
        <v>55191.890490270336</v>
      </c>
      <c r="Y128" s="42">
        <f t="shared" si="86"/>
        <v>28126.808868561089</v>
      </c>
      <c r="Z128" s="42">
        <f t="shared" si="86"/>
        <v>29938.910336784684</v>
      </c>
      <c r="AA128" s="42">
        <f t="shared" si="86"/>
        <v>31272.888658354874</v>
      </c>
      <c r="AB128" s="42">
        <f t="shared" si="86"/>
        <v>25387.360222730873</v>
      </c>
      <c r="AC128" s="42">
        <f t="shared" ref="AC128:AL128" si="87">SUM(AC122:AC127)</f>
        <v>28555.506659446124</v>
      </c>
      <c r="AD128" s="42">
        <f t="shared" si="87"/>
        <v>27227.036931391332</v>
      </c>
      <c r="AE128" s="42">
        <f t="shared" si="87"/>
        <v>28029.254357818059</v>
      </c>
      <c r="AF128" s="42">
        <f t="shared" si="87"/>
        <v>25917.531928552762</v>
      </c>
      <c r="AG128" s="42">
        <f t="shared" si="87"/>
        <v>26795.356964664759</v>
      </c>
      <c r="AH128" s="42">
        <f t="shared" ref="AH128:AI128" si="88">SUM(AH122:AH127)</f>
        <v>25550.331390309988</v>
      </c>
      <c r="AI128" s="42">
        <f t="shared" si="88"/>
        <v>23257.325112958089</v>
      </c>
      <c r="AJ128" s="42">
        <f t="shared" ref="AJ128:AK128" si="89">SUM(AJ122:AJ127)</f>
        <v>22012.905738984333</v>
      </c>
      <c r="AK128" s="42">
        <f t="shared" si="89"/>
        <v>22845.11565</v>
      </c>
      <c r="AL128" s="42">
        <f t="shared" si="87"/>
        <v>23181.179148253501</v>
      </c>
    </row>
    <row r="129" spans="2:38">
      <c r="C129"/>
      <c r="D129"/>
      <c r="E129"/>
      <c r="F129"/>
      <c r="G129"/>
      <c r="H129"/>
      <c r="I129"/>
      <c r="J129"/>
      <c r="K129"/>
      <c r="L129"/>
      <c r="M129"/>
      <c r="N129"/>
      <c r="O129"/>
      <c r="P129"/>
      <c r="Q129" s="3"/>
      <c r="R129" s="3"/>
    </row>
    <row r="130" spans="2:38">
      <c r="B130" s="1" t="str">
        <f>+$B$16</f>
        <v>Community/Technical College System</v>
      </c>
      <c r="C130"/>
      <c r="D130"/>
      <c r="E130"/>
      <c r="F130"/>
      <c r="G130"/>
      <c r="H130"/>
      <c r="I130"/>
      <c r="J130"/>
      <c r="K130"/>
      <c r="L130"/>
      <c r="M130"/>
      <c r="N130"/>
      <c r="O130"/>
      <c r="P130"/>
      <c r="Q130" s="3">
        <f>+OperatingFunds!Q130/(EconomicIndicators!P$7/$C$162)</f>
        <v>13700.817561981456</v>
      </c>
      <c r="R130" s="3">
        <f>+OperatingFunds!R130/(EconomicIndicators!Q$7/$C$162)</f>
        <v>13449.66645480885</v>
      </c>
      <c r="S130" s="3">
        <f>+OperatingFunds!S130/(EconomicIndicators!R$7/$C$162)</f>
        <v>16905.644487794285</v>
      </c>
      <c r="T130" s="3">
        <f>+OperatingFunds!T130/(EconomicIndicators!S$7/$C$162)</f>
        <v>16071.066604913314</v>
      </c>
      <c r="U130" s="3">
        <f>+OperatingFunds!U130/(EconomicIndicators!T$7/$C$162)</f>
        <v>15796.974889484964</v>
      </c>
      <c r="V130" s="3">
        <f>+OperatingFunds!V130/(EconomicIndicators!U$7/$C$162)</f>
        <v>15655.821727940127</v>
      </c>
      <c r="W130" s="3">
        <f>+OperatingFunds!W130/(EconomicIndicators!V$7/$C$162)</f>
        <v>0</v>
      </c>
      <c r="X130" s="3">
        <f>+OperatingFunds!X130/(EconomicIndicators!W$7/$C$162)</f>
        <v>0</v>
      </c>
      <c r="Y130" s="3">
        <f>+OperatingFunds!Y130/(EconomicIndicators!X$7/$C$162)</f>
        <v>13206.489766045817</v>
      </c>
      <c r="Z130" s="3">
        <f>+OperatingFunds!Z130/(EconomicIndicators!Y$7/$C$162)</f>
        <v>16229.32570199086</v>
      </c>
      <c r="AA130" s="3">
        <f>+OperatingFunds!AA130/(EconomicIndicators!Z$7/$C$162)</f>
        <v>14417.9091987908</v>
      </c>
      <c r="AB130" s="3">
        <f>+OperatingFunds!AB130/(EconomicIndicators!AA$7/$C$162)</f>
        <v>14313.270575278928</v>
      </c>
      <c r="AC130" s="3">
        <f>+OperatingFunds!AC130/(EconomicIndicators!AB$7/$C$162)</f>
        <v>13675.263884162607</v>
      </c>
      <c r="AD130" s="3">
        <f>+OperatingFunds!AD130/(EconomicIndicators!AC$7/$C$162)</f>
        <v>14330.818423216895</v>
      </c>
      <c r="AE130" s="3">
        <f>+OperatingFunds!AE130/(EconomicIndicators!AD$7/$C$162)</f>
        <v>13399.149740672103</v>
      </c>
      <c r="AF130" s="3">
        <f>+OperatingFunds!AF130/(EconomicIndicators!AE$7/$C$162)</f>
        <v>13668.739852787499</v>
      </c>
      <c r="AG130" s="3">
        <f>+OperatingFunds!AG130/(EconomicIndicators!AF$7/$C$162)</f>
        <v>13033.264406098926</v>
      </c>
      <c r="AH130" s="3">
        <f>+OperatingFunds!AH130/(EconomicIndicators!AG$7/$C$162)</f>
        <v>13110.001148176218</v>
      </c>
      <c r="AI130" s="3">
        <f>+OperatingFunds!AI130/(EconomicIndicators!AH$7/$C$162)</f>
        <v>11307.161805326086</v>
      </c>
      <c r="AJ130" s="3">
        <f>+OperatingFunds!AJ130/(EconomicIndicators!AI$7/$C$162)</f>
        <v>11660.585184677864</v>
      </c>
      <c r="AK130" s="3">
        <f>+OperatingFunds!AK130/(EconomicIndicators!AJ$7/$C$162)</f>
        <v>10590.913400000001</v>
      </c>
      <c r="AL130" s="3">
        <f>+OperatingFunds!AL130/(EconomicIndicators!AI$7/$C$162)</f>
        <v>11725.327992283694</v>
      </c>
    </row>
    <row r="131" spans="2:38" hidden="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c r="AE131" s="3"/>
      <c r="AF131" s="3"/>
      <c r="AG131" s="3"/>
      <c r="AH131" s="3"/>
      <c r="AI131" s="3"/>
      <c r="AJ131" s="3"/>
      <c r="AK131" s="3"/>
      <c r="AL131" s="3"/>
    </row>
    <row r="132" spans="2:38" ht="13.5" thickBot="1">
      <c r="C132"/>
      <c r="D132"/>
      <c r="E132"/>
      <c r="F132"/>
      <c r="G132"/>
      <c r="H132"/>
      <c r="I132"/>
      <c r="J132"/>
      <c r="K132"/>
      <c r="L132"/>
      <c r="M132"/>
      <c r="N132"/>
      <c r="O132"/>
      <c r="P132"/>
      <c r="S132" s="3"/>
    </row>
    <row r="133" spans="2:38" ht="13.5" thickTop="1">
      <c r="B133" s="1" t="str">
        <f>+$B$19</f>
        <v>Total Higher Education</v>
      </c>
      <c r="C133" s="38"/>
      <c r="D133" s="38"/>
      <c r="E133" s="38"/>
      <c r="F133" s="38"/>
      <c r="G133" s="38"/>
      <c r="H133" s="38"/>
      <c r="I133" s="38"/>
      <c r="J133" s="38"/>
      <c r="K133" s="38"/>
      <c r="L133" s="38"/>
      <c r="M133" s="38"/>
      <c r="N133" s="38"/>
      <c r="O133" s="38"/>
      <c r="P133" s="38"/>
      <c r="Q133" s="39">
        <f t="shared" ref="Q133:V133" si="90">+Q130+Q128</f>
        <v>40394.241580249181</v>
      </c>
      <c r="R133" s="39">
        <f t="shared" si="90"/>
        <v>40489.659534691549</v>
      </c>
      <c r="S133" s="39">
        <f t="shared" si="90"/>
        <v>48883.928229053818</v>
      </c>
      <c r="T133" s="39">
        <f t="shared" si="90"/>
        <v>49073.061924803798</v>
      </c>
      <c r="U133" s="39">
        <f t="shared" si="90"/>
        <v>45284.73342156635</v>
      </c>
      <c r="V133" s="39">
        <f t="shared" si="90"/>
        <v>48159.416069392777</v>
      </c>
      <c r="W133" s="39">
        <f t="shared" ref="W133:AB133" si="91">+W130+W128</f>
        <v>35777.957211016561</v>
      </c>
      <c r="X133" s="39">
        <f t="shared" si="91"/>
        <v>55191.890490270336</v>
      </c>
      <c r="Y133" s="39">
        <f t="shared" si="91"/>
        <v>41333.298634606908</v>
      </c>
      <c r="Z133" s="39">
        <f t="shared" si="91"/>
        <v>46168.236038775547</v>
      </c>
      <c r="AA133" s="39">
        <f t="shared" si="91"/>
        <v>45690.797857145677</v>
      </c>
      <c r="AB133" s="39">
        <f t="shared" si="91"/>
        <v>39700.630798009799</v>
      </c>
      <c r="AC133" s="39">
        <f t="shared" ref="AC133:AL133" si="92">+AC130+AC128</f>
        <v>42230.770543608727</v>
      </c>
      <c r="AD133" s="39">
        <f t="shared" si="92"/>
        <v>41557.855354608226</v>
      </c>
      <c r="AE133" s="39">
        <f t="shared" si="92"/>
        <v>41428.404098490166</v>
      </c>
      <c r="AF133" s="39">
        <f t="shared" si="92"/>
        <v>39586.271781340263</v>
      </c>
      <c r="AG133" s="39">
        <f t="shared" si="92"/>
        <v>39828.621370763685</v>
      </c>
      <c r="AH133" s="39">
        <f t="shared" ref="AH133:AI133" si="93">+AH130+AH128</f>
        <v>38660.332538486204</v>
      </c>
      <c r="AI133" s="39">
        <f t="shared" si="93"/>
        <v>34564.486918284179</v>
      </c>
      <c r="AJ133" s="39">
        <f t="shared" ref="AJ133:AK133" si="94">+AJ130+AJ128</f>
        <v>33673.490923662197</v>
      </c>
      <c r="AK133" s="39">
        <f t="shared" si="94"/>
        <v>33436.029049999997</v>
      </c>
      <c r="AL133" s="39">
        <f t="shared" si="92"/>
        <v>34906.507140537193</v>
      </c>
    </row>
    <row r="134" spans="2:38">
      <c r="B134" s="199" t="str">
        <f>+$B$20</f>
        <v>[biennial]</v>
      </c>
      <c r="C134"/>
      <c r="D134"/>
      <c r="E134"/>
      <c r="F134"/>
      <c r="G134"/>
      <c r="H134"/>
      <c r="I134"/>
      <c r="J134"/>
      <c r="K134"/>
      <c r="L134"/>
      <c r="M134"/>
      <c r="N134"/>
      <c r="O134"/>
      <c r="P134"/>
      <c r="R134" s="3">
        <f>+R133+Q133</f>
        <v>80883.901114940731</v>
      </c>
      <c r="T134" s="3">
        <f>+T133+S133</f>
        <v>97956.990153857623</v>
      </c>
      <c r="V134" s="3">
        <f>+V133+U133</f>
        <v>93444.149490959127</v>
      </c>
      <c r="X134" s="3">
        <f>+X133+W133</f>
        <v>90969.847701286897</v>
      </c>
      <c r="Z134" s="3">
        <f>+Z133+Y133</f>
        <v>87501.534673382455</v>
      </c>
      <c r="AB134" s="3">
        <f>+AB133+AA133</f>
        <v>85391.428655155469</v>
      </c>
      <c r="AD134" s="3">
        <f>+AD133+AC133</f>
        <v>83788.625898216953</v>
      </c>
      <c r="AF134" s="3">
        <f>+AF133+AE133</f>
        <v>81014.675879830436</v>
      </c>
      <c r="AH134" s="3">
        <f>+AH133+AG133</f>
        <v>78488.953909249889</v>
      </c>
      <c r="AJ134" s="3">
        <f>+AJ133+AI133</f>
        <v>68237.977841946384</v>
      </c>
      <c r="AL134" s="3">
        <f>+AL133+AG133</f>
        <v>74735.128511300878</v>
      </c>
    </row>
    <row r="135" spans="2:38">
      <c r="D135" s="3"/>
      <c r="F135" s="3"/>
      <c r="H135" s="3"/>
      <c r="J135" s="3"/>
      <c r="L135" s="3"/>
      <c r="N135" s="3"/>
      <c r="P135" s="3"/>
      <c r="R135" s="3"/>
      <c r="T135" s="3"/>
      <c r="W135"/>
      <c r="AA135"/>
      <c r="AB135"/>
      <c r="AC135"/>
      <c r="AD135"/>
      <c r="AE135"/>
      <c r="AF135"/>
      <c r="AG135"/>
      <c r="AH135"/>
      <c r="AI135"/>
      <c r="AJ135"/>
      <c r="AK135"/>
      <c r="AL135"/>
    </row>
    <row r="136" spans="2:38" ht="39.950000000000003" customHeight="1">
      <c r="B136" s="2448" t="str">
        <f>+OperatingFunds!B136</f>
        <v>Other State Funds:  Aquatic Lands (02R-1); Economic Development Strategic Reserve (09R-1); Geoduck Aquaculture (12P-1); Biotoxin (15M-1); Aerospace Training (17R-1); Workforce Education Investment (24J-1); Dedicated Marijuana (315-1); Pension Funding Stablilization (489-1); Accident (608-1); Medical Aid (609-1); Health Professions (747-1), and capital funds appropriated in the 2023-25 Operating Budget</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c r="AK136" s="2401"/>
      <c r="AL136" s="2401"/>
    </row>
    <row r="137" spans="2:38" ht="13.5">
      <c r="B137" s="33" t="str">
        <f>+$B$4</f>
        <v>(FY2024 Constant Dollars in Thousands)</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row>
    <row r="138" spans="2:38">
      <c r="I138" s="13"/>
      <c r="J138" s="13"/>
      <c r="K138" s="13"/>
      <c r="L138" s="13"/>
      <c r="M138" s="13"/>
      <c r="N138" s="13"/>
      <c r="O138" s="13"/>
      <c r="P138" s="13"/>
      <c r="Q138"/>
      <c r="R138" s="13"/>
      <c r="S138"/>
      <c r="T138"/>
      <c r="U138" s="2"/>
      <c r="V138" s="2"/>
      <c r="W138"/>
      <c r="X138"/>
      <c r="Y138"/>
      <c r="Z138"/>
      <c r="AA138"/>
      <c r="AB138"/>
      <c r="AC138"/>
      <c r="AD138" s="2"/>
      <c r="AE138" s="2"/>
      <c r="AF138" s="2"/>
      <c r="AG138" s="2"/>
      <c r="AH138" s="2"/>
      <c r="AI138" s="2" t="str">
        <f t="shared" ref="AI138:AK138" si="95">TRIM(+AI$5)</f>
        <v/>
      </c>
      <c r="AJ138" s="2" t="str">
        <f t="shared" si="95"/>
        <v/>
      </c>
      <c r="AK138" s="2" t="str">
        <f t="shared" si="95"/>
        <v>Final</v>
      </c>
      <c r="AL138" s="2" t="str">
        <f>TRIM(+AL$5)</f>
        <v>Enacted</v>
      </c>
    </row>
    <row r="139" spans="2:38">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+OperatingFunds!U139</f>
        <v>FY2008</v>
      </c>
      <c r="V139" s="2" t="str">
        <f>+OperatingFunds!V139</f>
        <v>FY2009</v>
      </c>
      <c r="W139" s="2" t="str">
        <f>+OperatingFunds!W139</f>
        <v>FY2010</v>
      </c>
      <c r="X139" s="2" t="str">
        <f>+OperatingFunds!X139</f>
        <v>FY2011</v>
      </c>
      <c r="Y139" s="2" t="str">
        <f>+OperatingFunds!Y139</f>
        <v>FY2012</v>
      </c>
      <c r="Z139" s="2" t="str">
        <f>+OperatingFunds!Z139</f>
        <v>FY2013</v>
      </c>
      <c r="AA139" s="2" t="str">
        <f>+OperatingFunds!AA139</f>
        <v>FY2014</v>
      </c>
      <c r="AB139" s="2" t="str">
        <f>+OperatingFunds!AB139</f>
        <v>FY2015</v>
      </c>
      <c r="AC139" s="2" t="str">
        <f>+OperatingFunds!AC139</f>
        <v>FY2016</v>
      </c>
      <c r="AD139" s="2" t="str">
        <f>+OperatingFunds!AD139</f>
        <v>FY2017</v>
      </c>
      <c r="AE139" s="2" t="str">
        <f>+OperatingFunds!AE139</f>
        <v>FY2018</v>
      </c>
      <c r="AF139" s="2" t="str">
        <f>+OperatingFunds!AF139</f>
        <v>FY2019</v>
      </c>
      <c r="AG139" s="2" t="str">
        <f>+OperatingFunds!AG139</f>
        <v>FY2020</v>
      </c>
      <c r="AH139" s="2" t="str">
        <f>+OperatingFunds!AH139</f>
        <v>FY2021</v>
      </c>
      <c r="AI139" s="2" t="str">
        <f>+OperatingFunds!AI139</f>
        <v>FY2022</v>
      </c>
      <c r="AJ139" s="2" t="str">
        <f>+OperatingFunds!AJ139</f>
        <v>FY2023</v>
      </c>
      <c r="AK139" s="2" t="str">
        <f>+OperatingFunds!AK139</f>
        <v>FY2024</v>
      </c>
      <c r="AL139" s="2" t="str">
        <f>+OperatingFunds!AL139</f>
        <v>FY2025</v>
      </c>
    </row>
    <row r="140" spans="2:38">
      <c r="R140" s="3"/>
    </row>
    <row r="141" spans="2:38">
      <c r="B141" s="1" t="str">
        <f>+$B$8</f>
        <v>University of Washington</v>
      </c>
      <c r="C141" s="3"/>
      <c r="D141" s="3"/>
      <c r="E141" s="3"/>
      <c r="F141" s="3"/>
      <c r="G141" s="3"/>
      <c r="H141" s="3"/>
      <c r="I141" s="3"/>
      <c r="J141" s="3"/>
      <c r="K141" s="3"/>
      <c r="L141" s="3"/>
      <c r="M141" s="3">
        <f>+OperatingFunds!M141/(EconomicIndicators!L$7/$C$162)</f>
        <v>8867.7577857062752</v>
      </c>
      <c r="N141" s="3">
        <f>+OperatingFunds!N141/(EconomicIndicators!M$7/$C$162)</f>
        <v>10289.689060503033</v>
      </c>
      <c r="O141" s="3">
        <f>+OperatingFunds!O141/(EconomicIndicators!N$7/$C$162)</f>
        <v>9359.793703383184</v>
      </c>
      <c r="P141" s="3">
        <f>+OperatingFunds!P141/(EconomicIndicators!O$7/$C$162)</f>
        <v>11270.143921763398</v>
      </c>
      <c r="Q141" s="3">
        <f>+OperatingFunds!Q141/(EconomicIndicators!P$7/$C$162)</f>
        <v>9099.3032161183201</v>
      </c>
      <c r="R141" s="3">
        <f>+OperatingFunds!R141/(EconomicIndicators!Q$7/$C$162)</f>
        <v>9078.2371884906806</v>
      </c>
      <c r="S141" s="3">
        <f>+OperatingFunds!S141/(EconomicIndicators!R$7/$C$162)</f>
        <v>8862.8596659656832</v>
      </c>
      <c r="T141" s="3">
        <f>+OperatingFunds!T141/(EconomicIndicators!S$7/$C$162)</f>
        <v>9850.7491574246651</v>
      </c>
      <c r="U141" s="3">
        <f>+OperatingFunds!U141/(EconomicIndicators!T$7/$C$162)</f>
        <v>8994.4327945985478</v>
      </c>
      <c r="V141" s="3">
        <f>+OperatingFunds!V141/(EconomicIndicators!U$7/$C$162)</f>
        <v>8757.963700020031</v>
      </c>
      <c r="W141" s="3">
        <f>+OperatingFunds!W141/(EconomicIndicators!V$7/$C$162)</f>
        <v>8959.5230531033521</v>
      </c>
      <c r="X141" s="3">
        <f>+OperatingFunds!X141/(EconomicIndicators!W$7/$C$162)</f>
        <v>9215.0365573192685</v>
      </c>
      <c r="Y141" s="3">
        <f>+OperatingFunds!Y141/(EconomicIndicators!X$7/$C$162)</f>
        <v>8054.8675024006761</v>
      </c>
      <c r="Z141" s="3">
        <f>+OperatingFunds!Z141/(EconomicIndicators!Y$7/$C$162)</f>
        <v>11305.314296546607</v>
      </c>
      <c r="AA141" s="3">
        <f>+OperatingFunds!AA141/(EconomicIndicators!Z$7/$C$162)</f>
        <v>9842.5719311575158</v>
      </c>
      <c r="AB141" s="3">
        <f>+OperatingFunds!AB141/(EconomicIndicators!AA$7/$C$162)</f>
        <v>12020.707185867363</v>
      </c>
      <c r="AC141" s="3">
        <f>+OperatingFunds!AC141/(EconomicIndicators!AB$7/$C$162)</f>
        <v>12064.206339122406</v>
      </c>
      <c r="AD141" s="3">
        <f>+OperatingFunds!AD141/(EconomicIndicators!AC$7/$C$162)</f>
        <v>11712.969321090182</v>
      </c>
      <c r="AE141" s="3">
        <f>+OperatingFunds!AE141/(EconomicIndicators!AD$7/$C$162)</f>
        <v>44127.14507616483</v>
      </c>
      <c r="AF141" s="3">
        <f>+OperatingFunds!AF141/(EconomicIndicators!AE$7/$C$162)</f>
        <v>42221.403278117876</v>
      </c>
      <c r="AG141" s="3">
        <f>+OperatingFunds!AG141/(EconomicIndicators!AF$7/$C$162)</f>
        <v>56376.580794592133</v>
      </c>
      <c r="AH141" s="3">
        <f>+OperatingFunds!AH141/(EconomicIndicators!AG$7/$C$162)</f>
        <v>70596.986053735847</v>
      </c>
      <c r="AI141" s="3">
        <f>+OperatingFunds!AI141/(EconomicIndicators!AH$7/$C$162)</f>
        <v>38870.598968266539</v>
      </c>
      <c r="AJ141" s="3">
        <f>+OperatingFunds!AJ141/(EconomicIndicators!AI$7/$C$162)</f>
        <v>40430.307820603237</v>
      </c>
      <c r="AK141" s="3">
        <f>+OperatingFunds!AK141/(EconomicIndicators!AJ$7/$C$162)</f>
        <v>46788.052269999993</v>
      </c>
      <c r="AL141" s="3">
        <f>+OperatingFunds!AL141/(EconomicIndicators!AI$7/$C$162)</f>
        <v>63396.997086700205</v>
      </c>
    </row>
    <row r="142" spans="2:38">
      <c r="B142" s="1" t="str">
        <f>+$B$9</f>
        <v>Washington State University</v>
      </c>
      <c r="C142" s="3"/>
      <c r="D142" s="3"/>
      <c r="E142" s="3"/>
      <c r="F142" s="3"/>
      <c r="G142" s="3"/>
      <c r="H142" s="3"/>
      <c r="I142" s="3"/>
      <c r="J142" s="3"/>
      <c r="K142" s="3"/>
      <c r="L142" s="3"/>
      <c r="M142" s="3">
        <f>+OperatingFunds!M142/(EconomicIndicators!L$7/$C$162)</f>
        <v>0</v>
      </c>
      <c r="N142" s="3">
        <f>+OperatingFunds!N142/(EconomicIndicators!M$7/$C$162)</f>
        <v>0</v>
      </c>
      <c r="O142" s="3">
        <f>+OperatingFunds!O142/(EconomicIndicators!N$7/$C$162)</f>
        <v>0</v>
      </c>
      <c r="P142" s="3">
        <f>+OperatingFunds!P142/(EconomicIndicators!O$7/$C$162)</f>
        <v>0</v>
      </c>
      <c r="Q142" s="3">
        <f>+OperatingFunds!Q142/(EconomicIndicators!P$7/$C$162)</f>
        <v>0</v>
      </c>
      <c r="R142" s="3">
        <f>+OperatingFunds!R142/(EconomicIndicators!Q$7/$C$162)</f>
        <v>226.43604688955818</v>
      </c>
      <c r="S142" s="3">
        <f>+OperatingFunds!S142/(EconomicIndicators!R$7/$C$162)</f>
        <v>0</v>
      </c>
      <c r="T142" s="3">
        <f>+OperatingFunds!T142/(EconomicIndicators!S$7/$C$162)</f>
        <v>418.65012032049003</v>
      </c>
      <c r="U142" s="3">
        <f>+OperatingFunds!U142/(EconomicIndicators!T$7/$C$162)</f>
        <v>1698.2132789440523</v>
      </c>
      <c r="V142" s="3">
        <f>+OperatingFunds!V142/(EconomicIndicators!U$7/$C$162)</f>
        <v>1681.3070901819665</v>
      </c>
      <c r="W142" s="3">
        <f>+OperatingFunds!W142/(EconomicIndicators!V$7/$C$162)</f>
        <v>0</v>
      </c>
      <c r="X142" s="3">
        <f>+OperatingFunds!X142/(EconomicIndicators!W$7/$C$162)</f>
        <v>0</v>
      </c>
      <c r="Y142" s="3">
        <f>+OperatingFunds!Y142/(EconomicIndicators!X$7/$C$162)</f>
        <v>0</v>
      </c>
      <c r="Z142" s="3">
        <f>+OperatingFunds!Z142/(EconomicIndicators!Y$7/$C$162)</f>
        <v>0</v>
      </c>
      <c r="AA142" s="3">
        <f>+OperatingFunds!AA142/(EconomicIndicators!Z$7/$C$162)</f>
        <v>0</v>
      </c>
      <c r="AB142" s="3">
        <f>+OperatingFunds!AB142/(EconomicIndicators!AA$7/$C$162)</f>
        <v>0</v>
      </c>
      <c r="AC142" s="3">
        <f>+OperatingFunds!AC142/(EconomicIndicators!AB$7/$C$162)</f>
        <v>172.42678224480647</v>
      </c>
      <c r="AD142" s="3">
        <f>+OperatingFunds!AD142/(EconomicIndicators!AC$7/$C$162)</f>
        <v>169.84671644603574</v>
      </c>
      <c r="AE142" s="3">
        <f>+OperatingFunds!AE142/(EconomicIndicators!AD$7/$C$162)</f>
        <v>19382.188303992141</v>
      </c>
      <c r="AF142" s="3">
        <f>+OperatingFunds!AF142/(EconomicIndicators!AE$7/$C$162)</f>
        <v>19011.572992534853</v>
      </c>
      <c r="AG142" s="3">
        <f>+OperatingFunds!AG142/(EconomicIndicators!AF$7/$C$162)</f>
        <v>26661.518710213433</v>
      </c>
      <c r="AH142" s="3">
        <f>+OperatingFunds!AH142/(EconomicIndicators!AG$7/$C$162)</f>
        <v>33389.631145963365</v>
      </c>
      <c r="AI142" s="3">
        <f>+OperatingFunds!AI142/(EconomicIndicators!AH$7/$C$162)</f>
        <v>16667.321292410797</v>
      </c>
      <c r="AJ142" s="3">
        <f>+OperatingFunds!AJ142/(EconomicIndicators!AI$7/$C$162)</f>
        <v>17965.465266773623</v>
      </c>
      <c r="AK142" s="3">
        <f>+OperatingFunds!AK142/(EconomicIndicators!AJ$7/$C$162)</f>
        <v>23737</v>
      </c>
      <c r="AL142" s="3">
        <f>+OperatingFunds!AL142/(EconomicIndicators!AI$7/$C$162)</f>
        <v>27260.359044516405</v>
      </c>
    </row>
    <row r="143" spans="2:38">
      <c r="B143" s="1" t="str">
        <f>+$B$10</f>
        <v>Eastern Washington University</v>
      </c>
      <c r="C143" s="3"/>
      <c r="D143" s="3"/>
      <c r="E143" s="3"/>
      <c r="F143" s="3"/>
      <c r="G143" s="3"/>
      <c r="H143" s="3"/>
      <c r="I143" s="3"/>
      <c r="J143" s="3"/>
      <c r="K143" s="3"/>
      <c r="L143" s="3"/>
      <c r="M143" s="3">
        <f>+OperatingFunds!M143/(EconomicIndicators!L$7/$C$162)</f>
        <v>0</v>
      </c>
      <c r="N143" s="3">
        <f>+OperatingFunds!N143/(EconomicIndicators!M$7/$C$162)</f>
        <v>0</v>
      </c>
      <c r="O143" s="3">
        <f>+OperatingFunds!O143/(EconomicIndicators!N$7/$C$162)</f>
        <v>0</v>
      </c>
      <c r="P143" s="3">
        <f>+OperatingFunds!P143/(EconomicIndicators!O$7/$C$162)</f>
        <v>0</v>
      </c>
      <c r="Q143" s="3">
        <f>+OperatingFunds!Q143/(EconomicIndicators!P$7/$C$162)</f>
        <v>0</v>
      </c>
      <c r="R143" s="3">
        <f>+OperatingFunds!R143/(EconomicIndicators!Q$7/$C$162)</f>
        <v>0</v>
      </c>
      <c r="S143" s="3">
        <f>+OperatingFunds!S143/(EconomicIndicators!R$7/$C$162)</f>
        <v>0</v>
      </c>
      <c r="T143" s="3">
        <f>+OperatingFunds!T143/(EconomicIndicators!S$7/$C$162)</f>
        <v>157.1724001203205</v>
      </c>
      <c r="U143" s="3">
        <f>+OperatingFunds!U143/(EconomicIndicators!T$7/$C$162)</f>
        <v>3297.9995025370617</v>
      </c>
      <c r="V143" s="3">
        <f>+OperatingFunds!V143/(EconomicIndicators!U$7/$C$162)</f>
        <v>3265.16699391257</v>
      </c>
      <c r="W143" s="3">
        <f>+OperatingFunds!W143/(EconomicIndicators!V$7/$C$162)</f>
        <v>0</v>
      </c>
      <c r="X143" s="3">
        <f>+OperatingFunds!X143/(EconomicIndicators!W$7/$C$162)</f>
        <v>0</v>
      </c>
      <c r="Y143" s="3">
        <f>+OperatingFunds!Y143/(EconomicIndicators!X$7/$C$162)</f>
        <v>0</v>
      </c>
      <c r="Z143" s="3">
        <f>+OperatingFunds!Z143/(EconomicIndicators!Y$7/$C$162)</f>
        <v>0</v>
      </c>
      <c r="AA143" s="3">
        <f>+OperatingFunds!AA143/(EconomicIndicators!Z$7/$C$162)</f>
        <v>0</v>
      </c>
      <c r="AB143" s="3">
        <f>+OperatingFunds!AB143/(EconomicIndicators!AA$7/$C$162)</f>
        <v>0</v>
      </c>
      <c r="AC143" s="3">
        <f>+OperatingFunds!AC143/(EconomicIndicators!AB$7/$C$162)</f>
        <v>0</v>
      </c>
      <c r="AD143" s="3">
        <f>+OperatingFunds!AD143/(EconomicIndicators!AC$7/$C$162)</f>
        <v>0</v>
      </c>
      <c r="AE143" s="3">
        <f>+OperatingFunds!AE143/(EconomicIndicators!AD$7/$C$162)</f>
        <v>0</v>
      </c>
      <c r="AF143" s="3">
        <f>+OperatingFunds!AF143/(EconomicIndicators!AE$7/$C$162)</f>
        <v>0</v>
      </c>
      <c r="AG143" s="3">
        <f>+OperatingFunds!AG143/(EconomicIndicators!AF$7/$C$162)</f>
        <v>2340.685171047166</v>
      </c>
      <c r="AH143" s="3">
        <f>+OperatingFunds!AH143/(EconomicIndicators!AG$7/$C$162)</f>
        <v>2821.6427821190346</v>
      </c>
      <c r="AI143" s="3">
        <f>+OperatingFunds!AI143/(EconomicIndicators!AH$7/$C$162)</f>
        <v>2824.1428363945706</v>
      </c>
      <c r="AJ143" s="3">
        <f>+OperatingFunds!AJ143/(EconomicIndicators!AI$7/$C$162)</f>
        <v>12999.686008287159</v>
      </c>
      <c r="AK143" s="3">
        <f>+OperatingFunds!AK143/(EconomicIndicators!AJ$7/$C$162)</f>
        <v>12374</v>
      </c>
      <c r="AL143" s="3">
        <f>+OperatingFunds!AL143/(EconomicIndicators!AI$7/$C$162)</f>
        <v>12892.718103796149</v>
      </c>
    </row>
    <row r="144" spans="2:38">
      <c r="B144" s="1" t="str">
        <f>+$B$11</f>
        <v>Central Washington University</v>
      </c>
      <c r="C144" s="3"/>
      <c r="D144" s="3"/>
      <c r="E144" s="3"/>
      <c r="F144" s="3"/>
      <c r="G144" s="3"/>
      <c r="H144" s="3"/>
      <c r="I144" s="3"/>
      <c r="J144" s="3"/>
      <c r="K144" s="3"/>
      <c r="L144" s="3"/>
      <c r="M144" s="3">
        <f>+OperatingFunds!M144/(EconomicIndicators!L$7/$C$162)</f>
        <v>0</v>
      </c>
      <c r="N144" s="3">
        <f>+OperatingFunds!N144/(EconomicIndicators!M$7/$C$162)</f>
        <v>0</v>
      </c>
      <c r="O144" s="3">
        <f>+OperatingFunds!O144/(EconomicIndicators!N$7/$C$162)</f>
        <v>0</v>
      </c>
      <c r="P144" s="3">
        <f>+OperatingFunds!P144/(EconomicIndicators!O$7/$C$162)</f>
        <v>0</v>
      </c>
      <c r="Q144" s="3">
        <f>+OperatingFunds!Q144/(EconomicIndicators!P$7/$C$162)</f>
        <v>0</v>
      </c>
      <c r="R144" s="3">
        <f>+OperatingFunds!R144/(EconomicIndicators!Q$7/$C$162)</f>
        <v>0</v>
      </c>
      <c r="S144" s="3">
        <f>+OperatingFunds!S144/(EconomicIndicators!R$7/$C$162)</f>
        <v>0</v>
      </c>
      <c r="T144" s="3">
        <f>+OperatingFunds!T144/(EconomicIndicators!S$7/$C$162)</f>
        <v>147.17052011266372</v>
      </c>
      <c r="U144" s="3">
        <f>+OperatingFunds!U144/(EconomicIndicators!T$7/$C$162)</f>
        <v>3001.3320399296927</v>
      </c>
      <c r="V144" s="3">
        <f>+OperatingFunds!V144/(EconomicIndicators!U$7/$C$162)</f>
        <v>2971.452938974659</v>
      </c>
      <c r="W144" s="3">
        <f>+OperatingFunds!W144/(EconomicIndicators!V$7/$C$162)</f>
        <v>0</v>
      </c>
      <c r="X144" s="3">
        <f>+OperatingFunds!X144/(EconomicIndicators!W$7/$C$162)</f>
        <v>0</v>
      </c>
      <c r="Y144" s="3">
        <f>+OperatingFunds!Y144/(EconomicIndicators!X$7/$C$162)</f>
        <v>0</v>
      </c>
      <c r="Z144" s="3">
        <f>+OperatingFunds!Z144/(EconomicIndicators!Y$7/$C$162)</f>
        <v>0</v>
      </c>
      <c r="AA144" s="3">
        <f>+OperatingFunds!AA144/(EconomicIndicators!Z$7/$C$162)</f>
        <v>0</v>
      </c>
      <c r="AB144" s="3">
        <f>+OperatingFunds!AB144/(EconomicIndicators!AA$7/$C$162)</f>
        <v>0</v>
      </c>
      <c r="AC144" s="3">
        <f>+OperatingFunds!AC144/(EconomicIndicators!AB$7/$C$162)</f>
        <v>0</v>
      </c>
      <c r="AD144" s="3">
        <f>+OperatingFunds!AD144/(EconomicIndicators!AC$7/$C$162)</f>
        <v>0</v>
      </c>
      <c r="AE144" s="3">
        <f>+OperatingFunds!AE144/(EconomicIndicators!AD$7/$C$162)</f>
        <v>2414.919159945654</v>
      </c>
      <c r="AF144" s="3">
        <f>+OperatingFunds!AF144/(EconomicIndicators!AE$7/$C$162)</f>
        <v>2373.0328290288494</v>
      </c>
      <c r="AG144" s="3">
        <f>+OperatingFunds!AG144/(EconomicIndicators!AF$7/$C$162)</f>
        <v>4217.9264109847427</v>
      </c>
      <c r="AH144" s="3">
        <f>+OperatingFunds!AH144/(EconomicIndicators!AG$7/$C$162)</f>
        <v>4608.8747683492174</v>
      </c>
      <c r="AI144" s="3">
        <f>+OperatingFunds!AI144/(EconomicIndicators!AH$7/$C$162)</f>
        <v>2221.3720998303829</v>
      </c>
      <c r="AJ144" s="3">
        <f>+OperatingFunds!AJ144/(EconomicIndicators!AI$7/$C$162)</f>
        <v>3186.4072517051668</v>
      </c>
      <c r="AK144" s="3">
        <f>+OperatingFunds!AK144/(EconomicIndicators!AJ$7/$C$162)</f>
        <v>7948.835</v>
      </c>
      <c r="AL144" s="3">
        <f>+OperatingFunds!AL144/(EconomicIndicators!AI$7/$C$162)</f>
        <v>8144.9888044644367</v>
      </c>
    </row>
    <row r="145" spans="2:38">
      <c r="B145" s="1" t="str">
        <f>+$B$12</f>
        <v>The Evergreen State College</v>
      </c>
      <c r="C145" s="3"/>
      <c r="D145" s="3"/>
      <c r="E145" s="3"/>
      <c r="F145" s="3"/>
      <c r="G145" s="3"/>
      <c r="H145" s="3"/>
      <c r="I145" s="3"/>
      <c r="J145" s="3"/>
      <c r="K145" s="3"/>
      <c r="L145" s="3"/>
      <c r="M145" s="3">
        <f>+OperatingFunds!M145/(EconomicIndicators!L$7/$C$162)</f>
        <v>0</v>
      </c>
      <c r="N145" s="3">
        <f>+OperatingFunds!N145/(EconomicIndicators!M$7/$C$162)</f>
        <v>0</v>
      </c>
      <c r="O145" s="3">
        <f>+OperatingFunds!O145/(EconomicIndicators!N$7/$C$162)</f>
        <v>0</v>
      </c>
      <c r="P145" s="3">
        <f>+OperatingFunds!P145/(EconomicIndicators!O$7/$C$162)</f>
        <v>0</v>
      </c>
      <c r="Q145" s="3">
        <f>+OperatingFunds!Q145/(EconomicIndicators!P$7/$C$162)</f>
        <v>0</v>
      </c>
      <c r="R145" s="3">
        <f>+OperatingFunds!R145/(EconomicIndicators!Q$7/$C$162)</f>
        <v>0</v>
      </c>
      <c r="S145" s="3">
        <f>+OperatingFunds!S145/(EconomicIndicators!R$7/$C$162)</f>
        <v>0</v>
      </c>
      <c r="T145" s="3">
        <f>+OperatingFunds!T145/(EconomicIndicators!S$7/$C$162)</f>
        <v>107.1630000820367</v>
      </c>
      <c r="U145" s="3">
        <f>+OperatingFunds!U145/(EconomicIndicators!T$7/$C$162)</f>
        <v>0</v>
      </c>
      <c r="V145" s="3">
        <f>+OperatingFunds!V145/(EconomicIndicators!U$7/$C$162)</f>
        <v>0</v>
      </c>
      <c r="W145" s="3">
        <f>+OperatingFunds!W145/(EconomicIndicators!V$7/$C$162)</f>
        <v>0</v>
      </c>
      <c r="X145" s="3">
        <f>+OperatingFunds!X145/(EconomicIndicators!W$7/$C$162)</f>
        <v>0</v>
      </c>
      <c r="Y145" s="3">
        <f>+OperatingFunds!Y145/(EconomicIndicators!X$7/$C$162)</f>
        <v>0</v>
      </c>
      <c r="Z145" s="3">
        <f>+OperatingFunds!Z145/(EconomicIndicators!Y$7/$C$162)</f>
        <v>0</v>
      </c>
      <c r="AA145" s="3">
        <f>+OperatingFunds!AA145/(EconomicIndicators!Z$7/$C$162)</f>
        <v>0</v>
      </c>
      <c r="AB145" s="3">
        <f>+OperatingFunds!AB145/(EconomicIndicators!AA$7/$C$162)</f>
        <v>0</v>
      </c>
      <c r="AC145" s="3">
        <f>+OperatingFunds!AC145/(EconomicIndicators!AB$7/$C$162)</f>
        <v>0</v>
      </c>
      <c r="AD145" s="3">
        <f>+OperatingFunds!AD145/(EconomicIndicators!AC$7/$C$162)</f>
        <v>0</v>
      </c>
      <c r="AE145" s="3">
        <f>+OperatingFunds!AE145/(EconomicIndicators!AD$7/$C$162)</f>
        <v>50.751365883271191</v>
      </c>
      <c r="AF145" s="3">
        <f>+OperatingFunds!AF145/(EconomicIndicators!AE$7/$C$162)</f>
        <v>47.49627878966924</v>
      </c>
      <c r="AG145" s="3">
        <f>+OperatingFunds!AG145/(EconomicIndicators!AF$7/$C$162)</f>
        <v>1657.8386700198726</v>
      </c>
      <c r="AH145" s="3">
        <f>+OperatingFunds!AH145/(EconomicIndicators!AG$7/$C$162)</f>
        <v>2291.7945855581893</v>
      </c>
      <c r="AI145" s="3">
        <f>+OperatingFunds!AI145/(EconomicIndicators!AH$7/$C$162)</f>
        <v>2160.6589915295122</v>
      </c>
      <c r="AJ145" s="3">
        <f>+OperatingFunds!AJ145/(EconomicIndicators!AI$7/$C$162)</f>
        <v>2049.8753235632807</v>
      </c>
      <c r="AK145" s="3">
        <f>+OperatingFunds!AK145/(EconomicIndicators!AJ$7/$C$162)</f>
        <v>2817</v>
      </c>
      <c r="AL145" s="3">
        <f>+OperatingFunds!AL145/(EconomicIndicators!AI$7/$C$162)</f>
        <v>3151.4390323120383</v>
      </c>
    </row>
    <row r="146" spans="2:38">
      <c r="B146" s="1" t="str">
        <f>+$B$13</f>
        <v>Western Washington University</v>
      </c>
      <c r="C146" s="41"/>
      <c r="D146" s="41"/>
      <c r="E146" s="41"/>
      <c r="F146" s="41"/>
      <c r="G146" s="41"/>
      <c r="H146" s="41"/>
      <c r="I146" s="41"/>
      <c r="J146" s="41"/>
      <c r="K146" s="41"/>
      <c r="L146" s="41"/>
      <c r="M146" s="41">
        <f>+OperatingFunds!M146/(EconomicIndicators!L$7/$C$162)</f>
        <v>0</v>
      </c>
      <c r="N146" s="41">
        <f>+OperatingFunds!N146/(EconomicIndicators!M$7/$C$162)</f>
        <v>0</v>
      </c>
      <c r="O146" s="41">
        <f>+OperatingFunds!O146/(EconomicIndicators!N$7/$C$162)</f>
        <v>0</v>
      </c>
      <c r="P146" s="41">
        <f>+OperatingFunds!P146/(EconomicIndicators!O$7/$C$162)</f>
        <v>0</v>
      </c>
      <c r="Q146" s="41">
        <f>+OperatingFunds!Q146/(EconomicIndicators!P$7/$C$162)</f>
        <v>0</v>
      </c>
      <c r="R146" s="41">
        <f>+OperatingFunds!R146/(EconomicIndicators!Q$7/$C$162)</f>
        <v>0</v>
      </c>
      <c r="S146" s="41">
        <f>+OperatingFunds!S146/(EconomicIndicators!R$7/$C$162)</f>
        <v>0</v>
      </c>
      <c r="T146" s="41">
        <f>+OperatingFunds!T146/(EconomicIndicators!S$7/$C$162)</f>
        <v>230.04324017610546</v>
      </c>
      <c r="U146" s="41">
        <f>+OperatingFunds!U146/(EconomicIndicators!T$7/$C$162)</f>
        <v>0</v>
      </c>
      <c r="V146" s="41">
        <f>+OperatingFunds!V146/(EconomicIndicators!U$7/$C$162)</f>
        <v>0</v>
      </c>
      <c r="W146" s="41">
        <f>+OperatingFunds!W146/(EconomicIndicators!V$7/$C$162)</f>
        <v>0</v>
      </c>
      <c r="X146" s="41">
        <f>+OperatingFunds!X146/(EconomicIndicators!W$7/$C$162)</f>
        <v>0</v>
      </c>
      <c r="Y146" s="41">
        <f>+OperatingFunds!Y146/(EconomicIndicators!X$7/$C$162)</f>
        <v>0</v>
      </c>
      <c r="Z146" s="41">
        <f>+OperatingFunds!Z146/(EconomicIndicators!Y$7/$C$162)</f>
        <v>0</v>
      </c>
      <c r="AA146" s="41">
        <f>+OperatingFunds!AA146/(EconomicIndicators!Z$7/$C$162)</f>
        <v>0</v>
      </c>
      <c r="AB146" s="41">
        <f>+OperatingFunds!AB146/(EconomicIndicators!AA$7/$C$162)</f>
        <v>0</v>
      </c>
      <c r="AC146" s="41">
        <f>+OperatingFunds!AC146/(EconomicIndicators!AB$7/$C$162)</f>
        <v>0</v>
      </c>
      <c r="AD146" s="41">
        <f>+OperatingFunds!AD146/(EconomicIndicators!AC$7/$C$162)</f>
        <v>0</v>
      </c>
      <c r="AE146" s="41">
        <f>+OperatingFunds!AE146/(EconomicIndicators!AD$7/$C$162)</f>
        <v>537.07957996386563</v>
      </c>
      <c r="AF146" s="41">
        <f>+OperatingFunds!AF146/(EconomicIndicators!AE$7/$C$162)</f>
        <v>845.4337624561125</v>
      </c>
      <c r="AG146" s="41">
        <f>+OperatingFunds!AG146/(EconomicIndicators!AF$7/$C$162)</f>
        <v>3629.5530491762011</v>
      </c>
      <c r="AH146" s="41">
        <f>+OperatingFunds!AH146/(EconomicIndicators!AG$7/$C$162)</f>
        <v>4061.4751146615017</v>
      </c>
      <c r="AI146" s="41">
        <f>+OperatingFunds!AI146/(EconomicIndicators!AH$7/$C$162)</f>
        <v>4441.045919525176</v>
      </c>
      <c r="AJ146" s="41">
        <f>+OperatingFunds!AJ146/(EconomicIndicators!AI$7/$C$162)</f>
        <v>6189.3746577323027</v>
      </c>
      <c r="AK146" s="41">
        <f>+OperatingFunds!AK146/(EconomicIndicators!AJ$7/$C$162)</f>
        <v>11392.854170000001</v>
      </c>
      <c r="AL146" s="41">
        <f>+OperatingFunds!AL146/(EconomicIndicators!AI$7/$C$162)</f>
        <v>13643.550510319579</v>
      </c>
    </row>
    <row r="147" spans="2:38">
      <c r="B147" s="199" t="str">
        <f>+$B$14</f>
        <v>Total Four-Year Institutions</v>
      </c>
      <c r="C147" s="42"/>
      <c r="D147" s="42"/>
      <c r="E147" s="42"/>
      <c r="F147" s="42"/>
      <c r="G147" s="42"/>
      <c r="H147" s="42"/>
      <c r="I147" s="42"/>
      <c r="J147" s="42"/>
      <c r="K147" s="42"/>
      <c r="L147" s="42"/>
      <c r="M147" s="42">
        <f>+OperatingFunds!M147/(EconomicIndicators!L$7/$C$162)</f>
        <v>8867.7577857062752</v>
      </c>
      <c r="N147" s="42">
        <f>+OperatingFunds!N147/(EconomicIndicators!M$7/$C$162)</f>
        <v>10289.689060503033</v>
      </c>
      <c r="O147" s="42">
        <f>+OperatingFunds!O147/(EconomicIndicators!N$7/$C$162)</f>
        <v>9359.793703383184</v>
      </c>
      <c r="P147" s="42">
        <f>+OperatingFunds!P147/(EconomicIndicators!O$7/$C$162)</f>
        <v>11270.143921763398</v>
      </c>
      <c r="Q147" s="42">
        <f>+OperatingFunds!Q147/(EconomicIndicators!P$7/$C$162)</f>
        <v>9099.3032161183201</v>
      </c>
      <c r="R147" s="42">
        <f>+OperatingFunds!R147/(EconomicIndicators!Q$7/$C$162)</f>
        <v>9304.6732353802399</v>
      </c>
      <c r="S147" s="42">
        <f>+OperatingFunds!S147/(EconomicIndicators!R$7/$C$162)</f>
        <v>8862.8596659656832</v>
      </c>
      <c r="T147" s="42">
        <f>+OperatingFunds!T147/(EconomicIndicators!S$7/$C$162)</f>
        <v>10910.948438236281</v>
      </c>
      <c r="U147" s="42">
        <f>+OperatingFunds!U147/(EconomicIndicators!T$7/$C$162)</f>
        <v>16991.977616009357</v>
      </c>
      <c r="V147" s="42">
        <f>+OperatingFunds!V147/(EconomicIndicators!U$7/$C$162)</f>
        <v>16675.890723089226</v>
      </c>
      <c r="W147" s="42">
        <f>+OperatingFunds!W147/(EconomicIndicators!V$7/$C$162)</f>
        <v>8959.5230531033521</v>
      </c>
      <c r="X147" s="42">
        <f>+OperatingFunds!X147/(EconomicIndicators!W$7/$C$162)</f>
        <v>9215.0365573192685</v>
      </c>
      <c r="Y147" s="42">
        <f>+OperatingFunds!Y147/(EconomicIndicators!X$7/$C$162)</f>
        <v>8054.8675024006761</v>
      </c>
      <c r="Z147" s="42">
        <f>+OperatingFunds!Z147/(EconomicIndicators!Y$7/$C$162)</f>
        <v>11305.314296546607</v>
      </c>
      <c r="AA147" s="42">
        <f>+OperatingFunds!AA147/(EconomicIndicators!Z$7/$C$162)</f>
        <v>9842.5719311575158</v>
      </c>
      <c r="AB147" s="42">
        <f>+OperatingFunds!AB147/(EconomicIndicators!AA$7/$C$162)</f>
        <v>12020.707185867363</v>
      </c>
      <c r="AC147" s="42">
        <f>+OperatingFunds!AC147/(EconomicIndicators!AB$7/$C$162)</f>
        <v>12236.633121367211</v>
      </c>
      <c r="AD147" s="42">
        <f>+OperatingFunds!AD147/(EconomicIndicators!AC$7/$C$162)</f>
        <v>11882.816037536217</v>
      </c>
      <c r="AE147" s="42">
        <f>+OperatingFunds!AE147/(EconomicIndicators!AD$7/$C$162)</f>
        <v>66512.083485949755</v>
      </c>
      <c r="AF147" s="42">
        <f>+OperatingFunds!AF147/(EconomicIndicators!AE$7/$C$162)</f>
        <v>64498.939140927359</v>
      </c>
      <c r="AG147" s="42">
        <f>+OperatingFunds!AG147/(EconomicIndicators!AF$7/$C$162)</f>
        <v>94884.102806033537</v>
      </c>
      <c r="AH147" s="42">
        <f>+OperatingFunds!AH147/(EconomicIndicators!AG$7/$C$162)</f>
        <v>117770.40445038717</v>
      </c>
      <c r="AI147" s="42">
        <f>+OperatingFunds!AI147/(EconomicIndicators!AH$7/$C$162)</f>
        <v>67185.140107956977</v>
      </c>
      <c r="AJ147" s="42">
        <f>+OperatingFunds!AJ147/(EconomicIndicators!AI$7/$C$162)</f>
        <v>82821.116328664779</v>
      </c>
      <c r="AK147" s="42">
        <f>+OperatingFunds!AK147/(EconomicIndicators!AJ$7/$C$162)</f>
        <v>105057.74144</v>
      </c>
      <c r="AL147" s="42">
        <f>+OperatingFunds!AL147/(EconomicIndicators!AI$7/$C$162)</f>
        <v>128490.05258210882</v>
      </c>
    </row>
    <row r="148" spans="2:3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row>
    <row r="149" spans="2:38">
      <c r="B149" s="1" t="str">
        <f>+$B$16</f>
        <v>Community/Technical College System</v>
      </c>
      <c r="C149" s="3"/>
      <c r="D149" s="3"/>
      <c r="E149" s="3"/>
      <c r="F149" s="3"/>
      <c r="G149" s="3"/>
      <c r="H149" s="3"/>
      <c r="I149" s="3"/>
      <c r="J149" s="3"/>
      <c r="K149" s="3"/>
      <c r="L149" s="3"/>
      <c r="M149" s="3">
        <f>+OperatingFunds!M149/(EconomicIndicators!L$7/$C$162)</f>
        <v>0</v>
      </c>
      <c r="N149" s="3">
        <f>+OperatingFunds!N149/(EconomicIndicators!M$7/$C$162)</f>
        <v>0</v>
      </c>
      <c r="O149" s="3">
        <f>+OperatingFunds!O149/(EconomicIndicators!N$7/$C$162)</f>
        <v>0</v>
      </c>
      <c r="P149" s="3">
        <f>+OperatingFunds!P149/(EconomicIndicators!O$7/$C$162)</f>
        <v>0</v>
      </c>
      <c r="Q149" s="3">
        <f>+OperatingFunds!Q149/(EconomicIndicators!P$7/$C$162)</f>
        <v>0</v>
      </c>
      <c r="R149" s="3">
        <f>+OperatingFunds!R149/(EconomicIndicators!Q$7/$C$162)</f>
        <v>0</v>
      </c>
      <c r="S149" s="3">
        <f>+OperatingFunds!S149/(EconomicIndicators!R$7/$C$162)</f>
        <v>0</v>
      </c>
      <c r="T149" s="3">
        <f>+OperatingFunds!T149/(EconomicIndicators!S$7/$C$162)</f>
        <v>1823.1998413957176</v>
      </c>
      <c r="U149" s="3">
        <f>+OperatingFunds!U149/(EconomicIndicators!T$7/$C$162)</f>
        <v>30498.52419328094</v>
      </c>
      <c r="V149" s="3">
        <f>+OperatingFunds!V149/(EconomicIndicators!U$7/$C$162)</f>
        <v>38155.377230251972</v>
      </c>
      <c r="W149" s="3">
        <f>+OperatingFunds!W149/(EconomicIndicators!V$7/$C$162)</f>
        <v>0</v>
      </c>
      <c r="X149" s="3">
        <f>+OperatingFunds!X149/(EconomicIndicators!W$7/$C$162)</f>
        <v>0</v>
      </c>
      <c r="Y149" s="3">
        <f>+OperatingFunds!Y149/(EconomicIndicators!X$7/$C$162)</f>
        <v>5231.6662099290606</v>
      </c>
      <c r="Z149" s="3">
        <f>+OperatingFunds!Z149/(EconomicIndicators!Y$7/$C$162)</f>
        <v>10264.291004232067</v>
      </c>
      <c r="AA149" s="3">
        <f>+OperatingFunds!AA149/(EconomicIndicators!Z$7/$C$162)</f>
        <v>10600.048650822173</v>
      </c>
      <c r="AB149" s="3">
        <f>+OperatingFunds!AB149/(EconomicIndicators!AA$7/$C$162)</f>
        <v>10535.79787960899</v>
      </c>
      <c r="AC149" s="3">
        <f>+OperatingFunds!AC149/(EconomicIndicators!AB$7/$C$162)</f>
        <v>10478.52049547153</v>
      </c>
      <c r="AD149" s="3">
        <f>+OperatingFunds!AD149/(EconomicIndicators!AC$7/$C$162)</f>
        <v>10332.755456965187</v>
      </c>
      <c r="AE149" s="3">
        <f>+OperatingFunds!AE149/(EconomicIndicators!AD$7/$C$162)</f>
        <v>52116.741963287379</v>
      </c>
      <c r="AF149" s="3">
        <f>+OperatingFunds!AF149/(EconomicIndicators!AE$7/$C$162)</f>
        <v>54188.660092691091</v>
      </c>
      <c r="AG149" s="3">
        <f>+OperatingFunds!AG149/(EconomicIndicators!AF$7/$C$162)</f>
        <v>94485.66644845964</v>
      </c>
      <c r="AH149" s="3">
        <f>+OperatingFunds!AH149/(EconomicIndicators!AG$7/$C$162)</f>
        <v>149971.2108302147</v>
      </c>
      <c r="AI149" s="3">
        <f>+OperatingFunds!AI149/(EconomicIndicators!AH$7/$C$162)</f>
        <v>121693.22640584817</v>
      </c>
      <c r="AJ149" s="3">
        <f>+OperatingFunds!AJ149/(EconomicIndicators!AI$7/$C$162)</f>
        <v>146019.03905848353</v>
      </c>
      <c r="AK149" s="3">
        <f>+OperatingFunds!AK149/(EconomicIndicators!AJ$7/$C$162)</f>
        <v>153348.67937999999</v>
      </c>
      <c r="AL149" s="3">
        <f>+OperatingFunds!AL149/(EconomicIndicators!AI$7/$C$162)</f>
        <v>172707.91010107973</v>
      </c>
    </row>
    <row r="150" spans="2:38">
      <c r="B150" s="1" t="str">
        <f>+$B$17</f>
        <v>HEC Board, CHE, SFA, &amp; SAC (1)</v>
      </c>
      <c r="C150" s="3"/>
      <c r="D150" s="3"/>
      <c r="E150" s="3"/>
      <c r="F150" s="3"/>
      <c r="G150" s="3"/>
      <c r="H150" s="3"/>
      <c r="I150" s="3"/>
      <c r="J150" s="3"/>
      <c r="K150" s="3"/>
      <c r="L150" s="3"/>
      <c r="M150" s="3">
        <f>+OperatingFunds!M150/(EconomicIndicators!L$7/$C$162)</f>
        <v>0</v>
      </c>
      <c r="N150" s="3">
        <f>+OperatingFunds!N150/(EconomicIndicators!M$7/$C$162)</f>
        <v>0</v>
      </c>
      <c r="O150" s="3">
        <f>+OperatingFunds!O150/(EconomicIndicators!N$7/$C$162)</f>
        <v>0</v>
      </c>
      <c r="P150" s="3">
        <f>+OperatingFunds!P150/(EconomicIndicators!O$7/$C$162)</f>
        <v>0</v>
      </c>
      <c r="Q150" s="3">
        <f>+OperatingFunds!Q150/(EconomicIndicators!P$7/$C$162)</f>
        <v>0</v>
      </c>
      <c r="R150" s="3">
        <f>+OperatingFunds!R150/(EconomicIndicators!Q$7/$C$162)</f>
        <v>0</v>
      </c>
      <c r="S150" s="3">
        <f>+OperatingFunds!S150/(EconomicIndicators!R$7/$C$162)</f>
        <v>0</v>
      </c>
      <c r="T150" s="3">
        <f>+OperatingFunds!T150/(EconomicIndicators!S$7/$C$162)</f>
        <v>42.865200032814677</v>
      </c>
      <c r="U150" s="3">
        <f>+OperatingFunds!U150/(EconomicIndicators!T$7/$C$162)</f>
        <v>0</v>
      </c>
      <c r="V150" s="3">
        <f>+OperatingFunds!V150/(EconomicIndicators!U$7/$C$162)</f>
        <v>0</v>
      </c>
      <c r="W150" s="3">
        <f>+OperatingFunds!W150/(EconomicIndicators!V$7/$C$162)</f>
        <v>0</v>
      </c>
      <c r="X150" s="3">
        <f>+OperatingFunds!X150/(EconomicIndicators!W$7/$C$162)</f>
        <v>0</v>
      </c>
      <c r="Y150" s="3">
        <f>+OperatingFunds!Y150/(EconomicIndicators!X$7/$C$162)</f>
        <v>0</v>
      </c>
      <c r="Z150" s="3">
        <f>+OperatingFunds!Z150/(EconomicIndicators!Y$7/$C$162)</f>
        <v>0</v>
      </c>
      <c r="AA150" s="3">
        <f>+OperatingFunds!AA150/(EconomicIndicators!Z$7/$C$162)</f>
        <v>0</v>
      </c>
      <c r="AB150" s="3">
        <f>+OperatingFunds!AB150/(EconomicIndicators!AA$7/$C$162)</f>
        <v>0</v>
      </c>
      <c r="AC150" s="3">
        <f>+OperatingFunds!AC150/(EconomicIndicators!AB$7/$C$162)</f>
        <v>0</v>
      </c>
      <c r="AD150" s="3">
        <f>+OperatingFunds!AD150/(EconomicIndicators!AC$7/$C$162)</f>
        <v>75.060273244865044</v>
      </c>
      <c r="AE150" s="3">
        <f>+OperatingFunds!AE150/(EconomicIndicators!AD$7/$C$162)</f>
        <v>1722.2638416858904</v>
      </c>
      <c r="AF150" s="3">
        <f>+OperatingFunds!AF150/(EconomicIndicators!AE$7/$C$162)</f>
        <v>4692.1364120243388</v>
      </c>
      <c r="AG150" s="3">
        <f>+OperatingFunds!AG150/(EconomicIndicators!AF$7/$C$162)</f>
        <v>48922.625221533592</v>
      </c>
      <c r="AH150" s="3">
        <f>+OperatingFunds!AH150/(EconomicIndicators!AG$7/$C$162)</f>
        <v>146201.8640821845</v>
      </c>
      <c r="AI150" s="3">
        <f>+OperatingFunds!AI150/(EconomicIndicators!AH$7/$C$162)</f>
        <v>117206.36454176244</v>
      </c>
      <c r="AJ150" s="3">
        <f>+OperatingFunds!AJ150/(EconomicIndicators!AI$7/$C$162)</f>
        <v>117520.70403477827</v>
      </c>
      <c r="AK150" s="3">
        <f>+OperatingFunds!AK150/(EconomicIndicators!AJ$7/$C$162)</f>
        <v>164109.51916</v>
      </c>
      <c r="AL150" s="3">
        <f>+OperatingFunds!AL150/(EconomicIndicators!AI$7/$C$162)</f>
        <v>192482.57290631186</v>
      </c>
    </row>
    <row r="151" spans="2:38" ht="13.5" thickBot="1">
      <c r="C151" s="3"/>
      <c r="D151" s="3"/>
      <c r="E151" s="3"/>
      <c r="F151" s="3"/>
      <c r="G151" s="3"/>
      <c r="H151" s="3"/>
      <c r="I151" s="3"/>
      <c r="J151" s="3"/>
    </row>
    <row r="152" spans="2:38" ht="13.5" thickTop="1">
      <c r="B152" s="1" t="str">
        <f>+$B$19</f>
        <v>Total Higher Education</v>
      </c>
      <c r="C152" s="40"/>
      <c r="D152" s="40"/>
      <c r="E152" s="40"/>
      <c r="F152" s="40"/>
      <c r="G152" s="40"/>
      <c r="H152" s="40"/>
      <c r="I152" s="40"/>
      <c r="J152" s="40"/>
      <c r="K152" s="40"/>
      <c r="L152" s="40"/>
      <c r="M152" s="39">
        <f t="shared" ref="M152:AL152" si="96">+M149+M147+M150</f>
        <v>8867.7577857062752</v>
      </c>
      <c r="N152" s="39">
        <f t="shared" si="96"/>
        <v>10289.689060503033</v>
      </c>
      <c r="O152" s="39">
        <f t="shared" si="96"/>
        <v>9359.793703383184</v>
      </c>
      <c r="P152" s="39">
        <f t="shared" si="96"/>
        <v>11270.143921763398</v>
      </c>
      <c r="Q152" s="39">
        <f t="shared" si="96"/>
        <v>9099.3032161183201</v>
      </c>
      <c r="R152" s="39">
        <f t="shared" si="96"/>
        <v>9304.6732353802399</v>
      </c>
      <c r="S152" s="39">
        <f t="shared" si="96"/>
        <v>8862.8596659656832</v>
      </c>
      <c r="T152" s="39">
        <f t="shared" si="96"/>
        <v>12777.013479664813</v>
      </c>
      <c r="U152" s="39">
        <f t="shared" si="96"/>
        <v>47490.501809290297</v>
      </c>
      <c r="V152" s="39">
        <f t="shared" si="96"/>
        <v>54831.267953341201</v>
      </c>
      <c r="W152" s="39">
        <f t="shared" si="96"/>
        <v>8959.5230531033521</v>
      </c>
      <c r="X152" s="39">
        <f t="shared" si="96"/>
        <v>9215.0365573192685</v>
      </c>
      <c r="Y152" s="39">
        <f t="shared" si="96"/>
        <v>13286.533712329736</v>
      </c>
      <c r="Z152" s="39">
        <f t="shared" si="96"/>
        <v>21569.605300778676</v>
      </c>
      <c r="AA152" s="39">
        <f t="shared" si="96"/>
        <v>20442.620581979689</v>
      </c>
      <c r="AB152" s="39">
        <f t="shared" si="96"/>
        <v>22556.505065476355</v>
      </c>
      <c r="AC152" s="39">
        <f t="shared" si="96"/>
        <v>22715.153616838739</v>
      </c>
      <c r="AD152" s="39">
        <f t="shared" si="96"/>
        <v>22290.631767746268</v>
      </c>
      <c r="AE152" s="39">
        <f t="shared" si="96"/>
        <v>120351.08929092303</v>
      </c>
      <c r="AF152" s="39">
        <f>+AF149+AF147+AF150</f>
        <v>123379.73564564278</v>
      </c>
      <c r="AG152" s="39">
        <f>+AG149+AG147+AG150</f>
        <v>238292.39447602676</v>
      </c>
      <c r="AH152" s="39">
        <f t="shared" ref="AH152:AI152" si="97">+AH149+AH147+AH150</f>
        <v>413943.4793627864</v>
      </c>
      <c r="AI152" s="39">
        <f t="shared" si="97"/>
        <v>306084.73105556756</v>
      </c>
      <c r="AJ152" s="39">
        <f t="shared" ref="AJ152:AK152" si="98">+AJ149+AJ147+AJ150</f>
        <v>346360.85942192661</v>
      </c>
      <c r="AK152" s="39">
        <f t="shared" si="98"/>
        <v>422515.93998000002</v>
      </c>
      <c r="AL152" s="39">
        <f t="shared" si="96"/>
        <v>493680.53558950045</v>
      </c>
    </row>
    <row r="153" spans="2:38">
      <c r="B153" s="199" t="str">
        <f>+$B$20</f>
        <v>[biennial]</v>
      </c>
      <c r="C153" s="7"/>
      <c r="D153" s="3"/>
      <c r="F153" s="3"/>
      <c r="H153" s="3"/>
      <c r="J153" s="3"/>
      <c r="L153" s="3"/>
      <c r="N153" s="3">
        <f>+N152+M152</f>
        <v>19157.446846209306</v>
      </c>
      <c r="P153" s="3">
        <f>+P152+O152</f>
        <v>20629.93762514658</v>
      </c>
      <c r="R153" s="3">
        <f>+R152+Q152</f>
        <v>18403.976451498558</v>
      </c>
      <c r="T153" s="3">
        <f>+T152+S152</f>
        <v>21639.873145630496</v>
      </c>
      <c r="V153" s="3">
        <f>+V152+U152</f>
        <v>102321.76976263151</v>
      </c>
      <c r="X153" s="3">
        <f>+X152+W152</f>
        <v>18174.559610422621</v>
      </c>
      <c r="Z153" s="3">
        <f>+Z152+Y152</f>
        <v>34856.139013108412</v>
      </c>
      <c r="AB153" s="3">
        <f>+AB152+AA152</f>
        <v>42999.125647456043</v>
      </c>
      <c r="AD153" s="3">
        <f>+AD152+AC152</f>
        <v>45005.785384585004</v>
      </c>
      <c r="AF153" s="3">
        <f>+AF152+AE152</f>
        <v>243730.82493656583</v>
      </c>
      <c r="AH153" s="3">
        <f>+AH152+AG152</f>
        <v>652235.87383881316</v>
      </c>
      <c r="AJ153" s="3">
        <f>+AJ152+AI152</f>
        <v>652445.59047749417</v>
      </c>
      <c r="AL153" s="3">
        <f>+AL152+AG152</f>
        <v>731972.93006552721</v>
      </c>
    </row>
    <row r="154" spans="2:38">
      <c r="B154" s="199"/>
      <c r="C154" s="7"/>
      <c r="D154" s="3"/>
      <c r="F154" s="3"/>
      <c r="H154" s="3"/>
      <c r="J154" s="3"/>
      <c r="L154" s="3"/>
      <c r="N154" s="3"/>
      <c r="P154" s="3"/>
      <c r="R154" s="3"/>
      <c r="T154" s="3"/>
      <c r="U154" s="3"/>
      <c r="V154" s="3"/>
      <c r="W154"/>
      <c r="X154"/>
      <c r="Y154"/>
      <c r="Z154"/>
    </row>
    <row r="155" spans="2:38">
      <c r="B155" s="199"/>
      <c r="C155" s="7"/>
      <c r="D155" s="3"/>
      <c r="F155" s="3"/>
      <c r="H155" s="3"/>
      <c r="J155" s="3"/>
      <c r="L155" s="3"/>
      <c r="M155" s="13"/>
      <c r="N155" s="13"/>
      <c r="O155" s="13"/>
      <c r="P155" s="13"/>
      <c r="Q155"/>
      <c r="R155" s="13"/>
      <c r="S155"/>
      <c r="T155"/>
      <c r="U155" s="2"/>
      <c r="V155" s="2"/>
      <c r="W155"/>
      <c r="X155"/>
      <c r="Y155"/>
      <c r="Z155"/>
      <c r="AA155"/>
      <c r="AB155"/>
      <c r="AC155"/>
      <c r="AD155" s="2"/>
      <c r="AE155" s="2"/>
      <c r="AF155" s="2"/>
      <c r="AG155" s="2"/>
      <c r="AH155" s="2"/>
      <c r="AI155" s="2" t="str">
        <f>IF(ISBLANK(OperatingFunds!AI155),"",OperatingFunds!AI155)</f>
        <v/>
      </c>
      <c r="AJ155" s="2" t="str">
        <f>IF(ISBLANK(OperatingFunds!AJ155),"",OperatingFunds!AJ155)</f>
        <v/>
      </c>
      <c r="AK155" s="2" t="str">
        <f>IF(ISBLANK(OperatingFunds!AK155),"",OperatingFunds!AK155)</f>
        <v>Final</v>
      </c>
      <c r="AL155" s="2" t="str">
        <f>IF(ISBLANK(OperatingFunds!AL155),"",OperatingFunds!AL155)</f>
        <v>Enacted</v>
      </c>
    </row>
    <row r="156" spans="2:38">
      <c r="B156" s="199"/>
      <c r="C156" s="2"/>
      <c r="D156" s="2"/>
      <c r="E156" s="2"/>
      <c r="F156" s="2"/>
      <c r="G156" s="2"/>
      <c r="H156" s="2"/>
      <c r="I156" s="2"/>
      <c r="J156" s="2"/>
      <c r="K156" s="2"/>
      <c r="L156" s="2"/>
      <c r="M156" s="2"/>
      <c r="N156" s="2"/>
      <c r="O156" s="2"/>
      <c r="P156" s="2"/>
      <c r="Q156" s="2"/>
      <c r="R156" s="2"/>
      <c r="S156" s="2"/>
      <c r="T156" s="2"/>
      <c r="U156" s="2"/>
      <c r="V156" s="2"/>
      <c r="W156" s="2"/>
      <c r="X156" s="2" t="str">
        <f>+$X$6</f>
        <v>FY2011</v>
      </c>
      <c r="Y156" s="2" t="str">
        <f>+$Y$6</f>
        <v>FY2012</v>
      </c>
      <c r="Z156" s="2" t="str">
        <f>+$Z$6</f>
        <v>FY2013</v>
      </c>
      <c r="AA156" s="2" t="str">
        <f>+$AA$6</f>
        <v>FY2014</v>
      </c>
      <c r="AB156" s="2" t="str">
        <f>+$AB$6</f>
        <v>FY2015</v>
      </c>
      <c r="AC156" s="2" t="str">
        <f>+$AC$6</f>
        <v>FY2016</v>
      </c>
      <c r="AD156" s="2" t="str">
        <f>+$AD$6</f>
        <v>FY2017</v>
      </c>
      <c r="AE156" s="2" t="str">
        <f>+$AE$6</f>
        <v>FY2018</v>
      </c>
      <c r="AF156" s="2" t="str">
        <f>+AF$6</f>
        <v>FY2019</v>
      </c>
      <c r="AG156" s="2" t="str">
        <f>+AG$6</f>
        <v>FY2020</v>
      </c>
      <c r="AH156" s="2" t="str">
        <f>+AH$6</f>
        <v>FY2021</v>
      </c>
      <c r="AI156" s="2" t="str">
        <f>+AI$6</f>
        <v>FY2022</v>
      </c>
      <c r="AJ156" s="2" t="str">
        <f t="shared" ref="AJ156:AK156" si="99">+AJ$6</f>
        <v>FY2023</v>
      </c>
      <c r="AK156" s="2" t="str">
        <f t="shared" si="99"/>
        <v>FY2024</v>
      </c>
      <c r="AL156" s="2" t="str">
        <f>+AL$6</f>
        <v>FY2025</v>
      </c>
    </row>
    <row r="157" spans="2:38">
      <c r="B157" s="1" t="str">
        <f>+OperatingFunds!$B$157</f>
        <v>Community/Technical College System Opportunity Express Account (17C-1)</v>
      </c>
      <c r="C157"/>
      <c r="D157"/>
      <c r="E157"/>
      <c r="F157"/>
      <c r="G157"/>
      <c r="H157"/>
      <c r="I157"/>
      <c r="J157"/>
      <c r="K157"/>
      <c r="L157"/>
      <c r="M157"/>
      <c r="N157"/>
      <c r="O157"/>
      <c r="P157"/>
      <c r="R157" s="3"/>
      <c r="T157" s="3"/>
      <c r="U157" s="3"/>
      <c r="V157" s="3"/>
      <c r="W157"/>
      <c r="X157" s="3">
        <f>+OperatingFunds!X157/(EconomicIndicators!W$7/$C$162)</f>
        <v>24657.614895049352</v>
      </c>
      <c r="Y157" s="3"/>
      <c r="Z157" s="3"/>
    </row>
    <row r="158" spans="2:38">
      <c r="B158" s="1" t="str">
        <f>+OperatingFunds!$B$158</f>
        <v>HEC Board, CHE, SFA, &amp; SAC (1) Opportunity Pathways Account (17F-1)</v>
      </c>
      <c r="C158"/>
      <c r="D158"/>
      <c r="E158"/>
      <c r="F158"/>
      <c r="G158"/>
      <c r="H158"/>
      <c r="I158"/>
      <c r="J158"/>
      <c r="K158"/>
      <c r="L158"/>
      <c r="M158"/>
      <c r="N158"/>
      <c r="O158"/>
      <c r="P158"/>
      <c r="R158" s="3"/>
      <c r="T158" s="3"/>
      <c r="U158" s="3"/>
      <c r="V158" s="3"/>
      <c r="W158"/>
      <c r="X158" s="3">
        <f>+OperatingFunds!X158/(EconomicIndicators!W$7/$C$162)</f>
        <v>98010.472957884878</v>
      </c>
      <c r="Y158" s="3">
        <f>+OperatingFunds!Y158/(EconomicIndicators!X$7/$C$162)</f>
        <v>95677.398962375213</v>
      </c>
      <c r="Z158" s="3">
        <f>+OperatingFunds!Z158/(EconomicIndicators!Y$7/$C$162)</f>
        <v>139148.57028901027</v>
      </c>
      <c r="AA158" s="3">
        <f>+OperatingFunds!AA158/(EconomicIndicators!Z$7/$C$162)</f>
        <v>85381.476460513339</v>
      </c>
      <c r="AB158" s="3">
        <f>+OperatingFunds!AB158/(EconomicIndicators!AA$7/$C$162)</f>
        <v>92296.174019622573</v>
      </c>
      <c r="AC158" s="3">
        <f>+OperatingFunds!AC158/(EconomicIndicators!AB$7/$C$162)</f>
        <v>118775.81410850397</v>
      </c>
      <c r="AD158" s="3">
        <f>+OperatingFunds!AD158/(EconomicIndicators!AC$7/$C$162)</f>
        <v>92275.538367132103</v>
      </c>
      <c r="AE158" s="3">
        <f>+OperatingFunds!AE158/(EconomicIndicators!AD$7/$C$162)</f>
        <v>71424.088919723654</v>
      </c>
      <c r="AF158" s="3">
        <f>+OperatingFunds!AF158/(EconomicIndicators!AE$7/$C$162)</f>
        <v>71998.130695582266</v>
      </c>
      <c r="AG158" s="3">
        <f>+OperatingFunds!AG158/(EconomicIndicators!AF$7/$C$162)</f>
        <v>60503.485163188103</v>
      </c>
      <c r="AH158" s="3">
        <f>+OperatingFunds!AH158/(EconomicIndicators!AG$7/$C$162)</f>
        <v>57937.616222340213</v>
      </c>
      <c r="AI158" s="3">
        <f>+OperatingFunds!AI158/(EconomicIndicators!AH$7/$C$162)</f>
        <v>85634.191032244664</v>
      </c>
      <c r="AJ158" s="3">
        <f>+OperatingFunds!AJ158/(EconomicIndicators!AI$7/$C$162)</f>
        <v>145953.04542580069</v>
      </c>
      <c r="AK158" s="3">
        <f>+OperatingFunds!AK158/(EconomicIndicators!AJ$7/$C$162)</f>
        <v>34455.046119999999</v>
      </c>
      <c r="AL158" s="3">
        <f>+OperatingFunds!AL158/(EconomicIndicators!AI$7/$C$162)</f>
        <v>43215.033414367696</v>
      </c>
    </row>
    <row r="159" spans="2:38">
      <c r="B159" s="199"/>
      <c r="C159" s="7"/>
      <c r="D159" s="3"/>
      <c r="F159" s="3"/>
      <c r="H159" s="3"/>
      <c r="J159" s="3"/>
      <c r="L159" s="3"/>
      <c r="N159" s="3"/>
      <c r="P159" s="3"/>
      <c r="R159" s="3"/>
      <c r="T159" s="3"/>
      <c r="V159" s="3"/>
      <c r="W159"/>
      <c r="X159"/>
      <c r="Y159"/>
      <c r="Z159"/>
      <c r="AA159"/>
      <c r="AB159"/>
      <c r="AC159"/>
      <c r="AD159"/>
      <c r="AE159"/>
      <c r="AF159"/>
      <c r="AG159"/>
      <c r="AH159"/>
      <c r="AI159"/>
      <c r="AJ159"/>
      <c r="AK159"/>
      <c r="AL159"/>
    </row>
    <row r="160" spans="2:38">
      <c r="B160" s="1745" t="str">
        <f>+OperatingFunds!B160</f>
        <v>Statewide NGFT &amp; OEA</v>
      </c>
      <c r="C160" s="3">
        <f>+OperatingFunds!C160/(EconomicIndicators!B$7/$C$162)</f>
        <v>12529033.761039201</v>
      </c>
      <c r="D160" s="3">
        <f>+OperatingFunds!D160/(EconomicIndicators!C$7/$C$162)</f>
        <v>14148246.597096877</v>
      </c>
      <c r="E160" s="3">
        <f>+OperatingFunds!E160/(EconomicIndicators!D$7/$C$162)</f>
        <v>14256386.53858066</v>
      </c>
      <c r="F160" s="3">
        <f>+OperatingFunds!F160/(EconomicIndicators!E$7/$C$162)</f>
        <v>15169449.810285255</v>
      </c>
      <c r="G160" s="3">
        <f>+OperatingFunds!G160/(EconomicIndicators!F$7/$C$162)</f>
        <v>14966325.278114764</v>
      </c>
      <c r="H160" s="3">
        <f>+OperatingFunds!H160/(EconomicIndicators!G$7/$C$162)</f>
        <v>15776591.475226499</v>
      </c>
      <c r="I160" s="3">
        <f>+OperatingFunds!I160/(EconomicIndicators!H$7/$C$162)</f>
        <v>15938198.598461725</v>
      </c>
      <c r="J160" s="3">
        <f>+OperatingFunds!J160/(EconomicIndicators!I$7/$C$162)</f>
        <v>16747035.369696833</v>
      </c>
      <c r="K160" s="3">
        <f>+OperatingFunds!K160/(EconomicIndicators!J$7/$C$162)</f>
        <v>16863813.844686184</v>
      </c>
      <c r="L160" s="3">
        <f>+OperatingFunds!L160/(EconomicIndicators!K$7/$C$162)</f>
        <v>17642048.375910439</v>
      </c>
      <c r="M160" s="3">
        <f>+OperatingFunds!M160/(EconomicIndicators!L$7/$C$162)</f>
        <v>18146428.582954783</v>
      </c>
      <c r="N160" s="3">
        <f>+OperatingFunds!N160/(EconomicIndicators!M$7/$C$162)</f>
        <v>18805945.499586225</v>
      </c>
      <c r="O160" s="3">
        <f>+OperatingFunds!O160/(EconomicIndicators!N$7/$C$162)</f>
        <v>19721687.844470184</v>
      </c>
      <c r="P160" s="3">
        <f>+OperatingFunds!P160/(EconomicIndicators!O$7/$C$162)</f>
        <v>19502068.75929556</v>
      </c>
      <c r="Q160" s="3">
        <f>+OperatingFunds!Q160/(EconomicIndicators!P$7/$C$162)</f>
        <v>19279022.728485428</v>
      </c>
      <c r="R160" s="3">
        <f>+OperatingFunds!R160/(EconomicIndicators!Q$7/$C$162)</f>
        <v>19869193.331133727</v>
      </c>
      <c r="S160" s="3">
        <f>+OperatingFunds!S160/(EconomicIndicators!R$7/$C$162)</f>
        <v>21526037.991774939</v>
      </c>
      <c r="T160" s="3">
        <f>+OperatingFunds!T160/(EconomicIndicators!S$7/$C$162)</f>
        <v>22088446.798899956</v>
      </c>
      <c r="U160" s="3">
        <f>+OperatingFunds!U160/(EconomicIndicators!T$7/$C$162)</f>
        <v>22760913.570748229</v>
      </c>
      <c r="V160" s="3">
        <f>+OperatingFunds!V160/(EconomicIndicators!U$7/$C$162)</f>
        <v>22157953.996355273</v>
      </c>
      <c r="W160" s="3">
        <f>+OperatingFunds!W160/(EconomicIndicators!V$7/$C$162)</f>
        <v>20766697.563760091</v>
      </c>
      <c r="X160" s="3">
        <f>+OperatingFunds!X160/(EconomicIndicators!W$7/$C$162)</f>
        <v>20152685.791367095</v>
      </c>
      <c r="Y160" s="3">
        <f>+OperatingFunds!Y160/(EconomicIndicators!X$7/$C$162)</f>
        <v>20202225.494566742</v>
      </c>
      <c r="Z160" s="3">
        <f>+OperatingFunds!Z160/(EconomicIndicators!Y$7/$C$162)</f>
        <v>20168677.245331168</v>
      </c>
      <c r="AA160" s="3">
        <f>+OperatingFunds!AA160/(EconomicIndicators!Z$7/$C$162)</f>
        <v>20858942.835595395</v>
      </c>
      <c r="AB160" s="3">
        <f>+OperatingFunds!AB160/(EconomicIndicators!AA$7/$C$162)</f>
        <v>21539806.860812943</v>
      </c>
      <c r="AC160" s="3">
        <f>+OperatingFunds!AC160/(EconomicIndicators!AB$7/$C$162)</f>
        <v>23074716.976655912</v>
      </c>
      <c r="AD160" s="3">
        <f>+OperatingFunds!AD160/(EconomicIndicators!AC$7/$C$162)</f>
        <v>24292855.69206829</v>
      </c>
      <c r="AE160" s="3">
        <f>+OperatingFunds!AE160/(EconomicIndicators!AD$7/$C$162)</f>
        <v>25617773.511075176</v>
      </c>
      <c r="AF160" s="3">
        <f>+OperatingFunds!AF160/(EconomicIndicators!AE$7/$C$162)</f>
        <v>28557546.2325732</v>
      </c>
      <c r="AG160" s="3">
        <f>+OperatingFunds!AG160/(EconomicIndicators!AF$7/$C$162)</f>
        <v>30117284.746053219</v>
      </c>
      <c r="AH160" s="3">
        <f>+OperatingFunds!AH160/(EconomicIndicators!AG$7/$C$162)</f>
        <v>30345163.16854031</v>
      </c>
      <c r="AI160" s="3">
        <f>+OperatingFunds!AI160/(EconomicIndicators!AH$7/$C$162)</f>
        <v>31507780.535425484</v>
      </c>
      <c r="AJ160" s="3">
        <f>+OperatingFunds!AJ160/(EconomicIndicators!AI$7/$C$162)</f>
        <v>33999209.421692826</v>
      </c>
      <c r="AK160" s="3">
        <f>+OperatingFunds!AK160/(EconomicIndicators!AJ$7/$C$162)</f>
        <v>34251049.329320006</v>
      </c>
      <c r="AL160" s="3">
        <f ca="1">+OperatingFunds!AL160/(EconomicIndicators!AI$7/$C$162)</f>
        <v>38338553.842455447</v>
      </c>
    </row>
    <row r="161" spans="2:38">
      <c r="C161"/>
      <c r="D161"/>
      <c r="E161"/>
      <c r="F161"/>
      <c r="G161"/>
      <c r="H161"/>
      <c r="I161"/>
      <c r="J161"/>
      <c r="K161"/>
      <c r="L161"/>
      <c r="M161"/>
      <c r="N161"/>
      <c r="O161"/>
      <c r="P161"/>
      <c r="R161" s="3"/>
      <c r="T161" s="3"/>
      <c r="W161"/>
      <c r="X161"/>
      <c r="Y161"/>
      <c r="Z161"/>
      <c r="AA161"/>
      <c r="AB161"/>
      <c r="AC161"/>
      <c r="AD161"/>
      <c r="AE161"/>
      <c r="AF161"/>
      <c r="AG161"/>
      <c r="AH161"/>
      <c r="AI161"/>
      <c r="AJ161"/>
      <c r="AK161"/>
      <c r="AL161"/>
    </row>
    <row r="162" spans="2:38">
      <c r="B162" s="1" t="str">
        <f>+OperatingFunds!B162</f>
        <v>Data through FY2023 from Monitor (AFRS) data; Enacted data for FY2024 and FY2025 reflect legislative action from the 2024 Legislative Session.</v>
      </c>
      <c r="C162">
        <f>HLOOKUP(B6,EconomicIndicators!$5:$7,3,FALSE)</f>
        <v>2.0900500000000002</v>
      </c>
      <c r="D162"/>
      <c r="E162"/>
      <c r="F162"/>
      <c r="G162"/>
      <c r="H162"/>
      <c r="I162"/>
      <c r="J162"/>
      <c r="K162"/>
      <c r="L162"/>
      <c r="M162"/>
      <c r="N162"/>
      <c r="O162"/>
      <c r="P162"/>
      <c r="R162" s="3"/>
      <c r="T162" s="3"/>
      <c r="W162"/>
      <c r="X162"/>
      <c r="Y162"/>
      <c r="Z162"/>
      <c r="AA162"/>
      <c r="AB162"/>
      <c r="AC162"/>
      <c r="AD162"/>
      <c r="AE162"/>
      <c r="AF162"/>
      <c r="AG162"/>
      <c r="AH162"/>
      <c r="AI162"/>
      <c r="AJ162"/>
      <c r="AK162"/>
      <c r="AL162"/>
    </row>
    <row r="163" spans="2:38">
      <c r="B163" s="1" t="str">
        <f>+OperatingFunds!B163</f>
        <v xml:space="preserve"> (1) HEC Board, CHE, SFA, &amp; SAC represents the Higher Education Coordinating Board, the Council for Higher Education, the Office of Student Financial Assistance, and the Student Achievement Council.</v>
      </c>
    </row>
    <row r="164" spans="2:38" hidden="1">
      <c r="B164" s="1" t="str">
        <f>+OperatingFunds!B168</f>
        <v>*Opportunity Express Account expenditures in FY2011 only.</v>
      </c>
    </row>
    <row r="165" spans="2:38">
      <c r="B165" s="1" t="str">
        <f>EconomicIndicators!A20</f>
        <v>IPD, CPI, and Income measures from Economic and Revenue Forecast Council (ERFC)--data corresponds to November 2024 Update</v>
      </c>
    </row>
    <row r="166" spans="2:38">
      <c r="B166" s="1" t="str">
        <f>+"US IPD Base Year = "&amp;TEXT(B6,"0000")</f>
        <v>US IPD Base Year = 2024</v>
      </c>
    </row>
    <row r="170" spans="2:38">
      <c r="B170" s="1" t="str">
        <f>TRIM(+OperatingFunds!B170)</f>
        <v/>
      </c>
    </row>
  </sheetData>
  <phoneticPr fontId="0" type="noConversion"/>
  <dataValidations count="1">
    <dataValidation type="list" allowBlank="1" showInputMessage="1" showErrorMessage="1" sqref="B6" xr:uid="{00000000-0002-0000-2500-000000000000}">
      <formula1>IPDBaseYears</formula1>
    </dataValidation>
  </dataValidations>
  <printOptions horizontalCentered="1"/>
  <pageMargins left="0.5" right="0.5" top="0.25" bottom="0.25" header="0.25" footer="0.25"/>
  <pageSetup scale="53" fitToHeight="2" orientation="portrait" r:id="rId1"/>
  <headerFooter alignWithMargins="0">
    <oddFooter>&amp;R&amp;8Page &amp;P of &amp;N</oddFooter>
  </headerFooter>
  <rowBreaks count="1" manualBreakCount="1">
    <brk id="116" max="3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B1:AK163"/>
  <sheetViews>
    <sheetView topLeftCell="B1" zoomScale="85" zoomScaleNormal="85" workbookViewId="0">
      <pane xSplit="11" ySplit="6" topLeftCell="Y7" activePane="bottomRight" state="frozen"/>
      <selection activeCell="Y7" sqref="Y7"/>
      <selection pane="topRight" activeCell="Y7" sqref="Y7"/>
      <selection pane="bottomLeft" activeCell="Y7" sqref="Y7"/>
      <selection pane="bottomRight" activeCell="AK20" sqref="AK20"/>
    </sheetView>
  </sheetViews>
  <sheetFormatPr defaultRowHeight="12.75"/>
  <cols>
    <col min="1" max="1" width="0" style="1" hidden="1" customWidth="1"/>
    <col min="2" max="2" width="35.625" style="1" customWidth="1"/>
    <col min="3" max="24" width="8.625" style="1" hidden="1" customWidth="1"/>
    <col min="25" max="25" width="8.625" style="1" customWidth="1"/>
    <col min="26" max="28" width="8.625" customWidth="1"/>
    <col min="29" max="34" width="8.625" style="1" customWidth="1"/>
    <col min="35" max="35" width="9" style="1"/>
    <col min="36" max="37" width="8.625" style="1" customWidth="1"/>
    <col min="38" max="16384" width="9" style="1"/>
  </cols>
  <sheetData>
    <row r="1" spans="2:37">
      <c r="B1" s="1" t="str">
        <f>+OperatingFunds!B1</f>
        <v>Last updated: 18 December 2024</v>
      </c>
    </row>
    <row r="2" spans="2:37">
      <c r="B2" s="4" t="s">
        <v>10</v>
      </c>
      <c r="L2" s="8"/>
      <c r="M2" s="8"/>
      <c r="N2" s="8"/>
      <c r="P2" s="8"/>
      <c r="R2" s="8"/>
    </row>
    <row r="3" spans="2:37"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row>
    <row r="4" spans="2:37">
      <c r="B4" s="377" t="s">
        <v>1715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2:37">
      <c r="I5" s="13"/>
      <c r="J5" s="13"/>
      <c r="K5" s="13"/>
      <c r="L5" s="13"/>
      <c r="M5" s="13"/>
      <c r="N5" s="13"/>
      <c r="O5" s="13"/>
      <c r="P5" s="13"/>
      <c r="Q5"/>
      <c r="R5" s="13"/>
      <c r="S5"/>
      <c r="T5"/>
      <c r="U5" s="2" t="str">
        <f>IF(ISBLANK(OperatingFunds!U5),"",OperatingFunds!U5)</f>
        <v/>
      </c>
      <c r="V5" s="2" t="str">
        <f>IF(ISBLANK(OperatingFunds!V5),"",OperatingFunds!V5)</f>
        <v/>
      </c>
      <c r="W5" s="2" t="str">
        <f>IF(ISBLANK(OperatingFunds!W5),"",OperatingFunds!W5)</f>
        <v/>
      </c>
      <c r="X5" s="2" t="str">
        <f>IF(ISBLANK(OperatingFunds!X5),"",OperatingFunds!X5)</f>
        <v/>
      </c>
      <c r="Y5" s="14" t="str">
        <f>IF(ISBLANK(OperatingFunds!Y5),"",OperatingFunds!Y5)</f>
        <v/>
      </c>
      <c r="AA5" s="2" t="str">
        <f>TRIM(OperatingFunds!AA5)</f>
        <v/>
      </c>
      <c r="AB5" s="2" t="str">
        <f>TRIM(OperatingFunds!AB5)</f>
        <v/>
      </c>
      <c r="AC5" s="2" t="str">
        <f>TRIM(OperatingFunds!AC5)</f>
        <v/>
      </c>
      <c r="AD5" s="2" t="str">
        <f>TRIM(OperatingFunds!AD5)</f>
        <v/>
      </c>
      <c r="AE5" s="2" t="str">
        <f>TRIM(OperatingFunds!AE5)</f>
        <v/>
      </c>
      <c r="AF5" s="2" t="str">
        <f>TRIM(OperatingFunds!AF5)</f>
        <v/>
      </c>
      <c r="AG5" s="2" t="str">
        <f>TRIM(OperatingFunds!AG5)</f>
        <v/>
      </c>
      <c r="AI5" s="2" t="str">
        <f>TRIM(OperatingFunds!AI5)</f>
        <v/>
      </c>
      <c r="AJ5" s="2" t="str">
        <f>IF(ISBLANK(OperatingFunds!AJ5),"",OperatingFunds!AJ5)</f>
        <v/>
      </c>
      <c r="AK5" s="2" t="str">
        <f>IF(ISBLANK(OperatingFunds!AK5),"",OperatingFunds!AK5)</f>
        <v>Final</v>
      </c>
    </row>
    <row r="6" spans="2:37">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+OperatingFunds!U6</f>
        <v>FY2008</v>
      </c>
      <c r="V6" s="2" t="str">
        <f>+OperatingFunds!V6</f>
        <v>FY2009</v>
      </c>
      <c r="W6" s="2" t="str">
        <f>IF(ISBLANK(OperatingFunds!W6),"",OperatingFunds!W6)</f>
        <v>FY2010</v>
      </c>
      <c r="X6" s="2" t="str">
        <f>IF(ISBLANK(OperatingFunds!X6),"",OperatingFunds!X6)</f>
        <v>FY2011</v>
      </c>
      <c r="Y6" s="14"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c r="AE6" s="2" t="str">
        <f>IF(ISBLANK(OperatingFunds!AE6),"",OperatingFunds!AE6)</f>
        <v>FY2018</v>
      </c>
      <c r="AF6" s="2" t="str">
        <f>IF(ISBLANK(OperatingFunds!AF6),"",OperatingFunds!AF6)</f>
        <v>FY2019</v>
      </c>
      <c r="AG6" s="2" t="str">
        <f>IF(ISBLANK(OperatingFunds!AG6),"",OperatingFunds!AG6)</f>
        <v>FY2020</v>
      </c>
      <c r="AH6" s="2" t="str">
        <f>IF(ISBLANK(OperatingFunds!AH6),"",OperatingFunds!AH6)</f>
        <v>FY2021</v>
      </c>
      <c r="AI6" s="2" t="str">
        <f>IF(ISBLANK(OperatingFunds!AI6),"",OperatingFunds!AI6)</f>
        <v>FY2022</v>
      </c>
      <c r="AJ6" s="2" t="str">
        <f>IF(ISBLANK(OperatingFunds!AJ6),"",OperatingFunds!AJ6)</f>
        <v>FY2023</v>
      </c>
      <c r="AK6" s="2" t="str">
        <f>IF(ISBLANK(OperatingFunds!AK6),"",OperatingFunds!AK6)</f>
        <v>FY2024</v>
      </c>
    </row>
    <row r="7" spans="2:37">
      <c r="AC7"/>
      <c r="AD7"/>
      <c r="AE7"/>
      <c r="AF7"/>
      <c r="AG7"/>
    </row>
    <row r="8" spans="2:37">
      <c r="B8" s="1" t="str">
        <f>+OperatingFunds!$B$8</f>
        <v>University of Washington</v>
      </c>
      <c r="C8" s="3">
        <f t="shared" ref="C8:AF8" si="0">+C27+C46</f>
        <v>9849.1712520676501</v>
      </c>
      <c r="D8" s="3">
        <f t="shared" si="0"/>
        <v>10822.262058891876</v>
      </c>
      <c r="E8" s="3">
        <f t="shared" si="0"/>
        <v>10692.185007974484</v>
      </c>
      <c r="F8" s="3">
        <f t="shared" si="0"/>
        <v>11012.56007689843</v>
      </c>
      <c r="G8" s="3">
        <f t="shared" si="0"/>
        <v>10504.131967710029</v>
      </c>
      <c r="H8" s="3">
        <f t="shared" si="0"/>
        <v>11048.548929954912</v>
      </c>
      <c r="I8" s="3">
        <f t="shared" si="0"/>
        <v>11124.925340291094</v>
      </c>
      <c r="J8" s="3">
        <f t="shared" si="0"/>
        <v>11218.029094893176</v>
      </c>
      <c r="K8" s="3">
        <f t="shared" si="0"/>
        <v>11608.120246721361</v>
      </c>
      <c r="L8" s="3">
        <f t="shared" si="0"/>
        <v>12715.85496546797</v>
      </c>
      <c r="M8" s="3">
        <f t="shared" si="0"/>
        <v>13199.397716248754</v>
      </c>
      <c r="N8" s="3">
        <f t="shared" si="0"/>
        <v>13591.535524509522</v>
      </c>
      <c r="O8" s="3">
        <f t="shared" si="0"/>
        <v>13718.528849291892</v>
      </c>
      <c r="P8" s="3">
        <f t="shared" si="0"/>
        <v>13921.926576035494</v>
      </c>
      <c r="Q8" s="3">
        <f t="shared" si="0"/>
        <v>13966.94051464919</v>
      </c>
      <c r="R8" s="3">
        <f t="shared" si="0"/>
        <v>15116.066218884946</v>
      </c>
      <c r="S8" s="3">
        <f t="shared" si="0"/>
        <v>15882.637336905227</v>
      </c>
      <c r="T8" s="3">
        <f t="shared" si="0"/>
        <v>17195.532207547687</v>
      </c>
      <c r="U8" s="3">
        <f t="shared" si="0"/>
        <v>18053.193671366524</v>
      </c>
      <c r="V8" s="3">
        <f t="shared" si="0"/>
        <v>17650.167913564943</v>
      </c>
      <c r="W8" s="3">
        <f t="shared" si="0"/>
        <v>15903.300287353868</v>
      </c>
      <c r="X8" s="3">
        <f t="shared" si="0"/>
        <v>17206.394023021294</v>
      </c>
      <c r="Y8" s="3">
        <f t="shared" si="0"/>
        <v>15996.967184325109</v>
      </c>
      <c r="Z8" s="3">
        <f t="shared" si="0"/>
        <v>17612.440174029816</v>
      </c>
      <c r="AA8" s="3">
        <f t="shared" si="0"/>
        <v>17011.823850366254</v>
      </c>
      <c r="AB8" s="3">
        <f t="shared" si="0"/>
        <v>18920.843409167843</v>
      </c>
      <c r="AC8" s="3">
        <f t="shared" si="0"/>
        <v>18589.514742031963</v>
      </c>
      <c r="AD8" s="3">
        <f t="shared" si="0"/>
        <v>19985.211493677965</v>
      </c>
      <c r="AE8" s="3">
        <f t="shared" si="0"/>
        <v>21864.788123119222</v>
      </c>
      <c r="AF8" s="3">
        <f t="shared" si="0"/>
        <v>20503.411900073625</v>
      </c>
      <c r="AG8" s="3">
        <f t="shared" ref="AG8:AH8" si="1">+AG27+AG46</f>
        <v>20889.230877329966</v>
      </c>
      <c r="AH8" s="3">
        <f t="shared" si="1"/>
        <v>21783.725380515287</v>
      </c>
      <c r="AI8" s="3">
        <f t="shared" ref="AI8:AJ8" si="2">+AI27+AI46</f>
        <v>21972.926134429777</v>
      </c>
      <c r="AJ8" s="3">
        <f t="shared" si="2"/>
        <v>23582.768504508465</v>
      </c>
      <c r="AK8" s="3">
        <f t="shared" ref="AK8" si="3">+AK27+AK46</f>
        <v>26251.922499080018</v>
      </c>
    </row>
    <row r="9" spans="2:37">
      <c r="B9" s="1" t="str">
        <f>+OperatingFunds!$B$9</f>
        <v>Washington State University</v>
      </c>
      <c r="C9" s="3">
        <f t="shared" ref="C9:AF9" si="4">+C28+C47</f>
        <v>9874.9849306811338</v>
      </c>
      <c r="D9" s="3">
        <f t="shared" si="4"/>
        <v>10484.234368480658</v>
      </c>
      <c r="E9" s="3">
        <f t="shared" si="4"/>
        <v>11077.951272859833</v>
      </c>
      <c r="F9" s="3">
        <f t="shared" si="4"/>
        <v>11417.05565529623</v>
      </c>
      <c r="G9" s="3">
        <f t="shared" si="4"/>
        <v>10828.258012912072</v>
      </c>
      <c r="H9" s="3">
        <f t="shared" si="4"/>
        <v>10740.66699850672</v>
      </c>
      <c r="I9" s="3">
        <f t="shared" si="4"/>
        <v>10892.6373745007</v>
      </c>
      <c r="J9" s="3">
        <f t="shared" si="4"/>
        <v>11509.699139635548</v>
      </c>
      <c r="K9" s="3">
        <f t="shared" si="4"/>
        <v>12126.141522029373</v>
      </c>
      <c r="L9" s="3">
        <f t="shared" si="4"/>
        <v>11826.739850869926</v>
      </c>
      <c r="M9" s="3">
        <f t="shared" si="4"/>
        <v>12756.253998316497</v>
      </c>
      <c r="N9" s="3">
        <f t="shared" si="4"/>
        <v>13218.923365986255</v>
      </c>
      <c r="O9" s="3">
        <f t="shared" si="4"/>
        <v>13384.112202455526</v>
      </c>
      <c r="P9" s="3">
        <f t="shared" si="4"/>
        <v>13455.327632317463</v>
      </c>
      <c r="Q9" s="3">
        <f t="shared" si="4"/>
        <v>13471.280349527795</v>
      </c>
      <c r="R9" s="3">
        <f t="shared" si="4"/>
        <v>13996.288805596258</v>
      </c>
      <c r="S9" s="3">
        <f t="shared" si="4"/>
        <v>14869.856553341149</v>
      </c>
      <c r="T9" s="3">
        <f t="shared" si="4"/>
        <v>15770.351224326738</v>
      </c>
      <c r="U9" s="3">
        <f t="shared" si="4"/>
        <v>16562.72628979537</v>
      </c>
      <c r="V9" s="3">
        <f t="shared" si="4"/>
        <v>16450.386974124955</v>
      </c>
      <c r="W9" s="3">
        <f t="shared" si="4"/>
        <v>15186.244122193844</v>
      </c>
      <c r="X9" s="3">
        <f t="shared" si="4"/>
        <v>14837.392527163258</v>
      </c>
      <c r="Y9" s="3">
        <f t="shared" si="4"/>
        <v>14450.859235880398</v>
      </c>
      <c r="Z9" s="3">
        <f t="shared" si="4"/>
        <v>15305.734527748722</v>
      </c>
      <c r="AA9" s="3">
        <f t="shared" si="4"/>
        <v>16674.136134065295</v>
      </c>
      <c r="AB9" s="3">
        <f t="shared" si="4"/>
        <v>16519.033223502334</v>
      </c>
      <c r="AC9" s="3">
        <f t="shared" si="4"/>
        <v>17867.936474606409</v>
      </c>
      <c r="AD9" s="3">
        <f t="shared" si="4"/>
        <v>17076.592154361762</v>
      </c>
      <c r="AE9" s="3">
        <f t="shared" si="4"/>
        <v>17814.289885601283</v>
      </c>
      <c r="AF9" s="3">
        <f t="shared" si="4"/>
        <v>18164.98280577016</v>
      </c>
      <c r="AG9" s="3">
        <f t="shared" ref="AG9:AH9" si="5">+AG28+AG47</f>
        <v>18425.218991860718</v>
      </c>
      <c r="AH9" s="3">
        <f t="shared" si="5"/>
        <v>18857.441341352489</v>
      </c>
      <c r="AI9" s="3">
        <f t="shared" ref="AI9:AJ9" si="6">+AI28+AI47</f>
        <v>20415.062588965346</v>
      </c>
      <c r="AJ9" s="3">
        <f t="shared" si="6"/>
        <v>23707.760346130301</v>
      </c>
      <c r="AK9" s="3">
        <f t="shared" ref="AK9" si="7">+AK28+AK47</f>
        <v>24113.677993540055</v>
      </c>
    </row>
    <row r="10" spans="2:37">
      <c r="B10" s="1" t="str">
        <f>+OperatingFunds!$B$10</f>
        <v>Eastern Washington University</v>
      </c>
      <c r="C10" s="3">
        <f t="shared" ref="C10:AF10" si="8">+C29+C48</f>
        <v>6114.4995841419459</v>
      </c>
      <c r="D10" s="3">
        <f t="shared" si="8"/>
        <v>6589.9959552379669</v>
      </c>
      <c r="E10" s="3">
        <f t="shared" si="8"/>
        <v>6545.923913043478</v>
      </c>
      <c r="F10" s="3">
        <f t="shared" si="8"/>
        <v>6950.0862870038491</v>
      </c>
      <c r="G10" s="3">
        <f t="shared" si="8"/>
        <v>6636.5422396856584</v>
      </c>
      <c r="H10" s="3">
        <f t="shared" si="8"/>
        <v>6968.9677843523987</v>
      </c>
      <c r="I10" s="3">
        <f t="shared" si="8"/>
        <v>7201.7925040738728</v>
      </c>
      <c r="J10" s="3">
        <f t="shared" si="8"/>
        <v>7783.1533477321809</v>
      </c>
      <c r="K10" s="3">
        <f t="shared" si="8"/>
        <v>7868.6839438251045</v>
      </c>
      <c r="L10" s="3">
        <f t="shared" si="8"/>
        <v>7730.5356156819435</v>
      </c>
      <c r="M10" s="3">
        <f t="shared" si="8"/>
        <v>7701.6366325207473</v>
      </c>
      <c r="N10" s="3">
        <f t="shared" si="8"/>
        <v>7910.1003192674179</v>
      </c>
      <c r="O10" s="3">
        <f t="shared" si="8"/>
        <v>7674.5863139769626</v>
      </c>
      <c r="P10" s="3">
        <f t="shared" si="8"/>
        <v>7657.7889264367823</v>
      </c>
      <c r="Q10" s="3">
        <f t="shared" si="8"/>
        <v>7618.1750770433227</v>
      </c>
      <c r="R10" s="3">
        <f t="shared" si="8"/>
        <v>8395.3007560815258</v>
      </c>
      <c r="S10" s="3">
        <f t="shared" si="8"/>
        <v>8483.7173655856041</v>
      </c>
      <c r="T10" s="3">
        <f t="shared" si="8"/>
        <v>9424.2673446512144</v>
      </c>
      <c r="U10" s="3">
        <f t="shared" si="8"/>
        <v>10420.610987125405</v>
      </c>
      <c r="V10" s="3">
        <f t="shared" si="8"/>
        <v>10131.683169766786</v>
      </c>
      <c r="W10" s="3">
        <f t="shared" si="8"/>
        <v>9608.0057963752188</v>
      </c>
      <c r="X10" s="3">
        <f t="shared" si="8"/>
        <v>9350.9995383657806</v>
      </c>
      <c r="Y10" s="3">
        <f t="shared" si="8"/>
        <v>9122.9881806291942</v>
      </c>
      <c r="Z10" s="3">
        <f t="shared" si="8"/>
        <v>9210.2584925512565</v>
      </c>
      <c r="AA10" s="3">
        <f t="shared" si="8"/>
        <v>9933.1682816743614</v>
      </c>
      <c r="AB10" s="3">
        <f t="shared" si="8"/>
        <v>10425.471149874946</v>
      </c>
      <c r="AC10" s="3">
        <f t="shared" si="8"/>
        <v>11040.108694240073</v>
      </c>
      <c r="AD10" s="3">
        <f t="shared" si="8"/>
        <v>11327.144430377273</v>
      </c>
      <c r="AE10" s="3">
        <f t="shared" si="8"/>
        <v>11451.916300948313</v>
      </c>
      <c r="AF10" s="3">
        <f t="shared" si="8"/>
        <v>12296.450403304179</v>
      </c>
      <c r="AG10" s="3">
        <f t="shared" ref="AG10:AH10" si="9">+AG29+AG48</f>
        <v>14307.686198283143</v>
      </c>
      <c r="AH10" s="3">
        <f t="shared" si="9"/>
        <v>14949.477253307443</v>
      </c>
      <c r="AI10" s="3">
        <f t="shared" ref="AI10:AJ10" si="10">+AI29+AI48</f>
        <v>16486.970239054899</v>
      </c>
      <c r="AJ10" s="3">
        <f t="shared" si="10"/>
        <v>19774.820725634931</v>
      </c>
      <c r="AK10" s="3">
        <f t="shared" ref="AK10" si="11">+AK29+AK48</f>
        <v>21641.817764856853</v>
      </c>
    </row>
    <row r="11" spans="2:37">
      <c r="B11" s="1" t="str">
        <f>+OperatingFunds!$B$11</f>
        <v>Central Washington University</v>
      </c>
      <c r="C11" s="3">
        <f t="shared" ref="C11:AF11" si="12">+C30+C49</f>
        <v>5941.1670149493648</v>
      </c>
      <c r="D11" s="3">
        <f t="shared" si="12"/>
        <v>6516.4100171099699</v>
      </c>
      <c r="E11" s="3">
        <f t="shared" si="12"/>
        <v>6479.7211660329531</v>
      </c>
      <c r="F11" s="3">
        <f t="shared" si="12"/>
        <v>6832.1190042501521</v>
      </c>
      <c r="G11" s="3">
        <f t="shared" si="12"/>
        <v>5949.1756370077665</v>
      </c>
      <c r="H11" s="3">
        <f t="shared" si="12"/>
        <v>6239.6277626987203</v>
      </c>
      <c r="I11" s="3">
        <f t="shared" si="12"/>
        <v>6663.5781441613308</v>
      </c>
      <c r="J11" s="3">
        <f t="shared" si="12"/>
        <v>6796.3211600429649</v>
      </c>
      <c r="K11" s="3">
        <f t="shared" si="12"/>
        <v>7241.7714744447421</v>
      </c>
      <c r="L11" s="3">
        <f t="shared" si="12"/>
        <v>7530.4510774996652</v>
      </c>
      <c r="M11" s="3">
        <f t="shared" si="12"/>
        <v>7857.0112608870431</v>
      </c>
      <c r="N11" s="3">
        <f t="shared" si="12"/>
        <v>8446.8565802113353</v>
      </c>
      <c r="O11" s="3">
        <f t="shared" si="12"/>
        <v>8074.2238972888417</v>
      </c>
      <c r="P11" s="3">
        <f t="shared" si="12"/>
        <v>8083.178844066123</v>
      </c>
      <c r="Q11" s="3">
        <f t="shared" si="12"/>
        <v>7873.0609599168301</v>
      </c>
      <c r="R11" s="3">
        <f t="shared" si="12"/>
        <v>8130.3632267867197</v>
      </c>
      <c r="S11" s="3">
        <f t="shared" si="12"/>
        <v>8594.0286794744388</v>
      </c>
      <c r="T11" s="3">
        <f t="shared" si="12"/>
        <v>8968.9161853541937</v>
      </c>
      <c r="U11" s="3">
        <f t="shared" si="12"/>
        <v>10228.071979569739</v>
      </c>
      <c r="V11" s="3">
        <f t="shared" si="12"/>
        <v>10502.373117351308</v>
      </c>
      <c r="W11" s="3">
        <f t="shared" si="12"/>
        <v>9626.0811966018155</v>
      </c>
      <c r="X11" s="3">
        <f t="shared" si="12"/>
        <v>9218.3710421843825</v>
      </c>
      <c r="Y11" s="3">
        <f t="shared" si="12"/>
        <v>9561.088624241982</v>
      </c>
      <c r="Z11" s="3">
        <f t="shared" si="12"/>
        <v>9788.3320152594133</v>
      </c>
      <c r="AA11" s="3">
        <f t="shared" si="12"/>
        <v>11352.061102501186</v>
      </c>
      <c r="AB11" s="3">
        <f t="shared" si="12"/>
        <v>11238.004323640962</v>
      </c>
      <c r="AC11" s="3">
        <f t="shared" si="12"/>
        <v>11534.953241220659</v>
      </c>
      <c r="AD11" s="3">
        <f t="shared" si="12"/>
        <v>12065.773138722197</v>
      </c>
      <c r="AE11" s="3">
        <f t="shared" si="12"/>
        <v>11610.263491470678</v>
      </c>
      <c r="AF11" s="3">
        <f t="shared" si="12"/>
        <v>12391.723918703057</v>
      </c>
      <c r="AG11" s="3">
        <f t="shared" ref="AG11:AH11" si="13">+AG30+AG49</f>
        <v>11618.218830073236</v>
      </c>
      <c r="AH11" s="3">
        <f t="shared" si="13"/>
        <v>12539.054965346022</v>
      </c>
      <c r="AI11" s="3">
        <f t="shared" ref="AI11:AJ11" si="14">+AI30+AI49</f>
        <v>14531.076200555832</v>
      </c>
      <c r="AJ11" s="3">
        <f t="shared" si="14"/>
        <v>16876.92587614679</v>
      </c>
      <c r="AK11" s="3">
        <f t="shared" ref="AK11" si="15">+AK30+AK49</f>
        <v>18678.828044939753</v>
      </c>
    </row>
    <row r="12" spans="2:37">
      <c r="B12" s="1" t="str">
        <f>+OperatingFunds!$B$12</f>
        <v>The Evergreen State College</v>
      </c>
      <c r="C12" s="3">
        <f t="shared" ref="C12:AF12" si="16">+C31+C50</f>
        <v>7654.9531459170012</v>
      </c>
      <c r="D12" s="3">
        <f t="shared" si="16"/>
        <v>8518.9381676918092</v>
      </c>
      <c r="E12" s="3">
        <f t="shared" si="16"/>
        <v>7917.5772713081478</v>
      </c>
      <c r="F12" s="3">
        <f t="shared" si="16"/>
        <v>8906.6749072929542</v>
      </c>
      <c r="G12" s="3">
        <f t="shared" si="16"/>
        <v>7906.1547836684949</v>
      </c>
      <c r="H12" s="3">
        <f t="shared" si="16"/>
        <v>8728.4572105419011</v>
      </c>
      <c r="I12" s="3">
        <f t="shared" si="16"/>
        <v>8266.017124298789</v>
      </c>
      <c r="J12" s="3">
        <f t="shared" si="16"/>
        <v>8918.6013184293497</v>
      </c>
      <c r="K12" s="3">
        <f t="shared" si="16"/>
        <v>8304.9892703862661</v>
      </c>
      <c r="L12" s="3">
        <f t="shared" si="16"/>
        <v>8687.074829931973</v>
      </c>
      <c r="M12" s="3">
        <f t="shared" si="16"/>
        <v>9921.4366567487159</v>
      </c>
      <c r="N12" s="3">
        <f t="shared" si="16"/>
        <v>10388.323816693081</v>
      </c>
      <c r="O12" s="3">
        <f t="shared" si="16"/>
        <v>9879.7711050137186</v>
      </c>
      <c r="P12" s="3">
        <f t="shared" si="16"/>
        <v>9877.867266896892</v>
      </c>
      <c r="Q12" s="3">
        <f t="shared" si="16"/>
        <v>8939.7338399609653</v>
      </c>
      <c r="R12" s="3">
        <f t="shared" si="16"/>
        <v>12039.072495145629</v>
      </c>
      <c r="S12" s="3">
        <f t="shared" si="16"/>
        <v>11263.925432098764</v>
      </c>
      <c r="T12" s="3">
        <f t="shared" si="16"/>
        <v>12060.290945551777</v>
      </c>
      <c r="U12" s="3">
        <f t="shared" si="16"/>
        <v>12348.849864913405</v>
      </c>
      <c r="V12" s="3">
        <f t="shared" si="16"/>
        <v>12387.251988215001</v>
      </c>
      <c r="W12" s="3">
        <f t="shared" si="16"/>
        <v>11428.532583130444</v>
      </c>
      <c r="X12" s="3">
        <f t="shared" si="16"/>
        <v>11770.935567713157</v>
      </c>
      <c r="Y12" s="3">
        <f t="shared" si="16"/>
        <v>11516.515598741567</v>
      </c>
      <c r="Z12" s="3">
        <f t="shared" si="16"/>
        <v>11918.361153702772</v>
      </c>
      <c r="AA12" s="3">
        <f t="shared" si="16"/>
        <v>13187.365876022488</v>
      </c>
      <c r="AB12" s="3">
        <f t="shared" si="16"/>
        <v>12999.925030778955</v>
      </c>
      <c r="AC12" s="3">
        <f t="shared" si="16"/>
        <v>16840.189643596765</v>
      </c>
      <c r="AD12" s="3">
        <f t="shared" si="16"/>
        <v>15218.201494288047</v>
      </c>
      <c r="AE12" s="3">
        <f t="shared" si="16"/>
        <v>16676.06574460266</v>
      </c>
      <c r="AF12" s="3">
        <f t="shared" si="16"/>
        <v>17377.662872329001</v>
      </c>
      <c r="AG12" s="3">
        <f t="shared" ref="AG12:AH12" si="17">+AG31+AG50</f>
        <v>21951.108287234041</v>
      </c>
      <c r="AH12" s="3">
        <f t="shared" si="17"/>
        <v>26087.750193499909</v>
      </c>
      <c r="AI12" s="3">
        <f t="shared" ref="AI12:AJ12" si="18">+AI31+AI50</f>
        <v>23024.99285116102</v>
      </c>
      <c r="AJ12" s="3">
        <f t="shared" si="18"/>
        <v>31003.742924915947</v>
      </c>
      <c r="AK12" s="3">
        <f t="shared" ref="AK12" si="19">+AK31+AK50</f>
        <v>26667.344058816772</v>
      </c>
    </row>
    <row r="13" spans="2:37">
      <c r="B13" s="1" t="str">
        <f>+OperatingFunds!$B$13</f>
        <v>Western Washington University</v>
      </c>
      <c r="C13" s="41">
        <f t="shared" ref="C13:AF13" si="20">+C32+C51</f>
        <v>5735.8691788126562</v>
      </c>
      <c r="D13" s="41">
        <f t="shared" si="20"/>
        <v>6267.7814683312336</v>
      </c>
      <c r="E13" s="41">
        <f t="shared" si="20"/>
        <v>6114.2888814987255</v>
      </c>
      <c r="F13" s="41">
        <f t="shared" si="20"/>
        <v>6264.2974302897755</v>
      </c>
      <c r="G13" s="41">
        <f t="shared" si="20"/>
        <v>6078.1066353242868</v>
      </c>
      <c r="H13" s="41">
        <f t="shared" si="20"/>
        <v>6267.7123907779769</v>
      </c>
      <c r="I13" s="41">
        <f t="shared" si="20"/>
        <v>6320.2316921803886</v>
      </c>
      <c r="J13" s="41">
        <f t="shared" si="20"/>
        <v>6484.483099426765</v>
      </c>
      <c r="K13" s="41">
        <f t="shared" si="20"/>
        <v>6703.7786774628876</v>
      </c>
      <c r="L13" s="41">
        <f t="shared" si="20"/>
        <v>6951.3744075829381</v>
      </c>
      <c r="M13" s="41">
        <f t="shared" si="20"/>
        <v>7406.1856516926482</v>
      </c>
      <c r="N13" s="41">
        <f t="shared" si="20"/>
        <v>7661.717561976101</v>
      </c>
      <c r="O13" s="41">
        <f t="shared" si="20"/>
        <v>7961.4782503328897</v>
      </c>
      <c r="P13" s="41">
        <f t="shared" si="20"/>
        <v>8137.0441416893736</v>
      </c>
      <c r="Q13" s="41">
        <f t="shared" si="20"/>
        <v>8213.459277705344</v>
      </c>
      <c r="R13" s="41">
        <f t="shared" si="20"/>
        <v>8415.7588286519258</v>
      </c>
      <c r="S13" s="41">
        <f t="shared" si="20"/>
        <v>8836.6289502339423</v>
      </c>
      <c r="T13" s="41">
        <f t="shared" si="20"/>
        <v>9442.3957416836402</v>
      </c>
      <c r="U13" s="41">
        <f t="shared" si="20"/>
        <v>10112.525231755222</v>
      </c>
      <c r="V13" s="41">
        <f t="shared" si="20"/>
        <v>10042.097331722218</v>
      </c>
      <c r="W13" s="41">
        <f t="shared" si="20"/>
        <v>10246.349906494408</v>
      </c>
      <c r="X13" s="41">
        <f t="shared" si="20"/>
        <v>9837.8831292943705</v>
      </c>
      <c r="Y13" s="41">
        <f t="shared" si="20"/>
        <v>9556.3904202743834</v>
      </c>
      <c r="Z13" s="41">
        <f t="shared" si="20"/>
        <v>9993.1855985831116</v>
      </c>
      <c r="AA13" s="41">
        <f t="shared" si="20"/>
        <v>10637.59195262944</v>
      </c>
      <c r="AB13" s="41">
        <f t="shared" si="20"/>
        <v>11169.072570055492</v>
      </c>
      <c r="AC13" s="41">
        <f t="shared" si="20"/>
        <v>11855.707515186579</v>
      </c>
      <c r="AD13" s="41">
        <f t="shared" si="20"/>
        <v>12709.303870231572</v>
      </c>
      <c r="AE13" s="41">
        <f t="shared" si="20"/>
        <v>12893.211142352349</v>
      </c>
      <c r="AF13" s="41">
        <f t="shared" si="20"/>
        <v>13303.186724736068</v>
      </c>
      <c r="AG13" s="41">
        <f t="shared" ref="AG13:AH13" si="21">+AG32+AG51</f>
        <v>14464.704105046501</v>
      </c>
      <c r="AH13" s="41">
        <f t="shared" si="21"/>
        <v>15022.437075371981</v>
      </c>
      <c r="AI13" s="41">
        <f t="shared" ref="AI13:AJ13" si="22">+AI32+AI51</f>
        <v>16511.82228917988</v>
      </c>
      <c r="AJ13" s="41">
        <f t="shared" si="22"/>
        <v>17919.1804654927</v>
      </c>
      <c r="AK13" s="41">
        <f t="shared" ref="AK13" si="23">+AK32+AK51</f>
        <v>18549.241556163899</v>
      </c>
    </row>
    <row r="14" spans="2:37">
      <c r="B14" s="199" t="str">
        <f>+OperatingFunds!$B$14</f>
        <v>Total Four-Year Institutions</v>
      </c>
      <c r="C14" s="42">
        <f t="shared" ref="C14:AF14" si="24">+C33+C52</f>
        <v>8553.4435455504754</v>
      </c>
      <c r="D14" s="42">
        <f t="shared" si="24"/>
        <v>9284.0173083813352</v>
      </c>
      <c r="E14" s="42">
        <f t="shared" si="24"/>
        <v>9310.9143654725085</v>
      </c>
      <c r="F14" s="42">
        <f t="shared" si="24"/>
        <v>9647.0801644674957</v>
      </c>
      <c r="G14" s="42">
        <f t="shared" si="24"/>
        <v>9101.6230921147289</v>
      </c>
      <c r="H14" s="42">
        <f t="shared" si="24"/>
        <v>9415.4101268751692</v>
      </c>
      <c r="I14" s="42">
        <f t="shared" si="24"/>
        <v>9561.8285421601904</v>
      </c>
      <c r="J14" s="42">
        <f t="shared" si="24"/>
        <v>9870.2165361752395</v>
      </c>
      <c r="K14" s="42">
        <f t="shared" si="24"/>
        <v>10219.21445053718</v>
      </c>
      <c r="L14" s="42">
        <f t="shared" si="24"/>
        <v>10663.950921442598</v>
      </c>
      <c r="M14" s="42">
        <f t="shared" si="24"/>
        <v>11198.708248952029</v>
      </c>
      <c r="N14" s="42">
        <f t="shared" si="24"/>
        <v>11595.93854005564</v>
      </c>
      <c r="O14" s="42">
        <f t="shared" si="24"/>
        <v>11659.676450567815</v>
      </c>
      <c r="P14" s="42">
        <f t="shared" si="24"/>
        <v>11760.033605255217</v>
      </c>
      <c r="Q14" s="42">
        <f t="shared" si="24"/>
        <v>11673.335946600055</v>
      </c>
      <c r="R14" s="42">
        <f t="shared" si="24"/>
        <v>12508.185989075944</v>
      </c>
      <c r="S14" s="42">
        <f t="shared" si="24"/>
        <v>13063.124799772857</v>
      </c>
      <c r="T14" s="42">
        <f t="shared" si="24"/>
        <v>14051.34910133926</v>
      </c>
      <c r="U14" s="42">
        <f t="shared" si="24"/>
        <v>14941.506750142322</v>
      </c>
      <c r="V14" s="42">
        <f t="shared" si="24"/>
        <v>14795.014540404773</v>
      </c>
      <c r="W14" s="42">
        <f t="shared" si="24"/>
        <v>13641.887857178539</v>
      </c>
      <c r="X14" s="42">
        <f t="shared" si="24"/>
        <v>14012.601663099822</v>
      </c>
      <c r="Y14" s="42">
        <f t="shared" si="24"/>
        <v>13410.796449009995</v>
      </c>
      <c r="Z14" s="42">
        <f t="shared" si="24"/>
        <v>14405.128272164624</v>
      </c>
      <c r="AA14" s="42">
        <f t="shared" si="24"/>
        <v>14847.895407448992</v>
      </c>
      <c r="AB14" s="42">
        <f t="shared" si="24"/>
        <v>15753.184662300162</v>
      </c>
      <c r="AC14" s="42">
        <f t="shared" si="24"/>
        <v>16260.297006104694</v>
      </c>
      <c r="AD14" s="42">
        <f t="shared" si="24"/>
        <v>16794.622158981329</v>
      </c>
      <c r="AE14" s="42">
        <f t="shared" si="24"/>
        <v>17808.041343697114</v>
      </c>
      <c r="AF14" s="42">
        <f t="shared" si="24"/>
        <v>17569.019987716532</v>
      </c>
      <c r="AG14" s="42">
        <f t="shared" ref="AG14:AH14" si="25">+AG33+AG52</f>
        <v>18139.051468401485</v>
      </c>
      <c r="AH14" s="42">
        <f t="shared" si="25"/>
        <v>19010.785599545263</v>
      </c>
      <c r="AI14" s="42">
        <f t="shared" ref="AI14:AJ14" si="26">+AI33+AI52</f>
        <v>19973.059758752883</v>
      </c>
      <c r="AJ14" s="42">
        <f t="shared" si="26"/>
        <v>22286.135748844146</v>
      </c>
      <c r="AK14" s="42">
        <f t="shared" ref="AK14" si="27">+AK33+AK52</f>
        <v>24041.840233117258</v>
      </c>
    </row>
    <row r="15" spans="2:37">
      <c r="C15"/>
      <c r="D15"/>
      <c r="E15"/>
      <c r="F15"/>
      <c r="G15"/>
      <c r="H15"/>
      <c r="I15"/>
      <c r="J15"/>
      <c r="K15"/>
      <c r="L15"/>
      <c r="M15"/>
      <c r="N15"/>
      <c r="O15"/>
      <c r="P15"/>
      <c r="Q15"/>
      <c r="R15"/>
      <c r="S15"/>
      <c r="T15"/>
      <c r="U15"/>
      <c r="V15"/>
      <c r="W15"/>
      <c r="X15"/>
      <c r="Y15"/>
      <c r="AC15"/>
      <c r="AD15"/>
      <c r="AE15"/>
      <c r="AF15"/>
      <c r="AG15"/>
      <c r="AH15"/>
      <c r="AI15"/>
      <c r="AJ15"/>
      <c r="AK15"/>
    </row>
    <row r="16" spans="2:37">
      <c r="B16" s="1" t="str">
        <f>+OperatingFunds!$B$16</f>
        <v>Community/Technical College System</v>
      </c>
      <c r="C16" s="3">
        <f t="shared" ref="C16:AF16" si="28">+C35+C54</f>
        <v>3490.3619694534573</v>
      </c>
      <c r="D16" s="3">
        <f t="shared" si="28"/>
        <v>3791.8287357122254</v>
      </c>
      <c r="E16" s="3">
        <f t="shared" si="28"/>
        <v>3761.5513687137445</v>
      </c>
      <c r="F16" s="3">
        <f t="shared" si="28"/>
        <v>3918.6575176212482</v>
      </c>
      <c r="G16" s="3">
        <f t="shared" si="28"/>
        <v>3762.6424100508848</v>
      </c>
      <c r="H16" s="3">
        <f t="shared" si="28"/>
        <v>4054.9956429508225</v>
      </c>
      <c r="I16" s="3">
        <f t="shared" si="28"/>
        <v>3822.8583527419014</v>
      </c>
      <c r="J16" s="3">
        <f t="shared" si="28"/>
        <v>3974.7161892240401</v>
      </c>
      <c r="K16" s="3">
        <f t="shared" si="28"/>
        <v>4230.714437142251</v>
      </c>
      <c r="L16" s="3">
        <f t="shared" si="28"/>
        <v>4471.1628827224613</v>
      </c>
      <c r="M16" s="3">
        <f t="shared" si="28"/>
        <v>4711.4246002988866</v>
      </c>
      <c r="N16" s="3">
        <f t="shared" si="28"/>
        <v>4903.3994808459474</v>
      </c>
      <c r="O16" s="3">
        <f t="shared" si="28"/>
        <v>4934.434964840776</v>
      </c>
      <c r="P16" s="3">
        <f t="shared" si="28"/>
        <v>4957.8370155202401</v>
      </c>
      <c r="Q16" s="3">
        <f t="shared" si="28"/>
        <v>5079.6541477564542</v>
      </c>
      <c r="R16" s="3">
        <f t="shared" si="28"/>
        <v>5564.6070777023169</v>
      </c>
      <c r="S16" s="3">
        <f t="shared" si="28"/>
        <v>6079.2617862570933</v>
      </c>
      <c r="T16" s="3">
        <f t="shared" si="28"/>
        <v>6362.1078169264119</v>
      </c>
      <c r="U16" s="3">
        <f t="shared" si="28"/>
        <v>6860.5528155709617</v>
      </c>
      <c r="V16" s="3">
        <f t="shared" si="28"/>
        <v>6454.2331494296714</v>
      </c>
      <c r="W16" s="3">
        <f t="shared" si="28"/>
        <v>5930.7486064799014</v>
      </c>
      <c r="X16" s="3">
        <f t="shared" si="28"/>
        <v>5926.7086338945919</v>
      </c>
      <c r="Y16" s="3">
        <f t="shared" si="28"/>
        <v>5871.3205859780828</v>
      </c>
      <c r="Z16" s="3">
        <f t="shared" si="28"/>
        <v>6233.4043808299703</v>
      </c>
      <c r="AA16" s="3">
        <f t="shared" si="28"/>
        <v>6868.3927187692288</v>
      </c>
      <c r="AB16" s="3">
        <f t="shared" si="28"/>
        <v>7121.2663295075636</v>
      </c>
      <c r="AC16" s="3">
        <f t="shared" si="28"/>
        <v>7776.9303690787601</v>
      </c>
      <c r="AD16" s="3">
        <f t="shared" si="28"/>
        <v>8351.9817234078328</v>
      </c>
      <c r="AE16" s="3">
        <f t="shared" si="28"/>
        <v>8535.9660038579495</v>
      </c>
      <c r="AF16" s="3">
        <f t="shared" si="28"/>
        <v>8798.6132387667458</v>
      </c>
      <c r="AG16" s="3">
        <f t="shared" ref="AG16:AH16" si="29">+AG35+AG54</f>
        <v>10220.983341621126</v>
      </c>
      <c r="AH16" s="3">
        <f t="shared" si="29"/>
        <v>11588.583364011363</v>
      </c>
      <c r="AI16" s="3">
        <f t="shared" ref="AI16:AJ16" si="30">+AI35+AI54</f>
        <v>12046.820736604152</v>
      </c>
      <c r="AJ16" s="3">
        <f t="shared" si="30"/>
        <v>12964.033911970213</v>
      </c>
      <c r="AK16" s="3">
        <f t="shared" ref="AK16" si="31">+AK35+AK54</f>
        <v>15004.319395720013</v>
      </c>
    </row>
    <row r="17" spans="2:37">
      <c r="B17" s="1" t="str">
        <f>+OperatingFunds!$B$17</f>
        <v>HEC Board, CHE, SFA, &amp; SAC (1)</v>
      </c>
      <c r="C17" s="3">
        <f t="shared" ref="C17:AF17" si="32">+C36+C55</f>
        <v>173.74092679081915</v>
      </c>
      <c r="D17" s="3">
        <f t="shared" si="32"/>
        <v>196.43651531870887</v>
      </c>
      <c r="E17" s="3">
        <f t="shared" si="32"/>
        <v>219.97147254655442</v>
      </c>
      <c r="F17" s="3">
        <f t="shared" si="32"/>
        <v>218.58353944374977</v>
      </c>
      <c r="G17" s="3">
        <f t="shared" si="32"/>
        <v>339.44019541958676</v>
      </c>
      <c r="H17" s="3">
        <f t="shared" si="32"/>
        <v>364.82899865205172</v>
      </c>
      <c r="I17" s="3">
        <f t="shared" si="32"/>
        <v>371.48901463016773</v>
      </c>
      <c r="J17" s="3">
        <f t="shared" si="32"/>
        <v>394.57381548147549</v>
      </c>
      <c r="K17" s="3">
        <f t="shared" si="32"/>
        <v>458.60847928031393</v>
      </c>
      <c r="L17" s="3">
        <f t="shared" si="32"/>
        <v>491.94020453237448</v>
      </c>
      <c r="M17" s="3">
        <f t="shared" si="32"/>
        <v>513.25520273195139</v>
      </c>
      <c r="N17" s="3">
        <f t="shared" si="32"/>
        <v>584.73047063520028</v>
      </c>
      <c r="O17" s="3">
        <f t="shared" si="32"/>
        <v>567.12879629254132</v>
      </c>
      <c r="P17" s="3">
        <f t="shared" si="32"/>
        <v>602.49407399330028</v>
      </c>
      <c r="Q17" s="3">
        <f t="shared" si="32"/>
        <v>645.5211418385046</v>
      </c>
      <c r="R17" s="3">
        <f t="shared" si="32"/>
        <v>743.6170314161734</v>
      </c>
      <c r="S17" s="3">
        <f t="shared" si="32"/>
        <v>860.07802686693265</v>
      </c>
      <c r="T17" s="3">
        <f t="shared" si="32"/>
        <v>903.90086562950842</v>
      </c>
      <c r="U17" s="3">
        <f t="shared" si="32"/>
        <v>1011.1469267987482</v>
      </c>
      <c r="V17" s="3">
        <f t="shared" si="32"/>
        <v>966.49352530625879</v>
      </c>
      <c r="W17" s="3">
        <f t="shared" si="32"/>
        <v>972.42102300611145</v>
      </c>
      <c r="X17" s="3">
        <f t="shared" si="32"/>
        <v>871.82162197317075</v>
      </c>
      <c r="Y17" s="3">
        <f t="shared" si="32"/>
        <v>1133.0129764394155</v>
      </c>
      <c r="Z17" s="3">
        <f t="shared" si="32"/>
        <v>1288.6062316296056</v>
      </c>
      <c r="AA17" s="3">
        <f t="shared" si="32"/>
        <v>1482.6536991142466</v>
      </c>
      <c r="AB17" s="3">
        <f t="shared" si="32"/>
        <v>1439.7833744583465</v>
      </c>
      <c r="AC17" s="3">
        <f t="shared" si="32"/>
        <v>1501.4581062459265</v>
      </c>
      <c r="AD17" s="3">
        <f t="shared" si="32"/>
        <v>1461.9261294380863</v>
      </c>
      <c r="AE17" s="3">
        <f t="shared" si="32"/>
        <v>1476.2924451474423</v>
      </c>
      <c r="AF17" s="3">
        <f t="shared" si="32"/>
        <v>1618.8188798169963</v>
      </c>
      <c r="AG17" s="3">
        <f t="shared" ref="AG17:AH17" si="33">+AG36+AG55</f>
        <v>1839.9047786153299</v>
      </c>
      <c r="AH17" s="3">
        <f t="shared" si="33"/>
        <v>2421.7870226949822</v>
      </c>
      <c r="AI17" s="3">
        <f t="shared" ref="AI17:AJ17" si="34">+AI36+AI55</f>
        <v>2433.817360482391</v>
      </c>
      <c r="AJ17" s="3">
        <f t="shared" si="34"/>
        <v>2651.9628898025439</v>
      </c>
      <c r="AK17" s="3">
        <f t="shared" ref="AK17" si="35">+AK36+AK55</f>
        <v>2727.7446660650962</v>
      </c>
    </row>
    <row r="18" spans="2:37"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row>
    <row r="19" spans="2:37" ht="13.5" thickTop="1">
      <c r="B19" s="1" t="s">
        <v>9</v>
      </c>
      <c r="C19" s="39">
        <f t="shared" ref="C19:AF19" si="36">+C38+C57</f>
        <v>5780.8430290695624</v>
      </c>
      <c r="D19" s="39">
        <f t="shared" si="36"/>
        <v>6290.8157075261861</v>
      </c>
      <c r="E19" s="39">
        <f t="shared" si="36"/>
        <v>6267.8705327191856</v>
      </c>
      <c r="F19" s="39">
        <f t="shared" si="36"/>
        <v>6485.6365369043224</v>
      </c>
      <c r="G19" s="39">
        <f t="shared" si="36"/>
        <v>6279.2889372459913</v>
      </c>
      <c r="H19" s="39">
        <f t="shared" si="36"/>
        <v>6598.4994932132367</v>
      </c>
      <c r="I19" s="39">
        <f t="shared" si="36"/>
        <v>6479.0232961207121</v>
      </c>
      <c r="J19" s="39">
        <f t="shared" si="36"/>
        <v>6735.8594317539755</v>
      </c>
      <c r="K19" s="39">
        <f t="shared" si="36"/>
        <v>7120.7267378898005</v>
      </c>
      <c r="L19" s="39">
        <f t="shared" si="36"/>
        <v>7460.743852469097</v>
      </c>
      <c r="M19" s="39">
        <f t="shared" si="36"/>
        <v>7782.1073656870767</v>
      </c>
      <c r="N19" s="39">
        <f t="shared" si="36"/>
        <v>8124.9389784665964</v>
      </c>
      <c r="O19" s="39">
        <f t="shared" si="36"/>
        <v>8141.1787207285142</v>
      </c>
      <c r="P19" s="39">
        <f t="shared" si="36"/>
        <v>8185.0379759142297</v>
      </c>
      <c r="Q19" s="39">
        <f t="shared" si="36"/>
        <v>8300.7807121270525</v>
      </c>
      <c r="R19" s="39">
        <f t="shared" si="36"/>
        <v>9127.1433970840972</v>
      </c>
      <c r="S19" s="39">
        <f t="shared" si="36"/>
        <v>9786.3083672653083</v>
      </c>
      <c r="T19" s="39">
        <f t="shared" si="36"/>
        <v>10383.366496651646</v>
      </c>
      <c r="U19" s="39">
        <f t="shared" si="36"/>
        <v>11019.27300036122</v>
      </c>
      <c r="V19" s="39">
        <f t="shared" si="36"/>
        <v>10587.222433021863</v>
      </c>
      <c r="W19" s="39">
        <f t="shared" si="36"/>
        <v>9471.8075152945348</v>
      </c>
      <c r="X19" s="39">
        <f t="shared" si="36"/>
        <v>9569.0053636563352</v>
      </c>
      <c r="Y19" s="39">
        <f t="shared" si="36"/>
        <v>10827.265503739058</v>
      </c>
      <c r="Z19" s="39">
        <f t="shared" si="36"/>
        <v>10426.517820689336</v>
      </c>
      <c r="AA19" s="39">
        <f t="shared" si="36"/>
        <v>11744.661373689814</v>
      </c>
      <c r="AB19" s="39">
        <f t="shared" si="36"/>
        <v>12338.272423330647</v>
      </c>
      <c r="AC19" s="39">
        <f t="shared" si="36"/>
        <v>13073.950775057407</v>
      </c>
      <c r="AD19" s="39">
        <f t="shared" si="36"/>
        <v>13688.366368862964</v>
      </c>
      <c r="AE19" s="39">
        <f t="shared" si="36"/>
        <v>14352.638222557174</v>
      </c>
      <c r="AF19" s="39">
        <f t="shared" si="36"/>
        <v>14618.228748790914</v>
      </c>
      <c r="AG19" s="39">
        <f t="shared" ref="AG19:AH19" si="37">+AG38+AG57</f>
        <v>15945.896278948141</v>
      </c>
      <c r="AH19" s="39">
        <f t="shared" si="37"/>
        <v>17788.357852586116</v>
      </c>
      <c r="AI19" s="39">
        <f t="shared" ref="AI19:AJ19" si="38">+AI38+AI57</f>
        <v>18413.708432720454</v>
      </c>
      <c r="AJ19" s="39">
        <f t="shared" si="38"/>
        <v>20190.485313522069</v>
      </c>
      <c r="AK19" s="39">
        <f t="shared" ref="AK19" si="39">+AK38+AK57</f>
        <v>22300.125658752564</v>
      </c>
    </row>
    <row r="20" spans="2:37">
      <c r="B20" s="199" t="s">
        <v>555</v>
      </c>
      <c r="C20" s="3"/>
      <c r="D20" s="3">
        <f>AVERAGE(C19:D19)</f>
        <v>6035.8293682978747</v>
      </c>
      <c r="E20" s="3"/>
      <c r="F20" s="3">
        <f>AVERAGE(E19:F19)</f>
        <v>6376.7535348117544</v>
      </c>
      <c r="G20" s="3"/>
      <c r="H20" s="3">
        <f>AVERAGE(G19:H19)</f>
        <v>6438.894215229614</v>
      </c>
      <c r="I20" s="3"/>
      <c r="J20" s="3">
        <f>AVERAGE(I19:J19)</f>
        <v>6607.4413639373433</v>
      </c>
      <c r="K20" s="3"/>
      <c r="L20" s="3">
        <f>AVERAGE(K19:L19)</f>
        <v>7290.7352951794492</v>
      </c>
      <c r="M20" s="3"/>
      <c r="N20" s="3">
        <f>AVERAGE(M19:N19)</f>
        <v>7953.523172076837</v>
      </c>
      <c r="O20" s="3"/>
      <c r="P20" s="3">
        <f>AVERAGE(O19:P19)</f>
        <v>8163.1083483213715</v>
      </c>
      <c r="Q20" s="3"/>
      <c r="R20" s="3">
        <f>AVERAGE(Q19:R19)</f>
        <v>8713.9620546055739</v>
      </c>
      <c r="S20" s="3"/>
      <c r="T20" s="3">
        <f>AVERAGE(S19:T19)</f>
        <v>10084.837431958476</v>
      </c>
      <c r="U20" s="3"/>
      <c r="V20" s="3">
        <f>AVERAGE(U19:V19)</f>
        <v>10803.247716691541</v>
      </c>
      <c r="W20" s="3"/>
      <c r="X20" s="3">
        <f>AVERAGE(W19:X19)</f>
        <v>9520.406439475435</v>
      </c>
      <c r="Y20" s="3"/>
      <c r="Z20" s="3">
        <f>AVERAGE(Y19:Z19)</f>
        <v>10626.891662214197</v>
      </c>
      <c r="AA20" s="3"/>
      <c r="AB20" s="3">
        <f>AVERAGE(AA19:AB19)</f>
        <v>12041.466898510231</v>
      </c>
      <c r="AC20" s="3"/>
      <c r="AD20" s="3">
        <f>AVERAGE(AC19:AD19)</f>
        <v>13381.158571960186</v>
      </c>
      <c r="AE20" s="3"/>
      <c r="AF20" s="3">
        <f>AVERAGE(AE19:AF19)</f>
        <v>14485.433485674044</v>
      </c>
      <c r="AG20" s="3"/>
      <c r="AH20" s="3">
        <f>AVERAGE(AG19:AH19)</f>
        <v>16867.127065767127</v>
      </c>
      <c r="AJ20" s="3">
        <f>AVERAGE(AI19:AJ19)</f>
        <v>19302.096873121263</v>
      </c>
      <c r="AK20" s="3"/>
    </row>
    <row r="21" spans="2:37" ht="13.5">
      <c r="M21" s="1880"/>
      <c r="N21" s="1880"/>
      <c r="O21" s="1880"/>
      <c r="P21" s="1880"/>
      <c r="Q21" s="1880"/>
      <c r="R21" s="1880"/>
      <c r="S21" s="1880"/>
      <c r="T21" s="1880"/>
      <c r="U21" s="1880"/>
      <c r="V21" s="1880"/>
      <c r="W21" s="1880"/>
      <c r="X21" s="1880"/>
      <c r="Y21" s="1880"/>
      <c r="Z21" s="1880"/>
      <c r="AA21" s="1880"/>
      <c r="AB21" s="1880"/>
      <c r="AC21" s="1880"/>
      <c r="AD21" s="1880"/>
      <c r="AE21" s="1880"/>
      <c r="AF21" s="1880"/>
      <c r="AG21" s="1880"/>
    </row>
    <row r="22" spans="2:37" ht="15.75">
      <c r="B22" s="376"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row>
    <row r="23" spans="2:37">
      <c r="B23" s="377" t="str">
        <f>+B4</f>
        <v>(Dollars Per Actual State-Funded FTE Enrollment)</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row>
    <row r="24" spans="2:37">
      <c r="I24" s="13"/>
      <c r="J24" s="13"/>
      <c r="K24" s="13"/>
      <c r="L24" s="13"/>
      <c r="M24" s="13"/>
      <c r="N24" s="13"/>
      <c r="O24" s="13"/>
      <c r="P24" s="13"/>
      <c r="Q24"/>
      <c r="R24" s="13"/>
      <c r="S24"/>
      <c r="T24"/>
      <c r="U24" s="2" t="str">
        <f>IF(ISBLANK(OperatingFunds!U24),"",OperatingFunds!U24)</f>
        <v/>
      </c>
      <c r="V24" s="2" t="str">
        <f>IF(ISBLANK(OperatingFunds!V24),"",OperatingFunds!V24)</f>
        <v/>
      </c>
      <c r="W24" s="2" t="str">
        <f>+W5</f>
        <v/>
      </c>
      <c r="X24" s="2" t="str">
        <f>IF(ISBLANK(OperatingFunds!X5),"",OperatingFunds!X5)</f>
        <v/>
      </c>
      <c r="Y24" s="14" t="str">
        <f>IF(ISBLANK(OperatingFunds!Y5),"",OperatingFunds!Y5)</f>
        <v/>
      </c>
      <c r="AA24" s="2" t="str">
        <f>TRIM(AA$5)</f>
        <v/>
      </c>
      <c r="AB24" s="2" t="str">
        <f>TRIM(AB$5)</f>
        <v/>
      </c>
      <c r="AC24" s="2" t="str">
        <f>TRIM(AC$5)</f>
        <v/>
      </c>
      <c r="AD24" s="2" t="str">
        <f>TRIM(AD$5)</f>
        <v/>
      </c>
      <c r="AE24" s="2" t="str">
        <f t="shared" ref="AE24:AK24" si="40">TRIM(AE$5)</f>
        <v/>
      </c>
      <c r="AF24" s="2" t="str">
        <f t="shared" si="40"/>
        <v/>
      </c>
      <c r="AG24" s="2" t="str">
        <f t="shared" si="40"/>
        <v/>
      </c>
      <c r="AH24" s="2" t="str">
        <f t="shared" si="40"/>
        <v/>
      </c>
      <c r="AI24" s="2" t="str">
        <f t="shared" si="40"/>
        <v/>
      </c>
      <c r="AJ24" s="2" t="str">
        <f t="shared" si="40"/>
        <v/>
      </c>
      <c r="AK24" s="2" t="str">
        <f t="shared" si="40"/>
        <v>Final</v>
      </c>
    </row>
    <row r="25" spans="2:37">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+OperatingFunds!U25</f>
        <v>FY2008</v>
      </c>
      <c r="V25" s="2" t="str">
        <f>+OperatingFunds!V25</f>
        <v>FY2009</v>
      </c>
      <c r="W25" s="2" t="str">
        <f>+W6</f>
        <v>FY2010</v>
      </c>
      <c r="X25" s="2" t="str">
        <f>IF(ISBLANK(OperatingFunds!X6),"",OperatingFunds!X6)</f>
        <v>FY2011</v>
      </c>
      <c r="Y25" s="14" t="str">
        <f>IF(ISBLANK(OperatingFunds!Y6),"",OperatingFunds!Y6)</f>
        <v>FY2012</v>
      </c>
      <c r="Z25" s="2" t="str">
        <f>IF(ISBLANK(OperatingFunds!Z6),"",OperatingFunds!Z6)</f>
        <v>FY2013</v>
      </c>
      <c r="AA25" s="2" t="str">
        <f>IF(ISBLANK(OperatingFunds!AA6),"",OperatingFunds!AA6)</f>
        <v>FY2014</v>
      </c>
      <c r="AB25" s="2" t="str">
        <f>IF(ISBLANK(OperatingFunds!AB6),"",OperatingFunds!AB6)</f>
        <v>FY2015</v>
      </c>
      <c r="AC25" s="2" t="str">
        <f>IF(ISBLANK(OperatingFunds!AC6),"",OperatingFunds!AC6)</f>
        <v>FY2016</v>
      </c>
      <c r="AD25" s="2" t="str">
        <f>IF(ISBLANK(OperatingFunds!AD6),"",OperatingFunds!AD6)</f>
        <v>FY2017</v>
      </c>
      <c r="AE25" s="2" t="str">
        <f>IF(ISBLANK(OperatingFunds!AE6),"",OperatingFunds!AE6)</f>
        <v>FY2018</v>
      </c>
      <c r="AF25" s="2" t="str">
        <f>IF(ISBLANK(OperatingFunds!AF6),"",OperatingFunds!AF6)</f>
        <v>FY2019</v>
      </c>
      <c r="AG25" s="2" t="str">
        <f>IF(ISBLANK(OperatingFunds!AG6),"",OperatingFunds!AG6)</f>
        <v>FY2020</v>
      </c>
      <c r="AH25" s="2" t="str">
        <f>IF(ISBLANK(OperatingFunds!AH6),"",OperatingFunds!AH6)</f>
        <v>FY2021</v>
      </c>
      <c r="AI25" s="2" t="str">
        <f>IF(ISBLANK(OperatingFunds!AI6),"",OperatingFunds!AI6)</f>
        <v>FY2022</v>
      </c>
      <c r="AJ25" s="2" t="str">
        <f>IF(ISBLANK(OperatingFunds!AJ6),"",OperatingFunds!AJ6)</f>
        <v>FY2023</v>
      </c>
      <c r="AK25" s="2" t="str">
        <f>IF(ISBLANK(OperatingFunds!AK6),"",OperatingFunds!AK6)</f>
        <v>FY2024</v>
      </c>
    </row>
    <row r="26" spans="2:37">
      <c r="C26" s="3"/>
      <c r="D26" s="3"/>
      <c r="E26" s="3"/>
      <c r="F26" s="3"/>
      <c r="G26" s="3"/>
      <c r="H26" s="3"/>
      <c r="I26" s="3"/>
      <c r="J26" s="3"/>
      <c r="K26" s="3"/>
      <c r="L26" s="3"/>
      <c r="M26" s="3"/>
      <c r="N26" s="3"/>
      <c r="O26" s="3"/>
      <c r="P26" s="3"/>
      <c r="Q26" s="3"/>
      <c r="R26" s="3"/>
      <c r="AC26"/>
      <c r="AD26"/>
      <c r="AE26"/>
      <c r="AF26"/>
      <c r="AG26"/>
    </row>
    <row r="27" spans="2:37">
      <c r="B27" s="1" t="str">
        <f>+$B$8</f>
        <v>University of Washington</v>
      </c>
      <c r="C27" s="3">
        <f t="shared" ref="C27:L27" si="41">SUM(C65,C103,C122)</f>
        <v>8017.5539276913205</v>
      </c>
      <c r="D27" s="3">
        <f t="shared" si="41"/>
        <v>8829.1670816319747</v>
      </c>
      <c r="E27" s="3">
        <f t="shared" si="41"/>
        <v>8456.0101552582764</v>
      </c>
      <c r="F27" s="3">
        <f t="shared" si="41"/>
        <v>8727.6513937840427</v>
      </c>
      <c r="G27" s="3">
        <f t="shared" si="41"/>
        <v>8128.8727226316969</v>
      </c>
      <c r="H27" s="3">
        <f t="shared" si="41"/>
        <v>7891.185622658284</v>
      </c>
      <c r="I27" s="3">
        <f t="shared" si="41"/>
        <v>8143.7867404356984</v>
      </c>
      <c r="J27" s="3">
        <f t="shared" si="41"/>
        <v>8144.165804370321</v>
      </c>
      <c r="K27" s="3">
        <f t="shared" si="41"/>
        <v>8506.7369303551113</v>
      </c>
      <c r="L27" s="3">
        <f t="shared" si="41"/>
        <v>8806.6206239580861</v>
      </c>
      <c r="M27" s="3">
        <f t="shared" ref="M27:AA27" si="42">SUM(M65,M84,M103,M122,M141)</f>
        <v>9450.6702580891433</v>
      </c>
      <c r="N27" s="3">
        <f t="shared" si="42"/>
        <v>9784.0699696848351</v>
      </c>
      <c r="O27" s="3">
        <f t="shared" si="42"/>
        <v>9585.4273785030146</v>
      </c>
      <c r="P27" s="3">
        <f t="shared" si="42"/>
        <v>9222.2795479263041</v>
      </c>
      <c r="Q27" s="3">
        <f t="shared" si="42"/>
        <v>9051.5752219407423</v>
      </c>
      <c r="R27" s="3">
        <f t="shared" si="42"/>
        <v>9413.4033402095884</v>
      </c>
      <c r="S27" s="3">
        <f t="shared" si="42"/>
        <v>9976.9833176947432</v>
      </c>
      <c r="T27" s="3">
        <f t="shared" si="42"/>
        <v>10356.961676808471</v>
      </c>
      <c r="U27" s="3">
        <f t="shared" si="42"/>
        <v>10860.05232482688</v>
      </c>
      <c r="V27" s="3">
        <f t="shared" si="42"/>
        <v>10236.402893334256</v>
      </c>
      <c r="W27" s="3">
        <f t="shared" si="42"/>
        <v>8640.2269411651232</v>
      </c>
      <c r="X27" s="3">
        <f t="shared" si="42"/>
        <v>7287.2895085124264</v>
      </c>
      <c r="Y27" s="3">
        <f t="shared" si="42"/>
        <v>5384.2647989138068</v>
      </c>
      <c r="Z27" s="3">
        <f t="shared" si="42"/>
        <v>5342.4915670962209</v>
      </c>
      <c r="AA27" s="3">
        <f t="shared" si="42"/>
        <v>6186.5116140985247</v>
      </c>
      <c r="AB27" s="3">
        <f t="shared" ref="AB27:AF32" si="43">SUM(AB65,AB103,AB122,AB141,AB84)</f>
        <v>5779.5314999193652</v>
      </c>
      <c r="AC27" s="3">
        <f t="shared" si="43"/>
        <v>6689.1486695807607</v>
      </c>
      <c r="AD27" s="3">
        <f t="shared" si="43"/>
        <v>7403.2068763252073</v>
      </c>
      <c r="AE27" s="3">
        <f t="shared" si="43"/>
        <v>7723.3538714641363</v>
      </c>
      <c r="AF27" s="3">
        <f t="shared" si="43"/>
        <v>7856.3259053610873</v>
      </c>
      <c r="AG27" s="3">
        <f t="shared" ref="AG27:AI27" si="44">SUM(AG65,AG103,AG122,AG141,AG84)</f>
        <v>8429.9670066270228</v>
      </c>
      <c r="AH27" s="3">
        <f t="shared" si="44"/>
        <v>9045.1811889284945</v>
      </c>
      <c r="AI27" s="3">
        <f t="shared" si="44"/>
        <v>9353.5307756034854</v>
      </c>
      <c r="AJ27" s="3">
        <f t="shared" ref="AJ27:AK27" si="45">SUM(AJ65,AJ103,AJ122,AJ141,AJ84)</f>
        <v>10218.318234137894</v>
      </c>
      <c r="AK27" s="3">
        <f t="shared" si="45"/>
        <v>11521.687611724739</v>
      </c>
    </row>
    <row r="28" spans="2:37">
      <c r="B28" s="1" t="str">
        <f>+$B$9</f>
        <v>Washington State University</v>
      </c>
      <c r="C28" s="3">
        <f t="shared" ref="C28:L28" si="46">SUM(C66,C104,C123)</f>
        <v>8261.6636528028939</v>
      </c>
      <c r="D28" s="3">
        <f t="shared" si="46"/>
        <v>8819.0379686475535</v>
      </c>
      <c r="E28" s="3">
        <f t="shared" si="46"/>
        <v>9106.9323774226868</v>
      </c>
      <c r="F28" s="3">
        <f t="shared" si="46"/>
        <v>9325.6134051466197</v>
      </c>
      <c r="G28" s="3">
        <f t="shared" si="46"/>
        <v>8460.9495515054568</v>
      </c>
      <c r="H28" s="3">
        <f t="shared" si="46"/>
        <v>7950.2239920358388</v>
      </c>
      <c r="I28" s="3">
        <f t="shared" si="46"/>
        <v>8149.0337903486989</v>
      </c>
      <c r="J28" s="3">
        <f t="shared" si="46"/>
        <v>8587.1319403623147</v>
      </c>
      <c r="K28" s="3">
        <f t="shared" si="46"/>
        <v>9153.911882510014</v>
      </c>
      <c r="L28" s="3">
        <f t="shared" si="46"/>
        <v>8864.954432477216</v>
      </c>
      <c r="M28" s="3">
        <f t="shared" ref="M28:AA28" si="47">SUM(M66,M85,M104,M123,M142)</f>
        <v>9643.9426031144776</v>
      </c>
      <c r="N28" s="3">
        <f t="shared" si="47"/>
        <v>10139.904708175198</v>
      </c>
      <c r="O28" s="3">
        <f t="shared" si="47"/>
        <v>10086.195489852167</v>
      </c>
      <c r="P28" s="3">
        <f t="shared" si="47"/>
        <v>9560.2217753926434</v>
      </c>
      <c r="Q28" s="3">
        <f t="shared" si="47"/>
        <v>9297.1562652127341</v>
      </c>
      <c r="R28" s="3">
        <f t="shared" si="47"/>
        <v>9443.1907765751293</v>
      </c>
      <c r="S28" s="3">
        <f t="shared" si="47"/>
        <v>10068.651817116061</v>
      </c>
      <c r="T28" s="3">
        <f t="shared" si="47"/>
        <v>10640.504535413827</v>
      </c>
      <c r="U28" s="3">
        <f t="shared" si="47"/>
        <v>11232.706648457439</v>
      </c>
      <c r="V28" s="3">
        <f t="shared" si="47"/>
        <v>10766.733299164947</v>
      </c>
      <c r="W28" s="3">
        <f t="shared" si="47"/>
        <v>9049.5436674242665</v>
      </c>
      <c r="X28" s="3">
        <f t="shared" si="47"/>
        <v>8319.5833306510503</v>
      </c>
      <c r="Y28" s="3">
        <f t="shared" si="47"/>
        <v>6170.4586635817122</v>
      </c>
      <c r="Z28" s="3">
        <f t="shared" si="47"/>
        <v>6164.8805353034713</v>
      </c>
      <c r="AA28" s="3">
        <f t="shared" si="47"/>
        <v>7130.0501150753707</v>
      </c>
      <c r="AB28" s="3">
        <f t="shared" si="43"/>
        <v>6746.5087292204607</v>
      </c>
      <c r="AC28" s="3">
        <f t="shared" si="43"/>
        <v>7732.5531836970404</v>
      </c>
      <c r="AD28" s="3">
        <f t="shared" si="43"/>
        <v>8619.9064887142031</v>
      </c>
      <c r="AE28" s="3">
        <f t="shared" si="43"/>
        <v>8804.8568629987603</v>
      </c>
      <c r="AF28" s="3">
        <f t="shared" si="43"/>
        <v>9095.137445678416</v>
      </c>
      <c r="AG28" s="3">
        <f t="shared" ref="AG28:AI28" si="48">SUM(AG66,AG104,AG123,AG142,AG85)</f>
        <v>9649.6321670238649</v>
      </c>
      <c r="AH28" s="3">
        <f t="shared" si="48"/>
        <v>10274.316524289507</v>
      </c>
      <c r="AI28" s="3">
        <f t="shared" si="48"/>
        <v>11174.545907758105</v>
      </c>
      <c r="AJ28" s="3">
        <f t="shared" ref="AJ28:AK28" si="49">SUM(AJ66,AJ104,AJ123,AJ142,AJ85)</f>
        <v>12837.761972098519</v>
      </c>
      <c r="AK28" s="3">
        <f t="shared" si="49"/>
        <v>14259.594486269787</v>
      </c>
    </row>
    <row r="29" spans="2:37">
      <c r="B29" s="1" t="str">
        <f>+$B$10</f>
        <v>Eastern Washington University</v>
      </c>
      <c r="C29" s="3">
        <f t="shared" ref="C29:L29" si="50">SUM(C67,C105,C124)</f>
        <v>4771.139451067369</v>
      </c>
      <c r="D29" s="3">
        <f t="shared" si="50"/>
        <v>5146.1507347984361</v>
      </c>
      <c r="E29" s="3">
        <f t="shared" si="50"/>
        <v>4987.771739130435</v>
      </c>
      <c r="F29" s="3">
        <f t="shared" si="50"/>
        <v>5295.6325501128367</v>
      </c>
      <c r="G29" s="3">
        <f t="shared" si="50"/>
        <v>4763.1958087753765</v>
      </c>
      <c r="H29" s="3">
        <f t="shared" si="50"/>
        <v>4807.3635765943454</v>
      </c>
      <c r="I29" s="3">
        <f t="shared" si="50"/>
        <v>5076.31721890277</v>
      </c>
      <c r="J29" s="3">
        <f t="shared" si="50"/>
        <v>5498.6321094312452</v>
      </c>
      <c r="K29" s="3">
        <f t="shared" si="50"/>
        <v>5673.8091790936733</v>
      </c>
      <c r="L29" s="3">
        <f t="shared" si="50"/>
        <v>5446.4384318056318</v>
      </c>
      <c r="M29" s="3">
        <f t="shared" ref="M29:AA29" si="51">SUM(M67,M86,M105,M124,M143)</f>
        <v>5403.0184128630708</v>
      </c>
      <c r="N29" s="3">
        <f t="shared" si="51"/>
        <v>5441.1794332384607</v>
      </c>
      <c r="O29" s="3">
        <f t="shared" si="51"/>
        <v>5414.0401377508606</v>
      </c>
      <c r="P29" s="3">
        <f t="shared" si="51"/>
        <v>5046.7102298850577</v>
      </c>
      <c r="Q29" s="3">
        <f t="shared" si="51"/>
        <v>4686.3751016078604</v>
      </c>
      <c r="R29" s="3">
        <f t="shared" si="51"/>
        <v>5003.5215987289066</v>
      </c>
      <c r="S29" s="3">
        <f t="shared" si="51"/>
        <v>5299.972975972416</v>
      </c>
      <c r="T29" s="3">
        <f t="shared" si="51"/>
        <v>5767.6559810643166</v>
      </c>
      <c r="U29" s="3">
        <f t="shared" si="51"/>
        <v>6498.7660208027692</v>
      </c>
      <c r="V29" s="3">
        <f t="shared" si="51"/>
        <v>6159.3152613295943</v>
      </c>
      <c r="W29" s="3">
        <f t="shared" si="51"/>
        <v>5204.1399366914238</v>
      </c>
      <c r="X29" s="3">
        <f t="shared" si="51"/>
        <v>4815.6748158650025</v>
      </c>
      <c r="Y29" s="3">
        <f t="shared" si="51"/>
        <v>3570.0692943142344</v>
      </c>
      <c r="Z29" s="3">
        <f t="shared" si="51"/>
        <v>3432.9613058655787</v>
      </c>
      <c r="AA29" s="3">
        <f t="shared" si="51"/>
        <v>3935.3030826044192</v>
      </c>
      <c r="AB29" s="3">
        <f t="shared" si="43"/>
        <v>3827.1500032065674</v>
      </c>
      <c r="AC29" s="3">
        <f t="shared" si="43"/>
        <v>4632.0777166083562</v>
      </c>
      <c r="AD29" s="3">
        <f t="shared" si="43"/>
        <v>5631.8346915926777</v>
      </c>
      <c r="AE29" s="3">
        <f t="shared" si="43"/>
        <v>5616.9220624254222</v>
      </c>
      <c r="AF29" s="3">
        <f t="shared" si="43"/>
        <v>5969.6940621963076</v>
      </c>
      <c r="AG29" s="3">
        <f t="shared" ref="AG29:AI29" si="52">SUM(AG67,AG105,AG124,AG143,AG86)</f>
        <v>7024.6150436251073</v>
      </c>
      <c r="AH29" s="3">
        <f t="shared" si="52"/>
        <v>8346.7672047578599</v>
      </c>
      <c r="AI29" s="3">
        <f t="shared" si="52"/>
        <v>9635.1633078526756</v>
      </c>
      <c r="AJ29" s="3">
        <f t="shared" ref="AJ29:AK29" si="53">SUM(AJ67,AJ105,AJ124,AJ143,AJ86)</f>
        <v>12489.127986988615</v>
      </c>
      <c r="AK29" s="3">
        <f t="shared" si="53"/>
        <v>13653.958931050762</v>
      </c>
    </row>
    <row r="30" spans="2:37">
      <c r="B30" s="1" t="str">
        <f>+$B$11</f>
        <v>Central Washington University</v>
      </c>
      <c r="C30" s="3">
        <f t="shared" ref="C30:L30" si="54">SUM(C68,C106,C125)</f>
        <v>4683.9736376788296</v>
      </c>
      <c r="D30" s="3">
        <f t="shared" si="54"/>
        <v>5180.7435059884892</v>
      </c>
      <c r="E30" s="3">
        <f t="shared" si="54"/>
        <v>5064.638783269962</v>
      </c>
      <c r="F30" s="3">
        <f t="shared" si="54"/>
        <v>5359.7449908925319</v>
      </c>
      <c r="G30" s="3">
        <f t="shared" si="54"/>
        <v>4355.634282599809</v>
      </c>
      <c r="H30" s="3">
        <f t="shared" si="54"/>
        <v>4416.052733617681</v>
      </c>
      <c r="I30" s="3">
        <f t="shared" si="54"/>
        <v>4584.0032702003</v>
      </c>
      <c r="J30" s="3">
        <f t="shared" si="54"/>
        <v>4880.1020408163267</v>
      </c>
      <c r="K30" s="3">
        <f t="shared" si="54"/>
        <v>4983.1415573989834</v>
      </c>
      <c r="L30" s="3">
        <f t="shared" si="54"/>
        <v>5241.3331548654796</v>
      </c>
      <c r="M30" s="3">
        <f t="shared" ref="M30:AA30" si="55">SUM(M68,M87,M106,M125,M144)</f>
        <v>5645.1917459466704</v>
      </c>
      <c r="N30" s="3">
        <f t="shared" si="55"/>
        <v>6082.3243378619463</v>
      </c>
      <c r="O30" s="3">
        <f t="shared" si="55"/>
        <v>5753.8488269030231</v>
      </c>
      <c r="P30" s="3">
        <f t="shared" si="55"/>
        <v>5131.9004293116204</v>
      </c>
      <c r="Q30" s="3">
        <f t="shared" si="55"/>
        <v>4809.9607750952982</v>
      </c>
      <c r="R30" s="3">
        <f t="shared" si="55"/>
        <v>5012.7910410804734</v>
      </c>
      <c r="S30" s="3">
        <f t="shared" si="55"/>
        <v>5401.4574362371641</v>
      </c>
      <c r="T30" s="3">
        <f t="shared" si="55"/>
        <v>5707.3293133420248</v>
      </c>
      <c r="U30" s="3">
        <f t="shared" si="55"/>
        <v>6466.3478855149906</v>
      </c>
      <c r="V30" s="3">
        <f t="shared" si="55"/>
        <v>6407.337016963932</v>
      </c>
      <c r="W30" s="3">
        <f t="shared" si="55"/>
        <v>4963.8084709268505</v>
      </c>
      <c r="X30" s="3">
        <f t="shared" si="55"/>
        <v>4577.4950231720841</v>
      </c>
      <c r="Y30" s="3">
        <f t="shared" si="55"/>
        <v>3549.9796470060223</v>
      </c>
      <c r="Z30" s="3">
        <f t="shared" si="55"/>
        <v>3480.463218840327</v>
      </c>
      <c r="AA30" s="3">
        <f t="shared" si="55"/>
        <v>4356.5155624434974</v>
      </c>
      <c r="AB30" s="3">
        <f t="shared" si="43"/>
        <v>4395.9764744682025</v>
      </c>
      <c r="AC30" s="3">
        <f t="shared" si="43"/>
        <v>5080.9062637565503</v>
      </c>
      <c r="AD30" s="3">
        <f t="shared" si="43"/>
        <v>6028.2446912538226</v>
      </c>
      <c r="AE30" s="3">
        <f t="shared" si="43"/>
        <v>6145.5031795700015</v>
      </c>
      <c r="AF30" s="3">
        <f t="shared" si="43"/>
        <v>6547.7857458450871</v>
      </c>
      <c r="AG30" s="3">
        <f t="shared" ref="AG30:AI30" si="56">SUM(AG68,AG106,AG125,AG144,AG87)</f>
        <v>6369.6115694817836</v>
      </c>
      <c r="AH30" s="3">
        <f t="shared" si="56"/>
        <v>7350.7810075514635</v>
      </c>
      <c r="AI30" s="3">
        <f t="shared" si="56"/>
        <v>8339.5138005862864</v>
      </c>
      <c r="AJ30" s="3">
        <f t="shared" ref="AJ30:AK30" si="57">SUM(AJ68,AJ106,AJ125,AJ144,AJ87)</f>
        <v>9846.8303169307765</v>
      </c>
      <c r="AK30" s="3">
        <f t="shared" si="57"/>
        <v>11332.317732758507</v>
      </c>
    </row>
    <row r="31" spans="2:37">
      <c r="B31" s="1" t="str">
        <f>+$B$12</f>
        <v>The Evergreen State College</v>
      </c>
      <c r="C31" s="3">
        <f t="shared" ref="C31:L31" si="58">SUM(C69,C107,C126)</f>
        <v>5982.5970548862115</v>
      </c>
      <c r="D31" s="3">
        <f t="shared" si="58"/>
        <v>6681.7740369051471</v>
      </c>
      <c r="E31" s="3">
        <f t="shared" si="58"/>
        <v>5805.1826412738055</v>
      </c>
      <c r="F31" s="3">
        <f t="shared" si="58"/>
        <v>6784.6106304079112</v>
      </c>
      <c r="G31" s="3">
        <f t="shared" si="58"/>
        <v>5437.5380865326024</v>
      </c>
      <c r="H31" s="3">
        <f t="shared" si="58"/>
        <v>5690.2576251110449</v>
      </c>
      <c r="I31" s="3">
        <f t="shared" si="58"/>
        <v>5454.9749040448778</v>
      </c>
      <c r="J31" s="3">
        <f t="shared" si="58"/>
        <v>5571.5104614502725</v>
      </c>
      <c r="K31" s="3">
        <f t="shared" si="58"/>
        <v>5496.5128755364804</v>
      </c>
      <c r="L31" s="3">
        <f t="shared" si="58"/>
        <v>5371.0099424385135</v>
      </c>
      <c r="M31" s="3">
        <f t="shared" ref="M31:AA31" si="59">SUM(M69,M88,M107,M126,M145)</f>
        <v>6055.8136326751419</v>
      </c>
      <c r="N31" s="3">
        <f t="shared" si="59"/>
        <v>6568.8573692551508</v>
      </c>
      <c r="O31" s="3">
        <f t="shared" si="59"/>
        <v>6339.1913195310553</v>
      </c>
      <c r="P31" s="3">
        <f t="shared" si="59"/>
        <v>6004.479773063641</v>
      </c>
      <c r="Q31" s="3">
        <f t="shared" si="59"/>
        <v>5701.3319077823862</v>
      </c>
      <c r="R31" s="3">
        <f t="shared" si="59"/>
        <v>6032.1347257281541</v>
      </c>
      <c r="S31" s="3">
        <f t="shared" si="59"/>
        <v>6427.6829314935849</v>
      </c>
      <c r="T31" s="3">
        <f t="shared" si="59"/>
        <v>7025.5147812348087</v>
      </c>
      <c r="U31" s="3">
        <f t="shared" si="59"/>
        <v>7571.100576265364</v>
      </c>
      <c r="V31" s="3">
        <f t="shared" si="59"/>
        <v>6909.2526369715151</v>
      </c>
      <c r="W31" s="3">
        <f t="shared" si="59"/>
        <v>5736.176489146209</v>
      </c>
      <c r="X31" s="3">
        <f t="shared" si="59"/>
        <v>5186.456698716237</v>
      </c>
      <c r="Y31" s="3">
        <f t="shared" si="59"/>
        <v>4157.1339517250753</v>
      </c>
      <c r="Z31" s="3">
        <f t="shared" si="59"/>
        <v>4147.5704831769544</v>
      </c>
      <c r="AA31" s="3">
        <f t="shared" si="59"/>
        <v>5265.683664310016</v>
      </c>
      <c r="AB31" s="3">
        <f t="shared" si="43"/>
        <v>4979.9598234785208</v>
      </c>
      <c r="AC31" s="3">
        <f t="shared" si="43"/>
        <v>6459.5069602177837</v>
      </c>
      <c r="AD31" s="3">
        <f t="shared" si="43"/>
        <v>7276.9713254793969</v>
      </c>
      <c r="AE31" s="3">
        <f t="shared" si="43"/>
        <v>8324.758842443729</v>
      </c>
      <c r="AF31" s="3">
        <f t="shared" si="43"/>
        <v>9953.5466240738751</v>
      </c>
      <c r="AG31" s="3">
        <f t="shared" ref="AG31:AI31" si="60">SUM(AG69,AG107,AG126,AG145,AG88)</f>
        <v>13999.298732712767</v>
      </c>
      <c r="AH31" s="3">
        <f t="shared" si="60"/>
        <v>20115.913002066507</v>
      </c>
      <c r="AI31" s="3">
        <f t="shared" si="60"/>
        <v>21222.676969927674</v>
      </c>
      <c r="AJ31" s="3">
        <f t="shared" ref="AJ31:AK31" si="61">SUM(AJ69,AJ107,AJ126,AJ145,AJ88)</f>
        <v>22783.955709749716</v>
      </c>
      <c r="AK31" s="3">
        <f t="shared" si="61"/>
        <v>20406.532083819311</v>
      </c>
    </row>
    <row r="32" spans="2:37">
      <c r="B32" s="1" t="str">
        <f>+$B$13</f>
        <v>Western Washington University</v>
      </c>
      <c r="C32" s="3">
        <f t="shared" ref="C32:L32" si="62">SUM(C70,C108,C127)</f>
        <v>4495.7933404431806</v>
      </c>
      <c r="D32" s="3">
        <f t="shared" si="62"/>
        <v>4930.2485396861757</v>
      </c>
      <c r="E32" s="3">
        <f t="shared" si="62"/>
        <v>4691.9410264937369</v>
      </c>
      <c r="F32" s="3">
        <f t="shared" si="62"/>
        <v>4756.1509021323127</v>
      </c>
      <c r="G32" s="3">
        <f t="shared" si="62"/>
        <v>4443.6371407201623</v>
      </c>
      <c r="H32" s="3">
        <f t="shared" si="62"/>
        <v>4160.3326665964842</v>
      </c>
      <c r="I32" s="3">
        <f t="shared" si="62"/>
        <v>4400.393049234588</v>
      </c>
      <c r="J32" s="3">
        <f t="shared" si="62"/>
        <v>4529.3536271990515</v>
      </c>
      <c r="K32" s="3">
        <f t="shared" si="62"/>
        <v>4611.0468478889534</v>
      </c>
      <c r="L32" s="3">
        <f t="shared" si="62"/>
        <v>4621.5165876777255</v>
      </c>
      <c r="M32" s="3">
        <f t="shared" ref="M32:AA32" si="63">SUM(M70,M89,M108,M127,M146)</f>
        <v>4925.0373581772901</v>
      </c>
      <c r="N32" s="3">
        <f t="shared" si="63"/>
        <v>5091.4114481897623</v>
      </c>
      <c r="O32" s="3">
        <f t="shared" si="63"/>
        <v>5312.0628495339552</v>
      </c>
      <c r="P32" s="3">
        <f t="shared" si="63"/>
        <v>5094.9851498637609</v>
      </c>
      <c r="Q32" s="3">
        <f t="shared" si="63"/>
        <v>4872.0066779661011</v>
      </c>
      <c r="R32" s="3">
        <f t="shared" si="63"/>
        <v>4991.0852394775038</v>
      </c>
      <c r="S32" s="3">
        <f t="shared" si="63"/>
        <v>5268.3113568694171</v>
      </c>
      <c r="T32" s="3">
        <f t="shared" si="63"/>
        <v>5568.2712152070617</v>
      </c>
      <c r="U32" s="3">
        <f t="shared" si="63"/>
        <v>6069.937058238701</v>
      </c>
      <c r="V32" s="3">
        <f t="shared" si="63"/>
        <v>5882.5362473794312</v>
      </c>
      <c r="W32" s="3">
        <f t="shared" si="63"/>
        <v>4838.082626396872</v>
      </c>
      <c r="X32" s="3">
        <f t="shared" si="63"/>
        <v>4487.9228724820177</v>
      </c>
      <c r="Y32" s="3">
        <f t="shared" si="63"/>
        <v>3335.5473846518798</v>
      </c>
      <c r="Z32" s="3">
        <f t="shared" si="63"/>
        <v>3287.8791914134285</v>
      </c>
      <c r="AA32" s="3">
        <f t="shared" si="63"/>
        <v>3912.1059064633105</v>
      </c>
      <c r="AB32" s="3">
        <f t="shared" si="43"/>
        <v>3954.8942775332839</v>
      </c>
      <c r="AC32" s="3">
        <f t="shared" si="43"/>
        <v>4892.1292765666512</v>
      </c>
      <c r="AD32" s="3">
        <f t="shared" si="43"/>
        <v>5934.2248204390735</v>
      </c>
      <c r="AE32" s="3">
        <f t="shared" si="43"/>
        <v>6051.1459634023222</v>
      </c>
      <c r="AF32" s="3">
        <f t="shared" si="43"/>
        <v>6294.18224474006</v>
      </c>
      <c r="AG32" s="3">
        <f t="shared" ref="AG32:AI32" si="64">SUM(AG70,AG108,AG127,AG146,AG89)</f>
        <v>6897.0512326574171</v>
      </c>
      <c r="AH32" s="3">
        <f t="shared" si="64"/>
        <v>7641.290226847711</v>
      </c>
      <c r="AI32" s="3">
        <f t="shared" si="64"/>
        <v>8050.935085596142</v>
      </c>
      <c r="AJ32" s="3">
        <f t="shared" ref="AJ32:AK32" si="65">SUM(AJ70,AJ108,AJ127,AJ146,AJ89)</f>
        <v>8949.4024360226576</v>
      </c>
      <c r="AK32" s="3">
        <f t="shared" si="65"/>
        <v>9851.0372782537379</v>
      </c>
    </row>
    <row r="33" spans="2:37">
      <c r="B33" s="199" t="str">
        <f>+$B$14</f>
        <v>Total Four-Year Institutions</v>
      </c>
      <c r="C33" s="42">
        <f t="shared" ref="C33:L33" si="66">SUM(C71,C109,C128,C147)</f>
        <v>6949.5462539570872</v>
      </c>
      <c r="D33" s="42">
        <f t="shared" si="66"/>
        <v>7566.6289998070724</v>
      </c>
      <c r="E33" s="42">
        <f t="shared" si="66"/>
        <v>7379.5533539505732</v>
      </c>
      <c r="F33" s="42">
        <f t="shared" si="66"/>
        <v>7643.8821853752925</v>
      </c>
      <c r="G33" s="42">
        <f t="shared" si="66"/>
        <v>6940.0070626087181</v>
      </c>
      <c r="H33" s="42">
        <f t="shared" si="66"/>
        <v>6706.7088298433018</v>
      </c>
      <c r="I33" s="42">
        <f t="shared" si="66"/>
        <v>6941.2126256482488</v>
      </c>
      <c r="J33" s="42">
        <f t="shared" si="66"/>
        <v>7139.4603561599079</v>
      </c>
      <c r="K33" s="42">
        <f t="shared" si="66"/>
        <v>7447.0138699352401</v>
      </c>
      <c r="L33" s="42">
        <f t="shared" si="66"/>
        <v>7499.9573123879454</v>
      </c>
      <c r="M33" s="42">
        <f t="shared" ref="M33:Z33" si="67">SUM(M71,M90,M109,M128,M147)</f>
        <v>8030.5609593012714</v>
      </c>
      <c r="N33" s="42">
        <f t="shared" si="67"/>
        <v>8370.3614554649193</v>
      </c>
      <c r="O33" s="42">
        <f t="shared" si="67"/>
        <v>8270.374272073117</v>
      </c>
      <c r="P33" s="42">
        <f t="shared" si="67"/>
        <v>7852.3774099272687</v>
      </c>
      <c r="Q33" s="42">
        <f t="shared" si="67"/>
        <v>7579.5991331668047</v>
      </c>
      <c r="R33" s="42">
        <f t="shared" si="67"/>
        <v>7832.3349404540386</v>
      </c>
      <c r="S33" s="42">
        <f t="shared" si="67"/>
        <v>8307.1791336776951</v>
      </c>
      <c r="T33" s="42">
        <f t="shared" si="67"/>
        <v>8740.4252582551635</v>
      </c>
      <c r="U33" s="42">
        <f t="shared" si="67"/>
        <v>9345.4190447170949</v>
      </c>
      <c r="V33" s="42">
        <f t="shared" si="67"/>
        <v>8922.2717587378211</v>
      </c>
      <c r="W33" s="42">
        <f t="shared" si="67"/>
        <v>7462.8003070440845</v>
      </c>
      <c r="X33" s="42">
        <f t="shared" si="67"/>
        <v>6604.8654972765926</v>
      </c>
      <c r="Y33" s="42">
        <f t="shared" si="67"/>
        <v>4933.6056568394242</v>
      </c>
      <c r="Z33" s="42">
        <f t="shared" si="67"/>
        <v>4894.5086188707692</v>
      </c>
      <c r="AA33" s="42">
        <f t="shared" ref="AA33:AF33" si="68">SUM(AA71,AA109,AA128,AA147)</f>
        <v>5726.6305861687015</v>
      </c>
      <c r="AB33" s="42">
        <f t="shared" si="68"/>
        <v>5464.7946851518063</v>
      </c>
      <c r="AC33" s="42">
        <f t="shared" si="68"/>
        <v>6391.8361673806257</v>
      </c>
      <c r="AD33" s="42">
        <f t="shared" si="68"/>
        <v>7237.8596061079088</v>
      </c>
      <c r="AE33" s="42">
        <f t="shared" si="68"/>
        <v>7470.2845995377857</v>
      </c>
      <c r="AF33" s="42">
        <f t="shared" si="68"/>
        <v>7747.595730412987</v>
      </c>
      <c r="AG33" s="42">
        <f t="shared" ref="AG33:AI33" si="69">SUM(AG71,AG109,AG128,AG147)</f>
        <v>8360.1754051339849</v>
      </c>
      <c r="AH33" s="42">
        <f t="shared" si="69"/>
        <v>9168.5709083178899</v>
      </c>
      <c r="AI33" s="42">
        <f t="shared" si="69"/>
        <v>9780.101342308928</v>
      </c>
      <c r="AJ33" s="42">
        <f t="shared" ref="AJ33:AK33" si="70">SUM(AJ71,AJ109,AJ128,AJ147)</f>
        <v>11028.470970917226</v>
      </c>
      <c r="AK33" s="42">
        <f t="shared" si="70"/>
        <v>12238.094701896451</v>
      </c>
    </row>
    <row r="34" spans="2:37">
      <c r="C34"/>
      <c r="D34"/>
      <c r="E34"/>
      <c r="F34"/>
      <c r="G34"/>
      <c r="H34"/>
      <c r="I34"/>
      <c r="J34"/>
      <c r="K34"/>
      <c r="L34"/>
      <c r="M34"/>
      <c r="N34"/>
      <c r="O34"/>
      <c r="P34"/>
      <c r="Q34"/>
      <c r="R34"/>
      <c r="S34"/>
      <c r="T34"/>
      <c r="U34"/>
      <c r="V34"/>
      <c r="W34"/>
      <c r="X34"/>
      <c r="Y34"/>
      <c r="AC34"/>
      <c r="AD34"/>
      <c r="AE34"/>
      <c r="AF34"/>
      <c r="AG34"/>
      <c r="AH34"/>
      <c r="AI34"/>
      <c r="AJ34"/>
      <c r="AK34"/>
    </row>
    <row r="35" spans="2:37">
      <c r="B35" s="1" t="str">
        <f>+$B$16</f>
        <v>Community/Technical College System</v>
      </c>
      <c r="C35" s="3">
        <f t="shared" ref="C35:L35" si="71">SUM(C73,C92,C111,C130,C149,C158)</f>
        <v>3022.6622595546391</v>
      </c>
      <c r="D35" s="3">
        <f t="shared" si="71"/>
        <v>3290.5106294081952</v>
      </c>
      <c r="E35" s="3">
        <f t="shared" si="71"/>
        <v>3224.2101730667819</v>
      </c>
      <c r="F35" s="3">
        <f t="shared" si="71"/>
        <v>3342.2023059328758</v>
      </c>
      <c r="G35" s="3">
        <f t="shared" si="71"/>
        <v>3023.6231818795877</v>
      </c>
      <c r="H35" s="3">
        <f t="shared" si="71"/>
        <v>3156.3168410953358</v>
      </c>
      <c r="I35" s="3">
        <f t="shared" si="71"/>
        <v>2932.4497141647257</v>
      </c>
      <c r="J35" s="3">
        <f t="shared" si="71"/>
        <v>3040.7237912231467</v>
      </c>
      <c r="K35" s="3">
        <f t="shared" si="71"/>
        <v>3223.0570277718889</v>
      </c>
      <c r="L35" s="3">
        <f t="shared" si="71"/>
        <v>3465.2520156304099</v>
      </c>
      <c r="M35" s="3">
        <f t="shared" ref="M35:W35" si="72">SUM(M73,M92,M111,M130,M149)</f>
        <v>3639.676849461764</v>
      </c>
      <c r="N35" s="3">
        <f t="shared" si="72"/>
        <v>3851.3686482477574</v>
      </c>
      <c r="O35" s="3">
        <f t="shared" si="72"/>
        <v>3844.030749690211</v>
      </c>
      <c r="P35" s="3">
        <f t="shared" si="72"/>
        <v>3822.1111597604349</v>
      </c>
      <c r="Q35" s="3">
        <f t="shared" si="72"/>
        <v>3748.7203088085303</v>
      </c>
      <c r="R35" s="3">
        <f t="shared" si="72"/>
        <v>4053.812968385188</v>
      </c>
      <c r="S35" s="3">
        <f t="shared" si="72"/>
        <v>4486.9291513216685</v>
      </c>
      <c r="T35" s="3">
        <f t="shared" si="72"/>
        <v>4720.7666109402971</v>
      </c>
      <c r="U35" s="3">
        <f t="shared" si="72"/>
        <v>5159.3482776283372</v>
      </c>
      <c r="V35" s="3">
        <f t="shared" si="72"/>
        <v>4851.7001540342108</v>
      </c>
      <c r="W35" s="3">
        <f t="shared" si="72"/>
        <v>4329.5543552607205</v>
      </c>
      <c r="X35" s="3">
        <f>SUM(X73,X92,X111,X130,X149,X158)</f>
        <v>4123.5180697136811</v>
      </c>
      <c r="Y35" s="3">
        <f>SUM(Y73,Y92,Y111,Y130,Y149)</f>
        <v>3865.8908550347987</v>
      </c>
      <c r="Z35" s="3">
        <f>SUM(Z73,Z92,Z111,Z130,Z149)</f>
        <v>3962.331300503789</v>
      </c>
      <c r="AA35" s="3">
        <f t="shared" ref="AA35:AI35" si="73">SUM(AA73,AA92,AA111,AA130,AA149,AA158)</f>
        <v>4436.5745616706199</v>
      </c>
      <c r="AB35" s="3">
        <f t="shared" si="73"/>
        <v>4525.5343375220109</v>
      </c>
      <c r="AC35" s="3">
        <f t="shared" si="73"/>
        <v>5090.0181301822759</v>
      </c>
      <c r="AD35" s="3">
        <f t="shared" si="73"/>
        <v>5613.4100004613565</v>
      </c>
      <c r="AE35" s="3">
        <f t="shared" si="73"/>
        <v>5776.3820538920445</v>
      </c>
      <c r="AF35" s="3">
        <f t="shared" si="73"/>
        <v>6205.1947645133323</v>
      </c>
      <c r="AG35" s="3">
        <f t="shared" si="73"/>
        <v>7182.734222616341</v>
      </c>
      <c r="AH35" s="3">
        <f t="shared" si="73"/>
        <v>8820.2525104083325</v>
      </c>
      <c r="AI35" s="3">
        <f t="shared" si="73"/>
        <v>8893.5131042446083</v>
      </c>
      <c r="AJ35" s="3">
        <f t="shared" ref="AJ35:AK35" si="74">SUM(AJ73,AJ92,AJ111,AJ130,AJ149,AJ158)</f>
        <v>10154.573524991698</v>
      </c>
      <c r="AK35" s="3">
        <f t="shared" si="74"/>
        <v>11411.335424773435</v>
      </c>
    </row>
    <row r="36" spans="2:37">
      <c r="B36" s="1" t="str">
        <f>+$B$17</f>
        <v>HEC Board, CHE, SFA, &amp; SAC (1)</v>
      </c>
      <c r="C36" s="3">
        <f t="shared" ref="C36:L36" si="75">SUM(C74,C93,C112,C131,C150,C159)</f>
        <v>173.74092679081915</v>
      </c>
      <c r="D36" s="3">
        <f t="shared" si="75"/>
        <v>196.43651531870887</v>
      </c>
      <c r="E36" s="3">
        <f t="shared" si="75"/>
        <v>219.97147254655442</v>
      </c>
      <c r="F36" s="3">
        <f t="shared" si="75"/>
        <v>218.58353944374977</v>
      </c>
      <c r="G36" s="3">
        <f t="shared" si="75"/>
        <v>339.44019541958676</v>
      </c>
      <c r="H36" s="3">
        <f t="shared" si="75"/>
        <v>364.82899865205172</v>
      </c>
      <c r="I36" s="3">
        <f t="shared" si="75"/>
        <v>371.48901463016773</v>
      </c>
      <c r="J36" s="3">
        <f t="shared" si="75"/>
        <v>394.57381548147549</v>
      </c>
      <c r="K36" s="3">
        <f t="shared" si="75"/>
        <v>458.60847928031393</v>
      </c>
      <c r="L36" s="3">
        <f t="shared" si="75"/>
        <v>491.94020453237448</v>
      </c>
      <c r="M36" s="3">
        <f t="shared" ref="M36:W36" si="76">SUM(M74,M93,M112,M131,M150,M159)</f>
        <v>513.25520273195139</v>
      </c>
      <c r="N36" s="3">
        <f t="shared" si="76"/>
        <v>584.73047063520028</v>
      </c>
      <c r="O36" s="3">
        <f t="shared" si="76"/>
        <v>567.12879629254132</v>
      </c>
      <c r="P36" s="3">
        <f t="shared" si="76"/>
        <v>602.49407399330028</v>
      </c>
      <c r="Q36" s="3">
        <f t="shared" si="76"/>
        <v>645.5211418385046</v>
      </c>
      <c r="R36" s="3">
        <f t="shared" si="76"/>
        <v>743.6170314161734</v>
      </c>
      <c r="S36" s="3">
        <f t="shared" si="76"/>
        <v>860.07802686693265</v>
      </c>
      <c r="T36" s="3">
        <f t="shared" si="76"/>
        <v>903.90086562950842</v>
      </c>
      <c r="U36" s="3">
        <f t="shared" si="76"/>
        <v>1011.1469267987482</v>
      </c>
      <c r="V36" s="3">
        <f t="shared" si="76"/>
        <v>966.49352530625879</v>
      </c>
      <c r="W36" s="3">
        <f t="shared" si="76"/>
        <v>972.42102300611145</v>
      </c>
      <c r="X36" s="3">
        <f>SUM(X74,X93,X112,X131,X150,X159)</f>
        <v>871.82162197317075</v>
      </c>
      <c r="Y36" s="3">
        <f>SUM(Y74,Y93,Y112,Y131,Y150,Y159)</f>
        <v>1133.0129764394155</v>
      </c>
      <c r="Z36" s="3">
        <f>SUM(Z74,Z93,Z112,Z131,Z150,Z159)</f>
        <v>1288.6062316296056</v>
      </c>
      <c r="AA36" s="3">
        <f t="shared" ref="AA36:AI36" si="77">SUM(AA74,AA93,AA112,AA131,AA150,AA159)</f>
        <v>1482.6536991142466</v>
      </c>
      <c r="AB36" s="3">
        <f t="shared" si="77"/>
        <v>1439.7833744583465</v>
      </c>
      <c r="AC36" s="3">
        <f t="shared" si="77"/>
        <v>1501.4581062459265</v>
      </c>
      <c r="AD36" s="3">
        <f t="shared" si="77"/>
        <v>1461.9261294380863</v>
      </c>
      <c r="AE36" s="3">
        <f t="shared" si="77"/>
        <v>1476.2924451474423</v>
      </c>
      <c r="AF36" s="3">
        <f t="shared" si="77"/>
        <v>1618.8188798169963</v>
      </c>
      <c r="AG36" s="3">
        <f t="shared" si="77"/>
        <v>1839.9047786153299</v>
      </c>
      <c r="AH36" s="3">
        <f t="shared" si="77"/>
        <v>2421.7870226949822</v>
      </c>
      <c r="AI36" s="3">
        <f t="shared" si="77"/>
        <v>2433.817360482391</v>
      </c>
      <c r="AJ36" s="3">
        <f t="shared" ref="AJ36:AK36" si="78">SUM(AJ74,AJ93,AJ112,AJ131,AJ150,AJ159)</f>
        <v>2651.9628898025439</v>
      </c>
      <c r="AK36" s="3">
        <f t="shared" si="78"/>
        <v>2727.7446660650962</v>
      </c>
    </row>
    <row r="37" spans="2:37"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2:37" ht="13.5" thickTop="1">
      <c r="B38" s="1" t="str">
        <f>+$B$19</f>
        <v>Total Higher Education</v>
      </c>
      <c r="C38" s="39">
        <f t="shared" ref="C38:Z38" si="79">SUM(C76,C114,C133)</f>
        <v>4838.1292424973235</v>
      </c>
      <c r="D38" s="39">
        <f t="shared" si="79"/>
        <v>5279.6711518351831</v>
      </c>
      <c r="E38" s="39">
        <f t="shared" si="79"/>
        <v>5156.1906265327871</v>
      </c>
      <c r="F38" s="39">
        <f t="shared" si="79"/>
        <v>5324.2810005673773</v>
      </c>
      <c r="G38" s="39">
        <f t="shared" si="79"/>
        <v>4960.1427245671857</v>
      </c>
      <c r="H38" s="39">
        <f t="shared" si="79"/>
        <v>4964.159204188044</v>
      </c>
      <c r="I38" s="39">
        <f t="shared" si="79"/>
        <v>4899.8215833205895</v>
      </c>
      <c r="J38" s="39">
        <f t="shared" si="79"/>
        <v>5080.6108241181691</v>
      </c>
      <c r="K38" s="39">
        <f t="shared" si="79"/>
        <v>5396.6433453717555</v>
      </c>
      <c r="L38" s="39">
        <f t="shared" si="79"/>
        <v>5584.4470788467879</v>
      </c>
      <c r="M38" s="39">
        <f t="shared" si="79"/>
        <v>5875.6818339666206</v>
      </c>
      <c r="N38" s="39">
        <f t="shared" si="79"/>
        <v>6206.9399615357524</v>
      </c>
      <c r="O38" s="39">
        <f t="shared" si="79"/>
        <v>6139.537432174865</v>
      </c>
      <c r="P38" s="39">
        <f t="shared" si="79"/>
        <v>5967.0739291384607</v>
      </c>
      <c r="Q38" s="39">
        <f t="shared" si="79"/>
        <v>5879.8686065365555</v>
      </c>
      <c r="R38" s="39">
        <f t="shared" si="79"/>
        <v>6318.8076028396154</v>
      </c>
      <c r="S38" s="39">
        <f t="shared" si="79"/>
        <v>6891.9981998975309</v>
      </c>
      <c r="T38" s="39">
        <f t="shared" si="79"/>
        <v>7235.308267138048</v>
      </c>
      <c r="U38" s="39">
        <f t="shared" si="79"/>
        <v>7729.5890263947631</v>
      </c>
      <c r="V38" s="39">
        <f t="shared" si="79"/>
        <v>7280.5017958060607</v>
      </c>
      <c r="W38" s="39">
        <f t="shared" si="79"/>
        <v>6102.5898107111598</v>
      </c>
      <c r="X38" s="39">
        <f t="shared" si="79"/>
        <v>5587.3695670610305</v>
      </c>
      <c r="Y38" s="39">
        <f t="shared" si="79"/>
        <v>5678.7404023795571</v>
      </c>
      <c r="Z38" s="39">
        <f t="shared" si="79"/>
        <v>5142.6122140664702</v>
      </c>
      <c r="AA38" s="39">
        <f t="shared" ref="AA38:AI38" si="80">SUM(AA76,AA114,AA133,AA152,AA159,AA158)</f>
        <v>6467.8781691025388</v>
      </c>
      <c r="AB38" s="39">
        <f t="shared" si="80"/>
        <v>6376.326642751591</v>
      </c>
      <c r="AC38" s="39">
        <f t="shared" si="80"/>
        <v>7173.9255958059266</v>
      </c>
      <c r="AD38" s="39">
        <f t="shared" si="80"/>
        <v>7820.8212250502802</v>
      </c>
      <c r="AE38" s="39">
        <f t="shared" si="80"/>
        <v>8045.612442058421</v>
      </c>
      <c r="AF38" s="39">
        <f t="shared" si="80"/>
        <v>8562.7835743287778</v>
      </c>
      <c r="AG38" s="39">
        <f t="shared" si="80"/>
        <v>9600.3517118627933</v>
      </c>
      <c r="AH38" s="39">
        <f t="shared" si="80"/>
        <v>11419.337658333254</v>
      </c>
      <c r="AI38" s="39">
        <f t="shared" si="80"/>
        <v>11767.263437894826</v>
      </c>
      <c r="AJ38" s="39">
        <f t="shared" ref="AJ38:AK38" si="81">SUM(AJ76,AJ114,AJ133,AJ152,AJ159,AJ158)</f>
        <v>13235.370372713536</v>
      </c>
      <c r="AK38" s="39">
        <f t="shared" si="81"/>
        <v>14556.969838670069</v>
      </c>
    </row>
    <row r="39" spans="2:37">
      <c r="B39" s="199" t="str">
        <f>+$B$20</f>
        <v>[biennial annual average]</v>
      </c>
      <c r="C39" s="3"/>
      <c r="D39" s="3">
        <f>AVERAGE(C38:D38)</f>
        <v>5058.9001971662528</v>
      </c>
      <c r="E39" s="3"/>
      <c r="F39" s="3">
        <f>AVERAGE(E38:F38)</f>
        <v>5240.2358135500817</v>
      </c>
      <c r="G39" s="3"/>
      <c r="H39" s="3">
        <f>AVERAGE(G38:H38)</f>
        <v>4962.1509643776153</v>
      </c>
      <c r="I39" s="3"/>
      <c r="J39" s="3">
        <f>AVERAGE(I38:J38)</f>
        <v>4990.2162037193793</v>
      </c>
      <c r="K39" s="3"/>
      <c r="L39" s="3">
        <f>AVERAGE(K38:L38)</f>
        <v>5490.5452121092712</v>
      </c>
      <c r="M39" s="3"/>
      <c r="N39" s="3">
        <f>AVERAGE(M38:N38)</f>
        <v>6041.3108977511865</v>
      </c>
      <c r="O39" s="3"/>
      <c r="P39" s="3">
        <f>AVERAGE(O38:P38)</f>
        <v>6053.3056806566628</v>
      </c>
      <c r="Q39" s="3"/>
      <c r="R39" s="3">
        <f>AVERAGE(Q38:R38)</f>
        <v>6099.3381046880859</v>
      </c>
      <c r="S39" s="3"/>
      <c r="T39" s="3">
        <f>AVERAGE(S38:T38)</f>
        <v>7063.653233517789</v>
      </c>
      <c r="U39" s="3"/>
      <c r="V39" s="3">
        <f>AVERAGE(U38:V38)</f>
        <v>7505.0454111004119</v>
      </c>
      <c r="W39" s="3"/>
      <c r="X39" s="3">
        <f>AVERAGE(W38:X38)</f>
        <v>5844.9796888860947</v>
      </c>
      <c r="Y39" s="3"/>
      <c r="Z39" s="3">
        <f>AVERAGE(Y38:Z38)</f>
        <v>5410.6763082230136</v>
      </c>
      <c r="AA39" s="3"/>
      <c r="AB39" s="3">
        <f>AVERAGE(AA38:AB38)</f>
        <v>6422.1024059270649</v>
      </c>
      <c r="AC39" s="3"/>
      <c r="AD39" s="3">
        <f>AVERAGE(AC38:AD38)</f>
        <v>7497.3734104281029</v>
      </c>
      <c r="AE39" s="3"/>
      <c r="AF39" s="3">
        <f>AVERAGE(AE38:AF38)</f>
        <v>8304.1980081935999</v>
      </c>
      <c r="AG39" s="3"/>
      <c r="AH39" s="3">
        <f t="shared" ref="AH39:AK39" si="82">AVERAGE(AG38:AH38)</f>
        <v>10509.844685098024</v>
      </c>
      <c r="AI39" s="3"/>
      <c r="AJ39" s="3">
        <f t="shared" si="82"/>
        <v>12501.316905304182</v>
      </c>
      <c r="AK39" s="3"/>
    </row>
    <row r="40" spans="2:37">
      <c r="D40" s="3"/>
      <c r="E40" s="3"/>
      <c r="F40" s="3"/>
      <c r="G40" s="3"/>
      <c r="H40" s="3"/>
      <c r="I40" s="3"/>
      <c r="J40" s="3"/>
      <c r="K40" s="3"/>
      <c r="L40" s="3"/>
      <c r="M40" s="3"/>
      <c r="N40" s="3"/>
      <c r="O40" s="3"/>
      <c r="P40" s="3"/>
      <c r="Q40" s="3"/>
      <c r="R40" s="3"/>
      <c r="S40" s="3"/>
      <c r="T40" s="3"/>
      <c r="U40" s="3"/>
      <c r="V40" s="3"/>
      <c r="AC40"/>
      <c r="AD40"/>
      <c r="AE40"/>
      <c r="AF40"/>
      <c r="AG40"/>
    </row>
    <row r="41" spans="2:37" ht="15.75">
      <c r="B41" s="376"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row>
    <row r="42" spans="2:37">
      <c r="B42" s="377" t="str">
        <f>+B4</f>
        <v>(Dollars Per Actual State-Funded FTE Enrollment)</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row>
    <row r="43" spans="2:37">
      <c r="I43" s="13"/>
      <c r="J43" s="13"/>
      <c r="K43" s="13"/>
      <c r="L43" s="13"/>
      <c r="M43" s="13"/>
      <c r="N43" s="13"/>
      <c r="O43" s="13"/>
      <c r="P43" s="13"/>
      <c r="Q43"/>
      <c r="R43" s="13"/>
      <c r="S43"/>
      <c r="T43"/>
      <c r="U43" s="2" t="str">
        <f>IF(ISBLANK(OperatingFunds!U43),"",OperatingFunds!U43)</f>
        <v/>
      </c>
      <c r="V43" s="2" t="str">
        <f>IF(ISBLANK(OperatingFunds!V43),"",OperatingFunds!V43)</f>
        <v/>
      </c>
      <c r="W43" s="2" t="str">
        <f>+W5</f>
        <v/>
      </c>
      <c r="X43" s="2" t="str">
        <f>IF(ISBLANK(OperatingFunds!X5),"",OperatingFunds!X5)</f>
        <v/>
      </c>
      <c r="Y43" s="14" t="str">
        <f>IF(ISBLANK(OperatingFunds!Y5),"",OperatingFunds!Y5)</f>
        <v/>
      </c>
      <c r="AA43" s="2" t="str">
        <f>TRIM(AA$5)</f>
        <v/>
      </c>
      <c r="AB43" s="2" t="str">
        <f>TRIM(AB$5)</f>
        <v/>
      </c>
      <c r="AC43" s="2" t="str">
        <f>TRIM(AC$5)</f>
        <v/>
      </c>
      <c r="AD43" s="2" t="str">
        <f>TRIM(AD$5)</f>
        <v/>
      </c>
      <c r="AE43" s="2" t="str">
        <f t="shared" ref="AE43:AK43" si="83">TRIM(AE$5)</f>
        <v/>
      </c>
      <c r="AF43" s="2" t="str">
        <f t="shared" si="83"/>
        <v/>
      </c>
      <c r="AG43" s="2" t="str">
        <f t="shared" si="83"/>
        <v/>
      </c>
      <c r="AH43" s="2" t="str">
        <f t="shared" si="83"/>
        <v/>
      </c>
      <c r="AI43" s="2" t="str">
        <f t="shared" si="83"/>
        <v/>
      </c>
      <c r="AJ43" s="2" t="str">
        <f t="shared" si="83"/>
        <v/>
      </c>
      <c r="AK43" s="2" t="str">
        <f t="shared" si="83"/>
        <v>Final</v>
      </c>
    </row>
    <row r="44" spans="2:37">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+OperatingFunds!U44</f>
        <v>FY2008</v>
      </c>
      <c r="V44" s="2" t="str">
        <f>+OperatingFunds!V44</f>
        <v>FY2009</v>
      </c>
      <c r="W44" s="2" t="str">
        <f>+W6</f>
        <v>FY2010</v>
      </c>
      <c r="X44" s="2" t="str">
        <f>IF(ISBLANK(OperatingFunds!X6),"",OperatingFunds!X6)</f>
        <v>FY2011</v>
      </c>
      <c r="Y44" s="14" t="str">
        <f>IF(ISBLANK(OperatingFunds!Y6),"",OperatingFunds!Y6)</f>
        <v>FY2012</v>
      </c>
      <c r="Z44" s="2" t="str">
        <f>IF(ISBLANK(OperatingFunds!Z6),"",OperatingFunds!Z6)</f>
        <v>FY2013</v>
      </c>
      <c r="AA44" s="2" t="str">
        <f>IF(ISBLANK(OperatingFunds!AA6),"",OperatingFunds!AA6)</f>
        <v>FY2014</v>
      </c>
      <c r="AB44" s="2" t="str">
        <f>IF(ISBLANK(OperatingFunds!AB6),"",OperatingFunds!AB6)</f>
        <v>FY2015</v>
      </c>
      <c r="AC44" s="2" t="str">
        <f>IF(ISBLANK(OperatingFunds!AC6),"",OperatingFunds!AC6)</f>
        <v>FY2016</v>
      </c>
      <c r="AD44" s="2" t="str">
        <f>IF(ISBLANK(OperatingFunds!AD6),"",OperatingFunds!AD6)</f>
        <v>FY2017</v>
      </c>
      <c r="AE44" s="2" t="str">
        <f>IF(ISBLANK(OperatingFunds!AE6),"",OperatingFunds!AE6)</f>
        <v>FY2018</v>
      </c>
      <c r="AF44" s="2" t="str">
        <f>IF(ISBLANK(OperatingFunds!AF6),"",OperatingFunds!AF6)</f>
        <v>FY2019</v>
      </c>
      <c r="AG44" s="2" t="str">
        <f>IF(ISBLANK(OperatingFunds!AG25),"",OperatingFunds!AG25)</f>
        <v>FY2020</v>
      </c>
      <c r="AH44" s="2" t="str">
        <f>IF(ISBLANK(OperatingFunds!AH25),"",OperatingFunds!AH25)</f>
        <v>FY2021</v>
      </c>
      <c r="AI44" s="2" t="str">
        <f>IF(ISBLANK(OperatingFunds!AI25),"",OperatingFunds!AI25)</f>
        <v>FY2022</v>
      </c>
      <c r="AJ44" s="2" t="str">
        <f>IF(ISBLANK(OperatingFunds!AJ25),"",OperatingFunds!AJ25)</f>
        <v>FY2023</v>
      </c>
      <c r="AK44" s="2" t="str">
        <f>IF(ISBLANK(OperatingFunds!AK25),"",OperatingFunds!AK25)</f>
        <v>FY2024</v>
      </c>
    </row>
    <row r="45" spans="2:37">
      <c r="Z45" s="1"/>
      <c r="AA45" s="1"/>
      <c r="AB45" s="1"/>
    </row>
    <row r="46" spans="2:37">
      <c r="B46" s="1" t="str">
        <f>+$B$8</f>
        <v>University of Washington</v>
      </c>
      <c r="C46" s="3">
        <f>+OperatingFunds!C46*1000/Enrollment!B10</f>
        <v>1831.6173243763292</v>
      </c>
      <c r="D46" s="3">
        <f>+OperatingFunds!D46*1000/Enrollment!C10</f>
        <v>1993.094977259901</v>
      </c>
      <c r="E46" s="3">
        <f>+OperatingFunds!E46*1000/Enrollment!D10</f>
        <v>2236.1748527162063</v>
      </c>
      <c r="F46" s="3">
        <f>+OperatingFunds!F46*1000/Enrollment!E10</f>
        <v>2284.9086831143863</v>
      </c>
      <c r="G46" s="3">
        <f>+OperatingFunds!G46*1000/Enrollment!F10</f>
        <v>2375.2592450783318</v>
      </c>
      <c r="H46" s="3">
        <f>+OperatingFunds!H46*1000/Enrollment!G10</f>
        <v>3157.3633072966281</v>
      </c>
      <c r="I46" s="3">
        <f>+OperatingFunds!I46*1000/Enrollment!H10</f>
        <v>2981.138599855396</v>
      </c>
      <c r="J46" s="3">
        <f>+OperatingFunds!J46*1000/Enrollment!I10</f>
        <v>3073.863290522856</v>
      </c>
      <c r="K46" s="3">
        <f>+OperatingFunds!K46*1000/Enrollment!J10</f>
        <v>3101.3833163662493</v>
      </c>
      <c r="L46" s="3">
        <f>+OperatingFunds!L46*1000/Enrollment!K10</f>
        <v>3909.2343415098835</v>
      </c>
      <c r="M46" s="3">
        <f>+OperatingFunds!M46*1000/Enrollment!L10</f>
        <v>3748.7274581596098</v>
      </c>
      <c r="N46" s="3">
        <f>+OperatingFunds!N46*1000/Enrollment!M10</f>
        <v>3807.4655548246869</v>
      </c>
      <c r="O46" s="3">
        <f>+OperatingFunds!O46*1000/Enrollment!N10</f>
        <v>4133.1014707888771</v>
      </c>
      <c r="P46" s="3">
        <f>+OperatingFunds!P46*1000/Enrollment!O10</f>
        <v>4699.6470281091897</v>
      </c>
      <c r="Q46" s="3">
        <f>+OperatingFunds!Q46*1000/Enrollment!P10</f>
        <v>4915.3652927084477</v>
      </c>
      <c r="R46" s="3">
        <f>+OperatingFunds!R46*1000/Enrollment!Q10</f>
        <v>5702.6628786753581</v>
      </c>
      <c r="S46" s="3">
        <f>+OperatingFunds!S46*1000/Enrollment!R10</f>
        <v>5905.6540192104831</v>
      </c>
      <c r="T46" s="3">
        <f>+OperatingFunds!T46*1000/Enrollment!S10</f>
        <v>6838.5705307392145</v>
      </c>
      <c r="U46" s="3">
        <f>+OperatingFunds!U46*1000/Enrollment!T10</f>
        <v>7193.1413465396436</v>
      </c>
      <c r="V46" s="3">
        <f>+OperatingFunds!V46*1000/Enrollment!U10</f>
        <v>7413.7650202306868</v>
      </c>
      <c r="W46" s="3">
        <f>+OperatingFunds!W46*1000/Enrollment!V10</f>
        <v>7263.0733461887457</v>
      </c>
      <c r="X46" s="3">
        <f>+OperatingFunds!X46*1000/Enrollment!W10</f>
        <v>9919.1045145088683</v>
      </c>
      <c r="Y46" s="3">
        <f>+OperatingFunds!Y46*1000/Enrollment!X10</f>
        <v>10612.702385411303</v>
      </c>
      <c r="Z46" s="3">
        <f>+OperatingFunds!Z46*1000/Enrollment!Y10</f>
        <v>12269.948606933596</v>
      </c>
      <c r="AA46" s="3">
        <f>+OperatingFunds!AA46*1000/Enrollment!Z10</f>
        <v>10825.31223626773</v>
      </c>
      <c r="AB46" s="3">
        <f>+OperatingFunds!AB46*1000/Enrollment!AA10</f>
        <v>13141.311909248476</v>
      </c>
      <c r="AC46" s="3">
        <f>+OperatingFunds!AC46*1000/Enrollment!AB10</f>
        <v>11900.366072451201</v>
      </c>
      <c r="AD46" s="3">
        <f>+OperatingFunds!AD46*1000/Enrollment!AC10</f>
        <v>12582.004617352759</v>
      </c>
      <c r="AE46" s="3">
        <f>+OperatingFunds!AE46*1000/Enrollment!AD10</f>
        <v>14141.434251655086</v>
      </c>
      <c r="AF46" s="3">
        <f>+OperatingFunds!AF46*1000/Enrollment!AE10</f>
        <v>12647.085994712537</v>
      </c>
      <c r="AG46" s="3">
        <f>+OperatingFunds!AG46*1000/Enrollment!AF10</f>
        <v>12459.263870702942</v>
      </c>
      <c r="AH46" s="3">
        <f>+OperatingFunds!AH46*1000/Enrollment!AG10</f>
        <v>12738.544191586794</v>
      </c>
      <c r="AI46" s="3">
        <f>+OperatingFunds!AI46*1000/Enrollment!AH10</f>
        <v>12619.39535882629</v>
      </c>
      <c r="AJ46" s="3">
        <f>+OperatingFunds!AJ46*1000/Enrollment!AI10</f>
        <v>13364.450270370573</v>
      </c>
      <c r="AK46" s="3">
        <f>+OperatingFunds!AK46*1000/Enrollment!AJ10</f>
        <v>14730.234887355278</v>
      </c>
    </row>
    <row r="47" spans="2:37">
      <c r="B47" s="1" t="str">
        <f>+$B$9</f>
        <v>Washington State University</v>
      </c>
      <c r="C47" s="3">
        <f>+OperatingFunds!C47*1000/Enrollment!B11</f>
        <v>1613.3212778782399</v>
      </c>
      <c r="D47" s="3">
        <f>+OperatingFunds!D47*1000/Enrollment!C11</f>
        <v>1665.1963998331048</v>
      </c>
      <c r="E47" s="3">
        <f>+OperatingFunds!E47*1000/Enrollment!D11</f>
        <v>1971.0188954371467</v>
      </c>
      <c r="F47" s="3">
        <f>+OperatingFunds!F47*1000/Enrollment!E11</f>
        <v>2091.442250149611</v>
      </c>
      <c r="G47" s="3">
        <f>+OperatingFunds!G47*1000/Enrollment!F11</f>
        <v>2367.3084614066161</v>
      </c>
      <c r="H47" s="3">
        <f>+OperatingFunds!H47*1000/Enrollment!G11</f>
        <v>2790.4430064708808</v>
      </c>
      <c r="I47" s="3">
        <f>+OperatingFunds!I47*1000/Enrollment!H11</f>
        <v>2743.6035841520024</v>
      </c>
      <c r="J47" s="3">
        <f>+OperatingFunds!J47*1000/Enrollment!I11</f>
        <v>2922.5671992732323</v>
      </c>
      <c r="K47" s="3">
        <f>+OperatingFunds!K47*1000/Enrollment!J11</f>
        <v>2972.2296395193594</v>
      </c>
      <c r="L47" s="3">
        <f>+OperatingFunds!L47*1000/Enrollment!K11</f>
        <v>2961.7854183927093</v>
      </c>
      <c r="M47" s="3">
        <f>+OperatingFunds!M47*1000/Enrollment!L11</f>
        <v>3112.3113952020203</v>
      </c>
      <c r="N47" s="3">
        <f>+OperatingFunds!N47*1000/Enrollment!M11</f>
        <v>3079.0186578110574</v>
      </c>
      <c r="O47" s="3">
        <f>+OperatingFunds!O47*1000/Enrollment!N11</f>
        <v>3297.9167126033585</v>
      </c>
      <c r="P47" s="3">
        <f>+OperatingFunds!P47*1000/Enrollment!O11</f>
        <v>3895.1058569248194</v>
      </c>
      <c r="Q47" s="3">
        <f>+OperatingFunds!Q47*1000/Enrollment!P11</f>
        <v>4174.1240843150617</v>
      </c>
      <c r="R47" s="3">
        <f>+OperatingFunds!R47*1000/Enrollment!Q11</f>
        <v>4553.0980290211273</v>
      </c>
      <c r="S47" s="3">
        <f>+OperatingFunds!S47*1000/Enrollment!R11</f>
        <v>4801.2047362250878</v>
      </c>
      <c r="T47" s="3">
        <f>+OperatingFunds!T47*1000/Enrollment!S11</f>
        <v>5129.8466889129104</v>
      </c>
      <c r="U47" s="3">
        <f>+OperatingFunds!U47*1000/Enrollment!T11</f>
        <v>5330.0196413379308</v>
      </c>
      <c r="V47" s="3">
        <f>+OperatingFunds!V47*1000/Enrollment!U11</f>
        <v>5683.6536749600073</v>
      </c>
      <c r="W47" s="3">
        <f>+OperatingFunds!W47*1000/Enrollment!V11</f>
        <v>6136.7004547695778</v>
      </c>
      <c r="X47" s="3">
        <f>+OperatingFunds!X47*1000/Enrollment!W11</f>
        <v>6517.8091965122076</v>
      </c>
      <c r="Y47" s="3">
        <f>+OperatingFunds!Y47*1000/Enrollment!X11</f>
        <v>8280.4005722986858</v>
      </c>
      <c r="Z47" s="3">
        <f>+OperatingFunds!Z47*1000/Enrollment!Y11</f>
        <v>9140.8539924452507</v>
      </c>
      <c r="AA47" s="3">
        <f>+OperatingFunds!AA47*1000/Enrollment!Z11</f>
        <v>9544.0860189899249</v>
      </c>
      <c r="AB47" s="3">
        <f>+OperatingFunds!AB47*1000/Enrollment!AA11</f>
        <v>9772.5244942818736</v>
      </c>
      <c r="AC47" s="3">
        <f>+OperatingFunds!AC47*1000/Enrollment!AB11</f>
        <v>10135.383290909367</v>
      </c>
      <c r="AD47" s="3">
        <f>+OperatingFunds!AD47*1000/Enrollment!AC11</f>
        <v>8456.6856656475593</v>
      </c>
      <c r="AE47" s="3">
        <f>+OperatingFunds!AE47*1000/Enrollment!AD11</f>
        <v>9009.4330226025249</v>
      </c>
      <c r="AF47" s="3">
        <f>+OperatingFunds!AF47*1000/Enrollment!AE11</f>
        <v>9069.8453600917437</v>
      </c>
      <c r="AG47" s="3">
        <f>+OperatingFunds!AG47*1000/Enrollment!AF11</f>
        <v>8775.5868248368552</v>
      </c>
      <c r="AH47" s="3">
        <f>+OperatingFunds!AH47*1000/Enrollment!AG11</f>
        <v>8583.1248170629842</v>
      </c>
      <c r="AI47" s="3">
        <f>+OperatingFunds!AI47*1000/Enrollment!AH11</f>
        <v>9240.5166812072403</v>
      </c>
      <c r="AJ47" s="3">
        <f>+OperatingFunds!AJ47*1000/Enrollment!AI11</f>
        <v>10869.998374031784</v>
      </c>
      <c r="AK47" s="3">
        <f>+OperatingFunds!AK47*1000/Enrollment!AJ11</f>
        <v>9854.0835072702685</v>
      </c>
    </row>
    <row r="48" spans="2:37">
      <c r="B48" s="1" t="str">
        <f>+$B$10</f>
        <v>Eastern Washington University</v>
      </c>
      <c r="C48" s="3">
        <f>+OperatingFunds!C48*1000/Enrollment!B12</f>
        <v>1343.3601330745771</v>
      </c>
      <c r="D48" s="3">
        <f>+OperatingFunds!D48*1000/Enrollment!C12</f>
        <v>1443.8452204395307</v>
      </c>
      <c r="E48" s="3">
        <f>+OperatingFunds!E48*1000/Enrollment!D12</f>
        <v>1558.1521739130435</v>
      </c>
      <c r="F48" s="3">
        <f>+OperatingFunds!F48*1000/Enrollment!E12</f>
        <v>1654.4537368910128</v>
      </c>
      <c r="G48" s="3">
        <f>+OperatingFunds!G48*1000/Enrollment!F12</f>
        <v>1873.3464309102817</v>
      </c>
      <c r="H48" s="3">
        <f>+OperatingFunds!H48*1000/Enrollment!G12</f>
        <v>2161.6042077580537</v>
      </c>
      <c r="I48" s="3">
        <f>+OperatingFunds!I48*1000/Enrollment!H12</f>
        <v>2125.4752851711028</v>
      </c>
      <c r="J48" s="3">
        <f>+OperatingFunds!J48*1000/Enrollment!I12</f>
        <v>2284.5212383009361</v>
      </c>
      <c r="K48" s="3">
        <f>+OperatingFunds!K48*1000/Enrollment!J12</f>
        <v>2194.8747647314317</v>
      </c>
      <c r="L48" s="3">
        <f>+OperatingFunds!L48*1000/Enrollment!K12</f>
        <v>2284.0971838763116</v>
      </c>
      <c r="M48" s="3">
        <f>+OperatingFunds!M48*1000/Enrollment!L12</f>
        <v>2298.6182196576765</v>
      </c>
      <c r="N48" s="3">
        <f>+OperatingFunds!N48*1000/Enrollment!M12</f>
        <v>2468.9208860289568</v>
      </c>
      <c r="O48" s="3">
        <f>+OperatingFunds!O48*1000/Enrollment!N12</f>
        <v>2260.5461762261016</v>
      </c>
      <c r="P48" s="3">
        <f>+OperatingFunds!P48*1000/Enrollment!O12</f>
        <v>2611.0786965517241</v>
      </c>
      <c r="Q48" s="3">
        <f>+OperatingFunds!Q48*1000/Enrollment!P12</f>
        <v>2931.7999754354619</v>
      </c>
      <c r="R48" s="3">
        <f>+OperatingFunds!R48*1000/Enrollment!Q12</f>
        <v>3391.7791573526188</v>
      </c>
      <c r="S48" s="3">
        <f>+OperatingFunds!S48*1000/Enrollment!R12</f>
        <v>3183.7443896131881</v>
      </c>
      <c r="T48" s="3">
        <f>+OperatingFunds!T48*1000/Enrollment!S12</f>
        <v>3656.6113635868974</v>
      </c>
      <c r="U48" s="3">
        <f>+OperatingFunds!U48*1000/Enrollment!T12</f>
        <v>3921.8449663226365</v>
      </c>
      <c r="V48" s="3">
        <f>+OperatingFunds!V48*1000/Enrollment!U12</f>
        <v>3972.3679084371915</v>
      </c>
      <c r="W48" s="3">
        <f>+OperatingFunds!W48*1000/Enrollment!V12</f>
        <v>4403.865859683795</v>
      </c>
      <c r="X48" s="3">
        <f>+OperatingFunds!X48*1000/Enrollment!W12</f>
        <v>4535.3247225007781</v>
      </c>
      <c r="Y48" s="3">
        <f>+OperatingFunds!Y48*1000/Enrollment!X12</f>
        <v>5552.9188863149602</v>
      </c>
      <c r="Z48" s="3">
        <f>+OperatingFunds!Z48*1000/Enrollment!Y12</f>
        <v>5777.2971866856778</v>
      </c>
      <c r="AA48" s="3">
        <f>+OperatingFunds!AA48*1000/Enrollment!Z12</f>
        <v>5997.8651990699427</v>
      </c>
      <c r="AB48" s="3">
        <f>+OperatingFunds!AB48*1000/Enrollment!AA12</f>
        <v>6598.3211466683779</v>
      </c>
      <c r="AC48" s="3">
        <f>+OperatingFunds!AC48*1000/Enrollment!AB12</f>
        <v>6408.0309776317154</v>
      </c>
      <c r="AD48" s="3">
        <f>+OperatingFunds!AD48*1000/Enrollment!AC12</f>
        <v>5695.3097387845964</v>
      </c>
      <c r="AE48" s="3">
        <f>+OperatingFunds!AE48*1000/Enrollment!AD12</f>
        <v>5834.9942385228906</v>
      </c>
      <c r="AF48" s="3">
        <f>+OperatingFunds!AF48*1000/Enrollment!AE12</f>
        <v>6326.7563411078718</v>
      </c>
      <c r="AG48" s="3">
        <f>+OperatingFunds!AG48*1000/Enrollment!AF12</f>
        <v>7283.071154658036</v>
      </c>
      <c r="AH48" s="3">
        <f>+OperatingFunds!AH48*1000/Enrollment!AG12</f>
        <v>6602.7100485495821</v>
      </c>
      <c r="AI48" s="3">
        <f>+OperatingFunds!AI48*1000/Enrollment!AH12</f>
        <v>6851.8069312022244</v>
      </c>
      <c r="AJ48" s="3">
        <f>+OperatingFunds!AJ48*1000/Enrollment!AI12</f>
        <v>7285.6927386463167</v>
      </c>
      <c r="AK48" s="3">
        <f>+OperatingFunds!AK48*1000/Enrollment!AJ12</f>
        <v>7987.8588338060908</v>
      </c>
    </row>
    <row r="49" spans="2:37">
      <c r="B49" s="1" t="str">
        <f>+$B$11</f>
        <v>Central Washington University</v>
      </c>
      <c r="C49" s="3">
        <f>+OperatingFunds!C49*1000/Enrollment!B13</f>
        <v>1257.1933772705354</v>
      </c>
      <c r="D49" s="3">
        <f>+OperatingFunds!D49*1000/Enrollment!C13</f>
        <v>1335.6665111214809</v>
      </c>
      <c r="E49" s="3">
        <f>+OperatingFunds!E49*1000/Enrollment!D13</f>
        <v>1415.0823827629911</v>
      </c>
      <c r="F49" s="3">
        <f>+OperatingFunds!F49*1000/Enrollment!E13</f>
        <v>1472.37401335762</v>
      </c>
      <c r="G49" s="3">
        <f>+OperatingFunds!G49*1000/Enrollment!F13</f>
        <v>1593.5413544079574</v>
      </c>
      <c r="H49" s="3">
        <f>+OperatingFunds!H49*1000/Enrollment!G13</f>
        <v>1823.5750290810392</v>
      </c>
      <c r="I49" s="3">
        <f>+OperatingFunds!I49*1000/Enrollment!H13</f>
        <v>2079.5748739610303</v>
      </c>
      <c r="J49" s="3">
        <f>+OperatingFunds!J49*1000/Enrollment!I13</f>
        <v>1916.219119226638</v>
      </c>
      <c r="K49" s="3">
        <f>+OperatingFunds!K49*1000/Enrollment!J13</f>
        <v>2258.6299170457587</v>
      </c>
      <c r="L49" s="3">
        <f>+OperatingFunds!L49*1000/Enrollment!K13</f>
        <v>2289.1179226341856</v>
      </c>
      <c r="M49" s="3">
        <f>+OperatingFunds!M49*1000/Enrollment!L13</f>
        <v>2211.8195149403728</v>
      </c>
      <c r="N49" s="3">
        <f>+OperatingFunds!N49*1000/Enrollment!M13</f>
        <v>2364.5322423493894</v>
      </c>
      <c r="O49" s="3">
        <f>+OperatingFunds!O49*1000/Enrollment!N13</f>
        <v>2320.3750703858186</v>
      </c>
      <c r="P49" s="3">
        <f>+OperatingFunds!P49*1000/Enrollment!O13</f>
        <v>2951.2784147545026</v>
      </c>
      <c r="Q49" s="3">
        <f>+OperatingFunds!Q49*1000/Enrollment!P13</f>
        <v>3063.1001848215319</v>
      </c>
      <c r="R49" s="3">
        <f>+OperatingFunds!R49*1000/Enrollment!Q13</f>
        <v>3117.5721857062467</v>
      </c>
      <c r="S49" s="3">
        <f>+OperatingFunds!S49*1000/Enrollment!R13</f>
        <v>3192.5712432372752</v>
      </c>
      <c r="T49" s="3">
        <f>+OperatingFunds!T49*1000/Enrollment!S13</f>
        <v>3261.5868720121684</v>
      </c>
      <c r="U49" s="3">
        <f>+OperatingFunds!U49*1000/Enrollment!T13</f>
        <v>3761.7240940547481</v>
      </c>
      <c r="V49" s="3">
        <f>+OperatingFunds!V49*1000/Enrollment!U13</f>
        <v>4095.0361003873754</v>
      </c>
      <c r="W49" s="3">
        <f>+OperatingFunds!W49*1000/Enrollment!V13</f>
        <v>4662.272725674964</v>
      </c>
      <c r="X49" s="3">
        <f>+OperatingFunds!X49*1000/Enrollment!W13</f>
        <v>4640.8760190122975</v>
      </c>
      <c r="Y49" s="3">
        <f>+OperatingFunds!Y49*1000/Enrollment!X13</f>
        <v>6011.1089772359592</v>
      </c>
      <c r="Z49" s="3">
        <f>+OperatingFunds!Z49*1000/Enrollment!Y13</f>
        <v>6307.8687964190867</v>
      </c>
      <c r="AA49" s="3">
        <f>+OperatingFunds!AA49*1000/Enrollment!Z13</f>
        <v>6995.5455400576875</v>
      </c>
      <c r="AB49" s="3">
        <f>+OperatingFunds!AB49*1000/Enrollment!AA13</f>
        <v>6842.0278491727586</v>
      </c>
      <c r="AC49" s="3">
        <f>+OperatingFunds!AC49*1000/Enrollment!AB13</f>
        <v>6454.0469774641087</v>
      </c>
      <c r="AD49" s="3">
        <f>+OperatingFunds!AD49*1000/Enrollment!AC13</f>
        <v>6037.5284474683758</v>
      </c>
      <c r="AE49" s="3">
        <f>+OperatingFunds!AE49*1000/Enrollment!AD13</f>
        <v>5464.7603119006762</v>
      </c>
      <c r="AF49" s="3">
        <f>+OperatingFunds!AF49*1000/Enrollment!AE13</f>
        <v>5843.9381728579692</v>
      </c>
      <c r="AG49" s="3">
        <f>+OperatingFunds!AG49*1000/Enrollment!AF13</f>
        <v>5248.6072605914524</v>
      </c>
      <c r="AH49" s="3">
        <f>+OperatingFunds!AH49*1000/Enrollment!AG13</f>
        <v>5188.2739577945586</v>
      </c>
      <c r="AI49" s="3">
        <f>+OperatingFunds!AI49*1000/Enrollment!AH13</f>
        <v>6191.5623999695445</v>
      </c>
      <c r="AJ49" s="3">
        <f>+OperatingFunds!AJ49*1000/Enrollment!AI13</f>
        <v>7030.0955592160126</v>
      </c>
      <c r="AK49" s="3">
        <f>+OperatingFunds!AK49*1000/Enrollment!AJ13</f>
        <v>7346.5103121812472</v>
      </c>
    </row>
    <row r="50" spans="2:37">
      <c r="B50" s="1" t="str">
        <f>+$B$12</f>
        <v>The Evergreen State College</v>
      </c>
      <c r="C50" s="3">
        <f>+OperatingFunds!C50*1000/Enrollment!B14</f>
        <v>1672.3560910307899</v>
      </c>
      <c r="D50" s="3">
        <f>+OperatingFunds!D50*1000/Enrollment!C14</f>
        <v>1837.1641307866623</v>
      </c>
      <c r="E50" s="3">
        <f>+OperatingFunds!E50*1000/Enrollment!D14</f>
        <v>2112.3946300343428</v>
      </c>
      <c r="F50" s="3">
        <f>+OperatingFunds!F50*1000/Enrollment!E14</f>
        <v>2122.0642768850435</v>
      </c>
      <c r="G50" s="3">
        <f>+OperatingFunds!G50*1000/Enrollment!F14</f>
        <v>2468.6166971358925</v>
      </c>
      <c r="H50" s="3">
        <f>+OperatingFunds!H50*1000/Enrollment!G14</f>
        <v>3038.1995854308557</v>
      </c>
      <c r="I50" s="3">
        <f>+OperatingFunds!I50*1000/Enrollment!H14</f>
        <v>2811.0422202539121</v>
      </c>
      <c r="J50" s="3">
        <f>+OperatingFunds!J50*1000/Enrollment!I14</f>
        <v>3347.0908569790772</v>
      </c>
      <c r="K50" s="3">
        <f>+OperatingFunds!K50*1000/Enrollment!J14</f>
        <v>2808.4763948497853</v>
      </c>
      <c r="L50" s="3">
        <f>+OperatingFunds!L50*1000/Enrollment!K14</f>
        <v>3316.0648874934591</v>
      </c>
      <c r="M50" s="3">
        <f>+OperatingFunds!M50*1000/Enrollment!L14</f>
        <v>3865.6230240735731</v>
      </c>
      <c r="N50" s="3">
        <f>+OperatingFunds!N50*1000/Enrollment!M14</f>
        <v>3819.4664474379292</v>
      </c>
      <c r="O50" s="3">
        <f>+OperatingFunds!O50*1000/Enrollment!N14</f>
        <v>3540.5797854826642</v>
      </c>
      <c r="P50" s="3">
        <f>+OperatingFunds!P50*1000/Enrollment!O14</f>
        <v>3873.3874938332506</v>
      </c>
      <c r="Q50" s="3">
        <f>+OperatingFunds!Q50*1000/Enrollment!P14</f>
        <v>3238.40193217858</v>
      </c>
      <c r="R50" s="3">
        <f>+OperatingFunds!R50*1000/Enrollment!Q14</f>
        <v>6006.9377694174755</v>
      </c>
      <c r="S50" s="3">
        <f>+OperatingFunds!S50*1000/Enrollment!R14</f>
        <v>4836.2425006051799</v>
      </c>
      <c r="T50" s="3">
        <f>+OperatingFunds!T50*1000/Enrollment!S14</f>
        <v>5034.776164316967</v>
      </c>
      <c r="U50" s="3">
        <f>+OperatingFunds!U50*1000/Enrollment!T14</f>
        <v>4777.7492886480404</v>
      </c>
      <c r="V50" s="3">
        <f>+OperatingFunds!V50*1000/Enrollment!U14</f>
        <v>5477.9993512434867</v>
      </c>
      <c r="W50" s="3">
        <f>+OperatingFunds!W50*1000/Enrollment!V14</f>
        <v>5692.3560939842337</v>
      </c>
      <c r="X50" s="3">
        <f>+OperatingFunds!X50*1000/Enrollment!W14</f>
        <v>6584.4788689969191</v>
      </c>
      <c r="Y50" s="3">
        <f>+OperatingFunds!Y50*1000/Enrollment!X14</f>
        <v>7359.3816470164929</v>
      </c>
      <c r="Z50" s="3">
        <f>+OperatingFunds!Z50*1000/Enrollment!Y14</f>
        <v>7770.7906705258174</v>
      </c>
      <c r="AA50" s="3">
        <f>+OperatingFunds!AA50*1000/Enrollment!Z14</f>
        <v>7921.6822117124721</v>
      </c>
      <c r="AB50" s="3">
        <f>+OperatingFunds!AB50*1000/Enrollment!AA14</f>
        <v>8019.9652073004354</v>
      </c>
      <c r="AC50" s="3">
        <f>+OperatingFunds!AC50*1000/Enrollment!AB14</f>
        <v>10380.682683378982</v>
      </c>
      <c r="AD50" s="3">
        <f>+OperatingFunds!AD50*1000/Enrollment!AC14</f>
        <v>7941.23016880865</v>
      </c>
      <c r="AE50" s="3">
        <f>+OperatingFunds!AE50*1000/Enrollment!AD14</f>
        <v>8351.3069021589326</v>
      </c>
      <c r="AF50" s="3">
        <f>+OperatingFunds!AF50*1000/Enrollment!AE14</f>
        <v>7424.1162482551263</v>
      </c>
      <c r="AG50" s="3">
        <f>+OperatingFunds!AG50*1000/Enrollment!AF14</f>
        <v>7951.8095545212764</v>
      </c>
      <c r="AH50" s="3">
        <f>+OperatingFunds!AH50*1000/Enrollment!AG14</f>
        <v>5971.837191433402</v>
      </c>
      <c r="AI50" s="3">
        <f>+OperatingFunds!AI50*1000/Enrollment!AH14</f>
        <v>1802.3158812333461</v>
      </c>
      <c r="AJ50" s="3">
        <f>+OperatingFunds!AJ50*1000/Enrollment!AI14</f>
        <v>8219.7872151662305</v>
      </c>
      <c r="AK50" s="3">
        <f>+OperatingFunds!AK50*1000/Enrollment!AJ14</f>
        <v>6260.811974997463</v>
      </c>
    </row>
    <row r="51" spans="2:37">
      <c r="B51" s="1" t="str">
        <f>+$B$13</f>
        <v>Western Washington University</v>
      </c>
      <c r="C51" s="3">
        <f>+OperatingFunds!C51*1000/Enrollment!B15</f>
        <v>1240.0758383694752</v>
      </c>
      <c r="D51" s="3">
        <f>+OperatingFunds!D51*1000/Enrollment!C15</f>
        <v>1337.5329286450578</v>
      </c>
      <c r="E51" s="3">
        <f>+OperatingFunds!E51*1000/Enrollment!D15</f>
        <v>1422.3478550049883</v>
      </c>
      <c r="F51" s="3">
        <f>+OperatingFunds!F51*1000/Enrollment!E15</f>
        <v>1508.1465281574631</v>
      </c>
      <c r="G51" s="3">
        <f>+OperatingFunds!G51*1000/Enrollment!F15</f>
        <v>1634.4694946041243</v>
      </c>
      <c r="H51" s="3">
        <f>+OperatingFunds!H51*1000/Enrollment!G15</f>
        <v>2107.3797241814927</v>
      </c>
      <c r="I51" s="3">
        <f>+OperatingFunds!I51*1000/Enrollment!H15</f>
        <v>1919.8386429458005</v>
      </c>
      <c r="J51" s="3">
        <f>+OperatingFunds!J51*1000/Enrollment!I15</f>
        <v>1955.129472227713</v>
      </c>
      <c r="K51" s="3">
        <f>+OperatingFunds!K51*1000/Enrollment!J15</f>
        <v>2092.7318295739346</v>
      </c>
      <c r="L51" s="3">
        <f>+OperatingFunds!L51*1000/Enrollment!K15</f>
        <v>2329.8578199052131</v>
      </c>
      <c r="M51" s="3">
        <f>+OperatingFunds!M51*1000/Enrollment!L15</f>
        <v>2481.1482935153581</v>
      </c>
      <c r="N51" s="3">
        <f>+OperatingFunds!N51*1000/Enrollment!M15</f>
        <v>2570.3061137863388</v>
      </c>
      <c r="O51" s="3">
        <f>+OperatingFunds!O51*1000/Enrollment!N15</f>
        <v>2649.415400798935</v>
      </c>
      <c r="P51" s="3">
        <f>+OperatingFunds!P51*1000/Enrollment!O15</f>
        <v>3042.0589918256128</v>
      </c>
      <c r="Q51" s="3">
        <f>+OperatingFunds!Q51*1000/Enrollment!P15</f>
        <v>3341.4525997392434</v>
      </c>
      <c r="R51" s="3">
        <f>+OperatingFunds!R51*1000/Enrollment!Q15</f>
        <v>3424.6735891744215</v>
      </c>
      <c r="S51" s="3">
        <f>+OperatingFunds!S51*1000/Enrollment!R15</f>
        <v>3568.3175933645261</v>
      </c>
      <c r="T51" s="3">
        <f>+OperatingFunds!T51*1000/Enrollment!S15</f>
        <v>3874.1245264765785</v>
      </c>
      <c r="U51" s="3">
        <f>+OperatingFunds!U51*1000/Enrollment!T15</f>
        <v>4042.5881735165208</v>
      </c>
      <c r="V51" s="3">
        <f>+OperatingFunds!V51*1000/Enrollment!U15</f>
        <v>4159.5610843427867</v>
      </c>
      <c r="W51" s="3">
        <f>+OperatingFunds!W51*1000/Enrollment!V15</f>
        <v>5408.267280097537</v>
      </c>
      <c r="X51" s="3">
        <f>+OperatingFunds!X51*1000/Enrollment!W15</f>
        <v>5349.9602568123528</v>
      </c>
      <c r="Y51" s="3">
        <f>+OperatingFunds!Y51*1000/Enrollment!X15</f>
        <v>6220.8430356225044</v>
      </c>
      <c r="Z51" s="3">
        <f>+OperatingFunds!Z51*1000/Enrollment!Y15</f>
        <v>6705.3064071696826</v>
      </c>
      <c r="AA51" s="3">
        <f>+OperatingFunds!AA51*1000/Enrollment!Z15</f>
        <v>6725.4860461661301</v>
      </c>
      <c r="AB51" s="3">
        <f>+OperatingFunds!AB51*1000/Enrollment!AA15</f>
        <v>7214.1782925222087</v>
      </c>
      <c r="AC51" s="3">
        <f>+OperatingFunds!AC51*1000/Enrollment!AB15</f>
        <v>6963.578238619928</v>
      </c>
      <c r="AD51" s="3">
        <f>+OperatingFunds!AD51*1000/Enrollment!AC15</f>
        <v>6775.0790497924991</v>
      </c>
      <c r="AE51" s="3">
        <f>+OperatingFunds!AE51*1000/Enrollment!AD15</f>
        <v>6842.0651789500262</v>
      </c>
      <c r="AF51" s="3">
        <f>+OperatingFunds!AF51*1000/Enrollment!AE15</f>
        <v>7009.0044799960069</v>
      </c>
      <c r="AG51" s="3">
        <f>+OperatingFunds!AG51*1000/Enrollment!AF15</f>
        <v>7567.6528723890833</v>
      </c>
      <c r="AH51" s="3">
        <f>+OperatingFunds!AH51*1000/Enrollment!AG15</f>
        <v>7381.1468485242704</v>
      </c>
      <c r="AI51" s="3">
        <f>+OperatingFunds!AI51*1000/Enrollment!AH15</f>
        <v>8460.8872035837358</v>
      </c>
      <c r="AJ51" s="3">
        <f>+OperatingFunds!AJ51*1000/Enrollment!AI15</f>
        <v>8969.7780294700424</v>
      </c>
      <c r="AK51" s="3">
        <f>+OperatingFunds!AK51*1000/Enrollment!AJ15</f>
        <v>8698.2042779101612</v>
      </c>
    </row>
    <row r="52" spans="2:37">
      <c r="B52" s="199" t="str">
        <f>+$B$14</f>
        <v>Total Four-Year Institutions</v>
      </c>
      <c r="C52" s="42">
        <f>+OperatingFunds!C52*1000/Enrollment!B16</f>
        <v>1603.8972915933873</v>
      </c>
      <c r="D52" s="42">
        <f>+OperatingFunds!D52*1000/Enrollment!C16</f>
        <v>1717.3883085742634</v>
      </c>
      <c r="E52" s="42">
        <f>+OperatingFunds!E52*1000/Enrollment!D16</f>
        <v>1931.3610115219356</v>
      </c>
      <c r="F52" s="42">
        <f>+OperatingFunds!F52*1000/Enrollment!E16</f>
        <v>2003.1979790922039</v>
      </c>
      <c r="G52" s="42">
        <f>+OperatingFunds!G52*1000/Enrollment!F16</f>
        <v>2161.6160295060099</v>
      </c>
      <c r="H52" s="42">
        <f>+OperatingFunds!H52*1000/Enrollment!G16</f>
        <v>2708.7012970318665</v>
      </c>
      <c r="I52" s="42">
        <f>+OperatingFunds!I52*1000/Enrollment!H16</f>
        <v>2620.6159165119407</v>
      </c>
      <c r="J52" s="42">
        <f>+OperatingFunds!J52*1000/Enrollment!I16</f>
        <v>2730.7561800153321</v>
      </c>
      <c r="K52" s="42">
        <f>+OperatingFunds!K52*1000/Enrollment!J16</f>
        <v>2772.2005806019401</v>
      </c>
      <c r="L52" s="42">
        <f>+OperatingFunds!L52*1000/Enrollment!K16</f>
        <v>3163.9936090546526</v>
      </c>
      <c r="M52" s="42">
        <f>+OperatingFunds!M52*1000/Enrollment!L16</f>
        <v>3168.1472896507571</v>
      </c>
      <c r="N52" s="42">
        <f>+OperatingFunds!N52*1000/Enrollment!M16</f>
        <v>3225.5770845907205</v>
      </c>
      <c r="O52" s="42">
        <f>+OperatingFunds!O52*1000/Enrollment!N16</f>
        <v>3389.3021784946973</v>
      </c>
      <c r="P52" s="42">
        <f>+OperatingFunds!P52*1000/Enrollment!O16</f>
        <v>3907.6561953279484</v>
      </c>
      <c r="Q52" s="42">
        <f>+OperatingFunds!Q52*1000/Enrollment!P16</f>
        <v>4093.7368134332496</v>
      </c>
      <c r="R52" s="42">
        <f>+OperatingFunds!R52*1000/Enrollment!Q16</f>
        <v>4675.8510486219056</v>
      </c>
      <c r="S52" s="42">
        <f>+OperatingFunds!S52*1000/Enrollment!R16</f>
        <v>4755.945666095161</v>
      </c>
      <c r="T52" s="42">
        <f>+OperatingFunds!T52*1000/Enrollment!S16</f>
        <v>5310.923843084096</v>
      </c>
      <c r="U52" s="42">
        <f>+OperatingFunds!U52*1000/Enrollment!T16</f>
        <v>5596.087705425226</v>
      </c>
      <c r="V52" s="42">
        <f>+OperatingFunds!V52*1000/Enrollment!U16</f>
        <v>5872.7427816669524</v>
      </c>
      <c r="W52" s="42">
        <f>+OperatingFunds!W52*1000/Enrollment!V16</f>
        <v>6179.0875501344544</v>
      </c>
      <c r="X52" s="42">
        <f>+OperatingFunds!X52*1000/Enrollment!W16</f>
        <v>7407.7361658232294</v>
      </c>
      <c r="Y52" s="42">
        <f>+OperatingFunds!Y52*1000/Enrollment!X16</f>
        <v>8477.1907921705697</v>
      </c>
      <c r="Z52" s="42">
        <f>+OperatingFunds!Z52*1000/Enrollment!Y16</f>
        <v>9510.6196532938538</v>
      </c>
      <c r="AA52" s="42">
        <f>+OperatingFunds!AA52*1000/Enrollment!Z16</f>
        <v>9121.2648212802906</v>
      </c>
      <c r="AB52" s="42">
        <f>+OperatingFunds!AB52*1000/Enrollment!AA16</f>
        <v>10288.389977148356</v>
      </c>
      <c r="AC52" s="42">
        <f>+OperatingFunds!AC52*1000/Enrollment!AB16</f>
        <v>9868.4608387240696</v>
      </c>
      <c r="AD52" s="42">
        <f>+OperatingFunds!AD52*1000/Enrollment!AC16</f>
        <v>9556.7625528734188</v>
      </c>
      <c r="AE52" s="42">
        <f>+OperatingFunds!AE52*1000/Enrollment!AD16</f>
        <v>10337.756744159329</v>
      </c>
      <c r="AF52" s="42">
        <f>+OperatingFunds!AF52*1000/Enrollment!AE16</f>
        <v>9821.4242573035463</v>
      </c>
      <c r="AG52" s="42">
        <f>+OperatingFunds!AG52*1000/Enrollment!AF16</f>
        <v>9778.8760632674985</v>
      </c>
      <c r="AH52" s="42">
        <f>+OperatingFunds!AH52*1000/Enrollment!AG16</f>
        <v>9842.2146912273711</v>
      </c>
      <c r="AI52" s="42">
        <f>+OperatingFunds!AI52*1000/Enrollment!AH16</f>
        <v>10192.958416443957</v>
      </c>
      <c r="AJ52" s="42">
        <f>+OperatingFunds!AJ52*1000/Enrollment!AI16</f>
        <v>11257.664777926921</v>
      </c>
      <c r="AK52" s="42">
        <f>+OperatingFunds!AK52*1000/Enrollment!AJ16</f>
        <v>11803.745531220808</v>
      </c>
    </row>
    <row r="53" spans="2:37">
      <c r="Z53" s="1"/>
      <c r="AA53" s="1"/>
      <c r="AB53" s="1"/>
    </row>
    <row r="54" spans="2:37">
      <c r="B54" s="1" t="str">
        <f>+$B$16</f>
        <v>Community/Technical College System</v>
      </c>
      <c r="C54" s="3">
        <f>+OperatingFunds!C54*1000/Enrollment!B18</f>
        <v>467.69970989881836</v>
      </c>
      <c r="D54" s="3">
        <f>+OperatingFunds!D54*1000/Enrollment!C18</f>
        <v>501.31810630402993</v>
      </c>
      <c r="E54" s="3">
        <f>+OperatingFunds!E54*1000/Enrollment!D18</f>
        <v>537.34119564696289</v>
      </c>
      <c r="F54" s="3">
        <f>+OperatingFunds!F54*1000/Enrollment!E18</f>
        <v>576.45521168837229</v>
      </c>
      <c r="G54" s="3">
        <f>+OperatingFunds!G54*1000/Enrollment!F18</f>
        <v>739.0192281712973</v>
      </c>
      <c r="H54" s="3">
        <f>+OperatingFunds!H54*1000/Enrollment!G18</f>
        <v>898.67880185548677</v>
      </c>
      <c r="I54" s="3">
        <f>+OperatingFunds!I54*1000/Enrollment!H18</f>
        <v>890.40863857717557</v>
      </c>
      <c r="J54" s="3">
        <f>+OperatingFunds!J54*1000/Enrollment!I18</f>
        <v>933.99239800089333</v>
      </c>
      <c r="K54" s="3">
        <f>+OperatingFunds!K54*1000/Enrollment!J18</f>
        <v>1007.6574093703625</v>
      </c>
      <c r="L54" s="3">
        <f>+OperatingFunds!L54*1000/Enrollment!K18</f>
        <v>1005.9108670920513</v>
      </c>
      <c r="M54" s="3">
        <f>+OperatingFunds!M54*1000/Enrollment!L18</f>
        <v>1071.7477508371228</v>
      </c>
      <c r="N54" s="3">
        <f>+OperatingFunds!N54*1000/Enrollment!M18</f>
        <v>1052.0308325981903</v>
      </c>
      <c r="O54" s="3">
        <f>+OperatingFunds!O54*1000/Enrollment!N18</f>
        <v>1090.4042151505651</v>
      </c>
      <c r="P54" s="3">
        <f>+OperatingFunds!P54*1000/Enrollment!O18</f>
        <v>1135.725855759805</v>
      </c>
      <c r="Q54" s="3">
        <f>+OperatingFunds!Q54*1000/Enrollment!P18</f>
        <v>1330.9338389479242</v>
      </c>
      <c r="R54" s="3">
        <f>+OperatingFunds!R54*1000/Enrollment!Q18</f>
        <v>1510.7941093171291</v>
      </c>
      <c r="S54" s="3">
        <f>+OperatingFunds!S54*1000/Enrollment!R18</f>
        <v>1592.3326349354252</v>
      </c>
      <c r="T54" s="3">
        <f>+OperatingFunds!T54*1000/Enrollment!S18</f>
        <v>1641.341205986115</v>
      </c>
      <c r="U54" s="3">
        <f>+OperatingFunds!U54*1000/Enrollment!T18</f>
        <v>1701.204537942624</v>
      </c>
      <c r="V54" s="3">
        <f>+OperatingFunds!V54*1000/Enrollment!U18</f>
        <v>1602.5329953954604</v>
      </c>
      <c r="W54" s="3">
        <f>+OperatingFunds!W54*1000/Enrollment!V18</f>
        <v>1601.1942512191804</v>
      </c>
      <c r="X54" s="3">
        <f>+OperatingFunds!X54*1000/Enrollment!W18</f>
        <v>1803.1905641809108</v>
      </c>
      <c r="Y54" s="3">
        <f>+OperatingFunds!Y54*1000/Enrollment!X18</f>
        <v>2005.4297309432841</v>
      </c>
      <c r="Z54" s="3">
        <f>+OperatingFunds!Z54*1000/Enrollment!Y18</f>
        <v>2271.0730803261818</v>
      </c>
      <c r="AA54" s="3">
        <f>+OperatingFunds!AA54*1000/Enrollment!Z18</f>
        <v>2431.8181570986089</v>
      </c>
      <c r="AB54" s="3">
        <f>+OperatingFunds!AB54*1000/Enrollment!AA18</f>
        <v>2595.7319919855531</v>
      </c>
      <c r="AC54" s="3">
        <f>+OperatingFunds!AC54*1000/Enrollment!AB18</f>
        <v>2686.9122388964843</v>
      </c>
      <c r="AD54" s="3">
        <f>+OperatingFunds!AD54*1000/Enrollment!AC18</f>
        <v>2738.5717229464763</v>
      </c>
      <c r="AE54" s="3">
        <f>+OperatingFunds!AE54*1000/Enrollment!AD18</f>
        <v>2759.583949965906</v>
      </c>
      <c r="AF54" s="3">
        <f>+OperatingFunds!AF54*1000/Enrollment!AE18</f>
        <v>2593.418474253413</v>
      </c>
      <c r="AG54" s="3">
        <f>+OperatingFunds!AG54*1000/Enrollment!AF18</f>
        <v>3038.2491190047858</v>
      </c>
      <c r="AH54" s="3">
        <f>+OperatingFunds!AH54*1000/Enrollment!AG18</f>
        <v>2768.3308536030318</v>
      </c>
      <c r="AI54" s="3">
        <f>+OperatingFunds!AI54*1000/Enrollment!AH18</f>
        <v>3153.3076323595433</v>
      </c>
      <c r="AJ54" s="3">
        <f>+OperatingFunds!AJ54*1000/Enrollment!AI18</f>
        <v>2809.4603869785146</v>
      </c>
      <c r="AK54" s="3">
        <f>+OperatingFunds!AK54*1000/Enrollment!AJ18</f>
        <v>3592.9839709465778</v>
      </c>
    </row>
    <row r="55" spans="2:37">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2:37" ht="13.5" thickBot="1">
      <c r="C56" s="3"/>
      <c r="D56" s="3"/>
      <c r="E56" s="3"/>
      <c r="F56" s="3"/>
      <c r="G56" s="3"/>
      <c r="H56" s="3"/>
      <c r="I56" s="3"/>
      <c r="J56" s="3"/>
      <c r="K56" s="3"/>
      <c r="L56" s="3"/>
      <c r="M56" s="3"/>
      <c r="N56" s="3"/>
      <c r="O56" s="3"/>
      <c r="P56" s="3"/>
      <c r="Q56" s="3"/>
      <c r="R56" s="3"/>
      <c r="S56" s="3"/>
      <c r="T56" s="3"/>
      <c r="U56" s="3"/>
      <c r="V56" s="3"/>
      <c r="W56" s="3"/>
      <c r="X56" s="3"/>
      <c r="Z56" s="3"/>
      <c r="AA56" s="3"/>
      <c r="AB56" s="3"/>
      <c r="AC56" s="3"/>
      <c r="AD56" s="3"/>
      <c r="AE56" s="3"/>
      <c r="AF56" s="3"/>
      <c r="AG56" s="3"/>
      <c r="AH56" s="3"/>
      <c r="AI56" s="3"/>
      <c r="AJ56" s="3"/>
      <c r="AK56" s="3"/>
    </row>
    <row r="57" spans="2:37" ht="13.5" thickTop="1">
      <c r="B57" s="1" t="str">
        <f>+$B$19</f>
        <v>Total Higher Education</v>
      </c>
      <c r="C57" s="39">
        <f>+OperatingFunds!C57*1000/Enrollment!B21</f>
        <v>942.71378657223863</v>
      </c>
      <c r="D57" s="39">
        <f>+OperatingFunds!D57*1000/Enrollment!C21</f>
        <v>1011.1445556910029</v>
      </c>
      <c r="E57" s="39">
        <f>+OperatingFunds!E57*1000/Enrollment!D21</f>
        <v>1111.6799061863981</v>
      </c>
      <c r="F57" s="39">
        <f>+OperatingFunds!F57*1000/Enrollment!E21</f>
        <v>1161.3555363369451</v>
      </c>
      <c r="G57" s="39">
        <f>+OperatingFunds!G57*1000/Enrollment!F21</f>
        <v>1319.1462126788058</v>
      </c>
      <c r="H57" s="39">
        <f>+OperatingFunds!H57*1000/Enrollment!G21</f>
        <v>1634.340289025193</v>
      </c>
      <c r="I57" s="39">
        <f>+OperatingFunds!I57*1000/Enrollment!H21</f>
        <v>1579.2017128001223</v>
      </c>
      <c r="J57" s="39">
        <f>+OperatingFunds!J57*1000/Enrollment!I21</f>
        <v>1655.2486076358059</v>
      </c>
      <c r="K57" s="39">
        <f>+OperatingFunds!K57*1000/Enrollment!J21</f>
        <v>1724.083392518045</v>
      </c>
      <c r="L57" s="39">
        <f>+OperatingFunds!L57*1000/Enrollment!K21</f>
        <v>1876.2967736223086</v>
      </c>
      <c r="M57" s="39">
        <f>+OperatingFunds!M57*1000/Enrollment!L21</f>
        <v>1906.4255317204561</v>
      </c>
      <c r="N57" s="39">
        <f>+OperatingFunds!N57*1000/Enrollment!M21</f>
        <v>1917.9990169308442</v>
      </c>
      <c r="O57" s="39">
        <f>+OperatingFunds!O57*1000/Enrollment!N21</f>
        <v>2001.6412885536495</v>
      </c>
      <c r="P57" s="39">
        <f>+OperatingFunds!P57*1000/Enrollment!O21</f>
        <v>2217.964046775769</v>
      </c>
      <c r="Q57" s="39">
        <f>+OperatingFunds!Q57*1000/Enrollment!P21</f>
        <v>2420.912105590497</v>
      </c>
      <c r="R57" s="39">
        <f>+OperatingFunds!R57*1000/Enrollment!Q21</f>
        <v>2808.3357942444818</v>
      </c>
      <c r="S57" s="39">
        <f>+OperatingFunds!S57*1000/Enrollment!R21</f>
        <v>2894.3101673677779</v>
      </c>
      <c r="T57" s="39">
        <f>+OperatingFunds!T57*1000/Enrollment!S21</f>
        <v>3148.0582295135982</v>
      </c>
      <c r="U57" s="39">
        <f>+OperatingFunds!U57*1000/Enrollment!T21</f>
        <v>3289.683973966457</v>
      </c>
      <c r="V57" s="39">
        <f>+OperatingFunds!V57*1000/Enrollment!U21</f>
        <v>3306.7206372158034</v>
      </c>
      <c r="W57" s="39">
        <f>+OperatingFunds!W57*1000/Enrollment!V21</f>
        <v>3369.2177045833746</v>
      </c>
      <c r="X57" s="39">
        <f>+OperatingFunds!X57*1000/Enrollment!W21</f>
        <v>3981.6357965953048</v>
      </c>
      <c r="Y57" s="39">
        <f>+OperatingFunds!Y57*1000/Enrollment!X112</f>
        <v>5148.5251013595016</v>
      </c>
      <c r="Z57" s="39">
        <f>+OperatingFunds!Z57*1000/Enrollment!Y21</f>
        <v>5283.9056066228668</v>
      </c>
      <c r="AA57" s="39">
        <f>+OperatingFunds!AA57*1000/Enrollment!Z21</f>
        <v>5276.7832045872765</v>
      </c>
      <c r="AB57" s="39">
        <f>+OperatingFunds!AB57*1000/Enrollment!AA21</f>
        <v>5961.9457805790562</v>
      </c>
      <c r="AC57" s="39">
        <f>+OperatingFunds!AC57*1000/Enrollment!AB21</f>
        <v>5900.02517925148</v>
      </c>
      <c r="AD57" s="39">
        <f>+OperatingFunds!AD57*1000/Enrollment!AC21</f>
        <v>5867.5451438126838</v>
      </c>
      <c r="AE57" s="39">
        <f>+OperatingFunds!AE57*1000/Enrollment!AD21</f>
        <v>6307.0257804987532</v>
      </c>
      <c r="AF57" s="39">
        <f>+OperatingFunds!AF57*1000/Enrollment!AE21</f>
        <v>6055.4451744621365</v>
      </c>
      <c r="AG57" s="39">
        <f>+OperatingFunds!AG57*1000/Enrollment!AF21</f>
        <v>6345.5445670853469</v>
      </c>
      <c r="AH57" s="39">
        <f>+OperatingFunds!AH57*1000/Enrollment!AG21</f>
        <v>6369.020194252862</v>
      </c>
      <c r="AI57" s="39">
        <f>+OperatingFunds!AI57*1000/Enrollment!AH21</f>
        <v>6646.444994825627</v>
      </c>
      <c r="AJ57" s="39">
        <f>+OperatingFunds!AJ57*1000/Enrollment!AI21</f>
        <v>6955.1149408085312</v>
      </c>
      <c r="AK57" s="39">
        <f>+OperatingFunds!AK57*1000/Enrollment!AJ21</f>
        <v>7743.1558200824938</v>
      </c>
    </row>
    <row r="58" spans="2:37">
      <c r="B58" s="199" t="str">
        <f>+$B$20</f>
        <v>[biennial annual average]</v>
      </c>
      <c r="D58" s="3">
        <f>AVERAGE(C57:D57)</f>
        <v>976.92917113162071</v>
      </c>
      <c r="E58" s="3"/>
      <c r="F58" s="3">
        <f>AVERAGE(E57:F57)</f>
        <v>1136.5177212616716</v>
      </c>
      <c r="G58" s="3"/>
      <c r="H58" s="3">
        <f>AVERAGE(G57:H57)</f>
        <v>1476.7432508519994</v>
      </c>
      <c r="I58" s="3"/>
      <c r="J58" s="3">
        <f>AVERAGE(I57:J57)</f>
        <v>1617.225160217964</v>
      </c>
      <c r="K58" s="3"/>
      <c r="L58" s="3">
        <f>AVERAGE(K57:L57)</f>
        <v>1800.1900830701768</v>
      </c>
      <c r="M58" s="3"/>
      <c r="N58" s="3">
        <f>AVERAGE(M57:N57)</f>
        <v>1912.21227432565</v>
      </c>
      <c r="O58" s="3"/>
      <c r="P58" s="3">
        <f>AVERAGE(O57:P57)</f>
        <v>2109.8026676647091</v>
      </c>
      <c r="Q58" s="3"/>
      <c r="R58" s="3">
        <f>AVERAGE(Q57:R57)</f>
        <v>2614.6239499174894</v>
      </c>
      <c r="S58" s="3"/>
      <c r="T58" s="3">
        <f>AVERAGE(S57:T57)</f>
        <v>3021.1841984406883</v>
      </c>
      <c r="U58" s="3"/>
      <c r="V58" s="3">
        <f>AVERAGE(U57:V57)</f>
        <v>3298.2023055911304</v>
      </c>
      <c r="W58" s="3"/>
      <c r="X58" s="3">
        <f>AVERAGE(W57:X57)</f>
        <v>3675.4267505893395</v>
      </c>
      <c r="Z58" s="3">
        <f>AVERAGE(Y57:Z57)</f>
        <v>5216.2153539911842</v>
      </c>
      <c r="AA58" s="3"/>
      <c r="AB58" s="3">
        <f>AVERAGE(AA57:AB57)</f>
        <v>5619.3644925831668</v>
      </c>
      <c r="AC58" s="3"/>
      <c r="AD58" s="3">
        <f>AVERAGE(AC57:AD57)</f>
        <v>5883.7851615320815</v>
      </c>
      <c r="AE58" s="3"/>
      <c r="AF58" s="3">
        <f>AVERAGE(AE57:AF57)</f>
        <v>6181.2354774804444</v>
      </c>
      <c r="AG58" s="3"/>
      <c r="AH58" s="3">
        <f t="shared" ref="AH58:AK58" si="84">AVERAGE(AG57:AH57)</f>
        <v>6357.2823806691049</v>
      </c>
      <c r="AI58" s="3"/>
      <c r="AJ58" s="3">
        <f t="shared" si="84"/>
        <v>6800.7799678170795</v>
      </c>
      <c r="AK58" s="3"/>
    </row>
    <row r="59" spans="2:37">
      <c r="D59" s="3"/>
      <c r="F59" s="3"/>
      <c r="H59" s="3"/>
      <c r="J59" s="3"/>
      <c r="L59" s="3"/>
      <c r="N59" s="3"/>
      <c r="P59" s="3"/>
      <c r="R59" s="3"/>
      <c r="T59" s="3"/>
      <c r="AC59"/>
      <c r="AD59"/>
      <c r="AE59"/>
      <c r="AF59"/>
      <c r="AG59"/>
    </row>
    <row r="60" spans="2:37" ht="15.75">
      <c r="B60" s="376" t="str">
        <f>+OperatingFunds!B60</f>
        <v>General Fund-State</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row>
    <row r="61" spans="2:37">
      <c r="B61" s="377" t="str">
        <f>+B4</f>
        <v>(Dollars Per Actual State-Funded FTE Enrollment)</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c r="AE61" s="5"/>
      <c r="AF61" s="5"/>
      <c r="AG61" s="5"/>
      <c r="AH61" s="5"/>
      <c r="AI61" s="5"/>
      <c r="AJ61" s="5"/>
      <c r="AK61" s="5"/>
    </row>
    <row r="62" spans="2:37">
      <c r="I62" s="13"/>
      <c r="J62" s="13"/>
      <c r="K62" s="13"/>
      <c r="L62" s="13"/>
      <c r="M62" s="13"/>
      <c r="N62" s="13"/>
      <c r="O62" s="13"/>
      <c r="P62" s="13"/>
      <c r="Q62"/>
      <c r="R62" s="13"/>
      <c r="S62"/>
      <c r="T62" s="655"/>
      <c r="U62" s="2" t="str">
        <f>IF(ISBLANK(OperatingFunds!U62),"",OperatingFunds!U62)</f>
        <v/>
      </c>
      <c r="V62" s="2" t="str">
        <f>IF(ISBLANK(OperatingFunds!V62),"",OperatingFunds!V62)</f>
        <v/>
      </c>
      <c r="W62" s="2" t="str">
        <f>+W5</f>
        <v/>
      </c>
      <c r="X62" s="2" t="str">
        <f>IF(ISBLANK(OperatingFunds!X5),"",OperatingFunds!X5)</f>
        <v/>
      </c>
      <c r="Y62" s="14" t="str">
        <f>IF(ISBLANK(OperatingFunds!Y5),"",OperatingFunds!Y5)</f>
        <v/>
      </c>
      <c r="AA62" s="2" t="str">
        <f>TRIM(AA$5)</f>
        <v/>
      </c>
      <c r="AB62" s="2" t="str">
        <f>TRIM(AB$5)</f>
        <v/>
      </c>
      <c r="AC62" s="2" t="str">
        <f>TRIM(AC$5)</f>
        <v/>
      </c>
      <c r="AD62" s="2" t="str">
        <f>TRIM(AD$5)</f>
        <v/>
      </c>
      <c r="AE62" s="2" t="str">
        <f t="shared" ref="AE62:AK62" si="85">TRIM(AE$5)</f>
        <v/>
      </c>
      <c r="AF62" s="2" t="str">
        <f t="shared" si="85"/>
        <v/>
      </c>
      <c r="AG62" s="2" t="str">
        <f t="shared" si="85"/>
        <v/>
      </c>
      <c r="AH62" s="2" t="str">
        <f t="shared" si="85"/>
        <v/>
      </c>
      <c r="AI62" s="2" t="str">
        <f t="shared" si="85"/>
        <v/>
      </c>
      <c r="AJ62" s="2" t="str">
        <f t="shared" si="85"/>
        <v/>
      </c>
      <c r="AK62" s="2" t="str">
        <f t="shared" si="85"/>
        <v>Final</v>
      </c>
    </row>
    <row r="63" spans="2:37">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+OperatingFunds!U63</f>
        <v>FY2008</v>
      </c>
      <c r="V63" s="2" t="str">
        <f>+OperatingFunds!V63</f>
        <v>FY2009</v>
      </c>
      <c r="W63" s="2" t="str">
        <f>+W6</f>
        <v>FY2010</v>
      </c>
      <c r="X63" s="2" t="str">
        <f>IF(ISBLANK(OperatingFunds!X6),"",OperatingFunds!X6)</f>
        <v>FY2011</v>
      </c>
      <c r="Y63" s="14" t="str">
        <f>IF(ISBLANK(OperatingFunds!Y6),"",OperatingFunds!Y6)</f>
        <v>FY2012</v>
      </c>
      <c r="Z63" s="2" t="str">
        <f>IF(ISBLANK(OperatingFunds!Z6),"",OperatingFunds!Z6)</f>
        <v>FY2013</v>
      </c>
      <c r="AA63" s="2" t="str">
        <f>IF(ISBLANK(OperatingFunds!AA6),"",OperatingFunds!AA6)</f>
        <v>FY2014</v>
      </c>
      <c r="AB63" s="2" t="str">
        <f>IF(ISBLANK(OperatingFunds!AB6),"",OperatingFunds!AB6)</f>
        <v>FY2015</v>
      </c>
      <c r="AC63" s="2" t="str">
        <f>IF(ISBLANK(OperatingFunds!AC6),"",OperatingFunds!AC6)</f>
        <v>FY2016</v>
      </c>
      <c r="AD63" s="2" t="str">
        <f>IF(ISBLANK(OperatingFunds!AD6),"",OperatingFunds!AD6)</f>
        <v>FY2017</v>
      </c>
      <c r="AE63" s="2" t="str">
        <f>IF(ISBLANK(OperatingFunds!AE6),"",OperatingFunds!AE6)</f>
        <v>FY2018</v>
      </c>
      <c r="AF63" s="2" t="str">
        <f>IF(ISBLANK(OperatingFunds!AF6),"",OperatingFunds!AF6)</f>
        <v>FY2019</v>
      </c>
      <c r="AG63" s="2" t="str">
        <f>IF(ISBLANK(OperatingFunds!AG44),"",OperatingFunds!AG44)</f>
        <v>FY2020</v>
      </c>
      <c r="AH63" s="2" t="str">
        <f>IF(ISBLANK(OperatingFunds!AH44),"",OperatingFunds!AH44)</f>
        <v>FY2021</v>
      </c>
      <c r="AI63" s="2" t="str">
        <f>IF(ISBLANK(OperatingFunds!AI44),"",OperatingFunds!AI44)</f>
        <v>FY2022</v>
      </c>
      <c r="AJ63" s="2" t="str">
        <f>IF(ISBLANK(OperatingFunds!AJ44),"",OperatingFunds!AJ44)</f>
        <v>FY2023</v>
      </c>
      <c r="AK63" s="2" t="str">
        <f>IF(ISBLANK(OperatingFunds!AK44),"",OperatingFunds!AK44)</f>
        <v>FY2024</v>
      </c>
    </row>
    <row r="64" spans="2:37">
      <c r="R64" s="3"/>
      <c r="Z64" s="1"/>
      <c r="AA64" s="1"/>
      <c r="AB64" s="1"/>
    </row>
    <row r="65" spans="2:37">
      <c r="B65" s="1" t="str">
        <f>+$B$8</f>
        <v>University of Washington</v>
      </c>
      <c r="C65" s="3">
        <f>+OperatingFunds!C65*1000/Enrollment!B10</f>
        <v>8017.5539276913205</v>
      </c>
      <c r="D65" s="3">
        <f>+OperatingFunds!D65*1000/Enrollment!C10</f>
        <v>8829.1670816319747</v>
      </c>
      <c r="E65" s="3">
        <f>+OperatingFunds!E65*1000/Enrollment!D10</f>
        <v>8456.0101552582764</v>
      </c>
      <c r="F65" s="3">
        <f>+OperatingFunds!F65*1000/Enrollment!E10</f>
        <v>8727.6513937840427</v>
      </c>
      <c r="G65" s="3">
        <f>+OperatingFunds!G65*1000/Enrollment!F10</f>
        <v>8128.8727226316969</v>
      </c>
      <c r="H65" s="3">
        <f>+OperatingFunds!H65*1000/Enrollment!G10</f>
        <v>7891.185622658284</v>
      </c>
      <c r="I65" s="3">
        <f>+OperatingFunds!I65*1000/Enrollment!H10</f>
        <v>8143.7867404356984</v>
      </c>
      <c r="J65" s="3">
        <f>+OperatingFunds!J65*1000/Enrollment!I10</f>
        <v>8144.165804370321</v>
      </c>
      <c r="K65" s="3">
        <f>+OperatingFunds!K65*1000/Enrollment!J10</f>
        <v>8506.7369303551113</v>
      </c>
      <c r="L65" s="3">
        <f>+OperatingFunds!L65*1000/Enrollment!K10</f>
        <v>8806.6206239580861</v>
      </c>
      <c r="M65" s="3">
        <f>+OperatingFunds!M65*1000/Enrollment!L10</f>
        <v>9295.1682145164141</v>
      </c>
      <c r="N65" s="3">
        <f>+OperatingFunds!N65*1000/Enrollment!M10</f>
        <v>9603.9260756163112</v>
      </c>
      <c r="O65" s="3">
        <f>+OperatingFunds!O65*1000/Enrollment!N10</f>
        <v>9427.150284607198</v>
      </c>
      <c r="P65" s="3">
        <f>+OperatingFunds!P65*1000/Enrollment!O10</f>
        <v>9029.637734761789</v>
      </c>
      <c r="Q65" s="3">
        <f>+OperatingFunds!Q65*1000/Enrollment!P10</f>
        <v>8592.5557880823872</v>
      </c>
      <c r="R65" s="3">
        <f>+OperatingFunds!R65*1000/Enrollment!Q10</f>
        <v>8991.8617872761788</v>
      </c>
      <c r="S65" s="3">
        <f>+OperatingFunds!S65*1000/Enrollment!R10</f>
        <v>9368.1729518072298</v>
      </c>
      <c r="T65" s="3">
        <f>+OperatingFunds!T65*1000/Enrollment!S10</f>
        <v>9603.9917166480209</v>
      </c>
      <c r="U65" s="3">
        <f>+OperatingFunds!U65*1000/Enrollment!T10</f>
        <v>9958.0974084836253</v>
      </c>
      <c r="V65" s="3">
        <f>+OperatingFunds!V65*1000/Enrollment!U10</f>
        <v>9028.7948433458969</v>
      </c>
      <c r="W65" s="3">
        <f>+OperatingFunds!W65*1000/Enrollment!V10</f>
        <v>6584.1281085325672</v>
      </c>
      <c r="X65" s="3">
        <f>+OperatingFunds!X65*1000/Enrollment!W10</f>
        <v>6139.1134389631607</v>
      </c>
      <c r="Y65" s="3">
        <f>+OperatingFunds!Y65*1000/Enrollment!X10</f>
        <v>4711.2690343649056</v>
      </c>
      <c r="Z65" s="3">
        <f>+OperatingFunds!Z65*1000/Enrollment!Y10</f>
        <v>4637.4960705317462</v>
      </c>
      <c r="AA65" s="3">
        <f>+OperatingFunds!AA65*1000/Enrollment!Z10</f>
        <v>5525.0687205084705</v>
      </c>
      <c r="AB65" s="3">
        <f>+OperatingFunds!AB65*1000/Enrollment!AA10</f>
        <v>5177.9519446547047</v>
      </c>
      <c r="AC65" s="3">
        <f>+OperatingFunds!AC65*1000/Enrollment!AB10</f>
        <v>5933.8270986603438</v>
      </c>
      <c r="AD65" s="3">
        <f>+OperatingFunds!AD65*1000/Enrollment!AC10</f>
        <v>6620.2341557496575</v>
      </c>
      <c r="AE65" s="3">
        <f>+OperatingFunds!AE65*1000/Enrollment!AD10</f>
        <v>6379.251563166823</v>
      </c>
      <c r="AF65" s="3">
        <f>+OperatingFunds!AF65*1000/Enrollment!AE10</f>
        <v>6542.3188586440001</v>
      </c>
      <c r="AG65" s="3">
        <f>+OperatingFunds!AG65*1000/Enrollment!AF10</f>
        <v>6820.170237051273</v>
      </c>
      <c r="AH65" s="3">
        <f>+OperatingFunds!AH65*1000/Enrollment!AG10</f>
        <v>7188.6404069291575</v>
      </c>
      <c r="AI65" s="3">
        <f>+OperatingFunds!AI65*1000/Enrollment!AH10</f>
        <v>7983.8901344705855</v>
      </c>
      <c r="AJ65" s="3">
        <f>+OperatingFunds!AJ65*1000/Enrollment!AI10</f>
        <v>8756.7925005498128</v>
      </c>
      <c r="AK65" s="3">
        <f>+OperatingFunds!AK65*1000/Enrollment!AJ10</f>
        <v>9940.4350004684566</v>
      </c>
    </row>
    <row r="66" spans="2:37">
      <c r="B66" s="1" t="str">
        <f>+$B$9</f>
        <v>Washington State University</v>
      </c>
      <c r="C66" s="3">
        <f>+OperatingFunds!C66*1000/Enrollment!B11</f>
        <v>8261.6636528028939</v>
      </c>
      <c r="D66" s="3">
        <f>+OperatingFunds!D66*1000/Enrollment!C11</f>
        <v>8819.0379686475535</v>
      </c>
      <c r="E66" s="3">
        <f>+OperatingFunds!E66*1000/Enrollment!D11</f>
        <v>9106.9323774226868</v>
      </c>
      <c r="F66" s="3">
        <f>+OperatingFunds!F66*1000/Enrollment!E11</f>
        <v>9325.6134051466197</v>
      </c>
      <c r="G66" s="3">
        <f>+OperatingFunds!G66*1000/Enrollment!F11</f>
        <v>8460.9495515054568</v>
      </c>
      <c r="H66" s="3">
        <f>+OperatingFunds!H66*1000/Enrollment!G11</f>
        <v>7950.2239920358388</v>
      </c>
      <c r="I66" s="3">
        <f>+OperatingFunds!I66*1000/Enrollment!H11</f>
        <v>8149.0337903486989</v>
      </c>
      <c r="J66" s="3">
        <f>+OperatingFunds!J66*1000/Enrollment!I11</f>
        <v>8587.1319403623147</v>
      </c>
      <c r="K66" s="3">
        <f>+OperatingFunds!K66*1000/Enrollment!J11</f>
        <v>9153.911882510014</v>
      </c>
      <c r="L66" s="3">
        <f>+OperatingFunds!L66*1000/Enrollment!K11</f>
        <v>8864.954432477216</v>
      </c>
      <c r="M66" s="3">
        <f>+OperatingFunds!M66*1000/Enrollment!L11</f>
        <v>9643.9426031144776</v>
      </c>
      <c r="N66" s="3">
        <f>+OperatingFunds!N66*1000/Enrollment!M11</f>
        <v>10139.904708175198</v>
      </c>
      <c r="O66" s="3">
        <f>+OperatingFunds!O66*1000/Enrollment!N11</f>
        <v>10086.195489852167</v>
      </c>
      <c r="P66" s="3">
        <f>+OperatingFunds!P66*1000/Enrollment!O11</f>
        <v>9560.2217753926434</v>
      </c>
      <c r="Q66" s="3">
        <f>+OperatingFunds!Q66*1000/Enrollment!P11</f>
        <v>9105.4514652906237</v>
      </c>
      <c r="R66" s="3">
        <f>+OperatingFunds!R66*1000/Enrollment!Q11</f>
        <v>9249.9686751429799</v>
      </c>
      <c r="S66" s="3">
        <f>+OperatingFunds!S66*1000/Enrollment!R11</f>
        <v>9679.2028135990622</v>
      </c>
      <c r="T66" s="3">
        <f>+OperatingFunds!T66*1000/Enrollment!S11</f>
        <v>10017.061380833764</v>
      </c>
      <c r="U66" s="3">
        <f>+OperatingFunds!U66*1000/Enrollment!T11</f>
        <v>10392.112012716607</v>
      </c>
      <c r="V66" s="3">
        <f>+OperatingFunds!V66*1000/Enrollment!U11</f>
        <v>9579.7321540236499</v>
      </c>
      <c r="W66" s="3">
        <f>+OperatingFunds!W66*1000/Enrollment!V11</f>
        <v>7063.1621636378559</v>
      </c>
      <c r="X66" s="3">
        <f>+OperatingFunds!X66*1000/Enrollment!W11</f>
        <v>7043.4775084491866</v>
      </c>
      <c r="Y66" s="3">
        <f>+OperatingFunds!Y66*1000/Enrollment!X11</f>
        <v>5316.5589641670622</v>
      </c>
      <c r="Z66" s="3">
        <f>+OperatingFunds!Z66*1000/Enrollment!Y11</f>
        <v>5307.77567592782</v>
      </c>
      <c r="AA66" s="3">
        <f>+OperatingFunds!AA66*1000/Enrollment!Z11</f>
        <v>6251.0934651137295</v>
      </c>
      <c r="AB66" s="3">
        <f>+OperatingFunds!AB66*1000/Enrollment!AA11</f>
        <v>5896.7366001794198</v>
      </c>
      <c r="AC66" s="3">
        <f>+OperatingFunds!AC66*1000/Enrollment!AB11</f>
        <v>6889.4062427815943</v>
      </c>
      <c r="AD66" s="3">
        <f>+OperatingFunds!AD66*1000/Enrollment!AC11</f>
        <v>7786.524812727459</v>
      </c>
      <c r="AE66" s="3">
        <f>+OperatingFunds!AE66*1000/Enrollment!AD11</f>
        <v>7396.7731800624661</v>
      </c>
      <c r="AF66" s="3">
        <f>+OperatingFunds!AF66*1000/Enrollment!AE11</f>
        <v>7716.6005070014489</v>
      </c>
      <c r="AG66" s="3">
        <f>+OperatingFunds!AG66*1000/Enrollment!AF11</f>
        <v>8032.1303007681754</v>
      </c>
      <c r="AH66" s="3">
        <f>+OperatingFunds!AH66*1000/Enrollment!AG11</f>
        <v>8377.0062831579144</v>
      </c>
      <c r="AI66" s="3">
        <f>+OperatingFunds!AI66*1000/Enrollment!AH11</f>
        <v>9701.4175418342111</v>
      </c>
      <c r="AJ66" s="3">
        <f>+OperatingFunds!AJ66*1000/Enrollment!AI11</f>
        <v>11169.498322112238</v>
      </c>
      <c r="AK66" s="3">
        <f>+OperatingFunds!AK66*1000/Enrollment!AJ11</f>
        <v>12266.961553593062</v>
      </c>
    </row>
    <row r="67" spans="2:37">
      <c r="B67" s="1" t="str">
        <f>+$B$10</f>
        <v>Eastern Washington University</v>
      </c>
      <c r="C67" s="3">
        <f>+OperatingFunds!C67*1000/Enrollment!B12</f>
        <v>4771.139451067369</v>
      </c>
      <c r="D67" s="3">
        <f>+OperatingFunds!D67*1000/Enrollment!C12</f>
        <v>5146.1507347984361</v>
      </c>
      <c r="E67" s="3">
        <f>+OperatingFunds!E67*1000/Enrollment!D12</f>
        <v>4987.771739130435</v>
      </c>
      <c r="F67" s="3">
        <f>+OperatingFunds!F67*1000/Enrollment!E12</f>
        <v>5295.6325501128367</v>
      </c>
      <c r="G67" s="3">
        <f>+OperatingFunds!G67*1000/Enrollment!F12</f>
        <v>4763.1958087753765</v>
      </c>
      <c r="H67" s="3">
        <f>+OperatingFunds!H67*1000/Enrollment!G12</f>
        <v>4807.3635765943454</v>
      </c>
      <c r="I67" s="3">
        <f>+OperatingFunds!I67*1000/Enrollment!H12</f>
        <v>5076.31721890277</v>
      </c>
      <c r="J67" s="3">
        <f>+OperatingFunds!J67*1000/Enrollment!I12</f>
        <v>5498.6321094312452</v>
      </c>
      <c r="K67" s="3">
        <f>+OperatingFunds!K67*1000/Enrollment!J12</f>
        <v>5673.8091790936733</v>
      </c>
      <c r="L67" s="3">
        <f>+OperatingFunds!L67*1000/Enrollment!K12</f>
        <v>5446.4384318056318</v>
      </c>
      <c r="M67" s="3">
        <f>+OperatingFunds!M67*1000/Enrollment!L12</f>
        <v>5403.0184128630708</v>
      </c>
      <c r="N67" s="3">
        <f>+OperatingFunds!N67*1000/Enrollment!M12</f>
        <v>5441.1794332384607</v>
      </c>
      <c r="O67" s="3">
        <f>+OperatingFunds!O67*1000/Enrollment!N12</f>
        <v>5414.0401377508606</v>
      </c>
      <c r="P67" s="3">
        <f>+OperatingFunds!P67*1000/Enrollment!O12</f>
        <v>5046.7102298850577</v>
      </c>
      <c r="Q67" s="3">
        <f>+OperatingFunds!Q67*1000/Enrollment!P12</f>
        <v>4681.650573916927</v>
      </c>
      <c r="R67" s="3">
        <f>+OperatingFunds!R67*1000/Enrollment!Q12</f>
        <v>4819.0281612973922</v>
      </c>
      <c r="S67" s="3">
        <f>+OperatingFunds!S67*1000/Enrollment!R12</f>
        <v>4986.2083827173792</v>
      </c>
      <c r="T67" s="3">
        <f>+OperatingFunds!T67*1000/Enrollment!S12</f>
        <v>5128.2011100228538</v>
      </c>
      <c r="U67" s="3">
        <f>+OperatingFunds!U67*1000/Enrollment!T12</f>
        <v>5368.3655960399374</v>
      </c>
      <c r="V67" s="3">
        <f>+OperatingFunds!V67*1000/Enrollment!U12</f>
        <v>4928.6401902066818</v>
      </c>
      <c r="W67" s="3">
        <f>+OperatingFunds!W67*1000/Enrollment!V12</f>
        <v>3656.9347067058739</v>
      </c>
      <c r="X67" s="3">
        <f>+OperatingFunds!X67*1000/Enrollment!W12</f>
        <v>3643.9019329852349</v>
      </c>
      <c r="Y67" s="3">
        <f>+OperatingFunds!Y67*1000/Enrollment!X12</f>
        <v>2646.6998624872654</v>
      </c>
      <c r="Z67" s="3">
        <f>+OperatingFunds!Z67*1000/Enrollment!Y12</f>
        <v>2533.261222282315</v>
      </c>
      <c r="AA67" s="3">
        <f>+OperatingFunds!AA67*1000/Enrollment!Z12</f>
        <v>3065.9636965201021</v>
      </c>
      <c r="AB67" s="3">
        <f>+OperatingFunds!AB67*1000/Enrollment!AA12</f>
        <v>3032.6107868915542</v>
      </c>
      <c r="AC67" s="3">
        <f>+OperatingFunds!AC67*1000/Enrollment!AB12</f>
        <v>3724.0494443301095</v>
      </c>
      <c r="AD67" s="3">
        <f>+OperatingFunds!AD67*1000/Enrollment!AC12</f>
        <v>4702.0725388601031</v>
      </c>
      <c r="AE67" s="3">
        <f>+OperatingFunds!AE67*1000/Enrollment!AD12</f>
        <v>4730.2329962946678</v>
      </c>
      <c r="AF67" s="3">
        <f>+OperatingFunds!AF67*1000/Enrollment!AE12</f>
        <v>5055.9428474246843</v>
      </c>
      <c r="AG67" s="3">
        <f>+OperatingFunds!AG67*1000/Enrollment!AF12</f>
        <v>5812.5935125246278</v>
      </c>
      <c r="AH67" s="3">
        <f>+OperatingFunds!AH67*1000/Enrollment!AG12</f>
        <v>6893.010680907877</v>
      </c>
      <c r="AI67" s="3">
        <f>+OperatingFunds!AI67*1000/Enrollment!AH12</f>
        <v>8102.2932592077832</v>
      </c>
      <c r="AJ67" s="3">
        <f>+OperatingFunds!AJ67*1000/Enrollment!AI12</f>
        <v>9328.4123608157133</v>
      </c>
      <c r="AK67" s="3">
        <f>+OperatingFunds!AK67*1000/Enrollment!AJ12</f>
        <v>10238.30581358468</v>
      </c>
    </row>
    <row r="68" spans="2:37">
      <c r="B68" s="1" t="str">
        <f>+$B$11</f>
        <v>Central Washington University</v>
      </c>
      <c r="C68" s="3">
        <f>+OperatingFunds!C68*1000/Enrollment!B13</f>
        <v>4683.9736376788296</v>
      </c>
      <c r="D68" s="3">
        <f>+OperatingFunds!D68*1000/Enrollment!C13</f>
        <v>5180.7435059884892</v>
      </c>
      <c r="E68" s="3">
        <f>+OperatingFunds!E68*1000/Enrollment!D13</f>
        <v>5064.638783269962</v>
      </c>
      <c r="F68" s="3">
        <f>+OperatingFunds!F68*1000/Enrollment!E13</f>
        <v>5359.7449908925319</v>
      </c>
      <c r="G68" s="3">
        <f>+OperatingFunds!G68*1000/Enrollment!F13</f>
        <v>4355.634282599809</v>
      </c>
      <c r="H68" s="3">
        <f>+OperatingFunds!H68*1000/Enrollment!G13</f>
        <v>4416.052733617681</v>
      </c>
      <c r="I68" s="3">
        <f>+OperatingFunds!I68*1000/Enrollment!H13</f>
        <v>4584.0032702003</v>
      </c>
      <c r="J68" s="3">
        <f>+OperatingFunds!J68*1000/Enrollment!I13</f>
        <v>4880.1020408163267</v>
      </c>
      <c r="K68" s="3">
        <f>+OperatingFunds!K68*1000/Enrollment!J13</f>
        <v>4983.1415573989834</v>
      </c>
      <c r="L68" s="3">
        <f>+OperatingFunds!L68*1000/Enrollment!K13</f>
        <v>5241.3331548654796</v>
      </c>
      <c r="M68" s="3">
        <f>+OperatingFunds!M68*1000/Enrollment!L13</f>
        <v>5645.1917459466704</v>
      </c>
      <c r="N68" s="3">
        <f>+OperatingFunds!N68*1000/Enrollment!M13</f>
        <v>6082.3243378619463</v>
      </c>
      <c r="O68" s="3">
        <f>+OperatingFunds!O68*1000/Enrollment!N13</f>
        <v>5753.8488269030231</v>
      </c>
      <c r="P68" s="3">
        <f>+OperatingFunds!P68*1000/Enrollment!O13</f>
        <v>5131.9004293116204</v>
      </c>
      <c r="Q68" s="3">
        <f>+OperatingFunds!Q68*1000/Enrollment!P13</f>
        <v>4717.5500092410766</v>
      </c>
      <c r="R68" s="3">
        <f>+OperatingFunds!R68*1000/Enrollment!Q13</f>
        <v>4890.5625661226795</v>
      </c>
      <c r="S68" s="3">
        <f>+OperatingFunds!S68*1000/Enrollment!R13</f>
        <v>5030.6944904493757</v>
      </c>
      <c r="T68" s="3">
        <f>+OperatingFunds!T68*1000/Enrollment!S13</f>
        <v>5095.8560408518033</v>
      </c>
      <c r="U68" s="3">
        <f>+OperatingFunds!U68*1000/Enrollment!T13</f>
        <v>5340.2125962474101</v>
      </c>
      <c r="V68" s="3">
        <f>+OperatingFunds!V68*1000/Enrollment!U13</f>
        <v>4985.3440245242582</v>
      </c>
      <c r="W68" s="3">
        <f>+OperatingFunds!W68*1000/Enrollment!V13</f>
        <v>3131.4184653302937</v>
      </c>
      <c r="X68" s="3">
        <f>+OperatingFunds!X68*1000/Enrollment!W13</f>
        <v>3288.8763827818034</v>
      </c>
      <c r="Y68" s="3">
        <f>+OperatingFunds!Y68*1000/Enrollment!X13</f>
        <v>2428.0599943637862</v>
      </c>
      <c r="Z68" s="3">
        <f>+OperatingFunds!Z68*1000/Enrollment!Y13</f>
        <v>2333.9806701058415</v>
      </c>
      <c r="AA68" s="3">
        <f>+OperatingFunds!AA68*1000/Enrollment!Z13</f>
        <v>3199.6642128374019</v>
      </c>
      <c r="AB68" s="3">
        <f>+OperatingFunds!AB68*1000/Enrollment!AA13</f>
        <v>3214.3131973836089</v>
      </c>
      <c r="AC68" s="3">
        <f>+OperatingFunds!AC68*1000/Enrollment!AB13</f>
        <v>3936.1128072591982</v>
      </c>
      <c r="AD68" s="3">
        <f>+OperatingFunds!AD68*1000/Enrollment!AC13</f>
        <v>4915.2350464740466</v>
      </c>
      <c r="AE68" s="3">
        <f>+OperatingFunds!AE68*1000/Enrollment!AD13</f>
        <v>4858.786716463107</v>
      </c>
      <c r="AF68" s="3">
        <f>+OperatingFunds!AF68*1000/Enrollment!AE13</f>
        <v>5248.0372497705876</v>
      </c>
      <c r="AG68" s="3">
        <f>+OperatingFunds!AG68*1000/Enrollment!AF13</f>
        <v>5039.8627978121813</v>
      </c>
      <c r="AH68" s="3">
        <f>+OperatingFunds!AH68*1000/Enrollment!AG13</f>
        <v>5824.0405503258507</v>
      </c>
      <c r="AI68" s="3">
        <f>+OperatingFunds!AI68*1000/Enrollment!AH13</f>
        <v>6877.8314996002591</v>
      </c>
      <c r="AJ68" s="3">
        <f>+OperatingFunds!AJ68*1000/Enrollment!AI13</f>
        <v>8114.5120934111765</v>
      </c>
      <c r="AK68" s="3">
        <f>+OperatingFunds!AK68*1000/Enrollment!AJ13</f>
        <v>8911.2803566291495</v>
      </c>
    </row>
    <row r="69" spans="2:37">
      <c r="B69" s="1" t="str">
        <f>+$B$12</f>
        <v>The Evergreen State College</v>
      </c>
      <c r="C69" s="3">
        <f>+OperatingFunds!C69*1000/Enrollment!B14</f>
        <v>5982.5970548862115</v>
      </c>
      <c r="D69" s="3">
        <f>+OperatingFunds!D69*1000/Enrollment!C14</f>
        <v>6681.7740369051471</v>
      </c>
      <c r="E69" s="3">
        <f>+OperatingFunds!E69*1000/Enrollment!D14</f>
        <v>5805.1826412738055</v>
      </c>
      <c r="F69" s="3">
        <f>+OperatingFunds!F69*1000/Enrollment!E14</f>
        <v>6784.6106304079112</v>
      </c>
      <c r="G69" s="3">
        <f>+OperatingFunds!G69*1000/Enrollment!F14</f>
        <v>5437.5380865326024</v>
      </c>
      <c r="H69" s="3">
        <f>+OperatingFunds!H69*1000/Enrollment!G14</f>
        <v>5690.2576251110449</v>
      </c>
      <c r="I69" s="3">
        <f>+OperatingFunds!I69*1000/Enrollment!H14</f>
        <v>5454.9749040448778</v>
      </c>
      <c r="J69" s="3">
        <f>+OperatingFunds!J69*1000/Enrollment!I14</f>
        <v>5571.5104614502725</v>
      </c>
      <c r="K69" s="3">
        <f>+OperatingFunds!K69*1000/Enrollment!J14</f>
        <v>5496.5128755364804</v>
      </c>
      <c r="L69" s="3">
        <f>+OperatingFunds!L69*1000/Enrollment!K14</f>
        <v>5371.0099424385135</v>
      </c>
      <c r="M69" s="3">
        <f>+OperatingFunds!M69*1000/Enrollment!L14</f>
        <v>6055.8136326751419</v>
      </c>
      <c r="N69" s="3">
        <f>+OperatingFunds!N69*1000/Enrollment!M14</f>
        <v>6568.8573692551508</v>
      </c>
      <c r="O69" s="3">
        <f>+OperatingFunds!O69*1000/Enrollment!N14</f>
        <v>6339.1913195310553</v>
      </c>
      <c r="P69" s="3">
        <f>+OperatingFunds!P69*1000/Enrollment!O14</f>
        <v>6004.479773063641</v>
      </c>
      <c r="Q69" s="3">
        <f>+OperatingFunds!Q69*1000/Enrollment!P14</f>
        <v>5640.6928519151015</v>
      </c>
      <c r="R69" s="3">
        <f>+OperatingFunds!R69*1000/Enrollment!Q14</f>
        <v>5914.3094660194165</v>
      </c>
      <c r="S69" s="3">
        <f>+OperatingFunds!S69*1000/Enrollment!R14</f>
        <v>6208.6661825223919</v>
      </c>
      <c r="T69" s="3">
        <f>+OperatingFunds!T69*1000/Enrollment!S14</f>
        <v>6528.1298006806028</v>
      </c>
      <c r="U69" s="3">
        <f>+OperatingFunds!U69*1000/Enrollment!T14</f>
        <v>6968.360064341824</v>
      </c>
      <c r="V69" s="3">
        <f>+OperatingFunds!V69*1000/Enrollment!U14</f>
        <v>6257.8158381598578</v>
      </c>
      <c r="W69" s="3">
        <f>+OperatingFunds!W69*1000/Enrollment!V14</f>
        <v>4463.359072603017</v>
      </c>
      <c r="X69" s="3">
        <f>+OperatingFunds!X69*1000/Enrollment!W14</f>
        <v>3888.3531452861098</v>
      </c>
      <c r="Y69" s="3">
        <f>+OperatingFunds!Y69*1000/Enrollment!X14</f>
        <v>3430.1874042904215</v>
      </c>
      <c r="Z69" s="3">
        <f>+OperatingFunds!Z69*1000/Enrollment!Y14</f>
        <v>3482.6495235135303</v>
      </c>
      <c r="AA69" s="3">
        <f>+OperatingFunds!AA69*1000/Enrollment!Z14</f>
        <v>4427.7682600197859</v>
      </c>
      <c r="AB69" s="3">
        <f>+OperatingFunds!AB69*1000/Enrollment!AA14</f>
        <v>4299.9035038099355</v>
      </c>
      <c r="AC69" s="3">
        <f>+OperatingFunds!AC69*1000/Enrollment!AB14</f>
        <v>5587.0465628966531</v>
      </c>
      <c r="AD69" s="3">
        <f>+OperatingFunds!AD69*1000/Enrollment!AC14</f>
        <v>6564.6674826601393</v>
      </c>
      <c r="AE69" s="3">
        <f>+OperatingFunds!AE69*1000/Enrollment!AD14</f>
        <v>7333.3945796968301</v>
      </c>
      <c r="AF69" s="3">
        <f>+OperatingFunds!AF69*1000/Enrollment!AE14</f>
        <v>9062.8561913454305</v>
      </c>
      <c r="AG69" s="3">
        <f>+OperatingFunds!AG69*1000/Enrollment!AF14</f>
        <v>12051.063829787236</v>
      </c>
      <c r="AH69" s="3">
        <f>+OperatingFunds!AH69*1000/Enrollment!AG14</f>
        <v>17380.612436595904</v>
      </c>
      <c r="AI69" s="3">
        <f>+OperatingFunds!AI69*1000/Enrollment!AH14</f>
        <v>18262.442432432432</v>
      </c>
      <c r="AJ69" s="3">
        <f>+OperatingFunds!AJ69*1000/Enrollment!AI14</f>
        <v>19908.549144564811</v>
      </c>
      <c r="AK69" s="3">
        <f>+OperatingFunds!AK69*1000/Enrollment!AJ14</f>
        <v>17548.774962018684</v>
      </c>
    </row>
    <row r="70" spans="2:37">
      <c r="B70" s="1" t="str">
        <f>+$B$13</f>
        <v>Western Washington University</v>
      </c>
      <c r="C70" s="3">
        <f>+OperatingFunds!C70*1000/Enrollment!B15</f>
        <v>4495.7933404431806</v>
      </c>
      <c r="D70" s="3">
        <f>+OperatingFunds!D70*1000/Enrollment!C15</f>
        <v>4930.2485396861757</v>
      </c>
      <c r="E70" s="3">
        <f>+OperatingFunds!E70*1000/Enrollment!D15</f>
        <v>4691.9410264937369</v>
      </c>
      <c r="F70" s="3">
        <f>+OperatingFunds!F70*1000/Enrollment!E15</f>
        <v>4756.1509021323127</v>
      </c>
      <c r="G70" s="3">
        <f>+OperatingFunds!G70*1000/Enrollment!F15</f>
        <v>4443.6371407201623</v>
      </c>
      <c r="H70" s="3">
        <f>+OperatingFunds!H70*1000/Enrollment!G15</f>
        <v>4160.3326665964842</v>
      </c>
      <c r="I70" s="3">
        <f>+OperatingFunds!I70*1000/Enrollment!H15</f>
        <v>4400.393049234588</v>
      </c>
      <c r="J70" s="3">
        <f>+OperatingFunds!J70*1000/Enrollment!I15</f>
        <v>4529.3536271990515</v>
      </c>
      <c r="K70" s="3">
        <f>+OperatingFunds!K70*1000/Enrollment!J15</f>
        <v>4611.0468478889534</v>
      </c>
      <c r="L70" s="3">
        <f>+OperatingFunds!L70*1000/Enrollment!K15</f>
        <v>4621.5165876777255</v>
      </c>
      <c r="M70" s="3">
        <f>+OperatingFunds!M70*1000/Enrollment!L15</f>
        <v>4925.0373581772901</v>
      </c>
      <c r="N70" s="3">
        <f>+OperatingFunds!N70*1000/Enrollment!M15</f>
        <v>5091.4114481897623</v>
      </c>
      <c r="O70" s="3">
        <f>+OperatingFunds!O70*1000/Enrollment!N15</f>
        <v>5312.0628495339552</v>
      </c>
      <c r="P70" s="3">
        <f>+OperatingFunds!P70*1000/Enrollment!O15</f>
        <v>5094.9851498637609</v>
      </c>
      <c r="Q70" s="3">
        <f>+OperatingFunds!Q70*1000/Enrollment!P15</f>
        <v>4749.7120234680569</v>
      </c>
      <c r="R70" s="3">
        <f>+OperatingFunds!R70*1000/Enrollment!Q15</f>
        <v>4870.9622991547858</v>
      </c>
      <c r="S70" s="3">
        <f>+OperatingFunds!S70*1000/Enrollment!R15</f>
        <v>5016.0782645682684</v>
      </c>
      <c r="T70" s="3">
        <f>+OperatingFunds!T70*1000/Enrollment!S15</f>
        <v>5204.6425661914463</v>
      </c>
      <c r="U70" s="3">
        <f>+OperatingFunds!U70*1000/Enrollment!T15</f>
        <v>5500.1828754149046</v>
      </c>
      <c r="V70" s="3">
        <f>+OperatingFunds!V70*1000/Enrollment!U15</f>
        <v>5194.1234812528</v>
      </c>
      <c r="W70" s="3">
        <f>+OperatingFunds!W70*1000/Enrollment!V15</f>
        <v>3458.5445191616318</v>
      </c>
      <c r="X70" s="3">
        <f>+OperatingFunds!X70*1000/Enrollment!W15</f>
        <v>3665.1832513224094</v>
      </c>
      <c r="Y70" s="3">
        <f>+OperatingFunds!Y70*1000/Enrollment!X15</f>
        <v>2667.0620329735498</v>
      </c>
      <c r="Z70" s="3">
        <f>+OperatingFunds!Z70*1000/Enrollment!Y15</f>
        <v>2619.5967720457029</v>
      </c>
      <c r="AA70" s="3">
        <f>+OperatingFunds!AA70*1000/Enrollment!Z15</f>
        <v>3140.2425494040208</v>
      </c>
      <c r="AB70" s="3">
        <f>+OperatingFunds!AB70*1000/Enrollment!AA15</f>
        <v>3414.1881395896567</v>
      </c>
      <c r="AC70" s="3">
        <f>+OperatingFunds!AC70*1000/Enrollment!AB15</f>
        <v>4212.8750624556242</v>
      </c>
      <c r="AD70" s="3">
        <f>+OperatingFunds!AD70*1000/Enrollment!AC15</f>
        <v>5251.0726762588802</v>
      </c>
      <c r="AE70" s="3">
        <f>+OperatingFunds!AE70*1000/Enrollment!AD15</f>
        <v>5336.3200403836445</v>
      </c>
      <c r="AF70" s="3">
        <f>+OperatingFunds!AF70*1000/Enrollment!AE15</f>
        <v>5608.2561709137199</v>
      </c>
      <c r="AG70" s="3">
        <f>+OperatingFunds!AG70*1000/Enrollment!AF15</f>
        <v>5996.6458301570365</v>
      </c>
      <c r="AH70" s="3">
        <f>+OperatingFunds!AH70*1000/Enrollment!AG15</f>
        <v>6644.7678673062846</v>
      </c>
      <c r="AI70" s="3">
        <f>+OperatingFunds!AI70*1000/Enrollment!AH15</f>
        <v>6990.5995864920751</v>
      </c>
      <c r="AJ70" s="3">
        <f>+OperatingFunds!AJ70*1000/Enrollment!AI15</f>
        <v>7715.62526163034</v>
      </c>
      <c r="AK70" s="3">
        <f>+OperatingFunds!AK70*1000/Enrollment!AJ15</f>
        <v>8188.1449266657664</v>
      </c>
    </row>
    <row r="71" spans="2:37">
      <c r="B71" s="199" t="str">
        <f>+$B$14</f>
        <v>Total Four-Year Institutions</v>
      </c>
      <c r="C71" s="42">
        <f>+OperatingFunds!C71*1000/Enrollment!B16</f>
        <v>6949.5462539570872</v>
      </c>
      <c r="D71" s="42">
        <f>+OperatingFunds!D71*1000/Enrollment!C16</f>
        <v>7566.6289998070724</v>
      </c>
      <c r="E71" s="42">
        <f>+OperatingFunds!E71*1000/Enrollment!D16</f>
        <v>7379.5533539505732</v>
      </c>
      <c r="F71" s="42">
        <f>+OperatingFunds!F71*1000/Enrollment!E16</f>
        <v>7643.8821853752925</v>
      </c>
      <c r="G71" s="42">
        <f>+OperatingFunds!G71*1000/Enrollment!F16</f>
        <v>6940.0070626087181</v>
      </c>
      <c r="H71" s="42">
        <f>+OperatingFunds!H71*1000/Enrollment!G16</f>
        <v>6706.7088298433018</v>
      </c>
      <c r="I71" s="42">
        <f>+OperatingFunds!I71*1000/Enrollment!H16</f>
        <v>6941.2126256482488</v>
      </c>
      <c r="J71" s="42">
        <f>+OperatingFunds!J71*1000/Enrollment!I16</f>
        <v>7139.4603561599079</v>
      </c>
      <c r="K71" s="42">
        <f>+OperatingFunds!K71*1000/Enrollment!J16</f>
        <v>7447.0138699352401</v>
      </c>
      <c r="L71" s="42">
        <f>+OperatingFunds!L71*1000/Enrollment!K16</f>
        <v>7499.9573123879454</v>
      </c>
      <c r="M71" s="42">
        <f>+OperatingFunds!M71*1000/Enrollment!L16</f>
        <v>7966.5823101269643</v>
      </c>
      <c r="N71" s="42">
        <f>+OperatingFunds!N71*1000/Enrollment!M16</f>
        <v>8296.1098593691058</v>
      </c>
      <c r="O71" s="42">
        <f>+OperatingFunds!O71*1000/Enrollment!N16</f>
        <v>8204.4376278007021</v>
      </c>
      <c r="P71" s="42">
        <f>+OperatingFunds!P71*1000/Enrollment!O16</f>
        <v>7772.8271944230291</v>
      </c>
      <c r="Q71" s="42">
        <f>+OperatingFunds!Q71*1000/Enrollment!P16</f>
        <v>7323.0837613100193</v>
      </c>
      <c r="R71" s="42">
        <f>+OperatingFunds!R71*1000/Enrollment!Q16</f>
        <v>7568.7990331443334</v>
      </c>
      <c r="S71" s="42">
        <f>+OperatingFunds!S71*1000/Enrollment!R16</f>
        <v>7866.2603451966243</v>
      </c>
      <c r="T71" s="42">
        <f>+OperatingFunds!T71*1000/Enrollment!S16</f>
        <v>8103.9313825299569</v>
      </c>
      <c r="U71" s="42">
        <f>+OperatingFunds!U71*1000/Enrollment!T16</f>
        <v>8471.0039616570321</v>
      </c>
      <c r="V71" s="42">
        <f>+OperatingFunds!V71*1000/Enrollment!U16</f>
        <v>7788.4005489637739</v>
      </c>
      <c r="W71" s="42">
        <f>+OperatingFunds!W71*1000/Enrollment!V16</f>
        <v>5611.3585646932988</v>
      </c>
      <c r="X71" s="42">
        <f>+OperatingFunds!X71*1000/Enrollment!W16</f>
        <v>5444.3257778050338</v>
      </c>
      <c r="Y71" s="42">
        <f>+OperatingFunds!Y71*1000/Enrollment!X16</f>
        <v>4150.3327560955076</v>
      </c>
      <c r="Z71" s="42">
        <f>+OperatingFunds!Z71*1000/Enrollment!Y16</f>
        <v>4100.85866534456</v>
      </c>
      <c r="AA71" s="42">
        <f>+OperatingFunds!AA71*1000/Enrollment!Z16</f>
        <v>4930.2566156383209</v>
      </c>
      <c r="AB71" s="42">
        <f>+OperatingFunds!AB71*1000/Enrollment!AA16</f>
        <v>4740.2534879444038</v>
      </c>
      <c r="AC71" s="42">
        <f>+OperatingFunds!AC71*1000/Enrollment!AB16</f>
        <v>5572.281394838551</v>
      </c>
      <c r="AD71" s="42">
        <f>+OperatingFunds!AD71*1000/Enrollment!AC16</f>
        <v>6414.4467502711195</v>
      </c>
      <c r="AE71" s="42">
        <f>+OperatingFunds!AE71*1000/Enrollment!AD16</f>
        <v>6243.5801478561752</v>
      </c>
      <c r="AF71" s="42">
        <f>+OperatingFunds!AF71*1000/Enrollment!AE16</f>
        <v>6540.4473582648716</v>
      </c>
      <c r="AG71" s="42">
        <f>+OperatingFunds!AG71*1000/Enrollment!AF16</f>
        <v>6882.8139927588563</v>
      </c>
      <c r="AH71" s="42">
        <f>+OperatingFunds!AH71*1000/Enrollment!AG16</f>
        <v>7445.3707977762269</v>
      </c>
      <c r="AI71" s="42">
        <f>+OperatingFunds!AI71*1000/Enrollment!AH16</f>
        <v>8375.3832748768091</v>
      </c>
      <c r="AJ71" s="42">
        <f>+OperatingFunds!AJ71*1000/Enrollment!AI16</f>
        <v>9386.1519864777529</v>
      </c>
      <c r="AK71" s="42">
        <f>+OperatingFunds!AK71*1000/Enrollment!AJ16</f>
        <v>10353.553548446866</v>
      </c>
    </row>
    <row r="72" spans="2:37">
      <c r="Z72" s="1"/>
      <c r="AA72" s="1"/>
      <c r="AB72" s="1"/>
    </row>
    <row r="73" spans="2:37">
      <c r="B73" s="1" t="str">
        <f>+$B$16</f>
        <v>Community/Technical College System</v>
      </c>
      <c r="C73" s="3">
        <f>+OperatingFunds!C73*1000/Enrollment!B18</f>
        <v>3022.6622595546391</v>
      </c>
      <c r="D73" s="3">
        <f>+OperatingFunds!D73*1000/Enrollment!C18</f>
        <v>3290.5106294081952</v>
      </c>
      <c r="E73" s="3">
        <f>+OperatingFunds!E73*1000/Enrollment!D18</f>
        <v>3224.2101730667819</v>
      </c>
      <c r="F73" s="3">
        <f>+OperatingFunds!F73*1000/Enrollment!E18</f>
        <v>3342.2023059328758</v>
      </c>
      <c r="G73" s="3">
        <f>+OperatingFunds!G73*1000/Enrollment!F18</f>
        <v>3023.6231818795877</v>
      </c>
      <c r="H73" s="3">
        <f>+OperatingFunds!H73*1000/Enrollment!G18</f>
        <v>3156.3168410953358</v>
      </c>
      <c r="I73" s="3">
        <f>+OperatingFunds!I73*1000/Enrollment!H18</f>
        <v>2932.4497141647257</v>
      </c>
      <c r="J73" s="3">
        <f>+OperatingFunds!J73*1000/Enrollment!I18</f>
        <v>3040.7237912231467</v>
      </c>
      <c r="K73" s="3">
        <f>+OperatingFunds!K73*1000/Enrollment!J18</f>
        <v>3223.0570277718889</v>
      </c>
      <c r="L73" s="3">
        <f>+OperatingFunds!L73*1000/Enrollment!K18</f>
        <v>3465.2520156304099</v>
      </c>
      <c r="M73" s="3">
        <f>+OperatingFunds!M73*1000/Enrollment!L18</f>
        <v>3639.676849461764</v>
      </c>
      <c r="N73" s="3">
        <f>+OperatingFunds!N73*1000/Enrollment!M18</f>
        <v>3851.3686482477574</v>
      </c>
      <c r="O73" s="3">
        <f>+OperatingFunds!O73*1000/Enrollment!N18</f>
        <v>3844.030749690211</v>
      </c>
      <c r="P73" s="3">
        <f>+OperatingFunds!P73*1000/Enrollment!O18</f>
        <v>3822.1111597604349</v>
      </c>
      <c r="Q73" s="3">
        <f>+OperatingFunds!Q73*1000/Enrollment!P18</f>
        <v>3684.7420388307378</v>
      </c>
      <c r="R73" s="3">
        <f>+OperatingFunds!R73*1000/Enrollment!Q18</f>
        <v>3986.0538438196349</v>
      </c>
      <c r="S73" s="3">
        <f>+OperatingFunds!S73*1000/Enrollment!R18</f>
        <v>4264.4919690223242</v>
      </c>
      <c r="T73" s="3">
        <f>+OperatingFunds!T73*1000/Enrollment!S18</f>
        <v>4416.1424980925112</v>
      </c>
      <c r="U73" s="3">
        <f>+OperatingFunds!U73*1000/Enrollment!T18</f>
        <v>4508.4977101353888</v>
      </c>
      <c r="V73" s="3">
        <f>+OperatingFunds!V73*1000/Enrollment!U18</f>
        <v>4260.1414069457896</v>
      </c>
      <c r="W73" s="3">
        <f>+OperatingFunds!W73*1000/Enrollment!V18</f>
        <v>3927.3080623734245</v>
      </c>
      <c r="X73" s="3">
        <f>+OperatingFunds!X73*1000/Enrollment!W18</f>
        <v>3717.2009883061014</v>
      </c>
      <c r="Y73" s="3">
        <f>+OperatingFunds!Y73*1000/Enrollment!X18</f>
        <v>3465.0847785542314</v>
      </c>
      <c r="Z73" s="3">
        <f>+OperatingFunds!Z73*1000/Enrollment!Y18</f>
        <v>3498.220010547147</v>
      </c>
      <c r="AA73" s="3">
        <f>+OperatingFunds!AA73*1000/Enrollment!Z18</f>
        <v>3972.2259216309799</v>
      </c>
      <c r="AB73" s="3">
        <f>+OperatingFunds!AB73*1000/Enrollment!AA18</f>
        <v>4041.5060243751732</v>
      </c>
      <c r="AC73" s="3">
        <f>+OperatingFunds!AC73*1000/Enrollment!AB18</f>
        <v>4599.9140373628361</v>
      </c>
      <c r="AD73" s="3">
        <f>+OperatingFunds!AD73*1000/Enrollment!AC18</f>
        <v>5089.3425579527038</v>
      </c>
      <c r="AE73" s="3">
        <f>+OperatingFunds!AE73*1000/Enrollment!AD18</f>
        <v>4892.729112826908</v>
      </c>
      <c r="AF73" s="3">
        <f>+OperatingFunds!AF73*1000/Enrollment!AE18</f>
        <v>5140.6238359154977</v>
      </c>
      <c r="AG73" s="3">
        <f>+OperatingFunds!AG73*1000/Enrollment!AF18</f>
        <v>5745.5837170326877</v>
      </c>
      <c r="AH73" s="3">
        <f>+OperatingFunds!AH73*1000/Enrollment!AG18</f>
        <v>6708.1367975393696</v>
      </c>
      <c r="AI73" s="3">
        <f>+OperatingFunds!AI73*1000/Enrollment!AH18</f>
        <v>7011.0487030190361</v>
      </c>
      <c r="AJ73" s="3">
        <f>+OperatingFunds!AJ73*1000/Enrollment!AI18</f>
        <v>7904.2493843726852</v>
      </c>
      <c r="AK73" s="3">
        <f>+OperatingFunds!AK73*1000/Enrollment!AJ18</f>
        <v>9010.0391911149145</v>
      </c>
    </row>
    <row r="74" spans="2:37">
      <c r="B74" s="1" t="str">
        <f>+$B$17</f>
        <v>HEC Board, CHE, SFA, &amp; SAC (1)</v>
      </c>
      <c r="C74" s="3">
        <f>+OperatingFunds!C74*1000/Enrollment!B21</f>
        <v>173.74092679081915</v>
      </c>
      <c r="D74" s="3">
        <f>+OperatingFunds!D74*1000/Enrollment!C21</f>
        <v>196.43651531870887</v>
      </c>
      <c r="E74" s="3">
        <f>+OperatingFunds!E74*1000/Enrollment!D21</f>
        <v>219.97147254655442</v>
      </c>
      <c r="F74" s="3">
        <f>+OperatingFunds!F74*1000/Enrollment!E21</f>
        <v>218.58353944374977</v>
      </c>
      <c r="G74" s="3">
        <f>+OperatingFunds!G74*1000/Enrollment!F21</f>
        <v>339.44019541958676</v>
      </c>
      <c r="H74" s="3">
        <f>+OperatingFunds!H74*1000/Enrollment!G21</f>
        <v>364.82899865205172</v>
      </c>
      <c r="I74" s="3">
        <f>+OperatingFunds!I74*1000/Enrollment!H21</f>
        <v>371.48901463016773</v>
      </c>
      <c r="J74" s="3">
        <f>+OperatingFunds!J74*1000/Enrollment!I21</f>
        <v>394.57381548147549</v>
      </c>
      <c r="K74" s="3">
        <f>+OperatingFunds!K74*1000/Enrollment!J21</f>
        <v>458.60847928031393</v>
      </c>
      <c r="L74" s="3">
        <f>+OperatingFunds!L74*1000/Enrollment!K21</f>
        <v>491.94020453237448</v>
      </c>
      <c r="M74" s="3">
        <f>+OperatingFunds!M74*1000/Enrollment!L21</f>
        <v>513.25520273195139</v>
      </c>
      <c r="N74" s="3">
        <f>+OperatingFunds!N74*1000/Enrollment!M21</f>
        <v>584.73047063520028</v>
      </c>
      <c r="O74" s="3">
        <f>+OperatingFunds!O74*1000/Enrollment!N21</f>
        <v>567.12879629254132</v>
      </c>
      <c r="P74" s="3">
        <f>+OperatingFunds!P74*1000/Enrollment!O21</f>
        <v>602.49407399330028</v>
      </c>
      <c r="Q74" s="3">
        <f>+OperatingFunds!Q74*1000/Enrollment!P21</f>
        <v>645.5211418385046</v>
      </c>
      <c r="R74" s="3">
        <f>+OperatingFunds!R74*1000/Enrollment!Q21</f>
        <v>743.6170314161734</v>
      </c>
      <c r="S74" s="3">
        <f>+OperatingFunds!S74*1000/Enrollment!R21</f>
        <v>728.56129008916685</v>
      </c>
      <c r="T74" s="3">
        <f>+OperatingFunds!T74*1000/Enrollment!S21</f>
        <v>753.95073472313754</v>
      </c>
      <c r="U74" s="3">
        <f>+OperatingFunds!U74*1000/Enrollment!T21</f>
        <v>736.22794083189297</v>
      </c>
      <c r="V74" s="3">
        <f>+OperatingFunds!V74*1000/Enrollment!U21</f>
        <v>791.87079080146145</v>
      </c>
      <c r="W74" s="3">
        <f>+OperatingFunds!W74*1000/Enrollment!V21</f>
        <v>743.42205394398252</v>
      </c>
      <c r="X74" s="3">
        <f>+OperatingFunds!X74*1000/Enrollment!W21</f>
        <v>707.68212586041693</v>
      </c>
      <c r="Y74" s="3">
        <f>+OperatingFunds!Y74*1000/Enrollment!X21</f>
        <v>848.2360321461382</v>
      </c>
      <c r="Z74" s="3">
        <f>+OperatingFunds!Z74*1000/Enrollment!Y21</f>
        <v>858.94536526143474</v>
      </c>
      <c r="AA74" s="3">
        <f>+OperatingFunds!AA74*1000/Enrollment!Z21</f>
        <v>1004.2344844597301</v>
      </c>
      <c r="AB74" s="3">
        <f>+OperatingFunds!AB74*1000/Enrollment!AA21</f>
        <v>1033.2492089848436</v>
      </c>
      <c r="AC74" s="3">
        <f>+OperatingFunds!AC74*1000/Enrollment!AB21</f>
        <v>1105.8409280171782</v>
      </c>
      <c r="AD74" s="3">
        <f>+OperatingFunds!AD74*1000/Enrollment!AC21</f>
        <v>992.9953107367088</v>
      </c>
      <c r="AE74" s="3">
        <f>+OperatingFunds!AE74*1000/Enrollment!AD21</f>
        <v>1007.7086304943057</v>
      </c>
      <c r="AF74" s="3">
        <f>+OperatingFunds!AF74*1000/Enrollment!AE21</f>
        <v>1130.7171127194129</v>
      </c>
      <c r="AG74" s="3">
        <f>+OperatingFunds!AG74*1000/Enrollment!AF21</f>
        <v>1209.4398784588652</v>
      </c>
      <c r="AH74" s="3">
        <f>+OperatingFunds!AH74*1000/Enrollment!AG21</f>
        <v>1393.8250176892896</v>
      </c>
      <c r="AI74" s="3">
        <f>+OperatingFunds!AI74*1000/Enrollment!AH21</f>
        <v>1338.9665289955367</v>
      </c>
      <c r="AJ74" s="3">
        <f>+OperatingFunds!AJ74*1000/Enrollment!AI21</f>
        <v>1193.9768475073554</v>
      </c>
      <c r="AK74" s="3">
        <f>+OperatingFunds!AK74*1000/Enrollment!AJ21</f>
        <v>1552.5506252986656</v>
      </c>
    </row>
    <row r="75" spans="2:37" ht="13.5" thickBot="1">
      <c r="C75" s="3"/>
      <c r="D75" s="3"/>
      <c r="E75" s="3"/>
      <c r="F75" s="3"/>
      <c r="G75" s="3"/>
      <c r="H75" s="3"/>
      <c r="I75" s="3"/>
      <c r="J75" s="3"/>
      <c r="K75" s="3"/>
      <c r="L75" s="3"/>
      <c r="M75" s="3"/>
      <c r="N75" s="3"/>
      <c r="O75" s="3"/>
      <c r="P75" s="3"/>
      <c r="Q75" s="3"/>
      <c r="R75" s="3"/>
      <c r="S75" s="3"/>
      <c r="T75" s="3"/>
      <c r="U75" s="3"/>
      <c r="V75" s="3"/>
      <c r="W75" s="3"/>
      <c r="X75" s="3"/>
      <c r="Z75" s="3"/>
      <c r="AA75" s="3"/>
      <c r="AB75" s="3"/>
      <c r="AC75" s="3"/>
      <c r="AD75" s="3"/>
      <c r="AE75" s="3"/>
      <c r="AF75" s="3"/>
      <c r="AG75" s="3"/>
      <c r="AH75" s="3"/>
      <c r="AI75" s="3"/>
      <c r="AJ75" s="3"/>
      <c r="AK75" s="3"/>
    </row>
    <row r="76" spans="2:37" ht="13.5" thickTop="1">
      <c r="B76" s="1" t="str">
        <f>+$B$19</f>
        <v>Total Higher Education</v>
      </c>
      <c r="C76" s="39">
        <f>+OperatingFunds!C76*1000/Enrollment!B21</f>
        <v>4838.1292424973235</v>
      </c>
      <c r="D76" s="39">
        <f>+OperatingFunds!D76*1000/Enrollment!C21</f>
        <v>5279.6711518351831</v>
      </c>
      <c r="E76" s="39">
        <f>+OperatingFunds!E76*1000/Enrollment!D21</f>
        <v>5156.1906265327871</v>
      </c>
      <c r="F76" s="39">
        <f>+OperatingFunds!F76*1000/Enrollment!E21</f>
        <v>5324.2810005673773</v>
      </c>
      <c r="G76" s="39">
        <f>+OperatingFunds!G76*1000/Enrollment!F21</f>
        <v>4960.1427245671857</v>
      </c>
      <c r="H76" s="39">
        <f>+OperatingFunds!H76*1000/Enrollment!G21</f>
        <v>4964.159204188044</v>
      </c>
      <c r="I76" s="39">
        <f>+OperatingFunds!I76*1000/Enrollment!H21</f>
        <v>4899.8215833205895</v>
      </c>
      <c r="J76" s="39">
        <f>+OperatingFunds!J76*1000/Enrollment!I21</f>
        <v>5080.6108241181691</v>
      </c>
      <c r="K76" s="39">
        <f>+OperatingFunds!K76*1000/Enrollment!J21</f>
        <v>5396.6433453717555</v>
      </c>
      <c r="L76" s="39">
        <f>+OperatingFunds!L76*1000/Enrollment!K21</f>
        <v>5584.4470788467879</v>
      </c>
      <c r="M76" s="39">
        <f>+OperatingFunds!M76*1000/Enrollment!L21</f>
        <v>5875.6818339666206</v>
      </c>
      <c r="N76" s="39">
        <f>+OperatingFunds!N76*1000/Enrollment!M21</f>
        <v>6206.9399615357524</v>
      </c>
      <c r="O76" s="39">
        <f>+OperatingFunds!O76*1000/Enrollment!N21</f>
        <v>6139.537432174865</v>
      </c>
      <c r="P76" s="39">
        <f>+OperatingFunds!P76*1000/Enrollment!O21</f>
        <v>5967.0739291384607</v>
      </c>
      <c r="Q76" s="39">
        <f>+OperatingFunds!Q76*1000/Enrollment!P21</f>
        <v>5765.6581186163048</v>
      </c>
      <c r="R76" s="39">
        <f>+OperatingFunds!R76*1000/Enrollment!Q21</f>
        <v>6198.4473676558346</v>
      </c>
      <c r="S76" s="39">
        <f>+OperatingFunds!S76*1000/Enrollment!R21</f>
        <v>6475.352597436452</v>
      </c>
      <c r="T76" s="39">
        <f>+OperatingFunds!T76*1000/Enrollment!S21</f>
        <v>6684.2856739897052</v>
      </c>
      <c r="U76" s="39">
        <f>+OperatingFunds!U76*1000/Enrollment!T21</f>
        <v>6860.784316913423</v>
      </c>
      <c r="V76" s="39">
        <f>+OperatingFunds!V76*1000/Enrollment!U21</f>
        <v>6460.0965607913322</v>
      </c>
      <c r="W76" s="39">
        <f>+OperatingFunds!W76*1000/Enrollment!V21</f>
        <v>5321.1255253709105</v>
      </c>
      <c r="X76" s="39">
        <f>+OperatingFunds!X76*1000/Enrollment!W21</f>
        <v>5096.2036869469666</v>
      </c>
      <c r="Y76" s="39">
        <f>+OperatingFunds!Y76*1000/Enrollment!X112</f>
        <v>5104.593050175753</v>
      </c>
      <c r="Z76" s="39">
        <f>+OperatingFunds!Z76*1000/Enrollment!Y21</f>
        <v>4607.9613783589248</v>
      </c>
      <c r="AA76" s="39">
        <f>+OperatingFunds!AA76*1000/Enrollment!Z21</f>
        <v>5383.9027515788803</v>
      </c>
      <c r="AB76" s="39">
        <f>+OperatingFunds!AB76*1000/Enrollment!AA21</f>
        <v>5380.5186445435329</v>
      </c>
      <c r="AC76" s="39">
        <f>+OperatingFunds!AC76*1000/Enrollment!AB21</f>
        <v>6140.8040492446034</v>
      </c>
      <c r="AD76" s="39">
        <f>+OperatingFunds!AD76*1000/Enrollment!AC21</f>
        <v>6690.4487152564825</v>
      </c>
      <c r="AE76" s="39">
        <f>+OperatingFunds!AE76*1000/Enrollment!AD21</f>
        <v>6532.7887860624423</v>
      </c>
      <c r="AF76" s="39">
        <f>+OperatingFunds!AF76*1000/Enrollment!AE21</f>
        <v>6941.819992981872</v>
      </c>
      <c r="AG76" s="39">
        <f>+OperatingFunds!AG76*1000/Enrollment!AF21</f>
        <v>7513.006783914384</v>
      </c>
      <c r="AH76" s="39">
        <f>+OperatingFunds!AH76*1000/Enrollment!AG21</f>
        <v>8477.2225160191574</v>
      </c>
      <c r="AI76" s="39">
        <f>+OperatingFunds!AI76*1000/Enrollment!AH21</f>
        <v>9027.0101873091353</v>
      </c>
      <c r="AJ76" s="39">
        <f>+OperatingFunds!AJ76*1000/Enrollment!AI21</f>
        <v>9825.4170036056476</v>
      </c>
      <c r="AK76" s="39">
        <f>+OperatingFunds!AK76*1000/Enrollment!AJ21</f>
        <v>11241.67608920053</v>
      </c>
    </row>
    <row r="77" spans="2:37">
      <c r="B77" s="199" t="str">
        <f>+$B$20</f>
        <v>[biennial annual average]</v>
      </c>
      <c r="D77" s="3">
        <f>AVERAGE(C76:D76)</f>
        <v>5058.9001971662528</v>
      </c>
      <c r="E77" s="3"/>
      <c r="F77" s="3">
        <f>AVERAGE(E76:F76)</f>
        <v>5240.2358135500817</v>
      </c>
      <c r="G77" s="3"/>
      <c r="H77" s="3">
        <f>AVERAGE(G76:H76)</f>
        <v>4962.1509643776153</v>
      </c>
      <c r="I77" s="3"/>
      <c r="J77" s="3">
        <f>AVERAGE(I76:J76)</f>
        <v>4990.2162037193793</v>
      </c>
      <c r="K77" s="3"/>
      <c r="L77" s="3">
        <f>AVERAGE(K76:L76)</f>
        <v>5490.5452121092712</v>
      </c>
      <c r="M77" s="3"/>
      <c r="N77" s="3">
        <f>AVERAGE(M76:N76)</f>
        <v>6041.3108977511865</v>
      </c>
      <c r="O77" s="3"/>
      <c r="P77" s="3">
        <f>AVERAGE(O76:P76)</f>
        <v>6053.3056806566628</v>
      </c>
      <c r="Q77" s="3"/>
      <c r="R77" s="3">
        <f>AVERAGE(Q76:R76)</f>
        <v>5982.0527431360697</v>
      </c>
      <c r="S77" s="3"/>
      <c r="T77" s="3">
        <f>AVERAGE(S76:T76)</f>
        <v>6579.8191357130781</v>
      </c>
      <c r="U77" s="3"/>
      <c r="V77" s="3">
        <f>AVERAGE(U76:V76)</f>
        <v>6660.4404388523781</v>
      </c>
      <c r="W77" s="3"/>
      <c r="X77" s="3">
        <f>AVERAGE(W76:X76)</f>
        <v>5208.6646061589381</v>
      </c>
      <c r="Z77" s="3">
        <f>AVERAGE(Y76:Z76)</f>
        <v>4856.2772142673384</v>
      </c>
      <c r="AA77" s="3"/>
      <c r="AB77" s="3">
        <f>AVERAGE(AA76:AB76)</f>
        <v>5382.2106980612061</v>
      </c>
      <c r="AC77" s="3"/>
      <c r="AD77" s="3">
        <f>AVERAGE(AC76:AD76)</f>
        <v>6415.6263822505425</v>
      </c>
      <c r="AE77" s="3"/>
      <c r="AF77" s="3">
        <f>AVERAGE(AE76:AF76)</f>
        <v>6737.3043895221572</v>
      </c>
      <c r="AG77" s="3"/>
      <c r="AH77" s="3">
        <f t="shared" ref="AH77:AK77" si="86">AVERAGE(AG76:AH76)</f>
        <v>7995.1146499667702</v>
      </c>
      <c r="AI77" s="3"/>
      <c r="AJ77" s="3">
        <f t="shared" si="86"/>
        <v>9426.2135954573914</v>
      </c>
      <c r="AK77" s="3"/>
    </row>
    <row r="78" spans="2:37">
      <c r="B78" s="199"/>
      <c r="D78" s="3"/>
      <c r="F78" s="3"/>
      <c r="H78" s="3"/>
      <c r="J78" s="3"/>
      <c r="L78" s="3"/>
      <c r="N78" s="3"/>
      <c r="P78" s="3"/>
      <c r="R78" s="3"/>
      <c r="T78" s="3"/>
      <c r="V78" s="3"/>
      <c r="AC78"/>
      <c r="AD78"/>
      <c r="AE78"/>
      <c r="AF78"/>
      <c r="AG78"/>
    </row>
    <row r="79" spans="2:37" ht="15.75" hidden="1">
      <c r="B79" s="376"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2:37" hidden="1">
      <c r="B80" s="377" t="str">
        <f>+B4</f>
        <v>(Dollars Per Actual State-Funded FTE Enrollment)</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row>
    <row r="81" spans="2:37" hidden="1">
      <c r="I81" s="13"/>
      <c r="J81" s="13"/>
      <c r="K81" s="13"/>
      <c r="L81" s="13"/>
      <c r="M81" s="13"/>
      <c r="N81" s="13"/>
      <c r="O81" s="13"/>
      <c r="P81" s="13"/>
      <c r="Q81"/>
      <c r="R81" s="13"/>
      <c r="S81"/>
      <c r="T81"/>
      <c r="U81" s="2" t="str">
        <f>IF(ISBLANK(OperatingFunds!U81),"",OperatingFunds!U81)</f>
        <v/>
      </c>
      <c r="V81" s="2" t="str">
        <f>IF(ISBLANK(OperatingFunds!V81),"",OperatingFunds!V81)</f>
        <v/>
      </c>
      <c r="W81" s="2" t="str">
        <f>+W5</f>
        <v/>
      </c>
      <c r="X81" s="2" t="str">
        <f>IF(ISBLANK(OperatingFunds!X5),"",OperatingFunds!X5)</f>
        <v/>
      </c>
      <c r="Y81"/>
      <c r="AC81"/>
      <c r="AD81"/>
      <c r="AE81"/>
      <c r="AF81"/>
      <c r="AG81" s="2"/>
      <c r="AH81" s="2"/>
      <c r="AI81" s="2"/>
      <c r="AJ81" s="2"/>
      <c r="AK81" s="2"/>
    </row>
    <row r="82" spans="2:37" hidden="1">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+OperatingFunds!U82</f>
        <v>FY2008</v>
      </c>
      <c r="V82" s="2" t="str">
        <f>+OperatingFunds!V82</f>
        <v>FY2009</v>
      </c>
      <c r="W82" s="2" t="str">
        <f>+W6</f>
        <v>FY2010</v>
      </c>
      <c r="X82" s="2" t="str">
        <f>IF(ISBLANK(OperatingFunds!X6),"",OperatingFunds!X6)</f>
        <v>FY2011</v>
      </c>
      <c r="Y82"/>
      <c r="AC82"/>
      <c r="AD82"/>
      <c r="AE82"/>
      <c r="AF82"/>
      <c r="AG82" s="2"/>
      <c r="AH82" s="2"/>
      <c r="AI82" s="2"/>
      <c r="AJ82" s="2"/>
      <c r="AK82" s="2"/>
    </row>
    <row r="83" spans="2:37" hidden="1">
      <c r="Y83"/>
      <c r="AC83"/>
      <c r="AD83"/>
      <c r="AE83"/>
      <c r="AF83"/>
      <c r="AG83"/>
    </row>
    <row r="84" spans="2:37" hidden="1">
      <c r="B84" s="1" t="str">
        <f>+$B$8</f>
        <v>University of Washington</v>
      </c>
      <c r="C84"/>
      <c r="D84"/>
      <c r="E84"/>
      <c r="F84"/>
      <c r="G84"/>
      <c r="H84"/>
      <c r="I84"/>
      <c r="J84"/>
      <c r="K84"/>
      <c r="L84"/>
      <c r="M84"/>
      <c r="N84"/>
      <c r="O84"/>
      <c r="P84"/>
      <c r="Q84" s="3"/>
      <c r="R84" s="3"/>
      <c r="S84" s="3"/>
      <c r="T84" s="3"/>
      <c r="U84" s="3"/>
      <c r="V84" s="3"/>
      <c r="W84" s="3">
        <f>+OperatingFunds!W84*1000/Enrollment!V10</f>
        <v>1073.968279943482</v>
      </c>
      <c r="X84" s="3"/>
      <c r="Y84"/>
      <c r="AC84"/>
      <c r="AD84"/>
      <c r="AE84"/>
      <c r="AF84"/>
      <c r="AG84"/>
    </row>
    <row r="85" spans="2:37" hidden="1">
      <c r="B85" s="1" t="str">
        <f>+$B$9</f>
        <v>Washington State University</v>
      </c>
      <c r="C85"/>
      <c r="D85"/>
      <c r="E85"/>
      <c r="F85"/>
      <c r="G85"/>
      <c r="H85"/>
      <c r="I85"/>
      <c r="J85"/>
      <c r="K85"/>
      <c r="L85"/>
      <c r="M85"/>
      <c r="N85"/>
      <c r="O85"/>
      <c r="P85"/>
      <c r="Q85" s="3"/>
      <c r="R85" s="3"/>
      <c r="S85" s="3"/>
      <c r="T85" s="3"/>
      <c r="U85" s="3"/>
      <c r="V85" s="3"/>
      <c r="W85" s="3">
        <f>+OperatingFunds!W85*1000/Enrollment!V11</f>
        <v>657.37565734439738</v>
      </c>
      <c r="X85" s="3"/>
      <c r="Y85"/>
      <c r="AC85"/>
      <c r="AD85"/>
      <c r="AE85"/>
      <c r="AF85"/>
      <c r="AG85"/>
    </row>
    <row r="86" spans="2:37" hidden="1">
      <c r="B86" s="1" t="str">
        <f>+$B$10</f>
        <v>Eastern Washington University</v>
      </c>
      <c r="C86"/>
      <c r="D86"/>
      <c r="E86"/>
      <c r="F86"/>
      <c r="G86"/>
      <c r="H86"/>
      <c r="I86"/>
      <c r="J86"/>
      <c r="K86"/>
      <c r="L86"/>
      <c r="M86"/>
      <c r="N86"/>
      <c r="O86"/>
      <c r="P86"/>
      <c r="Q86" s="3"/>
      <c r="R86" s="3"/>
      <c r="S86" s="3"/>
      <c r="T86" s="3"/>
      <c r="U86" s="3"/>
      <c r="V86" s="3"/>
      <c r="W86" s="3">
        <f>+OperatingFunds!W86*1000/Enrollment!V12</f>
        <v>582.13247572515309</v>
      </c>
      <c r="X86" s="3"/>
      <c r="Y86"/>
      <c r="AC86"/>
      <c r="AD86"/>
      <c r="AE86"/>
      <c r="AF86"/>
      <c r="AG86"/>
    </row>
    <row r="87" spans="2:37" hidden="1">
      <c r="B87" s="1" t="str">
        <f>+$B$11</f>
        <v>Central Washington University</v>
      </c>
      <c r="C87"/>
      <c r="D87"/>
      <c r="E87"/>
      <c r="F87"/>
      <c r="G87"/>
      <c r="H87"/>
      <c r="I87"/>
      <c r="J87"/>
      <c r="K87"/>
      <c r="L87"/>
      <c r="M87"/>
      <c r="N87"/>
      <c r="O87"/>
      <c r="P87"/>
      <c r="Q87" s="3"/>
      <c r="R87" s="3"/>
      <c r="S87" s="3"/>
      <c r="T87" s="3"/>
      <c r="U87" s="3"/>
      <c r="V87" s="3"/>
      <c r="W87" s="3">
        <f>+OperatingFunds!W87*1000/Enrollment!V13</f>
        <v>721.10811831618071</v>
      </c>
      <c r="X87" s="3"/>
      <c r="Y87"/>
      <c r="AC87"/>
      <c r="AD87"/>
      <c r="AE87"/>
      <c r="AF87"/>
      <c r="AG87"/>
    </row>
    <row r="88" spans="2:37" hidden="1">
      <c r="B88" s="1" t="str">
        <f>+$B$12</f>
        <v>The Evergreen State College</v>
      </c>
      <c r="C88"/>
      <c r="D88"/>
      <c r="E88"/>
      <c r="F88"/>
      <c r="G88"/>
      <c r="H88"/>
      <c r="I88"/>
      <c r="J88"/>
      <c r="K88"/>
      <c r="L88"/>
      <c r="M88"/>
      <c r="N88"/>
      <c r="O88"/>
      <c r="P88"/>
      <c r="Q88" s="3"/>
      <c r="R88" s="3"/>
      <c r="S88" s="3"/>
      <c r="T88" s="3"/>
      <c r="U88" s="3"/>
      <c r="V88" s="3"/>
      <c r="W88" s="3">
        <f>+OperatingFunds!W88*1000/Enrollment!V14</f>
        <v>514.78539367157737</v>
      </c>
      <c r="X88" s="3"/>
      <c r="Y88"/>
      <c r="AC88"/>
      <c r="AD88"/>
      <c r="AE88"/>
      <c r="AF88"/>
      <c r="AG88"/>
    </row>
    <row r="89" spans="2:37" hidden="1">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+OperatingFunds!W89*1000/Enrollment!V15</f>
        <v>712.2136015563691</v>
      </c>
      <c r="X89" s="3"/>
      <c r="Y89"/>
      <c r="AC89"/>
      <c r="AD89"/>
      <c r="AE89"/>
      <c r="AF89"/>
      <c r="AG89"/>
    </row>
    <row r="90" spans="2:37" hidden="1">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+OperatingFunds!W90*1000/Enrollment!V16</f>
        <v>825.29835527490707</v>
      </c>
      <c r="X90" s="42"/>
      <c r="Y90"/>
      <c r="AC90"/>
      <c r="AD90"/>
      <c r="AE90"/>
      <c r="AF90"/>
      <c r="AG90"/>
    </row>
    <row r="91" spans="2:37" hidden="1">
      <c r="C91"/>
      <c r="D91"/>
      <c r="E91"/>
      <c r="F91"/>
      <c r="G91"/>
      <c r="H91"/>
      <c r="I91"/>
      <c r="J91"/>
      <c r="K91"/>
      <c r="L91"/>
      <c r="M91"/>
      <c r="N91"/>
      <c r="O91"/>
      <c r="P91"/>
      <c r="Q91" s="3"/>
      <c r="R91" s="3"/>
      <c r="Y91"/>
      <c r="AC91"/>
      <c r="AD91"/>
      <c r="AE91"/>
      <c r="AF91"/>
      <c r="AG91"/>
    </row>
    <row r="92" spans="2:37" hidden="1">
      <c r="B92" s="1" t="str">
        <f>+$B$16</f>
        <v>Community/Technical College System</v>
      </c>
      <c r="C92"/>
      <c r="D92"/>
      <c r="E92"/>
      <c r="F92"/>
      <c r="G92"/>
      <c r="H92"/>
      <c r="I92"/>
      <c r="J92"/>
      <c r="K92"/>
      <c r="L92"/>
      <c r="M92"/>
      <c r="N92"/>
      <c r="O92"/>
      <c r="P92"/>
      <c r="Q92" s="3"/>
      <c r="R92" s="3"/>
      <c r="S92" s="3"/>
      <c r="T92" s="3"/>
      <c r="U92" s="3"/>
      <c r="V92" s="3"/>
      <c r="W92" s="3">
        <f>+OperatingFunds!W92*1000/Enrollment!V18</f>
        <v>106.79937795006771</v>
      </c>
      <c r="X92" s="3"/>
      <c r="Y92"/>
      <c r="AC92"/>
      <c r="AD92"/>
      <c r="AE92"/>
      <c r="AF92"/>
      <c r="AG92"/>
    </row>
    <row r="93" spans="2:37" hidden="1">
      <c r="B93" s="1" t="str">
        <f>+$B$17</f>
        <v>HEC Board, CHE, SFA, &amp; SAC (1)</v>
      </c>
      <c r="C93"/>
      <c r="D93"/>
      <c r="E93"/>
      <c r="F93"/>
      <c r="G93"/>
      <c r="H93"/>
      <c r="I93"/>
      <c r="J93"/>
      <c r="K93"/>
      <c r="L93"/>
      <c r="M93"/>
      <c r="N93"/>
      <c r="O93"/>
      <c r="P93"/>
      <c r="Q93" s="3"/>
      <c r="R93" s="3"/>
      <c r="S93" s="3"/>
      <c r="T93" s="3"/>
      <c r="U93" s="3"/>
      <c r="V93" s="3"/>
      <c r="W93" s="3"/>
      <c r="X93" s="3"/>
      <c r="Y93"/>
      <c r="AC93"/>
      <c r="AD93"/>
      <c r="AE93"/>
      <c r="AF93"/>
      <c r="AG93"/>
    </row>
    <row r="94" spans="2:37" hidden="1">
      <c r="C94"/>
      <c r="D94"/>
      <c r="E94"/>
      <c r="F94"/>
      <c r="G94"/>
      <c r="H94"/>
      <c r="I94"/>
      <c r="J94"/>
      <c r="K94"/>
      <c r="L94"/>
      <c r="M94"/>
      <c r="N94"/>
      <c r="O94"/>
      <c r="P94"/>
      <c r="S94" s="3"/>
      <c r="Y94"/>
      <c r="AC94"/>
      <c r="AD94"/>
      <c r="AE94"/>
      <c r="AF94"/>
      <c r="AG94"/>
    </row>
    <row r="95" spans="2:37" ht="13.5" hidden="1"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+OperatingFunds!W95*1000/Enrollment!V21</f>
        <v>384.29012755524218</v>
      </c>
      <c r="X95" s="39">
        <v>0</v>
      </c>
      <c r="Y95"/>
      <c r="AC95"/>
      <c r="AD95"/>
      <c r="AE95"/>
      <c r="AF95"/>
      <c r="AG95"/>
    </row>
    <row r="96" spans="2:37" hidden="1">
      <c r="B96" s="199" t="str">
        <f>+$B$20</f>
        <v>[biennial annual average]</v>
      </c>
      <c r="C96"/>
      <c r="D96"/>
      <c r="E96"/>
      <c r="F96"/>
      <c r="G96"/>
      <c r="H96"/>
      <c r="I96"/>
      <c r="J96"/>
      <c r="K96"/>
      <c r="L96"/>
      <c r="M96"/>
      <c r="N96"/>
      <c r="O96"/>
      <c r="P96"/>
      <c r="R96" s="3"/>
      <c r="T96" s="3"/>
      <c r="V96" s="3"/>
      <c r="X96" s="3">
        <f>AVERAGE(W95:X95)</f>
        <v>192.14506377762109</v>
      </c>
      <c r="Y96"/>
      <c r="AC96"/>
      <c r="AD96"/>
      <c r="AE96"/>
      <c r="AF96"/>
      <c r="AG96"/>
    </row>
    <row r="97" spans="2:37" hidden="1">
      <c r="B97" s="199"/>
      <c r="C97"/>
      <c r="D97"/>
      <c r="E97"/>
      <c r="F97"/>
      <c r="G97"/>
      <c r="H97"/>
      <c r="I97"/>
      <c r="J97"/>
      <c r="K97"/>
      <c r="L97"/>
      <c r="M97"/>
      <c r="N97"/>
      <c r="O97"/>
      <c r="P97"/>
      <c r="R97" s="3"/>
      <c r="T97" s="3"/>
      <c r="V97" s="3"/>
      <c r="X97" s="3"/>
      <c r="Y97"/>
      <c r="AC97"/>
      <c r="AD97"/>
      <c r="AE97"/>
      <c r="AF97"/>
      <c r="AG97"/>
    </row>
    <row r="98" spans="2:37" ht="15.75">
      <c r="B98" s="376"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spans="2:37">
      <c r="B99" s="377" t="str">
        <f>+B4</f>
        <v>(Dollars Per Actual State-Funded FTE Enrollment)</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spans="2:37">
      <c r="I100" s="13"/>
      <c r="J100" s="13"/>
      <c r="K100" s="13"/>
      <c r="L100" s="13"/>
      <c r="M100" s="13"/>
      <c r="N100" s="13"/>
      <c r="O100" s="13"/>
      <c r="P100" s="13"/>
      <c r="Q100"/>
      <c r="R100" s="13"/>
      <c r="S100"/>
      <c r="T100"/>
      <c r="U100" s="2" t="str">
        <f>IF(ISBLANK(OperatingFunds!U100),"",OperatingFunds!U100)</f>
        <v/>
      </c>
      <c r="V100" s="2" t="str">
        <f>IF(ISBLANK(OperatingFunds!V100),"",OperatingFunds!V100)</f>
        <v/>
      </c>
      <c r="W100" s="2" t="str">
        <f>+W5</f>
        <v/>
      </c>
      <c r="X100" s="2" t="str">
        <f>IF(ISBLANK(OperatingFunds!X5),"",OperatingFunds!X5)</f>
        <v/>
      </c>
      <c r="Y100" s="14" t="str">
        <f>IF(ISBLANK(OperatingFunds!Y5),"",OperatingFunds!Y5)</f>
        <v/>
      </c>
      <c r="AA100" s="2" t="str">
        <f>TRIM(AA$5)</f>
        <v/>
      </c>
      <c r="AB100" s="2" t="str">
        <f>TRIM(AB$5)</f>
        <v/>
      </c>
      <c r="AC100" s="2" t="str">
        <f>TRIM(AC$5)</f>
        <v/>
      </c>
      <c r="AD100" s="2" t="str">
        <f>TRIM(AD$5)</f>
        <v/>
      </c>
      <c r="AE100" s="2" t="str">
        <f t="shared" ref="AE100:AK100" si="87">TRIM(AE$5)</f>
        <v/>
      </c>
      <c r="AF100" s="2" t="str">
        <f t="shared" si="87"/>
        <v/>
      </c>
      <c r="AG100" s="2" t="str">
        <f t="shared" si="87"/>
        <v/>
      </c>
      <c r="AH100" s="2" t="str">
        <f t="shared" si="87"/>
        <v/>
      </c>
      <c r="AI100" s="2" t="str">
        <f t="shared" si="87"/>
        <v/>
      </c>
      <c r="AJ100" s="2" t="str">
        <f t="shared" si="87"/>
        <v/>
      </c>
      <c r="AK100" s="2" t="str">
        <f t="shared" si="87"/>
        <v>Final</v>
      </c>
    </row>
    <row r="101" spans="2:37">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+OperatingFunds!U101</f>
        <v>FY2008</v>
      </c>
      <c r="V101" s="2" t="str">
        <f>+OperatingFunds!V101</f>
        <v>FY2009</v>
      </c>
      <c r="W101" s="2" t="str">
        <f>+W6</f>
        <v>FY2010</v>
      </c>
      <c r="X101" s="2" t="str">
        <f>IF(ISBLANK(OperatingFunds!X6),"",OperatingFunds!X6)</f>
        <v>FY2011</v>
      </c>
      <c r="Y101" s="14" t="str">
        <f>IF(ISBLANK(OperatingFunds!Y6),"",OperatingFunds!Y6)</f>
        <v>FY2012</v>
      </c>
      <c r="Z101" s="2" t="str">
        <f>IF(ISBLANK(OperatingFunds!Z6),"",OperatingFunds!Z6)</f>
        <v>FY2013</v>
      </c>
      <c r="AA101" s="2" t="str">
        <f>IF(ISBLANK(OperatingFunds!AA6),"",OperatingFunds!AA6)</f>
        <v>FY2014</v>
      </c>
      <c r="AB101" s="2" t="str">
        <f>IF(ISBLANK(OperatingFunds!AB6),"",OperatingFunds!AB6)</f>
        <v>FY2015</v>
      </c>
      <c r="AC101" s="2" t="str">
        <f>IF(ISBLANK(OperatingFunds!AC6),"",OperatingFunds!AC6)</f>
        <v>FY2016</v>
      </c>
      <c r="AD101" s="2" t="str">
        <f>IF(ISBLANK(OperatingFunds!AD6),"",OperatingFunds!AD6)</f>
        <v>FY2017</v>
      </c>
      <c r="AE101" s="2" t="str">
        <f>IF(ISBLANK(OperatingFunds!AE6),"",OperatingFunds!AE6)</f>
        <v>FY2018</v>
      </c>
      <c r="AF101" s="2" t="str">
        <f>IF(ISBLANK(OperatingFunds!AF6),"",OperatingFunds!AF6)</f>
        <v>FY2019</v>
      </c>
      <c r="AG101" s="2" t="str">
        <f>IF(ISBLANK(OperatingFunds!AG6),"",OperatingFunds!AG6)</f>
        <v>FY2020</v>
      </c>
      <c r="AH101" s="2" t="str">
        <f>IF(ISBLANK(OperatingFunds!AH6),"",OperatingFunds!AH6)</f>
        <v>FY2021</v>
      </c>
      <c r="AI101" s="2" t="str">
        <f>IF(ISBLANK(OperatingFunds!AI6),"",OperatingFunds!AI6)</f>
        <v>FY2022</v>
      </c>
      <c r="AJ101" s="2" t="str">
        <f>IF(ISBLANK(OperatingFunds!AJ6),"",OperatingFunds!AJ6)</f>
        <v>FY2023</v>
      </c>
      <c r="AK101" s="2" t="str">
        <f>IF(ISBLANK(OperatingFunds!AK6),"",OperatingFunds!AK6)</f>
        <v>FY2024</v>
      </c>
    </row>
    <row r="102" spans="2:37">
      <c r="Z102" s="1"/>
      <c r="AA102" s="1"/>
      <c r="AB102" s="1"/>
    </row>
    <row r="103" spans="2:37">
      <c r="B103" s="1" t="str">
        <f>+$B$8</f>
        <v>University of Washington</v>
      </c>
      <c r="C103"/>
      <c r="D103"/>
      <c r="E103"/>
      <c r="F103"/>
      <c r="G103"/>
      <c r="H103"/>
      <c r="I103"/>
      <c r="J103"/>
      <c r="K103"/>
      <c r="L103"/>
      <c r="M103"/>
      <c r="N103"/>
      <c r="O103"/>
      <c r="P103"/>
      <c r="Q103" s="3"/>
      <c r="R103" s="3"/>
      <c r="S103" s="3">
        <f>+OperatingFunds!S103*1000/Enrollment!R10</f>
        <v>84.864804841485764</v>
      </c>
      <c r="T103" s="3">
        <f>+OperatingFunds!T103*1000/Enrollment!S10</f>
        <v>209.86711054110842</v>
      </c>
      <c r="U103" s="3">
        <f>+OperatingFunds!U103*1000/Enrollment!T10</f>
        <v>424.13015843435085</v>
      </c>
      <c r="V103" s="3">
        <f>+OperatingFunds!V103*1000/Enrollment!U10</f>
        <v>684.99002498159416</v>
      </c>
      <c r="W103" s="3">
        <f>+OperatingFunds!W103*1000/Enrollment!V10</f>
        <v>643.46260797141372</v>
      </c>
      <c r="X103" s="3">
        <f>+OperatingFunds!X103*1000/Enrollment!W10</f>
        <v>666.36127102497392</v>
      </c>
      <c r="Y103" s="3">
        <f>+OperatingFunds!Y103*1000/Enrollment!X10</f>
        <v>251.08853410740207</v>
      </c>
      <c r="Z103" s="3">
        <f>+OperatingFunds!Z103*1000/Enrollment!Y10</f>
        <v>180.58353339404141</v>
      </c>
      <c r="AA103" s="3">
        <f>+OperatingFunds!AA103*1000/Enrollment!Z10</f>
        <v>156.54507837691747</v>
      </c>
      <c r="AB103" s="3">
        <f>+OperatingFunds!AB103*1000/Enrollment!AA10</f>
        <v>152.52863226194503</v>
      </c>
      <c r="AC103" s="3">
        <f>+OperatingFunds!AC103*1000/Enrollment!AB10</f>
        <v>276.05075477374487</v>
      </c>
      <c r="AD103" s="3">
        <f>+OperatingFunds!AD103*1000/Enrollment!AC10</f>
        <v>314.8982408494677</v>
      </c>
      <c r="AE103" s="3">
        <f>+OperatingFunds!AE103*1000/Enrollment!AD10</f>
        <v>329.9068624500739</v>
      </c>
      <c r="AF103" s="3">
        <f>+OperatingFunds!AF103*1000/Enrollment!AE10</f>
        <v>340.77597349574995</v>
      </c>
      <c r="AG103" s="3">
        <f>+OperatingFunds!AG103*1000/Enrollment!AF10</f>
        <v>389.24140148557461</v>
      </c>
      <c r="AH103" s="3">
        <f>+OperatingFunds!AH103*1000/Enrollment!AG10</f>
        <v>348.08595248885609</v>
      </c>
      <c r="AI103" s="3">
        <f>+OperatingFunds!AI103*1000/Enrollment!AH10</f>
        <v>374.54020486869223</v>
      </c>
      <c r="AJ103" s="3">
        <f>+OperatingFunds!AJ103*1000/Enrollment!AI10</f>
        <v>384.83288679349016</v>
      </c>
      <c r="AK103" s="3">
        <f>+OperatingFunds!AK103*1000/Enrollment!AJ10</f>
        <v>442.86607798033128</v>
      </c>
    </row>
    <row r="104" spans="2:37">
      <c r="B104" s="1" t="str">
        <f>+$B$9</f>
        <v>Washington State University</v>
      </c>
      <c r="C104"/>
      <c r="D104"/>
      <c r="E104"/>
      <c r="F104"/>
      <c r="G104"/>
      <c r="H104"/>
      <c r="I104"/>
      <c r="J104"/>
      <c r="K104"/>
      <c r="L104"/>
      <c r="M104"/>
      <c r="N104"/>
      <c r="O104"/>
      <c r="P104"/>
      <c r="Q104" s="3"/>
      <c r="R104" s="3"/>
      <c r="S104" s="3">
        <f>+OperatingFunds!S104*1000/Enrollment!R11</f>
        <v>152.3094958968347</v>
      </c>
      <c r="T104" s="3">
        <f>+OperatingFunds!T104*1000/Enrollment!S11</f>
        <v>371.95093293227427</v>
      </c>
      <c r="U104" s="3">
        <f>+OperatingFunds!U104*1000/Enrollment!T11</f>
        <v>559.30685532619884</v>
      </c>
      <c r="V104" s="3">
        <f>+OperatingFunds!V104*1000/Enrollment!U11</f>
        <v>917.52838191963428</v>
      </c>
      <c r="W104" s="3">
        <f>+OperatingFunds!W104*1000/Enrollment!V11</f>
        <v>737.69285818783214</v>
      </c>
      <c r="X104" s="3">
        <f>+OperatingFunds!X104*1000/Enrollment!W11</f>
        <v>690.62563188366323</v>
      </c>
      <c r="Y104" s="3">
        <f>+OperatingFunds!Y104*1000/Enrollment!X11</f>
        <v>653.8917892738491</v>
      </c>
      <c r="Z104" s="3">
        <f>+OperatingFunds!Z104*1000/Enrollment!Y11</f>
        <v>656.30650927273132</v>
      </c>
      <c r="AA104" s="3">
        <f>+OperatingFunds!AA104*1000/Enrollment!Z11</f>
        <v>677.42031902280576</v>
      </c>
      <c r="AB104" s="3">
        <f>+OperatingFunds!AB104*1000/Enrollment!AA11</f>
        <v>654.88899919794051</v>
      </c>
      <c r="AC104" s="3">
        <f>+OperatingFunds!AC104*1000/Enrollment!AB11</f>
        <v>645.78141146434871</v>
      </c>
      <c r="AD104" s="3">
        <f>+OperatingFunds!AD104*1000/Enrollment!AC11</f>
        <v>638.26311721392779</v>
      </c>
      <c r="AE104" s="3">
        <f>+OperatingFunds!AE104*1000/Enrollment!AD11</f>
        <v>628.28734591287957</v>
      </c>
      <c r="AF104" s="3">
        <f>+OperatingFunds!AF104*1000/Enrollment!AE11</f>
        <v>615.53597295992279</v>
      </c>
      <c r="AG104" s="3">
        <f>+OperatingFunds!AG104*1000/Enrollment!AF11</f>
        <v>613.98608134466735</v>
      </c>
      <c r="AH104" s="3">
        <f>+OperatingFunds!AH104*1000/Enrollment!AG11</f>
        <v>631.02596944552727</v>
      </c>
      <c r="AI104" s="3">
        <f>+OperatingFunds!AI104*1000/Enrollment!AH11</f>
        <v>669.00627759155645</v>
      </c>
      <c r="AJ104" s="3">
        <f>+OperatingFunds!AJ104*1000/Enrollment!AI11</f>
        <v>717.46058546674828</v>
      </c>
      <c r="AK104" s="3">
        <f>+OperatingFunds!AK104*1000/Enrollment!AJ11</f>
        <v>739.66576235235334</v>
      </c>
    </row>
    <row r="105" spans="2:37">
      <c r="B105" s="1" t="str">
        <f>+$B$10</f>
        <v>Eastern Washington University</v>
      </c>
      <c r="C105"/>
      <c r="D105"/>
      <c r="E105"/>
      <c r="F105"/>
      <c r="G105"/>
      <c r="H105"/>
      <c r="I105"/>
      <c r="J105"/>
      <c r="K105"/>
      <c r="L105"/>
      <c r="M105"/>
      <c r="N105"/>
      <c r="O105"/>
      <c r="P105"/>
      <c r="Q105" s="3"/>
      <c r="R105" s="3"/>
      <c r="S105" s="3">
        <f>+OperatingFunds!S105*1000/Enrollment!R12</f>
        <v>231.33283051395324</v>
      </c>
      <c r="T105" s="3">
        <f>+OperatingFunds!T105*1000/Enrollment!S12</f>
        <v>469.47437153117858</v>
      </c>
      <c r="U105" s="3">
        <f>+OperatingFunds!U105*1000/Enrollment!T12</f>
        <v>736.14581694587832</v>
      </c>
      <c r="V105" s="3">
        <f>+OperatingFunds!V105*1000/Enrollment!U12</f>
        <v>866.39660419049096</v>
      </c>
      <c r="W105" s="3">
        <f>+OperatingFunds!W105*1000/Enrollment!V12</f>
        <v>848.21403471289057</v>
      </c>
      <c r="X105" s="3">
        <f>+OperatingFunds!X105*1000/Enrollment!W12</f>
        <v>829.38552508731289</v>
      </c>
      <c r="Y105" s="3">
        <f>+OperatingFunds!Y105*1000/Enrollment!X12</f>
        <v>811.5604837489534</v>
      </c>
      <c r="Z105" s="3">
        <f>+OperatingFunds!Z105*1000/Enrollment!Y12</f>
        <v>790.69767441860461</v>
      </c>
      <c r="AA105" s="3">
        <f>+OperatingFunds!AA105*1000/Enrollment!Z12</f>
        <v>761.04442519490158</v>
      </c>
      <c r="AB105" s="3">
        <f>+OperatingFunds!AB105*1000/Enrollment!AA12</f>
        <v>687.90482908997637</v>
      </c>
      <c r="AC105" s="3">
        <f>+OperatingFunds!AC105*1000/Enrollment!AB12</f>
        <v>801.09075941551771</v>
      </c>
      <c r="AD105" s="3">
        <f>+OperatingFunds!AD105*1000/Enrollment!AC12</f>
        <v>821.52992943994582</v>
      </c>
      <c r="AE105" s="3">
        <f>+OperatingFunds!AE105*1000/Enrollment!AD12</f>
        <v>782.26464862149089</v>
      </c>
      <c r="AF105" s="3">
        <f>+OperatingFunds!AF105*1000/Enrollment!AE12</f>
        <v>806.02526724975701</v>
      </c>
      <c r="AG105" s="3">
        <f>+OperatingFunds!AG105*1000/Enrollment!AF12</f>
        <v>884.46383338024214</v>
      </c>
      <c r="AH105" s="3">
        <f>+OperatingFunds!AH105*1000/Enrollment!AG12</f>
        <v>1021.2404418011895</v>
      </c>
      <c r="AI105" s="3">
        <f>+OperatingFunds!AI105*1000/Enrollment!AH12</f>
        <v>1170.8130646282141</v>
      </c>
      <c r="AJ105" s="3">
        <f>+OperatingFunds!AJ105*1000/Enrollment!AI12</f>
        <v>1263.2053046415615</v>
      </c>
      <c r="AK105" s="3">
        <f>+OperatingFunds!AK105*1000/Enrollment!AJ12</f>
        <v>1313.4668642427716</v>
      </c>
    </row>
    <row r="106" spans="2:37">
      <c r="B106" s="1" t="str">
        <f>+$B$11</f>
        <v>Central Washington University</v>
      </c>
      <c r="C106"/>
      <c r="D106"/>
      <c r="E106"/>
      <c r="F106"/>
      <c r="G106"/>
      <c r="H106"/>
      <c r="I106"/>
      <c r="J106"/>
      <c r="K106"/>
      <c r="L106"/>
      <c r="M106"/>
      <c r="N106"/>
      <c r="O106"/>
      <c r="P106"/>
      <c r="Q106" s="3"/>
      <c r="R106" s="3"/>
      <c r="S106" s="3">
        <f>+OperatingFunds!S106*1000/Enrollment!R13</f>
        <v>237.05421221154907</v>
      </c>
      <c r="T106" s="3">
        <f>+OperatingFunds!T106*1000/Enrollment!S13</f>
        <v>468.70925684485007</v>
      </c>
      <c r="U106" s="3">
        <f>+OperatingFunds!U106*1000/Enrollment!T13</f>
        <v>748.10677812436199</v>
      </c>
      <c r="V106" s="3">
        <f>+OperatingFunds!V106*1000/Enrollment!U13</f>
        <v>1050.2531486673081</v>
      </c>
      <c r="W106" s="3">
        <f>+OperatingFunds!W106*1000/Enrollment!V13</f>
        <v>986.08304408598303</v>
      </c>
      <c r="X106" s="3">
        <f>+OperatingFunds!X106*1000/Enrollment!W13</f>
        <v>963.56541579227519</v>
      </c>
      <c r="Y106" s="3">
        <f>+OperatingFunds!Y106*1000/Enrollment!X13</f>
        <v>995.52234132492777</v>
      </c>
      <c r="Z106" s="3">
        <f>+OperatingFunds!Z106*1000/Enrollment!Y13</f>
        <v>1017.3179411879731</v>
      </c>
      <c r="AA106" s="3">
        <f>+OperatingFunds!AA106*1000/Enrollment!Z13</f>
        <v>1026.5185759180335</v>
      </c>
      <c r="AB106" s="3">
        <f>+OperatingFunds!AB106*1000/Enrollment!AA13</f>
        <v>1048.5351508822075</v>
      </c>
      <c r="AC106" s="3">
        <f>+OperatingFunds!AC106*1000/Enrollment!AB13</f>
        <v>1015.8191448573579</v>
      </c>
      <c r="AD106" s="3">
        <f>+OperatingFunds!AD106*1000/Enrollment!AC13</f>
        <v>988.35832878714598</v>
      </c>
      <c r="AE106" s="3">
        <f>+OperatingFunds!AE106*1000/Enrollment!AD13</f>
        <v>962.75360855960434</v>
      </c>
      <c r="AF106" s="3">
        <f>+OperatingFunds!AF106*1000/Enrollment!AE13</f>
        <v>972.50450327974715</v>
      </c>
      <c r="AG106" s="3">
        <f>+OperatingFunds!AG106*1000/Enrollment!AF13</f>
        <v>884.21247798275704</v>
      </c>
      <c r="AH106" s="3">
        <f>+OperatingFunds!AH106*1000/Enrollment!AG13</f>
        <v>986.6556325643943</v>
      </c>
      <c r="AI106" s="3">
        <f>+OperatingFunds!AI106*1000/Enrollment!AH13</f>
        <v>1089.3516579738837</v>
      </c>
      <c r="AJ106" s="3">
        <f>+OperatingFunds!AJ106*1000/Enrollment!AI13</f>
        <v>1193.2443703085905</v>
      </c>
      <c r="AK106" s="3">
        <f>+OperatingFunds!AK106*1000/Enrollment!AJ13</f>
        <v>1233.5393016592482</v>
      </c>
    </row>
    <row r="107" spans="2:37">
      <c r="B107" s="1" t="str">
        <f>+$B$12</f>
        <v>The Evergreen State College</v>
      </c>
      <c r="C107"/>
      <c r="D107"/>
      <c r="E107"/>
      <c r="F107"/>
      <c r="G107"/>
      <c r="H107"/>
      <c r="I107"/>
      <c r="J107"/>
      <c r="K107"/>
      <c r="L107"/>
      <c r="M107"/>
      <c r="N107"/>
      <c r="O107"/>
      <c r="P107"/>
      <c r="Q107" s="3"/>
      <c r="R107" s="3"/>
      <c r="S107" s="3">
        <f>+OperatingFunds!S107*1000/Enrollment!R14</f>
        <v>170.66085693536675</v>
      </c>
      <c r="T107" s="3">
        <f>+OperatingFunds!T107*1000/Enrollment!S14</f>
        <v>342.97520661157023</v>
      </c>
      <c r="U107" s="3">
        <f>+OperatingFunds!U107*1000/Enrollment!T14</f>
        <v>476.23881436134491</v>
      </c>
      <c r="V107" s="3">
        <f>+OperatingFunds!V107*1000/Enrollment!U14</f>
        <v>602.22501112952978</v>
      </c>
      <c r="W107" s="3">
        <f>+OperatingFunds!W107*1000/Enrollment!V14</f>
        <v>592.89526532335094</v>
      </c>
      <c r="X107" s="3">
        <f>+OperatingFunds!X107*1000/Enrollment!W14</f>
        <v>590.44712698049455</v>
      </c>
      <c r="Y107" s="3">
        <f>+OperatingFunds!Y107*1000/Enrollment!X14</f>
        <v>597.84206438704177</v>
      </c>
      <c r="Z107" s="3">
        <f>+OperatingFunds!Z107*1000/Enrollment!Y14</f>
        <v>625.7975569781978</v>
      </c>
      <c r="AA107" s="3">
        <f>+OperatingFunds!AA107*1000/Enrollment!Z14</f>
        <v>657.52961899476384</v>
      </c>
      <c r="AB107" s="3">
        <f>+OperatingFunds!AB107*1000/Enrollment!AA14</f>
        <v>680.048580840515</v>
      </c>
      <c r="AC107" s="3">
        <f>+OperatingFunds!AC107*1000/Enrollment!AB14</f>
        <v>682.66083238693295</v>
      </c>
      <c r="AD107" s="3">
        <f>+OperatingFunds!AD107*1000/Enrollment!AC14</f>
        <v>705.83435332517342</v>
      </c>
      <c r="AE107" s="3">
        <f>+OperatingFunds!AE107*1000/Enrollment!AD14</f>
        <v>751.03353238401462</v>
      </c>
      <c r="AF107" s="3">
        <f>+OperatingFunds!AF107*1000/Enrollment!AE14</f>
        <v>877.80521851175774</v>
      </c>
      <c r="AG107" s="3">
        <f>+OperatingFunds!AG107*1000/Enrollment!AF14</f>
        <v>1087.1010638297873</v>
      </c>
      <c r="AH107" s="3">
        <f>+OperatingFunds!AH107*1000/Enrollment!AG14</f>
        <v>1535.7880894232576</v>
      </c>
      <c r="AI107" s="3">
        <f>+OperatingFunds!AI107*1000/Enrollment!AH14</f>
        <v>1555.9573658165209</v>
      </c>
      <c r="AJ107" s="3">
        <f>+OperatingFunds!AJ107*1000/Enrollment!AI14</f>
        <v>1526.8957788569294</v>
      </c>
      <c r="AK107" s="3">
        <f>+OperatingFunds!AK107*1000/Enrollment!AJ14</f>
        <v>1242.2313059372168</v>
      </c>
    </row>
    <row r="108" spans="2:37">
      <c r="B108" s="1" t="str">
        <f>+$B$13</f>
        <v>Western Washington University</v>
      </c>
      <c r="C108" s="41"/>
      <c r="D108" s="41"/>
      <c r="E108" s="41"/>
      <c r="F108" s="41"/>
      <c r="G108" s="41"/>
      <c r="H108" s="41"/>
      <c r="I108" s="41"/>
      <c r="J108" s="41"/>
      <c r="K108" s="41"/>
      <c r="L108" s="41"/>
      <c r="M108" s="41"/>
      <c r="N108" s="41"/>
      <c r="O108" s="41"/>
      <c r="P108" s="41"/>
      <c r="Q108" s="41"/>
      <c r="R108" s="41"/>
      <c r="S108" s="3">
        <f>+OperatingFunds!S108*1000/Enrollment!R15</f>
        <v>98.511271799234365</v>
      </c>
      <c r="T108" s="3">
        <f>+OperatingFunds!T108*1000/Enrollment!S15</f>
        <v>196.62253903598099</v>
      </c>
      <c r="U108" s="3">
        <f>+OperatingFunds!U108*1000/Enrollment!T15</f>
        <v>420.91135958213084</v>
      </c>
      <c r="V108" s="3">
        <f>+OperatingFunds!V108*1000/Enrollment!U15</f>
        <v>542.78388900291088</v>
      </c>
      <c r="W108" s="3">
        <f>+OperatingFunds!W108*1000/Enrollment!V15</f>
        <v>522.47701237416027</v>
      </c>
      <c r="X108" s="3">
        <f>+OperatingFunds!X108*1000/Enrollment!W15</f>
        <v>505.91477488067346</v>
      </c>
      <c r="Y108" s="3">
        <f>+OperatingFunds!Y108*1000/Enrollment!X15</f>
        <v>525.59996837069548</v>
      </c>
      <c r="Z108" s="3">
        <f>+OperatingFunds!Z108*1000/Enrollment!Y15</f>
        <v>523.90337443737189</v>
      </c>
      <c r="AA108" s="3">
        <f>+OperatingFunds!AA108*1000/Enrollment!Z15</f>
        <v>628.04850972162888</v>
      </c>
      <c r="AB108" s="3">
        <f>+OperatingFunds!AB108*1000/Enrollment!AA15</f>
        <v>397.24754299656769</v>
      </c>
      <c r="AC108" s="3">
        <f>+OperatingFunds!AC108*1000/Enrollment!AB15</f>
        <v>536.69760959318387</v>
      </c>
      <c r="AD108" s="3">
        <f>+OperatingFunds!AD108*1000/Enrollment!AC15</f>
        <v>541.92620612578253</v>
      </c>
      <c r="AE108" s="3">
        <f>+OperatingFunds!AE108*1000/Enrollment!AD15</f>
        <v>523.90206966178698</v>
      </c>
      <c r="AF108" s="3">
        <f>+OperatingFunds!AF108*1000/Enrollment!AE15</f>
        <v>517.53313200389346</v>
      </c>
      <c r="AG108" s="3">
        <f>+OperatingFunds!AG108*1000/Enrollment!AF15</f>
        <v>527.17639884128675</v>
      </c>
      <c r="AH108" s="3">
        <f>+OperatingFunds!AH108*1000/Enrollment!AG15</f>
        <v>562.28148629969917</v>
      </c>
      <c r="AI108" s="3">
        <f>+OperatingFunds!AI108*1000/Enrollment!AH15</f>
        <v>572.21226740179191</v>
      </c>
      <c r="AJ108" s="3">
        <f>+OperatingFunds!AJ108*1000/Enrollment!AI15</f>
        <v>578.68445287863142</v>
      </c>
      <c r="AK108" s="3">
        <f>+OperatingFunds!AK108*1000/Enrollment!AJ15</f>
        <v>571.87909825369388</v>
      </c>
    </row>
    <row r="109" spans="2:37">
      <c r="B109" s="199" t="str">
        <f>+$B$14</f>
        <v>Total Four-Year Institutions</v>
      </c>
      <c r="C109" s="42"/>
      <c r="D109" s="42"/>
      <c r="E109" s="42"/>
      <c r="F109" s="42"/>
      <c r="G109" s="42"/>
      <c r="H109" s="42"/>
      <c r="I109" s="42"/>
      <c r="J109" s="42"/>
      <c r="K109" s="42"/>
      <c r="L109" s="42"/>
      <c r="M109" s="42"/>
      <c r="N109" s="42"/>
      <c r="O109" s="42"/>
      <c r="P109" s="42"/>
      <c r="Q109" s="42"/>
      <c r="R109" s="42"/>
      <c r="S109" s="42">
        <f>+OperatingFunds!S109*1000/Enrollment!R16</f>
        <v>136.09112055126624</v>
      </c>
      <c r="T109" s="42">
        <f>+OperatingFunds!T109*1000/Enrollment!S16</f>
        <v>303.21531204250937</v>
      </c>
      <c r="U109" s="42">
        <f>+OperatingFunds!U109*1000/Enrollment!T16</f>
        <v>518.906250844954</v>
      </c>
      <c r="V109" s="42">
        <f>+OperatingFunds!V109*1000/Enrollment!U16</f>
        <v>769.32255711527944</v>
      </c>
      <c r="W109" s="42">
        <f>+OperatingFunds!W109*1000/Enrollment!V16</f>
        <v>700.5511939812427</v>
      </c>
      <c r="X109" s="42">
        <f>+OperatingFunds!X109*1000/Enrollment!W16</f>
        <v>692.58184253005572</v>
      </c>
      <c r="Y109" s="42">
        <f>+OperatingFunds!Y109*1000/Enrollment!X16</f>
        <v>517.80442392081022</v>
      </c>
      <c r="Z109" s="42">
        <f>+OperatingFunds!Z109*1000/Enrollment!Y16</f>
        <v>487.63223715411408</v>
      </c>
      <c r="AA109" s="42">
        <f>+OperatingFunds!AA109*1000/Enrollment!Z16</f>
        <v>489.83642482939689</v>
      </c>
      <c r="AB109" s="42">
        <f>+OperatingFunds!AB109*1000/Enrollment!AA16</f>
        <v>448.54365886616381</v>
      </c>
      <c r="AC109" s="42">
        <f>+OperatingFunds!AC109*1000/Enrollment!AB16</f>
        <v>522.30876736150617</v>
      </c>
      <c r="AD109" s="42">
        <f>+OperatingFunds!AD109*1000/Enrollment!AC16</f>
        <v>537.70509687260278</v>
      </c>
      <c r="AE109" s="42">
        <f>+OperatingFunds!AE109*1000/Enrollment!AD16</f>
        <v>535.24483409264656</v>
      </c>
      <c r="AF109" s="42">
        <f>+OperatingFunds!AF109*1000/Enrollment!AE16</f>
        <v>539.04925436428675</v>
      </c>
      <c r="AG109" s="42">
        <f>+OperatingFunds!AG109*1000/Enrollment!AF16</f>
        <v>563.76909635476295</v>
      </c>
      <c r="AH109" s="42">
        <f>+OperatingFunds!AH109*1000/Enrollment!AG16</f>
        <v>570.66726783708964</v>
      </c>
      <c r="AI109" s="42">
        <f>+OperatingFunds!AI109*1000/Enrollment!AH16</f>
        <v>604.16464894898206</v>
      </c>
      <c r="AJ109" s="42">
        <f>+OperatingFunds!AJ109*1000/Enrollment!AI16</f>
        <v>628.89294675615201</v>
      </c>
      <c r="AK109" s="42">
        <f>+OperatingFunds!AK109*1000/Enrollment!AJ16</f>
        <v>653.071660631192</v>
      </c>
    </row>
    <row r="110" spans="2:37">
      <c r="C110"/>
      <c r="D110"/>
      <c r="E110"/>
      <c r="F110"/>
      <c r="G110"/>
      <c r="H110"/>
      <c r="I110"/>
      <c r="J110"/>
      <c r="K110"/>
      <c r="L110"/>
      <c r="M110"/>
      <c r="N110"/>
      <c r="O110"/>
      <c r="P110"/>
      <c r="Q110" s="3"/>
      <c r="R110" s="3"/>
      <c r="Z110" s="1"/>
      <c r="AA110" s="1"/>
      <c r="AB110" s="1"/>
    </row>
    <row r="111" spans="2:37">
      <c r="B111" s="1" t="str">
        <f>+$B$16</f>
        <v>Community/Technical College System</v>
      </c>
      <c r="C111"/>
      <c r="D111"/>
      <c r="E111"/>
      <c r="F111"/>
      <c r="G111"/>
      <c r="H111"/>
      <c r="I111"/>
      <c r="J111"/>
      <c r="K111"/>
      <c r="L111"/>
      <c r="M111"/>
      <c r="N111"/>
      <c r="O111"/>
      <c r="P111"/>
      <c r="Q111" s="3"/>
      <c r="R111" s="3"/>
      <c r="S111" s="3">
        <f>+OperatingFunds!S111*1000/Enrollment!R18</f>
        <v>134.19076932476915</v>
      </c>
      <c r="T111" s="3">
        <f>+OperatingFunds!T111*1000/Enrollment!S18</f>
        <v>210.01545352904293</v>
      </c>
      <c r="U111" s="3">
        <f>+OperatingFunds!U111*1000/Enrollment!T18</f>
        <v>406.97304413970363</v>
      </c>
      <c r="V111" s="3">
        <f>+OperatingFunds!V111*1000/Enrollment!U18</f>
        <v>326.64700990050039</v>
      </c>
      <c r="W111" s="3">
        <f>+OperatingFunds!W111*1000/Enrollment!V18</f>
        <v>295.44691493722809</v>
      </c>
      <c r="X111" s="3">
        <f>+OperatingFunds!X111*1000/Enrollment!W18</f>
        <v>292.4044687230965</v>
      </c>
      <c r="Y111" s="3">
        <f>+OperatingFunds!Y111*1000/Enrollment!X18</f>
        <v>308.46729549909622</v>
      </c>
      <c r="Z111" s="3">
        <f>+OperatingFunds!Z111*1000/Enrollment!Y18</f>
        <v>323.99236406984187</v>
      </c>
      <c r="AA111" s="3">
        <f>+OperatingFunds!AA111*1000/Enrollment!Z18</f>
        <v>326.31990141354549</v>
      </c>
      <c r="AB111" s="3">
        <f>+OperatingFunds!AB111*1000/Enrollment!AA18</f>
        <v>341.38197181968235</v>
      </c>
      <c r="AC111" s="3">
        <f>+OperatingFunds!AC111*1000/Enrollment!AB18</f>
        <v>347.59867615282508</v>
      </c>
      <c r="AD111" s="3">
        <f>+OperatingFunds!AD111*1000/Enrollment!AC18</f>
        <v>371.25473010818246</v>
      </c>
      <c r="AE111" s="3">
        <f>+OperatingFunds!AE111*1000/Enrollment!AD18</f>
        <v>461.93390459350218</v>
      </c>
      <c r="AF111" s="3">
        <f>+OperatingFunds!AF111*1000/Enrollment!AE18</f>
        <v>603.63233741774604</v>
      </c>
      <c r="AG111" s="3">
        <f>+OperatingFunds!AG111*1000/Enrollment!AF18</f>
        <v>659.5127143511761</v>
      </c>
      <c r="AH111" s="3">
        <f>+OperatingFunds!AH111*1000/Enrollment!AG18</f>
        <v>752.53573624878436</v>
      </c>
      <c r="AI111" s="3">
        <f>+OperatingFunds!AI111*1000/Enrollment!AH18</f>
        <v>722.92665785556187</v>
      </c>
      <c r="AJ111" s="3">
        <f>+OperatingFunds!AJ111*1000/Enrollment!AI18</f>
        <v>781.62585641110809</v>
      </c>
      <c r="AK111" s="3">
        <f>+OperatingFunds!AK111*1000/Enrollment!AJ18</f>
        <v>788.03672316119935</v>
      </c>
    </row>
    <row r="112" spans="2:37">
      <c r="B112" s="1" t="str">
        <f>+$B$17</f>
        <v>HEC Board, CHE, SFA, &amp; SAC (1)</v>
      </c>
      <c r="C112"/>
      <c r="D112"/>
      <c r="E112"/>
      <c r="F112"/>
      <c r="G112"/>
      <c r="H112"/>
      <c r="I112"/>
      <c r="J112"/>
      <c r="K112"/>
      <c r="L112"/>
      <c r="M112"/>
      <c r="N112"/>
      <c r="O112"/>
      <c r="P112"/>
      <c r="Q112" s="3"/>
      <c r="R112" s="3"/>
      <c r="S112" s="3">
        <f>+OperatingFunds!S112*1000/Enrollment!R21</f>
        <v>131.5167367777658</v>
      </c>
      <c r="T112" s="3">
        <f>+OperatingFunds!T112*1000/Enrollment!S21</f>
        <v>149.81655297700678</v>
      </c>
      <c r="U112" s="3">
        <f>+OperatingFunds!U112*1000/Enrollment!T21</f>
        <v>274.91898596685513</v>
      </c>
      <c r="V112" s="3">
        <f>+OperatingFunds!V112*1000/Enrollment!U21</f>
        <v>174.62273450479734</v>
      </c>
      <c r="W112" s="3">
        <f>+OperatingFunds!W112*1000/Enrollment!V21</f>
        <v>228.99896906212891</v>
      </c>
      <c r="X112" s="3">
        <f>+OperatingFunds!X112*1000/Enrollment!W21</f>
        <v>-112.65210436557217</v>
      </c>
      <c r="Y112" s="3">
        <f>+OperatingFunds!Y112*1000/Enrollment!X21</f>
        <v>0</v>
      </c>
      <c r="Z112" s="3">
        <f>+OperatingFunds!Z112*1000/Enrollment!Y21</f>
        <v>0</v>
      </c>
      <c r="AA112" s="3">
        <f>+OperatingFunds!AA112*1000/Enrollment!Z21</f>
        <v>207.69386926078141</v>
      </c>
      <c r="AB112" s="3">
        <f>+OperatingFunds!AB112*1000/Enrollment!AA21</f>
        <v>108.55293761516364</v>
      </c>
      <c r="AC112" s="3">
        <f>+OperatingFunds!AC112*1000/Enrollment!AB21</f>
        <v>8.3814302736875756</v>
      </c>
      <c r="AD112" s="3">
        <f>+OperatingFunds!AD112*1000/Enrollment!AC21</f>
        <v>159.32558882788427</v>
      </c>
      <c r="AE112" s="3">
        <f>+OperatingFunds!AE112*1000/Enrollment!AD21</f>
        <v>218.15255771748821</v>
      </c>
      <c r="AF112" s="3">
        <f>+OperatingFunds!AF112*1000/Enrollment!AE21</f>
        <v>216.67947253369158</v>
      </c>
      <c r="AG112" s="3">
        <f>+OperatingFunds!AG112*1000/Enrollment!AF21</f>
        <v>227.35002083315325</v>
      </c>
      <c r="AH112" s="3">
        <f>+OperatingFunds!AH112*1000/Enrollment!AG21</f>
        <v>192.36088258263626</v>
      </c>
      <c r="AI112" s="3">
        <f>+OperatingFunds!AI112*1000/Enrollment!AH21</f>
        <v>203.93379341870519</v>
      </c>
      <c r="AJ112" s="3">
        <f>+OperatingFunds!AJ112*1000/Enrollment!AI21</f>
        <v>208.14189689185829</v>
      </c>
      <c r="AK112" s="3">
        <f>+OperatingFunds!AK112*1000/Enrollment!AJ21</f>
        <v>208.85883803437065</v>
      </c>
    </row>
    <row r="113" spans="2:37" ht="13.5" thickBot="1">
      <c r="C113"/>
      <c r="D113"/>
      <c r="E113"/>
      <c r="F113"/>
      <c r="G113"/>
      <c r="H113"/>
      <c r="I113"/>
      <c r="J113"/>
      <c r="K113"/>
      <c r="L113"/>
      <c r="M113"/>
      <c r="N113"/>
      <c r="O113"/>
      <c r="P113"/>
      <c r="S113" s="3"/>
      <c r="T113" s="3"/>
      <c r="U113" s="3"/>
      <c r="V113" s="3"/>
      <c r="W113" s="3"/>
      <c r="X113" s="3"/>
      <c r="Z113" s="3"/>
      <c r="AA113" s="3"/>
      <c r="AB113" s="3"/>
      <c r="AC113" s="3"/>
      <c r="AD113" s="3"/>
      <c r="AE113" s="3"/>
      <c r="AF113" s="3"/>
      <c r="AG113" s="3"/>
      <c r="AH113" s="3"/>
      <c r="AI113" s="3"/>
      <c r="AJ113" s="3"/>
      <c r="AK113" s="3"/>
    </row>
    <row r="114" spans="2:37" ht="13.5" thickTop="1">
      <c r="B114" s="1" t="str">
        <f>+$B$19</f>
        <v>Total Higher Education</v>
      </c>
      <c r="C114" s="38"/>
      <c r="D114" s="38"/>
      <c r="E114" s="38"/>
      <c r="F114" s="38"/>
      <c r="G114" s="38"/>
      <c r="H114" s="38"/>
      <c r="I114" s="38"/>
      <c r="J114" s="38"/>
      <c r="K114" s="38"/>
      <c r="L114" s="38"/>
      <c r="M114" s="38"/>
      <c r="N114" s="38"/>
      <c r="O114" s="38"/>
      <c r="P114" s="38"/>
      <c r="Q114" s="39"/>
      <c r="R114" s="39"/>
      <c r="S114" s="39">
        <f>+OperatingFunds!S114*1000/Enrollment!R21</f>
        <v>266.48959119836047</v>
      </c>
      <c r="T114" s="39">
        <f>+OperatingFunds!T114*1000/Enrollment!S21</f>
        <v>398.09952281511033</v>
      </c>
      <c r="U114" s="39">
        <f>+OperatingFunds!U114*1000/Enrollment!T21</f>
        <v>727.54258993436883</v>
      </c>
      <c r="V114" s="39">
        <f>+OperatingFunds!V114*1000/Enrollment!U21</f>
        <v>677.93605230540356</v>
      </c>
      <c r="W114" s="39">
        <f>+OperatingFunds!W114*1000/Enrollment!V21</f>
        <v>680.90079014094874</v>
      </c>
      <c r="X114" s="39">
        <f>+OperatingFunds!X114*1000/Enrollment!W21</f>
        <v>335.29833615485023</v>
      </c>
      <c r="Y114" s="39">
        <f>+OperatingFunds!Y114*1000/Enrollment!X112</f>
        <v>437.36798780067534</v>
      </c>
      <c r="Z114" s="39">
        <f>+OperatingFunds!Z114*1000/Enrollment!Y21</f>
        <v>392.09324956842852</v>
      </c>
      <c r="AA114" s="39">
        <f>+OperatingFunds!AA114*1000/Enrollment!Z21</f>
        <v>603.55596409607051</v>
      </c>
      <c r="AB114" s="39">
        <f>+OperatingFunds!AB114*1000/Enrollment!AA21</f>
        <v>496.82756334466012</v>
      </c>
      <c r="AC114" s="39">
        <f>+OperatingFunds!AC114*1000/Enrollment!AB21</f>
        <v>434.14754441985747</v>
      </c>
      <c r="AD114" s="39">
        <f>+OperatingFunds!AD114*1000/Enrollment!AC21</f>
        <v>606.96697142066478</v>
      </c>
      <c r="AE114" s="39">
        <f>+OperatingFunds!AE114*1000/Enrollment!AD21</f>
        <v>714.40426753968336</v>
      </c>
      <c r="AF114" s="39">
        <f>+OperatingFunds!AF114*1000/Enrollment!AE21</f>
        <v>789.37819359529215</v>
      </c>
      <c r="AG114" s="39">
        <f>+OperatingFunds!AG114*1000/Enrollment!AF21</f>
        <v>839.88603188942</v>
      </c>
      <c r="AH114" s="39">
        <f>+OperatingFunds!AH114*1000/Enrollment!AG21</f>
        <v>852.32344818825925</v>
      </c>
      <c r="AI114" s="39">
        <f>+OperatingFunds!AI114*1000/Enrollment!AH21</f>
        <v>867.9296856330194</v>
      </c>
      <c r="AJ114" s="39">
        <f>+OperatingFunds!AJ114*1000/Enrollment!AI21</f>
        <v>914.81953316885392</v>
      </c>
      <c r="AK114" s="39">
        <f>+OperatingFunds!AK114*1000/Enrollment!AJ21</f>
        <v>928.67677308230304</v>
      </c>
    </row>
    <row r="115" spans="2:37">
      <c r="B115" s="199" t="str">
        <f>+$B$20</f>
        <v>[biennial annual average]</v>
      </c>
      <c r="C115"/>
      <c r="D115"/>
      <c r="E115"/>
      <c r="F115"/>
      <c r="G115"/>
      <c r="H115"/>
      <c r="I115"/>
      <c r="J115"/>
      <c r="K115"/>
      <c r="L115"/>
      <c r="M115"/>
      <c r="N115"/>
      <c r="O115"/>
      <c r="P115"/>
      <c r="R115" s="3"/>
      <c r="T115" s="3">
        <f>AVERAGE(S114:T114)</f>
        <v>332.29455700673543</v>
      </c>
      <c r="V115" s="3">
        <f>AVERAGE(U114:V114)</f>
        <v>702.7393211198862</v>
      </c>
      <c r="X115" s="3">
        <f>AVERAGE(W114:X114)</f>
        <v>508.09956314789952</v>
      </c>
      <c r="Z115" s="3">
        <f>AVERAGE(Y114:Z114)</f>
        <v>414.73061868455193</v>
      </c>
      <c r="AA115" s="3"/>
      <c r="AB115" s="3">
        <f>AVERAGE(AA114:AB114)</f>
        <v>550.19176372036532</v>
      </c>
      <c r="AC115" s="3"/>
      <c r="AD115" s="3">
        <f>AVERAGE(AC114:AD114)</f>
        <v>520.55725792026112</v>
      </c>
      <c r="AE115" s="3"/>
      <c r="AF115" s="3">
        <f>AVERAGE(AE114:AF114)</f>
        <v>751.89123056748781</v>
      </c>
      <c r="AG115" s="3"/>
      <c r="AH115" s="3">
        <f t="shared" ref="AH115:AK115" si="88">AVERAGE(AG114:AH114)</f>
        <v>846.10474003883962</v>
      </c>
      <c r="AI115" s="3"/>
      <c r="AJ115" s="3">
        <f t="shared" si="88"/>
        <v>891.37460940093661</v>
      </c>
      <c r="AK115" s="3"/>
    </row>
    <row r="116" spans="2:37">
      <c r="C116"/>
      <c r="D116"/>
      <c r="E116"/>
      <c r="F116"/>
      <c r="G116"/>
      <c r="H116"/>
      <c r="I116"/>
      <c r="J116"/>
      <c r="K116"/>
      <c r="L116"/>
      <c r="M116"/>
      <c r="N116"/>
      <c r="O116"/>
      <c r="P116"/>
      <c r="R116" s="3"/>
      <c r="T116" s="3"/>
      <c r="AC116"/>
      <c r="AD116"/>
      <c r="AE116"/>
      <c r="AF116"/>
      <c r="AG116"/>
    </row>
    <row r="117" spans="2:37">
      <c r="B117" s="2449" t="str">
        <f>+OperatingFunds!B117</f>
        <v>Capital Budget Education Construction Account-State (253-1) and Higher Education Building Accounts (060 through 066) for Preventive Facility Maintenance and Repairs</v>
      </c>
      <c r="C117" s="5"/>
      <c r="D117" s="5"/>
      <c r="E117" s="5"/>
      <c r="F117" s="5"/>
      <c r="G117" s="5"/>
      <c r="H117" s="5"/>
      <c r="I117" s="5"/>
      <c r="J117" s="6"/>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spans="2:37">
      <c r="B118" s="377" t="str">
        <f>+B4</f>
        <v>(Dollars Per Actual State-Funded FTE Enrollment)</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2:37">
      <c r="I119" s="13"/>
      <c r="J119" s="13"/>
      <c r="K119" s="13"/>
      <c r="L119" s="13"/>
      <c r="M119" s="13"/>
      <c r="N119" s="13"/>
      <c r="O119" s="13"/>
      <c r="P119" s="13"/>
      <c r="Q119"/>
      <c r="R119" s="13"/>
      <c r="S119"/>
      <c r="T119"/>
      <c r="U119" s="2" t="str">
        <f>IF(ISBLANK(OperatingFunds!U119),"",OperatingFunds!U119)</f>
        <v/>
      </c>
      <c r="V119" s="2"/>
      <c r="W119" s="2" t="str">
        <f>+W5</f>
        <v/>
      </c>
      <c r="X119" s="2" t="str">
        <f>IF(ISBLANK(OperatingFunds!X5),"",OperatingFunds!X5)</f>
        <v/>
      </c>
      <c r="Y119" s="14" t="str">
        <f>IF(ISBLANK(OperatingFunds!Y5),"",OperatingFunds!Y5)</f>
        <v/>
      </c>
      <c r="AA119" s="2" t="str">
        <f>TRIM(AA$5)</f>
        <v/>
      </c>
      <c r="AB119" s="2" t="str">
        <f>TRIM(AB$5)</f>
        <v/>
      </c>
      <c r="AC119" s="2" t="str">
        <f>TRIM(AC$5)</f>
        <v/>
      </c>
      <c r="AD119" s="2" t="str">
        <f>TRIM(AD$5)</f>
        <v/>
      </c>
      <c r="AE119" s="2" t="str">
        <f t="shared" ref="AE119:AK119" si="89">TRIM(AE$5)</f>
        <v/>
      </c>
      <c r="AF119" s="2" t="str">
        <f t="shared" si="89"/>
        <v/>
      </c>
      <c r="AG119" s="2" t="str">
        <f t="shared" si="89"/>
        <v/>
      </c>
      <c r="AH119" s="2" t="str">
        <f t="shared" si="89"/>
        <v/>
      </c>
      <c r="AI119" s="2" t="str">
        <f t="shared" si="89"/>
        <v/>
      </c>
      <c r="AJ119" s="2" t="str">
        <f t="shared" si="89"/>
        <v/>
      </c>
      <c r="AK119" s="2" t="str">
        <f t="shared" si="89"/>
        <v>Final</v>
      </c>
    </row>
    <row r="120" spans="2:37">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+OperatingFunds!U120</f>
        <v>FY2008</v>
      </c>
      <c r="V120" s="2" t="str">
        <f>+OperatingFunds!V120</f>
        <v>FY2009</v>
      </c>
      <c r="W120" s="2" t="str">
        <f>+W6</f>
        <v>FY2010</v>
      </c>
      <c r="X120" s="2" t="str">
        <f>IF(ISBLANK(OperatingFunds!X6),"",OperatingFunds!X6)</f>
        <v>FY2011</v>
      </c>
      <c r="Y120" s="14" t="str">
        <f>IF(ISBLANK(OperatingFunds!Y6),"",OperatingFunds!Y6)</f>
        <v>FY2012</v>
      </c>
      <c r="Z120" s="2" t="str">
        <f>IF(ISBLANK(OperatingFunds!Z6),"",OperatingFunds!Z6)</f>
        <v>FY2013</v>
      </c>
      <c r="AA120" s="2" t="str">
        <f>IF(ISBLANK(OperatingFunds!AA6),"",OperatingFunds!AA6)</f>
        <v>FY2014</v>
      </c>
      <c r="AB120" s="2" t="str">
        <f>IF(ISBLANK(OperatingFunds!AB6),"",OperatingFunds!AB6)</f>
        <v>FY2015</v>
      </c>
      <c r="AC120" s="2" t="str">
        <f>IF(ISBLANK(OperatingFunds!AC6),"",OperatingFunds!AC6)</f>
        <v>FY2016</v>
      </c>
      <c r="AD120" s="2" t="str">
        <f>IF(ISBLANK(OperatingFunds!AD6),"",OperatingFunds!AD6)</f>
        <v>FY2017</v>
      </c>
      <c r="AE120" s="2" t="str">
        <f>IF(ISBLANK(OperatingFunds!AE6),"",OperatingFunds!AE6)</f>
        <v>FY2018</v>
      </c>
      <c r="AF120" s="2" t="str">
        <f>IF(ISBLANK(OperatingFunds!AF6),"",OperatingFunds!AF6)</f>
        <v>FY2019</v>
      </c>
      <c r="AG120" s="2" t="str">
        <f>IF(ISBLANK(OperatingFunds!AG6),"",OperatingFunds!AG6)</f>
        <v>FY2020</v>
      </c>
      <c r="AH120" s="2" t="str">
        <f>IF(ISBLANK(OperatingFunds!AH6),"",OperatingFunds!AH6)</f>
        <v>FY2021</v>
      </c>
      <c r="AI120" s="2" t="str">
        <f>IF(ISBLANK(OperatingFunds!AI6),"",OperatingFunds!AI6)</f>
        <v>FY2022</v>
      </c>
      <c r="AJ120" s="2" t="str">
        <f>IF(ISBLANK(OperatingFunds!AJ6),"",OperatingFunds!AJ6)</f>
        <v>FY2023</v>
      </c>
      <c r="AK120" s="2" t="str">
        <f>IF(ISBLANK(OperatingFunds!AK6),"",OperatingFunds!AK6)</f>
        <v>FY2024</v>
      </c>
    </row>
    <row r="121" spans="2:37">
      <c r="Z121" s="1"/>
      <c r="AA121" s="1"/>
      <c r="AB121" s="1"/>
    </row>
    <row r="122" spans="2:37">
      <c r="B122" s="1" t="str">
        <f>+$B$8</f>
        <v>University of Washington</v>
      </c>
      <c r="C122"/>
      <c r="D122"/>
      <c r="E122"/>
      <c r="F122"/>
      <c r="G122"/>
      <c r="H122"/>
      <c r="I122"/>
      <c r="J122"/>
      <c r="K122"/>
      <c r="L122"/>
      <c r="M122"/>
      <c r="N122"/>
      <c r="O122"/>
      <c r="P122"/>
      <c r="Q122" s="3">
        <f>+OperatingFunds!Q122*1000/Enrollment!P10</f>
        <v>297.27363641370198</v>
      </c>
      <c r="R122" s="3">
        <f>+OperatingFunds!R122*1000/Enrollment!Q10</f>
        <v>256.13253623786341</v>
      </c>
      <c r="S122" s="3">
        <f>+OperatingFunds!S122*1000/Enrollment!R10</f>
        <v>355.78641274776527</v>
      </c>
      <c r="T122" s="3">
        <f>+OperatingFunds!T122*1000/Enrollment!S10</f>
        <v>354.97753813409008</v>
      </c>
      <c r="U122" s="3">
        <f>+OperatingFunds!U122*1000/Enrollment!T10</f>
        <v>304.9293443179065</v>
      </c>
      <c r="V122" s="3">
        <f>+OperatingFunds!V122*1000/Enrollment!U10</f>
        <v>362.00460919851241</v>
      </c>
      <c r="W122" s="3">
        <f>+OperatingFunds!W122*1000/Enrollment!V10</f>
        <v>177.55102527810314</v>
      </c>
      <c r="X122" s="3">
        <f>+OperatingFunds!X122*1000/Enrollment!W10</f>
        <v>318.4561551384225</v>
      </c>
      <c r="Y122" s="3">
        <f>+OperatingFunds!Y122*1000/Enrollment!X10</f>
        <v>277.05490612856414</v>
      </c>
      <c r="Z122" s="3">
        <f>+OperatingFunds!Z122*1000/Enrollment!Y10</f>
        <v>321.70149378662029</v>
      </c>
      <c r="AA122" s="3">
        <f>+OperatingFunds!AA122*1000/Enrollment!Z10</f>
        <v>330.85658899181749</v>
      </c>
      <c r="AB122" s="3">
        <f>+OperatingFunds!AB122*1000/Enrollment!AA10</f>
        <v>240.43423740042448</v>
      </c>
      <c r="AC122" s="3">
        <f>+OperatingFunds!AC122*1000/Enrollment!AB10</f>
        <v>274.22443237121064</v>
      </c>
      <c r="AD122" s="3">
        <f>+OperatingFunds!AD122*1000/Enrollment!AC10</f>
        <v>269.46557663518638</v>
      </c>
      <c r="AE122" s="3">
        <f>+OperatingFunds!AE122*1000/Enrollment!AD10</f>
        <v>264.93338622312194</v>
      </c>
      <c r="AF122" s="3">
        <f>+OperatingFunds!AF122*1000/Enrollment!AE10</f>
        <v>259.26979452513223</v>
      </c>
      <c r="AG122" s="3">
        <f>+OperatingFunds!AG122*1000/Enrollment!AF10</f>
        <v>258.52402666826833</v>
      </c>
      <c r="AH122" s="3">
        <f>+OperatingFunds!AH122*1000/Enrollment!AG10</f>
        <v>262.02491440012443</v>
      </c>
      <c r="AI122" s="3">
        <f>+OperatingFunds!AI122*1000/Enrollment!AH10</f>
        <v>263.48276858407979</v>
      </c>
      <c r="AJ122" s="3">
        <f>+OperatingFunds!AJ122*1000/Enrollment!AI10</f>
        <v>266.22979354519464</v>
      </c>
      <c r="AK122" s="3">
        <f>+OperatingFunds!AK122*1000/Enrollment!AJ10</f>
        <v>246.22029873101499</v>
      </c>
    </row>
    <row r="123" spans="2:37">
      <c r="B123" s="1" t="str">
        <f>+$B$9</f>
        <v>Washington State University</v>
      </c>
      <c r="C123"/>
      <c r="D123"/>
      <c r="E123"/>
      <c r="F123"/>
      <c r="G123"/>
      <c r="H123"/>
      <c r="I123"/>
      <c r="J123"/>
      <c r="K123"/>
      <c r="L123"/>
      <c r="M123"/>
      <c r="N123"/>
      <c r="O123"/>
      <c r="P123"/>
      <c r="Q123" s="3">
        <f>+OperatingFunds!Q123*1000/Enrollment!P11</f>
        <v>191.70479992211079</v>
      </c>
      <c r="R123" s="3">
        <f>+OperatingFunds!R123*1000/Enrollment!Q11</f>
        <v>186.13224937372973</v>
      </c>
      <c r="S123" s="3">
        <f>+OperatingFunds!S123*1000/Enrollment!R11</f>
        <v>237.13950762016412</v>
      </c>
      <c r="T123" s="3">
        <f>+OperatingFunds!T123*1000/Enrollment!S11</f>
        <v>237.72148329181746</v>
      </c>
      <c r="U123" s="3">
        <f>+OperatingFunds!U123*1000/Enrollment!T11</f>
        <v>226.43621546590248</v>
      </c>
      <c r="V123" s="3">
        <f>+OperatingFunds!V123*1000/Enrollment!U11</f>
        <v>216.933508893073</v>
      </c>
      <c r="W123" s="3">
        <f>+OperatingFunds!W123*1000/Enrollment!V11</f>
        <v>591.31298825418241</v>
      </c>
      <c r="X123" s="3">
        <f>+OperatingFunds!X123*1000/Enrollment!W11</f>
        <v>585.48019031820104</v>
      </c>
      <c r="Y123" s="3">
        <f>+OperatingFunds!Y123*1000/Enrollment!X11</f>
        <v>200.0079101408005</v>
      </c>
      <c r="Z123" s="3">
        <f>+OperatingFunds!Z123*1000/Enrollment!Y11</f>
        <v>200.7983501029201</v>
      </c>
      <c r="AA123" s="3">
        <f>+OperatingFunds!AA123*1000/Enrollment!Z11</f>
        <v>201.53633093883568</v>
      </c>
      <c r="AB123" s="3">
        <f>+OperatingFunds!AB123*1000/Enrollment!AA11</f>
        <v>194.8831298431007</v>
      </c>
      <c r="AC123" s="3">
        <f>+OperatingFunds!AC123*1000/Enrollment!AB11</f>
        <v>192.12268707069478</v>
      </c>
      <c r="AD123" s="3">
        <f>+OperatingFunds!AD123*1000/Enrollment!AC11</f>
        <v>189.93644956674939</v>
      </c>
      <c r="AE123" s="3">
        <f>+OperatingFunds!AE123*1000/Enrollment!AD11</f>
        <v>186.91899683971243</v>
      </c>
      <c r="AF123" s="3">
        <f>+OperatingFunds!AF123*1000/Enrollment!AE11</f>
        <v>183.17238049251571</v>
      </c>
      <c r="AG123" s="3">
        <f>+OperatingFunds!AG123*1000/Enrollment!AF11</f>
        <v>182.70041178028754</v>
      </c>
      <c r="AH123" s="3">
        <f>+OperatingFunds!AH123*1000/Enrollment!AG11</f>
        <v>187.74479775760614</v>
      </c>
      <c r="AI123" s="3">
        <f>+OperatingFunds!AI123*1000/Enrollment!AH11</f>
        <v>199.03310658786333</v>
      </c>
      <c r="AJ123" s="3">
        <f>+OperatingFunds!AJ123*1000/Enrollment!AI11</f>
        <v>213.50330301175578</v>
      </c>
      <c r="AK123" s="3">
        <f>+OperatingFunds!AK123*1000/Enrollment!AJ11</f>
        <v>220.05469821248681</v>
      </c>
    </row>
    <row r="124" spans="2:37">
      <c r="B124" s="1" t="str">
        <f>+$B$10</f>
        <v>Eastern Washington University</v>
      </c>
      <c r="C124"/>
      <c r="D124"/>
      <c r="E124"/>
      <c r="F124"/>
      <c r="G124"/>
      <c r="H124"/>
      <c r="I124"/>
      <c r="J124"/>
      <c r="K124"/>
      <c r="L124"/>
      <c r="M124"/>
      <c r="N124"/>
      <c r="O124"/>
      <c r="P124"/>
      <c r="Q124" s="3">
        <f>+OperatingFunds!Q124*1000/Enrollment!P12</f>
        <v>4.7245276909334528</v>
      </c>
      <c r="R124" s="3">
        <f>+OperatingFunds!R124*1000/Enrollment!Q12</f>
        <v>184.49343743151434</v>
      </c>
      <c r="S124" s="3">
        <f>+OperatingFunds!S124*1000/Enrollment!R12</f>
        <v>82.431762741083929</v>
      </c>
      <c r="T124" s="3">
        <f>+OperatingFunds!T124*1000/Enrollment!S12</f>
        <v>158.00966481662857</v>
      </c>
      <c r="U124" s="3">
        <f>+OperatingFunds!U124*1000/Enrollment!T12</f>
        <v>133.14071210885049</v>
      </c>
      <c r="V124" s="3">
        <f>+OperatingFunds!V124*1000/Enrollment!U12</f>
        <v>108.10676405283232</v>
      </c>
      <c r="W124" s="3">
        <f>+OperatingFunds!W124*1000/Enrollment!V12</f>
        <v>116.85871954750674</v>
      </c>
      <c r="X124" s="3">
        <f>+OperatingFunds!X124*1000/Enrollment!W12</f>
        <v>342.38735779245479</v>
      </c>
      <c r="Y124" s="3">
        <f>+OperatingFunds!Y124*1000/Enrollment!X12</f>
        <v>111.80894807801576</v>
      </c>
      <c r="Z124" s="3">
        <f>+OperatingFunds!Z124*1000/Enrollment!Y12</f>
        <v>109.00240916465903</v>
      </c>
      <c r="AA124" s="3">
        <f>+OperatingFunds!AA124*1000/Enrollment!Z12</f>
        <v>108.29496088941571</v>
      </c>
      <c r="AB124" s="3">
        <f>+OperatingFunds!AB124*1000/Enrollment!AA12</f>
        <v>106.63438722503689</v>
      </c>
      <c r="AC124" s="3">
        <f>+OperatingFunds!AC124*1000/Enrollment!AB12</f>
        <v>106.93751286272898</v>
      </c>
      <c r="AD124" s="3">
        <f>+OperatingFunds!AD124*1000/Enrollment!AC12</f>
        <v>108.23222329262894</v>
      </c>
      <c r="AE124" s="3">
        <f>+OperatingFunds!AE124*1000/Enrollment!AD12</f>
        <v>104.42441750926332</v>
      </c>
      <c r="AF124" s="3">
        <f>+OperatingFunds!AF124*1000/Enrollment!AE12</f>
        <v>107.72594752186589</v>
      </c>
      <c r="AG124" s="3">
        <f>+OperatingFunds!AG124*1000/Enrollment!AF12</f>
        <v>116.99620039403322</v>
      </c>
      <c r="AH124" s="3">
        <f>+OperatingFunds!AH124*1000/Enrollment!AG12</f>
        <v>134.54302706639155</v>
      </c>
      <c r="AI124" s="3">
        <f>+OperatingFunds!AI124*1000/Enrollment!AH12</f>
        <v>0</v>
      </c>
      <c r="AJ124" s="3">
        <f>+OperatingFunds!AJ124*1000/Enrollment!AI12</f>
        <v>0</v>
      </c>
      <c r="AK124" s="3">
        <f>+OperatingFunds!AK124*1000/Enrollment!AJ12</f>
        <v>172.83689684391172</v>
      </c>
    </row>
    <row r="125" spans="2:37">
      <c r="B125" s="1" t="str">
        <f>+$B$11</f>
        <v>Central Washington University</v>
      </c>
      <c r="C125"/>
      <c r="D125"/>
      <c r="E125"/>
      <c r="F125"/>
      <c r="G125"/>
      <c r="H125"/>
      <c r="I125"/>
      <c r="J125"/>
      <c r="K125"/>
      <c r="L125"/>
      <c r="M125"/>
      <c r="N125"/>
      <c r="O125"/>
      <c r="P125"/>
      <c r="Q125" s="3">
        <f>+OperatingFunds!Q125*1000/Enrollment!P13</f>
        <v>92.410765854222021</v>
      </c>
      <c r="R125" s="3">
        <f>+OperatingFunds!R125*1000/Enrollment!Q13</f>
        <v>122.22847495779403</v>
      </c>
      <c r="S125" s="3">
        <f>+OperatingFunds!S125*1000/Enrollment!R13</f>
        <v>133.70873357623938</v>
      </c>
      <c r="T125" s="3">
        <f>+OperatingFunds!T125*1000/Enrollment!S13</f>
        <v>131.57322903085614</v>
      </c>
      <c r="U125" s="3">
        <f>+OperatingFunds!U125*1000/Enrollment!T13</f>
        <v>135.60205183484544</v>
      </c>
      <c r="V125" s="3">
        <f>+OperatingFunds!V125*1000/Enrollment!U13</f>
        <v>133.34625320152131</v>
      </c>
      <c r="W125" s="3">
        <f>+OperatingFunds!W125*1000/Enrollment!V13</f>
        <v>125.19884319439352</v>
      </c>
      <c r="X125" s="3">
        <f>+OperatingFunds!X125*1000/Enrollment!W13</f>
        <v>325.0532245980059</v>
      </c>
      <c r="Y125" s="3">
        <f>+OperatingFunds!Y125*1000/Enrollment!X13</f>
        <v>126.39731131730839</v>
      </c>
      <c r="Z125" s="3">
        <f>+OperatingFunds!Z125*1000/Enrollment!Y13</f>
        <v>129.16460754651243</v>
      </c>
      <c r="AA125" s="3">
        <f>+OperatingFunds!AA125*1000/Enrollment!Z13</f>
        <v>130.33277368806236</v>
      </c>
      <c r="AB125" s="3">
        <f>+OperatingFunds!AB125*1000/Enrollment!AA13</f>
        <v>133.12812620238554</v>
      </c>
      <c r="AC125" s="3">
        <f>+OperatingFunds!AC125*1000/Enrollment!AB13</f>
        <v>128.97431163999374</v>
      </c>
      <c r="AD125" s="3">
        <f>+OperatingFunds!AD125*1000/Enrollment!AC13</f>
        <v>124.65131599263005</v>
      </c>
      <c r="AE125" s="3">
        <f>+OperatingFunds!AE125*1000/Enrollment!AD13</f>
        <v>122.23680226102756</v>
      </c>
      <c r="AF125" s="3">
        <f>+OperatingFunds!AF125*1000/Enrollment!AE13</f>
        <v>123.47483261394149</v>
      </c>
      <c r="AG125" s="3">
        <f>+OperatingFunds!AG125*1000/Enrollment!AF13</f>
        <v>112.26476314081765</v>
      </c>
      <c r="AH125" s="3">
        <f>+OperatingFunds!AH125*1000/Enrollment!AG13</f>
        <v>125.27154236060825</v>
      </c>
      <c r="AI125" s="3">
        <f>+OperatingFunds!AI125*1000/Enrollment!AH13</f>
        <v>138.31054174439413</v>
      </c>
      <c r="AJ125" s="3">
        <f>+OperatingFunds!AJ125*1000/Enrollment!AI13</f>
        <v>151.50112593828192</v>
      </c>
      <c r="AK125" s="3">
        <f>+OperatingFunds!AK125*1000/Enrollment!AJ13</f>
        <v>159.48377640923937</v>
      </c>
    </row>
    <row r="126" spans="2:37">
      <c r="B126" s="1" t="str">
        <f>+$B$12</f>
        <v>The Evergreen State College</v>
      </c>
      <c r="C126"/>
      <c r="D126"/>
      <c r="E126"/>
      <c r="F126"/>
      <c r="G126"/>
      <c r="H126"/>
      <c r="I126"/>
      <c r="J126"/>
      <c r="K126"/>
      <c r="L126"/>
      <c r="M126"/>
      <c r="N126"/>
      <c r="O126"/>
      <c r="P126"/>
      <c r="Q126" s="3">
        <f>+OperatingFunds!Q126*1000/Enrollment!P14</f>
        <v>60.639055867284704</v>
      </c>
      <c r="R126" s="3">
        <f>+OperatingFunds!R126*1000/Enrollment!Q14</f>
        <v>117.82525970873786</v>
      </c>
      <c r="S126" s="3">
        <f>+OperatingFunds!S126*1000/Enrollment!R14</f>
        <v>48.355892035826677</v>
      </c>
      <c r="T126" s="3">
        <f>+OperatingFunds!T126*1000/Enrollment!S14</f>
        <v>136.17934127369955</v>
      </c>
      <c r="U126" s="3">
        <f>+OperatingFunds!U126*1000/Enrollment!T14</f>
        <v>126.50169756219449</v>
      </c>
      <c r="V126" s="3">
        <f>+OperatingFunds!V126*1000/Enrollment!U14</f>
        <v>49.211787682127202</v>
      </c>
      <c r="W126" s="3">
        <f>+OperatingFunds!W126*1000/Enrollment!V14</f>
        <v>165.13675754826386</v>
      </c>
      <c r="X126" s="3">
        <f>+OperatingFunds!X126*1000/Enrollment!W14</f>
        <v>707.65642644963316</v>
      </c>
      <c r="Y126" s="3">
        <f>+OperatingFunds!Y126*1000/Enrollment!X14</f>
        <v>129.10448304761235</v>
      </c>
      <c r="Z126" s="3">
        <f>+OperatingFunds!Z126*1000/Enrollment!Y14</f>
        <v>39.123402685226509</v>
      </c>
      <c r="AA126" s="3">
        <f>+OperatingFunds!AA126*1000/Enrollment!Z14</f>
        <v>180.38578529546606</v>
      </c>
      <c r="AB126" s="3">
        <f>+OperatingFunds!AB126*1000/Enrollment!AA14</f>
        <v>7.7388280704089978E-3</v>
      </c>
      <c r="AC126" s="3">
        <f>+OperatingFunds!AC126*1000/Enrollment!AB14</f>
        <v>189.79956493419732</v>
      </c>
      <c r="AD126" s="3">
        <f>+OperatingFunds!AD126*1000/Enrollment!AC14</f>
        <v>6.4694894940840477</v>
      </c>
      <c r="AE126" s="3">
        <f>+OperatingFunds!AE126*1000/Enrollment!AD14</f>
        <v>228.75516766192007</v>
      </c>
      <c r="AF126" s="3">
        <f>+OperatingFunds!AF126*1000/Enrollment!AE14</f>
        <v>0</v>
      </c>
      <c r="AG126" s="3">
        <f>+OperatingFunds!AG126*1000/Enrollment!AF14</f>
        <v>297.43703058510641</v>
      </c>
      <c r="AH126" s="3">
        <f>+OperatingFunds!AH126*1000/Enrollment!AG14</f>
        <v>75.710108961112155</v>
      </c>
      <c r="AI126" s="3">
        <f>+OperatingFunds!AI126*1000/Enrollment!AH14</f>
        <v>266.28706889988581</v>
      </c>
      <c r="AJ126" s="3">
        <f>+OperatingFunds!AJ126*1000/Enrollment!AI14</f>
        <v>231.775635039223</v>
      </c>
      <c r="AK126" s="3">
        <f>+OperatingFunds!AK126*1000/Enrollment!AJ14</f>
        <v>331.35495757895649</v>
      </c>
    </row>
    <row r="127" spans="2:37">
      <c r="B127" s="1" t="str">
        <f>+$B$13</f>
        <v>Western Washington University</v>
      </c>
      <c r="C127" s="41"/>
      <c r="D127" s="41"/>
      <c r="E127" s="41"/>
      <c r="F127" s="41"/>
      <c r="G127" s="41"/>
      <c r="H127" s="41"/>
      <c r="I127" s="41"/>
      <c r="J127" s="41"/>
      <c r="K127" s="41"/>
      <c r="L127" s="41"/>
      <c r="M127" s="41"/>
      <c r="N127" s="41"/>
      <c r="O127" s="41"/>
      <c r="P127" s="41"/>
      <c r="Q127" s="3">
        <f>+OperatingFunds!Q127*1000/Enrollment!P15</f>
        <v>122.29465449804432</v>
      </c>
      <c r="R127" s="3">
        <f>+OperatingFunds!R127*1000/Enrollment!Q15</f>
        <v>120.12294032271835</v>
      </c>
      <c r="S127" s="3">
        <f>+OperatingFunds!S127*1000/Enrollment!R15</f>
        <v>153.72182050191407</v>
      </c>
      <c r="T127" s="3">
        <f>+OperatingFunds!T127*1000/Enrollment!S15</f>
        <v>153.34351663272233</v>
      </c>
      <c r="U127" s="3">
        <f>+OperatingFunds!U127*1000/Enrollment!T15</f>
        <v>148.84282324166543</v>
      </c>
      <c r="V127" s="3">
        <f>+OperatingFunds!V127*1000/Enrollment!U15</f>
        <v>145.62887712372088</v>
      </c>
      <c r="W127" s="3">
        <f>+OperatingFunds!W127*1000/Enrollment!V15</f>
        <v>144.84749330471118</v>
      </c>
      <c r="X127" s="3">
        <f>+OperatingFunds!X127*1000/Enrollment!W15</f>
        <v>316.82484627893552</v>
      </c>
      <c r="Y127" s="3">
        <f>+OperatingFunds!Y127*1000/Enrollment!X15</f>
        <v>142.88538330763453</v>
      </c>
      <c r="Z127" s="3">
        <f>+OperatingFunds!Z127*1000/Enrollment!Y15</f>
        <v>144.37904493035396</v>
      </c>
      <c r="AA127" s="3">
        <f>+OperatingFunds!AA127*1000/Enrollment!Z15</f>
        <v>143.81484733766112</v>
      </c>
      <c r="AB127" s="3">
        <f>+OperatingFunds!AB127*1000/Enrollment!AA15</f>
        <v>143.45859494705977</v>
      </c>
      <c r="AC127" s="3">
        <f>+OperatingFunds!AC127*1000/Enrollment!AB15</f>
        <v>142.5566045178426</v>
      </c>
      <c r="AD127" s="3">
        <f>+OperatingFunds!AD127*1000/Enrollment!AC15</f>
        <v>141.22593805441144</v>
      </c>
      <c r="AE127" s="3">
        <f>+OperatingFunds!AE127*1000/Enrollment!AD15</f>
        <v>157.26905603230693</v>
      </c>
      <c r="AF127" s="3">
        <f>+OperatingFunds!AF127*1000/Enrollment!AE15</f>
        <v>115.0822372526019</v>
      </c>
      <c r="AG127" s="3">
        <f>+OperatingFunds!AG127*1000/Enrollment!AF15</f>
        <v>137.40640646440005</v>
      </c>
      <c r="AH127" s="3">
        <f>+OperatingFunds!AH127*1000/Enrollment!AG15</f>
        <v>146.92245954955689</v>
      </c>
      <c r="AI127" s="3">
        <f>+OperatingFunds!AI127*1000/Enrollment!AH15</f>
        <v>149.34135713301171</v>
      </c>
      <c r="AJ127" s="3">
        <f>+OperatingFunds!AJ127*1000/Enrollment!AI15</f>
        <v>151.28512823375101</v>
      </c>
      <c r="AK127" s="3">
        <f>+OperatingFunds!AK127*1000/Enrollment!AJ15</f>
        <v>149.35475221049646</v>
      </c>
    </row>
    <row r="128" spans="2:37">
      <c r="B128" s="199" t="str">
        <f>+$B$14</f>
        <v>Total Four-Year Institutions</v>
      </c>
      <c r="C128" s="42"/>
      <c r="D128" s="42"/>
      <c r="E128" s="42"/>
      <c r="F128" s="42"/>
      <c r="G128" s="42"/>
      <c r="H128" s="42"/>
      <c r="I128" s="42"/>
      <c r="J128" s="42"/>
      <c r="K128" s="42"/>
      <c r="L128" s="42"/>
      <c r="M128" s="42"/>
      <c r="N128" s="42"/>
      <c r="O128" s="42"/>
      <c r="P128" s="42"/>
      <c r="Q128" s="42">
        <f>+OperatingFunds!Q128*1000/Enrollment!P16</f>
        <v>191.30348864834858</v>
      </c>
      <c r="R128" s="42">
        <f>+OperatingFunds!R128*1000/Enrollment!Q16</f>
        <v>196.06753431554984</v>
      </c>
      <c r="S128" s="42">
        <f>+OperatingFunds!S128*1000/Enrollment!R16</f>
        <v>238.67758941149495</v>
      </c>
      <c r="T128" s="42">
        <f>+OperatingFunds!T128*1000/Enrollment!S16</f>
        <v>250.4696032098899</v>
      </c>
      <c r="U128" s="42">
        <f>+OperatingFunds!U128*1000/Enrollment!T16</f>
        <v>225.5425583092952</v>
      </c>
      <c r="V128" s="42">
        <f>+OperatingFunds!V128*1000/Enrollment!U16</f>
        <v>240.9366732529478</v>
      </c>
      <c r="W128" s="42">
        <f>+OperatingFunds!W128*1000/Enrollment!V16</f>
        <v>260.38622390013268</v>
      </c>
      <c r="X128" s="42">
        <f>+OperatingFunds!X128*1000/Enrollment!W16</f>
        <v>401.00469129867327</v>
      </c>
      <c r="Y128" s="42">
        <f>+OperatingFunds!Y128*1000/Enrollment!X16</f>
        <v>206.36913092905093</v>
      </c>
      <c r="Z128" s="42">
        <f>+OperatingFunds!Z128*1000/Enrollment!Y16</f>
        <v>222.13623976161975</v>
      </c>
      <c r="AA128" s="42">
        <f>+OperatingFunds!AA128*1000/Enrollment!Z16</f>
        <v>233.15595639362675</v>
      </c>
      <c r="AB128" s="42">
        <f>+OperatingFunds!AB128*1000/Enrollment!AA16</f>
        <v>187.30849818896218</v>
      </c>
      <c r="AC128" s="42">
        <f>+OperatingFunds!AC128*1000/Enrollment!AB16</f>
        <v>208.07955468959835</v>
      </c>
      <c r="AD128" s="42">
        <f>+OperatingFunds!AD128*1000/Enrollment!AC16</f>
        <v>198.90066349989331</v>
      </c>
      <c r="AE128" s="42">
        <f>+OperatingFunds!AE128*1000/Enrollment!AD16</f>
        <v>205.00130357355914</v>
      </c>
      <c r="AF128" s="42">
        <f>+OperatingFunds!AF128*1000/Enrollment!AE16</f>
        <v>191.50802958560845</v>
      </c>
      <c r="AG128" s="42">
        <f>+OperatingFunds!AG128*1000/Enrollment!AF16</f>
        <v>201.1845900209658</v>
      </c>
      <c r="AH128" s="42">
        <f>+OperatingFunds!AH128*1000/Enrollment!AG16</f>
        <v>205.46640300569806</v>
      </c>
      <c r="AI128" s="42">
        <f>+OperatingFunds!AI128*1000/Enrollment!AH16</f>
        <v>205.86271148706678</v>
      </c>
      <c r="AJ128" s="42">
        <f>+OperatingFunds!AJ128*1000/Enrollment!AI16</f>
        <v>212.79782460850112</v>
      </c>
      <c r="AK128" s="42">
        <f>+OperatingFunds!AK128*1000/Enrollment!AJ16</f>
        <v>219.95648590622909</v>
      </c>
    </row>
    <row r="129" spans="2:37">
      <c r="C129"/>
      <c r="D129"/>
      <c r="E129"/>
      <c r="F129"/>
      <c r="G129"/>
      <c r="H129"/>
      <c r="I129"/>
      <c r="J129"/>
      <c r="K129"/>
      <c r="L129"/>
      <c r="M129"/>
      <c r="N129"/>
      <c r="O129"/>
      <c r="P129"/>
      <c r="Q129" s="3"/>
      <c r="R129" s="3"/>
      <c r="S129" s="3"/>
      <c r="T129" s="3"/>
      <c r="U129" s="3"/>
      <c r="V129" s="3"/>
      <c r="W129" s="3"/>
      <c r="X129" s="3"/>
      <c r="Y129" s="3"/>
      <c r="Z129" s="3"/>
      <c r="AA129" s="3"/>
      <c r="AB129" s="3"/>
      <c r="AC129" s="3"/>
      <c r="AD129" s="3"/>
      <c r="AE129" s="3"/>
      <c r="AF129" s="3"/>
      <c r="AG129" s="3"/>
      <c r="AH129" s="3"/>
      <c r="AI129" s="3"/>
      <c r="AJ129" s="3"/>
      <c r="AK129" s="3"/>
    </row>
    <row r="130" spans="2:37">
      <c r="B130" s="1" t="str">
        <f>+$B$16</f>
        <v>Community/Technical College System</v>
      </c>
      <c r="C130"/>
      <c r="D130"/>
      <c r="E130"/>
      <c r="F130"/>
      <c r="G130"/>
      <c r="H130"/>
      <c r="I130"/>
      <c r="J130"/>
      <c r="K130"/>
      <c r="L130"/>
      <c r="M130"/>
      <c r="N130"/>
      <c r="O130"/>
      <c r="P130"/>
      <c r="Q130" s="3">
        <f>+OperatingFunds!Q130*1000/Enrollment!P18</f>
        <v>63.978269977792401</v>
      </c>
      <c r="R130" s="3">
        <f>+OperatingFunds!R130*1000/Enrollment!Q18</f>
        <v>67.759124565553009</v>
      </c>
      <c r="S130" s="3">
        <f>+OperatingFunds!S130*1000/Enrollment!R18</f>
        <v>88.246412974574781</v>
      </c>
      <c r="T130" s="3">
        <f>+OperatingFunds!T130*1000/Enrollment!S18</f>
        <v>84.969231338717108</v>
      </c>
      <c r="U130" s="3">
        <f>+OperatingFunds!U130*1000/Enrollment!T18</f>
        <v>83.216018594670444</v>
      </c>
      <c r="V130" s="3">
        <f>+OperatingFunds!V130*1000/Enrollment!U18</f>
        <v>77.073378987063407</v>
      </c>
      <c r="W130" s="3">
        <f>+OperatingFunds!W130*1000/Enrollment!V18</f>
        <v>0</v>
      </c>
      <c r="X130" s="3">
        <f>+OperatingFunds!X130*1000/Enrollment!W18</f>
        <v>0</v>
      </c>
      <c r="Y130" s="3">
        <f>+OperatingFunds!Y130*1000/Enrollment!X18</f>
        <v>66.138455907951666</v>
      </c>
      <c r="Z130" s="3">
        <f>+OperatingFunds!Z130*1000/Enrollment!Y18</f>
        <v>85.833342817851488</v>
      </c>
      <c r="AA130" s="3">
        <f>+OperatingFunds!AA130*1000/Enrollment!Z18</f>
        <v>79.546293598277643</v>
      </c>
      <c r="AB130" s="3">
        <f>+OperatingFunds!AB130*1000/Enrollment!AA18</f>
        <v>82.165481724026364</v>
      </c>
      <c r="AC130" s="3">
        <f>+OperatingFunds!AC130*1000/Enrollment!AB18</f>
        <v>80.682974858452766</v>
      </c>
      <c r="AD130" s="3">
        <f>+OperatingFunds!AD130*1000/Enrollment!AC18</f>
        <v>88.792129024337129</v>
      </c>
      <c r="AE130" s="3">
        <f>+OperatingFunds!AE130*1000/Enrollment!AD18</f>
        <v>86.248944663816417</v>
      </c>
      <c r="AF130" s="3">
        <f>+OperatingFunds!AF130*1000/Enrollment!AE18</f>
        <v>92.84838051580553</v>
      </c>
      <c r="AG130" s="3">
        <f>+OperatingFunds!AG130*1000/Enrollment!AF18</f>
        <v>94.263948355452982</v>
      </c>
      <c r="AH130" s="3">
        <f>+OperatingFunds!AH130*1000/Enrollment!AG18</f>
        <v>109.29582162346031</v>
      </c>
      <c r="AI130" s="3">
        <f>+OperatingFunds!AI130*1000/Enrollment!AH18</f>
        <v>98.579267775143535</v>
      </c>
      <c r="AJ130" s="3">
        <f>+OperatingFunds!AJ130*1000/Enrollment!AI18</f>
        <v>108.6118865122755</v>
      </c>
      <c r="AK130" s="3">
        <f>+OperatingFunds!AK130*1000/Enrollment!AJ18</f>
        <v>104.22065516737045</v>
      </c>
    </row>
    <row r="131" spans="2:37" hidden="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c r="AE131" s="3"/>
      <c r="AF131" s="3"/>
      <c r="AG131" s="3"/>
      <c r="AH131" s="3"/>
      <c r="AI131" s="3"/>
      <c r="AJ131" s="3"/>
      <c r="AK131" s="3"/>
    </row>
    <row r="132" spans="2:37" ht="13.5" thickBot="1">
      <c r="C132"/>
      <c r="D132"/>
      <c r="E132"/>
      <c r="F132"/>
      <c r="G132"/>
      <c r="H132"/>
      <c r="I132"/>
      <c r="J132"/>
      <c r="K132"/>
      <c r="L132"/>
      <c r="M132"/>
      <c r="N132"/>
      <c r="O132"/>
      <c r="P132"/>
      <c r="Z132" s="1"/>
      <c r="AA132" s="1"/>
      <c r="AB132" s="1"/>
    </row>
    <row r="133" spans="2:37" ht="13.5" thickTop="1">
      <c r="B133" s="1" t="str">
        <f>+$B$19</f>
        <v>Total Higher Education</v>
      </c>
      <c r="C133" s="38"/>
      <c r="D133" s="38"/>
      <c r="E133" s="38"/>
      <c r="F133" s="38"/>
      <c r="G133" s="38"/>
      <c r="H133" s="38"/>
      <c r="I133" s="38"/>
      <c r="J133" s="38"/>
      <c r="K133" s="38"/>
      <c r="L133" s="38"/>
      <c r="M133" s="38"/>
      <c r="N133" s="38"/>
      <c r="O133" s="38"/>
      <c r="P133" s="38"/>
      <c r="Q133" s="39">
        <f>+OperatingFunds!Q133*1000/Enrollment!P21</f>
        <v>114.21048792025088</v>
      </c>
      <c r="R133" s="39">
        <f>+OperatingFunds!R133*1000/Enrollment!Q21</f>
        <v>120.36023518378082</v>
      </c>
      <c r="S133" s="39">
        <f>+OperatingFunds!S133*1000/Enrollment!R21</f>
        <v>150.15601126271889</v>
      </c>
      <c r="T133" s="39">
        <f>+OperatingFunds!T133*1000/Enrollment!S21</f>
        <v>152.9230703332324</v>
      </c>
      <c r="U133" s="39">
        <f>+OperatingFunds!U133*1000/Enrollment!T21</f>
        <v>141.26211954697089</v>
      </c>
      <c r="V133" s="39">
        <f>+OperatingFunds!V133*1000/Enrollment!U21</f>
        <v>142.46918270932488</v>
      </c>
      <c r="W133" s="39">
        <f>+OperatingFunds!W133*1000/Enrollment!V21</f>
        <v>100.56349519930025</v>
      </c>
      <c r="X133" s="39">
        <f>+OperatingFunds!X133*1000/Enrollment!W21</f>
        <v>155.86754395921349</v>
      </c>
      <c r="Y133" s="39">
        <f>+OperatingFunds!Y133*1000/Enrollment!X112</f>
        <v>136.77936440312911</v>
      </c>
      <c r="Z133" s="39">
        <f>+OperatingFunds!Z133*1000/Enrollment!Y21</f>
        <v>142.55758613911672</v>
      </c>
      <c r="AA133" s="39">
        <f>+OperatingFunds!AA133*1000/Enrollment!Z21</f>
        <v>144.8751830487698</v>
      </c>
      <c r="AB133" s="39">
        <f>+OperatingFunds!AB133*1000/Enrollment!AA21</f>
        <v>128.17478988269266</v>
      </c>
      <c r="AC133" s="39">
        <f>+OperatingFunds!AC133*1000/Enrollment!AB21</f>
        <v>137.68176746179873</v>
      </c>
      <c r="AD133" s="39">
        <f>+OperatingFunds!AD133*1000/Enrollment!AC21</f>
        <v>139.32264164541576</v>
      </c>
      <c r="AE133" s="39">
        <f>+OperatingFunds!AE133*1000/Enrollment!AD21</f>
        <v>141.83847751184757</v>
      </c>
      <c r="AF133" s="39">
        <f>+OperatingFunds!AF133*1000/Enrollment!AE21</f>
        <v>140.10378533491252</v>
      </c>
      <c r="AG133" s="39">
        <f>+OperatingFunds!AG133*1000/Enrollment!AF21</f>
        <v>146.7246696518875</v>
      </c>
      <c r="AH133" s="39">
        <f>+OperatingFunds!AH133*1000/Enrollment!AG21</f>
        <v>158.24776870313045</v>
      </c>
      <c r="AI133" s="39">
        <f>+OperatingFunds!AI133*1000/Enrollment!AH21</f>
        <v>151.81426722304403</v>
      </c>
      <c r="AJ133" s="39">
        <f>+OperatingFunds!AJ133*1000/Enrollment!AI21</f>
        <v>159.73741434354309</v>
      </c>
      <c r="AK133" s="39">
        <f>+OperatingFunds!AK133*1000/Enrollment!AJ21</f>
        <v>162.71992872960601</v>
      </c>
    </row>
    <row r="134" spans="2:37">
      <c r="B134" s="199" t="str">
        <f>+$B$20</f>
        <v>[biennial annual average]</v>
      </c>
      <c r="C134"/>
      <c r="D134"/>
      <c r="E134"/>
      <c r="F134"/>
      <c r="G134"/>
      <c r="H134"/>
      <c r="I134"/>
      <c r="J134"/>
      <c r="K134"/>
      <c r="L134"/>
      <c r="M134"/>
      <c r="N134"/>
      <c r="O134"/>
      <c r="P134"/>
      <c r="R134" s="3">
        <f>AVERAGE(Q133:R133)</f>
        <v>117.28536155201584</v>
      </c>
      <c r="T134" s="3">
        <f>AVERAGE(S133:T133)</f>
        <v>151.53954079797563</v>
      </c>
      <c r="V134" s="3">
        <f>AVERAGE(U133:V133)</f>
        <v>141.86565112814787</v>
      </c>
      <c r="X134" s="3">
        <f>AVERAGE(W133:X133)</f>
        <v>128.21551957925686</v>
      </c>
      <c r="Z134" s="3">
        <f>AVERAGE(Y133:Z133)</f>
        <v>139.66847527112293</v>
      </c>
      <c r="AA134" s="3"/>
      <c r="AB134" s="3">
        <f>AVERAGE(AA133:AB133)</f>
        <v>136.52498646573122</v>
      </c>
      <c r="AC134" s="3"/>
      <c r="AD134" s="3">
        <f>AVERAGE(AC133:AD133)</f>
        <v>138.50220455360724</v>
      </c>
      <c r="AE134" s="3"/>
      <c r="AF134" s="3">
        <f>AVERAGE(AE133:AF133)</f>
        <v>140.97113142338003</v>
      </c>
      <c r="AG134" s="3"/>
      <c r="AH134" s="3">
        <f>AVERAGE(AG133:AH133)</f>
        <v>152.48621917750899</v>
      </c>
      <c r="AI134" s="3"/>
      <c r="AJ134" s="3">
        <f>AVERAGE(AI133:AJ133)</f>
        <v>155.77584078329357</v>
      </c>
      <c r="AK134" s="3"/>
    </row>
    <row r="135" spans="2:37">
      <c r="B135" s="199"/>
      <c r="C135"/>
      <c r="D135"/>
      <c r="E135"/>
      <c r="F135"/>
      <c r="G135"/>
      <c r="H135"/>
      <c r="I135"/>
      <c r="J135"/>
      <c r="K135"/>
      <c r="L135"/>
      <c r="M135"/>
      <c r="N135"/>
      <c r="O135"/>
      <c r="P135"/>
      <c r="R135" s="3"/>
      <c r="T135" s="3"/>
      <c r="V135" s="3"/>
      <c r="X135" s="3"/>
      <c r="AC135"/>
      <c r="AD135"/>
      <c r="AE135"/>
      <c r="AF135"/>
      <c r="AG135"/>
    </row>
    <row r="136" spans="2:37" ht="39.950000000000003" customHeight="1">
      <c r="B136" s="2448" t="str">
        <f>+OperatingFunds!B136</f>
        <v>Other State Funds:  Aquatic Lands (02R-1); Economic Development Strategic Reserve (09R-1); Geoduck Aquaculture (12P-1); Biotoxin (15M-1); Aerospace Training (17R-1); Workforce Education Investment (24J-1); Dedicated Marijuana (315-1); Pension Funding Stablilization (489-1); Accident (608-1); Medical Aid (609-1); Health Professions (747-1), and capital funds appropriated in the 2023-25 Operating Budget</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c r="AK136" s="2401"/>
    </row>
    <row r="137" spans="2:37">
      <c r="B137" s="377" t="str">
        <f>+B4</f>
        <v>(Dollars Per Actual State-Funded FTE Enrollment)</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spans="2:37">
      <c r="I138" s="13"/>
      <c r="J138" s="13"/>
      <c r="K138" s="13"/>
      <c r="L138" s="13"/>
      <c r="M138" s="13"/>
      <c r="N138" s="13"/>
      <c r="O138" s="13"/>
      <c r="P138" s="13"/>
      <c r="Q138"/>
      <c r="R138" s="13"/>
      <c r="S138"/>
      <c r="T138"/>
      <c r="U138" s="2" t="str">
        <f>IF(ISBLANK(OperatingFunds!U138),"",OperatingFunds!U138)</f>
        <v/>
      </c>
      <c r="V138" s="2"/>
      <c r="W138"/>
      <c r="X138"/>
      <c r="Y138"/>
      <c r="AA138" s="2" t="str">
        <f>TRIM(AA$5)</f>
        <v/>
      </c>
      <c r="AB138" s="2" t="str">
        <f>TRIM(AB$5)</f>
        <v/>
      </c>
      <c r="AC138" s="2" t="str">
        <f>TRIM(AC$5)</f>
        <v/>
      </c>
      <c r="AD138" s="2" t="str">
        <f>TRIM(AD$5)</f>
        <v/>
      </c>
      <c r="AE138" s="2" t="str">
        <f t="shared" ref="AE138:AK138" si="90">TRIM(AE$5)</f>
        <v/>
      </c>
      <c r="AF138" s="2" t="str">
        <f t="shared" si="90"/>
        <v/>
      </c>
      <c r="AG138" s="2" t="str">
        <f t="shared" si="90"/>
        <v/>
      </c>
      <c r="AH138" s="2" t="str">
        <f t="shared" si="90"/>
        <v/>
      </c>
      <c r="AI138" s="2" t="str">
        <f>TRIM(AI$5)</f>
        <v/>
      </c>
      <c r="AJ138" s="2" t="str">
        <f t="shared" si="90"/>
        <v/>
      </c>
      <c r="AK138" s="2" t="str">
        <f t="shared" si="90"/>
        <v>Final</v>
      </c>
    </row>
    <row r="139" spans="2:37">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+OperatingFunds!U139</f>
        <v>FY2008</v>
      </c>
      <c r="V139" s="2" t="str">
        <f>+OperatingFunds!V139</f>
        <v>FY2009</v>
      </c>
      <c r="W139" s="2" t="str">
        <f>+OperatingFunds!W139</f>
        <v>FY2010</v>
      </c>
      <c r="X139" s="2" t="str">
        <f>+OperatingFunds!X139</f>
        <v>FY2011</v>
      </c>
      <c r="Y139" s="2" t="str">
        <f>+OperatingFunds!Y139</f>
        <v>FY2012</v>
      </c>
      <c r="Z139" s="2" t="str">
        <f>+OperatingFunds!Z139</f>
        <v>FY2013</v>
      </c>
      <c r="AA139" s="2" t="str">
        <f>+OperatingFunds!AA139</f>
        <v>FY2014</v>
      </c>
      <c r="AB139" s="2" t="str">
        <f>+OperatingFunds!AB139</f>
        <v>FY2015</v>
      </c>
      <c r="AC139" s="2" t="str">
        <f>+OperatingFunds!AC139</f>
        <v>FY2016</v>
      </c>
      <c r="AD139" s="2" t="str">
        <f>+OperatingFunds!AD139</f>
        <v>FY2017</v>
      </c>
      <c r="AE139" s="2" t="str">
        <f>+OperatingFunds!AE139</f>
        <v>FY2018</v>
      </c>
      <c r="AF139" s="2" t="str">
        <f>+OperatingFunds!AF139</f>
        <v>FY2019</v>
      </c>
      <c r="AG139" s="2" t="str">
        <f>+OperatingFunds!AG139</f>
        <v>FY2020</v>
      </c>
      <c r="AH139" s="2" t="str">
        <f>+OperatingFunds!AH139</f>
        <v>FY2021</v>
      </c>
      <c r="AI139" s="2" t="str">
        <f>+OperatingFunds!AI139</f>
        <v>FY2022</v>
      </c>
      <c r="AJ139" s="2" t="str">
        <f>+OperatingFunds!AJ139</f>
        <v>FY2023</v>
      </c>
      <c r="AK139" s="2" t="str">
        <f>+OperatingFunds!AK139</f>
        <v>FY2024</v>
      </c>
    </row>
    <row r="140" spans="2:37">
      <c r="R140" s="3"/>
      <c r="U140" s="2"/>
      <c r="V140" s="2"/>
      <c r="W140" s="2"/>
      <c r="X140" s="2"/>
      <c r="Y140" s="2"/>
      <c r="Z140" s="2"/>
      <c r="AA140" s="2"/>
      <c r="AB140" s="2"/>
      <c r="AC140" s="2"/>
      <c r="AD140" s="2"/>
      <c r="AE140" s="2"/>
      <c r="AF140" s="2"/>
      <c r="AG140" s="2"/>
    </row>
    <row r="141" spans="2:37">
      <c r="B141" s="1" t="str">
        <f>+$B$8</f>
        <v>University of Washington</v>
      </c>
      <c r="C141" s="3"/>
      <c r="D141" s="3"/>
      <c r="E141" s="3"/>
      <c r="F141" s="3"/>
      <c r="G141" s="3"/>
      <c r="H141" s="3"/>
      <c r="I141" s="3"/>
      <c r="J141" s="3"/>
      <c r="K141" s="3"/>
      <c r="L141" s="3"/>
      <c r="M141" s="3">
        <f>+OperatingFunds!M141*1000/Enrollment!L10</f>
        <v>155.50204357272887</v>
      </c>
      <c r="N141" s="3">
        <f>+OperatingFunds!N141*1000/Enrollment!M10</f>
        <v>180.14389406852371</v>
      </c>
      <c r="O141" s="3">
        <f>+OperatingFunds!O141*1000/Enrollment!N10</f>
        <v>158.27709389581688</v>
      </c>
      <c r="P141" s="3">
        <f>+OperatingFunds!P141*1000/Enrollment!O10</f>
        <v>192.64181316451587</v>
      </c>
      <c r="Q141" s="3">
        <f>+OperatingFunds!Q141*1000/Enrollment!P10</f>
        <v>161.74579744465248</v>
      </c>
      <c r="R141" s="3">
        <f>+OperatingFunds!R141*1000/Enrollment!Q10</f>
        <v>165.40901669554697</v>
      </c>
      <c r="S141" s="3">
        <f>+OperatingFunds!S141*1000/Enrollment!R10</f>
        <v>168.15914829826218</v>
      </c>
      <c r="T141" s="3">
        <f>+OperatingFunds!T141*1000/Enrollment!S10</f>
        <v>188.12531148525122</v>
      </c>
      <c r="U141" s="3">
        <f>+OperatingFunds!U141*1000/Enrollment!T10</f>
        <v>172.89541359099763</v>
      </c>
      <c r="V141" s="3">
        <f>+OperatingFunds!V141*1000/Enrollment!U10</f>
        <v>160.61341580825211</v>
      </c>
      <c r="W141" s="3">
        <f>+OperatingFunds!W141*1000/Enrollment!V10</f>
        <v>161.11691943955617</v>
      </c>
      <c r="X141" s="3">
        <f>+OperatingFunds!X141*1000/Enrollment!W10</f>
        <v>163.35864338586987</v>
      </c>
      <c r="Y141" s="3">
        <f>+OperatingFunds!Y141*1000/Enrollment!X10</f>
        <v>144.85232431293602</v>
      </c>
      <c r="Z141" s="3">
        <f>+OperatingFunds!Z141*1000/Enrollment!Y10</f>
        <v>202.71046938381301</v>
      </c>
      <c r="AA141" s="3">
        <f>+OperatingFunds!AA141*1000/Enrollment!Z10</f>
        <v>174.04122622131925</v>
      </c>
      <c r="AB141" s="3">
        <f>+OperatingFunds!AB141*1000/Enrollment!AA10</f>
        <v>208.6166856022908</v>
      </c>
      <c r="AC141" s="3">
        <f>+OperatingFunds!AC141*1000/Enrollment!AB10</f>
        <v>205.04638377546146</v>
      </c>
      <c r="AD141" s="3">
        <f>+OperatingFunds!AD141*1000/Enrollment!AC10</f>
        <v>198.60890309089595</v>
      </c>
      <c r="AE141" s="3">
        <f>+OperatingFunds!AE141*1000/Enrollment!AD10</f>
        <v>749.26205962411768</v>
      </c>
      <c r="AF141" s="3">
        <f>+OperatingFunds!AF141*1000/Enrollment!AE10</f>
        <v>713.96127869620534</v>
      </c>
      <c r="AG141" s="3">
        <f>+OperatingFunds!AG141*1000/Enrollment!AF10</f>
        <v>962.0313414219072</v>
      </c>
      <c r="AH141" s="3">
        <f>+OperatingFunds!AH141*1000/Enrollment!AG10</f>
        <v>1246.4299151103567</v>
      </c>
      <c r="AI141" s="3">
        <f>+OperatingFunds!AI141*1000/Enrollment!AH10</f>
        <v>731.61766768012728</v>
      </c>
      <c r="AJ141" s="3">
        <f>+OperatingFunds!AJ141*1000/Enrollment!AI10</f>
        <v>810.4630532493951</v>
      </c>
      <c r="AK141" s="3">
        <f>+OperatingFunds!AK141*1000/Enrollment!AJ10</f>
        <v>892.16623454493504</v>
      </c>
    </row>
    <row r="142" spans="2:37">
      <c r="B142" s="1" t="str">
        <f>+$B$9</f>
        <v>Washington State University</v>
      </c>
      <c r="C142" s="3"/>
      <c r="D142" s="3"/>
      <c r="E142" s="3"/>
      <c r="F142" s="3"/>
      <c r="G142" s="3"/>
      <c r="H142" s="3"/>
      <c r="I142" s="3"/>
      <c r="J142" s="3"/>
      <c r="K142" s="3"/>
      <c r="L142" s="3"/>
      <c r="M142" s="3">
        <f>+OperatingFunds!M142*1000/Enrollment!L11</f>
        <v>0</v>
      </c>
      <c r="N142" s="3">
        <f>+OperatingFunds!N142*1000/Enrollment!M11</f>
        <v>0</v>
      </c>
      <c r="O142" s="3">
        <f>+OperatingFunds!O142*1000/Enrollment!N11</f>
        <v>0</v>
      </c>
      <c r="P142" s="3">
        <f>+OperatingFunds!P142*1000/Enrollment!O11</f>
        <v>0</v>
      </c>
      <c r="Q142" s="3">
        <f>+OperatingFunds!Q142*1000/Enrollment!P11</f>
        <v>0</v>
      </c>
      <c r="R142" s="3">
        <f>+OperatingFunds!R142*1000/Enrollment!Q11</f>
        <v>7.089852058420381</v>
      </c>
      <c r="S142" s="3">
        <f>+OperatingFunds!S142*1000/Enrollment!R11</f>
        <v>0</v>
      </c>
      <c r="T142" s="3">
        <f>+OperatingFunds!T142*1000/Enrollment!S11</f>
        <v>13.770738355971236</v>
      </c>
      <c r="U142" s="3">
        <f>+OperatingFunds!U142*1000/Enrollment!T11</f>
        <v>54.851564948730577</v>
      </c>
      <c r="V142" s="3">
        <f>+OperatingFunds!V142*1000/Enrollment!U11</f>
        <v>52.539254328591227</v>
      </c>
      <c r="W142" s="3">
        <f>+OperatingFunds!W142*1000/Enrollment!V11</f>
        <v>0</v>
      </c>
      <c r="X142" s="3">
        <f>+OperatingFunds!X142*1000/Enrollment!W11</f>
        <v>0</v>
      </c>
      <c r="Y142" s="3">
        <f>+OperatingFunds!Y142*1000/Enrollment!X11</f>
        <v>0</v>
      </c>
      <c r="Z142" s="3">
        <f>+OperatingFunds!Z142*1000/Enrollment!Y11</f>
        <v>0</v>
      </c>
      <c r="AA142" s="3">
        <f>+OperatingFunds!AA142*1000/Enrollment!Z11</f>
        <v>0</v>
      </c>
      <c r="AB142" s="3">
        <f>+OperatingFunds!AB142*1000/Enrollment!AA11</f>
        <v>0</v>
      </c>
      <c r="AC142" s="3">
        <f>+OperatingFunds!AC142*1000/Enrollment!AB11</f>
        <v>5.2428423804024078</v>
      </c>
      <c r="AD142" s="3">
        <f>+OperatingFunds!AD142*1000/Enrollment!AC11</f>
        <v>5.1821092060670724</v>
      </c>
      <c r="AE142" s="3">
        <f>+OperatingFunds!AE142*1000/Enrollment!AD11</f>
        <v>592.87734018370327</v>
      </c>
      <c r="AF142" s="3">
        <f>+OperatingFunds!AF142*1000/Enrollment!AE11</f>
        <v>579.82858522452921</v>
      </c>
      <c r="AG142" s="3">
        <f>+OperatingFunds!AG142*1000/Enrollment!AF11</f>
        <v>820.81537313073432</v>
      </c>
      <c r="AH142" s="3">
        <f>+OperatingFunds!AH142*1000/Enrollment!AG11</f>
        <v>1078.5394739284586</v>
      </c>
      <c r="AI142" s="3">
        <f>+OperatingFunds!AI142*1000/Enrollment!AH11</f>
        <v>605.08898174447518</v>
      </c>
      <c r="AJ142" s="3">
        <f>+OperatingFunds!AJ142*1000/Enrollment!AI11</f>
        <v>737.29976150777736</v>
      </c>
      <c r="AK142" s="3">
        <f>+OperatingFunds!AK142*1000/Enrollment!AJ11</f>
        <v>1032.9124721118844</v>
      </c>
    </row>
    <row r="143" spans="2:37">
      <c r="B143" s="1" t="str">
        <f>+$B$10</f>
        <v>Eastern Washington University</v>
      </c>
      <c r="C143" s="3"/>
      <c r="D143" s="3"/>
      <c r="E143" s="3"/>
      <c r="F143" s="3"/>
      <c r="G143" s="3"/>
      <c r="H143" s="3"/>
      <c r="I143" s="3"/>
      <c r="J143" s="3"/>
      <c r="K143" s="3"/>
      <c r="L143" s="3"/>
      <c r="M143" s="3">
        <f>+OperatingFunds!M143*1000/Enrollment!L12</f>
        <v>0</v>
      </c>
      <c r="N143" s="3">
        <f>+OperatingFunds!N143*1000/Enrollment!M12</f>
        <v>0</v>
      </c>
      <c r="O143" s="3">
        <f>+OperatingFunds!O143*1000/Enrollment!N12</f>
        <v>0</v>
      </c>
      <c r="P143" s="3">
        <f>+OperatingFunds!P143*1000/Enrollment!O12</f>
        <v>0</v>
      </c>
      <c r="Q143" s="3">
        <f>+OperatingFunds!Q143*1000/Enrollment!P12</f>
        <v>0</v>
      </c>
      <c r="R143" s="3">
        <f>+OperatingFunds!R143*1000/Enrollment!Q12</f>
        <v>0</v>
      </c>
      <c r="S143" s="3">
        <f>+OperatingFunds!S143*1000/Enrollment!R12</f>
        <v>0</v>
      </c>
      <c r="T143" s="3">
        <f>+OperatingFunds!T143*1000/Enrollment!S12</f>
        <v>11.970834693655458</v>
      </c>
      <c r="U143" s="3">
        <f>+OperatingFunds!U143*1000/Enrollment!T12</f>
        <v>261.11389570810269</v>
      </c>
      <c r="V143" s="3">
        <f>+OperatingFunds!V143*1000/Enrollment!U12</f>
        <v>256.17170287958959</v>
      </c>
      <c r="W143" s="3">
        <f>+OperatingFunds!W143*1000/Enrollment!V12</f>
        <v>0</v>
      </c>
      <c r="X143" s="3">
        <f>+OperatingFunds!X143*1000/Enrollment!W12</f>
        <v>0</v>
      </c>
      <c r="Y143" s="3">
        <f>+OperatingFunds!Y143*1000/Enrollment!X12</f>
        <v>0</v>
      </c>
      <c r="Z143" s="3">
        <f>+OperatingFunds!Z143*1000/Enrollment!Y12</f>
        <v>0</v>
      </c>
      <c r="AA143" s="3">
        <f>+OperatingFunds!AA143*1000/Enrollment!Z12</f>
        <v>0</v>
      </c>
      <c r="AB143" s="3">
        <f>+OperatingFunds!AB143*1000/Enrollment!AA12</f>
        <v>0</v>
      </c>
      <c r="AC143" s="3">
        <f>+OperatingFunds!AC143*1000/Enrollment!AB12</f>
        <v>0</v>
      </c>
      <c r="AD143" s="3">
        <f>+OperatingFunds!AD143*1000/Enrollment!AC12</f>
        <v>0</v>
      </c>
      <c r="AE143" s="3">
        <f>+OperatingFunds!AE143*1000/Enrollment!AD12</f>
        <v>0</v>
      </c>
      <c r="AF143" s="3">
        <f>+OperatingFunds!AF143*1000/Enrollment!AE12</f>
        <v>0</v>
      </c>
      <c r="AG143" s="3">
        <f>+OperatingFunds!AG143*1000/Enrollment!AF12</f>
        <v>210.56149732620321</v>
      </c>
      <c r="AH143" s="3">
        <f>+OperatingFunds!AH143*1000/Enrollment!AG12</f>
        <v>297.97305498240075</v>
      </c>
      <c r="AI143" s="3">
        <f>+OperatingFunds!AI143*1000/Enrollment!AH12</f>
        <v>362.05698401667826</v>
      </c>
      <c r="AJ143" s="3">
        <f>+OperatingFunds!AJ143*1000/Enrollment!AI12</f>
        <v>1897.51032153134</v>
      </c>
      <c r="AK143" s="3">
        <f>+OperatingFunds!AK143*1000/Enrollment!AJ12</f>
        <v>1929.3493563793988</v>
      </c>
    </row>
    <row r="144" spans="2:37">
      <c r="B144" s="1" t="str">
        <f>+$B$11</f>
        <v>Central Washington University</v>
      </c>
      <c r="C144" s="3"/>
      <c r="D144" s="3"/>
      <c r="E144" s="3"/>
      <c r="F144" s="3"/>
      <c r="G144" s="3"/>
      <c r="H144" s="3"/>
      <c r="I144" s="3"/>
      <c r="J144" s="3"/>
      <c r="K144" s="3"/>
      <c r="L144" s="3"/>
      <c r="M144" s="3">
        <f>+OperatingFunds!M144*1000/Enrollment!L13</f>
        <v>0</v>
      </c>
      <c r="N144" s="3">
        <f>+OperatingFunds!N144*1000/Enrollment!M13</f>
        <v>0</v>
      </c>
      <c r="O144" s="3">
        <f>+OperatingFunds!O144*1000/Enrollment!N13</f>
        <v>0</v>
      </c>
      <c r="P144" s="3">
        <f>+OperatingFunds!P144*1000/Enrollment!O13</f>
        <v>0</v>
      </c>
      <c r="Q144" s="3">
        <f>+OperatingFunds!Q144*1000/Enrollment!P13</f>
        <v>0</v>
      </c>
      <c r="R144" s="3">
        <f>+OperatingFunds!R144*1000/Enrollment!Q13</f>
        <v>0</v>
      </c>
      <c r="S144" s="3">
        <f>+OperatingFunds!S144*1000/Enrollment!R13</f>
        <v>0</v>
      </c>
      <c r="T144" s="3">
        <f>+OperatingFunds!T144*1000/Enrollment!S13</f>
        <v>11.190786614515428</v>
      </c>
      <c r="U144" s="3">
        <f>+OperatingFunds!U144*1000/Enrollment!T13</f>
        <v>242.42645930837355</v>
      </c>
      <c r="V144" s="3">
        <f>+OperatingFunds!V144*1000/Enrollment!U13</f>
        <v>238.39359057084528</v>
      </c>
      <c r="W144" s="3">
        <f>+OperatingFunds!W144*1000/Enrollment!V13</f>
        <v>0</v>
      </c>
      <c r="X144" s="3">
        <f>+OperatingFunds!X144*1000/Enrollment!W13</f>
        <v>0</v>
      </c>
      <c r="Y144" s="3">
        <f>+OperatingFunds!Y144*1000/Enrollment!X13</f>
        <v>0</v>
      </c>
      <c r="Z144" s="3">
        <f>+OperatingFunds!Z144*1000/Enrollment!Y13</f>
        <v>0</v>
      </c>
      <c r="AA144" s="3">
        <f>+OperatingFunds!AA144*1000/Enrollment!Z13</f>
        <v>0</v>
      </c>
      <c r="AB144" s="3">
        <f>+OperatingFunds!AB144*1000/Enrollment!AA13</f>
        <v>0</v>
      </c>
      <c r="AC144" s="3">
        <f>+OperatingFunds!AC144*1000/Enrollment!AB13</f>
        <v>0</v>
      </c>
      <c r="AD144" s="3">
        <f>+OperatingFunds!AD144*1000/Enrollment!AC13</f>
        <v>0</v>
      </c>
      <c r="AE144" s="3">
        <f>+OperatingFunds!AE144*1000/Enrollment!AD13</f>
        <v>201.72605228626225</v>
      </c>
      <c r="AF144" s="3">
        <f>+OperatingFunds!AF144*1000/Enrollment!AE13</f>
        <v>203.76916018081096</v>
      </c>
      <c r="AG144" s="3">
        <f>+OperatingFunds!AG144*1000/Enrollment!AF13</f>
        <v>333.27153054602763</v>
      </c>
      <c r="AH144" s="3">
        <f>+OperatingFunds!AH144*1000/Enrollment!AG13</f>
        <v>414.8132823006103</v>
      </c>
      <c r="AI144" s="3">
        <f>+OperatingFunds!AI144*1000/Enrollment!AH13</f>
        <v>234.02010126775042</v>
      </c>
      <c r="AJ144" s="3">
        <f>+OperatingFunds!AJ144*1000/Enrollment!AI13</f>
        <v>387.57272727272726</v>
      </c>
      <c r="AK144" s="3">
        <f>+OperatingFunds!AK144*1000/Enrollment!AJ13</f>
        <v>1028.0142980608712</v>
      </c>
    </row>
    <row r="145" spans="2:37">
      <c r="B145" s="1" t="str">
        <f>+$B$12</f>
        <v>The Evergreen State College</v>
      </c>
      <c r="C145" s="3"/>
      <c r="D145" s="3"/>
      <c r="E145" s="3"/>
      <c r="F145" s="3"/>
      <c r="G145" s="3"/>
      <c r="H145" s="3"/>
      <c r="I145" s="3"/>
      <c r="J145" s="3"/>
      <c r="K145" s="3"/>
      <c r="L145" s="3"/>
      <c r="M145" s="3">
        <f>+OperatingFunds!M145*1000/Enrollment!L14</f>
        <v>0</v>
      </c>
      <c r="N145" s="3">
        <f>+OperatingFunds!N145*1000/Enrollment!M14</f>
        <v>0</v>
      </c>
      <c r="O145" s="3">
        <f>+OperatingFunds!O145*1000/Enrollment!N14</f>
        <v>0</v>
      </c>
      <c r="P145" s="3">
        <f>+OperatingFunds!P145*1000/Enrollment!O14</f>
        <v>0</v>
      </c>
      <c r="Q145" s="3">
        <f>+OperatingFunds!Q145*1000/Enrollment!P14</f>
        <v>0</v>
      </c>
      <c r="R145" s="3">
        <f>+OperatingFunds!R145*1000/Enrollment!Q14</f>
        <v>0</v>
      </c>
      <c r="S145" s="3">
        <f>+OperatingFunds!S145*1000/Enrollment!R14</f>
        <v>0</v>
      </c>
      <c r="T145" s="3">
        <f>+OperatingFunds!T145*1000/Enrollment!S14</f>
        <v>18.230432668935343</v>
      </c>
      <c r="U145" s="3">
        <f>+OperatingFunds!U145*1000/Enrollment!T14</f>
        <v>0</v>
      </c>
      <c r="V145" s="3">
        <f>+OperatingFunds!V145*1000/Enrollment!U14</f>
        <v>0</v>
      </c>
      <c r="W145" s="3">
        <f>+OperatingFunds!W145*1000/Enrollment!V14</f>
        <v>0</v>
      </c>
      <c r="X145" s="3">
        <f>+OperatingFunds!X145*1000/Enrollment!W14</f>
        <v>0</v>
      </c>
      <c r="Y145" s="3">
        <f>+OperatingFunds!Y145*1000/Enrollment!X14</f>
        <v>0</v>
      </c>
      <c r="Z145" s="3">
        <f>+OperatingFunds!Z145*1000/Enrollment!Y14</f>
        <v>0</v>
      </c>
      <c r="AA145" s="3">
        <f>+OperatingFunds!AA145*1000/Enrollment!Z14</f>
        <v>0</v>
      </c>
      <c r="AB145" s="3">
        <f>+OperatingFunds!AB145*1000/Enrollment!AA14</f>
        <v>0</v>
      </c>
      <c r="AC145" s="3">
        <f>+OperatingFunds!AC145*1000/Enrollment!AB14</f>
        <v>0</v>
      </c>
      <c r="AD145" s="3">
        <f>+OperatingFunds!AD145*1000/Enrollment!AC14</f>
        <v>0</v>
      </c>
      <c r="AE145" s="3">
        <f>+OperatingFunds!AE145*1000/Enrollment!AD14</f>
        <v>11.57556270096463</v>
      </c>
      <c r="AF145" s="3">
        <f>+OperatingFunds!AF145*1000/Enrollment!AE14</f>
        <v>12.885214216686352</v>
      </c>
      <c r="AG145" s="3">
        <f>+OperatingFunds!AG145*1000/Enrollment!AF14</f>
        <v>563.69680851063833</v>
      </c>
      <c r="AH145" s="3">
        <f>+OperatingFunds!AH145*1000/Enrollment!AG14</f>
        <v>1123.8023670862297</v>
      </c>
      <c r="AI145" s="3">
        <f>+OperatingFunds!AI145*1000/Enrollment!AH14</f>
        <v>1137.9901027788353</v>
      </c>
      <c r="AJ145" s="3">
        <f>+OperatingFunds!AJ145*1000/Enrollment!AI14</f>
        <v>1116.735151288756</v>
      </c>
      <c r="AK145" s="3">
        <f>+OperatingFunds!AK145*1000/Enrollment!AJ14</f>
        <v>1284.1708582844551</v>
      </c>
    </row>
    <row r="146" spans="2:37">
      <c r="B146" s="1" t="str">
        <f>+$B$13</f>
        <v>Western Washington University</v>
      </c>
      <c r="C146" s="3"/>
      <c r="D146" s="3"/>
      <c r="E146" s="3"/>
      <c r="F146" s="3"/>
      <c r="G146" s="3"/>
      <c r="H146" s="3"/>
      <c r="I146" s="3"/>
      <c r="J146" s="3"/>
      <c r="K146" s="3"/>
      <c r="L146" s="3"/>
      <c r="M146" s="3">
        <f>+OperatingFunds!M146*1000/Enrollment!L15</f>
        <v>0</v>
      </c>
      <c r="N146" s="3">
        <f>+OperatingFunds!N146*1000/Enrollment!M15</f>
        <v>0</v>
      </c>
      <c r="O146" s="3">
        <f>+OperatingFunds!O146*1000/Enrollment!N15</f>
        <v>0</v>
      </c>
      <c r="P146" s="3">
        <f>+OperatingFunds!P146*1000/Enrollment!O15</f>
        <v>0</v>
      </c>
      <c r="Q146" s="3">
        <f>+OperatingFunds!Q146*1000/Enrollment!P15</f>
        <v>0</v>
      </c>
      <c r="R146" s="3">
        <f>+OperatingFunds!R146*1000/Enrollment!Q15</f>
        <v>0</v>
      </c>
      <c r="S146" s="3">
        <f>+OperatingFunds!S146*1000/Enrollment!R15</f>
        <v>0</v>
      </c>
      <c r="T146" s="3">
        <f>+OperatingFunds!T146*1000/Enrollment!S15</f>
        <v>13.662593346911066</v>
      </c>
      <c r="U146" s="3">
        <f>+OperatingFunds!U146*1000/Enrollment!T15</f>
        <v>0</v>
      </c>
      <c r="V146" s="3">
        <f>+OperatingFunds!V146*1000/Enrollment!U15</f>
        <v>0</v>
      </c>
      <c r="W146" s="3">
        <f>+OperatingFunds!W146*1000/Enrollment!V15</f>
        <v>0</v>
      </c>
      <c r="X146" s="3">
        <f>+OperatingFunds!X146*1000/Enrollment!W15</f>
        <v>0</v>
      </c>
      <c r="Y146" s="3">
        <f>+OperatingFunds!Y146*1000/Enrollment!X15</f>
        <v>0</v>
      </c>
      <c r="Z146" s="3">
        <f>+OperatingFunds!Z146*1000/Enrollment!Y15</f>
        <v>0</v>
      </c>
      <c r="AA146" s="3">
        <f>+OperatingFunds!AA146*1000/Enrollment!Z15</f>
        <v>0</v>
      </c>
      <c r="AB146" s="3">
        <f>+OperatingFunds!AB146*1000/Enrollment!AA15</f>
        <v>0</v>
      </c>
      <c r="AC146" s="3">
        <f>+OperatingFunds!AC146*1000/Enrollment!AB15</f>
        <v>0</v>
      </c>
      <c r="AD146" s="3">
        <f>+OperatingFunds!AD146*1000/Enrollment!AC15</f>
        <v>0</v>
      </c>
      <c r="AE146" s="3">
        <f>+OperatingFunds!AE146*1000/Enrollment!AD15</f>
        <v>33.654797324583548</v>
      </c>
      <c r="AF146" s="3">
        <f>+OperatingFunds!AF146*1000/Enrollment!AE15</f>
        <v>53.310704569845512</v>
      </c>
      <c r="AG146" s="3">
        <f>+OperatingFunds!AG146*1000/Enrollment!AF15</f>
        <v>235.82259719469431</v>
      </c>
      <c r="AH146" s="3">
        <f>+OperatingFunds!AH146*1000/Enrollment!AG15</f>
        <v>287.31841369217011</v>
      </c>
      <c r="AI146" s="3">
        <f>+OperatingFunds!AI146*1000/Enrollment!AH15</f>
        <v>338.78187456926258</v>
      </c>
      <c r="AJ146" s="3">
        <f>+OperatingFunds!AJ146*1000/Enrollment!AI15</f>
        <v>503.80759327993746</v>
      </c>
      <c r="AK146" s="3">
        <f>+OperatingFunds!AK146*1000/Enrollment!AJ15</f>
        <v>941.65850112378041</v>
      </c>
    </row>
    <row r="147" spans="2:37">
      <c r="B147" s="199" t="str">
        <f>+$B$14</f>
        <v>Total Four-Year Institutions</v>
      </c>
      <c r="C147" s="42"/>
      <c r="D147" s="42"/>
      <c r="E147" s="42"/>
      <c r="F147" s="42"/>
      <c r="G147" s="42"/>
      <c r="H147" s="42"/>
      <c r="I147" s="42"/>
      <c r="J147" s="42"/>
      <c r="K147" s="42"/>
      <c r="L147" s="42"/>
      <c r="M147" s="42">
        <f>+OperatingFunds!M147*1000/Enrollment!L16</f>
        <v>63.978649174307492</v>
      </c>
      <c r="N147" s="42">
        <f>+OperatingFunds!N147*1000/Enrollment!M16</f>
        <v>74.2515960958129</v>
      </c>
      <c r="O147" s="42">
        <f>+OperatingFunds!O147*1000/Enrollment!N16</f>
        <v>65.936644272414156</v>
      </c>
      <c r="P147" s="42">
        <f>+OperatingFunds!P147*1000/Enrollment!O16</f>
        <v>79.550215504239702</v>
      </c>
      <c r="Q147" s="42">
        <f>+OperatingFunds!Q147*1000/Enrollment!P16</f>
        <v>65.211883208437413</v>
      </c>
      <c r="R147" s="42">
        <f>+OperatingFunds!R147*1000/Enrollment!Q16</f>
        <v>67.468372994154876</v>
      </c>
      <c r="S147" s="42">
        <f>+OperatingFunds!S147*1000/Enrollment!R16</f>
        <v>66.150078518308192</v>
      </c>
      <c r="T147" s="42">
        <f>+OperatingFunds!T147*1000/Enrollment!S16</f>
        <v>82.808960472808124</v>
      </c>
      <c r="U147" s="42">
        <f>+OperatingFunds!U147*1000/Enrollment!T16</f>
        <v>129.9662739058152</v>
      </c>
      <c r="V147" s="42">
        <f>+OperatingFunds!V147*1000/Enrollment!U16</f>
        <v>123.61197940582123</v>
      </c>
      <c r="W147" s="42">
        <f>+OperatingFunds!W147*1000/Enrollment!V16</f>
        <v>65.205969194502373</v>
      </c>
      <c r="X147" s="42">
        <f>+OperatingFunds!X147*1000/Enrollment!W16</f>
        <v>66.953185642829794</v>
      </c>
      <c r="Y147" s="42">
        <f>+OperatingFunds!Y147*1000/Enrollment!X16</f>
        <v>59.099345894055581</v>
      </c>
      <c r="Z147" s="42">
        <f>+OperatingFunds!Z147*1000/Enrollment!Y16</f>
        <v>83.881476610476057</v>
      </c>
      <c r="AA147" s="42">
        <f>+OperatingFunds!AA147*1000/Enrollment!Z16</f>
        <v>73.38158930735689</v>
      </c>
      <c r="AB147" s="42">
        <f>+OperatingFunds!AB147*1000/Enrollment!AA16</f>
        <v>88.68904015227632</v>
      </c>
      <c r="AC147" s="42">
        <f>+OperatingFunds!AC147*1000/Enrollment!AB16</f>
        <v>89.166450490970405</v>
      </c>
      <c r="AD147" s="42">
        <f>+OperatingFunds!AD147*1000/Enrollment!AC16</f>
        <v>86.807095464293326</v>
      </c>
      <c r="AE147" s="42">
        <f>+OperatingFunds!AE147*1000/Enrollment!AD16</f>
        <v>486.45831401540426</v>
      </c>
      <c r="AF147" s="42">
        <f>+OperatingFunds!AF147*1000/Enrollment!AE16</f>
        <v>476.59108819822018</v>
      </c>
      <c r="AG147" s="42">
        <f>+OperatingFunds!AG147*1000/Enrollment!AF16</f>
        <v>712.40772599940078</v>
      </c>
      <c r="AH147" s="42">
        <f>+OperatingFunds!AH147*1000/Enrollment!AG16</f>
        <v>947.0664396988758</v>
      </c>
      <c r="AI147" s="42">
        <f>+OperatingFunds!AI147*1000/Enrollment!AH16</f>
        <v>594.69070699607039</v>
      </c>
      <c r="AJ147" s="42">
        <f>+OperatingFunds!AJ147*1000/Enrollment!AI16</f>
        <v>800.62821307481977</v>
      </c>
      <c r="AK147" s="42">
        <f>+OperatingFunds!AK147*1000/Enrollment!AJ16</f>
        <v>1011.5130069121633</v>
      </c>
    </row>
    <row r="148" spans="2:37">
      <c r="Z148" s="1"/>
      <c r="AA148" s="1"/>
      <c r="AB148" s="1"/>
    </row>
    <row r="149" spans="2:37">
      <c r="B149" s="1" t="str">
        <f>+$B$16</f>
        <v>Community/Technical College System</v>
      </c>
      <c r="C149" s="3"/>
      <c r="D149" s="3"/>
      <c r="E149" s="3"/>
      <c r="F149" s="3"/>
      <c r="G149" s="3"/>
      <c r="H149" s="3"/>
      <c r="I149" s="3"/>
      <c r="J149" s="3"/>
      <c r="K149" s="3"/>
      <c r="L149" s="3"/>
      <c r="M149" s="3">
        <f>+OperatingFunds!M149*1000/Enrollment!L18</f>
        <v>0</v>
      </c>
      <c r="N149" s="3">
        <f>+OperatingFunds!N149*1000/Enrollment!M18</f>
        <v>0</v>
      </c>
      <c r="O149" s="3">
        <f>+OperatingFunds!O149*1000/Enrollment!N18</f>
        <v>0</v>
      </c>
      <c r="P149" s="3">
        <f>+OperatingFunds!P149*1000/Enrollment!O18</f>
        <v>0</v>
      </c>
      <c r="Q149" s="3">
        <f>+OperatingFunds!Q149*1000/Enrollment!P18</f>
        <v>0</v>
      </c>
      <c r="R149" s="3">
        <f>+OperatingFunds!R149*1000/Enrollment!Q18</f>
        <v>0</v>
      </c>
      <c r="S149" s="3">
        <f>+OperatingFunds!S149*1000/Enrollment!R18</f>
        <v>0</v>
      </c>
      <c r="T149" s="3">
        <f>+OperatingFunds!T149*1000/Enrollment!S18</f>
        <v>9.639427980026138</v>
      </c>
      <c r="U149" s="3">
        <f>+OperatingFunds!U149*1000/Enrollment!T18</f>
        <v>160.66150475857467</v>
      </c>
      <c r="V149" s="3">
        <f>+OperatingFunds!V149*1000/Enrollment!U18</f>
        <v>187.83835820085719</v>
      </c>
      <c r="W149" s="3">
        <f>+OperatingFunds!W149*1000/Enrollment!V18</f>
        <v>0</v>
      </c>
      <c r="X149" s="3">
        <f>+OperatingFunds!X149*1000/Enrollment!W18</f>
        <v>0</v>
      </c>
      <c r="Y149" s="3">
        <f>+OperatingFunds!Y149*1000/Enrollment!X18</f>
        <v>26.200325073519874</v>
      </c>
      <c r="Z149" s="3">
        <f>+OperatingFunds!Z149*1000/Enrollment!Y18</f>
        <v>54.285583068948156</v>
      </c>
      <c r="AA149" s="3">
        <f>+OperatingFunds!AA149*1000/Enrollment!Z18</f>
        <v>58.482445027816134</v>
      </c>
      <c r="AB149" s="3">
        <f>+OperatingFunds!AB149*1000/Enrollment!AA18</f>
        <v>60.480859603129417</v>
      </c>
      <c r="AC149" s="3">
        <f>+OperatingFunds!AC149*1000/Enrollment!AB18</f>
        <v>61.822441808162672</v>
      </c>
      <c r="AD149" s="3">
        <f>+OperatingFunds!AD149*1000/Enrollment!AC18</f>
        <v>64.020583376132748</v>
      </c>
      <c r="AE149" s="3">
        <f>+OperatingFunds!AE149*1000/Enrollment!AD18</f>
        <v>335.47009180781805</v>
      </c>
      <c r="AF149" s="3">
        <f>+OperatingFunds!AF149*1000/Enrollment!AE18</f>
        <v>368.09021066428284</v>
      </c>
      <c r="AG149" s="3">
        <f>+OperatingFunds!AG149*1000/Enrollment!AF18</f>
        <v>683.37384287702389</v>
      </c>
      <c r="AH149" s="3">
        <f>+OperatingFunds!AH149*1000/Enrollment!AG18</f>
        <v>1250.2841549967184</v>
      </c>
      <c r="AI149" s="3">
        <f>+OperatingFunds!AI149*1000/Enrollment!AH18</f>
        <v>1060.9584755948677</v>
      </c>
      <c r="AJ149" s="3">
        <f>+OperatingFunds!AJ149*1000/Enrollment!AI18</f>
        <v>1360.0863976956291</v>
      </c>
      <c r="AK149" s="3">
        <f>+OperatingFunds!AK149*1000/Enrollment!AJ18</f>
        <v>1509.0388553299501</v>
      </c>
    </row>
    <row r="150" spans="2:37">
      <c r="B150" s="1" t="str">
        <f>+$B$17</f>
        <v>HEC Board, CHE, SFA, &amp; SAC (1)</v>
      </c>
      <c r="C150" s="3"/>
      <c r="D150" s="3"/>
      <c r="E150" s="3"/>
      <c r="F150" s="3"/>
      <c r="G150" s="3"/>
      <c r="H150" s="3"/>
      <c r="I150" s="3"/>
      <c r="J150" s="3"/>
      <c r="K150" s="3"/>
      <c r="L150" s="3"/>
      <c r="M150" s="3">
        <f>+OperatingFunds!M150*1000/Enrollment!L21</f>
        <v>0</v>
      </c>
      <c r="N150" s="3">
        <f>+OperatingFunds!N150*1000/Enrollment!M21</f>
        <v>0</v>
      </c>
      <c r="O150" s="3">
        <f>+OperatingFunds!O150*1000/Enrollment!N21</f>
        <v>0</v>
      </c>
      <c r="P150" s="3">
        <f>+OperatingFunds!P150*1000/Enrollment!O21</f>
        <v>0</v>
      </c>
      <c r="Q150" s="3">
        <f>+OperatingFunds!Q150*1000/Enrollment!P21</f>
        <v>0</v>
      </c>
      <c r="R150" s="3">
        <f>+OperatingFunds!R150*1000/Enrollment!Q21</f>
        <v>0</v>
      </c>
      <c r="S150" s="3">
        <f>+OperatingFunds!S150*1000/Enrollment!R21</f>
        <v>0</v>
      </c>
      <c r="T150" s="3">
        <f>+OperatingFunds!T150*1000/Enrollment!S21</f>
        <v>0.13357792936399096</v>
      </c>
      <c r="U150" s="3">
        <f>+OperatingFunds!U150*1000/Enrollment!T21</f>
        <v>0</v>
      </c>
      <c r="V150" s="3">
        <f>+OperatingFunds!V150*1000/Enrollment!U21</f>
        <v>0</v>
      </c>
      <c r="W150" s="3">
        <f>+OperatingFunds!W150*1000/Enrollment!V21</f>
        <v>0</v>
      </c>
      <c r="X150" s="3">
        <f>+OperatingFunds!X150*1000/Enrollment!W21</f>
        <v>0</v>
      </c>
      <c r="Y150" s="3">
        <f>+OperatingFunds!Y150*1000/Enrollment!X21</f>
        <v>0</v>
      </c>
      <c r="Z150" s="3">
        <f>+OperatingFunds!Z150*1000/Enrollment!Y21</f>
        <v>0</v>
      </c>
      <c r="AA150" s="3">
        <f>+OperatingFunds!AA150*1000/Enrollment!Z21</f>
        <v>0</v>
      </c>
      <c r="AB150" s="3">
        <f>+OperatingFunds!AB150*1000/Enrollment!AA21</f>
        <v>0</v>
      </c>
      <c r="AC150" s="3">
        <f>+OperatingFunds!AC150*1000/Enrollment!AB21</f>
        <v>0</v>
      </c>
      <c r="AD150" s="3">
        <f>+OperatingFunds!AD150*1000/Enrollment!AC21</f>
        <v>0.25163944245601472</v>
      </c>
      <c r="AE150" s="3">
        <f>+OperatingFunds!AE150*1000/Enrollment!AD21</f>
        <v>5.8965168100051235</v>
      </c>
      <c r="AF150" s="3">
        <f>+OperatingFunds!AF150*1000/Enrollment!AE21</f>
        <v>16.606415382169331</v>
      </c>
      <c r="AG150" s="3">
        <f>+OperatingFunds!AG150*1000/Enrollment!AF21</f>
        <v>180.22607303705882</v>
      </c>
      <c r="AH150" s="3">
        <f>+OperatingFunds!AH150*1000/Enrollment!AG21</f>
        <v>598.44593287479177</v>
      </c>
      <c r="AI150" s="3">
        <f>+OperatingFunds!AI150*1000/Enrollment!AH21</f>
        <v>514.79422763750176</v>
      </c>
      <c r="AJ150" s="3">
        <f>+OperatingFunds!AJ150*1000/Enrollment!AI21</f>
        <v>557.48462304978796</v>
      </c>
      <c r="AK150" s="3">
        <f>+OperatingFunds!AK150*1000/Enrollment!AJ21</f>
        <v>798.65612096557004</v>
      </c>
    </row>
    <row r="151" spans="2:37" ht="13.5" thickBot="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2:37" ht="13.5" thickTop="1">
      <c r="B152" s="1" t="str">
        <f>+$B$19</f>
        <v>Total Higher Education</v>
      </c>
      <c r="C152" s="39"/>
      <c r="D152" s="39"/>
      <c r="E152" s="39"/>
      <c r="F152" s="39"/>
      <c r="G152" s="39"/>
      <c r="H152" s="39"/>
      <c r="I152" s="39"/>
      <c r="J152" s="39"/>
      <c r="K152" s="39"/>
      <c r="L152" s="39"/>
      <c r="M152" s="39">
        <f>+OperatingFunds!M152*1000/Enrollment!L21</f>
        <v>25.472986388341106</v>
      </c>
      <c r="N152" s="39">
        <f>+OperatingFunds!N152*1000/Enrollment!M21</f>
        <v>29.582770459081839</v>
      </c>
      <c r="O152" s="39">
        <f>+OperatingFunds!O152*1000/Enrollment!N21</f>
        <v>26.135964151019916</v>
      </c>
      <c r="P152" s="39">
        <f>+OperatingFunds!P152*1000/Enrollment!O21</f>
        <v>31.058602048293668</v>
      </c>
      <c r="Q152" s="39">
        <f>+OperatingFunds!Q152*1000/Enrollment!P21</f>
        <v>25.727326950367036</v>
      </c>
      <c r="R152" s="39">
        <f>+OperatingFunds!R152*1000/Enrollment!Q21</f>
        <v>27.659226375046561</v>
      </c>
      <c r="S152" s="39">
        <f>+OperatingFunds!S152*1000/Enrollment!R21</f>
        <v>27.223909862294608</v>
      </c>
      <c r="T152" s="39">
        <f>+OperatingFunds!T152*1000/Enrollment!S21</f>
        <v>39.816144629276721</v>
      </c>
      <c r="U152" s="39">
        <f>+OperatingFunds!U152*1000/Enrollment!T21</f>
        <v>148.14283837066165</v>
      </c>
      <c r="V152" s="39">
        <f>+OperatingFunds!V152*1000/Enrollment!U21</f>
        <v>162.20640883545107</v>
      </c>
      <c r="W152" s="39">
        <f>+OperatingFunds!W152*1000/Enrollment!V21</f>
        <v>25.183130166563767</v>
      </c>
      <c r="X152" s="39">
        <f>+OperatingFunds!X152*1000/Enrollment!W21</f>
        <v>26.024205783219678</v>
      </c>
      <c r="Y152" s="39">
        <f>+OperatingFunds!Y152*1000/Enrollment!X21</f>
        <v>39.54641860963217</v>
      </c>
      <c r="Z152" s="39">
        <f>+OperatingFunds!Z152*1000/Enrollment!Y21</f>
        <v>66.602303433684654</v>
      </c>
      <c r="AA152" s="39">
        <f>+OperatingFunds!AA152*1000/Enrollment!Z21</f>
        <v>64.818924985081679</v>
      </c>
      <c r="AB152" s="39">
        <f>+OperatingFunds!AB152*1000/Enrollment!AA21</f>
        <v>72.824417122366214</v>
      </c>
      <c r="AC152" s="39">
        <f>+OperatingFunds!AC152*1000/Enrollment!AB21</f>
        <v>74.056486724605662</v>
      </c>
      <c r="AD152" s="39">
        <f>+OperatingFunds!AD152*1000/Enrollment!AC21</f>
        <v>74.729306296679823</v>
      </c>
      <c r="AE152" s="39">
        <f>+OperatingFunds!AE152*1000/Enrollment!AD21</f>
        <v>412.04617081880468</v>
      </c>
      <c r="AF152" s="39">
        <f>+OperatingFunds!AF152*1000/Enrollment!AE21</f>
        <v>436.66572323497917</v>
      </c>
      <c r="AG152" s="39">
        <f>+OperatingFunds!AG152*1000/Enrollment!AF21</f>
        <v>877.84542012084955</v>
      </c>
      <c r="AH152" s="39">
        <f>+OperatingFunds!AH152*1000/Enrollment!AG21</f>
        <v>1694.3887358744437</v>
      </c>
      <c r="AI152" s="39">
        <f>+OperatingFunds!AI152*1000/Enrollment!AH21</f>
        <v>1344.386487298977</v>
      </c>
      <c r="AJ152" s="39">
        <f>+OperatingFunds!AJ152*1000/Enrollment!AI21</f>
        <v>1643.0368992419526</v>
      </c>
      <c r="AK152" s="39">
        <f>+OperatingFunds!AK152*1000/Enrollment!AJ21</f>
        <v>2056.2179658911409</v>
      </c>
    </row>
    <row r="153" spans="2:37">
      <c r="B153" s="199" t="str">
        <f>+$B$20</f>
        <v>[biennial annual average]</v>
      </c>
      <c r="D153" s="3"/>
      <c r="F153" s="3"/>
      <c r="H153" s="3"/>
      <c r="J153" s="3"/>
      <c r="L153" s="3"/>
      <c r="N153" s="3">
        <f>AVERAGE(M152:N152)</f>
        <v>27.527878423711471</v>
      </c>
      <c r="P153" s="3">
        <f>AVERAGE(O152:P152)</f>
        <v>28.597283099656792</v>
      </c>
      <c r="R153" s="3">
        <f>AVERAGE(Q152:R152)</f>
        <v>26.693276662706801</v>
      </c>
      <c r="T153" s="3">
        <f>AVERAGE(S152:T152)</f>
        <v>33.520027245785663</v>
      </c>
      <c r="V153" s="3">
        <f>AVERAGE(U152:V152)</f>
        <v>155.17462360305638</v>
      </c>
      <c r="X153" s="3">
        <f>AVERAGE(W152:X152)</f>
        <v>25.603667974891721</v>
      </c>
      <c r="Z153" s="3">
        <f>AVERAGE(Y152:Z152)</f>
        <v>53.074361021658412</v>
      </c>
      <c r="AA153" s="1"/>
      <c r="AB153" s="3">
        <f>AVERAGE(AA152:AB152)</f>
        <v>68.821671053723946</v>
      </c>
      <c r="AD153" s="3">
        <f>AVERAGE(AC152:AD152)</f>
        <v>74.392896510642743</v>
      </c>
      <c r="AF153" s="3">
        <f>AVERAGE(AE152:AF152)</f>
        <v>424.35594702689195</v>
      </c>
      <c r="AG153" s="3"/>
      <c r="AH153" s="3">
        <f>AVERAGE(AG152:AH152)</f>
        <v>1286.1170779976467</v>
      </c>
      <c r="AI153" s="3"/>
      <c r="AJ153" s="3">
        <f>AVERAGE(AI152:AJ152)</f>
        <v>1493.7116932704648</v>
      </c>
      <c r="AK153" s="3"/>
    </row>
    <row r="154" spans="2:37">
      <c r="B154" s="199"/>
      <c r="C154" s="7"/>
      <c r="D154" s="3"/>
      <c r="F154" s="3"/>
      <c r="H154" s="3"/>
      <c r="J154" s="3"/>
      <c r="L154" s="3"/>
      <c r="N154" s="3"/>
      <c r="P154" s="3"/>
      <c r="R154" s="3"/>
      <c r="T154" s="3"/>
      <c r="U154" s="3"/>
      <c r="V154" s="3"/>
      <c r="W154"/>
      <c r="X154"/>
      <c r="Y154"/>
      <c r="AC154"/>
      <c r="AD154"/>
      <c r="AE154"/>
      <c r="AF154"/>
      <c r="AG154"/>
    </row>
    <row r="155" spans="2:37">
      <c r="B155" s="199"/>
      <c r="C155" s="7"/>
      <c r="D155" s="3"/>
      <c r="F155" s="3"/>
      <c r="H155" s="3"/>
      <c r="J155" s="3"/>
      <c r="L155" s="3"/>
      <c r="N155" s="3"/>
      <c r="P155" s="3"/>
      <c r="R155" s="3"/>
      <c r="T155" s="3"/>
      <c r="U155" s="3"/>
      <c r="V155" s="3"/>
      <c r="W155" s="2"/>
      <c r="X155" s="2"/>
      <c r="Y155" s="2"/>
      <c r="AA155" s="2"/>
      <c r="AB155" s="2"/>
      <c r="AC155" s="2"/>
      <c r="AD155" s="2"/>
      <c r="AE155" s="2"/>
      <c r="AF155" s="2"/>
      <c r="AG155" s="2"/>
      <c r="AI155" s="2" t="str">
        <f>TRIM(AI$5)</f>
        <v/>
      </c>
    </row>
    <row r="156" spans="2:37">
      <c r="B156" s="199"/>
      <c r="C156" s="7"/>
      <c r="D156" s="3"/>
      <c r="F156" s="3"/>
      <c r="H156" s="3"/>
      <c r="J156" s="3"/>
      <c r="L156" s="3"/>
      <c r="N156" s="3"/>
      <c r="P156" s="3"/>
      <c r="R156" s="3"/>
      <c r="T156" s="3"/>
      <c r="U156" s="3"/>
      <c r="V156" s="3"/>
      <c r="W156" s="2"/>
      <c r="X156" s="2" t="str">
        <f>+$X$6</f>
        <v>FY2011</v>
      </c>
      <c r="Y156" s="2" t="str">
        <f>+$Y$6</f>
        <v>FY2012</v>
      </c>
      <c r="Z156" s="2" t="str">
        <f>+$Z$6</f>
        <v>FY2013</v>
      </c>
      <c r="AA156" s="2" t="str">
        <f>+$AA$6</f>
        <v>FY2014</v>
      </c>
      <c r="AB156" s="2" t="str">
        <f>+$AB$6</f>
        <v>FY2015</v>
      </c>
      <c r="AC156" s="2" t="str">
        <f>+$AC$6</f>
        <v>FY2016</v>
      </c>
      <c r="AD156" s="2" t="str">
        <f>+$AD$6</f>
        <v>FY2017</v>
      </c>
      <c r="AE156" s="2" t="str">
        <f>+$AE$6</f>
        <v>FY2018</v>
      </c>
      <c r="AF156" s="2" t="str">
        <f>+AF$6</f>
        <v>FY2019</v>
      </c>
      <c r="AG156" s="2" t="str">
        <f>+AG$6</f>
        <v>FY2020</v>
      </c>
      <c r="AH156" s="2" t="str">
        <f t="shared" ref="AH156:AK156" si="91">+AH$6</f>
        <v>FY2021</v>
      </c>
      <c r="AI156" s="2" t="str">
        <f t="shared" si="91"/>
        <v>FY2022</v>
      </c>
      <c r="AJ156" s="2" t="str">
        <f t="shared" si="91"/>
        <v>FY2023</v>
      </c>
      <c r="AK156" s="2" t="str">
        <f t="shared" si="91"/>
        <v>FY2024</v>
      </c>
    </row>
    <row r="157" spans="2:37">
      <c r="B157" s="199"/>
      <c r="C157" s="7"/>
      <c r="D157" s="3"/>
      <c r="F157" s="3"/>
      <c r="H157" s="3"/>
      <c r="J157" s="3"/>
      <c r="L157" s="3"/>
      <c r="N157" s="3"/>
      <c r="P157" s="3"/>
      <c r="R157" s="3"/>
      <c r="T157" s="3"/>
      <c r="U157" s="3"/>
      <c r="V157" s="3"/>
      <c r="W157"/>
      <c r="X157"/>
      <c r="Y157"/>
      <c r="AC157"/>
      <c r="AD157"/>
      <c r="AE157"/>
      <c r="AF157"/>
      <c r="AG157"/>
    </row>
    <row r="158" spans="2:37">
      <c r="B158" s="1" t="str">
        <f>+OperatingFunds!$B$157</f>
        <v>Community/Technical College System Opportunity Express Account (17C-1)</v>
      </c>
      <c r="C158"/>
      <c r="D158"/>
      <c r="E158"/>
      <c r="F158"/>
      <c r="G158"/>
      <c r="H158"/>
      <c r="I158"/>
      <c r="J158"/>
      <c r="K158"/>
      <c r="L158"/>
      <c r="M158"/>
      <c r="N158"/>
      <c r="O158"/>
      <c r="P158"/>
      <c r="R158" s="3"/>
      <c r="T158" s="3"/>
      <c r="U158" s="3"/>
      <c r="V158" s="3"/>
      <c r="W158"/>
      <c r="X158" s="3">
        <f>+OperatingFunds!X157*1000/Enrollment!W18</f>
        <v>113.91261268448343</v>
      </c>
      <c r="Y158" s="3"/>
      <c r="Z158" s="3"/>
      <c r="AA158" s="3"/>
      <c r="AB158" s="3"/>
      <c r="AC158" s="3"/>
      <c r="AD158" s="3"/>
      <c r="AE158" s="3"/>
      <c r="AF158" s="3"/>
      <c r="AG158" s="3"/>
    </row>
    <row r="159" spans="2:37">
      <c r="B159" s="1" t="str">
        <f>+OperatingFunds!$B$158</f>
        <v>HEC Board, CHE, SFA, &amp; SAC (1) Opportunity Pathways Account (17F-1)</v>
      </c>
      <c r="C159"/>
      <c r="D159"/>
      <c r="E159"/>
      <c r="F159"/>
      <c r="G159"/>
      <c r="H159"/>
      <c r="I159"/>
      <c r="J159"/>
      <c r="K159"/>
      <c r="L159"/>
      <c r="M159"/>
      <c r="N159"/>
      <c r="O159"/>
      <c r="P159"/>
      <c r="R159" s="3"/>
      <c r="T159" s="3"/>
      <c r="U159" s="3"/>
      <c r="V159" s="3"/>
      <c r="W159"/>
      <c r="X159" s="3">
        <f>+OperatingFunds!X158*1000/Enrollment!W21</f>
        <v>276.79160047832596</v>
      </c>
      <c r="Y159" s="3">
        <f>+OperatingFunds!Y158*1000/Enrollment!X21</f>
        <v>284.77694429327738</v>
      </c>
      <c r="Z159" s="3">
        <f>+OperatingFunds!Z158*1000/Enrollment!Y21</f>
        <v>429.66086636817101</v>
      </c>
      <c r="AA159" s="3">
        <f>+OperatingFunds!AA158*1000/Enrollment!Z21</f>
        <v>270.72534539373521</v>
      </c>
      <c r="AB159" s="3">
        <f>+OperatingFunds!AB158*1000/Enrollment!AA21</f>
        <v>297.98122785833931</v>
      </c>
      <c r="AC159" s="3">
        <f>+OperatingFunds!AC158*1000/Enrollment!AB21</f>
        <v>387.23574795506084</v>
      </c>
      <c r="AD159" s="3">
        <f>+OperatingFunds!AD158*1000/Enrollment!AC21</f>
        <v>309.35359043103716</v>
      </c>
      <c r="AE159" s="3">
        <f>+OperatingFunds!AE158*1000/Enrollment!AD21</f>
        <v>244.53474012564325</v>
      </c>
      <c r="AF159" s="3">
        <f>+OperatingFunds!AF158*1000/Enrollment!AE21</f>
        <v>254.81587918172261</v>
      </c>
      <c r="AG159" s="3">
        <f>+OperatingFunds!AG158*1000/Enrollment!AF21</f>
        <v>222.8888062862527</v>
      </c>
      <c r="AH159" s="3">
        <f>+OperatingFunds!AH158*1000/Enrollment!AG21</f>
        <v>237.15518954826447</v>
      </c>
      <c r="AI159" s="3">
        <f>+OperatingFunds!AI158*1000/Enrollment!AH21</f>
        <v>376.12281043064752</v>
      </c>
      <c r="AJ159" s="3">
        <f>+OperatingFunds!AJ158*1000/Enrollment!AI21</f>
        <v>692.35952235354205</v>
      </c>
      <c r="AK159" s="3">
        <f>+OperatingFunds!AK158*1000/Enrollment!AJ21</f>
        <v>167.6790817664901</v>
      </c>
    </row>
    <row r="160" spans="2:37">
      <c r="C160"/>
      <c r="D160"/>
      <c r="E160"/>
      <c r="F160"/>
      <c r="G160"/>
      <c r="H160"/>
      <c r="I160"/>
      <c r="J160"/>
      <c r="K160"/>
      <c r="L160"/>
      <c r="M160"/>
      <c r="N160"/>
      <c r="O160"/>
      <c r="P160"/>
      <c r="R160" s="3"/>
      <c r="T160" s="3"/>
      <c r="Y160"/>
      <c r="AC160"/>
      <c r="AD160"/>
      <c r="AE160"/>
      <c r="AF160"/>
      <c r="AG160"/>
    </row>
    <row r="161" spans="2:33">
      <c r="AC161"/>
      <c r="AD161"/>
      <c r="AE161"/>
      <c r="AF161"/>
      <c r="AG161"/>
    </row>
    <row r="162" spans="2:33">
      <c r="B162" s="1" t="str">
        <f>+OperatingFunds!B162</f>
        <v>Data through FY2023 from Monitor (AFRS) data; Enacted data for FY2024 and FY2025 reflect legislative action from the 2024 Legislative Session.</v>
      </c>
      <c r="AC162"/>
      <c r="AD162"/>
      <c r="AE162"/>
      <c r="AF162"/>
      <c r="AG162"/>
    </row>
    <row r="163" spans="2:33">
      <c r="B163" s="1" t="str">
        <f>+OperatingFunds!B163</f>
        <v xml:space="preserve"> (1) HEC Board, CHE, SFA, &amp; SAC represents the Higher Education Coordinating Board, the Council for Higher Education, the Office of Student Financial Assistance, and the Student Achievement Council.</v>
      </c>
      <c r="AC163"/>
      <c r="AD163"/>
      <c r="AE163"/>
      <c r="AF163"/>
      <c r="AG163"/>
    </row>
  </sheetData>
  <phoneticPr fontId="0" type="noConversion"/>
  <printOptions horizontalCentered="1"/>
  <pageMargins left="0.5" right="0.5" top="0.25" bottom="0.25" header="0.25" footer="0.25"/>
  <pageSetup scale="53" fitToHeight="2" orientation="portrait" r:id="rId1"/>
  <headerFooter alignWithMargins="0">
    <oddFooter>&amp;R&amp;8Page &amp;P of &amp;N</oddFooter>
  </headerFooter>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B1:AK166"/>
  <sheetViews>
    <sheetView topLeftCell="B1" zoomScale="85" zoomScaleNormal="85" workbookViewId="0">
      <pane xSplit="11" ySplit="6" topLeftCell="AA7" activePane="bottomRight" state="frozen"/>
      <selection activeCell="B1" sqref="B1"/>
      <selection pane="topRight" activeCell="B1" sqref="B1"/>
      <selection pane="bottomLeft" activeCell="B1" sqref="B1"/>
      <selection pane="bottomRight" activeCell="AK8" sqref="AK8"/>
    </sheetView>
  </sheetViews>
  <sheetFormatPr defaultRowHeight="12.75"/>
  <cols>
    <col min="1" max="1" width="0" style="1" hidden="1" customWidth="1"/>
    <col min="2" max="2" width="35.625" style="1" customWidth="1"/>
    <col min="3" max="24" width="8.625" style="1" hidden="1" customWidth="1"/>
    <col min="25" max="37" width="8.625" style="1" customWidth="1"/>
    <col min="38" max="16384" width="9" style="1"/>
  </cols>
  <sheetData>
    <row r="1" spans="2:37">
      <c r="B1" s="1" t="str">
        <f>+OperatingFunds!B1</f>
        <v>Last updated: 18 December 2024</v>
      </c>
    </row>
    <row r="2" spans="2:37">
      <c r="B2" s="4" t="s">
        <v>10</v>
      </c>
      <c r="L2" s="8"/>
      <c r="M2" s="8"/>
      <c r="N2" s="8"/>
      <c r="P2" s="8"/>
      <c r="R2" s="8"/>
    </row>
    <row r="3" spans="2:37"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row>
    <row r="4" spans="2:37" ht="13.5">
      <c r="B4" s="33" t="str">
        <f>+"FY"&amp;BaseYear&amp;" Constant Dollar Expenditures per Actual State-Funded FTE Enrollment"</f>
        <v>FY2024 Constant Dollar Expenditures per Actual State-Funded FTE Enrollment</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2:37">
      <c r="I5" s="13"/>
      <c r="J5" s="13"/>
      <c r="K5" s="13"/>
      <c r="L5" s="13"/>
      <c r="M5" s="13"/>
      <c r="N5" s="13"/>
      <c r="O5" s="13"/>
      <c r="P5" s="13"/>
      <c r="Q5"/>
      <c r="R5" s="13"/>
      <c r="S5"/>
      <c r="T5"/>
      <c r="U5" s="2" t="str">
        <f>IF(ISBLANK(OperatingFunds!U5),"",OperatingFunds!U5)</f>
        <v/>
      </c>
      <c r="V5" s="2" t="str">
        <f>IF(ISBLANK(OperatingFunds!V5),"",OperatingFunds!V5)</f>
        <v/>
      </c>
      <c r="W5" s="2" t="str">
        <f>IF(ISBLANK(OperatingFunds!W5),"",OperatingFunds!W5)</f>
        <v/>
      </c>
      <c r="X5" s="2" t="str">
        <f>IF(ISBLANK(OperatingFunds!X5),"",OperatingFunds!X5)</f>
        <v/>
      </c>
      <c r="Y5" s="2" t="str">
        <f>IF(ISBLANK(OperatingFunds!Y5),"",OperatingFunds!Y5)</f>
        <v/>
      </c>
      <c r="Z5" s="2" t="str">
        <f>IF(ISBLANK(OperatingFunds!Z5),"",OperatingFunds!Z5)</f>
        <v/>
      </c>
      <c r="AA5" s="2" t="str">
        <f>IF(ISBLANK(OperatingFunds!AA5),"",OperatingFunds!AA5)</f>
        <v/>
      </c>
      <c r="AB5" s="2" t="str">
        <f>IF(ISBLANK(OperatingFunds!AB5),"",OperatingFunds!AB5)</f>
        <v/>
      </c>
      <c r="AC5" s="2" t="str">
        <f>IF(ISBLANK(OperatingFunds!AC5),"",OperatingFunds!AC5)</f>
        <v/>
      </c>
      <c r="AD5" s="2" t="str">
        <f>IF(ISBLANK(OperatingFunds!AD5),"",OperatingFunds!AD5)</f>
        <v/>
      </c>
      <c r="AE5" s="2" t="str">
        <f>IF(ISBLANK(OperatingFunds!AE5),"",OperatingFunds!AE5)</f>
        <v/>
      </c>
      <c r="AF5" s="2" t="str">
        <f>IF(ISBLANK(OperatingFunds!AF5),"",OperatingFunds!AF5)</f>
        <v/>
      </c>
      <c r="AG5" s="2" t="str">
        <f>IF(ISBLANK(OperatingFunds!AG5),"",OperatingFunds!AG5)</f>
        <v/>
      </c>
      <c r="AH5" s="2" t="str">
        <f>IF(ISBLANK(OperatingFunds!AH5),"",OperatingFunds!AH5)</f>
        <v/>
      </c>
      <c r="AI5" s="2" t="str">
        <f>IF(ISBLANK(OperatingFunds!AI5),"",OperatingFunds!AI5)</f>
        <v/>
      </c>
      <c r="AJ5" s="2" t="str">
        <f>IF(ISBLANK(OperatingFunds!AJ5),"",OperatingFunds!AJ5)</f>
        <v/>
      </c>
      <c r="AK5" s="2" t="str">
        <f>IF(ISBLANK(OperatingFunds!AK5),"",OperatingFunds!AK5)</f>
        <v>Final</v>
      </c>
    </row>
    <row r="6" spans="2:37">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IF(ISBLANK(OperatingFunds!U6),"",OperatingFunds!U6)</f>
        <v>FY2008</v>
      </c>
      <c r="V6" s="2" t="str">
        <f>IF(ISBLANK(OperatingFunds!V6),"",OperatingFunds!V6)</f>
        <v>FY2009</v>
      </c>
      <c r="W6" s="2" t="str">
        <f>IF(ISBLANK(OperatingFunds!W6),"",OperatingFunds!W6)</f>
        <v>FY2010</v>
      </c>
      <c r="X6" s="2" t="str">
        <f>IF(ISBLANK(OperatingFunds!X6),"",OperatingFunds!X6)</f>
        <v>FY2011</v>
      </c>
      <c r="Y6" s="2"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c r="AE6" s="2" t="str">
        <f>IF(ISBLANK(OperatingFunds!AE6),"",OperatingFunds!AE6)</f>
        <v>FY2018</v>
      </c>
      <c r="AF6" s="2" t="str">
        <f>IF(ISBLANK(OperatingFunds!AF6),"",OperatingFunds!AF6)</f>
        <v>FY2019</v>
      </c>
      <c r="AG6" s="2" t="str">
        <f>IF(ISBLANK(OperatingFunds!AG6),"",OperatingFunds!AG6)</f>
        <v>FY2020</v>
      </c>
      <c r="AH6" s="2" t="str">
        <f>IF(ISBLANK(OperatingFunds!AH6),"",OperatingFunds!AH6)</f>
        <v>FY2021</v>
      </c>
      <c r="AI6" s="2" t="str">
        <f>IF(ISBLANK(OperatingFunds!AI6),"",OperatingFunds!AI6)</f>
        <v>FY2022</v>
      </c>
      <c r="AJ6" s="2" t="str">
        <f>IF(ISBLANK(OperatingFunds!AJ6),"",OperatingFunds!AJ6)</f>
        <v>FY2023</v>
      </c>
      <c r="AK6" s="2" t="str">
        <f>IF(ISBLANK(OperatingFunds!AK6),"",OperatingFunds!AK6)</f>
        <v>FY2024</v>
      </c>
    </row>
    <row r="8" spans="2:37">
      <c r="B8" s="1" t="str">
        <f>+DollarsPerActFTE!$B$8</f>
        <v>University of Washington</v>
      </c>
      <c r="C8" s="3">
        <f t="shared" ref="C8:AF8" si="0">+C27+C46</f>
        <v>20585.260375383994</v>
      </c>
      <c r="D8" s="3">
        <f t="shared" si="0"/>
        <v>21680.519142507805</v>
      </c>
      <c r="E8" s="3">
        <f t="shared" si="0"/>
        <v>20851.521629437513</v>
      </c>
      <c r="F8" s="3">
        <f t="shared" si="0"/>
        <v>20923.033251267254</v>
      </c>
      <c r="G8" s="3">
        <f t="shared" si="0"/>
        <v>19531.302894988963</v>
      </c>
      <c r="H8" s="3">
        <f t="shared" si="0"/>
        <v>20097.318292314481</v>
      </c>
      <c r="I8" s="3">
        <f t="shared" si="0"/>
        <v>19839.969117952325</v>
      </c>
      <c r="J8" s="3">
        <f t="shared" si="0"/>
        <v>19589.631045795686</v>
      </c>
      <c r="K8" s="3">
        <f t="shared" si="0"/>
        <v>20043.911800581598</v>
      </c>
      <c r="L8" s="3">
        <f t="shared" si="0"/>
        <v>21746.628920945193</v>
      </c>
      <c r="M8" s="3">
        <f t="shared" si="0"/>
        <v>22101.039220699313</v>
      </c>
      <c r="N8" s="3">
        <f t="shared" si="0"/>
        <v>22202.673687708004</v>
      </c>
      <c r="O8" s="3">
        <f t="shared" si="0"/>
        <v>22136.926431184056</v>
      </c>
      <c r="P8" s="3">
        <f t="shared" si="0"/>
        <v>22034.89734365476</v>
      </c>
      <c r="Q8" s="3">
        <f t="shared" si="0"/>
        <v>21636.07149564748</v>
      </c>
      <c r="R8" s="3">
        <f t="shared" si="0"/>
        <v>22818.81519416732</v>
      </c>
      <c r="S8" s="3">
        <f t="shared" si="0"/>
        <v>23238.504250000893</v>
      </c>
      <c r="T8" s="3">
        <f t="shared" si="0"/>
        <v>24569.664258241297</v>
      </c>
      <c r="U8" s="3">
        <f t="shared" si="0"/>
        <v>25027.080179643559</v>
      </c>
      <c r="V8" s="3">
        <f t="shared" si="0"/>
        <v>24224.777515084883</v>
      </c>
      <c r="W8" s="3">
        <f t="shared" si="0"/>
        <v>21600.117470259</v>
      </c>
      <c r="X8" s="3">
        <f t="shared" si="0"/>
        <v>22944.310423075382</v>
      </c>
      <c r="Y8" s="3">
        <f t="shared" si="0"/>
        <v>20823.785190240786</v>
      </c>
      <c r="Z8" s="3">
        <f t="shared" si="0"/>
        <v>22587.519534718678</v>
      </c>
      <c r="AA8" s="3">
        <f t="shared" si="0"/>
        <v>21518.439076006602</v>
      </c>
      <c r="AB8" s="3">
        <f t="shared" si="0"/>
        <v>23759.475590348076</v>
      </c>
      <c r="AC8" s="3">
        <f t="shared" si="0"/>
        <v>23227.030510586701</v>
      </c>
      <c r="AD8" s="3">
        <f t="shared" si="0"/>
        <v>24597.264852759246</v>
      </c>
      <c r="AE8" s="3">
        <f t="shared" si="0"/>
        <v>26420.663380872043</v>
      </c>
      <c r="AF8" s="3">
        <f t="shared" si="0"/>
        <v>24345.894193632972</v>
      </c>
      <c r="AG8" s="3">
        <f t="shared" ref="AG8:AH8" si="1">+AG27+AG46</f>
        <v>24508.828545938261</v>
      </c>
      <c r="AH8" s="3">
        <f t="shared" si="1"/>
        <v>25037.023009203331</v>
      </c>
      <c r="AI8" s="3">
        <f t="shared" ref="AI8:AJ8" si="2">+AI27+AI46</f>
        <v>23821.375023868284</v>
      </c>
      <c r="AJ8" s="3">
        <f t="shared" si="2"/>
        <v>24255.762779075383</v>
      </c>
      <c r="AK8" s="3">
        <f t="shared" ref="AK8" si="3">+AK27+AK46</f>
        <v>26251.922499080018</v>
      </c>
    </row>
    <row r="9" spans="2:37">
      <c r="B9" s="1" t="str">
        <f>+DollarsPerActFTE!$B$9</f>
        <v>Washington State University</v>
      </c>
      <c r="C9" s="3">
        <f t="shared" ref="C9:AF9" si="4">+C28+C47</f>
        <v>20639.212254370104</v>
      </c>
      <c r="D9" s="3">
        <f t="shared" si="4"/>
        <v>21003.339475929992</v>
      </c>
      <c r="E9" s="3">
        <f t="shared" si="4"/>
        <v>21603.82937665335</v>
      </c>
      <c r="F9" s="3">
        <f t="shared" si="4"/>
        <v>21691.544331135192</v>
      </c>
      <c r="G9" s="3">
        <f t="shared" si="4"/>
        <v>20133.980392230664</v>
      </c>
      <c r="H9" s="3">
        <f t="shared" si="4"/>
        <v>19537.280841967404</v>
      </c>
      <c r="I9" s="3">
        <f t="shared" si="4"/>
        <v>19425.711410436532</v>
      </c>
      <c r="J9" s="3">
        <f t="shared" si="4"/>
        <v>20098.963702653818</v>
      </c>
      <c r="K9" s="3">
        <f t="shared" si="4"/>
        <v>20938.386748498448</v>
      </c>
      <c r="L9" s="3">
        <f t="shared" si="4"/>
        <v>20226.066086776715</v>
      </c>
      <c r="M9" s="3">
        <f t="shared" si="4"/>
        <v>21359.040464318881</v>
      </c>
      <c r="N9" s="3">
        <f t="shared" si="4"/>
        <v>21593.987042049317</v>
      </c>
      <c r="O9" s="3">
        <f t="shared" si="4"/>
        <v>21597.294464104576</v>
      </c>
      <c r="P9" s="3">
        <f t="shared" si="4"/>
        <v>21296.388936119951</v>
      </c>
      <c r="Q9" s="3">
        <f t="shared" si="4"/>
        <v>20868.248452450378</v>
      </c>
      <c r="R9" s="3">
        <f t="shared" si="4"/>
        <v>21128.428721758621</v>
      </c>
      <c r="S9" s="3">
        <f t="shared" si="4"/>
        <v>21756.665305754181</v>
      </c>
      <c r="T9" s="3">
        <f t="shared" si="4"/>
        <v>22533.308660616982</v>
      </c>
      <c r="U9" s="3">
        <f t="shared" si="4"/>
        <v>22960.850384364287</v>
      </c>
      <c r="V9" s="3">
        <f t="shared" si="4"/>
        <v>22578.083474149676</v>
      </c>
      <c r="W9" s="3">
        <f t="shared" si="4"/>
        <v>20626.200288267148</v>
      </c>
      <c r="X9" s="3">
        <f t="shared" si="4"/>
        <v>19785.304204749085</v>
      </c>
      <c r="Y9" s="3">
        <f t="shared" si="4"/>
        <v>18811.164958645622</v>
      </c>
      <c r="Z9" s="3">
        <f t="shared" si="4"/>
        <v>19629.226513911286</v>
      </c>
      <c r="AA9" s="3">
        <f t="shared" si="4"/>
        <v>21091.294249334678</v>
      </c>
      <c r="AB9" s="3">
        <f t="shared" si="4"/>
        <v>20743.449864385017</v>
      </c>
      <c r="AC9" s="3">
        <f t="shared" si="4"/>
        <v>22325.44051935503</v>
      </c>
      <c r="AD9" s="3">
        <f t="shared" si="4"/>
        <v>21017.413808017976</v>
      </c>
      <c r="AE9" s="3">
        <f t="shared" si="4"/>
        <v>21526.179617495432</v>
      </c>
      <c r="AF9" s="3">
        <f t="shared" si="4"/>
        <v>21569.22718881019</v>
      </c>
      <c r="AG9" s="3">
        <f t="shared" ref="AG9:AH9" si="5">+AG28+AG47</f>
        <v>21617.863091501255</v>
      </c>
      <c r="AH9" s="3">
        <f t="shared" si="5"/>
        <v>21673.712118150848</v>
      </c>
      <c r="AI9" s="3">
        <f t="shared" ref="AI9:AJ9" si="6">+AI28+AI47</f>
        <v>22132.457875306442</v>
      </c>
      <c r="AJ9" s="3">
        <f t="shared" si="6"/>
        <v>24384.321580775002</v>
      </c>
      <c r="AK9" s="3">
        <f t="shared" ref="AK9" si="7">+AK28+AK47</f>
        <v>24113.677993540055</v>
      </c>
    </row>
    <row r="10" spans="2:37">
      <c r="B10" s="1" t="str">
        <f>+DollarsPerActFTE!$B$10</f>
        <v>Eastern Washington University</v>
      </c>
      <c r="C10" s="3">
        <f t="shared" ref="C10:AF10" si="8">+C29+C48</f>
        <v>12779.609855835875</v>
      </c>
      <c r="D10" s="3">
        <f t="shared" si="8"/>
        <v>13201.910347310062</v>
      </c>
      <c r="E10" s="3">
        <f t="shared" si="8"/>
        <v>12765.629659015352</v>
      </c>
      <c r="F10" s="3">
        <f t="shared" si="8"/>
        <v>13204.639563075438</v>
      </c>
      <c r="G10" s="3">
        <f t="shared" si="8"/>
        <v>12339.936042039955</v>
      </c>
      <c r="H10" s="3">
        <f t="shared" si="8"/>
        <v>12676.557312543609</v>
      </c>
      <c r="I10" s="3">
        <f t="shared" si="8"/>
        <v>12843.532563517185</v>
      </c>
      <c r="J10" s="3">
        <f t="shared" si="8"/>
        <v>13591.43403579975</v>
      </c>
      <c r="K10" s="3">
        <f t="shared" si="8"/>
        <v>13586.972188820129</v>
      </c>
      <c r="L10" s="3">
        <f t="shared" si="8"/>
        <v>13220.746056865624</v>
      </c>
      <c r="M10" s="3">
        <f t="shared" si="8"/>
        <v>12895.601521982942</v>
      </c>
      <c r="N10" s="3">
        <f t="shared" si="8"/>
        <v>12921.672897740316</v>
      </c>
      <c r="O10" s="3">
        <f t="shared" si="8"/>
        <v>12384.10871082939</v>
      </c>
      <c r="P10" s="3">
        <f t="shared" si="8"/>
        <v>12120.347852133398</v>
      </c>
      <c r="Q10" s="3">
        <f t="shared" si="8"/>
        <v>11801.251710092867</v>
      </c>
      <c r="R10" s="3">
        <f t="shared" si="8"/>
        <v>12673.32477104013</v>
      </c>
      <c r="S10" s="3">
        <f t="shared" si="8"/>
        <v>12412.856748788701</v>
      </c>
      <c r="T10" s="3">
        <f t="shared" si="8"/>
        <v>13465.770163039917</v>
      </c>
      <c r="U10" s="3">
        <f t="shared" si="8"/>
        <v>14446.057104527878</v>
      </c>
      <c r="V10" s="3">
        <f t="shared" si="8"/>
        <v>13905.690407188735</v>
      </c>
      <c r="W10" s="3">
        <f t="shared" si="8"/>
        <v>13049.747543386507</v>
      </c>
      <c r="X10" s="3">
        <f t="shared" si="8"/>
        <v>12469.331801145485</v>
      </c>
      <c r="Y10" s="3">
        <f t="shared" si="8"/>
        <v>11875.697685538682</v>
      </c>
      <c r="Z10" s="3">
        <f t="shared" si="8"/>
        <v>11811.929043601125</v>
      </c>
      <c r="AA10" s="3">
        <f t="shared" si="8"/>
        <v>12564.571464001441</v>
      </c>
      <c r="AB10" s="3">
        <f t="shared" si="8"/>
        <v>13091.579584835546</v>
      </c>
      <c r="AC10" s="3">
        <f t="shared" si="8"/>
        <v>13794.278389715419</v>
      </c>
      <c r="AD10" s="3">
        <f t="shared" si="8"/>
        <v>13941.147016011464</v>
      </c>
      <c r="AE10" s="3">
        <f t="shared" si="8"/>
        <v>13838.104625095842</v>
      </c>
      <c r="AF10" s="3">
        <f t="shared" si="8"/>
        <v>14600.890911966901</v>
      </c>
      <c r="AG10" s="3">
        <f t="shared" ref="AG10:AH10" si="9">+AG29+AG48</f>
        <v>16786.861612189248</v>
      </c>
      <c r="AH10" s="3">
        <f t="shared" si="9"/>
        <v>17182.111848573371</v>
      </c>
      <c r="AI10" s="3">
        <f t="shared" ref="AI10:AJ10" si="10">+AI29+AI48</f>
        <v>17873.918961411662</v>
      </c>
      <c r="AJ10" s="3">
        <f t="shared" si="10"/>
        <v>20339.145526024477</v>
      </c>
      <c r="AK10" s="3">
        <f t="shared" ref="AK10" si="11">+AK29+AK48</f>
        <v>21641.817764856853</v>
      </c>
    </row>
    <row r="11" spans="2:37">
      <c r="B11" s="1" t="str">
        <f>+DollarsPerActFTE!$B$11</f>
        <v>Central Washington University</v>
      </c>
      <c r="C11" s="3">
        <f t="shared" ref="C11:AF11" si="12">+C30+C49</f>
        <v>12417.336119594922</v>
      </c>
      <c r="D11" s="3">
        <f t="shared" si="12"/>
        <v>13054.493722992354</v>
      </c>
      <c r="E11" s="3">
        <f t="shared" si="12"/>
        <v>12636.523399612937</v>
      </c>
      <c r="F11" s="3">
        <f t="shared" si="12"/>
        <v>12980.510626444709</v>
      </c>
      <c r="G11" s="3">
        <f t="shared" si="12"/>
        <v>11061.851821652137</v>
      </c>
      <c r="H11" s="3">
        <f t="shared" si="12"/>
        <v>11349.887299003891</v>
      </c>
      <c r="I11" s="3">
        <f t="shared" si="12"/>
        <v>11883.691849725579</v>
      </c>
      <c r="J11" s="3">
        <f t="shared" si="12"/>
        <v>11868.165331696673</v>
      </c>
      <c r="K11" s="3">
        <f t="shared" si="12"/>
        <v>12504.473216043383</v>
      </c>
      <c r="L11" s="3">
        <f t="shared" si="12"/>
        <v>12878.561892569553</v>
      </c>
      <c r="M11" s="3">
        <f t="shared" si="12"/>
        <v>13155.760419323982</v>
      </c>
      <c r="N11" s="3">
        <f t="shared" si="12"/>
        <v>13798.499808877874</v>
      </c>
      <c r="O11" s="3">
        <f t="shared" si="12"/>
        <v>13028.9845483262</v>
      </c>
      <c r="P11" s="3">
        <f t="shared" si="12"/>
        <v>12793.632768182535</v>
      </c>
      <c r="Q11" s="3">
        <f t="shared" si="12"/>
        <v>12196.093313327185</v>
      </c>
      <c r="R11" s="3">
        <f t="shared" si="12"/>
        <v>12273.382058998781</v>
      </c>
      <c r="S11" s="3">
        <f t="shared" si="12"/>
        <v>12574.257521358906</v>
      </c>
      <c r="T11" s="3">
        <f t="shared" si="12"/>
        <v>12815.14621209189</v>
      </c>
      <c r="U11" s="3">
        <f t="shared" si="12"/>
        <v>14179.140941796659</v>
      </c>
      <c r="V11" s="3">
        <f t="shared" si="12"/>
        <v>14414.460723215703</v>
      </c>
      <c r="W11" s="3">
        <f t="shared" si="12"/>
        <v>13074.297841825311</v>
      </c>
      <c r="X11" s="3">
        <f t="shared" si="12"/>
        <v>12292.474908105594</v>
      </c>
      <c r="Y11" s="3">
        <f t="shared" si="12"/>
        <v>12445.987630152751</v>
      </c>
      <c r="Z11" s="3">
        <f t="shared" si="12"/>
        <v>12553.294059331743</v>
      </c>
      <c r="AA11" s="3">
        <f t="shared" si="12"/>
        <v>14359.344263726134</v>
      </c>
      <c r="AB11" s="3">
        <f t="shared" si="12"/>
        <v>14111.902077388257</v>
      </c>
      <c r="AC11" s="3">
        <f t="shared" si="12"/>
        <v>14412.571527014341</v>
      </c>
      <c r="AD11" s="3">
        <f t="shared" si="12"/>
        <v>14850.231514454663</v>
      </c>
      <c r="AE11" s="3">
        <f t="shared" si="12"/>
        <v>14029.445963257476</v>
      </c>
      <c r="AF11" s="3">
        <f t="shared" si="12"/>
        <v>14714.019348183323</v>
      </c>
      <c r="AG11" s="3">
        <f t="shared" ref="AG11:AH11" si="13">+AG30+AG49</f>
        <v>13631.37470152049</v>
      </c>
      <c r="AH11" s="3">
        <f t="shared" si="13"/>
        <v>14411.704251552932</v>
      </c>
      <c r="AI11" s="3">
        <f t="shared" ref="AI11:AJ11" si="14">+AI30+AI49</f>
        <v>15753.487430673085</v>
      </c>
      <c r="AJ11" s="3">
        <f t="shared" si="14"/>
        <v>17358.55187712991</v>
      </c>
      <c r="AK11" s="3">
        <f t="shared" ref="AK11" si="15">+AK30+AK49</f>
        <v>18678.828044939753</v>
      </c>
    </row>
    <row r="12" spans="2:37">
      <c r="B12" s="1" t="str">
        <f>+DollarsPerActFTE!$B$12</f>
        <v>The Evergreen State College</v>
      </c>
      <c r="C12" s="3">
        <f t="shared" ref="C12:AF12" si="16">+C31+C50</f>
        <v>15999.23482262383</v>
      </c>
      <c r="D12" s="3">
        <f t="shared" si="16"/>
        <v>17066.21046629822</v>
      </c>
      <c r="E12" s="3">
        <f t="shared" si="16"/>
        <v>15440.579601109977</v>
      </c>
      <c r="F12" s="3">
        <f t="shared" si="16"/>
        <v>16922.010317514014</v>
      </c>
      <c r="G12" s="3">
        <f t="shared" si="16"/>
        <v>14700.643926521363</v>
      </c>
      <c r="H12" s="3">
        <f t="shared" si="16"/>
        <v>15877.069819142653</v>
      </c>
      <c r="I12" s="3">
        <f t="shared" si="16"/>
        <v>14741.4494442137</v>
      </c>
      <c r="J12" s="3">
        <f t="shared" si="16"/>
        <v>15574.225008215817</v>
      </c>
      <c r="K12" s="3">
        <f t="shared" si="16"/>
        <v>14340.347007295662</v>
      </c>
      <c r="L12" s="3">
        <f t="shared" si="16"/>
        <v>14856.617447119592</v>
      </c>
      <c r="M12" s="3">
        <f t="shared" si="16"/>
        <v>16612.429247931213</v>
      </c>
      <c r="N12" s="3">
        <f t="shared" si="16"/>
        <v>16970.015157474656</v>
      </c>
      <c r="O12" s="3">
        <f t="shared" si="16"/>
        <v>15942.508742102887</v>
      </c>
      <c r="P12" s="3">
        <f t="shared" si="16"/>
        <v>15634.17175141448</v>
      </c>
      <c r="Q12" s="3">
        <f t="shared" si="16"/>
        <v>13848.467408491204</v>
      </c>
      <c r="R12" s="3">
        <f t="shared" si="16"/>
        <v>18173.86656011724</v>
      </c>
      <c r="S12" s="3">
        <f t="shared" si="16"/>
        <v>16480.68727334703</v>
      </c>
      <c r="T12" s="3">
        <f t="shared" si="16"/>
        <v>17232.226127834016</v>
      </c>
      <c r="U12" s="3">
        <f t="shared" si="16"/>
        <v>17119.168016557065</v>
      </c>
      <c r="V12" s="3">
        <f t="shared" si="16"/>
        <v>17001.448649515547</v>
      </c>
      <c r="W12" s="3">
        <f t="shared" si="16"/>
        <v>15522.416218512744</v>
      </c>
      <c r="X12" s="3">
        <f t="shared" si="16"/>
        <v>15696.257988412999</v>
      </c>
      <c r="Y12" s="3">
        <f t="shared" si="16"/>
        <v>14991.432076152578</v>
      </c>
      <c r="Z12" s="3">
        <f t="shared" si="16"/>
        <v>15285.003822357783</v>
      </c>
      <c r="AA12" s="3">
        <f t="shared" si="16"/>
        <v>16680.841023996902</v>
      </c>
      <c r="AB12" s="3">
        <f t="shared" si="16"/>
        <v>16324.399222895538</v>
      </c>
      <c r="AC12" s="3">
        <f t="shared" si="16"/>
        <v>21041.302265490613</v>
      </c>
      <c r="AD12" s="3">
        <f t="shared" si="16"/>
        <v>18730.156188543326</v>
      </c>
      <c r="AE12" s="3">
        <f t="shared" si="16"/>
        <v>20150.788430900357</v>
      </c>
      <c r="AF12" s="3">
        <f t="shared" si="16"/>
        <v>20634.358012425564</v>
      </c>
      <c r="AG12" s="3">
        <f t="shared" ref="AG12:AH12" si="17">+AG31+AG50</f>
        <v>25754.703586957035</v>
      </c>
      <c r="AH12" s="3">
        <f t="shared" si="17"/>
        <v>29983.833822897541</v>
      </c>
      <c r="AI12" s="3">
        <f t="shared" ref="AI12:AJ12" si="18">+AI31+AI50</f>
        <v>24961.94572692614</v>
      </c>
      <c r="AJ12" s="3">
        <f t="shared" si="18"/>
        <v>31888.513577463556</v>
      </c>
      <c r="AK12" s="3">
        <f t="shared" ref="AK12" si="19">+AK31+AK50</f>
        <v>26667.344058816772</v>
      </c>
    </row>
    <row r="13" spans="2:37">
      <c r="B13" s="1" t="str">
        <f>+DollarsPerActFTE!$B$13</f>
        <v>Western Washington University</v>
      </c>
      <c r="C13" s="41">
        <f t="shared" ref="C13:AF13" si="20">+C32+C51</f>
        <v>11988.253377177391</v>
      </c>
      <c r="D13" s="41">
        <f t="shared" si="20"/>
        <v>12556.409682720718</v>
      </c>
      <c r="E13" s="41">
        <f t="shared" si="20"/>
        <v>11923.870262824043</v>
      </c>
      <c r="F13" s="41">
        <f t="shared" si="20"/>
        <v>11901.692477912449</v>
      </c>
      <c r="G13" s="41">
        <f t="shared" si="20"/>
        <v>11301.585136924092</v>
      </c>
      <c r="H13" s="41">
        <f t="shared" si="20"/>
        <v>11400.973257278447</v>
      </c>
      <c r="I13" s="41">
        <f t="shared" si="20"/>
        <v>11271.374661457408</v>
      </c>
      <c r="J13" s="41">
        <f t="shared" si="20"/>
        <v>11323.614011510781</v>
      </c>
      <c r="K13" s="41">
        <f t="shared" si="20"/>
        <v>11575.513148189315</v>
      </c>
      <c r="L13" s="41">
        <f t="shared" si="20"/>
        <v>11888.226166686078</v>
      </c>
      <c r="M13" s="41">
        <f t="shared" si="20"/>
        <v>12400.899123021391</v>
      </c>
      <c r="N13" s="41">
        <f t="shared" si="20"/>
        <v>12515.923208910266</v>
      </c>
      <c r="O13" s="41">
        <f t="shared" si="20"/>
        <v>12847.052351403425</v>
      </c>
      <c r="P13" s="41">
        <f t="shared" si="20"/>
        <v>12878.887944399083</v>
      </c>
      <c r="Q13" s="41">
        <f t="shared" si="20"/>
        <v>12723.401518939274</v>
      </c>
      <c r="R13" s="41">
        <f t="shared" si="20"/>
        <v>12704.207738238938</v>
      </c>
      <c r="S13" s="41">
        <f t="shared" si="20"/>
        <v>12929.215410499663</v>
      </c>
      <c r="T13" s="41">
        <f t="shared" si="20"/>
        <v>13491.672741875556</v>
      </c>
      <c r="U13" s="41">
        <f t="shared" si="20"/>
        <v>14018.958883447753</v>
      </c>
      <c r="V13" s="41">
        <f t="shared" si="20"/>
        <v>13782.734240099571</v>
      </c>
      <c r="W13" s="41">
        <f t="shared" si="20"/>
        <v>13916.756750021865</v>
      </c>
      <c r="X13" s="41">
        <f t="shared" si="20"/>
        <v>13118.579298048135</v>
      </c>
      <c r="Y13" s="41">
        <f t="shared" si="20"/>
        <v>12439.871821507659</v>
      </c>
      <c r="Z13" s="41">
        <f t="shared" si="20"/>
        <v>12816.013720512139</v>
      </c>
      <c r="AA13" s="41">
        <f t="shared" si="20"/>
        <v>13455.604546666324</v>
      </c>
      <c r="AB13" s="41">
        <f t="shared" si="20"/>
        <v>14025.342388620886</v>
      </c>
      <c r="AC13" s="41">
        <f t="shared" si="20"/>
        <v>14813.34418897965</v>
      </c>
      <c r="AD13" s="41">
        <f t="shared" si="20"/>
        <v>15642.271961403816</v>
      </c>
      <c r="AE13" s="41">
        <f t="shared" si="20"/>
        <v>15579.716097518878</v>
      </c>
      <c r="AF13" s="41">
        <f t="shared" si="20"/>
        <v>15796.296636727278</v>
      </c>
      <c r="AG13" s="41">
        <f t="shared" ref="AG13:AH13" si="21">+AG32+AG51</f>
        <v>16971.086918429781</v>
      </c>
      <c r="AH13" s="41">
        <f t="shared" si="21"/>
        <v>17265.967879250806</v>
      </c>
      <c r="AI13" s="41">
        <f t="shared" ref="AI13:AJ13" si="22">+AI32+AI51</f>
        <v>17900.861663649732</v>
      </c>
      <c r="AJ13" s="41">
        <f t="shared" si="22"/>
        <v>18430.54985182673</v>
      </c>
      <c r="AK13" s="41">
        <f t="shared" ref="AK13" si="23">+AK32+AK51</f>
        <v>18549.241556163899</v>
      </c>
    </row>
    <row r="14" spans="2:37">
      <c r="B14" s="199" t="str">
        <f>+DollarsPerActFTE!$B$14</f>
        <v>Total Four-Year Institutions</v>
      </c>
      <c r="C14" s="42">
        <f t="shared" ref="C14:AF14" si="24">+C33+C52</f>
        <v>17877.124682377773</v>
      </c>
      <c r="D14" s="42">
        <f t="shared" si="24"/>
        <v>18598.913413703202</v>
      </c>
      <c r="E14" s="42">
        <f t="shared" si="24"/>
        <v>18157.816399238443</v>
      </c>
      <c r="F14" s="42">
        <f t="shared" si="24"/>
        <v>18328.724442758452</v>
      </c>
      <c r="G14" s="42">
        <f t="shared" si="24"/>
        <v>16923.488584737679</v>
      </c>
      <c r="H14" s="42">
        <f t="shared" si="24"/>
        <v>17126.637658223553</v>
      </c>
      <c r="I14" s="42">
        <f t="shared" si="24"/>
        <v>17052.373583178527</v>
      </c>
      <c r="J14" s="42">
        <f t="shared" si="24"/>
        <v>17235.995614756037</v>
      </c>
      <c r="K14" s="42">
        <f t="shared" si="24"/>
        <v>17645.667753627036</v>
      </c>
      <c r="L14" s="42">
        <f t="shared" si="24"/>
        <v>18237.466859252527</v>
      </c>
      <c r="M14" s="42">
        <f t="shared" si="24"/>
        <v>18751.089674839928</v>
      </c>
      <c r="N14" s="42">
        <f t="shared" si="24"/>
        <v>18942.733809825622</v>
      </c>
      <c r="O14" s="42">
        <f t="shared" si="24"/>
        <v>18814.655903205807</v>
      </c>
      <c r="P14" s="42">
        <f t="shared" si="24"/>
        <v>18613.166204725159</v>
      </c>
      <c r="Q14" s="42">
        <f t="shared" si="24"/>
        <v>18083.067717546895</v>
      </c>
      <c r="R14" s="42">
        <f t="shared" si="24"/>
        <v>18882.027927504765</v>
      </c>
      <c r="S14" s="42">
        <f t="shared" si="24"/>
        <v>19113.165826209341</v>
      </c>
      <c r="T14" s="42">
        <f t="shared" si="24"/>
        <v>20077.129665327273</v>
      </c>
      <c r="U14" s="42">
        <f t="shared" si="24"/>
        <v>20713.359322876644</v>
      </c>
      <c r="V14" s="42">
        <f t="shared" si="24"/>
        <v>20306.092119288027</v>
      </c>
      <c r="W14" s="42">
        <f t="shared" si="24"/>
        <v>18528.630844345669</v>
      </c>
      <c r="X14" s="42">
        <f t="shared" si="24"/>
        <v>18685.465528855206</v>
      </c>
      <c r="Y14" s="42">
        <f t="shared" si="24"/>
        <v>17457.280574899782</v>
      </c>
      <c r="Z14" s="42">
        <f t="shared" si="24"/>
        <v>18474.221234115284</v>
      </c>
      <c r="AA14" s="42">
        <f t="shared" si="24"/>
        <v>18781.262699544743</v>
      </c>
      <c r="AB14" s="42">
        <f t="shared" si="24"/>
        <v>19781.750652447688</v>
      </c>
      <c r="AC14" s="42">
        <f t="shared" si="24"/>
        <v>20316.744138460093</v>
      </c>
      <c r="AD14" s="42">
        <f t="shared" si="24"/>
        <v>20670.37266416529</v>
      </c>
      <c r="AE14" s="42">
        <f t="shared" si="24"/>
        <v>21518.629092818868</v>
      </c>
      <c r="AF14" s="42">
        <f t="shared" si="24"/>
        <v>20861.576784946388</v>
      </c>
      <c r="AG14" s="42">
        <f t="shared" ref="AG14:AH14" si="25">+AG33+AG52</f>
        <v>21282.109668645953</v>
      </c>
      <c r="AH14" s="42">
        <f t="shared" si="25"/>
        <v>21849.957624997707</v>
      </c>
      <c r="AI14" s="42">
        <f t="shared" ref="AI14:AJ14" si="26">+AI33+AI52</f>
        <v>21653.272030158401</v>
      </c>
      <c r="AJ14" s="42">
        <f t="shared" si="26"/>
        <v>22922.12731015409</v>
      </c>
      <c r="AK14" s="42">
        <f t="shared" ref="AK14" si="27">+AK33+AK52</f>
        <v>24041.840233117258</v>
      </c>
    </row>
    <row r="15" spans="2:37">
      <c r="C15"/>
      <c r="D15"/>
      <c r="E15"/>
      <c r="F15"/>
      <c r="G15"/>
      <c r="H15"/>
      <c r="I15"/>
      <c r="J15"/>
      <c r="K15"/>
      <c r="L15"/>
      <c r="M15"/>
      <c r="N15"/>
      <c r="O15"/>
      <c r="P15"/>
      <c r="Q15"/>
      <c r="R15"/>
      <c r="S15"/>
      <c r="T15"/>
      <c r="U15"/>
      <c r="V15"/>
      <c r="W15"/>
      <c r="X15"/>
      <c r="Y15"/>
      <c r="Z15"/>
      <c r="AA15"/>
      <c r="AB15"/>
      <c r="AC15"/>
      <c r="AD15"/>
      <c r="AE15"/>
      <c r="AF15"/>
      <c r="AG15"/>
      <c r="AH15"/>
      <c r="AI15"/>
      <c r="AJ15"/>
      <c r="AK15"/>
    </row>
    <row r="16" spans="2:37">
      <c r="B16" s="1" t="str">
        <f>+DollarsPerActFTE!$B$16</f>
        <v>Community/Technical College System</v>
      </c>
      <c r="C16" s="3">
        <f t="shared" ref="C16:AF16" si="28">+C35+C54</f>
        <v>7295.0310342561988</v>
      </c>
      <c r="D16" s="3">
        <f t="shared" si="28"/>
        <v>7596.2691572576523</v>
      </c>
      <c r="E16" s="3">
        <f t="shared" si="28"/>
        <v>7335.6446476072915</v>
      </c>
      <c r="F16" s="3">
        <f t="shared" si="28"/>
        <v>7445.1536217734238</v>
      </c>
      <c r="G16" s="3">
        <f t="shared" si="28"/>
        <v>6996.2286100501324</v>
      </c>
      <c r="H16" s="3">
        <f t="shared" si="28"/>
        <v>7376.0399331157842</v>
      </c>
      <c r="I16" s="3">
        <f t="shared" si="28"/>
        <v>6817.6090482168438</v>
      </c>
      <c r="J16" s="3">
        <f t="shared" si="28"/>
        <v>6940.9004915218065</v>
      </c>
      <c r="K16" s="3">
        <f t="shared" si="28"/>
        <v>7305.2367850408646</v>
      </c>
      <c r="L16" s="3">
        <f t="shared" si="28"/>
        <v>7646.5735351433841</v>
      </c>
      <c r="M16" s="3">
        <f t="shared" si="28"/>
        <v>7888.7978160086905</v>
      </c>
      <c r="N16" s="3">
        <f t="shared" si="28"/>
        <v>8010.0278910633351</v>
      </c>
      <c r="O16" s="3">
        <f t="shared" si="28"/>
        <v>7962.4590213826605</v>
      </c>
      <c r="P16" s="3">
        <f t="shared" si="28"/>
        <v>7847.005160306604</v>
      </c>
      <c r="Q16" s="3">
        <f t="shared" si="28"/>
        <v>7868.8500318841225</v>
      </c>
      <c r="R16" s="3">
        <f t="shared" si="28"/>
        <v>8400.1841944571279</v>
      </c>
      <c r="S16" s="3">
        <f t="shared" si="28"/>
        <v>8894.8042985618449</v>
      </c>
      <c r="T16" s="3">
        <f t="shared" si="28"/>
        <v>9090.434140096153</v>
      </c>
      <c r="U16" s="3">
        <f t="shared" si="28"/>
        <v>9510.7607284078476</v>
      </c>
      <c r="V16" s="3">
        <f t="shared" si="28"/>
        <v>8858.4064945498685</v>
      </c>
      <c r="W16" s="3">
        <f t="shared" si="28"/>
        <v>8055.2378608110876</v>
      </c>
      <c r="X16" s="3">
        <f t="shared" si="28"/>
        <v>7903.1226706338612</v>
      </c>
      <c r="Y16" s="3">
        <f t="shared" si="28"/>
        <v>7642.8936345664169</v>
      </c>
      <c r="Z16" s="3">
        <f t="shared" si="28"/>
        <v>7994.1871670575456</v>
      </c>
      <c r="AA16" s="3">
        <f t="shared" si="28"/>
        <v>8687.9038702097205</v>
      </c>
      <c r="AB16" s="3">
        <f t="shared" si="28"/>
        <v>8942.3896107252949</v>
      </c>
      <c r="AC16" s="3">
        <f t="shared" si="28"/>
        <v>9717.0368063925071</v>
      </c>
      <c r="AD16" s="3">
        <f t="shared" si="28"/>
        <v>10279.39617056611</v>
      </c>
      <c r="AE16" s="3">
        <f t="shared" si="28"/>
        <v>10314.569853070454</v>
      </c>
      <c r="AF16" s="3">
        <f t="shared" si="28"/>
        <v>10447.534683773498</v>
      </c>
      <c r="AG16" s="3">
        <f t="shared" ref="AG16:AH16" si="29">+AG35+AG54</f>
        <v>11992.032151003852</v>
      </c>
      <c r="AH16" s="3">
        <f t="shared" si="29"/>
        <v>13319.284156434778</v>
      </c>
      <c r="AI16" s="3">
        <f t="shared" ref="AI16:AJ16" si="30">+AI35+AI54</f>
        <v>13060.246635167057</v>
      </c>
      <c r="AJ16" s="3">
        <f t="shared" si="30"/>
        <v>13333.995589556089</v>
      </c>
      <c r="AK16" s="3">
        <f t="shared" ref="AK16" si="31">+AK35+AK54</f>
        <v>15004.319395720013</v>
      </c>
    </row>
    <row r="17" spans="2:37">
      <c r="B17" s="1" t="str">
        <f>+DollarsPerActFTE!$B$17</f>
        <v>HEC Board, CHE, SFA, &amp; SAC (1)</v>
      </c>
      <c r="C17" s="3">
        <f t="shared" ref="C17:AF17" si="32">+C36+C55</f>
        <v>363.1272240391516</v>
      </c>
      <c r="D17" s="3">
        <f t="shared" si="32"/>
        <v>393.52638177483487</v>
      </c>
      <c r="E17" s="3">
        <f t="shared" si="32"/>
        <v>428.98059790798629</v>
      </c>
      <c r="F17" s="3">
        <f t="shared" si="32"/>
        <v>415.29223287100751</v>
      </c>
      <c r="G17" s="3">
        <f t="shared" si="32"/>
        <v>631.15251139780912</v>
      </c>
      <c r="H17" s="3">
        <f t="shared" si="32"/>
        <v>663.62420573599934</v>
      </c>
      <c r="I17" s="3">
        <f t="shared" si="32"/>
        <v>662.50607105002064</v>
      </c>
      <c r="J17" s="3">
        <f t="shared" si="32"/>
        <v>689.02972173006071</v>
      </c>
      <c r="K17" s="3">
        <f t="shared" si="32"/>
        <v>791.88599999985149</v>
      </c>
      <c r="L17" s="3">
        <f t="shared" si="32"/>
        <v>841.31512260180284</v>
      </c>
      <c r="M17" s="3">
        <f t="shared" si="32"/>
        <v>859.39325487880137</v>
      </c>
      <c r="N17" s="3">
        <f t="shared" si="32"/>
        <v>955.19596085091962</v>
      </c>
      <c r="O17" s="3">
        <f t="shared" si="32"/>
        <v>915.14830623999296</v>
      </c>
      <c r="P17" s="3">
        <f t="shared" si="32"/>
        <v>953.59611315973802</v>
      </c>
      <c r="Q17" s="3">
        <f t="shared" si="32"/>
        <v>999.9714369887314</v>
      </c>
      <c r="R17" s="3">
        <f t="shared" si="32"/>
        <v>1122.5446732908447</v>
      </c>
      <c r="S17" s="3">
        <f t="shared" si="32"/>
        <v>1258.4136034031048</v>
      </c>
      <c r="T17" s="3">
        <f t="shared" si="32"/>
        <v>1291.5297138347739</v>
      </c>
      <c r="U17" s="3">
        <f t="shared" si="32"/>
        <v>1401.7495004515135</v>
      </c>
      <c r="V17" s="3">
        <f t="shared" si="32"/>
        <v>1326.5080952754097</v>
      </c>
      <c r="W17" s="3">
        <f t="shared" si="32"/>
        <v>1320.7578268633911</v>
      </c>
      <c r="X17" s="3">
        <f t="shared" si="32"/>
        <v>1162.553054483004</v>
      </c>
      <c r="Y17" s="3">
        <f t="shared" si="32"/>
        <v>1474.8807425352679</v>
      </c>
      <c r="Z17" s="3">
        <f t="shared" si="32"/>
        <v>1652.6056663296667</v>
      </c>
      <c r="AA17" s="3">
        <f t="shared" si="32"/>
        <v>1875.4246208891273</v>
      </c>
      <c r="AB17" s="3">
        <f t="shared" si="32"/>
        <v>1807.9795493818635</v>
      </c>
      <c r="AC17" s="3">
        <f t="shared" si="32"/>
        <v>1876.0260140243906</v>
      </c>
      <c r="AD17" s="3">
        <f t="shared" si="32"/>
        <v>1799.2996577660952</v>
      </c>
      <c r="AE17" s="3">
        <f t="shared" si="32"/>
        <v>1783.9013817711166</v>
      </c>
      <c r="AF17" s="3">
        <f t="shared" si="32"/>
        <v>1922.1968206442032</v>
      </c>
      <c r="AG17" s="3">
        <f t="shared" ref="AG17:AH17" si="33">+AG36+AG55</f>
        <v>2158.7157049843213</v>
      </c>
      <c r="AH17" s="3">
        <f t="shared" si="33"/>
        <v>2783.4696017991214</v>
      </c>
      <c r="AI17" s="3">
        <f t="shared" ref="AI17:AJ17" si="34">+AI36+AI55</f>
        <v>2638.5596405754654</v>
      </c>
      <c r="AJ17" s="3">
        <f t="shared" si="34"/>
        <v>2727.6433952894145</v>
      </c>
      <c r="AK17" s="3">
        <f t="shared" ref="AK17" si="35">+AK36+AK55</f>
        <v>2727.7446660650962</v>
      </c>
    </row>
    <row r="18" spans="2:37"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row>
    <row r="19" spans="2:37" ht="13.5" thickTop="1">
      <c r="B19" s="1" t="str">
        <f>+DollarsPerActFTE!$B$19</f>
        <v>Total Higher Education</v>
      </c>
      <c r="C19" s="39">
        <f t="shared" ref="C19:AF19" si="36">+C38+C57</f>
        <v>12082.250972906839</v>
      </c>
      <c r="D19" s="39">
        <f t="shared" si="36"/>
        <v>12602.554773375672</v>
      </c>
      <c r="E19" s="39">
        <f t="shared" si="36"/>
        <v>12223.379775605546</v>
      </c>
      <c r="F19" s="39">
        <f t="shared" si="36"/>
        <v>12322.220080501133</v>
      </c>
      <c r="G19" s="39">
        <f t="shared" si="36"/>
        <v>11675.661975259985</v>
      </c>
      <c r="H19" s="39">
        <f t="shared" si="36"/>
        <v>12002.675229798107</v>
      </c>
      <c r="I19" s="39">
        <f t="shared" si="36"/>
        <v>11554.560428732291</v>
      </c>
      <c r="J19" s="39">
        <f t="shared" si="36"/>
        <v>11762.583242405104</v>
      </c>
      <c r="K19" s="39">
        <f t="shared" si="36"/>
        <v>12295.463490793756</v>
      </c>
      <c r="L19" s="39">
        <f t="shared" si="36"/>
        <v>12759.348740173175</v>
      </c>
      <c r="M19" s="39">
        <f t="shared" si="36"/>
        <v>13072.993426628876</v>
      </c>
      <c r="N19" s="39">
        <f t="shared" si="36"/>
        <v>13320.951495452788</v>
      </c>
      <c r="O19" s="39">
        <f t="shared" si="36"/>
        <v>13179.200649407805</v>
      </c>
      <c r="P19" s="39">
        <f t="shared" si="36"/>
        <v>13004.008006520591</v>
      </c>
      <c r="Q19" s="39">
        <f t="shared" si="36"/>
        <v>12898.524415823898</v>
      </c>
      <c r="R19" s="39">
        <f t="shared" si="36"/>
        <v>13819.848774068299</v>
      </c>
      <c r="S19" s="39">
        <f t="shared" si="36"/>
        <v>14358.560652873737</v>
      </c>
      <c r="T19" s="39">
        <f t="shared" si="36"/>
        <v>14893.060296568947</v>
      </c>
      <c r="U19" s="39">
        <f t="shared" si="36"/>
        <v>15481.350096999684</v>
      </c>
      <c r="V19" s="39">
        <f t="shared" si="36"/>
        <v>14753.543614058146</v>
      </c>
      <c r="W19" s="39">
        <f t="shared" si="36"/>
        <v>13420.913998806098</v>
      </c>
      <c r="X19" s="39">
        <f t="shared" si="36"/>
        <v>13315.734569583488</v>
      </c>
      <c r="Y19" s="39">
        <f t="shared" si="36"/>
        <v>13099.161142981582</v>
      </c>
      <c r="Z19" s="39">
        <f t="shared" si="36"/>
        <v>14008.196851675841</v>
      </c>
      <c r="AA19" s="39">
        <f t="shared" si="36"/>
        <v>14855.948572065145</v>
      </c>
      <c r="AB19" s="39">
        <f t="shared" si="36"/>
        <v>15493.542022928377</v>
      </c>
      <c r="AC19" s="39">
        <f t="shared" si="36"/>
        <v>16335.501908479291</v>
      </c>
      <c r="AD19" s="39">
        <f t="shared" si="36"/>
        <v>16847.27595117188</v>
      </c>
      <c r="AE19" s="39">
        <f t="shared" si="36"/>
        <v>17343.237948171954</v>
      </c>
      <c r="AF19" s="39">
        <f t="shared" si="36"/>
        <v>17357.786701593275</v>
      </c>
      <c r="AG19" s="39">
        <f t="shared" ref="AG19:AH19" si="37">+AG38+AG57</f>
        <v>18708.933814130374</v>
      </c>
      <c r="AH19" s="39">
        <f t="shared" si="37"/>
        <v>20444.966004277012</v>
      </c>
      <c r="AI19" s="39">
        <f t="shared" ref="AI19:AJ19" si="38">+AI38+AI57</f>
        <v>19962.741943080902</v>
      </c>
      <c r="AJ19" s="39">
        <f t="shared" si="38"/>
        <v>20766.672160037993</v>
      </c>
      <c r="AK19" s="39">
        <f t="shared" ref="AK19" si="39">+AK38+AK57</f>
        <v>22300.125658752564</v>
      </c>
    </row>
    <row r="20" spans="2:37">
      <c r="B20" s="199" t="str">
        <f>+DollarsPerActFTE!$B$20</f>
        <v>[biennial annual average]</v>
      </c>
      <c r="C20" s="3"/>
      <c r="D20" s="3">
        <f>AVERAGE(C19:D19)</f>
        <v>12342.402873141255</v>
      </c>
      <c r="E20" s="3"/>
      <c r="F20" s="3">
        <f>AVERAGE(E19:F19)</f>
        <v>12272.79992805334</v>
      </c>
      <c r="G20" s="3"/>
      <c r="H20" s="3">
        <f>AVERAGE(G19:H19)</f>
        <v>11839.168602529047</v>
      </c>
      <c r="I20" s="3"/>
      <c r="J20" s="3">
        <f>AVERAGE(I19:J19)</f>
        <v>11658.571835568699</v>
      </c>
      <c r="K20" s="3"/>
      <c r="L20" s="3">
        <f>AVERAGE(K19:L19)</f>
        <v>12527.406115483465</v>
      </c>
      <c r="M20" s="3"/>
      <c r="N20" s="3">
        <f>AVERAGE(M19:N19)</f>
        <v>13196.972461040832</v>
      </c>
      <c r="O20" s="3"/>
      <c r="P20" s="3">
        <f>AVERAGE(O19:P19)</f>
        <v>13091.604327964198</v>
      </c>
      <c r="Q20" s="3"/>
      <c r="R20" s="3">
        <f>AVERAGE(Q19:R19)</f>
        <v>13359.186594946099</v>
      </c>
      <c r="S20" s="3"/>
      <c r="T20" s="3">
        <f>AVERAGE(S19:T19)</f>
        <v>14625.810474721342</v>
      </c>
      <c r="U20" s="3"/>
      <c r="V20" s="3">
        <f>AVERAGE(U19:V19)</f>
        <v>15117.446855528915</v>
      </c>
      <c r="W20" s="3"/>
      <c r="X20" s="3">
        <f>AVERAGE(W19:X19)</f>
        <v>13368.324284194794</v>
      </c>
      <c r="Y20" s="3"/>
      <c r="Z20" s="3">
        <f>AVERAGE(Y19:Z19)</f>
        <v>13553.678997328712</v>
      </c>
      <c r="AA20" s="3"/>
      <c r="AB20" s="3">
        <f>AVERAGE(AA19:AB19)</f>
        <v>15174.74529749676</v>
      </c>
      <c r="AC20" s="3"/>
      <c r="AD20" s="3">
        <f>AVERAGE(AC19:AD19)</f>
        <v>16591.388929825585</v>
      </c>
      <c r="AE20" s="3"/>
      <c r="AF20" s="3">
        <f>AVERAGE(AE19:AF19)</f>
        <v>17350.512324882613</v>
      </c>
      <c r="AG20" s="3"/>
      <c r="AH20" s="3">
        <f>AVERAGE(AG19:AH19)</f>
        <v>19576.949909203693</v>
      </c>
      <c r="AI20" s="3"/>
      <c r="AJ20" s="3">
        <f>AVERAGE(AI19:AJ19)</f>
        <v>20364.707051559446</v>
      </c>
      <c r="AK20" s="3"/>
    </row>
    <row r="22" spans="2:37" ht="15.75">
      <c r="B22" s="376"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row>
    <row r="23" spans="2:37" ht="13.5">
      <c r="B23" s="33" t="str">
        <f>+$B$4</f>
        <v>FY2024 Constant Dollar Expenditures per Actual State-Funded FTE Enrollment</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row>
    <row r="24" spans="2:37">
      <c r="I24" s="13"/>
      <c r="J24" s="13"/>
      <c r="K24" s="13"/>
      <c r="L24" s="13"/>
      <c r="M24" s="13"/>
      <c r="N24" s="13"/>
      <c r="O24" s="13"/>
      <c r="P24" s="13"/>
      <c r="Q24"/>
      <c r="R24" s="13"/>
      <c r="S24"/>
      <c r="T24"/>
      <c r="U24" s="2" t="str">
        <f>IF(ISBLANK(OperatingFunds!U24),"",OperatingFunds!U24)</f>
        <v/>
      </c>
      <c r="V24" s="2" t="str">
        <f>IF(ISBLANK(OperatingFunds!V24),"",OperatingFunds!V24)</f>
        <v/>
      </c>
      <c r="W24" s="2"/>
      <c r="X24" s="2"/>
      <c r="Y24" s="2"/>
      <c r="Z24" s="2" t="str">
        <f>IF(ISBLANK(OperatingFunds!Z24),"",OperatingFunds!Z24)</f>
        <v/>
      </c>
      <c r="AA24" s="2" t="str">
        <f>IF(ISBLANK(OperatingFunds!AA24),"",OperatingFunds!AA24)</f>
        <v/>
      </c>
      <c r="AB24" s="2" t="str">
        <f>IF(ISBLANK(OperatingFunds!AB24),"",OperatingFunds!AB24)</f>
        <v/>
      </c>
      <c r="AC24" s="2" t="str">
        <f>IF(ISBLANK(OperatingFunds!AC24),"",OperatingFunds!AC24)</f>
        <v/>
      </c>
      <c r="AD24" s="2" t="str">
        <f>IF(ISBLANK(OperatingFunds!AD24),"",OperatingFunds!AD24)</f>
        <v/>
      </c>
      <c r="AE24" s="2" t="str">
        <f>IF(ISBLANK(OperatingFunds!AE24),"",OperatingFunds!AE24)</f>
        <v/>
      </c>
      <c r="AF24" s="2" t="str">
        <f>IF(ISBLANK(OperatingFunds!AF24),"",OperatingFunds!AF24)</f>
        <v/>
      </c>
      <c r="AG24" s="2" t="str">
        <f>IF(ISBLANK(OperatingFunds!AG24),"",OperatingFunds!AG24)</f>
        <v/>
      </c>
      <c r="AH24" s="2" t="str">
        <f>IF(ISBLANK(OperatingFunds!AH24),"",OperatingFunds!AH24)</f>
        <v/>
      </c>
      <c r="AI24" s="2" t="str">
        <f>IF(ISBLANK(OperatingFunds!AI24),"",OperatingFunds!AI24)</f>
        <v/>
      </c>
      <c r="AJ24" s="2" t="str">
        <f>IF(ISBLANK(OperatingFunds!AJ24),"",OperatingFunds!AJ24)</f>
        <v/>
      </c>
      <c r="AK24" s="2" t="str">
        <f>IF(ISBLANK(OperatingFunds!AK24),"",OperatingFunds!AK24)</f>
        <v>Final</v>
      </c>
    </row>
    <row r="25" spans="2:37">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IF(ISBLANK(OperatingFunds!U25),"",OperatingFunds!U25)</f>
        <v>FY2008</v>
      </c>
      <c r="V25" s="2" t="str">
        <f>IF(ISBLANK(OperatingFunds!V25),"",OperatingFunds!V25)</f>
        <v>FY2009</v>
      </c>
      <c r="W25" s="2" t="str">
        <f>IF(ISBLANK(OperatingFunds!W25),"",OperatingFunds!W25)</f>
        <v>FY2010</v>
      </c>
      <c r="X25" s="2" t="str">
        <f>IF(ISBLANK(OperatingFunds!X25),"",OperatingFunds!X25)</f>
        <v>FY2011</v>
      </c>
      <c r="Y25" s="2" t="str">
        <f>IF(ISBLANK(OperatingFunds!Y25),"",OperatingFunds!Y25)</f>
        <v>FY2012</v>
      </c>
      <c r="Z25" s="2" t="str">
        <f>IF(ISBLANK(OperatingFunds!Z25),"",OperatingFunds!Z25)</f>
        <v>FY2013</v>
      </c>
      <c r="AA25" s="2" t="str">
        <f>IF(ISBLANK(OperatingFunds!AA25),"",OperatingFunds!AA25)</f>
        <v>FY2014</v>
      </c>
      <c r="AB25" s="2" t="str">
        <f>IF(ISBLANK(OperatingFunds!AB25),"",OperatingFunds!AB25)</f>
        <v>FY2015</v>
      </c>
      <c r="AC25" s="2" t="str">
        <f>IF(ISBLANK(OperatingFunds!AC25),"",OperatingFunds!AC25)</f>
        <v>FY2016</v>
      </c>
      <c r="AD25" s="2" t="str">
        <f>IF(ISBLANK(OperatingFunds!AD25),"",OperatingFunds!AD25)</f>
        <v>FY2017</v>
      </c>
      <c r="AE25" s="2" t="str">
        <f>IF(ISBLANK(OperatingFunds!AE25),"",OperatingFunds!AE25)</f>
        <v>FY2018</v>
      </c>
      <c r="AF25" s="2" t="str">
        <f>IF(ISBLANK(OperatingFunds!AF25),"",OperatingFunds!AF25)</f>
        <v>FY2019</v>
      </c>
      <c r="AG25" s="2" t="str">
        <f>IF(ISBLANK(OperatingFunds!AG25),"",OperatingFunds!AG25)</f>
        <v>FY2020</v>
      </c>
      <c r="AH25" s="2" t="str">
        <f>IF(ISBLANK(OperatingFunds!AH25),"",OperatingFunds!AH25)</f>
        <v>FY2021</v>
      </c>
      <c r="AI25" s="2" t="str">
        <f>IF(ISBLANK(OperatingFunds!AI25),"",OperatingFunds!AI25)</f>
        <v>FY2022</v>
      </c>
      <c r="AJ25" s="2" t="str">
        <f>IF(ISBLANK(OperatingFunds!AJ25),"",OperatingFunds!AJ25)</f>
        <v>FY2023</v>
      </c>
      <c r="AK25" s="2" t="str">
        <f>IF(ISBLANK(OperatingFunds!AK25),"",OperatingFunds!AK25)</f>
        <v>FY2024</v>
      </c>
    </row>
    <row r="26" spans="2:37">
      <c r="C26" s="3"/>
      <c r="D26" s="3"/>
      <c r="E26" s="3"/>
      <c r="F26" s="3"/>
      <c r="G26" s="3"/>
      <c r="H26" s="3"/>
      <c r="I26" s="3"/>
      <c r="J26" s="3"/>
      <c r="K26" s="3"/>
      <c r="L26" s="3"/>
      <c r="M26" s="3"/>
      <c r="N26" s="3"/>
      <c r="O26" s="3"/>
      <c r="P26" s="3"/>
      <c r="Q26" s="3"/>
      <c r="R26" s="3"/>
    </row>
    <row r="27" spans="2:37">
      <c r="B27" s="1" t="str">
        <f>+$B$8</f>
        <v>University of Washington</v>
      </c>
      <c r="C27" s="3">
        <f t="shared" ref="C27:AF27" si="40">SUM(C65,C84,C103,C122,C141)</f>
        <v>16757.088586571248</v>
      </c>
      <c r="D27" s="3">
        <f t="shared" si="40"/>
        <v>17687.700120738155</v>
      </c>
      <c r="E27" s="3">
        <f t="shared" si="40"/>
        <v>16490.612397709832</v>
      </c>
      <c r="F27" s="3">
        <f t="shared" si="40"/>
        <v>16581.879149125369</v>
      </c>
      <c r="G27" s="3">
        <f t="shared" si="40"/>
        <v>15114.763964179865</v>
      </c>
      <c r="H27" s="3">
        <f t="shared" si="40"/>
        <v>14354.072210543813</v>
      </c>
      <c r="I27" s="3">
        <f t="shared" si="40"/>
        <v>14523.466224826474</v>
      </c>
      <c r="J27" s="3">
        <f t="shared" si="40"/>
        <v>14221.856792654331</v>
      </c>
      <c r="K27" s="3">
        <f t="shared" si="40"/>
        <v>14688.707656258737</v>
      </c>
      <c r="L27" s="3">
        <f t="shared" si="40"/>
        <v>15061.064417363084</v>
      </c>
      <c r="M27" s="3">
        <f t="shared" si="40"/>
        <v>15824.179142568108</v>
      </c>
      <c r="N27" s="3">
        <f t="shared" si="40"/>
        <v>15982.926467938936</v>
      </c>
      <c r="O27" s="3">
        <f t="shared" si="40"/>
        <v>15467.540508203354</v>
      </c>
      <c r="P27" s="3">
        <f t="shared" si="40"/>
        <v>14596.541793492997</v>
      </c>
      <c r="Q27" s="3">
        <f t="shared" si="40"/>
        <v>14021.719963991703</v>
      </c>
      <c r="R27" s="3">
        <f t="shared" si="40"/>
        <v>14210.225600893478</v>
      </c>
      <c r="S27" s="3">
        <f t="shared" si="40"/>
        <v>14597.712225771564</v>
      </c>
      <c r="T27" s="3">
        <f t="shared" si="40"/>
        <v>14798.441133619694</v>
      </c>
      <c r="U27" s="3">
        <f t="shared" si="40"/>
        <v>15055.253116774071</v>
      </c>
      <c r="V27" s="3">
        <f t="shared" si="40"/>
        <v>14049.417765324148</v>
      </c>
      <c r="W27" s="3">
        <f t="shared" si="40"/>
        <v>11735.294783263906</v>
      </c>
      <c r="X27" s="3">
        <f t="shared" si="40"/>
        <v>9717.4243715691864</v>
      </c>
      <c r="Y27" s="3">
        <f t="shared" si="40"/>
        <v>7008.8768882278828</v>
      </c>
      <c r="Z27" s="3">
        <f t="shared" si="40"/>
        <v>6851.6134870279548</v>
      </c>
      <c r="AA27" s="3">
        <f t="shared" si="40"/>
        <v>7825.385122249565</v>
      </c>
      <c r="AB27" s="3">
        <f t="shared" si="40"/>
        <v>7257.5325859652785</v>
      </c>
      <c r="AC27" s="3">
        <f t="shared" si="40"/>
        <v>8357.8868192241935</v>
      </c>
      <c r="AD27" s="3">
        <f t="shared" si="40"/>
        <v>9111.6694138735456</v>
      </c>
      <c r="AE27" s="3">
        <f t="shared" si="40"/>
        <v>9332.6370994441768</v>
      </c>
      <c r="AF27" s="3">
        <f t="shared" si="40"/>
        <v>9328.6561365882699</v>
      </c>
      <c r="AG27" s="3">
        <f t="shared" ref="AG27:AH27" si="41">SUM(AG65,AG84,AG103,AG122,AG141)</f>
        <v>9890.6760725958593</v>
      </c>
      <c r="AH27" s="3">
        <f t="shared" si="41"/>
        <v>10396.036747331551</v>
      </c>
      <c r="AI27" s="3">
        <f t="shared" ref="AI27:AJ27" si="42">SUM(AI65,AI84,AI103,AI122,AI141)</f>
        <v>10140.386539315443</v>
      </c>
      <c r="AJ27" s="3">
        <f t="shared" si="42"/>
        <v>10509.923931999992</v>
      </c>
      <c r="AK27" s="3">
        <f t="shared" ref="AK27" si="43">SUM(AK65,AK84,AK103,AK122,AK141)</f>
        <v>11521.687611724739</v>
      </c>
    </row>
    <row r="28" spans="2:37">
      <c r="B28" s="1" t="str">
        <f>+$B$9</f>
        <v>Washington State University</v>
      </c>
      <c r="C28" s="3">
        <f t="shared" ref="C28:AF28" si="44">SUM(C66,C85,C104,C123,C142)</f>
        <v>17267.290117540688</v>
      </c>
      <c r="D28" s="3">
        <f t="shared" si="44"/>
        <v>17667.40820517001</v>
      </c>
      <c r="E28" s="3">
        <f t="shared" si="44"/>
        <v>17760.017929359339</v>
      </c>
      <c r="F28" s="3">
        <f t="shared" si="44"/>
        <v>17717.961854633519</v>
      </c>
      <c r="G28" s="3">
        <f t="shared" si="44"/>
        <v>15732.225087962262</v>
      </c>
      <c r="H28" s="3">
        <f t="shared" si="44"/>
        <v>14461.463046060961</v>
      </c>
      <c r="I28" s="3">
        <f t="shared" si="44"/>
        <v>14532.823708589289</v>
      </c>
      <c r="J28" s="3">
        <f t="shared" si="44"/>
        <v>14995.39224139151</v>
      </c>
      <c r="K28" s="3">
        <f t="shared" si="44"/>
        <v>15806.194155780684</v>
      </c>
      <c r="L28" s="3">
        <f t="shared" si="44"/>
        <v>15160.826776312286</v>
      </c>
      <c r="M28" s="3">
        <f t="shared" si="44"/>
        <v>16147.793883900064</v>
      </c>
      <c r="N28" s="3">
        <f t="shared" si="44"/>
        <v>16564.206086507827</v>
      </c>
      <c r="O28" s="3">
        <f t="shared" si="44"/>
        <v>16275.605787053666</v>
      </c>
      <c r="P28" s="3">
        <f t="shared" si="44"/>
        <v>15131.419078589795</v>
      </c>
      <c r="Q28" s="3">
        <f t="shared" si="44"/>
        <v>14402.147517516087</v>
      </c>
      <c r="R28" s="3">
        <f t="shared" si="44"/>
        <v>14255.191929810733</v>
      </c>
      <c r="S28" s="3">
        <f t="shared" si="44"/>
        <v>14731.835971608385</v>
      </c>
      <c r="T28" s="3">
        <f t="shared" si="44"/>
        <v>15203.578512019518</v>
      </c>
      <c r="U28" s="3">
        <f t="shared" si="44"/>
        <v>15571.862521545765</v>
      </c>
      <c r="V28" s="3">
        <f t="shared" si="44"/>
        <v>14777.293905293311</v>
      </c>
      <c r="W28" s="3">
        <f t="shared" si="44"/>
        <v>12291.235324534446</v>
      </c>
      <c r="X28" s="3">
        <f t="shared" si="44"/>
        <v>11093.963225165233</v>
      </c>
      <c r="Y28" s="3">
        <f t="shared" si="44"/>
        <v>8032.2916372292766</v>
      </c>
      <c r="Z28" s="3">
        <f t="shared" si="44"/>
        <v>7906.3070275578448</v>
      </c>
      <c r="AA28" s="3">
        <f t="shared" si="44"/>
        <v>9018.8771268531582</v>
      </c>
      <c r="AB28" s="3">
        <f t="shared" si="44"/>
        <v>8471.7951523406064</v>
      </c>
      <c r="AC28" s="3">
        <f t="shared" si="44"/>
        <v>9661.588869577643</v>
      </c>
      <c r="AD28" s="3">
        <f t="shared" si="44"/>
        <v>10609.150820144818</v>
      </c>
      <c r="AE28" s="3">
        <f t="shared" si="44"/>
        <v>10639.488385806704</v>
      </c>
      <c r="AF28" s="3">
        <f t="shared" si="44"/>
        <v>10799.629593757556</v>
      </c>
      <c r="AG28" s="3">
        <f t="shared" ref="AG28:AH28" si="45">SUM(AG66,AG85,AG104,AG123,AG142)</f>
        <v>11321.679658853378</v>
      </c>
      <c r="AH28" s="3">
        <f t="shared" si="45"/>
        <v>11808.737703449207</v>
      </c>
      <c r="AI28" s="3">
        <f t="shared" ref="AI28:AJ28" si="46">SUM(AI66,AI85,AI104,AI123,AI142)</f>
        <v>12114.59262009878</v>
      </c>
      <c r="AJ28" s="3">
        <f t="shared" si="46"/>
        <v>13204.120158747533</v>
      </c>
      <c r="AK28" s="3">
        <f t="shared" ref="AK28" si="47">SUM(AK66,AK85,AK104,AK123,AK142)</f>
        <v>14259.594486269787</v>
      </c>
    </row>
    <row r="29" spans="2:37">
      <c r="B29" s="1" t="str">
        <f>+$B$10</f>
        <v>Eastern Washington University</v>
      </c>
      <c r="C29" s="3">
        <f t="shared" ref="C29:AF29" si="48">SUM(C67,C86,C105,C124,C143)</f>
        <v>9971.9200097033554</v>
      </c>
      <c r="D29" s="3">
        <f t="shared" si="48"/>
        <v>10309.417653064318</v>
      </c>
      <c r="E29" s="3">
        <f t="shared" si="48"/>
        <v>9726.9763124756864</v>
      </c>
      <c r="F29" s="3">
        <f t="shared" si="48"/>
        <v>10061.3022910936</v>
      </c>
      <c r="G29" s="3">
        <f t="shared" si="48"/>
        <v>8856.6499712032182</v>
      </c>
      <c r="H29" s="3">
        <f t="shared" si="48"/>
        <v>8744.5977347986627</v>
      </c>
      <c r="I29" s="3">
        <f t="shared" si="48"/>
        <v>9053.0024944262059</v>
      </c>
      <c r="J29" s="3">
        <f t="shared" si="48"/>
        <v>9602.0587368024717</v>
      </c>
      <c r="K29" s="3">
        <f t="shared" si="48"/>
        <v>9797.0496809080578</v>
      </c>
      <c r="L29" s="3">
        <f t="shared" si="48"/>
        <v>9314.4877665638633</v>
      </c>
      <c r="M29" s="3">
        <f t="shared" si="48"/>
        <v>9046.8008025735926</v>
      </c>
      <c r="N29" s="3">
        <f t="shared" si="48"/>
        <v>8888.5270699994126</v>
      </c>
      <c r="O29" s="3">
        <f t="shared" si="48"/>
        <v>8736.3746901370305</v>
      </c>
      <c r="P29" s="3">
        <f t="shared" si="48"/>
        <v>7987.6690364184287</v>
      </c>
      <c r="Q29" s="3">
        <f t="shared" si="48"/>
        <v>7259.6247293716397</v>
      </c>
      <c r="R29" s="3">
        <f t="shared" si="48"/>
        <v>7553.1843422846387</v>
      </c>
      <c r="S29" s="3">
        <f t="shared" si="48"/>
        <v>7754.5965392560929</v>
      </c>
      <c r="T29" s="3">
        <f t="shared" si="48"/>
        <v>8241.0575782927299</v>
      </c>
      <c r="U29" s="3">
        <f t="shared" si="48"/>
        <v>9009.2169414511518</v>
      </c>
      <c r="V29" s="3">
        <f t="shared" si="48"/>
        <v>8453.6329955424007</v>
      </c>
      <c r="W29" s="3">
        <f t="shared" si="48"/>
        <v>7068.3463138521147</v>
      </c>
      <c r="X29" s="3">
        <f t="shared" si="48"/>
        <v>6421.5859362490337</v>
      </c>
      <c r="Y29" s="3">
        <f t="shared" si="48"/>
        <v>4647.2781523187532</v>
      </c>
      <c r="Z29" s="3">
        <f t="shared" si="48"/>
        <v>4402.68808819068</v>
      </c>
      <c r="AA29" s="3">
        <f t="shared" si="48"/>
        <v>4977.8072224055531</v>
      </c>
      <c r="AB29" s="3">
        <f t="shared" si="48"/>
        <v>4805.868063879625</v>
      </c>
      <c r="AC29" s="3">
        <f t="shared" si="48"/>
        <v>5787.6395346568797</v>
      </c>
      <c r="AD29" s="3">
        <f t="shared" si="48"/>
        <v>6931.511811115136</v>
      </c>
      <c r="AE29" s="3">
        <f t="shared" si="48"/>
        <v>6787.2968268564473</v>
      </c>
      <c r="AF29" s="3">
        <f t="shared" si="48"/>
        <v>7088.4563366777211</v>
      </c>
      <c r="AG29" s="3">
        <f t="shared" ref="AG29:AH29" si="49">SUM(AG67,AG86,AG105,AG124,AG143)</f>
        <v>8241.8106591118431</v>
      </c>
      <c r="AH29" s="3">
        <f t="shared" si="49"/>
        <v>9593.3178970806021</v>
      </c>
      <c r="AI29" s="3">
        <f t="shared" ref="AI29:AJ29" si="50">SUM(AI67,AI86,AI105,AI124,AI143)</f>
        <v>10445.711106857561</v>
      </c>
      <c r="AJ29" s="3">
        <f t="shared" si="50"/>
        <v>12845.537016232573</v>
      </c>
      <c r="AK29" s="3">
        <f t="shared" ref="AK29" si="51">SUM(AK67,AK86,AK105,AK124,AK143)</f>
        <v>13653.958931050762</v>
      </c>
    </row>
    <row r="30" spans="2:37">
      <c r="B30" s="1" t="str">
        <f>+$B$11</f>
        <v>Central Washington University</v>
      </c>
      <c r="C30" s="3">
        <f t="shared" ref="C30:AF30" si="52">SUM(C68,C87,C106,C125,C144)</f>
        <v>9789.7391014306395</v>
      </c>
      <c r="D30" s="3">
        <f t="shared" si="52"/>
        <v>10378.718251580331</v>
      </c>
      <c r="E30" s="3">
        <f t="shared" si="52"/>
        <v>9876.8797075507664</v>
      </c>
      <c r="F30" s="3">
        <f t="shared" si="52"/>
        <v>10183.11109130777</v>
      </c>
      <c r="G30" s="3">
        <f t="shared" si="52"/>
        <v>8098.833176769479</v>
      </c>
      <c r="H30" s="3">
        <f t="shared" si="52"/>
        <v>8032.8030355676919</v>
      </c>
      <c r="I30" s="3">
        <f t="shared" si="52"/>
        <v>8175.019655007115</v>
      </c>
      <c r="J30" s="3">
        <f t="shared" si="52"/>
        <v>8521.9424585862816</v>
      </c>
      <c r="K30" s="3">
        <f t="shared" si="52"/>
        <v>8604.4637498072934</v>
      </c>
      <c r="L30" s="3">
        <f t="shared" si="52"/>
        <v>8963.7171452050934</v>
      </c>
      <c r="M30" s="3">
        <f t="shared" si="52"/>
        <v>9452.2952385886056</v>
      </c>
      <c r="N30" s="3">
        <f t="shared" si="52"/>
        <v>9935.879746098577</v>
      </c>
      <c r="O30" s="3">
        <f t="shared" si="52"/>
        <v>9284.7075350854011</v>
      </c>
      <c r="P30" s="3">
        <f t="shared" si="52"/>
        <v>8122.503629087596</v>
      </c>
      <c r="Q30" s="3">
        <f t="shared" si="52"/>
        <v>7451.0702692597361</v>
      </c>
      <c r="R30" s="3">
        <f t="shared" si="52"/>
        <v>7567.1772481710341</v>
      </c>
      <c r="S30" s="3">
        <f t="shared" si="52"/>
        <v>7903.0823990755762</v>
      </c>
      <c r="T30" s="3">
        <f t="shared" si="52"/>
        <v>8154.8604223184248</v>
      </c>
      <c r="U30" s="3">
        <f t="shared" si="52"/>
        <v>8964.2757922068158</v>
      </c>
      <c r="V30" s="3">
        <f t="shared" si="52"/>
        <v>8794.0417598423119</v>
      </c>
      <c r="W30" s="3">
        <f t="shared" si="52"/>
        <v>6741.9242631761117</v>
      </c>
      <c r="X30" s="3">
        <f t="shared" si="52"/>
        <v>6103.9789412715654</v>
      </c>
      <c r="Y30" s="3">
        <f t="shared" si="52"/>
        <v>4621.126789046355</v>
      </c>
      <c r="Z30" s="3">
        <f t="shared" si="52"/>
        <v>4463.6081183881861</v>
      </c>
      <c r="AA30" s="3">
        <f t="shared" si="52"/>
        <v>5510.6034214019201</v>
      </c>
      <c r="AB30" s="3">
        <f t="shared" si="52"/>
        <v>5520.160675832436</v>
      </c>
      <c r="AC30" s="3">
        <f t="shared" si="52"/>
        <v>6348.4370865726351</v>
      </c>
      <c r="AD30" s="3">
        <f t="shared" si="52"/>
        <v>7419.4026575558564</v>
      </c>
      <c r="AE30" s="3">
        <f t="shared" si="52"/>
        <v>7426.0162000753226</v>
      </c>
      <c r="AF30" s="3">
        <f t="shared" si="52"/>
        <v>7774.8864309920154</v>
      </c>
      <c r="AG30" s="3">
        <f t="shared" ref="AG30:AH30" si="53">SUM(AG68,AG87,AG106,AG125,AG144)</f>
        <v>7473.3109503841988</v>
      </c>
      <c r="AH30" s="3">
        <f t="shared" si="53"/>
        <v>8448.5858138066287</v>
      </c>
      <c r="AI30" s="3">
        <f t="shared" ref="AI30:AJ30" si="54">SUM(AI68,AI87,AI106,AI125,AI144)</f>
        <v>9041.0664717617765</v>
      </c>
      <c r="AJ30" s="3">
        <f t="shared" si="54"/>
        <v>10127.8346623137</v>
      </c>
      <c r="AK30" s="3">
        <f t="shared" ref="AK30" si="55">SUM(AK68,AK87,AK106,AK125,AK144)</f>
        <v>11332.317732758507</v>
      </c>
    </row>
    <row r="31" spans="2:37">
      <c r="B31" s="1" t="str">
        <f>+$B$12</f>
        <v>The Evergreen State College</v>
      </c>
      <c r="C31" s="3">
        <f t="shared" ref="C31:AF31" si="56">SUM(C69,C88,C107,C126,C145)</f>
        <v>12503.926974564927</v>
      </c>
      <c r="D31" s="3">
        <f t="shared" si="56"/>
        <v>13385.771766080003</v>
      </c>
      <c r="E31" s="3">
        <f t="shared" si="56"/>
        <v>11321.062188605636</v>
      </c>
      <c r="F31" s="3">
        <f t="shared" si="56"/>
        <v>12890.248300639101</v>
      </c>
      <c r="G31" s="3">
        <f t="shared" si="56"/>
        <v>10110.516861133816</v>
      </c>
      <c r="H31" s="3">
        <f t="shared" si="56"/>
        <v>10350.582631450849</v>
      </c>
      <c r="I31" s="3">
        <f t="shared" si="56"/>
        <v>9728.2930289421129</v>
      </c>
      <c r="J31" s="3">
        <f t="shared" si="56"/>
        <v>9729.3235188066737</v>
      </c>
      <c r="K31" s="3">
        <f t="shared" si="56"/>
        <v>9490.9095483510027</v>
      </c>
      <c r="L31" s="3">
        <f t="shared" si="56"/>
        <v>9185.4901197057698</v>
      </c>
      <c r="M31" s="3">
        <f t="shared" si="56"/>
        <v>10139.839520422902</v>
      </c>
      <c r="N31" s="3">
        <f t="shared" si="56"/>
        <v>10730.663684589921</v>
      </c>
      <c r="O31" s="3">
        <f t="shared" si="56"/>
        <v>10229.246402095288</v>
      </c>
      <c r="P31" s="3">
        <f t="shared" si="56"/>
        <v>9503.5765832336238</v>
      </c>
      <c r="Q31" s="3">
        <f t="shared" si="56"/>
        <v>8831.8858842289756</v>
      </c>
      <c r="R31" s="3">
        <f t="shared" si="56"/>
        <v>9105.9516106607516</v>
      </c>
      <c r="S31" s="3">
        <f t="shared" si="56"/>
        <v>9404.5928237682074</v>
      </c>
      <c r="T31" s="3">
        <f t="shared" si="56"/>
        <v>10038.33654770421</v>
      </c>
      <c r="U31" s="3">
        <f t="shared" si="56"/>
        <v>10495.790640681473</v>
      </c>
      <c r="V31" s="3">
        <f t="shared" si="56"/>
        <v>9482.9187317540054</v>
      </c>
      <c r="W31" s="3">
        <f t="shared" si="56"/>
        <v>7790.9668909554293</v>
      </c>
      <c r="X31" s="3">
        <f t="shared" si="56"/>
        <v>6916.0146124730418</v>
      </c>
      <c r="Y31" s="3">
        <f t="shared" si="56"/>
        <v>5411.4797774045646</v>
      </c>
      <c r="Z31" s="3">
        <f t="shared" si="56"/>
        <v>5319.1567088200254</v>
      </c>
      <c r="AA31" s="3">
        <f t="shared" si="56"/>
        <v>6660.6199382636341</v>
      </c>
      <c r="AB31" s="3">
        <f t="shared" si="56"/>
        <v>6253.4862378027556</v>
      </c>
      <c r="AC31" s="3">
        <f t="shared" si="56"/>
        <v>8070.9565220165468</v>
      </c>
      <c r="AD31" s="3">
        <f t="shared" si="56"/>
        <v>8956.3020674248673</v>
      </c>
      <c r="AE31" s="3">
        <f t="shared" si="56"/>
        <v>10059.354331020451</v>
      </c>
      <c r="AF31" s="3">
        <f t="shared" si="56"/>
        <v>11818.910635074597</v>
      </c>
      <c r="AG31" s="3">
        <f t="shared" ref="AG31:AH31" si="57">SUM(AG69,AG88,AG107,AG126,AG145)</f>
        <v>16425.038069533915</v>
      </c>
      <c r="AH31" s="3">
        <f t="shared" si="57"/>
        <v>23120.13064277613</v>
      </c>
      <c r="AI31" s="3">
        <f t="shared" ref="AI31:AJ31" si="58">SUM(AI69,AI88,AI107,AI126,AI145)</f>
        <v>23008.011951530625</v>
      </c>
      <c r="AJ31" s="3">
        <f t="shared" si="58"/>
        <v>23434.153829691255</v>
      </c>
      <c r="AK31" s="3">
        <f t="shared" ref="AK31" si="59">SUM(AK69,AK88,AK107,AK126,AK145)</f>
        <v>20406.532083819311</v>
      </c>
    </row>
    <row r="32" spans="2:37">
      <c r="B32" s="1" t="str">
        <f>+$B$13</f>
        <v>Western Washington University</v>
      </c>
      <c r="C32" s="3">
        <f t="shared" ref="C32:AF32" si="60">SUM(C70,C89,C108,C127,C146)</f>
        <v>9396.4328711932685</v>
      </c>
      <c r="D32" s="3">
        <f t="shared" si="60"/>
        <v>9876.8951685256197</v>
      </c>
      <c r="E32" s="3">
        <f t="shared" si="60"/>
        <v>9150.0577033611407</v>
      </c>
      <c r="F32" s="3">
        <f t="shared" si="60"/>
        <v>9036.3278636828945</v>
      </c>
      <c r="G32" s="3">
        <f t="shared" si="60"/>
        <v>8262.4650202056619</v>
      </c>
      <c r="H32" s="3">
        <f t="shared" si="60"/>
        <v>7567.6480533850699</v>
      </c>
      <c r="I32" s="3">
        <f t="shared" si="60"/>
        <v>7847.572863026684</v>
      </c>
      <c r="J32" s="3">
        <f t="shared" si="60"/>
        <v>7909.4434220319472</v>
      </c>
      <c r="K32" s="3">
        <f t="shared" si="60"/>
        <v>7961.9623473094525</v>
      </c>
      <c r="L32" s="3">
        <f t="shared" si="60"/>
        <v>7903.7081310813519</v>
      </c>
      <c r="M32" s="3">
        <f t="shared" si="60"/>
        <v>8246.4704948234685</v>
      </c>
      <c r="N32" s="3">
        <f t="shared" si="60"/>
        <v>8317.1578950861422</v>
      </c>
      <c r="O32" s="3">
        <f t="shared" si="60"/>
        <v>8571.8188728399145</v>
      </c>
      <c r="P32" s="3">
        <f t="shared" si="60"/>
        <v>8064.0760552454749</v>
      </c>
      <c r="Q32" s="3">
        <f t="shared" si="60"/>
        <v>7547.1850618384469</v>
      </c>
      <c r="R32" s="3">
        <f t="shared" si="60"/>
        <v>7534.4107421073995</v>
      </c>
      <c r="S32" s="3">
        <f t="shared" si="60"/>
        <v>7708.2711932521688</v>
      </c>
      <c r="T32" s="3">
        <f t="shared" si="60"/>
        <v>7956.1686492271565</v>
      </c>
      <c r="U32" s="3">
        <f t="shared" si="60"/>
        <v>8414.7328282902527</v>
      </c>
      <c r="V32" s="3">
        <f t="shared" si="60"/>
        <v>8073.7550212011902</v>
      </c>
      <c r="W32" s="3">
        <f t="shared" si="60"/>
        <v>6571.1614050381368</v>
      </c>
      <c r="X32" s="3">
        <f t="shared" si="60"/>
        <v>5984.5366439519985</v>
      </c>
      <c r="Y32" s="3">
        <f t="shared" si="60"/>
        <v>4341.9931684251042</v>
      </c>
      <c r="Z32" s="3">
        <f t="shared" si="60"/>
        <v>4216.6238596144303</v>
      </c>
      <c r="AA32" s="3">
        <f t="shared" si="60"/>
        <v>4948.4648646478872</v>
      </c>
      <c r="AB32" s="3">
        <f t="shared" si="60"/>
        <v>4966.280414536348</v>
      </c>
      <c r="AC32" s="3">
        <f t="shared" si="60"/>
        <v>6112.566010753626</v>
      </c>
      <c r="AD32" s="3">
        <f t="shared" si="60"/>
        <v>7303.6855101749479</v>
      </c>
      <c r="AE32" s="3">
        <f t="shared" si="60"/>
        <v>7311.9981619454938</v>
      </c>
      <c r="AF32" s="3">
        <f t="shared" si="60"/>
        <v>7473.7558662290021</v>
      </c>
      <c r="AG32" s="3">
        <f t="shared" ref="AG32:AH32" si="61">SUM(AG70,AG89,AG108,AG127,AG146)</f>
        <v>8092.1431299417518</v>
      </c>
      <c r="AH32" s="3">
        <f t="shared" si="61"/>
        <v>8782.48122796805</v>
      </c>
      <c r="AI32" s="3">
        <f t="shared" ref="AI32:AJ32" si="62">SUM(AI70,AI89,AI108,AI127,AI146)</f>
        <v>8728.2113812913849</v>
      </c>
      <c r="AJ32" s="3">
        <f t="shared" si="62"/>
        <v>9204.7963945007341</v>
      </c>
      <c r="AK32" s="3">
        <f t="shared" ref="AK32" si="63">SUM(AK70,AK89,AK108,AK127,AK146)</f>
        <v>9851.0372782537379</v>
      </c>
    </row>
    <row r="33" spans="2:37">
      <c r="B33" s="199" t="str">
        <f>+$B$14</f>
        <v>Total Four-Year Institutions</v>
      </c>
      <c r="C33" s="42">
        <f t="shared" ref="C33:L33" si="64">SUM(C71,C109,C128,C147)</f>
        <v>14524.899148083014</v>
      </c>
      <c r="D33" s="42">
        <f t="shared" si="64"/>
        <v>15158.424734298969</v>
      </c>
      <c r="E33" s="42">
        <f t="shared" si="64"/>
        <v>14391.34435671708</v>
      </c>
      <c r="F33" s="42">
        <f t="shared" si="64"/>
        <v>14522.799423258184</v>
      </c>
      <c r="G33" s="42">
        <f t="shared" si="64"/>
        <v>12904.196220101732</v>
      </c>
      <c r="H33" s="42">
        <f t="shared" si="64"/>
        <v>12199.508089410878</v>
      </c>
      <c r="I33" s="42">
        <f t="shared" si="64"/>
        <v>12378.819625444661</v>
      </c>
      <c r="J33" s="42">
        <f t="shared" si="64"/>
        <v>12467.376671979424</v>
      </c>
      <c r="K33" s="42">
        <f t="shared" si="64"/>
        <v>12858.868276183599</v>
      </c>
      <c r="L33" s="42">
        <f t="shared" si="64"/>
        <v>12826.411518403767</v>
      </c>
      <c r="M33" s="42">
        <f t="shared" ref="M33:AF33" si="65">SUM(M71,M90,M109,M128,M147)</f>
        <v>13446.351609456216</v>
      </c>
      <c r="N33" s="42">
        <f t="shared" si="65"/>
        <v>13673.539954975971</v>
      </c>
      <c r="O33" s="42">
        <f t="shared" si="65"/>
        <v>13345.502920212177</v>
      </c>
      <c r="P33" s="42">
        <f t="shared" si="65"/>
        <v>12428.332327884842</v>
      </c>
      <c r="Q33" s="42">
        <f t="shared" si="65"/>
        <v>11741.494035973112</v>
      </c>
      <c r="R33" s="42">
        <f t="shared" si="65"/>
        <v>11823.486412209169</v>
      </c>
      <c r="S33" s="42">
        <f t="shared" si="65"/>
        <v>12154.556797372759</v>
      </c>
      <c r="T33" s="42">
        <f t="shared" si="65"/>
        <v>12488.669235565783</v>
      </c>
      <c r="U33" s="42">
        <f t="shared" si="65"/>
        <v>12955.522219620585</v>
      </c>
      <c r="V33" s="42">
        <f t="shared" si="65"/>
        <v>12245.778586527529</v>
      </c>
      <c r="W33" s="42">
        <f t="shared" si="65"/>
        <v>10136.095047983186</v>
      </c>
      <c r="X33" s="42">
        <f t="shared" si="65"/>
        <v>8807.4284518543445</v>
      </c>
      <c r="Y33" s="42">
        <f t="shared" si="65"/>
        <v>6422.2388673803653</v>
      </c>
      <c r="Z33" s="42">
        <f t="shared" si="65"/>
        <v>6277.0864201207914</v>
      </c>
      <c r="AA33" s="42">
        <f t="shared" si="65"/>
        <v>7243.6766606076853</v>
      </c>
      <c r="AB33" s="42">
        <f t="shared" si="65"/>
        <v>6862.3080441126476</v>
      </c>
      <c r="AC33" s="42">
        <f t="shared" si="65"/>
        <v>7986.4039346189684</v>
      </c>
      <c r="AD33" s="42">
        <f t="shared" si="65"/>
        <v>8908.164407208882</v>
      </c>
      <c r="AE33" s="42">
        <f t="shared" si="65"/>
        <v>9026.8368324597177</v>
      </c>
      <c r="AF33" s="42">
        <f t="shared" si="65"/>
        <v>9199.5491690336567</v>
      </c>
      <c r="AG33" s="42">
        <f t="shared" ref="AG33:AH33" si="66">SUM(AG71,AG90,AG109,AG128,AG147)</f>
        <v>9808.7912772683485</v>
      </c>
      <c r="AH33" s="42">
        <f t="shared" si="66"/>
        <v>10537.854144929423</v>
      </c>
      <c r="AI33" s="42">
        <f t="shared" ref="AI33:AJ33" si="67">SUM(AI71,AI90,AI109,AI128,AI147)</f>
        <v>10602.841898308901</v>
      </c>
      <c r="AJ33" s="42">
        <f t="shared" si="67"/>
        <v>11343.196437489814</v>
      </c>
      <c r="AK33" s="42">
        <f t="shared" ref="AK33" si="68">SUM(AK71,AK90,AK109,AK128,AK147)</f>
        <v>12238.094701896451</v>
      </c>
    </row>
    <row r="34" spans="2:37">
      <c r="C34"/>
      <c r="D34"/>
      <c r="E34"/>
      <c r="F34"/>
      <c r="G34"/>
      <c r="H34"/>
      <c r="I34"/>
      <c r="J34"/>
      <c r="K34"/>
      <c r="L34"/>
      <c r="M34"/>
      <c r="N34"/>
      <c r="O34"/>
      <c r="P34"/>
      <c r="Q34"/>
      <c r="R34"/>
      <c r="S34"/>
      <c r="T34"/>
      <c r="U34"/>
      <c r="V34"/>
      <c r="W34"/>
      <c r="X34"/>
      <c r="Y34"/>
      <c r="Z34"/>
      <c r="AA34"/>
      <c r="AB34"/>
      <c r="AC34"/>
      <c r="AD34"/>
      <c r="AE34"/>
      <c r="AF34"/>
      <c r="AG34"/>
      <c r="AH34"/>
      <c r="AI34"/>
      <c r="AJ34"/>
      <c r="AK34"/>
    </row>
    <row r="35" spans="2:37">
      <c r="B35" s="1" t="str">
        <f>+$B$16</f>
        <v>Community/Technical College System</v>
      </c>
      <c r="C35" s="3">
        <f t="shared" ref="C35:AF35" si="69">SUM(C73,C92,C111,C130,C149,C157)</f>
        <v>6317.5152555821733</v>
      </c>
      <c r="D35" s="3">
        <f t="shared" si="69"/>
        <v>6591.9655522382063</v>
      </c>
      <c r="E35" s="3">
        <f t="shared" si="69"/>
        <v>6287.7408229854791</v>
      </c>
      <c r="F35" s="3">
        <f t="shared" si="69"/>
        <v>6349.9322129637276</v>
      </c>
      <c r="G35" s="3">
        <f t="shared" si="69"/>
        <v>5622.1018916306493</v>
      </c>
      <c r="H35" s="3">
        <f t="shared" si="69"/>
        <v>5741.3425590128081</v>
      </c>
      <c r="I35" s="3">
        <f t="shared" si="69"/>
        <v>5229.6721091931349</v>
      </c>
      <c r="J35" s="3">
        <f t="shared" si="69"/>
        <v>5309.9039660497274</v>
      </c>
      <c r="K35" s="3">
        <f t="shared" si="69"/>
        <v>5565.299929689394</v>
      </c>
      <c r="L35" s="3">
        <f t="shared" si="69"/>
        <v>5926.2668460845089</v>
      </c>
      <c r="M35" s="3">
        <f t="shared" si="69"/>
        <v>6094.2660059103691</v>
      </c>
      <c r="N35" s="3">
        <f t="shared" si="69"/>
        <v>6291.4658313560822</v>
      </c>
      <c r="O35" s="3">
        <f t="shared" si="69"/>
        <v>6202.9264828563455</v>
      </c>
      <c r="P35" s="3">
        <f t="shared" si="69"/>
        <v>6049.4376680832529</v>
      </c>
      <c r="Q35" s="3">
        <f t="shared" si="69"/>
        <v>5807.1114811076613</v>
      </c>
      <c r="R35" s="3">
        <f t="shared" si="69"/>
        <v>6119.529222605117</v>
      </c>
      <c r="S35" s="3">
        <f t="shared" si="69"/>
        <v>6565.00050593982</v>
      </c>
      <c r="T35" s="3">
        <f t="shared" si="69"/>
        <v>6745.220169539617</v>
      </c>
      <c r="U35" s="3">
        <f t="shared" si="69"/>
        <v>7152.3867394004637</v>
      </c>
      <c r="V35" s="3">
        <f t="shared" si="69"/>
        <v>6658.9370354405364</v>
      </c>
      <c r="W35" s="3">
        <f t="shared" si="69"/>
        <v>5880.4701525926812</v>
      </c>
      <c r="X35" s="3">
        <f t="shared" si="69"/>
        <v>5498.6116498370402</v>
      </c>
      <c r="Y35" s="3">
        <f t="shared" si="69"/>
        <v>5032.3589344511875</v>
      </c>
      <c r="Z35" s="3">
        <f t="shared" si="69"/>
        <v>5081.5920320414461</v>
      </c>
      <c r="AA35" s="3">
        <f t="shared" si="69"/>
        <v>5611.8709111495155</v>
      </c>
      <c r="AB35" s="3">
        <f t="shared" si="69"/>
        <v>5682.8504047307342</v>
      </c>
      <c r="AC35" s="3">
        <f t="shared" si="69"/>
        <v>6359.8220851815686</v>
      </c>
      <c r="AD35" s="3">
        <f t="shared" si="69"/>
        <v>6908.8351930702993</v>
      </c>
      <c r="AE35" s="3">
        <f t="shared" si="69"/>
        <v>6979.9828356818261</v>
      </c>
      <c r="AF35" s="3">
        <f t="shared" si="69"/>
        <v>7368.0915119880292</v>
      </c>
      <c r="AG35" s="3">
        <f t="shared" ref="AG35:AH35" si="70">SUM(AG73,AG92,AG111,AG130,AG149,AG157)</f>
        <v>8427.3280613789793</v>
      </c>
      <c r="AH35" s="3">
        <f t="shared" si="70"/>
        <v>10137.516021369027</v>
      </c>
      <c r="AI35" s="3">
        <f t="shared" ref="AI35:AJ35" si="71">SUM(AI73,AI92,AI111,AI130,AI149,AI157)</f>
        <v>9641.6703737941098</v>
      </c>
      <c r="AJ35" s="3">
        <f t="shared" si="71"/>
        <v>10444.360105463864</v>
      </c>
      <c r="AK35" s="3">
        <f t="shared" ref="AK35" si="72">SUM(AK73,AK92,AK111,AK130,AK149,AK157)</f>
        <v>11411.335424773435</v>
      </c>
    </row>
    <row r="36" spans="2:37">
      <c r="B36" s="1" t="str">
        <f>+$B$17</f>
        <v>HEC Board, CHE, SFA, &amp; SAC (1)</v>
      </c>
      <c r="C36" s="3">
        <f t="shared" ref="C36:AF36" si="73">SUM(C74,C112,C131,C150,C158)</f>
        <v>363.1272240391516</v>
      </c>
      <c r="D36" s="3">
        <f t="shared" si="73"/>
        <v>393.52638177483487</v>
      </c>
      <c r="E36" s="3">
        <f t="shared" si="73"/>
        <v>428.98059790798629</v>
      </c>
      <c r="F36" s="3">
        <f t="shared" si="73"/>
        <v>415.29223287100751</v>
      </c>
      <c r="G36" s="3">
        <f t="shared" si="73"/>
        <v>631.15251139780912</v>
      </c>
      <c r="H36" s="3">
        <f t="shared" si="73"/>
        <v>663.62420573599934</v>
      </c>
      <c r="I36" s="3">
        <f t="shared" si="73"/>
        <v>662.50607105002064</v>
      </c>
      <c r="J36" s="3">
        <f t="shared" si="73"/>
        <v>689.02972173006071</v>
      </c>
      <c r="K36" s="3">
        <f t="shared" si="73"/>
        <v>791.88599999985149</v>
      </c>
      <c r="L36" s="3">
        <f t="shared" si="73"/>
        <v>841.31512260180284</v>
      </c>
      <c r="M36" s="3">
        <f t="shared" si="73"/>
        <v>859.39325487880137</v>
      </c>
      <c r="N36" s="3">
        <f t="shared" si="73"/>
        <v>955.19596085091962</v>
      </c>
      <c r="O36" s="3">
        <f t="shared" si="73"/>
        <v>915.14830623999296</v>
      </c>
      <c r="P36" s="3">
        <f t="shared" si="73"/>
        <v>953.59611315973802</v>
      </c>
      <c r="Q36" s="3">
        <f t="shared" si="73"/>
        <v>999.9714369887314</v>
      </c>
      <c r="R36" s="3">
        <f t="shared" si="73"/>
        <v>1122.5446732908447</v>
      </c>
      <c r="S36" s="3">
        <f t="shared" si="73"/>
        <v>1258.4136034031048</v>
      </c>
      <c r="T36" s="3">
        <f t="shared" si="73"/>
        <v>1291.5297138347739</v>
      </c>
      <c r="U36" s="3">
        <f t="shared" si="73"/>
        <v>1401.7495004515135</v>
      </c>
      <c r="V36" s="3">
        <f t="shared" si="73"/>
        <v>1326.5080952754097</v>
      </c>
      <c r="W36" s="3">
        <f t="shared" si="73"/>
        <v>1320.7578268633911</v>
      </c>
      <c r="X36" s="3">
        <f t="shared" si="73"/>
        <v>1162.553054483004</v>
      </c>
      <c r="Y36" s="3">
        <f t="shared" si="73"/>
        <v>1474.8807425352679</v>
      </c>
      <c r="Z36" s="3">
        <f t="shared" si="73"/>
        <v>1652.6056663296667</v>
      </c>
      <c r="AA36" s="3">
        <f t="shared" si="73"/>
        <v>1875.4246208891273</v>
      </c>
      <c r="AB36" s="3">
        <f t="shared" si="73"/>
        <v>1807.9795493818635</v>
      </c>
      <c r="AC36" s="3">
        <f t="shared" si="73"/>
        <v>1876.0260140243906</v>
      </c>
      <c r="AD36" s="3">
        <f t="shared" si="73"/>
        <v>1799.2996577660952</v>
      </c>
      <c r="AE36" s="3">
        <f t="shared" si="73"/>
        <v>1783.9013817711166</v>
      </c>
      <c r="AF36" s="3">
        <f t="shared" si="73"/>
        <v>1922.1968206442032</v>
      </c>
      <c r="AG36" s="3">
        <f t="shared" ref="AG36:AH36" si="74">SUM(AG74,AG112,AG131,AG150,AG158)</f>
        <v>2158.7157049843213</v>
      </c>
      <c r="AH36" s="3">
        <f t="shared" si="74"/>
        <v>2783.4696017991214</v>
      </c>
      <c r="AI36" s="3">
        <f t="shared" ref="AI36:AJ36" si="75">SUM(AI74,AI112,AI131,AI150,AI158)</f>
        <v>2638.5596405754654</v>
      </c>
      <c r="AJ36" s="3">
        <f t="shared" si="75"/>
        <v>2727.6433952894145</v>
      </c>
      <c r="AK36" s="3">
        <f t="shared" ref="AK36" si="76">SUM(AK74,AK112,AK131,AK150,AK158)</f>
        <v>2727.7446660650962</v>
      </c>
    </row>
    <row r="37" spans="2:37"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2:37" ht="13.5" thickTop="1">
      <c r="B38" s="1" t="str">
        <f>+$B$19</f>
        <v>Total Higher Education</v>
      </c>
      <c r="C38" s="39">
        <f t="shared" ref="C38:L38" si="77">SUM(C76,C114,C133)</f>
        <v>10111.932023281532</v>
      </c>
      <c r="D38" s="39">
        <f t="shared" si="77"/>
        <v>10576.902578279409</v>
      </c>
      <c r="E38" s="39">
        <f t="shared" si="77"/>
        <v>10055.420879311814</v>
      </c>
      <c r="F38" s="39">
        <f t="shared" si="77"/>
        <v>10115.73218543897</v>
      </c>
      <c r="G38" s="39">
        <f t="shared" si="77"/>
        <v>9222.8515648606808</v>
      </c>
      <c r="H38" s="39">
        <f t="shared" si="77"/>
        <v>9029.8090919254137</v>
      </c>
      <c r="I38" s="39">
        <f t="shared" si="77"/>
        <v>8738.2437115765042</v>
      </c>
      <c r="J38" s="39">
        <f t="shared" si="77"/>
        <v>8872.083562081245</v>
      </c>
      <c r="K38" s="39">
        <f t="shared" si="77"/>
        <v>9318.4633631253928</v>
      </c>
      <c r="L38" s="39">
        <f t="shared" si="77"/>
        <v>9550.5098699329283</v>
      </c>
      <c r="M38" s="39">
        <f t="shared" ref="M38:AF38" si="78">SUM(M76,M95,M114,M133,M152,M157,M158)</f>
        <v>9880.8791837169847</v>
      </c>
      <c r="N38" s="39">
        <f t="shared" si="78"/>
        <v>10187.77303820875</v>
      </c>
      <c r="O38" s="39">
        <f t="shared" si="78"/>
        <v>9949.2489225781646</v>
      </c>
      <c r="P38" s="39">
        <f t="shared" si="78"/>
        <v>9493.5305007170464</v>
      </c>
      <c r="Q38" s="39">
        <f t="shared" si="78"/>
        <v>9148.3095891553894</v>
      </c>
      <c r="R38" s="39">
        <f t="shared" si="78"/>
        <v>9580.4590701538455</v>
      </c>
      <c r="S38" s="39">
        <f t="shared" si="78"/>
        <v>10123.78290793893</v>
      </c>
      <c r="T38" s="39">
        <f t="shared" si="78"/>
        <v>10394.988772467321</v>
      </c>
      <c r="U38" s="39">
        <f t="shared" si="78"/>
        <v>10920.872539351294</v>
      </c>
      <c r="V38" s="39">
        <f t="shared" si="78"/>
        <v>10215.08414254634</v>
      </c>
      <c r="W38" s="39">
        <f t="shared" si="78"/>
        <v>8844.788484798948</v>
      </c>
      <c r="X38" s="39">
        <f t="shared" si="78"/>
        <v>8006.3195005991283</v>
      </c>
      <c r="Y38" s="39">
        <f t="shared" si="78"/>
        <v>7071.0700623959701</v>
      </c>
      <c r="Z38" s="39">
        <f t="shared" si="78"/>
        <v>7231.7184120107968</v>
      </c>
      <c r="AA38" s="39">
        <f t="shared" si="78"/>
        <v>8181.2887058473552</v>
      </c>
      <c r="AB38" s="39">
        <f t="shared" si="78"/>
        <v>8006.9463051068906</v>
      </c>
      <c r="AC38" s="39">
        <f t="shared" si="78"/>
        <v>8963.6007720903763</v>
      </c>
      <c r="AD38" s="39">
        <f t="shared" si="78"/>
        <v>9625.6580071467579</v>
      </c>
      <c r="AE38" s="39">
        <f t="shared" si="78"/>
        <v>9722.0433524263299</v>
      </c>
      <c r="AF38" s="39">
        <f t="shared" si="78"/>
        <v>10167.508896548003</v>
      </c>
      <c r="AG38" s="39">
        <f t="shared" ref="AG38:AH38" si="79">SUM(AG76,AG95,AG114,AG133,AG152,AG157,AG158)</f>
        <v>11263.860094633843</v>
      </c>
      <c r="AH38" s="39">
        <f t="shared" si="79"/>
        <v>13124.762395200041</v>
      </c>
      <c r="AI38" s="39">
        <f t="shared" ref="AI38:AJ38" si="80">SUM(AI76,AI95,AI114,AI133,AI152,AI157,AI158)</f>
        <v>12757.171877964842</v>
      </c>
      <c r="AJ38" s="39">
        <f t="shared" si="80"/>
        <v>13613.07532626494</v>
      </c>
      <c r="AK38" s="39">
        <f t="shared" ref="AK38" si="81">SUM(AK76,AK95,AK114,AK133,AK152,AK157,AK158)</f>
        <v>14556.969838670069</v>
      </c>
    </row>
    <row r="39" spans="2:37">
      <c r="B39" s="199" t="str">
        <f>+$B$20</f>
        <v>[biennial annual average]</v>
      </c>
      <c r="C39" s="3"/>
      <c r="D39" s="3">
        <f>AVERAGE(C38:D38)</f>
        <v>10344.417300780471</v>
      </c>
      <c r="E39" s="3"/>
      <c r="F39" s="3">
        <f>AVERAGE(E38:F38)</f>
        <v>10085.576532375391</v>
      </c>
      <c r="G39" s="3"/>
      <c r="H39" s="3">
        <f>AVERAGE(G38:H38)</f>
        <v>9126.3303283930472</v>
      </c>
      <c r="I39" s="3"/>
      <c r="J39" s="3">
        <f>AVERAGE(I38:J38)</f>
        <v>8805.1636368288746</v>
      </c>
      <c r="K39" s="3"/>
      <c r="L39" s="3">
        <f>AVERAGE(K38:L38)</f>
        <v>9434.4866165291605</v>
      </c>
      <c r="M39" s="3"/>
      <c r="N39" s="3">
        <f>AVERAGE(M38:N38)</f>
        <v>10034.326110962867</v>
      </c>
      <c r="O39" s="3"/>
      <c r="P39" s="3">
        <f>AVERAGE(O38:P38)</f>
        <v>9721.3897116476055</v>
      </c>
      <c r="Q39" s="3"/>
      <c r="R39" s="3">
        <f>AVERAGE(Q38:R38)</f>
        <v>9364.3843296546183</v>
      </c>
      <c r="S39" s="3"/>
      <c r="T39" s="3">
        <f>AVERAGE(S38:T38)</f>
        <v>10259.385840203126</v>
      </c>
      <c r="U39" s="3"/>
      <c r="V39" s="3">
        <f>AVERAGE(U38:V38)</f>
        <v>10567.978340948817</v>
      </c>
      <c r="W39" s="3"/>
      <c r="X39" s="3">
        <f>+X38+W38</f>
        <v>16851.107985398077</v>
      </c>
      <c r="Y39" s="3"/>
      <c r="Z39" s="3">
        <f>AVERAGE(Y38:Z38)</f>
        <v>7151.3942372033835</v>
      </c>
      <c r="AA39" s="3"/>
      <c r="AB39" s="3">
        <f>AVERAGE(AA38:AB38)</f>
        <v>8094.1175054771229</v>
      </c>
      <c r="AC39" s="3"/>
      <c r="AD39" s="3">
        <f>AVERAGE(AC38:AD38)</f>
        <v>9294.6293896185671</v>
      </c>
      <c r="AE39" s="3"/>
      <c r="AF39" s="3">
        <f>AVERAGE(AE38:AF38)</f>
        <v>9944.7761244871654</v>
      </c>
      <c r="AG39" s="3"/>
      <c r="AH39" s="3">
        <f>AVERAGE(AG38:AH38)</f>
        <v>12194.311244916942</v>
      </c>
      <c r="AI39" s="3"/>
      <c r="AJ39" s="3">
        <f>AVERAGE(AI38:AJ38)</f>
        <v>13185.123602114891</v>
      </c>
      <c r="AK39" s="3"/>
    </row>
    <row r="40" spans="2:37">
      <c r="D40" s="3"/>
      <c r="E40" s="3"/>
      <c r="F40" s="3"/>
      <c r="G40" s="3"/>
      <c r="H40" s="3"/>
      <c r="I40" s="3"/>
      <c r="J40" s="3"/>
      <c r="K40" s="3"/>
      <c r="L40" s="3"/>
      <c r="M40" s="3"/>
      <c r="N40" s="3"/>
      <c r="O40" s="3"/>
      <c r="P40" s="3"/>
      <c r="Q40" s="3"/>
      <c r="R40" s="3"/>
      <c r="S40" s="3"/>
      <c r="T40" s="3"/>
      <c r="U40" s="3"/>
      <c r="V40" s="3"/>
    </row>
    <row r="41" spans="2:37" ht="15.75">
      <c r="B41" s="376"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row>
    <row r="42" spans="2:37" ht="13.5">
      <c r="B42" s="33" t="str">
        <f>+$B$4</f>
        <v>FY2024 Constant Dollar Expenditures per Actual State-Funded FTE Enrollment</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row>
    <row r="43" spans="2:37">
      <c r="I43" s="13"/>
      <c r="J43" s="13"/>
      <c r="K43" s="13"/>
      <c r="L43" s="13"/>
      <c r="M43" s="13"/>
      <c r="N43" s="13"/>
      <c r="O43" s="13"/>
      <c r="P43" s="13"/>
      <c r="Q43"/>
      <c r="R43" s="13"/>
      <c r="S43"/>
      <c r="T43"/>
      <c r="U43" s="2" t="str">
        <f>IF(ISBLANK(OperatingFunds!U43),"",OperatingFunds!U43)</f>
        <v/>
      </c>
      <c r="V43" s="2" t="str">
        <f>IF(ISBLANK(OperatingFunds!V43),"",OperatingFunds!V43)</f>
        <v/>
      </c>
      <c r="W43" s="2"/>
      <c r="X43" s="2"/>
      <c r="Y43" s="2"/>
      <c r="Z43" s="2" t="str">
        <f>IF(ISBLANK(OperatingFunds!Z43),"",OperatingFunds!Z43)</f>
        <v/>
      </c>
      <c r="AA43" s="2" t="str">
        <f>IF(ISBLANK(OperatingFunds!AA43),"",OperatingFunds!AA43)</f>
        <v/>
      </c>
      <c r="AB43" s="2" t="str">
        <f>IF(ISBLANK(OperatingFunds!AB43),"",OperatingFunds!AB43)</f>
        <v/>
      </c>
      <c r="AC43" s="2" t="str">
        <f>IF(ISBLANK(OperatingFunds!AC43),"",OperatingFunds!AC43)</f>
        <v/>
      </c>
      <c r="AD43" s="2" t="str">
        <f>IF(ISBLANK(OperatingFunds!AD43),"",OperatingFunds!AD43)</f>
        <v/>
      </c>
      <c r="AE43" s="2" t="str">
        <f>IF(ISBLANK(OperatingFunds!AE43),"",OperatingFunds!AE43)</f>
        <v/>
      </c>
      <c r="AF43" s="2" t="str">
        <f>IF(ISBLANK(OperatingFunds!AF43),"",OperatingFunds!AF43)</f>
        <v/>
      </c>
      <c r="AG43" s="2" t="str">
        <f>IF(ISBLANK(OperatingFunds!AG43),"",OperatingFunds!AG43)</f>
        <v/>
      </c>
      <c r="AH43" s="2" t="str">
        <f>IF(ISBLANK(OperatingFunds!AH43),"",OperatingFunds!AH43)</f>
        <v/>
      </c>
      <c r="AI43" s="2" t="str">
        <f>IF(ISBLANK(OperatingFunds!AI43),"",OperatingFunds!AI43)</f>
        <v/>
      </c>
      <c r="AJ43" s="2" t="str">
        <f>IF(ISBLANK(OperatingFunds!AJ43),"",OperatingFunds!AJ43)</f>
        <v/>
      </c>
      <c r="AK43" s="2" t="str">
        <f>IF(ISBLANK(OperatingFunds!AK43),"",OperatingFunds!AK43)</f>
        <v>Final</v>
      </c>
    </row>
    <row r="44" spans="2:37">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IF(ISBLANK(OperatingFunds!U44),"",OperatingFunds!U44)</f>
        <v>FY2008</v>
      </c>
      <c r="V44" s="2" t="str">
        <f>IF(ISBLANK(OperatingFunds!V44),"",OperatingFunds!V44)</f>
        <v>FY2009</v>
      </c>
      <c r="W44" s="2" t="str">
        <f>IF(ISBLANK(OperatingFunds!W44),"",OperatingFunds!W44)</f>
        <v>FY2010</v>
      </c>
      <c r="X44" s="2" t="str">
        <f>IF(ISBLANK(OperatingFunds!X44),"",OperatingFunds!X44)</f>
        <v>FY2011</v>
      </c>
      <c r="Y44" s="2" t="str">
        <f>IF(ISBLANK(OperatingFunds!Y44),"",OperatingFunds!Y44)</f>
        <v>FY2012</v>
      </c>
      <c r="Z44" s="2" t="str">
        <f>IF(ISBLANK(OperatingFunds!Z44),"",OperatingFunds!Z44)</f>
        <v>FY2013</v>
      </c>
      <c r="AA44" s="2" t="str">
        <f>IF(ISBLANK(OperatingFunds!AA44),"",OperatingFunds!AA44)</f>
        <v>FY2014</v>
      </c>
      <c r="AB44" s="2" t="str">
        <f>IF(ISBLANK(OperatingFunds!AB44),"",OperatingFunds!AB44)</f>
        <v>FY2015</v>
      </c>
      <c r="AC44" s="2" t="str">
        <f>IF(ISBLANK(OperatingFunds!AC44),"",OperatingFunds!AC44)</f>
        <v>FY2016</v>
      </c>
      <c r="AD44" s="2" t="str">
        <f>IF(ISBLANK(OperatingFunds!AD44),"",OperatingFunds!AD44)</f>
        <v>FY2017</v>
      </c>
      <c r="AE44" s="2" t="str">
        <f>IF(ISBLANK(OperatingFunds!AE44),"",OperatingFunds!AE44)</f>
        <v>FY2018</v>
      </c>
      <c r="AF44" s="2" t="str">
        <f>IF(ISBLANK(OperatingFunds!AF44),"",OperatingFunds!AF44)</f>
        <v>FY2019</v>
      </c>
      <c r="AG44" s="2" t="str">
        <f>IF(ISBLANK(OperatingFunds!AG44),"",OperatingFunds!AG44)</f>
        <v>FY2020</v>
      </c>
      <c r="AH44" s="2" t="str">
        <f>IF(ISBLANK(OperatingFunds!AH44),"",OperatingFunds!AH44)</f>
        <v>FY2021</v>
      </c>
      <c r="AI44" s="2" t="str">
        <f>IF(ISBLANK(OperatingFunds!AI44),"",OperatingFunds!AI44)</f>
        <v>FY2022</v>
      </c>
      <c r="AJ44" s="2" t="str">
        <f>IF(ISBLANK(OperatingFunds!AJ44),"",OperatingFunds!AJ44)</f>
        <v>FY2023</v>
      </c>
      <c r="AK44" s="2" t="str">
        <f>IF(ISBLANK(OperatingFunds!AK44),"",OperatingFunds!AK44)</f>
        <v>FY2024</v>
      </c>
    </row>
    <row r="46" spans="2:37">
      <c r="B46" s="1" t="str">
        <f>+$B$8</f>
        <v>University of Washington</v>
      </c>
      <c r="C46" s="3">
        <f>+ConstantDollars!C46*1000/Enrollment!B$10</f>
        <v>3828.1717888127478</v>
      </c>
      <c r="D46" s="3">
        <f>+ConstantDollars!D46*1000/Enrollment!C$10</f>
        <v>3992.8190217696488</v>
      </c>
      <c r="E46" s="3">
        <f>+ConstantDollars!E46*1000/Enrollment!D$10</f>
        <v>4360.90923172768</v>
      </c>
      <c r="F46" s="3">
        <f>+ConstantDollars!F46*1000/Enrollment!E$10</f>
        <v>4341.1541021418852</v>
      </c>
      <c r="G46" s="3">
        <f>+ConstantDollars!G46*1000/Enrollment!F$10</f>
        <v>4416.5389308090989</v>
      </c>
      <c r="H46" s="3">
        <f>+ConstantDollars!H46*1000/Enrollment!G$10</f>
        <v>5743.2460817706688</v>
      </c>
      <c r="I46" s="3">
        <f>+ConstantDollars!I46*1000/Enrollment!H$10</f>
        <v>5316.5028931258503</v>
      </c>
      <c r="J46" s="3">
        <f>+ConstantDollars!J46*1000/Enrollment!I$10</f>
        <v>5367.7742531413569</v>
      </c>
      <c r="K46" s="3">
        <f>+ConstantDollars!K46*1000/Enrollment!J$10</f>
        <v>5355.2041443228627</v>
      </c>
      <c r="L46" s="3">
        <f>+ConstantDollars!L46*1000/Enrollment!K$10</f>
        <v>6685.5645035821099</v>
      </c>
      <c r="M46" s="3">
        <f>+ConstantDollars!M46*1000/Enrollment!L$10</f>
        <v>6276.8600781312034</v>
      </c>
      <c r="N46" s="3">
        <f>+ConstantDollars!N46*1000/Enrollment!M$10</f>
        <v>6219.7472197690686</v>
      </c>
      <c r="O46" s="3">
        <f>+ConstantDollars!O46*1000/Enrollment!N$10</f>
        <v>6669.3859229807013</v>
      </c>
      <c r="P46" s="3">
        <f>+ConstantDollars!P46*1000/Enrollment!O$10</f>
        <v>7438.3555501617639</v>
      </c>
      <c r="Q46" s="3">
        <f>+ConstantDollars!Q46*1000/Enrollment!P$10</f>
        <v>7614.3515316557778</v>
      </c>
      <c r="R46" s="3">
        <f>+ConstantDollars!R46*1000/Enrollment!Q$10</f>
        <v>8608.5895932738422</v>
      </c>
      <c r="S46" s="3">
        <f>+ConstantDollars!S46*1000/Enrollment!R$10</f>
        <v>8640.7920242293294</v>
      </c>
      <c r="T46" s="3">
        <f>+ConstantDollars!T46*1000/Enrollment!S$10</f>
        <v>9771.2231246216015</v>
      </c>
      <c r="U46" s="3">
        <f>+ConstantDollars!U46*1000/Enrollment!T$10</f>
        <v>9971.8270628694881</v>
      </c>
      <c r="V46" s="3">
        <f>+ConstantDollars!V46*1000/Enrollment!U$10</f>
        <v>10175.359749760737</v>
      </c>
      <c r="W46" s="3">
        <f>+ConstantDollars!W46*1000/Enrollment!V$10</f>
        <v>9864.8226869950922</v>
      </c>
      <c r="X46" s="3">
        <f>+ConstantDollars!X46*1000/Enrollment!W$10</f>
        <v>13226.886051506193</v>
      </c>
      <c r="Y46" s="3">
        <f>+ConstantDollars!Y46*1000/Enrollment!X$10</f>
        <v>13814.908302012904</v>
      </c>
      <c r="Z46" s="3">
        <f>+ConstantDollars!Z46*1000/Enrollment!Y$10</f>
        <v>15735.906047690723</v>
      </c>
      <c r="AA46" s="3">
        <f>+ConstantDollars!AA46*1000/Enrollment!Z$10</f>
        <v>13693.053953757038</v>
      </c>
      <c r="AB46" s="3">
        <f>+ConstantDollars!AB46*1000/Enrollment!AA$10</f>
        <v>16501.9430043828</v>
      </c>
      <c r="AC46" s="3">
        <f>+ConstantDollars!AC46*1000/Enrollment!AB$10</f>
        <v>14869.143691362508</v>
      </c>
      <c r="AD46" s="3">
        <f>+ConstantDollars!AD46*1000/Enrollment!AC$10</f>
        <v>15485.595438885699</v>
      </c>
      <c r="AE46" s="3">
        <f>+ConstantDollars!AE46*1000/Enrollment!AD$10</f>
        <v>17088.026281427869</v>
      </c>
      <c r="AF46" s="3">
        <f>+ConstantDollars!AF46*1000/Enrollment!AE$10</f>
        <v>15017.2380570447</v>
      </c>
      <c r="AG46" s="3">
        <f>+ConstantDollars!AG46*1000/Enrollment!AF$10</f>
        <v>14618.152473342403</v>
      </c>
      <c r="AH46" s="3">
        <f>+ConstantDollars!AH46*1000/Enrollment!AG$10</f>
        <v>14640.986261871782</v>
      </c>
      <c r="AI46" s="3">
        <f>+ConstantDollars!AI46*1000/Enrollment!AH$10</f>
        <v>13680.988484552843</v>
      </c>
      <c r="AJ46" s="3">
        <f>+ConstantDollars!AJ46*1000/Enrollment!AI$10</f>
        <v>13745.838847075391</v>
      </c>
      <c r="AK46" s="3">
        <f>+ConstantDollars!AK46*1000/Enrollment!AJ$10</f>
        <v>14730.234887355278</v>
      </c>
    </row>
    <row r="47" spans="2:37">
      <c r="B47" s="1" t="str">
        <f>+$B$9</f>
        <v>Washington State University</v>
      </c>
      <c r="C47" s="3">
        <f>+ConstantDollars!C47*1000/Enrollment!B$11</f>
        <v>3371.9221368294156</v>
      </c>
      <c r="D47" s="3">
        <f>+ConstantDollars!D47*1000/Enrollment!C$11</f>
        <v>3335.9312707599815</v>
      </c>
      <c r="E47" s="3">
        <f>+ConstantDollars!E47*1000/Enrollment!D$11</f>
        <v>3843.8114472940092</v>
      </c>
      <c r="F47" s="3">
        <f>+ConstantDollars!F47*1000/Enrollment!E$11</f>
        <v>3973.5824765016723</v>
      </c>
      <c r="G47" s="3">
        <f>+ConstantDollars!G47*1000/Enrollment!F$11</f>
        <v>4401.7553042684021</v>
      </c>
      <c r="H47" s="3">
        <f>+ConstantDollars!H47*1000/Enrollment!G$11</f>
        <v>5075.8177959064451</v>
      </c>
      <c r="I47" s="3">
        <f>+ConstantDollars!I47*1000/Enrollment!H$11</f>
        <v>4892.8877018472422</v>
      </c>
      <c r="J47" s="3">
        <f>+ConstantDollars!J47*1000/Enrollment!I$11</f>
        <v>5103.5714612623087</v>
      </c>
      <c r="K47" s="3">
        <f>+ConstantDollars!K47*1000/Enrollment!J$11</f>
        <v>5132.1925927177645</v>
      </c>
      <c r="L47" s="3">
        <f>+ConstantDollars!L47*1000/Enrollment!K$11</f>
        <v>5065.2393104644279</v>
      </c>
      <c r="M47" s="3">
        <f>+ConstantDollars!M47*1000/Enrollment!L$11</f>
        <v>5211.2465804188159</v>
      </c>
      <c r="N47" s="3">
        <f>+ConstantDollars!N47*1000/Enrollment!M$11</f>
        <v>5029.7809555414879</v>
      </c>
      <c r="O47" s="3">
        <f>+ConstantDollars!O47*1000/Enrollment!N$11</f>
        <v>5321.6886770509091</v>
      </c>
      <c r="P47" s="3">
        <f>+ConstantDollars!P47*1000/Enrollment!O$11</f>
        <v>6164.9698575301545</v>
      </c>
      <c r="Q47" s="3">
        <f>+ConstantDollars!Q47*1000/Enrollment!P$11</f>
        <v>6466.1009349342912</v>
      </c>
      <c r="R47" s="3">
        <f>+ConstantDollars!R47*1000/Enrollment!Q$11</f>
        <v>6873.2367919478884</v>
      </c>
      <c r="S47" s="3">
        <f>+ConstantDollars!S47*1000/Enrollment!R$11</f>
        <v>7024.8293341457966</v>
      </c>
      <c r="T47" s="3">
        <f>+ConstantDollars!T47*1000/Enrollment!S$11</f>
        <v>7329.7301485974658</v>
      </c>
      <c r="U47" s="3">
        <f>+ConstantDollars!U47*1000/Enrollment!T$11</f>
        <v>7388.9878628185224</v>
      </c>
      <c r="V47" s="3">
        <f>+ConstantDollars!V47*1000/Enrollment!U$11</f>
        <v>7800.7895688563658</v>
      </c>
      <c r="W47" s="3">
        <f>+ConstantDollars!W47*1000/Enrollment!V$11</f>
        <v>8334.964963732702</v>
      </c>
      <c r="X47" s="3">
        <f>+ConstantDollars!X47*1000/Enrollment!W$11</f>
        <v>8691.3409795838525</v>
      </c>
      <c r="Y47" s="3">
        <f>+ConstantDollars!Y47*1000/Enrollment!X$11</f>
        <v>10778.873321416346</v>
      </c>
      <c r="Z47" s="3">
        <f>+ConstantDollars!Z47*1000/Enrollment!Y$11</f>
        <v>11722.919486353439</v>
      </c>
      <c r="AA47" s="3">
        <f>+ConstantDollars!AA47*1000/Enrollment!Z$11</f>
        <v>12072.417122481522</v>
      </c>
      <c r="AB47" s="3">
        <f>+ConstantDollars!AB47*1000/Enrollment!AA$11</f>
        <v>12271.654712044408</v>
      </c>
      <c r="AC47" s="3">
        <f>+ConstantDollars!AC47*1000/Enrollment!AB$11</f>
        <v>12663.851649777387</v>
      </c>
      <c r="AD47" s="3">
        <f>+ConstantDollars!AD47*1000/Enrollment!AC$11</f>
        <v>10408.26298787316</v>
      </c>
      <c r="AE47" s="3">
        <f>+ConstantDollars!AE47*1000/Enrollment!AD$11</f>
        <v>10886.691231688728</v>
      </c>
      <c r="AF47" s="3">
        <f>+ConstantDollars!AF47*1000/Enrollment!AE$11</f>
        <v>10769.597595052635</v>
      </c>
      <c r="AG47" s="3">
        <f>+ConstantDollars!AG47*1000/Enrollment!AF$11</f>
        <v>10296.183432647875</v>
      </c>
      <c r="AH47" s="3">
        <f>+ConstantDollars!AH47*1000/Enrollment!AG$11</f>
        <v>9864.974414701639</v>
      </c>
      <c r="AI47" s="3">
        <f>+ConstantDollars!AI47*1000/Enrollment!AH$11</f>
        <v>10017.865255207662</v>
      </c>
      <c r="AJ47" s="3">
        <f>+ConstantDollars!AJ47*1000/Enrollment!AI$11</f>
        <v>11180.201422027469</v>
      </c>
      <c r="AK47" s="3">
        <f>+ConstantDollars!AK47*1000/Enrollment!AJ$11</f>
        <v>9854.0835072702685</v>
      </c>
    </row>
    <row r="48" spans="2:37">
      <c r="B48" s="1" t="str">
        <f>+$B$10</f>
        <v>Eastern Washington University</v>
      </c>
      <c r="C48" s="3">
        <f>+ConstantDollars!C48*1000/Enrollment!B$12</f>
        <v>2807.6898461325209</v>
      </c>
      <c r="D48" s="3">
        <f>+ConstantDollars!D48*1000/Enrollment!C$12</f>
        <v>2892.4926942457437</v>
      </c>
      <c r="E48" s="3">
        <f>+ConstantDollars!E48*1000/Enrollment!D$12</f>
        <v>3038.6533465396665</v>
      </c>
      <c r="F48" s="3">
        <f>+ConstantDollars!F48*1000/Enrollment!E$12</f>
        <v>3143.337271981839</v>
      </c>
      <c r="G48" s="3">
        <f>+ConstantDollars!G48*1000/Enrollment!F$12</f>
        <v>3483.2860708367371</v>
      </c>
      <c r="H48" s="3">
        <f>+ConstantDollars!H48*1000/Enrollment!G$12</f>
        <v>3931.9595777449458</v>
      </c>
      <c r="I48" s="3">
        <f>+ConstantDollars!I48*1000/Enrollment!H$12</f>
        <v>3790.5300690909789</v>
      </c>
      <c r="J48" s="3">
        <f>+ConstantDollars!J48*1000/Enrollment!I$12</f>
        <v>3989.3752989972772</v>
      </c>
      <c r="K48" s="3">
        <f>+ConstantDollars!K48*1000/Enrollment!J$12</f>
        <v>3789.9225079120715</v>
      </c>
      <c r="L48" s="3">
        <f>+ConstantDollars!L48*1000/Enrollment!K$12</f>
        <v>3906.2582903017615</v>
      </c>
      <c r="M48" s="3">
        <f>+ConstantDollars!M48*1000/Enrollment!L$12</f>
        <v>3848.8007194093502</v>
      </c>
      <c r="N48" s="3">
        <f>+ConstantDollars!N48*1000/Enrollment!M$12</f>
        <v>4033.1458277409033</v>
      </c>
      <c r="O48" s="3">
        <f>+ConstantDollars!O48*1000/Enrollment!N$12</f>
        <v>3647.7340206923591</v>
      </c>
      <c r="P48" s="3">
        <f>+ConstantDollars!P48*1000/Enrollment!O$12</f>
        <v>4132.6788157149695</v>
      </c>
      <c r="Q48" s="3">
        <f>+ConstantDollars!Q48*1000/Enrollment!P$12</f>
        <v>4541.6269807212266</v>
      </c>
      <c r="R48" s="3">
        <f>+ConstantDollars!R48*1000/Enrollment!Q$12</f>
        <v>5120.1404287554915</v>
      </c>
      <c r="S48" s="3">
        <f>+ConstantDollars!S48*1000/Enrollment!R$12</f>
        <v>4658.2602095326074</v>
      </c>
      <c r="T48" s="3">
        <f>+ConstantDollars!T48*1000/Enrollment!S$12</f>
        <v>5224.7125847471871</v>
      </c>
      <c r="U48" s="3">
        <f>+ConstantDollars!U48*1000/Enrollment!T$12</f>
        <v>5436.8401630767266</v>
      </c>
      <c r="V48" s="3">
        <f>+ConstantDollars!V48*1000/Enrollment!U$12</f>
        <v>5452.057411646334</v>
      </c>
      <c r="W48" s="3">
        <f>+ConstantDollars!W48*1000/Enrollment!V$12</f>
        <v>5981.4012295343937</v>
      </c>
      <c r="X48" s="3">
        <f>+ConstantDollars!X48*1000/Enrollment!W$12</f>
        <v>6047.7458648964512</v>
      </c>
      <c r="Y48" s="3">
        <f>+ConstantDollars!Y48*1000/Enrollment!X$12</f>
        <v>7228.4195332199297</v>
      </c>
      <c r="Z48" s="3">
        <f>+ConstantDollars!Z48*1000/Enrollment!Y$12</f>
        <v>7409.2409554104461</v>
      </c>
      <c r="AA48" s="3">
        <f>+ConstantDollars!AA48*1000/Enrollment!Z$12</f>
        <v>7586.764241595889</v>
      </c>
      <c r="AB48" s="3">
        <f>+ConstantDollars!AB48*1000/Enrollment!AA$12</f>
        <v>8285.7115209559215</v>
      </c>
      <c r="AC48" s="3">
        <f>+ConstantDollars!AC48*1000/Enrollment!AB$12</f>
        <v>8006.638855058538</v>
      </c>
      <c r="AD48" s="3">
        <f>+ConstantDollars!AD48*1000/Enrollment!AC$12</f>
        <v>7009.6352048963281</v>
      </c>
      <c r="AE48" s="3">
        <f>+ConstantDollars!AE48*1000/Enrollment!AD$12</f>
        <v>7050.8077982393952</v>
      </c>
      <c r="AF48" s="3">
        <f>+ConstantDollars!AF48*1000/Enrollment!AE$12</f>
        <v>7512.4345752891795</v>
      </c>
      <c r="AG48" s="3">
        <f>+ConstantDollars!AG48*1000/Enrollment!AF$12</f>
        <v>8545.050953077407</v>
      </c>
      <c r="AH48" s="3">
        <f>+ConstantDollars!AH48*1000/Enrollment!AG$12</f>
        <v>7588.7939514927684</v>
      </c>
      <c r="AI48" s="3">
        <f>+ConstantDollars!AI48*1000/Enrollment!AH$12</f>
        <v>7428.207854554099</v>
      </c>
      <c r="AJ48" s="3">
        <f>+ConstantDollars!AJ48*1000/Enrollment!AI$12</f>
        <v>7493.608509791904</v>
      </c>
      <c r="AK48" s="3">
        <f>+ConstantDollars!AK48*1000/Enrollment!AJ$12</f>
        <v>7987.8588338060908</v>
      </c>
    </row>
    <row r="49" spans="2:37">
      <c r="B49" s="1" t="str">
        <f>+$B$11</f>
        <v>Central Washington University</v>
      </c>
      <c r="C49" s="3">
        <f>+ConstantDollars!C49*1000/Enrollment!B$13</f>
        <v>2627.5970181642824</v>
      </c>
      <c r="D49" s="3">
        <f>+ConstantDollars!D49*1000/Enrollment!C$13</f>
        <v>2675.7754714120242</v>
      </c>
      <c r="E49" s="3">
        <f>+ConstantDollars!E49*1000/Enrollment!D$13</f>
        <v>2759.6436920621704</v>
      </c>
      <c r="F49" s="3">
        <f>+ConstantDollars!F49*1000/Enrollment!E$13</f>
        <v>2797.3995351369404</v>
      </c>
      <c r="G49" s="3">
        <f>+ConstantDollars!G49*1000/Enrollment!F$13</f>
        <v>2963.018644882658</v>
      </c>
      <c r="H49" s="3">
        <f>+ConstantDollars!H49*1000/Enrollment!G$13</f>
        <v>3317.0842634361979</v>
      </c>
      <c r="I49" s="3">
        <f>+ConstantDollars!I49*1000/Enrollment!H$13</f>
        <v>3708.6721947184647</v>
      </c>
      <c r="J49" s="3">
        <f>+ConstantDollars!J49*1000/Enrollment!I$13</f>
        <v>3346.2228731103914</v>
      </c>
      <c r="K49" s="3">
        <f>+ConstantDollars!K49*1000/Enrollment!J$13</f>
        <v>3900.0094662360898</v>
      </c>
      <c r="L49" s="3">
        <f>+ConstantDollars!L49*1000/Enrollment!K$13</f>
        <v>3914.8447473644601</v>
      </c>
      <c r="M49" s="3">
        <f>+ConstantDollars!M49*1000/Enrollment!L$13</f>
        <v>3703.4651807353762</v>
      </c>
      <c r="N49" s="3">
        <f>+ConstantDollars!N49*1000/Enrollment!M$13</f>
        <v>3862.6200627792959</v>
      </c>
      <c r="O49" s="3">
        <f>+ConstantDollars!O49*1000/Enrollment!N$13</f>
        <v>3744.2770132407986</v>
      </c>
      <c r="P49" s="3">
        <f>+ConstantDollars!P49*1000/Enrollment!O$13</f>
        <v>4671.1291390949391</v>
      </c>
      <c r="Q49" s="3">
        <f>+ConstantDollars!Q49*1000/Enrollment!P$13</f>
        <v>4745.0230440674486</v>
      </c>
      <c r="R49" s="3">
        <f>+ConstantDollars!R49*1000/Enrollment!Q$13</f>
        <v>4706.2048108277477</v>
      </c>
      <c r="S49" s="3">
        <f>+ConstantDollars!S49*1000/Enrollment!R$13</f>
        <v>4671.17512228333</v>
      </c>
      <c r="T49" s="3">
        <f>+ConstantDollars!T49*1000/Enrollment!S$13</f>
        <v>4660.2857897734648</v>
      </c>
      <c r="U49" s="3">
        <f>+ConstantDollars!U49*1000/Enrollment!T$13</f>
        <v>5214.865149589843</v>
      </c>
      <c r="V49" s="3">
        <f>+ConstantDollars!V49*1000/Enrollment!U$13</f>
        <v>5620.4189633733922</v>
      </c>
      <c r="W49" s="3">
        <f>+ConstantDollars!W49*1000/Enrollment!V$13</f>
        <v>6332.3735786491989</v>
      </c>
      <c r="X49" s="3">
        <f>+ConstantDollars!X49*1000/Enrollment!W$13</f>
        <v>6188.4959668340289</v>
      </c>
      <c r="Y49" s="3">
        <f>+ConstantDollars!Y49*1000/Enrollment!X$13</f>
        <v>7824.860841106396</v>
      </c>
      <c r="Z49" s="3">
        <f>+ConstantDollars!Z49*1000/Enrollment!Y$13</f>
        <v>8089.6859409435565</v>
      </c>
      <c r="AA49" s="3">
        <f>+ConstantDollars!AA49*1000/Enrollment!Z$13</f>
        <v>8848.7408423242141</v>
      </c>
      <c r="AB49" s="3">
        <f>+ConstantDollars!AB49*1000/Enrollment!AA$13</f>
        <v>8591.7414015558206</v>
      </c>
      <c r="AC49" s="3">
        <f>+ConstantDollars!AC49*1000/Enrollment!AB$13</f>
        <v>8064.134440441705</v>
      </c>
      <c r="AD49" s="3">
        <f>+ConstantDollars!AD49*1000/Enrollment!AC$13</f>
        <v>7430.8288568988073</v>
      </c>
      <c r="AE49" s="3">
        <f>+ConstantDollars!AE49*1000/Enrollment!AD$13</f>
        <v>6603.4297631821528</v>
      </c>
      <c r="AF49" s="3">
        <f>+ConstantDollars!AF49*1000/Enrollment!AE$13</f>
        <v>6939.1329171913085</v>
      </c>
      <c r="AG49" s="3">
        <f>+ConstantDollars!AG49*1000/Enrollment!AF$13</f>
        <v>6158.063751136292</v>
      </c>
      <c r="AH49" s="3">
        <f>+ConstantDollars!AH49*1000/Enrollment!AG$13</f>
        <v>5963.1184377463023</v>
      </c>
      <c r="AI49" s="3">
        <f>+ConstantDollars!AI49*1000/Enrollment!AH$13</f>
        <v>6712.4209589113098</v>
      </c>
      <c r="AJ49" s="3">
        <f>+ConstantDollars!AJ49*1000/Enrollment!AI$13</f>
        <v>7230.7172148162108</v>
      </c>
      <c r="AK49" s="3">
        <f>+ConstantDollars!AK49*1000/Enrollment!AJ$13</f>
        <v>7346.5103121812472</v>
      </c>
    </row>
    <row r="50" spans="2:37">
      <c r="B50" s="1" t="str">
        <f>+$B$12</f>
        <v>The Evergreen State College</v>
      </c>
      <c r="C50" s="3">
        <f>+ConstantDollars!C50*1000/Enrollment!B$14</f>
        <v>3495.3078480589029</v>
      </c>
      <c r="D50" s="3">
        <f>+ConstantDollars!D50*1000/Enrollment!C$14</f>
        <v>3680.4387002182175</v>
      </c>
      <c r="E50" s="3">
        <f>+ConstantDollars!E50*1000/Enrollment!D$14</f>
        <v>4119.5174125043413</v>
      </c>
      <c r="F50" s="3">
        <f>+ConstantDollars!F50*1000/Enrollment!E$14</f>
        <v>4031.7620168749127</v>
      </c>
      <c r="G50" s="3">
        <f>+ConstantDollars!G50*1000/Enrollment!F$14</f>
        <v>4590.1270653875481</v>
      </c>
      <c r="H50" s="3">
        <f>+ConstantDollars!H50*1000/Enrollment!G$14</f>
        <v>5526.4871876918041</v>
      </c>
      <c r="I50" s="3">
        <f>+ConstantDollars!I50*1000/Enrollment!H$14</f>
        <v>5013.1564152715882</v>
      </c>
      <c r="J50" s="3">
        <f>+ConstantDollars!J50*1000/Enrollment!I$14</f>
        <v>5844.9014894091424</v>
      </c>
      <c r="K50" s="3">
        <f>+ConstantDollars!K50*1000/Enrollment!J$14</f>
        <v>4849.4374589446588</v>
      </c>
      <c r="L50" s="3">
        <f>+ConstantDollars!L50*1000/Enrollment!K$14</f>
        <v>5671.1273274138211</v>
      </c>
      <c r="M50" s="3">
        <f>+ConstantDollars!M50*1000/Enrollment!L$14</f>
        <v>6472.5897275083098</v>
      </c>
      <c r="N50" s="3">
        <f>+ConstantDollars!N50*1000/Enrollment!M$14</f>
        <v>6239.3514728847358</v>
      </c>
      <c r="O50" s="3">
        <f>+ConstantDollars!O50*1000/Enrollment!N$14</f>
        <v>5713.2623400075991</v>
      </c>
      <c r="P50" s="3">
        <f>+ConstantDollars!P50*1000/Enrollment!O$14</f>
        <v>6130.5951681808574</v>
      </c>
      <c r="Q50" s="3">
        <f>+ConstantDollars!Q50*1000/Enrollment!P$14</f>
        <v>5016.5815242622284</v>
      </c>
      <c r="R50" s="3">
        <f>+ConstantDollars!R50*1000/Enrollment!Q$14</f>
        <v>9067.9149494564881</v>
      </c>
      <c r="S50" s="3">
        <f>+ConstantDollars!S50*1000/Enrollment!R$14</f>
        <v>7076.0944495788208</v>
      </c>
      <c r="T50" s="3">
        <f>+ConstantDollars!T50*1000/Enrollment!S$14</f>
        <v>7193.8895801298058</v>
      </c>
      <c r="U50" s="3">
        <f>+ConstantDollars!U50*1000/Enrollment!T$14</f>
        <v>6623.3773758755933</v>
      </c>
      <c r="V50" s="3">
        <f>+ConstantDollars!V50*1000/Enrollment!U$14</f>
        <v>7518.5299177615407</v>
      </c>
      <c r="W50" s="3">
        <f>+ConstantDollars!W50*1000/Enrollment!V$14</f>
        <v>7731.449327557315</v>
      </c>
      <c r="X50" s="3">
        <f>+ConstantDollars!X50*1000/Enrollment!W$14</f>
        <v>8780.2433759399573</v>
      </c>
      <c r="Y50" s="3">
        <f>+ConstantDollars!Y50*1000/Enrollment!X$14</f>
        <v>9579.9522987480123</v>
      </c>
      <c r="Z50" s="3">
        <f>+ConstantDollars!Z50*1000/Enrollment!Y$14</f>
        <v>9965.8471135377586</v>
      </c>
      <c r="AA50" s="3">
        <f>+ConstantDollars!AA50*1000/Enrollment!Z$14</f>
        <v>10020.221085733268</v>
      </c>
      <c r="AB50" s="3">
        <f>+ConstantDollars!AB50*1000/Enrollment!AA$14</f>
        <v>10070.912985092782</v>
      </c>
      <c r="AC50" s="3">
        <f>+ConstantDollars!AC50*1000/Enrollment!AB$14</f>
        <v>12970.345743474065</v>
      </c>
      <c r="AD50" s="3">
        <f>+ConstantDollars!AD50*1000/Enrollment!AC$14</f>
        <v>9773.8541211184602</v>
      </c>
      <c r="AE50" s="3">
        <f>+ConstantDollars!AE50*1000/Enrollment!AD$14</f>
        <v>10091.434099879905</v>
      </c>
      <c r="AF50" s="3">
        <f>+ConstantDollars!AF50*1000/Enrollment!AE$14</f>
        <v>8815.4473773509671</v>
      </c>
      <c r="AG50" s="3">
        <f>+ConstantDollars!AG50*1000/Enrollment!AF$14</f>
        <v>9329.66551742312</v>
      </c>
      <c r="AH50" s="3">
        <f>+ConstantDollars!AH50*1000/Enrollment!AG$14</f>
        <v>6863.7031801214107</v>
      </c>
      <c r="AI50" s="3">
        <f>+ConstantDollars!AI50*1000/Enrollment!AH$14</f>
        <v>1953.9337753955169</v>
      </c>
      <c r="AJ50" s="3">
        <f>+ConstantDollars!AJ50*1000/Enrollment!AI$14</f>
        <v>8454.3597477723015</v>
      </c>
      <c r="AK50" s="3">
        <f>+ConstantDollars!AK50*1000/Enrollment!AJ$14</f>
        <v>6260.811974997463</v>
      </c>
    </row>
    <row r="51" spans="2:37">
      <c r="B51" s="1" t="str">
        <f>+$B$13</f>
        <v>Western Washington University</v>
      </c>
      <c r="C51" s="3">
        <f>+ConstantDollars!C51*1000/Enrollment!B$15</f>
        <v>2591.8205059841216</v>
      </c>
      <c r="D51" s="3">
        <f>+ConstantDollars!D51*1000/Enrollment!C$15</f>
        <v>2679.5145141950979</v>
      </c>
      <c r="E51" s="3">
        <f>+ConstantDollars!E51*1000/Enrollment!D$15</f>
        <v>2773.8125594629023</v>
      </c>
      <c r="F51" s="3">
        <f>+ConstantDollars!F51*1000/Enrollment!E$15</f>
        <v>2865.3646142295547</v>
      </c>
      <c r="G51" s="3">
        <f>+ConstantDollars!G51*1000/Enrollment!F$15</f>
        <v>3039.120116718429</v>
      </c>
      <c r="H51" s="3">
        <f>+ConstantDollars!H51*1000/Enrollment!G$15</f>
        <v>3833.3252038933765</v>
      </c>
      <c r="I51" s="3">
        <f>+ConstantDollars!I51*1000/Enrollment!H$15</f>
        <v>3423.8017984307239</v>
      </c>
      <c r="J51" s="3">
        <f>+ConstantDollars!J51*1000/Enrollment!I$15</f>
        <v>3414.1705894788342</v>
      </c>
      <c r="K51" s="3">
        <f>+ConstantDollars!K51*1000/Enrollment!J$15</f>
        <v>3613.5508008798624</v>
      </c>
      <c r="L51" s="3">
        <f>+ConstantDollars!L51*1000/Enrollment!K$15</f>
        <v>3984.5180356047258</v>
      </c>
      <c r="M51" s="3">
        <f>+ConstantDollars!M51*1000/Enrollment!L$15</f>
        <v>4154.428628197923</v>
      </c>
      <c r="N51" s="3">
        <f>+ConstantDollars!N51*1000/Enrollment!M$15</f>
        <v>4198.765313824124</v>
      </c>
      <c r="O51" s="3">
        <f>+ConstantDollars!O51*1000/Enrollment!N$15</f>
        <v>4275.2334785635094</v>
      </c>
      <c r="P51" s="3">
        <f>+ConstantDollars!P51*1000/Enrollment!O$15</f>
        <v>4814.8118891536078</v>
      </c>
      <c r="Q51" s="3">
        <f>+ConstantDollars!Q51*1000/Enrollment!P$15</f>
        <v>5176.2164571008261</v>
      </c>
      <c r="R51" s="3">
        <f>+ConstantDollars!R51*1000/Enrollment!Q$15</f>
        <v>5169.7969961315384</v>
      </c>
      <c r="S51" s="3">
        <f>+ConstantDollars!S51*1000/Enrollment!R$15</f>
        <v>5220.9442172474937</v>
      </c>
      <c r="T51" s="3">
        <f>+ConstantDollars!T51*1000/Enrollment!S$15</f>
        <v>5535.5040926483998</v>
      </c>
      <c r="U51" s="3">
        <f>+ConstantDollars!U51*1000/Enrollment!T$15</f>
        <v>5604.2260551575</v>
      </c>
      <c r="V51" s="3">
        <f>+ConstantDollars!V51*1000/Enrollment!U$15</f>
        <v>5708.9792188983811</v>
      </c>
      <c r="W51" s="3">
        <f>+ConstantDollars!W51*1000/Enrollment!V$15</f>
        <v>7345.595344983727</v>
      </c>
      <c r="X51" s="3">
        <f>+ConstantDollars!X51*1000/Enrollment!W$15</f>
        <v>7134.0426540961353</v>
      </c>
      <c r="Y51" s="3">
        <f>+ConstantDollars!Y51*1000/Enrollment!X$15</f>
        <v>8097.8786530825537</v>
      </c>
      <c r="Z51" s="3">
        <f>+ConstantDollars!Z51*1000/Enrollment!Y$15</f>
        <v>8599.3898608977088</v>
      </c>
      <c r="AA51" s="3">
        <f>+ConstantDollars!AA51*1000/Enrollment!Z$15</f>
        <v>8507.1396820184364</v>
      </c>
      <c r="AB51" s="3">
        <f>+ConstantDollars!AB51*1000/Enrollment!AA$15</f>
        <v>9059.0619740845377</v>
      </c>
      <c r="AC51" s="3">
        <f>+ConstantDollars!AC51*1000/Enrollment!AB$15</f>
        <v>8700.7781782260245</v>
      </c>
      <c r="AD51" s="3">
        <f>+ConstantDollars!AD51*1000/Enrollment!AC$15</f>
        <v>8338.5864512288681</v>
      </c>
      <c r="AE51" s="3">
        <f>+ConstantDollars!AE51*1000/Enrollment!AD$15</f>
        <v>8267.7179355733842</v>
      </c>
      <c r="AF51" s="3">
        <f>+ConstantDollars!AF51*1000/Enrollment!AE$15</f>
        <v>8322.5407704982754</v>
      </c>
      <c r="AG51" s="3">
        <f>+ConstantDollars!AG51*1000/Enrollment!AF$15</f>
        <v>8878.9437884880299</v>
      </c>
      <c r="AH51" s="3">
        <f>+ConstantDollars!AH51*1000/Enrollment!AG$15</f>
        <v>8483.4866512827575</v>
      </c>
      <c r="AI51" s="3">
        <f>+ConstantDollars!AI51*1000/Enrollment!AH$15</f>
        <v>9172.6502823583487</v>
      </c>
      <c r="AJ51" s="3">
        <f>+ConstantDollars!AJ51*1000/Enrollment!AI$15</f>
        <v>9225.7534573259964</v>
      </c>
      <c r="AK51" s="3">
        <f>+ConstantDollars!AK51*1000/Enrollment!AJ$15</f>
        <v>8698.2042779101612</v>
      </c>
    </row>
    <row r="52" spans="2:37">
      <c r="B52" s="199" t="str">
        <f>+$B$14</f>
        <v>Total Four-Year Institutions</v>
      </c>
      <c r="C52" s="42">
        <f>+ConstantDollars!C52*1000/Enrollment!B$16</f>
        <v>3352.2255342947597</v>
      </c>
      <c r="D52" s="42">
        <f>+ConstantDollars!D52*1000/Enrollment!C$16</f>
        <v>3440.4886794042304</v>
      </c>
      <c r="E52" s="42">
        <f>+ConstantDollars!E52*1000/Enrollment!D$16</f>
        <v>3766.4720425213645</v>
      </c>
      <c r="F52" s="42">
        <f>+ConstantDollars!F52*1000/Enrollment!E$16</f>
        <v>3805.9250195002692</v>
      </c>
      <c r="G52" s="42">
        <f>+ConstantDollars!G52*1000/Enrollment!F$16</f>
        <v>4019.2923646359463</v>
      </c>
      <c r="H52" s="42">
        <f>+ConstantDollars!H52*1000/Enrollment!G$16</f>
        <v>4927.1295688126756</v>
      </c>
      <c r="I52" s="42">
        <f>+ConstantDollars!I52*1000/Enrollment!H$16</f>
        <v>4673.5539577338668</v>
      </c>
      <c r="J52" s="42">
        <f>+ConstantDollars!J52*1000/Enrollment!I$16</f>
        <v>4768.618942776613</v>
      </c>
      <c r="K52" s="42">
        <f>+ConstantDollars!K52*1000/Enrollment!J$16</f>
        <v>4786.7994774434374</v>
      </c>
      <c r="L52" s="42">
        <f>+ConstantDollars!L52*1000/Enrollment!K$16</f>
        <v>5411.0553408487594</v>
      </c>
      <c r="M52" s="42">
        <f>+ConstantDollars!M52*1000/Enrollment!L$16</f>
        <v>5304.7380653837126</v>
      </c>
      <c r="N52" s="42">
        <f>+ConstantDollars!N52*1000/Enrollment!M$16</f>
        <v>5269.1938548496491</v>
      </c>
      <c r="O52" s="42">
        <f>+ConstantDollars!O52*1000/Enrollment!N$16</f>
        <v>5469.1529829936317</v>
      </c>
      <c r="P52" s="42">
        <f>+ConstantDollars!P52*1000/Enrollment!O$16</f>
        <v>6184.8338768403191</v>
      </c>
      <c r="Q52" s="42">
        <f>+ConstantDollars!Q52*1000/Enrollment!P$16</f>
        <v>6341.5736815737828</v>
      </c>
      <c r="R52" s="42">
        <f>+ConstantDollars!R52*1000/Enrollment!Q$16</f>
        <v>7058.5415152955975</v>
      </c>
      <c r="S52" s="42">
        <f>+ConstantDollars!S52*1000/Enrollment!R$16</f>
        <v>6958.6090288365822</v>
      </c>
      <c r="T52" s="42">
        <f>+ConstantDollars!T52*1000/Enrollment!S$16</f>
        <v>7588.4604297614878</v>
      </c>
      <c r="U52" s="42">
        <f>+ConstantDollars!U52*1000/Enrollment!T$16</f>
        <v>7757.8371032560581</v>
      </c>
      <c r="V52" s="42">
        <f>+ConstantDollars!V52*1000/Enrollment!U$16</f>
        <v>8060.3135327604987</v>
      </c>
      <c r="W52" s="42">
        <f>+ConstantDollars!W52*1000/Enrollment!V$16</f>
        <v>8392.5357963624829</v>
      </c>
      <c r="X52" s="42">
        <f>+ConstantDollars!X52*1000/Enrollment!W$16</f>
        <v>9878.0370770008612</v>
      </c>
      <c r="Y52" s="42">
        <f>+ConstantDollars!Y52*1000/Enrollment!X$16</f>
        <v>11035.041707519416</v>
      </c>
      <c r="Z52" s="42">
        <f>+ConstantDollars!Z52*1000/Enrollment!Y$16</f>
        <v>12197.134813994491</v>
      </c>
      <c r="AA52" s="42">
        <f>+ConstantDollars!AA52*1000/Enrollment!Z$16</f>
        <v>11537.586038937059</v>
      </c>
      <c r="AB52" s="42">
        <f>+ConstantDollars!AB52*1000/Enrollment!AA$16</f>
        <v>12919.442608335041</v>
      </c>
      <c r="AC52" s="42">
        <f>+ConstantDollars!AC52*1000/Enrollment!AB$16</f>
        <v>12330.340203841126</v>
      </c>
      <c r="AD52" s="42">
        <f>+ConstantDollars!AD52*1000/Enrollment!AC$16</f>
        <v>11762.208256956408</v>
      </c>
      <c r="AE52" s="42">
        <f>+ConstantDollars!AE52*1000/Enrollment!AD$16</f>
        <v>12491.792260359152</v>
      </c>
      <c r="AF52" s="42">
        <f>+ConstantDollars!AF52*1000/Enrollment!AE$16</f>
        <v>11662.027615912733</v>
      </c>
      <c r="AG52" s="42">
        <f>+ConstantDollars!AG52*1000/Enrollment!AF$16</f>
        <v>11473.318391377605</v>
      </c>
      <c r="AH52" s="42">
        <f>+ConstantDollars!AH52*1000/Enrollment!AG$16</f>
        <v>11312.103480068285</v>
      </c>
      <c r="AI52" s="42">
        <f>+ConstantDollars!AI52*1000/Enrollment!AH$16</f>
        <v>11050.4301318495</v>
      </c>
      <c r="AJ52" s="42">
        <f>+ConstantDollars!AJ52*1000/Enrollment!AI$16</f>
        <v>11578.930872664276</v>
      </c>
      <c r="AK52" s="42">
        <f>+ConstantDollars!AK52*1000/Enrollment!AJ$16</f>
        <v>11803.745531220808</v>
      </c>
    </row>
    <row r="53" spans="2:37">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2:37">
      <c r="B54" s="1" t="str">
        <f>+$B$16</f>
        <v>Community/Technical College System</v>
      </c>
      <c r="C54" s="3">
        <f>+ConstantDollars!C54*1000/Enrollment!B$18</f>
        <v>977.51577867402534</v>
      </c>
      <c r="D54" s="3">
        <f>+ConstantDollars!D54*1000/Enrollment!C$18</f>
        <v>1004.3036050194461</v>
      </c>
      <c r="E54" s="3">
        <f>+ConstantDollars!E54*1000/Enrollment!D$18</f>
        <v>1047.9038246218124</v>
      </c>
      <c r="F54" s="3">
        <f>+ConstantDollars!F54*1000/Enrollment!E$18</f>
        <v>1095.2214088096964</v>
      </c>
      <c r="G54" s="3">
        <f>+ConstantDollars!G54*1000/Enrollment!F$18</f>
        <v>1374.1267184194833</v>
      </c>
      <c r="H54" s="3">
        <f>+ConstantDollars!H54*1000/Enrollment!G$18</f>
        <v>1634.6973741029758</v>
      </c>
      <c r="I54" s="3">
        <f>+ConstantDollars!I54*1000/Enrollment!H$18</f>
        <v>1587.9369390237091</v>
      </c>
      <c r="J54" s="3">
        <f>+ConstantDollars!J54*1000/Enrollment!I$18</f>
        <v>1630.9965254720789</v>
      </c>
      <c r="K54" s="3">
        <f>+ConstantDollars!K54*1000/Enrollment!J$18</f>
        <v>1739.9368553514701</v>
      </c>
      <c r="L54" s="3">
        <f>+ConstantDollars!L54*1000/Enrollment!K$18</f>
        <v>1720.306689058875</v>
      </c>
      <c r="M54" s="3">
        <f>+ConstantDollars!M54*1000/Enrollment!L$18</f>
        <v>1794.5318100983211</v>
      </c>
      <c r="N54" s="3">
        <f>+ConstantDollars!N54*1000/Enrollment!M$18</f>
        <v>1718.5620597072534</v>
      </c>
      <c r="O54" s="3">
        <f>+ConstantDollars!O54*1000/Enrollment!N$18</f>
        <v>1759.5325385263147</v>
      </c>
      <c r="P54" s="3">
        <f>+ConstantDollars!P54*1000/Enrollment!O$18</f>
        <v>1797.5674922233516</v>
      </c>
      <c r="Q54" s="3">
        <f>+ConstantDollars!Q54*1000/Enrollment!P$18</f>
        <v>2061.7385507764611</v>
      </c>
      <c r="R54" s="3">
        <f>+ConstantDollars!R54*1000/Enrollment!Q$18</f>
        <v>2280.6549718520118</v>
      </c>
      <c r="S54" s="3">
        <f>+ConstantDollars!S54*1000/Enrollment!R$18</f>
        <v>2329.8037926220259</v>
      </c>
      <c r="T54" s="3">
        <f>+ConstantDollars!T54*1000/Enrollment!S$18</f>
        <v>2345.2139705565369</v>
      </c>
      <c r="U54" s="3">
        <f>+ConstantDollars!U54*1000/Enrollment!T$18</f>
        <v>2358.3739890073839</v>
      </c>
      <c r="V54" s="3">
        <f>+ConstantDollars!V54*1000/Enrollment!U$18</f>
        <v>2199.4694591093321</v>
      </c>
      <c r="W54" s="3">
        <f>+ConstantDollars!W54*1000/Enrollment!V$18</f>
        <v>2174.7677082184064</v>
      </c>
      <c r="X54" s="3">
        <f>+ConstantDollars!X54*1000/Enrollment!W$18</f>
        <v>2404.511020796821</v>
      </c>
      <c r="Y54" s="3">
        <f>+ConstantDollars!Y54*1000/Enrollment!X$18</f>
        <v>2610.534700115229</v>
      </c>
      <c r="Z54" s="3">
        <f>+ConstantDollars!Z54*1000/Enrollment!Y$18</f>
        <v>2912.595135016099</v>
      </c>
      <c r="AA54" s="3">
        <f>+ConstantDollars!AA54*1000/Enrollment!Z$18</f>
        <v>3076.0329590602041</v>
      </c>
      <c r="AB54" s="3">
        <f>+ConstantDollars!AB54*1000/Enrollment!AA$18</f>
        <v>3259.5392059945602</v>
      </c>
      <c r="AC54" s="3">
        <f>+ConstantDollars!AC54*1000/Enrollment!AB$18</f>
        <v>3357.2147212109385</v>
      </c>
      <c r="AD54" s="3">
        <f>+ConstantDollars!AD54*1000/Enrollment!AC$18</f>
        <v>3370.5609774958093</v>
      </c>
      <c r="AE54" s="3">
        <f>+ConstantDollars!AE54*1000/Enrollment!AD$18</f>
        <v>3334.5870173886287</v>
      </c>
      <c r="AF54" s="3">
        <f>+ConstantDollars!AF54*1000/Enrollment!AE$18</f>
        <v>3079.4431717854691</v>
      </c>
      <c r="AG54" s="3">
        <f>+ConstantDollars!AG54*1000/Enrollment!AF$18</f>
        <v>3564.7040896248718</v>
      </c>
      <c r="AH54" s="3">
        <f>+ConstantDollars!AH54*1000/Enrollment!AG$18</f>
        <v>3181.7681350657513</v>
      </c>
      <c r="AI54" s="3">
        <f>+ConstantDollars!AI54*1000/Enrollment!AH$18</f>
        <v>3418.5762613729476</v>
      </c>
      <c r="AJ54" s="3">
        <f>+ConstantDollars!AJ54*1000/Enrollment!AI$18</f>
        <v>2889.6354840922245</v>
      </c>
      <c r="AK54" s="3">
        <f>+ConstantDollars!AK54*1000/Enrollment!AJ$18</f>
        <v>3592.9839709465778</v>
      </c>
    </row>
    <row r="55" spans="2:37" hidden="1">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2:37" ht="13.5" thickBot="1"/>
    <row r="57" spans="2:37" ht="13.5" thickTop="1">
      <c r="B57" s="1" t="str">
        <f>+$B$19</f>
        <v>Total Higher Education</v>
      </c>
      <c r="C57" s="39">
        <f>+ConstantDollars!C57*1000/Enrollment!B$21</f>
        <v>1970.3189496253076</v>
      </c>
      <c r="D57" s="39">
        <f>+ConstantDollars!D57*1000/Enrollment!C$21</f>
        <v>2025.6521950962635</v>
      </c>
      <c r="E57" s="39">
        <f>+ConstantDollars!E57*1000/Enrollment!D$21</f>
        <v>2167.9588962937319</v>
      </c>
      <c r="F57" s="39">
        <f>+ConstantDollars!F57*1000/Enrollment!E$21</f>
        <v>2206.4878950621619</v>
      </c>
      <c r="G57" s="39">
        <f>+ConstantDollars!G57*1000/Enrollment!F$21</f>
        <v>2452.8104103993041</v>
      </c>
      <c r="H57" s="39">
        <f>+ConstantDollars!H57*1000/Enrollment!G$21</f>
        <v>2972.8661378726943</v>
      </c>
      <c r="I57" s="39">
        <f>+ConstantDollars!I57*1000/Enrollment!H$21</f>
        <v>2816.316717155787</v>
      </c>
      <c r="J57" s="39">
        <f>+ConstantDollars!J57*1000/Enrollment!I$21</f>
        <v>2890.4996803238582</v>
      </c>
      <c r="K57" s="39">
        <f>+ConstantDollars!K57*1000/Enrollment!J$21</f>
        <v>2977.0001276683633</v>
      </c>
      <c r="L57" s="39">
        <f>+ConstantDollars!L57*1000/Enrollment!K$21</f>
        <v>3208.8388702402458</v>
      </c>
      <c r="M57" s="39">
        <f>+ConstantDollars!M57*1000/Enrollment!L$21</f>
        <v>3192.1142429118913</v>
      </c>
      <c r="N57" s="39">
        <f>+ConstantDollars!N57*1000/Enrollment!M$21</f>
        <v>3133.1784572440379</v>
      </c>
      <c r="O57" s="39">
        <f>+ConstantDollars!O57*1000/Enrollment!N$21</f>
        <v>3229.9517268296408</v>
      </c>
      <c r="P57" s="39">
        <f>+ConstantDollars!P57*1000/Enrollment!O$21</f>
        <v>3510.4775058035443</v>
      </c>
      <c r="Q57" s="39">
        <f>+ConstantDollars!Q57*1000/Enrollment!P$21</f>
        <v>3750.2148266685085</v>
      </c>
      <c r="R57" s="39">
        <f>+ConstantDollars!R57*1000/Enrollment!Q$21</f>
        <v>4239.389703914454</v>
      </c>
      <c r="S57" s="39">
        <f>+ConstantDollars!S57*1000/Enrollment!R$21</f>
        <v>4234.7777449348068</v>
      </c>
      <c r="T57" s="39">
        <f>+ConstantDollars!T57*1000/Enrollment!S$21</f>
        <v>4498.071524101626</v>
      </c>
      <c r="U57" s="39">
        <f>+ConstantDollars!U57*1000/Enrollment!T$21</f>
        <v>4560.4775576483898</v>
      </c>
      <c r="V57" s="39">
        <f>+ConstantDollars!V57*1000/Enrollment!U$21</f>
        <v>4538.4594715118055</v>
      </c>
      <c r="W57" s="39">
        <f>+ConstantDollars!W57*1000/Enrollment!V$21</f>
        <v>4576.1255140071498</v>
      </c>
      <c r="X57" s="39">
        <f>+ConstantDollars!X57*1000/Enrollment!W$21</f>
        <v>5309.4150689843609</v>
      </c>
      <c r="Y57" s="39">
        <f>+ConstantDollars!Y57*1000/Enrollment!X$21</f>
        <v>6028.0910805856129</v>
      </c>
      <c r="Z57" s="39">
        <f>+ConstantDollars!Z57*1000/Enrollment!Y$21</f>
        <v>6776.4784396650439</v>
      </c>
      <c r="AA57" s="39">
        <f>+ConstantDollars!AA57*1000/Enrollment!Z$21</f>
        <v>6674.6598662177894</v>
      </c>
      <c r="AB57" s="39">
        <f>+ConstantDollars!AB57*1000/Enrollment!AA$21</f>
        <v>7486.5957178214858</v>
      </c>
      <c r="AC57" s="39">
        <f>+ConstantDollars!AC57*1000/Enrollment!AB$21</f>
        <v>7371.9011363889149</v>
      </c>
      <c r="AD57" s="39">
        <f>+ConstantDollars!AD57*1000/Enrollment!AC$21</f>
        <v>7221.6179440251226</v>
      </c>
      <c r="AE57" s="39">
        <f>+ConstantDollars!AE57*1000/Enrollment!AD$21</f>
        <v>7621.1945957456255</v>
      </c>
      <c r="AF57" s="39">
        <f>+ConstantDollars!AF57*1000/Enrollment!AE$21</f>
        <v>7190.2778050452725</v>
      </c>
      <c r="AG57" s="39">
        <f>+ConstantDollars!AG57*1000/Enrollment!AF$21</f>
        <v>7445.0737194965313</v>
      </c>
      <c r="AH57" s="39">
        <f>+ConstantDollars!AH57*1000/Enrollment!AG$21</f>
        <v>7320.2036090769698</v>
      </c>
      <c r="AI57" s="39">
        <f>+ConstantDollars!AI57*1000/Enrollment!AH$21</f>
        <v>7205.5700651160623</v>
      </c>
      <c r="AJ57" s="39">
        <f>+ConstantDollars!AJ57*1000/Enrollment!AI$21</f>
        <v>7153.5968337730546</v>
      </c>
      <c r="AK57" s="39">
        <f>+ConstantDollars!AK57*1000/Enrollment!AJ$21</f>
        <v>7743.1558200824938</v>
      </c>
    </row>
    <row r="58" spans="2:37">
      <c r="B58" s="199" t="str">
        <f>+$B$20</f>
        <v>[biennial annual average]</v>
      </c>
      <c r="D58" s="3">
        <f>AVERAGE(C57:D57)</f>
        <v>1997.9855723607857</v>
      </c>
      <c r="E58" s="3"/>
      <c r="F58" s="3">
        <f>AVERAGE(E57:F57)</f>
        <v>2187.2233956779469</v>
      </c>
      <c r="G58" s="3"/>
      <c r="H58" s="3">
        <f>AVERAGE(G57:H57)</f>
        <v>2712.8382741359992</v>
      </c>
      <c r="I58" s="3"/>
      <c r="J58" s="3">
        <f>AVERAGE(I57:J57)</f>
        <v>2853.4081987398226</v>
      </c>
      <c r="K58" s="3"/>
      <c r="L58" s="3">
        <f>AVERAGE(K57:L57)</f>
        <v>3092.9194989543048</v>
      </c>
      <c r="M58" s="3"/>
      <c r="N58" s="3">
        <f>AVERAGE(M57:N57)</f>
        <v>3162.6463500779646</v>
      </c>
      <c r="O58" s="3"/>
      <c r="P58" s="3">
        <f>AVERAGE(O57:P57)</f>
        <v>3370.2146163165926</v>
      </c>
      <c r="Q58" s="3"/>
      <c r="R58" s="3">
        <f>AVERAGE(Q57:R57)</f>
        <v>3994.8022652914815</v>
      </c>
      <c r="S58" s="3"/>
      <c r="T58" s="3">
        <f>AVERAGE(S57:T57)</f>
        <v>4366.4246345182164</v>
      </c>
      <c r="U58" s="3"/>
      <c r="V58" s="3">
        <f>AVERAGE(U57:V57)</f>
        <v>4549.4685145800977</v>
      </c>
      <c r="X58" s="3">
        <f>AVERAGE(W57:X57)</f>
        <v>4942.7702914957554</v>
      </c>
      <c r="Y58" s="3"/>
      <c r="Z58" s="3">
        <f>AVERAGE(Y57:Z57)</f>
        <v>6402.2847601253288</v>
      </c>
      <c r="AA58" s="3"/>
      <c r="AB58" s="3">
        <f>AVERAGE(AA57:AB57)</f>
        <v>7080.6277920196371</v>
      </c>
      <c r="AC58" s="3"/>
      <c r="AD58" s="3">
        <f>AVERAGE(AC57:AD57)</f>
        <v>7296.7595402070183</v>
      </c>
      <c r="AE58" s="3"/>
      <c r="AF58" s="3">
        <f>AVERAGE(AE57:AF57)</f>
        <v>7405.7362003954495</v>
      </c>
      <c r="AG58" s="3"/>
      <c r="AH58" s="3">
        <f>AVERAGE(AG57:AH57)</f>
        <v>7382.638664286751</v>
      </c>
      <c r="AI58" s="3"/>
      <c r="AJ58" s="3">
        <f>AVERAGE(AI57:AJ57)</f>
        <v>7179.5834494445589</v>
      </c>
      <c r="AK58" s="3"/>
    </row>
    <row r="59" spans="2:37">
      <c r="D59" s="3"/>
      <c r="F59" s="3"/>
      <c r="H59" s="3"/>
      <c r="J59" s="3"/>
      <c r="L59" s="3"/>
      <c r="N59" s="3"/>
      <c r="P59" s="3"/>
      <c r="R59" s="3"/>
      <c r="T59" s="3"/>
    </row>
    <row r="60" spans="2:37" ht="15.75">
      <c r="B60" s="376" t="str">
        <f>+OperatingFunds!B60</f>
        <v>General Fund-State</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row>
    <row r="61" spans="2:37" ht="13.5">
      <c r="B61" s="33" t="str">
        <f>+$B$4</f>
        <v>FY2024 Constant Dollar Expenditures per Actual State-Funded FTE Enrollment</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c r="AE61" s="5"/>
      <c r="AF61" s="5"/>
      <c r="AG61" s="5"/>
      <c r="AH61" s="5"/>
      <c r="AI61" s="5"/>
      <c r="AJ61" s="5"/>
      <c r="AK61" s="5"/>
    </row>
    <row r="62" spans="2:37">
      <c r="I62" s="13"/>
      <c r="J62" s="13"/>
      <c r="K62" s="13"/>
      <c r="L62" s="13"/>
      <c r="M62" s="13"/>
      <c r="N62" s="13"/>
      <c r="O62" s="13"/>
      <c r="P62" s="13"/>
      <c r="Q62"/>
      <c r="R62" s="13"/>
      <c r="S62"/>
      <c r="T62" s="655"/>
      <c r="U62" s="2" t="str">
        <f>IF(ISBLANK(OperatingFunds!U62),"",OperatingFunds!U62)</f>
        <v/>
      </c>
      <c r="V62" s="2" t="str">
        <f>IF(ISBLANK(OperatingFunds!V62),"",OperatingFunds!V62)</f>
        <v/>
      </c>
      <c r="W62" s="2"/>
      <c r="X62" s="2"/>
      <c r="Y62" s="2"/>
      <c r="AA62" s="2" t="str">
        <f>IF(ISBLANK(OperatingFunds!AA62),"",OperatingFunds!AA62)</f>
        <v/>
      </c>
      <c r="AB62" s="2" t="str">
        <f>IF(ISBLANK(OperatingFunds!AB62),"",OperatingFunds!AB62)</f>
        <v/>
      </c>
      <c r="AC62" s="2" t="str">
        <f>IF(ISBLANK(OperatingFunds!AC62),"",OperatingFunds!AC62)</f>
        <v/>
      </c>
      <c r="AD62" s="2" t="str">
        <f>IF(ISBLANK(OperatingFunds!AD62),"",OperatingFunds!AD62)</f>
        <v/>
      </c>
      <c r="AE62" s="2" t="str">
        <f>IF(ISBLANK(OperatingFunds!AE62),"",OperatingFunds!AE62)</f>
        <v/>
      </c>
      <c r="AF62" s="2" t="str">
        <f>IF(ISBLANK(OperatingFunds!AF62),"",OperatingFunds!AF62)</f>
        <v/>
      </c>
      <c r="AG62" s="2" t="str">
        <f>IF(ISBLANK(OperatingFunds!AG62),"",OperatingFunds!AG62)</f>
        <v/>
      </c>
      <c r="AH62" s="2" t="str">
        <f>IF(ISBLANK(OperatingFunds!AH62),"",OperatingFunds!AH62)</f>
        <v/>
      </c>
      <c r="AI62" s="2" t="str">
        <f>IF(ISBLANK(OperatingFunds!AI62),"",OperatingFunds!AI62)</f>
        <v/>
      </c>
      <c r="AJ62" s="2" t="str">
        <f>IF(ISBLANK(OperatingFunds!AJ62),"",OperatingFunds!AJ62)</f>
        <v/>
      </c>
      <c r="AK62" s="2" t="str">
        <f>IF(ISBLANK(OperatingFunds!AK62),"",OperatingFunds!AK62)</f>
        <v>Final</v>
      </c>
    </row>
    <row r="63" spans="2:37">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IF(ISBLANK(OperatingFunds!U63),"",OperatingFunds!U63)</f>
        <v>FY2008</v>
      </c>
      <c r="V63" s="2" t="str">
        <f>IF(ISBLANK(OperatingFunds!V63),"",OperatingFunds!V63)</f>
        <v>FY2009</v>
      </c>
      <c r="W63" s="2" t="str">
        <f>IF(ISBLANK(OperatingFunds!W63),"",OperatingFunds!W63)</f>
        <v>FY2010</v>
      </c>
      <c r="X63" s="2" t="str">
        <f>IF(ISBLANK(OperatingFunds!X63),"",OperatingFunds!X63)</f>
        <v>FY2011</v>
      </c>
      <c r="Y63" s="2" t="str">
        <f>IF(ISBLANK(OperatingFunds!Y63),"",OperatingFunds!Y63)</f>
        <v>FY2012</v>
      </c>
      <c r="Z63" s="2" t="str">
        <f>IF(ISBLANK(OperatingFunds!Z63),"",OperatingFunds!Z63)</f>
        <v>FY2013</v>
      </c>
      <c r="AA63" s="2" t="str">
        <f>IF(ISBLANK(OperatingFunds!AA63),"",OperatingFunds!AA63)</f>
        <v>FY2014</v>
      </c>
      <c r="AB63" s="2" t="str">
        <f>IF(ISBLANK(OperatingFunds!AB63),"",OperatingFunds!AB63)</f>
        <v>FY2015</v>
      </c>
      <c r="AC63" s="2" t="str">
        <f>IF(ISBLANK(OperatingFunds!AC63),"",OperatingFunds!AC63)</f>
        <v>FY2016</v>
      </c>
      <c r="AD63" s="2" t="str">
        <f>IF(ISBLANK(OperatingFunds!AD63),"",OperatingFunds!AD63)</f>
        <v>FY2017</v>
      </c>
      <c r="AE63" s="2" t="str">
        <f>IF(ISBLANK(OperatingFunds!AE63),"",OperatingFunds!AE63)</f>
        <v>FY2018</v>
      </c>
      <c r="AF63" s="2" t="str">
        <f>IF(ISBLANK(OperatingFunds!AF63),"",OperatingFunds!AF63)</f>
        <v>FY2019</v>
      </c>
      <c r="AG63" s="2" t="str">
        <f>IF(ISBLANK(OperatingFunds!AG63),"",OperatingFunds!AG63)</f>
        <v>FY2020</v>
      </c>
      <c r="AH63" s="2" t="str">
        <f>IF(ISBLANK(OperatingFunds!AH63),"",OperatingFunds!AH63)</f>
        <v>FY2021</v>
      </c>
      <c r="AI63" s="2" t="str">
        <f>IF(ISBLANK(OperatingFunds!AI63),"",OperatingFunds!AI63)</f>
        <v>FY2022</v>
      </c>
      <c r="AJ63" s="2" t="str">
        <f>IF(ISBLANK(OperatingFunds!AJ63),"",OperatingFunds!AJ63)</f>
        <v>FY2023</v>
      </c>
      <c r="AK63" s="2" t="str">
        <f>IF(ISBLANK(OperatingFunds!AK63),"",OperatingFunds!AK63)</f>
        <v>FY2024</v>
      </c>
    </row>
    <row r="64" spans="2:37">
      <c r="R64" s="3"/>
    </row>
    <row r="65" spans="2:37">
      <c r="B65" s="1" t="str">
        <f>+$B$8</f>
        <v>University of Washington</v>
      </c>
      <c r="C65" s="3">
        <f>+ConstantDollars!C65*1000/Enrollment!B$10</f>
        <v>16757.088586571248</v>
      </c>
      <c r="D65" s="3">
        <f>+ConstantDollars!D65*1000/Enrollment!C$10</f>
        <v>17687.700120738155</v>
      </c>
      <c r="E65" s="3">
        <f>+ConstantDollars!E65*1000/Enrollment!D$10</f>
        <v>16490.612397709832</v>
      </c>
      <c r="F65" s="3">
        <f>+ConstantDollars!F65*1000/Enrollment!E$10</f>
        <v>16581.879149125369</v>
      </c>
      <c r="G65" s="3">
        <f>+ConstantDollars!G65*1000/Enrollment!F$10</f>
        <v>15114.763964179865</v>
      </c>
      <c r="H65" s="3">
        <f>+ConstantDollars!H65*1000/Enrollment!G$10</f>
        <v>14354.072210543813</v>
      </c>
      <c r="I65" s="3">
        <f>+ConstantDollars!I65*1000/Enrollment!H$10</f>
        <v>14523.466224826474</v>
      </c>
      <c r="J65" s="3">
        <f>+ConstantDollars!J65*1000/Enrollment!I$10</f>
        <v>14221.856792654331</v>
      </c>
      <c r="K65" s="3">
        <f>+ConstantDollars!K65*1000/Enrollment!J$10</f>
        <v>14688.707656258737</v>
      </c>
      <c r="L65" s="3">
        <f>+ConstantDollars!L65*1000/Enrollment!K$10</f>
        <v>15061.064417363084</v>
      </c>
      <c r="M65" s="3">
        <f>+ConstantDollars!M65*1000/Enrollment!L$10</f>
        <v>15563.806901517362</v>
      </c>
      <c r="N65" s="3">
        <f>+ConstantDollars!N65*1000/Enrollment!M$10</f>
        <v>15688.649482853338</v>
      </c>
      <c r="O65" s="3">
        <f>+ConstantDollars!O65*1000/Enrollment!N$10</f>
        <v>15212.136417735288</v>
      </c>
      <c r="P65" s="3">
        <f>+ConstantDollars!P65*1000/Enrollment!O$10</f>
        <v>14291.638405733254</v>
      </c>
      <c r="Q65" s="3">
        <f>+ConstantDollars!Q65*1000/Enrollment!P$10</f>
        <v>13310.65677313509</v>
      </c>
      <c r="R65" s="3">
        <f>+ConstantDollars!R65*1000/Enrollment!Q$10</f>
        <v>13573.877581920633</v>
      </c>
      <c r="S65" s="3">
        <f>+ConstantDollars!S65*1000/Enrollment!R$10</f>
        <v>13706.938107152902</v>
      </c>
      <c r="T65" s="3">
        <f>+ConstantDollars!T65*1000/Enrollment!S$10</f>
        <v>13722.567534920419</v>
      </c>
      <c r="U65" s="3">
        <f>+ConstantDollars!U65*1000/Enrollment!T$10</f>
        <v>13804.876124167549</v>
      </c>
      <c r="V65" s="3">
        <f>+ConstantDollars!V65*1000/Enrollment!U$10</f>
        <v>12391.981049727212</v>
      </c>
      <c r="W65" s="3">
        <f>+ConstantDollars!W65*1000/Enrollment!V$10</f>
        <v>8942.6683778729748</v>
      </c>
      <c r="X65" s="3">
        <f>+ConstantDollars!X65*1000/Enrollment!W$10</f>
        <v>8186.3593427875694</v>
      </c>
      <c r="Y65" s="3">
        <f>+ConstantDollars!Y65*1000/Enrollment!X$10</f>
        <v>6132.8158778233374</v>
      </c>
      <c r="Z65" s="3">
        <f>+ConstantDollars!Z65*1000/Enrollment!Y$10</f>
        <v>5947.4741745197762</v>
      </c>
      <c r="AA65" s="3">
        <f>+ConstantDollars!AA65*1000/Enrollment!Z$10</f>
        <v>6988.7188874490748</v>
      </c>
      <c r="AB65" s="3">
        <f>+ConstantDollars!AB65*1000/Enrollment!AA$10</f>
        <v>6502.1109353618194</v>
      </c>
      <c r="AC65" s="3">
        <f>+ConstantDollars!AC65*1000/Enrollment!AB$10</f>
        <v>7414.1356015872389</v>
      </c>
      <c r="AD65" s="3">
        <f>+ConstantDollars!AD65*1000/Enrollment!AC$10</f>
        <v>8148.0074888258905</v>
      </c>
      <c r="AE65" s="3">
        <f>+ConstantDollars!AE65*1000/Enrollment!AD$10</f>
        <v>7708.4697653264066</v>
      </c>
      <c r="AF65" s="3">
        <f>+ConstantDollars!AF65*1000/Enrollment!AE$10</f>
        <v>7768.3950110266514</v>
      </c>
      <c r="AG65" s="3">
        <f>+ConstantDollars!AG65*1000/Enrollment!AF$10</f>
        <v>8001.9405202421804</v>
      </c>
      <c r="AH65" s="3">
        <f>+ConstantDollars!AH65*1000/Enrollment!AG$10</f>
        <v>8262.2302718781666</v>
      </c>
      <c r="AI65" s="3">
        <f>+ConstantDollars!AI65*1000/Enrollment!AH$10</f>
        <v>8655.526345422797</v>
      </c>
      <c r="AJ65" s="3">
        <f>+ConstantDollars!AJ65*1000/Enrollment!AI$10</f>
        <v>9006.6898446768973</v>
      </c>
      <c r="AK65" s="3">
        <f>+ConstantDollars!AK65*1000/Enrollment!AJ$10</f>
        <v>9940.4350004684566</v>
      </c>
    </row>
    <row r="66" spans="2:37">
      <c r="B66" s="1" t="str">
        <f>+$B$9</f>
        <v>Washington State University</v>
      </c>
      <c r="C66" s="3">
        <f>+ConstantDollars!C66*1000/Enrollment!B$11</f>
        <v>17267.290117540688</v>
      </c>
      <c r="D66" s="3">
        <f>+ConstantDollars!D66*1000/Enrollment!C$11</f>
        <v>17667.40820517001</v>
      </c>
      <c r="E66" s="3">
        <f>+ConstantDollars!E66*1000/Enrollment!D$11</f>
        <v>17760.017929359339</v>
      </c>
      <c r="F66" s="3">
        <f>+ConstantDollars!F66*1000/Enrollment!E$11</f>
        <v>17717.961854633519</v>
      </c>
      <c r="G66" s="3">
        <f>+ConstantDollars!G66*1000/Enrollment!F$11</f>
        <v>15732.225087962262</v>
      </c>
      <c r="H66" s="3">
        <f>+ConstantDollars!H66*1000/Enrollment!G$11</f>
        <v>14461.463046060961</v>
      </c>
      <c r="I66" s="3">
        <f>+ConstantDollars!I66*1000/Enrollment!H$11</f>
        <v>14532.823708589289</v>
      </c>
      <c r="J66" s="3">
        <f>+ConstantDollars!J66*1000/Enrollment!I$11</f>
        <v>14995.39224139151</v>
      </c>
      <c r="K66" s="3">
        <f>+ConstantDollars!K66*1000/Enrollment!J$11</f>
        <v>15806.194155780684</v>
      </c>
      <c r="L66" s="3">
        <f>+ConstantDollars!L66*1000/Enrollment!K$11</f>
        <v>15160.826776312286</v>
      </c>
      <c r="M66" s="3">
        <f>+ConstantDollars!M66*1000/Enrollment!L$11</f>
        <v>16147.793883900064</v>
      </c>
      <c r="N66" s="3">
        <f>+ConstantDollars!N66*1000/Enrollment!M$11</f>
        <v>16564.206086507827</v>
      </c>
      <c r="O66" s="3">
        <f>+ConstantDollars!O66*1000/Enrollment!N$11</f>
        <v>16275.605787053666</v>
      </c>
      <c r="P66" s="3">
        <f>+ConstantDollars!P66*1000/Enrollment!O$11</f>
        <v>15131.419078589795</v>
      </c>
      <c r="Q66" s="3">
        <f>+ConstantDollars!Q66*1000/Enrollment!P$11</f>
        <v>14105.179204890766</v>
      </c>
      <c r="R66" s="3">
        <f>+ConstantDollars!R66*1000/Enrollment!Q$11</f>
        <v>13963.50893767747</v>
      </c>
      <c r="S66" s="3">
        <f>+ConstantDollars!S66*1000/Enrollment!R$11</f>
        <v>14162.017991671317</v>
      </c>
      <c r="T66" s="3">
        <f>+ConstantDollars!T66*1000/Enrollment!S$11</f>
        <v>14312.777994347405</v>
      </c>
      <c r="U66" s="3">
        <f>+ConstantDollars!U66*1000/Enrollment!T$11</f>
        <v>14406.549074505587</v>
      </c>
      <c r="V66" s="3">
        <f>+ConstantDollars!V66*1000/Enrollment!U$11</f>
        <v>13148.140075595205</v>
      </c>
      <c r="W66" s="3">
        <f>+ConstantDollars!W66*1000/Enrollment!V$11</f>
        <v>9593.3001131459841</v>
      </c>
      <c r="X66" s="3">
        <f>+ConstantDollars!X66*1000/Enrollment!W$11</f>
        <v>9392.3069642357732</v>
      </c>
      <c r="Y66" s="3">
        <f>+ConstantDollars!Y66*1000/Enrollment!X$11</f>
        <v>6920.7419472327101</v>
      </c>
      <c r="Z66" s="3">
        <f>+ConstantDollars!Z66*1000/Enrollment!Y$11</f>
        <v>6807.0912140105174</v>
      </c>
      <c r="AA66" s="3">
        <f>+ConstantDollars!AA66*1000/Enrollment!Z$11</f>
        <v>7907.0754006529878</v>
      </c>
      <c r="AB66" s="3">
        <f>+ConstantDollars!AB66*1000/Enrollment!AA$11</f>
        <v>7404.710576844046</v>
      </c>
      <c r="AC66" s="3">
        <f>+ConstantDollars!AC66*1000/Enrollment!AB$11</f>
        <v>8608.1025363776262</v>
      </c>
      <c r="AD66" s="3">
        <f>+ConstantDollars!AD66*1000/Enrollment!AC$11</f>
        <v>9583.446898314076</v>
      </c>
      <c r="AE66" s="3">
        <f>+ConstantDollars!AE66*1000/Enrollment!AD$11</f>
        <v>8938.0081432599436</v>
      </c>
      <c r="AF66" s="3">
        <f>+ConstantDollars!AF66*1000/Enrollment!AE$11</f>
        <v>9162.7452247260953</v>
      </c>
      <c r="AG66" s="3">
        <f>+ConstantDollars!AG66*1000/Enrollment!AF$11</f>
        <v>9423.903903221395</v>
      </c>
      <c r="AH66" s="3">
        <f>+ConstantDollars!AH66*1000/Enrollment!AG$11</f>
        <v>9628.0730405858758</v>
      </c>
      <c r="AI66" s="3">
        <f>+ConstantDollars!AI66*1000/Enrollment!AH$11</f>
        <v>10517.538907348833</v>
      </c>
      <c r="AJ66" s="3">
        <f>+ConstantDollars!AJ66*1000/Enrollment!AI$11</f>
        <v>11488.248362809507</v>
      </c>
      <c r="AK66" s="3">
        <f>+ConstantDollars!AK66*1000/Enrollment!AJ$11</f>
        <v>12266.961553593062</v>
      </c>
    </row>
    <row r="67" spans="2:37">
      <c r="B67" s="1" t="str">
        <f>+$B$10</f>
        <v>Eastern Washington University</v>
      </c>
      <c r="C67" s="3">
        <f>+ConstantDollars!C67*1000/Enrollment!B$12</f>
        <v>9971.9200097033554</v>
      </c>
      <c r="D67" s="3">
        <f>+ConstantDollars!D67*1000/Enrollment!C$12</f>
        <v>10309.417653064318</v>
      </c>
      <c r="E67" s="3">
        <f>+ConstantDollars!E67*1000/Enrollment!D$12</f>
        <v>9726.9763124756864</v>
      </c>
      <c r="F67" s="3">
        <f>+ConstantDollars!F67*1000/Enrollment!E$12</f>
        <v>10061.3022910936</v>
      </c>
      <c r="G67" s="3">
        <f>+ConstantDollars!G67*1000/Enrollment!F$12</f>
        <v>8856.6499712032182</v>
      </c>
      <c r="H67" s="3">
        <f>+ConstantDollars!H67*1000/Enrollment!G$12</f>
        <v>8744.5977347986627</v>
      </c>
      <c r="I67" s="3">
        <f>+ConstantDollars!I67*1000/Enrollment!H$12</f>
        <v>9053.0024944262059</v>
      </c>
      <c r="J67" s="3">
        <f>+ConstantDollars!J67*1000/Enrollment!I$12</f>
        <v>9602.0587368024717</v>
      </c>
      <c r="K67" s="3">
        <f>+ConstantDollars!K67*1000/Enrollment!J$12</f>
        <v>9797.0496809080578</v>
      </c>
      <c r="L67" s="3">
        <f>+ConstantDollars!L67*1000/Enrollment!K$12</f>
        <v>9314.4877665638633</v>
      </c>
      <c r="M67" s="3">
        <f>+ConstantDollars!M67*1000/Enrollment!L$12</f>
        <v>9046.8008025735926</v>
      </c>
      <c r="N67" s="3">
        <f>+ConstantDollars!N67*1000/Enrollment!M$12</f>
        <v>8888.5270699994126</v>
      </c>
      <c r="O67" s="3">
        <f>+ConstantDollars!O67*1000/Enrollment!N$12</f>
        <v>8736.3746901370305</v>
      </c>
      <c r="P67" s="3">
        <f>+ConstantDollars!P67*1000/Enrollment!O$12</f>
        <v>7987.6690364184287</v>
      </c>
      <c r="Q67" s="3">
        <f>+ConstantDollars!Q67*1000/Enrollment!P$12</f>
        <v>7252.3060027831652</v>
      </c>
      <c r="R67" s="3">
        <f>+ConstantDollars!R67*1000/Enrollment!Q$12</f>
        <v>7274.677911290918</v>
      </c>
      <c r="S67" s="3">
        <f>+ConstantDollars!S67*1000/Enrollment!R$12</f>
        <v>7295.5153627996815</v>
      </c>
      <c r="T67" s="3">
        <f>+ConstantDollars!T67*1000/Enrollment!S$12</f>
        <v>7327.3788796543968</v>
      </c>
      <c r="U67" s="3">
        <f>+ConstantDollars!U67*1000/Enrollment!T$12</f>
        <v>7442.1467276909571</v>
      </c>
      <c r="V67" s="3">
        <f>+ConstantDollars!V67*1000/Enrollment!U$12</f>
        <v>6764.5368953063598</v>
      </c>
      <c r="W67" s="3">
        <f>+ConstantDollars!W67*1000/Enrollment!V$12</f>
        <v>4966.9073600230122</v>
      </c>
      <c r="X67" s="3">
        <f>+ConstantDollars!X67*1000/Enrollment!W$12</f>
        <v>4859.0551274018198</v>
      </c>
      <c r="Y67" s="3">
        <f>+ConstantDollars!Y67*1000/Enrollment!X$12</f>
        <v>3445.2973969640502</v>
      </c>
      <c r="Z67" s="3">
        <f>+ConstantDollars!Z67*1000/Enrollment!Y$12</f>
        <v>3248.8449516052965</v>
      </c>
      <c r="AA67" s="3">
        <f>+ConstantDollars!AA67*1000/Enrollment!Z$12</f>
        <v>3878.170476788438</v>
      </c>
      <c r="AB67" s="3">
        <f>+ConstantDollars!AB67*1000/Enrollment!AA$12</f>
        <v>3808.1411281731625</v>
      </c>
      <c r="AC67" s="3">
        <f>+ConstantDollars!AC67*1000/Enrollment!AB$12</f>
        <v>4653.0859609159443</v>
      </c>
      <c r="AD67" s="3">
        <f>+ConstantDollars!AD67*1000/Enrollment!AC$12</f>
        <v>5787.1853711337926</v>
      </c>
      <c r="AE67" s="3">
        <f>+ConstantDollars!AE67*1000/Enrollment!AD$12</f>
        <v>5715.8520359064969</v>
      </c>
      <c r="AF67" s="3">
        <f>+ConstantDollars!AF67*1000/Enrollment!AE$12</f>
        <v>6003.4617756479229</v>
      </c>
      <c r="AG67" s="3">
        <f>+ConstantDollars!AG67*1000/Enrollment!AF$12</f>
        <v>6819.7751579405294</v>
      </c>
      <c r="AH67" s="3">
        <f>+ConstantDollars!AH67*1000/Enrollment!AG$12</f>
        <v>7922.4496272314145</v>
      </c>
      <c r="AI67" s="3">
        <f>+ConstantDollars!AI67*1000/Enrollment!AH$12</f>
        <v>8783.8900062801076</v>
      </c>
      <c r="AJ67" s="3">
        <f>+ConstantDollars!AJ67*1000/Enrollment!AI$12</f>
        <v>9594.6223313892733</v>
      </c>
      <c r="AK67" s="3">
        <f>+ConstantDollars!AK67*1000/Enrollment!AJ$12</f>
        <v>10238.30581358468</v>
      </c>
    </row>
    <row r="68" spans="2:37">
      <c r="B68" s="1" t="str">
        <f>+$B$11</f>
        <v>Central Washington University</v>
      </c>
      <c r="C68" s="3">
        <f>+ConstantDollars!C68*1000/Enrollment!B$13</f>
        <v>9789.7391014306395</v>
      </c>
      <c r="D68" s="3">
        <f>+ConstantDollars!D68*1000/Enrollment!C$13</f>
        <v>10378.718251580331</v>
      </c>
      <c r="E68" s="3">
        <f>+ConstantDollars!E68*1000/Enrollment!D$13</f>
        <v>9876.8797075507664</v>
      </c>
      <c r="F68" s="3">
        <f>+ConstantDollars!F68*1000/Enrollment!E$13</f>
        <v>10183.11109130777</v>
      </c>
      <c r="G68" s="3">
        <f>+ConstantDollars!G68*1000/Enrollment!F$13</f>
        <v>8098.833176769479</v>
      </c>
      <c r="H68" s="3">
        <f>+ConstantDollars!H68*1000/Enrollment!G$13</f>
        <v>8032.8030355676919</v>
      </c>
      <c r="I68" s="3">
        <f>+ConstantDollars!I68*1000/Enrollment!H$13</f>
        <v>8175.019655007115</v>
      </c>
      <c r="J68" s="3">
        <f>+ConstantDollars!J68*1000/Enrollment!I$13</f>
        <v>8521.9424585862816</v>
      </c>
      <c r="K68" s="3">
        <f>+ConstantDollars!K68*1000/Enrollment!J$13</f>
        <v>8604.4637498072934</v>
      </c>
      <c r="L68" s="3">
        <f>+ConstantDollars!L68*1000/Enrollment!K$13</f>
        <v>8963.7171452050934</v>
      </c>
      <c r="M68" s="3">
        <f>+ConstantDollars!M68*1000/Enrollment!L$13</f>
        <v>9452.2952385886056</v>
      </c>
      <c r="N68" s="3">
        <f>+ConstantDollars!N68*1000/Enrollment!M$13</f>
        <v>9935.879746098577</v>
      </c>
      <c r="O68" s="3">
        <f>+ConstantDollars!O68*1000/Enrollment!N$13</f>
        <v>9284.7075350854011</v>
      </c>
      <c r="P68" s="3">
        <f>+ConstantDollars!P68*1000/Enrollment!O$13</f>
        <v>8122.503629087596</v>
      </c>
      <c r="Q68" s="3">
        <f>+ConstantDollars!Q68*1000/Enrollment!P$13</f>
        <v>7307.9175197443774</v>
      </c>
      <c r="R68" s="3">
        <f>+ConstantDollars!R68*1000/Enrollment!Q$13</f>
        <v>7382.6643635924856</v>
      </c>
      <c r="S68" s="3">
        <f>+ConstantDollars!S68*1000/Enrollment!R$13</f>
        <v>7360.6047167694951</v>
      </c>
      <c r="T68" s="3">
        <f>+ConstantDollars!T68*1000/Enrollment!S$13</f>
        <v>7281.1629509846534</v>
      </c>
      <c r="U68" s="3">
        <f>+ConstantDollars!U68*1000/Enrollment!T$13</f>
        <v>7403.1183210870558</v>
      </c>
      <c r="V68" s="3">
        <f>+ConstantDollars!V68*1000/Enrollment!U$13</f>
        <v>6842.3626574930086</v>
      </c>
      <c r="W68" s="3">
        <f>+ConstantDollars!W68*1000/Enrollment!V$13</f>
        <v>4253.1427739849887</v>
      </c>
      <c r="X68" s="3">
        <f>+ConstantDollars!X68*1000/Enrollment!W$13</f>
        <v>4385.6371398158108</v>
      </c>
      <c r="Y68" s="3">
        <f>+ConstantDollars!Y68*1000/Enrollment!X$13</f>
        <v>3160.6865957187274</v>
      </c>
      <c r="Z68" s="3">
        <f>+ConstantDollars!Z68*1000/Enrollment!Y$13</f>
        <v>2993.2725652296222</v>
      </c>
      <c r="AA68" s="3">
        <f>+ConstantDollars!AA68*1000/Enrollment!Z$13</f>
        <v>4047.2896988136831</v>
      </c>
      <c r="AB68" s="3">
        <f>+ConstantDollars!AB68*1000/Enrollment!AA$13</f>
        <v>4036.3103431195509</v>
      </c>
      <c r="AC68" s="3">
        <f>+ConstantDollars!AC68*1000/Enrollment!AB$13</f>
        <v>4918.0526515092433</v>
      </c>
      <c r="AD68" s="3">
        <f>+ConstantDollars!AD68*1000/Enrollment!AC$13</f>
        <v>6049.5400956818448</v>
      </c>
      <c r="AE68" s="3">
        <f>+ConstantDollars!AE68*1000/Enrollment!AD$13</f>
        <v>5871.1919618094516</v>
      </c>
      <c r="AF68" s="3">
        <f>+ConstantDollars!AF68*1000/Enrollment!AE$13</f>
        <v>6231.5560078418221</v>
      </c>
      <c r="AG68" s="3">
        <f>+ConstantDollars!AG68*1000/Enrollment!AF$13</f>
        <v>5913.1489298001279</v>
      </c>
      <c r="AH68" s="3">
        <f>+ConstantDollars!AH68*1000/Enrollment!AG$13</f>
        <v>6693.8338010572334</v>
      </c>
      <c r="AI68" s="3">
        <f>+ConstantDollars!AI68*1000/Enrollment!AH$13</f>
        <v>7456.4217119097893</v>
      </c>
      <c r="AJ68" s="3">
        <f>+ConstantDollars!AJ68*1000/Enrollment!AI$13</f>
        <v>8346.0803326840905</v>
      </c>
      <c r="AK68" s="3">
        <f>+ConstantDollars!AK68*1000/Enrollment!AJ$13</f>
        <v>8911.2803566291495</v>
      </c>
    </row>
    <row r="69" spans="2:37">
      <c r="B69" s="1" t="str">
        <f>+$B$12</f>
        <v>The Evergreen State College</v>
      </c>
      <c r="C69" s="3">
        <f>+ConstantDollars!C69*1000/Enrollment!B$14</f>
        <v>12503.926974564927</v>
      </c>
      <c r="D69" s="3">
        <f>+ConstantDollars!D69*1000/Enrollment!C$14</f>
        <v>13385.771766080003</v>
      </c>
      <c r="E69" s="3">
        <f>+ConstantDollars!E69*1000/Enrollment!D$14</f>
        <v>11321.062188605636</v>
      </c>
      <c r="F69" s="3">
        <f>+ConstantDollars!F69*1000/Enrollment!E$14</f>
        <v>12890.248300639101</v>
      </c>
      <c r="G69" s="3">
        <f>+ConstantDollars!G69*1000/Enrollment!F$14</f>
        <v>10110.516861133816</v>
      </c>
      <c r="H69" s="3">
        <f>+ConstantDollars!H69*1000/Enrollment!G$14</f>
        <v>10350.582631450849</v>
      </c>
      <c r="I69" s="3">
        <f>+ConstantDollars!I69*1000/Enrollment!H$14</f>
        <v>9728.2930289421129</v>
      </c>
      <c r="J69" s="3">
        <f>+ConstantDollars!J69*1000/Enrollment!I$14</f>
        <v>9729.3235188066737</v>
      </c>
      <c r="K69" s="3">
        <f>+ConstantDollars!K69*1000/Enrollment!J$14</f>
        <v>9490.9095483510027</v>
      </c>
      <c r="L69" s="3">
        <f>+ConstantDollars!L69*1000/Enrollment!K$14</f>
        <v>9185.4901197057698</v>
      </c>
      <c r="M69" s="3">
        <f>+ConstantDollars!M69*1000/Enrollment!L$14</f>
        <v>10139.839520422902</v>
      </c>
      <c r="N69" s="3">
        <f>+ConstantDollars!N69*1000/Enrollment!M$14</f>
        <v>10730.663684589921</v>
      </c>
      <c r="O69" s="3">
        <f>+ConstantDollars!O69*1000/Enrollment!N$14</f>
        <v>10229.246402095288</v>
      </c>
      <c r="P69" s="3">
        <f>+ConstantDollars!P69*1000/Enrollment!O$14</f>
        <v>9503.5765832336238</v>
      </c>
      <c r="Q69" s="3">
        <f>+ConstantDollars!Q69*1000/Enrollment!P$14</f>
        <v>8737.9504266534914</v>
      </c>
      <c r="R69" s="3">
        <f>+ConstantDollars!R69*1000/Enrollment!Q$14</f>
        <v>8928.0857037795377</v>
      </c>
      <c r="S69" s="3">
        <f>+ConstantDollars!S69*1000/Enrollment!R$14</f>
        <v>9084.1409023507167</v>
      </c>
      <c r="T69" s="3">
        <f>+ConstantDollars!T69*1000/Enrollment!S$14</f>
        <v>9327.6529915450883</v>
      </c>
      <c r="U69" s="3">
        <f>+ConstantDollars!U69*1000/Enrollment!T$14</f>
        <v>9660.2135459009914</v>
      </c>
      <c r="V69" s="3">
        <f>+ConstantDollars!V69*1000/Enrollment!U$14</f>
        <v>8588.824602245857</v>
      </c>
      <c r="W69" s="3">
        <f>+ConstantDollars!W69*1000/Enrollment!V$14</f>
        <v>6062.2058653344347</v>
      </c>
      <c r="X69" s="3">
        <f>+ConstantDollars!X69*1000/Enrollment!W$14</f>
        <v>5185.0249087996026</v>
      </c>
      <c r="Y69" s="3">
        <f>+ConstantDollars!Y69*1000/Enrollment!X$14</f>
        <v>4465.1892353198491</v>
      </c>
      <c r="Z69" s="3">
        <f>+ConstantDollars!Z69*1000/Enrollment!Y$14</f>
        <v>4466.41200013466</v>
      </c>
      <c r="AA69" s="3">
        <f>+ConstantDollars!AA69*1000/Enrollment!Z$14</f>
        <v>5600.7317254146292</v>
      </c>
      <c r="AB69" s="3">
        <f>+ConstantDollars!AB69*1000/Enrollment!AA$14</f>
        <v>5399.5189395268935</v>
      </c>
      <c r="AC69" s="3">
        <f>+ConstantDollars!AC69*1000/Enrollment!AB$14</f>
        <v>6980.8439209577946</v>
      </c>
      <c r="AD69" s="3">
        <f>+ConstantDollars!AD69*1000/Enrollment!AC$14</f>
        <v>8079.6175107962881</v>
      </c>
      <c r="AE69" s="3">
        <f>+ConstantDollars!AE69*1000/Enrollment!AD$14</f>
        <v>8861.4236066807516</v>
      </c>
      <c r="AF69" s="3">
        <f>+ConstantDollars!AF69*1000/Enrollment!AE$14</f>
        <v>10761.298607370563</v>
      </c>
      <c r="AG69" s="3">
        <f>+ConstantDollars!AG69*1000/Enrollment!AF$14</f>
        <v>14139.221253997919</v>
      </c>
      <c r="AH69" s="3">
        <f>+ConstantDollars!AH69*1000/Enrollment!AG$14</f>
        <v>19976.325715083163</v>
      </c>
      <c r="AI69" s="3">
        <f>+ConstantDollars!AI69*1000/Enrollment!AH$14</f>
        <v>19798.750852446177</v>
      </c>
      <c r="AJ69" s="3">
        <f>+ConstantDollars!AJ69*1000/Enrollment!AI$14</f>
        <v>20476.690225484333</v>
      </c>
      <c r="AK69" s="3">
        <f>+ConstantDollars!AK69*1000/Enrollment!AJ$14</f>
        <v>17548.774962018684</v>
      </c>
    </row>
    <row r="70" spans="2:37">
      <c r="B70" s="1" t="str">
        <f>+$B$13</f>
        <v>Western Washington University</v>
      </c>
      <c r="C70" s="3">
        <f>+ConstantDollars!C70*1000/Enrollment!B$15</f>
        <v>9396.4328711932685</v>
      </c>
      <c r="D70" s="3">
        <f>+ConstantDollars!D70*1000/Enrollment!C$15</f>
        <v>9876.8951685256197</v>
      </c>
      <c r="E70" s="3">
        <f>+ConstantDollars!E70*1000/Enrollment!D$15</f>
        <v>9150.0577033611407</v>
      </c>
      <c r="F70" s="3">
        <f>+ConstantDollars!F70*1000/Enrollment!E$15</f>
        <v>9036.3278636828945</v>
      </c>
      <c r="G70" s="3">
        <f>+ConstantDollars!G70*1000/Enrollment!F$15</f>
        <v>8262.4650202056619</v>
      </c>
      <c r="H70" s="3">
        <f>+ConstantDollars!H70*1000/Enrollment!G$15</f>
        <v>7567.6480533850699</v>
      </c>
      <c r="I70" s="3">
        <f>+ConstantDollars!I70*1000/Enrollment!H$15</f>
        <v>7847.572863026684</v>
      </c>
      <c r="J70" s="3">
        <f>+ConstantDollars!J70*1000/Enrollment!I$15</f>
        <v>7909.4434220319472</v>
      </c>
      <c r="K70" s="3">
        <f>+ConstantDollars!K70*1000/Enrollment!J$15</f>
        <v>7961.9623473094525</v>
      </c>
      <c r="L70" s="3">
        <f>+ConstantDollars!L70*1000/Enrollment!K$15</f>
        <v>7903.7081310813519</v>
      </c>
      <c r="M70" s="3">
        <f>+ConstantDollars!M70*1000/Enrollment!L$15</f>
        <v>8246.4704948234685</v>
      </c>
      <c r="N70" s="3">
        <f>+ConstantDollars!N70*1000/Enrollment!M$15</f>
        <v>8317.1578950861422</v>
      </c>
      <c r="O70" s="3">
        <f>+ConstantDollars!O70*1000/Enrollment!N$15</f>
        <v>8571.8188728399145</v>
      </c>
      <c r="P70" s="3">
        <f>+ConstantDollars!P70*1000/Enrollment!O$15</f>
        <v>8064.0760552454749</v>
      </c>
      <c r="Q70" s="3">
        <f>+ConstantDollars!Q70*1000/Enrollment!P$15</f>
        <v>7357.7394287393463</v>
      </c>
      <c r="R70" s="3">
        <f>+ConstantDollars!R70*1000/Enrollment!Q$15</f>
        <v>7353.0763171245553</v>
      </c>
      <c r="S70" s="3">
        <f>+ConstantDollars!S70*1000/Enrollment!R$15</f>
        <v>7339.2191483621709</v>
      </c>
      <c r="T70" s="3">
        <f>+ConstantDollars!T70*1000/Enrollment!S$15</f>
        <v>7436.6014899699412</v>
      </c>
      <c r="U70" s="3">
        <f>+ConstantDollars!U70*1000/Enrollment!T$15</f>
        <v>7624.8845678777725</v>
      </c>
      <c r="V70" s="3">
        <f>+ConstantDollars!V70*1000/Enrollment!U$15</f>
        <v>7128.9115398456915</v>
      </c>
      <c r="W70" s="3">
        <f>+ConstantDollars!W70*1000/Enrollment!V$15</f>
        <v>4697.4506259820964</v>
      </c>
      <c r="X70" s="3">
        <f>+ConstantDollars!X70*1000/Enrollment!W$15</f>
        <v>4887.4332508765656</v>
      </c>
      <c r="Y70" s="3">
        <f>+ConstantDollars!Y70*1000/Enrollment!X$15</f>
        <v>3471.8035127376033</v>
      </c>
      <c r="Z70" s="3">
        <f>+ConstantDollars!Z70*1000/Enrollment!Y$15</f>
        <v>3359.5681618789486</v>
      </c>
      <c r="AA70" s="3">
        <f>+ConstantDollars!AA70*1000/Enrollment!Z$15</f>
        <v>3972.1265972183969</v>
      </c>
      <c r="AB70" s="3">
        <f>+ConstantDollars!AB70*1000/Enrollment!AA$15</f>
        <v>4287.2993560176656</v>
      </c>
      <c r="AC70" s="3">
        <f>+ConstantDollars!AC70*1000/Enrollment!AB$15</f>
        <v>5263.8586305696472</v>
      </c>
      <c r="AD70" s="3">
        <f>+ConstantDollars!AD70*1000/Enrollment!AC$15</f>
        <v>6462.8800861019427</v>
      </c>
      <c r="AE70" s="3">
        <f>+ConstantDollars!AE70*1000/Enrollment!AD$15</f>
        <v>6448.2269247557815</v>
      </c>
      <c r="AF70" s="3">
        <f>+ConstantDollars!AF70*1000/Enrollment!AE$15</f>
        <v>6659.2824654400238</v>
      </c>
      <c r="AG70" s="3">
        <f>+ConstantDollars!AG70*1000/Enrollment!AF$15</f>
        <v>7035.7192835440592</v>
      </c>
      <c r="AH70" s="3">
        <f>+ConstantDollars!AH70*1000/Enrollment!AG$15</f>
        <v>7637.1329090188474</v>
      </c>
      <c r="AI70" s="3">
        <f>+ConstantDollars!AI70*1000/Enrollment!AH$15</f>
        <v>7578.6762933951795</v>
      </c>
      <c r="AJ70" s="3">
        <f>+ConstantDollars!AJ70*1000/Enrollment!AI$15</f>
        <v>7935.8102507162648</v>
      </c>
      <c r="AK70" s="3">
        <f>+ConstantDollars!AK70*1000/Enrollment!AJ$15</f>
        <v>8188.1449266657664</v>
      </c>
    </row>
    <row r="71" spans="2:37">
      <c r="B71" s="199" t="str">
        <f>+$B$14</f>
        <v>Total Four-Year Institutions</v>
      </c>
      <c r="C71" s="42">
        <f>+ConstantDollars!C71*1000/Enrollment!B$16</f>
        <v>14524.899148083014</v>
      </c>
      <c r="D71" s="42">
        <f>+ConstantDollars!D71*1000/Enrollment!C$16</f>
        <v>15158.424734298969</v>
      </c>
      <c r="E71" s="42">
        <f>+ConstantDollars!E71*1000/Enrollment!D$16</f>
        <v>14391.34435671708</v>
      </c>
      <c r="F71" s="42">
        <f>+ConstantDollars!F71*1000/Enrollment!E$16</f>
        <v>14522.799423258184</v>
      </c>
      <c r="G71" s="42">
        <f>+ConstantDollars!G71*1000/Enrollment!F$16</f>
        <v>12904.196220101732</v>
      </c>
      <c r="H71" s="42">
        <f>+ConstantDollars!H71*1000/Enrollment!G$16</f>
        <v>12199.508089410878</v>
      </c>
      <c r="I71" s="42">
        <f>+ConstantDollars!I71*1000/Enrollment!H$16</f>
        <v>12378.819625444661</v>
      </c>
      <c r="J71" s="42">
        <f>+ConstantDollars!J71*1000/Enrollment!I$16</f>
        <v>12467.376671979424</v>
      </c>
      <c r="K71" s="42">
        <f>+ConstantDollars!K71*1000/Enrollment!J$16</f>
        <v>12858.868276183599</v>
      </c>
      <c r="L71" s="42">
        <f>+ConstantDollars!L71*1000/Enrollment!K$16</f>
        <v>12826.411518403767</v>
      </c>
      <c r="M71" s="42">
        <f>+ConstantDollars!M71*1000/Enrollment!L$16</f>
        <v>13339.2259159143</v>
      </c>
      <c r="N71" s="42">
        <f>+ConstantDollars!N71*1000/Enrollment!M$16</f>
        <v>13552.245053753519</v>
      </c>
      <c r="O71" s="42">
        <f>+ConstantDollars!O71*1000/Enrollment!N$16</f>
        <v>13239.104146742167</v>
      </c>
      <c r="P71" s="42">
        <f>+ConstantDollars!P71*1000/Enrollment!O$16</f>
        <v>12302.424406827504</v>
      </c>
      <c r="Q71" s="42">
        <f>+ConstantDollars!Q71*1000/Enrollment!P$16</f>
        <v>11344.128204894721</v>
      </c>
      <c r="R71" s="42">
        <f>+ConstantDollars!R71*1000/Enrollment!Q$16</f>
        <v>11425.659551778086</v>
      </c>
      <c r="S71" s="42">
        <f>+ConstantDollars!S71*1000/Enrollment!R$16</f>
        <v>11509.431373762282</v>
      </c>
      <c r="T71" s="42">
        <f>+ConstantDollars!T71*1000/Enrollment!S$16</f>
        <v>11579.221325478366</v>
      </c>
      <c r="U71" s="42">
        <f>+ConstantDollars!U71*1000/Enrollment!T$16</f>
        <v>11743.323602998897</v>
      </c>
      <c r="V71" s="42">
        <f>+ConstantDollars!V71*1000/Enrollment!U$16</f>
        <v>10689.545358489724</v>
      </c>
      <c r="W71" s="42">
        <f>+ConstantDollars!W71*1000/Enrollment!V$16</f>
        <v>7621.4371844252291</v>
      </c>
      <c r="X71" s="42">
        <f>+ConstantDollars!X71*1000/Enrollment!W$16</f>
        <v>7259.8767948228005</v>
      </c>
      <c r="Y71" s="42">
        <f>+ConstantDollars!Y71*1000/Enrollment!X$16</f>
        <v>5402.6264344430501</v>
      </c>
      <c r="Z71" s="42">
        <f>+ConstantDollars!Z71*1000/Enrollment!Y$16</f>
        <v>5259.2499561289796</v>
      </c>
      <c r="AA71" s="42">
        <f>+ConstantDollars!AA71*1000/Enrollment!Z$16</f>
        <v>6236.334654406126</v>
      </c>
      <c r="AB71" s="42">
        <f>+ConstantDollars!AB71*1000/Enrollment!AA$16</f>
        <v>5952.4797390535996</v>
      </c>
      <c r="AC71" s="42">
        <f>+ConstantDollars!AC71*1000/Enrollment!AB$16</f>
        <v>6962.3952947435746</v>
      </c>
      <c r="AD71" s="42">
        <f>+ConstantDollars!AD71*1000/Enrollment!AC$16</f>
        <v>7894.7298431267691</v>
      </c>
      <c r="AE71" s="42">
        <f>+ConstantDollars!AE71*1000/Enrollment!AD$16</f>
        <v>7544.529059651838</v>
      </c>
      <c r="AF71" s="42">
        <f>+ConstantDollars!AF71*1000/Enrollment!AE$16</f>
        <v>7766.1727784326013</v>
      </c>
      <c r="AG71" s="42">
        <f>+ConstantDollars!AG71*1000/Enrollment!AF$16</f>
        <v>8075.4389212664619</v>
      </c>
      <c r="AH71" s="42">
        <f>+ConstantDollars!AH71*1000/Enrollment!AG$16</f>
        <v>8557.3021473503577</v>
      </c>
      <c r="AI71" s="42">
        <f>+ConstantDollars!AI71*1000/Enrollment!AH$16</f>
        <v>9079.9534271793636</v>
      </c>
      <c r="AJ71" s="42">
        <f>+ConstantDollars!AJ71*1000/Enrollment!AI$16</f>
        <v>9654.0097041120007</v>
      </c>
      <c r="AK71" s="42">
        <f>+ConstantDollars!AK71*1000/Enrollment!AJ$16</f>
        <v>10353.553548446866</v>
      </c>
    </row>
    <row r="72" spans="2:3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2:37">
      <c r="B73" s="1" t="str">
        <f>+$B$16</f>
        <v>Community/Technical College System</v>
      </c>
      <c r="C73" s="3">
        <f>+ConstantDollars!C73*1000/Enrollment!B$18</f>
        <v>6317.5152555821733</v>
      </c>
      <c r="D73" s="3">
        <f>+ConstantDollars!D73*1000/Enrollment!C$18</f>
        <v>6591.9655522382063</v>
      </c>
      <c r="E73" s="3">
        <f>+ConstantDollars!E73*1000/Enrollment!D$18</f>
        <v>6287.7408229854791</v>
      </c>
      <c r="F73" s="3">
        <f>+ConstantDollars!F73*1000/Enrollment!E$18</f>
        <v>6349.9322129637276</v>
      </c>
      <c r="G73" s="3">
        <f>+ConstantDollars!G73*1000/Enrollment!F$18</f>
        <v>5622.1018916306493</v>
      </c>
      <c r="H73" s="3">
        <f>+ConstantDollars!H73*1000/Enrollment!G$18</f>
        <v>5741.3425590128081</v>
      </c>
      <c r="I73" s="3">
        <f>+ConstantDollars!I73*1000/Enrollment!H$18</f>
        <v>5229.6721091931349</v>
      </c>
      <c r="J73" s="3">
        <f>+ConstantDollars!J73*1000/Enrollment!I$18</f>
        <v>5309.9039660497274</v>
      </c>
      <c r="K73" s="3">
        <f>+ConstantDollars!K73*1000/Enrollment!J$18</f>
        <v>5565.299929689394</v>
      </c>
      <c r="L73" s="3">
        <f>+ConstantDollars!L73*1000/Enrollment!K$18</f>
        <v>5926.2668460845089</v>
      </c>
      <c r="M73" s="3">
        <f>+ConstantDollars!M73*1000/Enrollment!L$18</f>
        <v>6094.2660059103691</v>
      </c>
      <c r="N73" s="3">
        <f>+ConstantDollars!N73*1000/Enrollment!M$18</f>
        <v>6291.4658313560822</v>
      </c>
      <c r="O73" s="3">
        <f>+ConstantDollars!O73*1000/Enrollment!N$18</f>
        <v>6202.9264828563455</v>
      </c>
      <c r="P73" s="3">
        <f>+ConstantDollars!P73*1000/Enrollment!O$18</f>
        <v>6049.4376680832529</v>
      </c>
      <c r="Q73" s="3">
        <f>+ConstantDollars!Q73*1000/Enrollment!P$18</f>
        <v>5708.0032747001451</v>
      </c>
      <c r="R73" s="3">
        <f>+ConstantDollars!R73*1000/Enrollment!Q$18</f>
        <v>6017.2418338896441</v>
      </c>
      <c r="S73" s="3">
        <f>+ConstantDollars!S73*1000/Enrollment!R$18</f>
        <v>6239.5440155236793</v>
      </c>
      <c r="T73" s="3">
        <f>+ConstantDollars!T73*1000/Enrollment!S$18</f>
        <v>6309.9610518049813</v>
      </c>
      <c r="U73" s="3">
        <f>+ConstantDollars!U73*1000/Enrollment!T$18</f>
        <v>6250.1148403598127</v>
      </c>
      <c r="V73" s="3">
        <f>+ConstantDollars!V73*1000/Enrollment!U$18</f>
        <v>5847.0252674903959</v>
      </c>
      <c r="W73" s="3">
        <f>+ConstantDollars!W73*1000/Enrollment!V$18</f>
        <v>5334.1327873068831</v>
      </c>
      <c r="X73" s="3">
        <f>+ConstantDollars!X73*1000/Enrollment!W$18</f>
        <v>4956.7976454884101</v>
      </c>
      <c r="Y73" s="3">
        <f>+ConstantDollars!Y73*1000/Enrollment!X$18</f>
        <v>4510.6163101522006</v>
      </c>
      <c r="Z73" s="3">
        <f>+ConstantDollars!Z73*1000/Enrollment!Y$18</f>
        <v>4486.3807651985435</v>
      </c>
      <c r="AA73" s="3">
        <f>+ConstantDollars!AA73*1000/Enrollment!Z$18</f>
        <v>5024.5113188677997</v>
      </c>
      <c r="AB73" s="3">
        <f>+ConstantDollars!AB73*1000/Enrollment!AA$18</f>
        <v>5075.0414058106671</v>
      </c>
      <c r="AC73" s="3">
        <f>+ConstantDollars!AC73*1000/Enrollment!AB$18</f>
        <v>5747.4520004723945</v>
      </c>
      <c r="AD73" s="3">
        <f>+ConstantDollars!AD73*1000/Enrollment!AC$18</f>
        <v>6263.8269734589494</v>
      </c>
      <c r="AE73" s="3">
        <f>+ConstantDollars!AE73*1000/Enrollment!AD$18</f>
        <v>5912.2067945907447</v>
      </c>
      <c r="AF73" s="3">
        <f>+ConstantDollars!AF73*1000/Enrollment!AE$18</f>
        <v>6104.0125715865342</v>
      </c>
      <c r="AG73" s="3">
        <f>+ConstantDollars!AG73*1000/Enrollment!AF$18</f>
        <v>6741.1541882047468</v>
      </c>
      <c r="AH73" s="3">
        <f>+ConstantDollars!AH73*1000/Enrollment!AG$18</f>
        <v>7709.9656929711018</v>
      </c>
      <c r="AI73" s="3">
        <f>+ConstantDollars!AI73*1000/Enrollment!AH$18</f>
        <v>7600.8456699595608</v>
      </c>
      <c r="AJ73" s="3">
        <f>+ConstantDollars!AJ73*1000/Enrollment!AI$18</f>
        <v>8129.8172425066841</v>
      </c>
      <c r="AK73" s="3">
        <f>+ConstantDollars!AK73*1000/Enrollment!AJ$18</f>
        <v>9010.0391911149145</v>
      </c>
    </row>
    <row r="74" spans="2:37">
      <c r="B74" s="1" t="str">
        <f>+$B$17</f>
        <v>HEC Board, CHE, SFA, &amp; SAC (1)</v>
      </c>
      <c r="C74" s="3">
        <f>+ConstantDollars!C74*1000/Enrollment!B$21</f>
        <v>363.1272240391516</v>
      </c>
      <c r="D74" s="3">
        <f>+ConstantDollars!D74*1000/Enrollment!C$21</f>
        <v>393.52638177483487</v>
      </c>
      <c r="E74" s="3">
        <f>+ConstantDollars!E74*1000/Enrollment!D$21</f>
        <v>428.98059790798629</v>
      </c>
      <c r="F74" s="3">
        <f>+ConstantDollars!F74*1000/Enrollment!E$21</f>
        <v>415.29223287100751</v>
      </c>
      <c r="G74" s="3">
        <f>+ConstantDollars!G74*1000/Enrollment!F$21</f>
        <v>631.15251139780912</v>
      </c>
      <c r="H74" s="3">
        <f>+ConstantDollars!H74*1000/Enrollment!G$21</f>
        <v>663.62420573599934</v>
      </c>
      <c r="I74" s="3">
        <f>+ConstantDollars!I74*1000/Enrollment!H$21</f>
        <v>662.50607105002064</v>
      </c>
      <c r="J74" s="3">
        <f>+ConstantDollars!J74*1000/Enrollment!I$21</f>
        <v>689.02972173006071</v>
      </c>
      <c r="K74" s="3">
        <f>+ConstantDollars!K74*1000/Enrollment!J$21</f>
        <v>791.88599999985149</v>
      </c>
      <c r="L74" s="3">
        <f>+ConstantDollars!L74*1000/Enrollment!K$21</f>
        <v>841.31512260180284</v>
      </c>
      <c r="M74" s="3">
        <f>+ConstantDollars!M74*1000/Enrollment!L$21</f>
        <v>859.39325487880137</v>
      </c>
      <c r="N74" s="3">
        <f>+ConstantDollars!N74*1000/Enrollment!M$21</f>
        <v>955.19596085091962</v>
      </c>
      <c r="O74" s="3">
        <f>+ConstantDollars!O74*1000/Enrollment!N$21</f>
        <v>915.14830623999296</v>
      </c>
      <c r="P74" s="3">
        <f>+ConstantDollars!P74*1000/Enrollment!O$21</f>
        <v>953.59611315973802</v>
      </c>
      <c r="Q74" s="3">
        <f>+ConstantDollars!Q74*1000/Enrollment!P$21</f>
        <v>999.9714369887314</v>
      </c>
      <c r="R74" s="3">
        <f>+ConstantDollars!R74*1000/Enrollment!Q$21</f>
        <v>1122.5446732908447</v>
      </c>
      <c r="S74" s="3">
        <f>+ConstantDollars!S74*1000/Enrollment!R$21</f>
        <v>1065.9863520766021</v>
      </c>
      <c r="T74" s="3">
        <f>+ConstantDollars!T74*1000/Enrollment!S$21</f>
        <v>1077.2749686264963</v>
      </c>
      <c r="U74" s="3">
        <f>+ConstantDollars!U74*1000/Enrollment!T$21</f>
        <v>1020.6302575104955</v>
      </c>
      <c r="V74" s="3">
        <f>+ConstantDollars!V74*1000/Enrollment!U$21</f>
        <v>1086.8391633326514</v>
      </c>
      <c r="W74" s="3">
        <f>+ConstantDollars!W74*1000/Enrollment!V$21</f>
        <v>1009.7277549327544</v>
      </c>
      <c r="X74" s="3">
        <f>+ConstantDollars!X74*1000/Enrollment!W$21</f>
        <v>943.67700489007996</v>
      </c>
      <c r="Y74" s="3">
        <f>+ConstantDollars!Y74*1000/Enrollment!X$21</f>
        <v>1104.177105604193</v>
      </c>
      <c r="Z74" s="3">
        <f>+ConstantDollars!Z74*1000/Enrollment!Y$21</f>
        <v>1101.5762168894041</v>
      </c>
      <c r="AA74" s="3">
        <f>+ConstantDollars!AA74*1000/Enrollment!Z$21</f>
        <v>1270.2670073442102</v>
      </c>
      <c r="AB74" s="3">
        <f>+ConstantDollars!AB74*1000/Enrollment!AA$21</f>
        <v>1297.4822965728231</v>
      </c>
      <c r="AC74" s="3">
        <f>+ConstantDollars!AC74*1000/Enrollment!AB$21</f>
        <v>1381.7144412508167</v>
      </c>
      <c r="AD74" s="3">
        <f>+ConstantDollars!AD74*1000/Enrollment!AC$21</f>
        <v>1222.1521230068181</v>
      </c>
      <c r="AE74" s="3">
        <f>+ConstantDollars!AE74*1000/Enrollment!AD$21</f>
        <v>1217.6807002368246</v>
      </c>
      <c r="AF74" s="3">
        <f>+ConstantDollars!AF74*1000/Enrollment!AE$21</f>
        <v>1342.6213804492775</v>
      </c>
      <c r="AG74" s="3">
        <f>+ConstantDollars!AG74*1000/Enrollment!AF$21</f>
        <v>1419.0065106675449</v>
      </c>
      <c r="AH74" s="3">
        <f>+ConstantDollars!AH74*1000/Enrollment!AG$21</f>
        <v>1601.9862731975231</v>
      </c>
      <c r="AI74" s="3">
        <f>+ConstantDollars!AI74*1000/Enrollment!AH$21</f>
        <v>1451.6056549078112</v>
      </c>
      <c r="AJ74" s="3">
        <f>+ConstantDollars!AJ74*1000/Enrollment!AI$21</f>
        <v>1228.0500133523362</v>
      </c>
      <c r="AK74" s="3">
        <f>+ConstantDollars!AK74*1000/Enrollment!AJ$21</f>
        <v>1552.5506252986656</v>
      </c>
    </row>
    <row r="75" spans="2:37" ht="13.5" thickBot="1"/>
    <row r="76" spans="2:37" ht="13.5" thickTop="1">
      <c r="B76" s="1" t="str">
        <f>+$B$19</f>
        <v>Total Higher Education</v>
      </c>
      <c r="C76" s="39">
        <f>+ConstantDollars!C76*1000/Enrollment!B$21</f>
        <v>10111.932023281532</v>
      </c>
      <c r="D76" s="39">
        <f>+ConstantDollars!D76*1000/Enrollment!C$21</f>
        <v>10576.902578279409</v>
      </c>
      <c r="E76" s="39">
        <f>+ConstantDollars!E76*1000/Enrollment!D$21</f>
        <v>10055.420879311814</v>
      </c>
      <c r="F76" s="39">
        <f>+ConstantDollars!F76*1000/Enrollment!E$21</f>
        <v>10115.73218543897</v>
      </c>
      <c r="G76" s="39">
        <f>+ConstantDollars!G76*1000/Enrollment!F$21</f>
        <v>9222.8515648606808</v>
      </c>
      <c r="H76" s="39">
        <f>+ConstantDollars!H76*1000/Enrollment!G$21</f>
        <v>9029.8090919254137</v>
      </c>
      <c r="I76" s="39">
        <f>+ConstantDollars!I76*1000/Enrollment!H$21</f>
        <v>8738.2437115765042</v>
      </c>
      <c r="J76" s="39">
        <f>+ConstantDollars!J76*1000/Enrollment!I$21</f>
        <v>8872.083562081245</v>
      </c>
      <c r="K76" s="39">
        <f>+ConstantDollars!K76*1000/Enrollment!J$21</f>
        <v>9318.4633631253928</v>
      </c>
      <c r="L76" s="39">
        <f>+ConstantDollars!L76*1000/Enrollment!K$21</f>
        <v>9550.5098699329283</v>
      </c>
      <c r="M76" s="39">
        <f>+ConstantDollars!M76*1000/Enrollment!L$21</f>
        <v>9838.2272776725131</v>
      </c>
      <c r="N76" s="39">
        <f>+ConstantDollars!N76*1000/Enrollment!M$21</f>
        <v>10139.447622872351</v>
      </c>
      <c r="O76" s="39">
        <f>+ConstantDollars!O76*1000/Enrollment!N$21</f>
        <v>9907.0745814388774</v>
      </c>
      <c r="P76" s="39">
        <f>+ConstantDollars!P76*1000/Enrollment!O$21</f>
        <v>9444.3725695906451</v>
      </c>
      <c r="Q76" s="39">
        <f>+ConstantDollars!Q76*1000/Enrollment!P$21</f>
        <v>8931.533082925569</v>
      </c>
      <c r="R76" s="39">
        <f>+ConstantDollars!R76*1000/Enrollment!Q$21</f>
        <v>9357.0127918998351</v>
      </c>
      <c r="S76" s="39">
        <f>+ConstantDollars!S76*1000/Enrollment!R$21</f>
        <v>9474.3401655421931</v>
      </c>
      <c r="T76" s="39">
        <f>+ConstantDollars!T76*1000/Enrollment!S$21</f>
        <v>9550.7747497348737</v>
      </c>
      <c r="U76" s="39">
        <f>+ConstantDollars!U76*1000/Enrollment!T$21</f>
        <v>9511.0816579212042</v>
      </c>
      <c r="V76" s="39">
        <f>+ConstantDollars!V76*1000/Enrollment!U$21</f>
        <v>8866.4540007498799</v>
      </c>
      <c r="W76" s="39">
        <f>+ConstantDollars!W76*1000/Enrollment!V$21</f>
        <v>7227.2380163381486</v>
      </c>
      <c r="X76" s="39">
        <f>+ConstantDollars!X76*1000/Enrollment!W$21</f>
        <v>6795.6644033658358</v>
      </c>
      <c r="Y76" s="39">
        <f>+ConstantDollars!Y76*1000/Enrollment!X$21</f>
        <v>5976.6537464600297</v>
      </c>
      <c r="Z76" s="39">
        <f>+ConstantDollars!Z76*1000/Enrollment!Y$21</f>
        <v>5909.5966612499678</v>
      </c>
      <c r="AA76" s="39">
        <f>+ConstantDollars!AA76*1000/Enrollment!Z$21</f>
        <v>6810.1565340685211</v>
      </c>
      <c r="AB76" s="39">
        <f>+ConstantDollars!AB76*1000/Enrollment!AA$21</f>
        <v>6756.4800698314766</v>
      </c>
      <c r="AC76" s="39">
        <f>+ConstantDollars!AC76*1000/Enrollment!AB$21</f>
        <v>7672.7469754139502</v>
      </c>
      <c r="AD76" s="39">
        <f>+ConstantDollars!AD76*1000/Enrollment!AC$21</f>
        <v>8234.4256944703757</v>
      </c>
      <c r="AE76" s="39">
        <f>+ConstantDollars!AE76*1000/Enrollment!AD$21</f>
        <v>7893.9989028472864</v>
      </c>
      <c r="AF76" s="39">
        <f>+ConstantDollars!AF76*1000/Enrollment!AE$21</f>
        <v>8242.7654423591684</v>
      </c>
      <c r="AG76" s="39">
        <f>+ConstantDollars!AG76*1000/Enrollment!AF$21</f>
        <v>8814.8288566842912</v>
      </c>
      <c r="AH76" s="39">
        <f>+ConstantDollars!AH76*1000/Enrollment!AG$21</f>
        <v>9743.2560996914108</v>
      </c>
      <c r="AI76" s="39">
        <f>+ConstantDollars!AI76*1000/Enrollment!AH$21</f>
        <v>9786.3977560652238</v>
      </c>
      <c r="AJ76" s="39">
        <f>+ConstantDollars!AJ76*1000/Enrollment!AI$21</f>
        <v>10105.810265634866</v>
      </c>
      <c r="AK76" s="39">
        <f>+ConstantDollars!AK76*1000/Enrollment!AJ$21</f>
        <v>11241.67608920053</v>
      </c>
    </row>
    <row r="77" spans="2:37">
      <c r="B77" s="199" t="str">
        <f>+$B$20</f>
        <v>[biennial annual average]</v>
      </c>
      <c r="D77" s="3">
        <f>AVERAGE(C76:D76)</f>
        <v>10344.417300780471</v>
      </c>
      <c r="E77" s="3"/>
      <c r="F77" s="3">
        <f>AVERAGE(E76:F76)</f>
        <v>10085.576532375391</v>
      </c>
      <c r="G77" s="3"/>
      <c r="H77" s="3">
        <f>AVERAGE(G76:H76)</f>
        <v>9126.3303283930472</v>
      </c>
      <c r="I77" s="3"/>
      <c r="J77" s="3">
        <f>AVERAGE(I76:J76)</f>
        <v>8805.1636368288746</v>
      </c>
      <c r="K77" s="3"/>
      <c r="L77" s="3">
        <f>AVERAGE(K76:L76)</f>
        <v>9434.4866165291605</v>
      </c>
      <c r="M77" s="3"/>
      <c r="N77" s="3">
        <f>AVERAGE(M76:N76)</f>
        <v>9988.8374502724328</v>
      </c>
      <c r="O77" s="3"/>
      <c r="P77" s="3">
        <f>AVERAGE(O76:P76)</f>
        <v>9675.7235755147613</v>
      </c>
      <c r="Q77" s="3"/>
      <c r="R77" s="3">
        <f>AVERAGE(Q76:R76)</f>
        <v>9144.2729374127011</v>
      </c>
      <c r="S77" s="3"/>
      <c r="T77" s="3">
        <f>AVERAGE(S76:T76)</f>
        <v>9512.5574576385334</v>
      </c>
      <c r="U77" s="3"/>
      <c r="V77" s="3">
        <f>AVERAGE(U76:V76)</f>
        <v>9188.767829335542</v>
      </c>
      <c r="X77" s="3">
        <f>AVERAGE(W76:X76)</f>
        <v>7011.4512098519917</v>
      </c>
      <c r="Y77" s="3"/>
      <c r="Z77" s="3">
        <f>AVERAGE(Y76:Z76)</f>
        <v>5943.1252038549992</v>
      </c>
      <c r="AA77" s="3"/>
      <c r="AB77" s="3">
        <f>AVERAGE(AA76:AB76)</f>
        <v>6783.3183019499993</v>
      </c>
      <c r="AC77" s="3"/>
      <c r="AD77" s="3">
        <f>AVERAGE(AC76:AD76)</f>
        <v>7953.5863349421634</v>
      </c>
      <c r="AE77" s="3"/>
      <c r="AF77" s="3">
        <f>AVERAGE(AE76:AF76)</f>
        <v>8068.3821726032274</v>
      </c>
      <c r="AG77" s="3"/>
      <c r="AH77" s="3">
        <f>AVERAGE(AG76:AH76)</f>
        <v>9279.0424781878501</v>
      </c>
      <c r="AI77" s="3"/>
      <c r="AJ77" s="3">
        <f>AVERAGE(AI76:AJ76)</f>
        <v>9946.1040108500456</v>
      </c>
      <c r="AK77" s="3"/>
    </row>
    <row r="78" spans="2:37">
      <c r="D78" s="7"/>
      <c r="F78" s="7"/>
      <c r="H78" s="7"/>
      <c r="J78" s="7"/>
      <c r="L78" s="7"/>
      <c r="N78" s="7"/>
      <c r="P78" s="7"/>
      <c r="R78" s="7"/>
      <c r="T78" s="7"/>
      <c r="V78" s="7"/>
    </row>
    <row r="79" spans="2:37" ht="15.75" hidden="1">
      <c r="B79" s="376"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2:37" ht="13.5" hidden="1">
      <c r="B80" s="33" t="str">
        <f>+$B$4</f>
        <v>FY2024 Constant Dollar Expenditures per Actual State-Funded FTE Enrollment</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row>
    <row r="81" spans="2:37" hidden="1">
      <c r="I81" s="13"/>
      <c r="J81" s="13"/>
      <c r="K81" s="13"/>
      <c r="L81" s="13"/>
      <c r="M81" s="13"/>
      <c r="N81" s="13"/>
      <c r="O81" s="13"/>
      <c r="P81" s="13"/>
      <c r="Q81"/>
      <c r="R81" s="13"/>
      <c r="S81"/>
      <c r="T81"/>
      <c r="U81" s="2" t="str">
        <f>IF(ISBLANK(OperatingFunds!U81),"",OperatingFunds!U81)</f>
        <v/>
      </c>
      <c r="V81" s="2" t="str">
        <f>IF(ISBLANK(OperatingFunds!V81),"",OperatingFunds!V81)</f>
        <v/>
      </c>
      <c r="W81" s="2" t="str">
        <f>IF(ISBLANK(OperatingFunds!W81),"",OperatingFunds!W81)</f>
        <v/>
      </c>
      <c r="X81" s="2" t="str">
        <f>IF(ISBLANK(OperatingFunds!X81),"",OperatingFunds!X81)</f>
        <v/>
      </c>
      <c r="Y81" s="2" t="str">
        <f>IF(ISBLANK(OperatingFunds!Y81),"",OperatingFunds!Y81)</f>
        <v/>
      </c>
      <c r="Z81" s="2" t="str">
        <f>IF(ISBLANK(OperatingFunds!Z81),"",OperatingFunds!Z81)</f>
        <v/>
      </c>
      <c r="AA81" s="2" t="str">
        <f>IF(ISBLANK(OperatingFunds!AA81),"",OperatingFunds!AA81)</f>
        <v/>
      </c>
      <c r="AB81" s="2" t="str">
        <f>IF(ISBLANK(OperatingFunds!AB81),"",OperatingFunds!AB81)</f>
        <v/>
      </c>
      <c r="AC81" s="2" t="str">
        <f>IF(ISBLANK(OperatingFunds!AC81),"",OperatingFunds!AC81)</f>
        <v/>
      </c>
      <c r="AD81" s="2" t="str">
        <f>IF(ISBLANK(OperatingFunds!AD81),"",OperatingFunds!AD81)</f>
        <v/>
      </c>
      <c r="AE81" s="2" t="str">
        <f>IF(ISBLANK(OperatingFunds!AE81),"",OperatingFunds!AE81)</f>
        <v/>
      </c>
      <c r="AF81" s="2" t="str">
        <f>IF(ISBLANK(OperatingFunds!AF81),"",OperatingFunds!AF81)</f>
        <v/>
      </c>
      <c r="AG81" s="2" t="str">
        <f>IF(ISBLANK(OperatingFunds!AG81),"",OperatingFunds!AG81)</f>
        <v/>
      </c>
      <c r="AH81" s="2" t="str">
        <f>IF(ISBLANK(OperatingFunds!AH81),"",OperatingFunds!AH81)</f>
        <v/>
      </c>
      <c r="AI81" s="2" t="str">
        <f>IF(ISBLANK(OperatingFunds!AI81),"",OperatingFunds!AI81)</f>
        <v/>
      </c>
      <c r="AJ81" s="2" t="str">
        <f>IF(ISBLANK(OperatingFunds!AJ81),"",OperatingFunds!AJ81)</f>
        <v/>
      </c>
      <c r="AK81" s="2" t="str">
        <f>IF(ISBLANK(OperatingFunds!AK81),"",OperatingFunds!AK81)</f>
        <v/>
      </c>
    </row>
    <row r="82" spans="2:37" hidden="1">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IF(ISBLANK(OperatingFunds!U82),"",OperatingFunds!U82)</f>
        <v>FY2008</v>
      </c>
      <c r="V82" s="2" t="str">
        <f>IF(ISBLANK(OperatingFunds!V82),"",OperatingFunds!V82)</f>
        <v>FY2009</v>
      </c>
      <c r="W82" s="2" t="str">
        <f>IF(ISBLANK(OperatingFunds!W82),"",OperatingFunds!W82)</f>
        <v>FY2010</v>
      </c>
      <c r="X82" s="2" t="str">
        <f>IF(ISBLANK(OperatingFunds!X82),"",OperatingFunds!X82)</f>
        <v>FY2011</v>
      </c>
      <c r="Y82" s="2"/>
      <c r="Z82" s="2"/>
      <c r="AA82" s="2"/>
      <c r="AB82" s="2"/>
      <c r="AC82" s="2"/>
      <c r="AD82" s="2"/>
      <c r="AE82" s="2"/>
      <c r="AF82" s="2"/>
      <c r="AG82" s="2"/>
      <c r="AH82" s="2"/>
      <c r="AI82" s="2"/>
      <c r="AJ82" s="2"/>
      <c r="AK82" s="2"/>
    </row>
    <row r="83" spans="2:37" hidden="1">
      <c r="Y83"/>
    </row>
    <row r="84" spans="2:37" hidden="1">
      <c r="B84" s="1" t="str">
        <f>+$B$8</f>
        <v>University of Washington</v>
      </c>
      <c r="C84"/>
      <c r="D84"/>
      <c r="E84"/>
      <c r="F84"/>
      <c r="G84"/>
      <c r="H84"/>
      <c r="I84"/>
      <c r="J84"/>
      <c r="K84"/>
      <c r="L84"/>
      <c r="M84"/>
      <c r="N84"/>
      <c r="O84"/>
      <c r="P84"/>
      <c r="Q84" s="3"/>
      <c r="R84" s="3"/>
      <c r="S84" s="3"/>
      <c r="T84" s="3"/>
      <c r="U84" s="3"/>
      <c r="V84" s="3"/>
      <c r="W84" s="3">
        <f>+ConstantDollars!W84*1000/Enrollment!V$10</f>
        <v>1458.6809396133885</v>
      </c>
      <c r="X84" s="3"/>
      <c r="Y84"/>
    </row>
    <row r="85" spans="2:37" hidden="1">
      <c r="B85" s="1" t="str">
        <f>+$B$9</f>
        <v>Washington State University</v>
      </c>
      <c r="C85"/>
      <c r="D85"/>
      <c r="E85"/>
      <c r="F85"/>
      <c r="G85"/>
      <c r="H85"/>
      <c r="I85"/>
      <c r="J85"/>
      <c r="K85"/>
      <c r="L85"/>
      <c r="M85"/>
      <c r="N85"/>
      <c r="O85"/>
      <c r="P85"/>
      <c r="Q85" s="3"/>
      <c r="R85" s="3"/>
      <c r="S85" s="3"/>
      <c r="T85" s="3"/>
      <c r="U85" s="3"/>
      <c r="V85" s="3"/>
      <c r="W85" s="3">
        <f>+ConstantDollars!W85*1000/Enrollment!V$11</f>
        <v>892.85815926011992</v>
      </c>
      <c r="X85" s="3"/>
      <c r="Y85"/>
      <c r="Z85"/>
      <c r="AA85"/>
      <c r="AB85"/>
      <c r="AC85"/>
      <c r="AD85"/>
      <c r="AE85"/>
      <c r="AF85"/>
      <c r="AG85"/>
      <c r="AH85"/>
      <c r="AI85"/>
      <c r="AJ85"/>
      <c r="AK85"/>
    </row>
    <row r="86" spans="2:37" hidden="1">
      <c r="B86" s="1" t="str">
        <f>+$B$10</f>
        <v>Eastern Washington University</v>
      </c>
      <c r="C86"/>
      <c r="D86"/>
      <c r="E86"/>
      <c r="F86"/>
      <c r="G86"/>
      <c r="H86"/>
      <c r="I86"/>
      <c r="J86"/>
      <c r="K86"/>
      <c r="L86"/>
      <c r="M86"/>
      <c r="N86"/>
      <c r="O86"/>
      <c r="P86"/>
      <c r="Q86" s="3"/>
      <c r="R86" s="3"/>
      <c r="S86" s="3"/>
      <c r="T86" s="3"/>
      <c r="U86" s="3"/>
      <c r="V86" s="3"/>
      <c r="W86" s="3">
        <f>+ConstantDollars!W86*1000/Enrollment!V$12</f>
        <v>790.66166341050689</v>
      </c>
      <c r="X86" s="3"/>
      <c r="Y86"/>
    </row>
    <row r="87" spans="2:37" hidden="1">
      <c r="B87" s="1" t="str">
        <f>+$B$11</f>
        <v>Central Washington University</v>
      </c>
      <c r="C87"/>
      <c r="D87"/>
      <c r="E87"/>
      <c r="F87"/>
      <c r="G87"/>
      <c r="H87"/>
      <c r="I87"/>
      <c r="J87"/>
      <c r="K87"/>
      <c r="L87"/>
      <c r="M87"/>
      <c r="N87"/>
      <c r="O87"/>
      <c r="P87"/>
      <c r="Q87" s="3"/>
      <c r="R87" s="3"/>
      <c r="S87" s="3"/>
      <c r="T87" s="3"/>
      <c r="U87" s="3"/>
      <c r="V87" s="3"/>
      <c r="W87" s="3">
        <f>+ConstantDollars!W87*1000/Enrollment!V$13</f>
        <v>979.42060974430638</v>
      </c>
      <c r="X87" s="3"/>
      <c r="Y87"/>
    </row>
    <row r="88" spans="2:37" hidden="1">
      <c r="B88" s="1" t="str">
        <f>+$B$12</f>
        <v>The Evergreen State College</v>
      </c>
      <c r="C88"/>
      <c r="D88"/>
      <c r="E88"/>
      <c r="F88"/>
      <c r="G88"/>
      <c r="H88"/>
      <c r="I88"/>
      <c r="J88"/>
      <c r="K88"/>
      <c r="L88"/>
      <c r="M88"/>
      <c r="N88"/>
      <c r="O88"/>
      <c r="P88"/>
      <c r="Q88" s="3"/>
      <c r="R88" s="3"/>
      <c r="S88" s="3"/>
      <c r="T88" s="3"/>
      <c r="U88" s="3"/>
      <c r="V88" s="3"/>
      <c r="W88" s="3">
        <f>+ConstantDollars!W88*1000/Enrollment!V$14</f>
        <v>699.18977661018209</v>
      </c>
      <c r="X88" s="3"/>
      <c r="Y88"/>
    </row>
    <row r="89" spans="2:37" hidden="1">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+ConstantDollars!W89*1000/Enrollment!V$15</f>
        <v>967.33993445165072</v>
      </c>
      <c r="X89" s="3"/>
      <c r="Y89"/>
    </row>
    <row r="90" spans="2:37" hidden="1">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+ConstantDollars!W90*1000/Enrollment!V$16</f>
        <v>1120.9334603412483</v>
      </c>
      <c r="X90" s="42"/>
      <c r="Y90"/>
    </row>
    <row r="91" spans="2:37" hidden="1">
      <c r="C91"/>
      <c r="D91"/>
      <c r="E91"/>
      <c r="F91"/>
      <c r="G91"/>
      <c r="H91"/>
      <c r="I91"/>
      <c r="J91"/>
      <c r="K91"/>
      <c r="L91"/>
      <c r="M91"/>
      <c r="N91"/>
      <c r="O91"/>
      <c r="P91"/>
      <c r="Q91" s="3"/>
      <c r="R91" s="3"/>
      <c r="S91" s="3"/>
      <c r="T91" s="3"/>
      <c r="U91" s="3"/>
      <c r="V91" s="3"/>
      <c r="W91" s="3"/>
      <c r="X91" s="3"/>
      <c r="Y91"/>
    </row>
    <row r="92" spans="2:37" hidden="1">
      <c r="B92" s="1" t="str">
        <f>+$B$16</f>
        <v>Community/Technical College System</v>
      </c>
      <c r="C92"/>
      <c r="D92"/>
      <c r="E92"/>
      <c r="F92"/>
      <c r="G92"/>
      <c r="H92"/>
      <c r="I92"/>
      <c r="J92"/>
      <c r="K92"/>
      <c r="L92"/>
      <c r="M92"/>
      <c r="N92"/>
      <c r="O92"/>
      <c r="P92"/>
      <c r="Q92" s="3"/>
      <c r="R92" s="3"/>
      <c r="S92" s="3"/>
      <c r="T92" s="3"/>
      <c r="U92" s="3"/>
      <c r="V92" s="3"/>
      <c r="W92" s="3">
        <f>+ConstantDollars!W92*1000/Enrollment!V$18</f>
        <v>145.05662773068912</v>
      </c>
      <c r="X92" s="3"/>
      <c r="Y92"/>
    </row>
    <row r="93" spans="2:37" hidden="1">
      <c r="B93" s="1" t="str">
        <f>+$B$17</f>
        <v>HEC Board, CHE, SFA, &amp; SAC (1)</v>
      </c>
      <c r="C93"/>
      <c r="D93"/>
      <c r="E93"/>
      <c r="F93"/>
      <c r="G93"/>
      <c r="H93"/>
      <c r="I93"/>
      <c r="J93"/>
      <c r="K93"/>
      <c r="L93"/>
      <c r="M93"/>
      <c r="N93"/>
      <c r="O93"/>
      <c r="P93"/>
      <c r="Q93" s="3"/>
      <c r="R93" s="3"/>
      <c r="S93" s="3"/>
      <c r="T93" s="3"/>
      <c r="U93" s="3"/>
      <c r="V93" s="3"/>
      <c r="W93" s="3"/>
      <c r="X93" s="3"/>
      <c r="Y93"/>
    </row>
    <row r="94" spans="2:37" hidden="1">
      <c r="C94"/>
      <c r="D94"/>
      <c r="E94"/>
      <c r="F94"/>
      <c r="G94"/>
      <c r="H94"/>
      <c r="I94"/>
      <c r="J94"/>
      <c r="K94"/>
      <c r="L94"/>
      <c r="M94"/>
      <c r="N94"/>
      <c r="O94"/>
      <c r="P94"/>
      <c r="Y94"/>
    </row>
    <row r="95" spans="2:37" ht="13.5" hidden="1"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+ConstantDollars!W95*1000/Enrollment!V$21</f>
        <v>521.94901359277503</v>
      </c>
      <c r="X95" s="39">
        <v>0</v>
      </c>
      <c r="Y95"/>
    </row>
    <row r="96" spans="2:37" hidden="1">
      <c r="B96" s="199" t="str">
        <f>+$B$20</f>
        <v>[biennial annual average]</v>
      </c>
      <c r="C96"/>
      <c r="D96"/>
      <c r="E96"/>
      <c r="F96"/>
      <c r="G96"/>
      <c r="H96"/>
      <c r="I96"/>
      <c r="J96"/>
      <c r="K96"/>
      <c r="L96"/>
      <c r="M96"/>
      <c r="N96"/>
      <c r="O96"/>
      <c r="P96"/>
      <c r="R96" s="3"/>
      <c r="T96" s="3"/>
      <c r="V96" s="3"/>
      <c r="X96" s="3">
        <f>AVERAGE(W95:X95)</f>
        <v>260.97450679638752</v>
      </c>
      <c r="Y96"/>
    </row>
    <row r="97" spans="2:37" hidden="1">
      <c r="C97"/>
      <c r="D97"/>
      <c r="E97"/>
      <c r="F97"/>
      <c r="G97"/>
      <c r="H97"/>
      <c r="I97"/>
      <c r="J97"/>
      <c r="K97"/>
      <c r="L97"/>
      <c r="M97"/>
      <c r="N97"/>
      <c r="O97"/>
      <c r="P97"/>
      <c r="R97" s="3"/>
      <c r="T97" s="3"/>
      <c r="Y97"/>
    </row>
    <row r="98" spans="2:37" ht="15.75">
      <c r="B98" s="376"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row>
    <row r="99" spans="2:37" ht="13.5">
      <c r="B99" s="33" t="str">
        <f>+$B$4</f>
        <v>FY2024 Constant Dollar Expenditures per Actual State-Funded FTE Enrollment</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row>
    <row r="100" spans="2:37">
      <c r="I100" s="13"/>
      <c r="J100" s="13"/>
      <c r="K100" s="13"/>
      <c r="L100" s="13"/>
      <c r="M100" s="13"/>
      <c r="N100" s="13"/>
      <c r="O100" s="13"/>
      <c r="P100" s="13"/>
      <c r="Q100"/>
      <c r="R100" s="13"/>
      <c r="S100"/>
      <c r="T100"/>
      <c r="U100" s="2" t="str">
        <f>IF(ISBLANK(OperatingFunds!U100),"",OperatingFunds!U100)</f>
        <v/>
      </c>
      <c r="V100" s="2" t="str">
        <f>IF(ISBLANK(OperatingFunds!V100),"",OperatingFunds!V100)</f>
        <v/>
      </c>
      <c r="W100" s="2" t="str">
        <f>IF(ISBLANK(OperatingFunds!W100),"",OperatingFunds!W100)</f>
        <v/>
      </c>
      <c r="X100" s="2" t="str">
        <f>IF(ISBLANK(OperatingFunds!X100),"",OperatingFunds!X100)</f>
        <v/>
      </c>
      <c r="Y100" s="2" t="str">
        <f>IF(ISBLANK(OperatingFunds!Y100),"",OperatingFunds!Y100)</f>
        <v/>
      </c>
      <c r="Z100" s="2" t="str">
        <f>IF(ISBLANK(OperatingFunds!Z100),"",OperatingFunds!Z100)</f>
        <v/>
      </c>
      <c r="AA100" s="2" t="str">
        <f>IF(ISBLANK(OperatingFunds!AA100),"",OperatingFunds!AA100)</f>
        <v/>
      </c>
      <c r="AB100" s="2" t="str">
        <f>IF(ISBLANK(OperatingFunds!AB100),"",OperatingFunds!AB100)</f>
        <v/>
      </c>
      <c r="AC100" s="2" t="str">
        <f>IF(ISBLANK(OperatingFunds!AC100),"",OperatingFunds!AC100)</f>
        <v/>
      </c>
      <c r="AD100" s="2" t="str">
        <f>IF(ISBLANK(OperatingFunds!AD100),"",OperatingFunds!AD100)</f>
        <v/>
      </c>
      <c r="AE100" s="2" t="str">
        <f>IF(ISBLANK(OperatingFunds!AE100),"",OperatingFunds!AE100)</f>
        <v/>
      </c>
      <c r="AF100" s="2" t="str">
        <f>IF(ISBLANK(OperatingFunds!AF100),"",OperatingFunds!AF100)</f>
        <v/>
      </c>
      <c r="AG100" s="2" t="str">
        <f>IF(ISBLANK(OperatingFunds!AG100),"",OperatingFunds!AG100)</f>
        <v/>
      </c>
      <c r="AH100" s="2" t="str">
        <f>IF(ISBLANK(OperatingFunds!AH100),"",OperatingFunds!AH100)</f>
        <v/>
      </c>
      <c r="AI100" s="2" t="str">
        <f>IF(ISBLANK(OperatingFunds!AI100),"",OperatingFunds!AI100)</f>
        <v/>
      </c>
      <c r="AJ100" s="2" t="str">
        <f>IF(ISBLANK(OperatingFunds!AJ100),"",OperatingFunds!AJ100)</f>
        <v/>
      </c>
      <c r="AK100" s="2" t="str">
        <f>IF(ISBLANK(OperatingFunds!AK100),"",OperatingFunds!AK100)</f>
        <v>Final</v>
      </c>
    </row>
    <row r="101" spans="2:37">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IF(ISBLANK(OperatingFunds!U101),"",OperatingFunds!U101)</f>
        <v>FY2008</v>
      </c>
      <c r="V101" s="2" t="str">
        <f>IF(ISBLANK(OperatingFunds!V101),"",OperatingFunds!V101)</f>
        <v>FY2009</v>
      </c>
      <c r="W101" s="2" t="str">
        <f>IF(ISBLANK(OperatingFunds!W101),"",OperatingFunds!W101)</f>
        <v>FY2010</v>
      </c>
      <c r="X101" s="2" t="str">
        <f>IF(ISBLANK(OperatingFunds!X101),"",OperatingFunds!X101)</f>
        <v>FY2011</v>
      </c>
      <c r="Y101" s="2" t="str">
        <f>IF(ISBLANK(OperatingFunds!Y101),"",OperatingFunds!Y101)</f>
        <v>FY2012</v>
      </c>
      <c r="Z101" s="2" t="str">
        <f>IF(ISBLANK(OperatingFunds!Z101),"",OperatingFunds!Z101)</f>
        <v>FY2013</v>
      </c>
      <c r="AA101" s="2" t="str">
        <f>IF(ISBLANK(OperatingFunds!AA101),"",OperatingFunds!AA101)</f>
        <v>FY2014</v>
      </c>
      <c r="AB101" s="2" t="str">
        <f>IF(ISBLANK(OperatingFunds!AB101),"",OperatingFunds!AB101)</f>
        <v>FY2015</v>
      </c>
      <c r="AC101" s="2" t="str">
        <f>IF(ISBLANK(OperatingFunds!AC101),"",OperatingFunds!AC101)</f>
        <v>FY2016</v>
      </c>
      <c r="AD101" s="2" t="str">
        <f>IF(ISBLANK(OperatingFunds!AD101),"",OperatingFunds!AD101)</f>
        <v>FY2017</v>
      </c>
      <c r="AE101" s="2" t="str">
        <f>IF(ISBLANK(OperatingFunds!AE101),"",OperatingFunds!AE101)</f>
        <v>FY2018</v>
      </c>
      <c r="AF101" s="2" t="str">
        <f>IF(ISBLANK(OperatingFunds!AF101),"",OperatingFunds!AF101)</f>
        <v>FY2019</v>
      </c>
      <c r="AG101" s="2" t="str">
        <f>IF(ISBLANK(OperatingFunds!AG101),"",OperatingFunds!AG101)</f>
        <v>FY2020</v>
      </c>
      <c r="AH101" s="2" t="str">
        <f>IF(ISBLANK(OperatingFunds!AH101),"",OperatingFunds!AH101)</f>
        <v>FY2021</v>
      </c>
      <c r="AI101" s="2" t="str">
        <f>IF(ISBLANK(OperatingFunds!AI101),"",OperatingFunds!AI101)</f>
        <v>FY2022</v>
      </c>
      <c r="AJ101" s="2" t="str">
        <f>IF(ISBLANK(OperatingFunds!AJ101),"",OperatingFunds!AJ101)</f>
        <v>FY2023</v>
      </c>
      <c r="AK101" s="2" t="str">
        <f>IF(ISBLANK(OperatingFunds!AK101),"",OperatingFunds!AK101)</f>
        <v>FY2024</v>
      </c>
    </row>
    <row r="103" spans="2:37">
      <c r="B103" s="1" t="str">
        <f>+$B$8</f>
        <v>University of Washington</v>
      </c>
      <c r="C103"/>
      <c r="D103"/>
      <c r="E103"/>
      <c r="F103"/>
      <c r="G103"/>
      <c r="H103"/>
      <c r="I103"/>
      <c r="J103"/>
      <c r="K103"/>
      <c r="L103"/>
      <c r="M103"/>
      <c r="N103"/>
      <c r="O103"/>
      <c r="P103"/>
      <c r="Q103" s="3"/>
      <c r="R103" s="3"/>
      <c r="S103" s="3">
        <f>+ConstantDollars!S103*1000/Enrollment!R$10</f>
        <v>124.16899574996138</v>
      </c>
      <c r="T103" s="3">
        <f>+ConstantDollars!T103*1000/Enrollment!S$10</f>
        <v>299.86652245511476</v>
      </c>
      <c r="U103" s="3">
        <f>+ConstantDollars!U103*1000/Enrollment!T$10</f>
        <v>587.97017718682412</v>
      </c>
      <c r="V103" s="3">
        <f>+ConstantDollars!V103*1000/Enrollment!U$10</f>
        <v>940.1457842493686</v>
      </c>
      <c r="W103" s="3">
        <f>+ConstantDollars!W103*1000/Enrollment!V$10</f>
        <v>873.96123249675281</v>
      </c>
      <c r="X103" s="3">
        <f>+ConstantDollars!X103*1000/Enrollment!W$10</f>
        <v>888.57664399965972</v>
      </c>
      <c r="Y103" s="3">
        <f>+ConstantDollars!Y103*1000/Enrollment!X$10</f>
        <v>326.85031092070562</v>
      </c>
      <c r="Z103" s="3">
        <f>+ConstantDollars!Z103*1000/Enrollment!Y$10</f>
        <v>231.5939215623834</v>
      </c>
      <c r="AA103" s="3">
        <f>+ConstantDollars!AA103*1000/Enrollment!Z$10</f>
        <v>198.01555443626657</v>
      </c>
      <c r="AB103" s="3">
        <f>+ConstantDollars!AB103*1000/Enrollment!AA$10</f>
        <v>191.53481886018363</v>
      </c>
      <c r="AC103" s="3">
        <f>+ConstantDollars!AC103*1000/Enrollment!AB$10</f>
        <v>344.9169810281665</v>
      </c>
      <c r="AD103" s="3">
        <f>+ConstantDollars!AD103*1000/Enrollment!AC$10</f>
        <v>387.56834944141309</v>
      </c>
      <c r="AE103" s="3">
        <f>+ConstantDollars!AE103*1000/Enrollment!AD$10</f>
        <v>398.64818770489813</v>
      </c>
      <c r="AF103" s="3">
        <f>+ConstantDollars!AF103*1000/Enrollment!AE$10</f>
        <v>404.63976604937687</v>
      </c>
      <c r="AG103" s="3">
        <f>+ConstantDollars!AG103*1000/Enrollment!AF$10</f>
        <v>456.68750697488764</v>
      </c>
      <c r="AH103" s="3">
        <f>+ConstantDollars!AH103*1000/Enrollment!AG$10</f>
        <v>400.07096350191847</v>
      </c>
      <c r="AI103" s="3">
        <f>+ConstantDollars!AI103*1000/Enrollment!AH$10</f>
        <v>406.0479986647494</v>
      </c>
      <c r="AJ103" s="3">
        <f>+ConstantDollars!AJ103*1000/Enrollment!AI$10</f>
        <v>395.8150719185133</v>
      </c>
      <c r="AK103" s="3">
        <f>+ConstantDollars!AK103*1000/Enrollment!AJ$10</f>
        <v>442.86607798033128</v>
      </c>
    </row>
    <row r="104" spans="2:37">
      <c r="B104" s="1" t="str">
        <f>+$B$9</f>
        <v>Washington State University</v>
      </c>
      <c r="C104"/>
      <c r="D104"/>
      <c r="E104"/>
      <c r="F104"/>
      <c r="G104"/>
      <c r="H104"/>
      <c r="I104"/>
      <c r="J104"/>
      <c r="K104"/>
      <c r="L104"/>
      <c r="M104"/>
      <c r="N104"/>
      <c r="O104"/>
      <c r="P104"/>
      <c r="Q104" s="3"/>
      <c r="R104" s="3"/>
      <c r="S104" s="3">
        <f>+ConstantDollars!S104*1000/Enrollment!R$11</f>
        <v>222.84994567556853</v>
      </c>
      <c r="T104" s="3">
        <f>+ConstantDollars!T104*1000/Enrollment!S$11</f>
        <v>531.45837141779919</v>
      </c>
      <c r="U104" s="3">
        <f>+ConstantDollars!U104*1000/Enrollment!T$11</f>
        <v>775.36516630154347</v>
      </c>
      <c r="V104" s="3">
        <f>+ConstantDollars!V104*1000/Enrollment!U$11</f>
        <v>1259.3036522160558</v>
      </c>
      <c r="W104" s="3">
        <f>+ConstantDollars!W104*1000/Enrollment!V$11</f>
        <v>1001.9462693852944</v>
      </c>
      <c r="X104" s="3">
        <f>+ConstantDollars!X104*1000/Enrollment!W$11</f>
        <v>920.93258255450223</v>
      </c>
      <c r="Y104" s="3">
        <f>+ConstantDollars!Y104*1000/Enrollment!X$11</f>
        <v>851.19272925952964</v>
      </c>
      <c r="Z104" s="3">
        <f>+ConstantDollars!Z104*1000/Enrollment!Y$11</f>
        <v>841.69688881724994</v>
      </c>
      <c r="AA104" s="3">
        <f>+ConstantDollars!AA104*1000/Enrollment!Z$11</f>
        <v>856.87625218546862</v>
      </c>
      <c r="AB104" s="3">
        <f>+ConstantDollars!AB104*1000/Enrollment!AA$11</f>
        <v>822.36393242870179</v>
      </c>
      <c r="AC104" s="3">
        <f>+ConstantDollars!AC104*1000/Enrollment!AB$11</f>
        <v>806.88413632106551</v>
      </c>
      <c r="AD104" s="3">
        <f>+ConstantDollars!AD104*1000/Enrollment!AC$11</f>
        <v>785.55720787968744</v>
      </c>
      <c r="AE104" s="3">
        <f>+ConstantDollars!AE104*1000/Enrollment!AD$11</f>
        <v>759.20097552985521</v>
      </c>
      <c r="AF104" s="3">
        <f>+ConstantDollars!AF104*1000/Enrollment!AE$11</f>
        <v>730.89170441936994</v>
      </c>
      <c r="AG104" s="3">
        <f>+ConstantDollars!AG104*1000/Enrollment!AF$11</f>
        <v>720.37499540492331</v>
      </c>
      <c r="AH104" s="3">
        <f>+ConstantDollars!AH104*1000/Enrollment!AG$11</f>
        <v>725.26675031186892</v>
      </c>
      <c r="AI104" s="3">
        <f>+ConstantDollars!AI104*1000/Enrollment!AH$11</f>
        <v>725.28571453481447</v>
      </c>
      <c r="AJ104" s="3">
        <f>+ConstantDollars!AJ104*1000/Enrollment!AI$11</f>
        <v>737.93514790644838</v>
      </c>
      <c r="AK104" s="3">
        <f>+ConstantDollars!AK104*1000/Enrollment!AJ$11</f>
        <v>739.66576235235334</v>
      </c>
    </row>
    <row r="105" spans="2:37">
      <c r="B105" s="1" t="str">
        <f>+$B$10</f>
        <v>Eastern Washington University</v>
      </c>
      <c r="C105"/>
      <c r="D105"/>
      <c r="E105"/>
      <c r="F105"/>
      <c r="G105"/>
      <c r="H105"/>
      <c r="I105"/>
      <c r="J105"/>
      <c r="K105"/>
      <c r="L105"/>
      <c r="M105"/>
      <c r="N105"/>
      <c r="O105"/>
      <c r="P105"/>
      <c r="Q105" s="3"/>
      <c r="R105" s="3"/>
      <c r="S105" s="3">
        <f>+ConstantDollars!S105*1000/Enrollment!R$12</f>
        <v>338.47205920718534</v>
      </c>
      <c r="T105" s="3">
        <f>+ConstantDollars!T105*1000/Enrollment!S$12</f>
        <v>670.80376153213081</v>
      </c>
      <c r="U105" s="3">
        <f>+ConstantDollars!U105*1000/Enrollment!T$12</f>
        <v>1020.5164094502925</v>
      </c>
      <c r="V105" s="3">
        <f>+ConstantDollars!V105*1000/Enrollment!U$12</f>
        <v>1189.125513089838</v>
      </c>
      <c r="W105" s="3">
        <f>+ConstantDollars!W105*1000/Enrollment!V$12</f>
        <v>1152.0579036220463</v>
      </c>
      <c r="X105" s="3">
        <f>+ConstantDollars!X105*1000/Enrollment!W$12</f>
        <v>1105.9655452820575</v>
      </c>
      <c r="Y105" s="3">
        <f>+ConstantDollars!Y105*1000/Enrollment!X$12</f>
        <v>1056.435322255059</v>
      </c>
      <c r="Z105" s="3">
        <f>+ConstantDollars!Z105*1000/Enrollment!Y$12</f>
        <v>1014.0502389510983</v>
      </c>
      <c r="AA105" s="3">
        <f>+ConstantDollars!AA105*1000/Enrollment!Z$12</f>
        <v>962.65328407679101</v>
      </c>
      <c r="AB105" s="3">
        <f>+ConstantDollars!AB105*1000/Enrollment!AA$12</f>
        <v>863.82290904254683</v>
      </c>
      <c r="AC105" s="3">
        <f>+ConstantDollars!AC105*1000/Enrollment!AB$12</f>
        <v>1000.9384197975807</v>
      </c>
      <c r="AD105" s="3">
        <f>+ConstantDollars!AD105*1000/Enrollment!AC$12</f>
        <v>1011.1171085327408</v>
      </c>
      <c r="AE105" s="3">
        <f>+ConstantDollars!AE105*1000/Enrollment!AD$12</f>
        <v>945.26189046994887</v>
      </c>
      <c r="AF105" s="3">
        <f>+ConstantDollars!AF105*1000/Enrollment!AE$12</f>
        <v>957.08002012030295</v>
      </c>
      <c r="AG105" s="3">
        <f>+ConstantDollars!AG105*1000/Enrollment!AF$12</f>
        <v>1037.7199895341673</v>
      </c>
      <c r="AH105" s="3">
        <f>+ConstantDollars!AH105*1000/Enrollment!AG$12</f>
        <v>1173.7579313305009</v>
      </c>
      <c r="AI105" s="3">
        <f>+ConstantDollars!AI105*1000/Enrollment!AH$12</f>
        <v>1269.3064603558328</v>
      </c>
      <c r="AJ105" s="3">
        <f>+ConstantDollars!AJ105*1000/Enrollment!AI$12</f>
        <v>1299.2540805714871</v>
      </c>
      <c r="AK105" s="3">
        <f>+ConstantDollars!AK105*1000/Enrollment!AJ$12</f>
        <v>1313.4668642427716</v>
      </c>
    </row>
    <row r="106" spans="2:37">
      <c r="B106" s="1" t="str">
        <f>+$B$11</f>
        <v>Central Washington University</v>
      </c>
      <c r="C106"/>
      <c r="D106"/>
      <c r="E106"/>
      <c r="F106"/>
      <c r="G106"/>
      <c r="H106"/>
      <c r="I106"/>
      <c r="J106"/>
      <c r="K106"/>
      <c r="L106"/>
      <c r="M106"/>
      <c r="N106"/>
      <c r="O106"/>
      <c r="P106"/>
      <c r="Q106" s="3"/>
      <c r="R106" s="3"/>
      <c r="S106" s="3">
        <f>+ConstantDollars!S106*1000/Enrollment!R$13</f>
        <v>346.84323523262532</v>
      </c>
      <c r="T106" s="3">
        <f>+ConstantDollars!T106*1000/Enrollment!S$13</f>
        <v>669.71053506288035</v>
      </c>
      <c r="U106" s="3">
        <f>+ConstantDollars!U106*1000/Enrollment!T$13</f>
        <v>1037.0978487174232</v>
      </c>
      <c r="V106" s="3">
        <f>+ConstantDollars!V106*1000/Enrollment!U$13</f>
        <v>1441.467808441045</v>
      </c>
      <c r="W106" s="3">
        <f>+ConstantDollars!W106*1000/Enrollment!V$13</f>
        <v>1339.3138029736479</v>
      </c>
      <c r="X106" s="3">
        <f>+ConstantDollars!X106*1000/Enrollment!W$13</f>
        <v>1284.8911854103656</v>
      </c>
      <c r="Y106" s="3">
        <f>+ConstantDollars!Y106*1000/Enrollment!X$13</f>
        <v>1295.9046017265712</v>
      </c>
      <c r="Z106" s="3">
        <f>+ConstantDollars!Z106*1000/Enrollment!Y$13</f>
        <v>1304.6851340614367</v>
      </c>
      <c r="AA106" s="3">
        <f>+ConstantDollars!AA106*1000/Enrollment!Z$13</f>
        <v>1298.4543944596337</v>
      </c>
      <c r="AB106" s="3">
        <f>+ConstantDollars!AB106*1000/Enrollment!AA$13</f>
        <v>1316.6773163471487</v>
      </c>
      <c r="AC106" s="3">
        <f>+ConstantDollars!AC106*1000/Enrollment!AB$13</f>
        <v>1269.2349745682982</v>
      </c>
      <c r="AD106" s="3">
        <f>+ConstantDollars!AD106*1000/Enrollment!AC$13</f>
        <v>1216.4450493955662</v>
      </c>
      <c r="AE106" s="3">
        <f>+ConstantDollars!AE106*1000/Enrollment!AD$13</f>
        <v>1163.358586748765</v>
      </c>
      <c r="AF106" s="3">
        <f>+ConstantDollars!AF106*1000/Enrollment!AE$13</f>
        <v>1154.7586252995918</v>
      </c>
      <c r="AG106" s="3">
        <f>+ConstantDollars!AG106*1000/Enrollment!AF$13</f>
        <v>1037.4250803353925</v>
      </c>
      <c r="AH106" s="3">
        <f>+ConstantDollars!AH106*1000/Enrollment!AG$13</f>
        <v>1134.0080423879483</v>
      </c>
      <c r="AI106" s="3">
        <f>+ConstantDollars!AI106*1000/Enrollment!AH$13</f>
        <v>1180.9922000696706</v>
      </c>
      <c r="AJ106" s="3">
        <f>+ConstantDollars!AJ106*1000/Enrollment!AI$13</f>
        <v>1227.2966330538814</v>
      </c>
      <c r="AK106" s="3">
        <f>+ConstantDollars!AK106*1000/Enrollment!AJ$13</f>
        <v>1233.5393016592482</v>
      </c>
    </row>
    <row r="107" spans="2:37">
      <c r="B107" s="1" t="str">
        <f>+$B$12</f>
        <v>The Evergreen State College</v>
      </c>
      <c r="C107"/>
      <c r="D107"/>
      <c r="E107"/>
      <c r="F107"/>
      <c r="G107"/>
      <c r="H107"/>
      <c r="I107"/>
      <c r="J107"/>
      <c r="K107"/>
      <c r="L107"/>
      <c r="M107"/>
      <c r="N107"/>
      <c r="O107"/>
      <c r="P107"/>
      <c r="Q107" s="3"/>
      <c r="R107" s="3"/>
      <c r="S107" s="3">
        <f>+ConstantDollars!S107*1000/Enrollment!R$14</f>
        <v>249.70053556445939</v>
      </c>
      <c r="T107" s="3">
        <f>+ConstantDollars!T107*1000/Enrollment!S$14</f>
        <v>490.05669459003008</v>
      </c>
      <c r="U107" s="3">
        <f>+ConstantDollars!U107*1000/Enrollment!T$14</f>
        <v>660.20822734449575</v>
      </c>
      <c r="V107" s="3">
        <f>+ConstantDollars!V107*1000/Enrollment!U$14</f>
        <v>826.5511682424426</v>
      </c>
      <c r="W107" s="3">
        <f>+ConstantDollars!W107*1000/Enrollment!V$14</f>
        <v>805.27985683125371</v>
      </c>
      <c r="X107" s="3">
        <f>+ConstantDollars!X107*1000/Enrollment!W$14</f>
        <v>787.34696832629356</v>
      </c>
      <c r="Y107" s="3">
        <f>+ConstantDollars!Y107*1000/Enrollment!X$14</f>
        <v>778.23093484148308</v>
      </c>
      <c r="Z107" s="3">
        <f>+ConstantDollars!Z107*1000/Enrollment!Y$14</f>
        <v>802.56991100342555</v>
      </c>
      <c r="AA107" s="3">
        <f>+ConstantDollars!AA107*1000/Enrollment!Z$14</f>
        <v>831.71629164876651</v>
      </c>
      <c r="AB107" s="3">
        <f>+ConstantDollars!AB107*1000/Enrollment!AA$14</f>
        <v>853.95758039528619</v>
      </c>
      <c r="AC107" s="3">
        <f>+ConstantDollars!AC107*1000/Enrollment!AB$14</f>
        <v>852.96384560173919</v>
      </c>
      <c r="AD107" s="3">
        <f>+ConstantDollars!AD107*1000/Enrollment!AC$14</f>
        <v>868.7220816455922</v>
      </c>
      <c r="AE107" s="3">
        <f>+ConstantDollars!AE107*1000/Enrollment!AD$14</f>
        <v>907.52327601492209</v>
      </c>
      <c r="AF107" s="3">
        <f>+ConstantDollars!AF107*1000/Enrollment!AE$14</f>
        <v>1042.3120345365242</v>
      </c>
      <c r="AG107" s="3">
        <f>+ConstantDollars!AG107*1000/Enrollment!AF$14</f>
        <v>1275.4693431258056</v>
      </c>
      <c r="AH107" s="3">
        <f>+ConstantDollars!AH107*1000/Enrollment!AG$14</f>
        <v>1765.1508665521455</v>
      </c>
      <c r="AI107" s="3">
        <f>+ConstantDollars!AI107*1000/Enrollment!AH$14</f>
        <v>1686.8506135915904</v>
      </c>
      <c r="AJ107" s="3">
        <f>+ConstantDollars!AJ107*1000/Enrollment!AI$14</f>
        <v>1570.4696330816639</v>
      </c>
      <c r="AK107" s="3">
        <f>+ConstantDollars!AK107*1000/Enrollment!AJ$14</f>
        <v>1242.2313059372168</v>
      </c>
    </row>
    <row r="108" spans="2:37">
      <c r="B108" s="1" t="str">
        <f>+$B$13</f>
        <v>Western Washington University</v>
      </c>
      <c r="C108" s="41"/>
      <c r="D108" s="41"/>
      <c r="E108" s="41"/>
      <c r="F108" s="41"/>
      <c r="G108" s="41"/>
      <c r="H108" s="41"/>
      <c r="I108" s="41"/>
      <c r="J108" s="41"/>
      <c r="K108" s="41"/>
      <c r="L108" s="41"/>
      <c r="M108" s="41"/>
      <c r="N108" s="41"/>
      <c r="O108" s="41"/>
      <c r="P108" s="41"/>
      <c r="Q108" s="41"/>
      <c r="R108" s="41"/>
      <c r="S108" s="3">
        <f>+ConstantDollars!S108*1000/Enrollment!R$15</f>
        <v>144.13567216951691</v>
      </c>
      <c r="T108" s="3">
        <f>+ConstantDollars!T108*1000/Enrollment!S$15</f>
        <v>280.94214889124123</v>
      </c>
      <c r="U108" s="3">
        <f>+ConstantDollars!U108*1000/Enrollment!T$15</f>
        <v>583.50796742919965</v>
      </c>
      <c r="V108" s="3">
        <f>+ConstantDollars!V108*1000/Enrollment!U$15</f>
        <v>744.96849062623323</v>
      </c>
      <c r="W108" s="3">
        <f>+ConstantDollars!W108*1000/Enrollment!V$15</f>
        <v>709.63665647224093</v>
      </c>
      <c r="X108" s="3">
        <f>+ConstantDollars!X108*1000/Enrollment!W$15</f>
        <v>674.62512057736956</v>
      </c>
      <c r="Y108" s="3">
        <f>+ConstantDollars!Y108*1000/Enrollment!X$15</f>
        <v>684.19099140700439</v>
      </c>
      <c r="Z108" s="3">
        <f>+ConstantDollars!Z108*1000/Enrollment!Y$15</f>
        <v>671.89313845666641</v>
      </c>
      <c r="AA108" s="3">
        <f>+ConstantDollars!AA108*1000/Enrollment!Z$15</f>
        <v>794.42531924233708</v>
      </c>
      <c r="AB108" s="3">
        <f>+ConstantDollars!AB108*1000/Enrollment!AA$15</f>
        <v>498.83575996297577</v>
      </c>
      <c r="AC108" s="3">
        <f>+ConstantDollars!AC108*1000/Enrollment!AB$15</f>
        <v>670.5872598596527</v>
      </c>
      <c r="AD108" s="3">
        <f>+ConstantDollars!AD108*1000/Enrollment!AC$15</f>
        <v>666.9883091776934</v>
      </c>
      <c r="AE108" s="3">
        <f>+ConstantDollars!AE108*1000/Enrollment!AD$15</f>
        <v>633.06537200972332</v>
      </c>
      <c r="AF108" s="3">
        <f>+ConstantDollars!AF108*1000/Enrollment!AE$15</f>
        <v>614.52244801369056</v>
      </c>
      <c r="AG108" s="3">
        <f>+ConstantDollars!AG108*1000/Enrollment!AF$15</f>
        <v>618.52329789165231</v>
      </c>
      <c r="AH108" s="3">
        <f>+ConstantDollars!AH108*1000/Enrollment!AG$15</f>
        <v>646.25559972982035</v>
      </c>
      <c r="AI108" s="3">
        <f>+ConstantDollars!AI108*1000/Enrollment!AH$15</f>
        <v>620.34901185407489</v>
      </c>
      <c r="AJ108" s="3">
        <f>+ConstantDollars!AJ108*1000/Enrollment!AI$15</f>
        <v>595.19868544185886</v>
      </c>
      <c r="AK108" s="3">
        <f>+ConstantDollars!AK108*1000/Enrollment!AJ$15</f>
        <v>571.87909825369388</v>
      </c>
    </row>
    <row r="109" spans="2:37">
      <c r="B109" s="199" t="str">
        <f>+$B$14</f>
        <v>Total Four-Year Institutions</v>
      </c>
      <c r="C109" s="42"/>
      <c r="D109" s="42"/>
      <c r="E109" s="42"/>
      <c r="F109" s="42"/>
      <c r="G109" s="42"/>
      <c r="H109" s="42"/>
      <c r="I109" s="42"/>
      <c r="J109" s="42"/>
      <c r="K109" s="42"/>
      <c r="L109" s="42"/>
      <c r="M109" s="42"/>
      <c r="N109" s="42"/>
      <c r="O109" s="42"/>
      <c r="P109" s="42"/>
      <c r="Q109" s="42"/>
      <c r="R109" s="42"/>
      <c r="S109" s="42">
        <f>+ConstantDollars!S109*1000/Enrollment!R$16</f>
        <v>199.1202100906383</v>
      </c>
      <c r="T109" s="42">
        <f>+ConstantDollars!T109*1000/Enrollment!S$16</f>
        <v>433.24616679048285</v>
      </c>
      <c r="U109" s="42">
        <f>+ConstantDollars!U109*1000/Enrollment!T$16</f>
        <v>719.35794751997889</v>
      </c>
      <c r="V109" s="42">
        <f>+ConstantDollars!V109*1000/Enrollment!U$16</f>
        <v>1055.8918121753798</v>
      </c>
      <c r="W109" s="42">
        <f>+ConstantDollars!W109*1000/Enrollment!V$16</f>
        <v>951.49986546866853</v>
      </c>
      <c r="X109" s="42">
        <f>+ConstantDollars!X109*1000/Enrollment!W$16</f>
        <v>923.54114215529353</v>
      </c>
      <c r="Y109" s="42">
        <f>+ConstantDollars!Y109*1000/Enrollment!X$16</f>
        <v>674.04327145515936</v>
      </c>
      <c r="Z109" s="42">
        <f>+ConstantDollars!Z109*1000/Enrollment!Y$16</f>
        <v>625.37630070807893</v>
      </c>
      <c r="AA109" s="42">
        <f>+ConstantDollars!AA109*1000/Enrollment!Z$16</f>
        <v>619.59936557145431</v>
      </c>
      <c r="AB109" s="42">
        <f>+ConstantDollars!AB109*1000/Enrollment!AA$16</f>
        <v>563.24984481781883</v>
      </c>
      <c r="AC109" s="42">
        <f>+ConstantDollars!AC109*1000/Enrollment!AB$16</f>
        <v>652.60884126373708</v>
      </c>
      <c r="AD109" s="42">
        <f>+ConstantDollars!AD109*1000/Enrollment!AC$16</f>
        <v>661.79308058050106</v>
      </c>
      <c r="AE109" s="42">
        <f>+ConstantDollars!AE109*1000/Enrollment!AD$16</f>
        <v>646.77158124206403</v>
      </c>
      <c r="AF109" s="42">
        <f>+ConstantDollars!AF109*1000/Enrollment!AE$16</f>
        <v>640.07084166623736</v>
      </c>
      <c r="AG109" s="42">
        <f>+ConstantDollars!AG109*1000/Enrollment!AF$16</f>
        <v>661.45662342468916</v>
      </c>
      <c r="AH109" s="42">
        <f>+ConstantDollars!AH109*1000/Enrollment!AG$16</f>
        <v>655.89375856786717</v>
      </c>
      <c r="AI109" s="42">
        <f>+ConstantDollars!AI109*1000/Enrollment!AH$16</f>
        <v>654.98935329447522</v>
      </c>
      <c r="AJ109" s="42">
        <f>+ConstantDollars!AJ109*1000/Enrollment!AI$16</f>
        <v>646.84000638155169</v>
      </c>
      <c r="AK109" s="42">
        <f>+ConstantDollars!AK109*1000/Enrollment!AJ$16</f>
        <v>653.071660631192</v>
      </c>
    </row>
    <row r="110" spans="2:37">
      <c r="C110"/>
      <c r="D110"/>
      <c r="E110"/>
      <c r="F110"/>
      <c r="G110"/>
      <c r="H110"/>
      <c r="I110"/>
      <c r="J110"/>
      <c r="K110"/>
      <c r="L110"/>
      <c r="M110"/>
      <c r="N110"/>
      <c r="O110"/>
      <c r="P110"/>
      <c r="Q110" s="3"/>
      <c r="R110" s="3"/>
      <c r="S110" s="3"/>
      <c r="T110" s="3"/>
      <c r="U110" s="3"/>
      <c r="V110" s="3"/>
      <c r="W110" s="3"/>
      <c r="X110" s="3"/>
      <c r="Y110" s="3"/>
      <c r="Z110" s="3"/>
      <c r="AA110" s="3"/>
      <c r="AB110" s="3"/>
      <c r="AC110" s="3"/>
      <c r="AD110" s="3"/>
      <c r="AE110" s="3"/>
      <c r="AF110" s="3"/>
      <c r="AG110" s="3"/>
      <c r="AH110" s="3"/>
      <c r="AI110" s="3"/>
      <c r="AJ110" s="3"/>
      <c r="AK110" s="3"/>
    </row>
    <row r="111" spans="2:37">
      <c r="B111" s="1" t="str">
        <f>+$B$16</f>
        <v>Community/Technical College System</v>
      </c>
      <c r="C111"/>
      <c r="D111"/>
      <c r="E111"/>
      <c r="F111"/>
      <c r="G111"/>
      <c r="H111"/>
      <c r="I111"/>
      <c r="J111"/>
      <c r="K111"/>
      <c r="L111"/>
      <c r="M111"/>
      <c r="N111"/>
      <c r="O111"/>
      <c r="P111"/>
      <c r="Q111" s="3"/>
      <c r="R111" s="3"/>
      <c r="S111" s="3">
        <f>+ConstantDollars!S111*1000/Enrollment!R$18</f>
        <v>196.3397323200584</v>
      </c>
      <c r="T111" s="3">
        <f>+ConstantDollars!T111*1000/Enrollment!S$18</f>
        <v>300.07848085015735</v>
      </c>
      <c r="U111" s="3">
        <f>+ConstantDollars!U111*1000/Enrollment!T$18</f>
        <v>564.18532875945186</v>
      </c>
      <c r="V111" s="3">
        <f>+ConstantDollars!V111*1000/Enrollment!U$18</f>
        <v>448.32157855710233</v>
      </c>
      <c r="W111" s="3">
        <f>+ConstantDollars!W111*1000/Enrollment!V$18</f>
        <v>401.28073755510945</v>
      </c>
      <c r="X111" s="3">
        <f>+ConstantDollars!X111*1000/Enrollment!W$18</f>
        <v>389.91428944965634</v>
      </c>
      <c r="Y111" s="3">
        <f>+ConstantDollars!Y111*1000/Enrollment!X$18</f>
        <v>401.54215643961788</v>
      </c>
      <c r="Z111" s="3">
        <f>+ConstantDollars!Z111*1000/Enrollment!Y$18</f>
        <v>415.51220502188932</v>
      </c>
      <c r="AA111" s="3">
        <f>+ConstantDollars!AA111*1000/Enrollment!Z$18</f>
        <v>412.76555527611362</v>
      </c>
      <c r="AB111" s="3">
        <f>+ConstantDollars!AB111*1000/Enrollment!AA$18</f>
        <v>428.68367181267064</v>
      </c>
      <c r="AC111" s="3">
        <f>+ConstantDollars!AC111*1000/Enrollment!AB$18</f>
        <v>434.3139220404795</v>
      </c>
      <c r="AD111" s="3">
        <f>+ConstantDollars!AD111*1000/Enrollment!AC$18</f>
        <v>456.93041212995649</v>
      </c>
      <c r="AE111" s="3">
        <f>+ConstantDollars!AE111*1000/Enrollment!AD$18</f>
        <v>558.18515728364093</v>
      </c>
      <c r="AF111" s="3">
        <f>+ConstantDollars!AF111*1000/Enrollment!AE$18</f>
        <v>716.75724461132393</v>
      </c>
      <c r="AG111" s="3">
        <f>+ConstantDollars!AG111*1000/Enrollment!AF$18</f>
        <v>773.79029102699917</v>
      </c>
      <c r="AH111" s="3">
        <f>+ConstantDollars!AH111*1000/Enrollment!AG$18</f>
        <v>864.92343318656458</v>
      </c>
      <c r="AI111" s="3">
        <f>+ConstantDollars!AI111*1000/Enrollment!AH$18</f>
        <v>783.74208906773663</v>
      </c>
      <c r="AJ111" s="3">
        <f>+ConstantDollars!AJ111*1000/Enrollment!AI$18</f>
        <v>803.93153804121755</v>
      </c>
      <c r="AK111" s="3">
        <f>+ConstantDollars!AK111*1000/Enrollment!AJ$18</f>
        <v>788.03672316119935</v>
      </c>
    </row>
    <row r="112" spans="2:37">
      <c r="B112" s="1" t="str">
        <f>+$B$17</f>
        <v>HEC Board, CHE, SFA, &amp; SAC (1)</v>
      </c>
      <c r="C112"/>
      <c r="D112"/>
      <c r="E112"/>
      <c r="F112"/>
      <c r="G112"/>
      <c r="H112"/>
      <c r="I112"/>
      <c r="J112"/>
      <c r="K112"/>
      <c r="L112"/>
      <c r="M112"/>
      <c r="N112"/>
      <c r="O112"/>
      <c r="P112"/>
      <c r="Q112" s="3"/>
      <c r="R112" s="3"/>
      <c r="S112" s="3">
        <f>+ConstantDollars!S112*1000/Enrollment!R$21</f>
        <v>192.42725132650281</v>
      </c>
      <c r="T112" s="3">
        <f>+ConstantDollars!T112*1000/Enrollment!S$21</f>
        <v>214.06388371953912</v>
      </c>
      <c r="U112" s="3">
        <f>+ConstantDollars!U112*1000/Enrollment!T$21</f>
        <v>381.11924294101789</v>
      </c>
      <c r="V112" s="3">
        <f>+ConstantDollars!V112*1000/Enrollment!U$21</f>
        <v>239.66893194275826</v>
      </c>
      <c r="W112" s="3">
        <f>+ConstantDollars!W112*1000/Enrollment!V$21</f>
        <v>311.03007193063684</v>
      </c>
      <c r="X112" s="3">
        <f>+ConstantDollars!X112*1000/Enrollment!W$21</f>
        <v>-150.2188575315746</v>
      </c>
      <c r="Y112" s="3">
        <f>+ConstantDollars!Y112*1000/Enrollment!X$21</f>
        <v>0</v>
      </c>
      <c r="Z112" s="3">
        <f>+ConstantDollars!Z112*1000/Enrollment!Y$21</f>
        <v>0</v>
      </c>
      <c r="AA112" s="3">
        <f>+ConstantDollars!AA112*1000/Enrollment!Z$21</f>
        <v>262.71421050788661</v>
      </c>
      <c r="AB112" s="3">
        <f>+ConstantDollars!AB112*1000/Enrollment!AA$21</f>
        <v>136.31320844177387</v>
      </c>
      <c r="AC112" s="3">
        <f>+ConstantDollars!AC112*1000/Enrollment!AB$21</f>
        <v>10.472340961602583</v>
      </c>
      <c r="AD112" s="3">
        <f>+ConstantDollars!AD112*1000/Enrollment!AC$21</f>
        <v>196.09368194382128</v>
      </c>
      <c r="AE112" s="3">
        <f>+ConstantDollars!AE112*1000/Enrollment!AD$21</f>
        <v>263.60810178789717</v>
      </c>
      <c r="AF112" s="3">
        <f>+ConstantDollars!AF112*1000/Enrollment!AE$21</f>
        <v>257.28671588646733</v>
      </c>
      <c r="AG112" s="3">
        <f>+ConstantDollars!AG112*1000/Enrollment!AF$21</f>
        <v>266.74427188041409</v>
      </c>
      <c r="AH112" s="3">
        <f>+ConstantDollars!AH112*1000/Enrollment!AG$21</f>
        <v>221.0890818335408</v>
      </c>
      <c r="AI112" s="3">
        <f>+ConstantDollars!AI112*1000/Enrollment!AH$21</f>
        <v>221.08950548261285</v>
      </c>
      <c r="AJ112" s="3">
        <f>+ConstantDollars!AJ112*1000/Enrollment!AI$21</f>
        <v>214.08175526255548</v>
      </c>
      <c r="AK112" s="3">
        <f>+ConstantDollars!AK112*1000/Enrollment!AJ$21</f>
        <v>208.85883803437065</v>
      </c>
    </row>
    <row r="113" spans="2:37" ht="13.5" thickBot="1">
      <c r="C113"/>
      <c r="D113"/>
      <c r="E113"/>
      <c r="F113"/>
      <c r="G113"/>
      <c r="H113"/>
      <c r="I113"/>
      <c r="J113"/>
      <c r="K113"/>
      <c r="L113"/>
      <c r="M113"/>
      <c r="N113"/>
      <c r="O113"/>
      <c r="P113"/>
    </row>
    <row r="114" spans="2:37" ht="13.5" thickTop="1">
      <c r="B114" s="1" t="str">
        <f>+$B$19</f>
        <v>Total Higher Education</v>
      </c>
      <c r="C114" s="38"/>
      <c r="D114" s="38"/>
      <c r="E114" s="38"/>
      <c r="F114" s="38"/>
      <c r="G114" s="38"/>
      <c r="H114" s="38"/>
      <c r="I114" s="38"/>
      <c r="J114" s="38"/>
      <c r="K114" s="38"/>
      <c r="L114" s="38"/>
      <c r="M114" s="38"/>
      <c r="N114" s="38"/>
      <c r="O114" s="38"/>
      <c r="P114" s="38"/>
      <c r="Q114" s="39"/>
      <c r="R114" s="39"/>
      <c r="S114" s="39">
        <f>+ConstantDollars!S114*1000/Enrollment!R$21</f>
        <v>389.91128275996937</v>
      </c>
      <c r="T114" s="39">
        <f>+ConstantDollars!T114*1000/Enrollment!S$21</f>
        <v>568.82052261459251</v>
      </c>
      <c r="U114" s="39">
        <f>+ConstantDollars!U114*1000/Enrollment!T$21</f>
        <v>1008.5897854888918</v>
      </c>
      <c r="V114" s="39">
        <f>+ConstantDollars!V114*1000/Enrollment!U$21</f>
        <v>930.46423790289589</v>
      </c>
      <c r="W114" s="39">
        <f>+ConstantDollars!W114*1000/Enrollment!V$21</f>
        <v>924.81037186551396</v>
      </c>
      <c r="X114" s="39">
        <f>+ConstantDollars!X114*1000/Enrollment!W$21</f>
        <v>447.11222460583303</v>
      </c>
      <c r="Y114" s="39">
        <f>+ConstantDollars!Y114*1000/Enrollment!X$21</f>
        <v>512.08725106511474</v>
      </c>
      <c r="Z114" s="39">
        <f>+ConstantDollars!Z114*1000/Enrollment!Y$21</f>
        <v>502.8499087319716</v>
      </c>
      <c r="AA114" s="39">
        <f>+ConstantDollars!AA114*1000/Enrollment!Z$21</f>
        <v>763.44443468253439</v>
      </c>
      <c r="AB114" s="39">
        <f>+ConstantDollars!AB114*1000/Enrollment!AA$21</f>
        <v>623.88140468304516</v>
      </c>
      <c r="AC114" s="39">
        <f>+ConstantDollars!AC114*1000/Enrollment!AB$21</f>
        <v>542.4540877086971</v>
      </c>
      <c r="AD114" s="39">
        <f>+ConstantDollars!AD114*1000/Enrollment!AC$21</f>
        <v>747.03874700720814</v>
      </c>
      <c r="AE114" s="39">
        <f>+ConstantDollars!AE114*1000/Enrollment!AD$21</f>
        <v>863.26172310659103</v>
      </c>
      <c r="AF114" s="39">
        <f>+ConstantDollars!AF114*1000/Enrollment!AE$21</f>
        <v>937.31316883718728</v>
      </c>
      <c r="AG114" s="39">
        <f>+ConstantDollars!AG114*1000/Enrollment!AF$21</f>
        <v>985.41793494396632</v>
      </c>
      <c r="AH114" s="39">
        <f>+ConstantDollars!AH114*1000/Enrollment!AG$21</f>
        <v>979.61397377238643</v>
      </c>
      <c r="AI114" s="39">
        <f>+ConstantDollars!AI114*1000/Enrollment!AH$21</f>
        <v>940.94334133385166</v>
      </c>
      <c r="AJ114" s="39">
        <f>+ConstantDollars!AJ114*1000/Enrollment!AI$21</f>
        <v>940.92623510111093</v>
      </c>
      <c r="AK114" s="39">
        <f>+ConstantDollars!AK114*1000/Enrollment!AJ$21</f>
        <v>928.67677308230304</v>
      </c>
    </row>
    <row r="115" spans="2:37">
      <c r="B115" s="199" t="str">
        <f>+$B$20</f>
        <v>[biennial annual average]</v>
      </c>
      <c r="C115"/>
      <c r="D115"/>
      <c r="E115"/>
      <c r="F115"/>
      <c r="G115"/>
      <c r="H115"/>
      <c r="I115"/>
      <c r="J115"/>
      <c r="K115"/>
      <c r="L115"/>
      <c r="M115"/>
      <c r="N115"/>
      <c r="O115"/>
      <c r="P115"/>
      <c r="R115" s="3"/>
      <c r="T115" s="3">
        <f>AVERAGE(S114:T114)</f>
        <v>479.36590268728094</v>
      </c>
      <c r="V115" s="3">
        <f>AVERAGE(U114:V114)</f>
        <v>969.52701169589386</v>
      </c>
      <c r="X115" s="3">
        <f>AVERAGE(W114:X114)</f>
        <v>685.96129823567344</v>
      </c>
      <c r="Y115" s="3"/>
      <c r="Z115" s="3">
        <f>AVERAGE(Y114:Z114)</f>
        <v>507.46857989854317</v>
      </c>
      <c r="AA115" s="3"/>
      <c r="AB115" s="3">
        <f>AVERAGE(AA114:AB114)</f>
        <v>693.66291968278983</v>
      </c>
      <c r="AC115" s="3"/>
      <c r="AD115" s="3">
        <f>AVERAGE(AC114:AD114)</f>
        <v>644.74641735795262</v>
      </c>
      <c r="AE115" s="3"/>
      <c r="AF115" s="3">
        <f>AVERAGE(AE114:AF114)</f>
        <v>900.28744597188916</v>
      </c>
      <c r="AG115" s="3"/>
      <c r="AH115" s="3">
        <f>AVERAGE(AG114:AH114)</f>
        <v>982.51595435817637</v>
      </c>
      <c r="AI115" s="3"/>
      <c r="AJ115" s="3">
        <f>AVERAGE(AI114:AJ114)</f>
        <v>940.93478821748135</v>
      </c>
      <c r="AK115" s="3"/>
    </row>
    <row r="116" spans="2:37">
      <c r="C116"/>
      <c r="D116"/>
      <c r="E116"/>
      <c r="F116"/>
      <c r="G116"/>
      <c r="H116"/>
      <c r="I116"/>
      <c r="J116"/>
      <c r="K116"/>
      <c r="L116"/>
      <c r="M116"/>
      <c r="N116"/>
      <c r="O116"/>
      <c r="P116"/>
      <c r="R116" s="3"/>
      <c r="T116" s="3"/>
    </row>
    <row r="117" spans="2:37" ht="14.25">
      <c r="B117" s="2447" t="str">
        <f>+OperatingFunds!B117</f>
        <v>Capital Budget Education Construction Account-State (253-1) and Higher Education Building Accounts (060 through 066) for Preventive Facility Maintenance and Repairs</v>
      </c>
      <c r="C117" s="5"/>
      <c r="D117" s="5"/>
      <c r="E117" s="5"/>
      <c r="F117" s="5"/>
      <c r="G117" s="5"/>
      <c r="H117" s="5"/>
      <c r="I117" s="5"/>
      <c r="J117" s="6"/>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spans="2:37" ht="13.5">
      <c r="B118" s="33" t="str">
        <f>+$B$4</f>
        <v>FY2024 Constant Dollar Expenditures per Actual State-Funded FTE Enrollment</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2:37">
      <c r="I119" s="13"/>
      <c r="J119" s="13"/>
      <c r="K119" s="13"/>
      <c r="L119" s="13"/>
      <c r="M119" s="13"/>
      <c r="N119" s="13"/>
      <c r="O119" s="13"/>
      <c r="P119" s="13"/>
      <c r="Q119"/>
      <c r="R119" s="13"/>
      <c r="S119"/>
      <c r="T119"/>
      <c r="U119" s="2" t="str">
        <f>IF(ISBLANK(OperatingFunds!U119),"",OperatingFunds!U119)</f>
        <v/>
      </c>
      <c r="V119" s="2" t="str">
        <f>IF(ISBLANK(OperatingFunds!V119),"",OperatingFunds!V119)</f>
        <v/>
      </c>
      <c r="W119" s="2" t="str">
        <f>IF(ISBLANK(OperatingFunds!W119),"",OperatingFunds!W119)</f>
        <v/>
      </c>
      <c r="X119" s="2" t="str">
        <f>IF(ISBLANK(OperatingFunds!X119),"",OperatingFunds!X119)</f>
        <v/>
      </c>
      <c r="Y119" s="2" t="str">
        <f>IF(ISBLANK(OperatingFunds!Y119),"",OperatingFunds!Y119)</f>
        <v/>
      </c>
      <c r="Z119" s="2" t="str">
        <f>IF(ISBLANK(OperatingFunds!Z119),"",OperatingFunds!Z119)</f>
        <v/>
      </c>
      <c r="AA119" s="2" t="str">
        <f>IF(ISBLANK(OperatingFunds!AA119),"",OperatingFunds!AA119)</f>
        <v/>
      </c>
      <c r="AB119" s="2" t="str">
        <f>IF(ISBLANK(OperatingFunds!AB119),"",OperatingFunds!AB119)</f>
        <v/>
      </c>
      <c r="AC119" s="2" t="str">
        <f>IF(ISBLANK(OperatingFunds!AC119),"",OperatingFunds!AC119)</f>
        <v/>
      </c>
      <c r="AD119" s="2" t="str">
        <f>IF(ISBLANK(OperatingFunds!AD119),"",OperatingFunds!AD119)</f>
        <v/>
      </c>
      <c r="AE119" s="2" t="str">
        <f>IF(ISBLANK(OperatingFunds!AE119),"",OperatingFunds!AE119)</f>
        <v/>
      </c>
      <c r="AF119" s="2" t="str">
        <f>IF(ISBLANK(OperatingFunds!AF119),"",OperatingFunds!AF119)</f>
        <v/>
      </c>
      <c r="AG119" s="2" t="str">
        <f>IF(ISBLANK(OperatingFunds!AG119),"",OperatingFunds!AG119)</f>
        <v/>
      </c>
      <c r="AH119" s="2" t="str">
        <f>IF(ISBLANK(OperatingFunds!AH119),"",OperatingFunds!AH119)</f>
        <v/>
      </c>
      <c r="AI119" s="2" t="str">
        <f>IF(ISBLANK(OperatingFunds!AI119),"",OperatingFunds!AI119)</f>
        <v/>
      </c>
      <c r="AJ119" s="2" t="str">
        <f>IF(ISBLANK(OperatingFunds!AJ119),"",OperatingFunds!AJ119)</f>
        <v/>
      </c>
      <c r="AK119" s="2" t="str">
        <f>IF(ISBLANK(OperatingFunds!AK119),"",OperatingFunds!AK119)</f>
        <v>Final</v>
      </c>
    </row>
    <row r="120" spans="2:37">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IF(ISBLANK(OperatingFunds!U120),"",OperatingFunds!U120)</f>
        <v>FY2008</v>
      </c>
      <c r="V120" s="2" t="str">
        <f>IF(ISBLANK(OperatingFunds!V120),"",OperatingFunds!V120)</f>
        <v>FY2009</v>
      </c>
      <c r="W120" s="2" t="str">
        <f>IF(ISBLANK(OperatingFunds!W120),"",OperatingFunds!W120)</f>
        <v>FY2010</v>
      </c>
      <c r="X120" s="2" t="str">
        <f>IF(ISBLANK(OperatingFunds!X120),"",OperatingFunds!X120)</f>
        <v>FY2011</v>
      </c>
      <c r="Y120" s="2" t="str">
        <f>IF(ISBLANK(OperatingFunds!Y120),"",OperatingFunds!Y120)</f>
        <v>FY2012</v>
      </c>
      <c r="Z120" s="2" t="str">
        <f>IF(ISBLANK(OperatingFunds!Z120),"",OperatingFunds!Z120)</f>
        <v>FY2013</v>
      </c>
      <c r="AA120" s="2" t="str">
        <f>IF(ISBLANK(OperatingFunds!AA120),"",OperatingFunds!AA120)</f>
        <v>FY2014</v>
      </c>
      <c r="AB120" s="2" t="str">
        <f>IF(ISBLANK(OperatingFunds!AB120),"",OperatingFunds!AB120)</f>
        <v>FY2015</v>
      </c>
      <c r="AC120" s="2" t="str">
        <f>IF(ISBLANK(OperatingFunds!AC120),"",OperatingFunds!AC120)</f>
        <v>FY2016</v>
      </c>
      <c r="AD120" s="2" t="str">
        <f>IF(ISBLANK(OperatingFunds!AD120),"",OperatingFunds!AD120)</f>
        <v>FY2017</v>
      </c>
      <c r="AE120" s="2" t="str">
        <f>IF(ISBLANK(OperatingFunds!AE120),"",OperatingFunds!AE120)</f>
        <v>FY2018</v>
      </c>
      <c r="AF120" s="2" t="str">
        <f>IF(ISBLANK(OperatingFunds!AF120),"",OperatingFunds!AF120)</f>
        <v>FY2019</v>
      </c>
      <c r="AG120" s="2" t="str">
        <f>IF(ISBLANK(OperatingFunds!AG120),"",OperatingFunds!AG120)</f>
        <v>FY2020</v>
      </c>
      <c r="AH120" s="2" t="str">
        <f>IF(ISBLANK(OperatingFunds!AH120),"",OperatingFunds!AH120)</f>
        <v>FY2021</v>
      </c>
      <c r="AI120" s="2" t="str">
        <f>IF(ISBLANK(OperatingFunds!AI120),"",OperatingFunds!AI120)</f>
        <v>FY2022</v>
      </c>
      <c r="AJ120" s="2" t="str">
        <f>IF(ISBLANK(OperatingFunds!AJ120),"",OperatingFunds!AJ120)</f>
        <v>FY2023</v>
      </c>
      <c r="AK120" s="2" t="str">
        <f>IF(ISBLANK(OperatingFunds!AK120),"",OperatingFunds!AK120)</f>
        <v>FY2024</v>
      </c>
    </row>
    <row r="122" spans="2:37">
      <c r="B122" s="1" t="str">
        <f>+$B$8</f>
        <v>University of Washington</v>
      </c>
      <c r="C122"/>
      <c r="D122"/>
      <c r="E122"/>
      <c r="F122"/>
      <c r="G122"/>
      <c r="H122"/>
      <c r="I122"/>
      <c r="J122"/>
      <c r="K122"/>
      <c r="L122"/>
      <c r="M122"/>
      <c r="N122"/>
      <c r="O122"/>
      <c r="P122"/>
      <c r="Q122" s="3">
        <f>+ConstantDollars!Q122*1000/Enrollment!P$10</f>
        <v>460.5041200305792</v>
      </c>
      <c r="R122" s="3">
        <f>+ConstantDollars!R122*1000/Enrollment!Q$10</f>
        <v>386.65092656998871</v>
      </c>
      <c r="S122" s="3">
        <f>+ConstantDollars!S122*1000/Enrollment!R$10</f>
        <v>520.56493448477534</v>
      </c>
      <c r="T122" s="3">
        <f>+ConstantDollars!T122*1000/Enrollment!S$10</f>
        <v>507.20610597579582</v>
      </c>
      <c r="U122" s="3">
        <f>+ConstantDollars!U122*1000/Enrollment!T$10</f>
        <v>422.7224993145893</v>
      </c>
      <c r="V122" s="3">
        <f>+ConstantDollars!V122*1000/Enrollment!U$10</f>
        <v>496.84972744817213</v>
      </c>
      <c r="W122" s="3">
        <f>+ConstantDollars!W122*1000/Enrollment!V$10</f>
        <v>241.15264968124893</v>
      </c>
      <c r="X122" s="3">
        <f>+ConstantDollars!X122*1000/Enrollment!W$10</f>
        <v>424.65358342131083</v>
      </c>
      <c r="Y122" s="3">
        <f>+ConstantDollars!Y122*1000/Enrollment!X$10</f>
        <v>360.6516025598101</v>
      </c>
      <c r="Z122" s="3">
        <f>+ConstantDollars!Z122*1000/Enrollment!Y$10</f>
        <v>412.57422046310717</v>
      </c>
      <c r="AA122" s="3">
        <f>+ConstantDollars!AA122*1000/Enrollment!Z$10</f>
        <v>418.50406021941632</v>
      </c>
      <c r="AB122" s="3">
        <f>+ConstantDollars!AB122*1000/Enrollment!AA$10</f>
        <v>301.92054714809279</v>
      </c>
      <c r="AC122" s="3">
        <f>+ConstantDollars!AC122*1000/Enrollment!AB$10</f>
        <v>342.63504700490142</v>
      </c>
      <c r="AD122" s="3">
        <f>+ConstantDollars!AD122*1000/Enrollment!AC$10</f>
        <v>331.65103903423193</v>
      </c>
      <c r="AE122" s="3">
        <f>+ConstantDollars!AE122*1000/Enrollment!AD$10</f>
        <v>320.13645759294434</v>
      </c>
      <c r="AF122" s="3">
        <f>+ConstantDollars!AF122*1000/Enrollment!AE$10</f>
        <v>307.85876106264845</v>
      </c>
      <c r="AG122" s="3">
        <f>+ConstantDollars!AG122*1000/Enrollment!AF$10</f>
        <v>303.31997773524705</v>
      </c>
      <c r="AH122" s="3">
        <f>+ConstantDollars!AH122*1000/Enrollment!AG$10</f>
        <v>301.1571113859344</v>
      </c>
      <c r="AI122" s="3">
        <f>+ConstantDollars!AI122*1000/Enrollment!AH$10</f>
        <v>285.6479744376727</v>
      </c>
      <c r="AJ122" s="3">
        <f>+ConstantDollars!AJ122*1000/Enrollment!AI$10</f>
        <v>273.82733777503324</v>
      </c>
      <c r="AK122" s="3">
        <f>+ConstantDollars!AK122*1000/Enrollment!AJ$10</f>
        <v>246.22029873101499</v>
      </c>
    </row>
    <row r="123" spans="2:37">
      <c r="B123" s="1" t="str">
        <f>+$B$9</f>
        <v>Washington State University</v>
      </c>
      <c r="C123"/>
      <c r="D123"/>
      <c r="E123"/>
      <c r="F123"/>
      <c r="G123"/>
      <c r="H123"/>
      <c r="I123"/>
      <c r="J123"/>
      <c r="K123"/>
      <c r="L123"/>
      <c r="M123"/>
      <c r="N123"/>
      <c r="O123"/>
      <c r="P123"/>
      <c r="Q123" s="3">
        <f>+ConstantDollars!Q123*1000/Enrollment!P$11</f>
        <v>296.96831262531981</v>
      </c>
      <c r="R123" s="3">
        <f>+ConstantDollars!R123*1000/Enrollment!Q$11</f>
        <v>280.98033831232539</v>
      </c>
      <c r="S123" s="3">
        <f>+ConstantDollars!S123*1000/Enrollment!R$11</f>
        <v>346.96803426149938</v>
      </c>
      <c r="T123" s="3">
        <f>+ConstantDollars!T123*1000/Enrollment!S$11</f>
        <v>339.66596444670557</v>
      </c>
      <c r="U123" s="3">
        <f>+ConstantDollars!U123*1000/Enrollment!T$11</f>
        <v>313.90774525553644</v>
      </c>
      <c r="V123" s="3">
        <f>+ConstantDollars!V123*1000/Enrollment!U$11</f>
        <v>297.7402829387562</v>
      </c>
      <c r="W123" s="3">
        <f>+ConstantDollars!W123*1000/Enrollment!V$11</f>
        <v>803.13078274304587</v>
      </c>
      <c r="X123" s="3">
        <f>+ConstantDollars!X123*1000/Enrollment!W$11</f>
        <v>780.72367837495699</v>
      </c>
      <c r="Y123" s="3">
        <f>+ConstantDollars!Y123*1000/Enrollment!X$11</f>
        <v>260.35696073703758</v>
      </c>
      <c r="Z123" s="3">
        <f>+ConstantDollars!Z123*1000/Enrollment!Y$11</f>
        <v>257.51892473007808</v>
      </c>
      <c r="AA123" s="3">
        <f>+ConstantDollars!AA123*1000/Enrollment!Z$11</f>
        <v>254.92547401470259</v>
      </c>
      <c r="AB123" s="3">
        <f>+ConstantDollars!AB123*1000/Enrollment!AA$11</f>
        <v>244.72064306785751</v>
      </c>
      <c r="AC123" s="3">
        <f>+ConstantDollars!AC123*1000/Enrollment!AB$11</f>
        <v>240.05142556395495</v>
      </c>
      <c r="AD123" s="3">
        <f>+ConstantDollars!AD123*1000/Enrollment!AC$11</f>
        <v>233.76871226326412</v>
      </c>
      <c r="AE123" s="3">
        <f>+ConstantDollars!AE123*1000/Enrollment!AD$11</f>
        <v>225.8665333130061</v>
      </c>
      <c r="AF123" s="3">
        <f>+ConstantDollars!AF123*1000/Enrollment!AE$11</f>
        <v>217.5001612609974</v>
      </c>
      <c r="AG123" s="3">
        <f>+ConstantDollars!AG123*1000/Enrollment!AF$11</f>
        <v>214.357967217208</v>
      </c>
      <c r="AH123" s="3">
        <f>+ConstantDollars!AH123*1000/Enrollment!AG$11</f>
        <v>215.7836063027076</v>
      </c>
      <c r="AI123" s="3">
        <f>+ConstantDollars!AI123*1000/Enrollment!AH$11</f>
        <v>215.77655361822312</v>
      </c>
      <c r="AJ123" s="3">
        <f>+ConstantDollars!AJ123*1000/Enrollment!AI$11</f>
        <v>219.59616274111994</v>
      </c>
      <c r="AK123" s="3">
        <f>+ConstantDollars!AK123*1000/Enrollment!AJ$11</f>
        <v>220.05469821248681</v>
      </c>
    </row>
    <row r="124" spans="2:37">
      <c r="B124" s="1" t="str">
        <f>+$B$10</f>
        <v>Eastern Washington University</v>
      </c>
      <c r="C124"/>
      <c r="D124"/>
      <c r="E124"/>
      <c r="F124"/>
      <c r="G124"/>
      <c r="H124"/>
      <c r="I124"/>
      <c r="J124"/>
      <c r="K124"/>
      <c r="L124"/>
      <c r="M124"/>
      <c r="N124"/>
      <c r="O124"/>
      <c r="P124"/>
      <c r="Q124" s="3">
        <f>+ConstantDollars!Q124*1000/Enrollment!P$12</f>
        <v>7.3187265884743384</v>
      </c>
      <c r="R124" s="3">
        <f>+ConstantDollars!R124*1000/Enrollment!Q$12</f>
        <v>278.50643099372098</v>
      </c>
      <c r="S124" s="3">
        <f>+ConstantDollars!S124*1000/Enrollment!R$12</f>
        <v>120.60911724922643</v>
      </c>
      <c r="T124" s="3">
        <f>+ConstantDollars!T124*1000/Enrollment!S$12</f>
        <v>225.77052964942609</v>
      </c>
      <c r="U124" s="3">
        <f>+ConstantDollars!U124*1000/Enrollment!T$12</f>
        <v>184.57251042556496</v>
      </c>
      <c r="V124" s="3">
        <f>+ConstantDollars!V124*1000/Enrollment!U$12</f>
        <v>148.37605624380075</v>
      </c>
      <c r="W124" s="3">
        <f>+ConstantDollars!W124*1000/Enrollment!V$12</f>
        <v>158.7193867965496</v>
      </c>
      <c r="X124" s="3">
        <f>+ConstantDollars!X124*1000/Enrollment!W$12</f>
        <v>456.56526356515707</v>
      </c>
      <c r="Y124" s="3">
        <f>+ConstantDollars!Y124*1000/Enrollment!X$12</f>
        <v>145.54543309964365</v>
      </c>
      <c r="Z124" s="3">
        <f>+ConstantDollars!Z124*1000/Enrollment!Y$12</f>
        <v>139.79289763428585</v>
      </c>
      <c r="AA124" s="3">
        <f>+ConstantDollars!AA124*1000/Enrollment!Z$12</f>
        <v>136.98346154032384</v>
      </c>
      <c r="AB124" s="3">
        <f>+ConstantDollars!AB124*1000/Enrollment!AA$12</f>
        <v>133.90402666391594</v>
      </c>
      <c r="AC124" s="3">
        <f>+ConstantDollars!AC124*1000/Enrollment!AB$12</f>
        <v>133.61515394335478</v>
      </c>
      <c r="AD124" s="3">
        <f>+ConstantDollars!AD124*1000/Enrollment!AC$12</f>
        <v>133.20933144860271</v>
      </c>
      <c r="AE124" s="3">
        <f>+ConstantDollars!AE124*1000/Enrollment!AD$12</f>
        <v>126.18290048000222</v>
      </c>
      <c r="AF124" s="3">
        <f>+ConstantDollars!AF124*1000/Enrollment!AE$12</f>
        <v>127.91454090949551</v>
      </c>
      <c r="AG124" s="3">
        <f>+ConstantDollars!AG124*1000/Enrollment!AF$12</f>
        <v>137.26880768480009</v>
      </c>
      <c r="AH124" s="3">
        <f>+ConstantDollars!AH124*1000/Enrollment!AG$12</f>
        <v>154.63639967671267</v>
      </c>
      <c r="AI124" s="3">
        <f>+ConstantDollars!AI124*1000/Enrollment!AH$12</f>
        <v>0</v>
      </c>
      <c r="AJ124" s="3">
        <f>+ConstantDollars!AJ124*1000/Enrollment!AI$12</f>
        <v>0</v>
      </c>
      <c r="AK124" s="3">
        <f>+ConstantDollars!AK124*1000/Enrollment!AJ$12</f>
        <v>172.83689684391172</v>
      </c>
    </row>
    <row r="125" spans="2:37">
      <c r="B125" s="1" t="str">
        <f>+$B$11</f>
        <v>Central Washington University</v>
      </c>
      <c r="C125"/>
      <c r="D125"/>
      <c r="E125"/>
      <c r="F125"/>
      <c r="G125"/>
      <c r="H125"/>
      <c r="I125"/>
      <c r="J125"/>
      <c r="K125"/>
      <c r="L125"/>
      <c r="M125"/>
      <c r="N125"/>
      <c r="O125"/>
      <c r="P125"/>
      <c r="Q125" s="3">
        <f>+ConstantDollars!Q125*1000/Enrollment!P$13</f>
        <v>143.15274951535844</v>
      </c>
      <c r="R125" s="3">
        <f>+ConstantDollars!R125*1000/Enrollment!Q$13</f>
        <v>184.51288457854827</v>
      </c>
      <c r="S125" s="3">
        <f>+ConstantDollars!S125*1000/Enrollment!R$13</f>
        <v>195.63444707345559</v>
      </c>
      <c r="T125" s="3">
        <f>+ConstantDollars!T125*1000/Enrollment!S$13</f>
        <v>187.99709271236628</v>
      </c>
      <c r="U125" s="3">
        <f>+ConstantDollars!U125*1000/Enrollment!T$13</f>
        <v>187.9846572065259</v>
      </c>
      <c r="V125" s="3">
        <f>+ConstantDollars!V125*1000/Enrollment!U$13</f>
        <v>183.01714363830001</v>
      </c>
      <c r="W125" s="3">
        <f>+ConstantDollars!W125*1000/Enrollment!V$13</f>
        <v>170.0470764731692</v>
      </c>
      <c r="X125" s="3">
        <f>+ConstantDollars!X125*1000/Enrollment!W$13</f>
        <v>433.45061604538961</v>
      </c>
      <c r="Y125" s="3">
        <f>+ConstantDollars!Y125*1000/Enrollment!X$13</f>
        <v>164.53559160105658</v>
      </c>
      <c r="Z125" s="3">
        <f>+ConstantDollars!Z125*1000/Enrollment!Y$13</f>
        <v>165.65041909712727</v>
      </c>
      <c r="AA125" s="3">
        <f>+ConstantDollars!AA125*1000/Enrollment!Z$13</f>
        <v>164.8593281286031</v>
      </c>
      <c r="AB125" s="3">
        <f>+ConstantDollars!AB125*1000/Enrollment!AA$13</f>
        <v>167.17301636573674</v>
      </c>
      <c r="AC125" s="3">
        <f>+ConstantDollars!AC125*1000/Enrollment!AB$13</f>
        <v>161.1494604950943</v>
      </c>
      <c r="AD125" s="3">
        <f>+ConstantDollars!AD125*1000/Enrollment!AC$13</f>
        <v>153.41751247844519</v>
      </c>
      <c r="AE125" s="3">
        <f>+ConstantDollars!AE125*1000/Enrollment!AD$13</f>
        <v>147.70677799882097</v>
      </c>
      <c r="AF125" s="3">
        <f>+ConstantDollars!AF125*1000/Enrollment!AE$13</f>
        <v>146.61487683348773</v>
      </c>
      <c r="AG125" s="3">
        <f>+ConstantDollars!AG125*1000/Enrollment!AF$13</f>
        <v>131.71752697485431</v>
      </c>
      <c r="AH125" s="3">
        <f>+ConstantDollars!AH125*1000/Enrollment!AG$13</f>
        <v>143.98026203940088</v>
      </c>
      <c r="AI125" s="3">
        <f>+ConstantDollars!AI125*1000/Enrollment!AH$13</f>
        <v>149.94576800970549</v>
      </c>
      <c r="AJ125" s="3">
        <f>+ConstantDollars!AJ125*1000/Enrollment!AI$13</f>
        <v>155.82459586198547</v>
      </c>
      <c r="AK125" s="3">
        <f>+ConstantDollars!AK125*1000/Enrollment!AJ$13</f>
        <v>159.48377640923937</v>
      </c>
    </row>
    <row r="126" spans="2:37">
      <c r="B126" s="1" t="str">
        <f>+$B$12</f>
        <v>The Evergreen State College</v>
      </c>
      <c r="C126"/>
      <c r="D126"/>
      <c r="E126"/>
      <c r="F126"/>
      <c r="G126"/>
      <c r="H126"/>
      <c r="I126"/>
      <c r="J126"/>
      <c r="K126"/>
      <c r="L126"/>
      <c r="M126"/>
      <c r="N126"/>
      <c r="O126"/>
      <c r="P126"/>
      <c r="Q126" s="3">
        <f>+ConstantDollars!Q126*1000/Enrollment!P$14</f>
        <v>93.935457575483724</v>
      </c>
      <c r="R126" s="3">
        <f>+ConstantDollars!R126*1000/Enrollment!Q$14</f>
        <v>177.86590688121427</v>
      </c>
      <c r="S126" s="3">
        <f>+ConstantDollars!S126*1000/Enrollment!R$14</f>
        <v>70.751385853031266</v>
      </c>
      <c r="T126" s="3">
        <f>+ConstantDollars!T126*1000/Enrollment!S$14</f>
        <v>194.57849013446892</v>
      </c>
      <c r="U126" s="3">
        <f>+ConstantDollars!U126*1000/Enrollment!T$14</f>
        <v>175.36886743598623</v>
      </c>
      <c r="V126" s="3">
        <f>+ConstantDollars!V126*1000/Enrollment!U$14</f>
        <v>67.542961265706154</v>
      </c>
      <c r="W126" s="3">
        <f>+ConstantDollars!W126*1000/Enrollment!V$14</f>
        <v>224.29139217955895</v>
      </c>
      <c r="X126" s="3">
        <f>+ConstantDollars!X126*1000/Enrollment!W$14</f>
        <v>943.64273534714584</v>
      </c>
      <c r="Y126" s="3">
        <f>+ConstantDollars!Y126*1000/Enrollment!X$14</f>
        <v>168.05960724323282</v>
      </c>
      <c r="Z126" s="3">
        <f>+ConstantDollars!Z126*1000/Enrollment!Y$14</f>
        <v>50.174797681940042</v>
      </c>
      <c r="AA126" s="3">
        <f>+ConstantDollars!AA126*1000/Enrollment!Z$14</f>
        <v>228.17192120023776</v>
      </c>
      <c r="AB126" s="3">
        <f>+ConstantDollars!AB126*1000/Enrollment!AA$14</f>
        <v>9.7178805754341343E-3</v>
      </c>
      <c r="AC126" s="3">
        <f>+ConstantDollars!AC126*1000/Enrollment!AB$14</f>
        <v>237.14875545701338</v>
      </c>
      <c r="AD126" s="3">
        <f>+ConstantDollars!AD126*1000/Enrollment!AC$14</f>
        <v>7.9624749829876853</v>
      </c>
      <c r="AE126" s="3">
        <f>+ConstantDollars!AE126*1000/Enrollment!AD$14</f>
        <v>276.41993361188452</v>
      </c>
      <c r="AF126" s="3">
        <f>+ConstantDollars!AF126*1000/Enrollment!AE$14</f>
        <v>0</v>
      </c>
      <c r="AG126" s="3">
        <f>+ConstantDollars!AG126*1000/Enrollment!AF$14</f>
        <v>348.97566256183501</v>
      </c>
      <c r="AH126" s="3">
        <f>+ConstantDollars!AH126*1000/Enrollment!AG$14</f>
        <v>87.017060074772999</v>
      </c>
      <c r="AI126" s="3">
        <f>+ConstantDollars!AI126*1000/Enrollment!AH$14</f>
        <v>288.6881835155931</v>
      </c>
      <c r="AJ126" s="3">
        <f>+ConstantDollars!AJ126*1000/Enrollment!AI$14</f>
        <v>238.38994223287114</v>
      </c>
      <c r="AK126" s="3">
        <f>+ConstantDollars!AK126*1000/Enrollment!AJ$14</f>
        <v>331.35495757895649</v>
      </c>
    </row>
    <row r="127" spans="2:37">
      <c r="B127" s="1" t="str">
        <f>+$B$13</f>
        <v>Western Washington University</v>
      </c>
      <c r="C127" s="41"/>
      <c r="D127" s="41"/>
      <c r="E127" s="41"/>
      <c r="F127" s="41"/>
      <c r="G127" s="41"/>
      <c r="H127" s="41"/>
      <c r="I127" s="41"/>
      <c r="J127" s="41"/>
      <c r="K127" s="41"/>
      <c r="L127" s="41"/>
      <c r="M127" s="41"/>
      <c r="N127" s="41"/>
      <c r="O127" s="41"/>
      <c r="P127" s="41"/>
      <c r="Q127" s="3">
        <f>+ConstantDollars!Q127*1000/Enrollment!P$15</f>
        <v>189.4456330991006</v>
      </c>
      <c r="R127" s="3">
        <f>+ConstantDollars!R127*1000/Enrollment!Q$15</f>
        <v>181.33442498284435</v>
      </c>
      <c r="S127" s="3">
        <f>+ConstantDollars!S127*1000/Enrollment!R$15</f>
        <v>224.91637272048106</v>
      </c>
      <c r="T127" s="3">
        <f>+ConstantDollars!T127*1000/Enrollment!S$15</f>
        <v>219.1033504732296</v>
      </c>
      <c r="U127" s="3">
        <f>+ConstantDollars!U127*1000/Enrollment!T$15</f>
        <v>206.34029298328056</v>
      </c>
      <c r="V127" s="3">
        <f>+ConstantDollars!V127*1000/Enrollment!U$15</f>
        <v>199.87499072926553</v>
      </c>
      <c r="W127" s="3">
        <f>+ConstantDollars!W127*1000/Enrollment!V$15</f>
        <v>196.73418813214781</v>
      </c>
      <c r="X127" s="3">
        <f>+ConstantDollars!X127*1000/Enrollment!W$15</f>
        <v>422.47827249806318</v>
      </c>
      <c r="Y127" s="3">
        <f>+ConstantDollars!Y127*1000/Enrollment!X$15</f>
        <v>185.998664280496</v>
      </c>
      <c r="Z127" s="3">
        <f>+ConstantDollars!Z127*1000/Enrollment!Y$15</f>
        <v>185.16255927881593</v>
      </c>
      <c r="AA127" s="3">
        <f>+ConstantDollars!AA127*1000/Enrollment!Z$15</f>
        <v>181.91294818715306</v>
      </c>
      <c r="AB127" s="3">
        <f>+ConstantDollars!AB127*1000/Enrollment!AA$15</f>
        <v>180.14529855570575</v>
      </c>
      <c r="AC127" s="3">
        <f>+ConstantDollars!AC127*1000/Enrollment!AB$15</f>
        <v>178.12012032432636</v>
      </c>
      <c r="AD127" s="3">
        <f>+ConstantDollars!AD127*1000/Enrollment!AC$15</f>
        <v>173.81711489531179</v>
      </c>
      <c r="AE127" s="3">
        <f>+ConstantDollars!AE127*1000/Enrollment!AD$15</f>
        <v>190.0385572574354</v>
      </c>
      <c r="AF127" s="3">
        <f>+ConstantDollars!AF127*1000/Enrollment!AE$15</f>
        <v>136.64945060721095</v>
      </c>
      <c r="AG127" s="3">
        <f>+ConstantDollars!AG127*1000/Enrollment!AF$15</f>
        <v>161.21560802912316</v>
      </c>
      <c r="AH127" s="3">
        <f>+ConstantDollars!AH127*1000/Enrollment!AG$15</f>
        <v>168.86464257400527</v>
      </c>
      <c r="AI127" s="3">
        <f>+ConstantDollars!AI127*1000/Enrollment!AH$15</f>
        <v>161.90453893460202</v>
      </c>
      <c r="AJ127" s="3">
        <f>+ConstantDollars!AJ127*1000/Enrollment!AI$15</f>
        <v>155.60243411363413</v>
      </c>
      <c r="AK127" s="3">
        <f>+ConstantDollars!AK127*1000/Enrollment!AJ$15</f>
        <v>149.35475221049646</v>
      </c>
    </row>
    <row r="128" spans="2:37">
      <c r="B128" s="199" t="str">
        <f>+$B$14</f>
        <v>Total Four-Year Institutions</v>
      </c>
      <c r="C128" s="42"/>
      <c r="D128" s="42"/>
      <c r="E128" s="42"/>
      <c r="F128" s="42"/>
      <c r="G128" s="42"/>
      <c r="H128" s="42"/>
      <c r="I128" s="42"/>
      <c r="J128" s="42"/>
      <c r="K128" s="42"/>
      <c r="L128" s="42"/>
      <c r="M128" s="42"/>
      <c r="N128" s="42"/>
      <c r="O128" s="42"/>
      <c r="P128" s="42"/>
      <c r="Q128" s="42">
        <f>+ConstantDollars!Q128*1000/Enrollment!P$16</f>
        <v>296.34664466575327</v>
      </c>
      <c r="R128" s="42">
        <f>+ConstantDollars!R128*1000/Enrollment!Q$16</f>
        <v>295.97838262530593</v>
      </c>
      <c r="S128" s="42">
        <f>+ConstantDollars!S128*1000/Enrollment!R$16</f>
        <v>349.21846153541549</v>
      </c>
      <c r="T128" s="42">
        <f>+ConstantDollars!T128*1000/Enrollment!S$16</f>
        <v>357.88098812438847</v>
      </c>
      <c r="U128" s="42">
        <f>+ConstantDollars!U128*1000/Enrollment!T$16</f>
        <v>312.66887141865988</v>
      </c>
      <c r="V128" s="42">
        <f>+ConstantDollars!V128*1000/Enrollment!U$16</f>
        <v>330.68452002043824</v>
      </c>
      <c r="W128" s="42">
        <f>+ConstantDollars!W128*1000/Enrollment!V$16</f>
        <v>353.66074476707627</v>
      </c>
      <c r="X128" s="42">
        <f>+ConstantDollars!X128*1000/Enrollment!W$16</f>
        <v>534.73006057841621</v>
      </c>
      <c r="Y128" s="42">
        <f>+ConstantDollars!Y128*1000/Enrollment!X$16</f>
        <v>268.63757378799244</v>
      </c>
      <c r="Z128" s="42">
        <f>+ConstantDollars!Z128*1000/Enrollment!Y$16</f>
        <v>284.88424121849016</v>
      </c>
      <c r="AA128" s="42">
        <f>+ConstantDollars!AA128*1000/Enrollment!Z$16</f>
        <v>294.92147855482841</v>
      </c>
      <c r="AB128" s="42">
        <f>+ConstantDollars!AB128*1000/Enrollment!AA$16</f>
        <v>235.20894890071574</v>
      </c>
      <c r="AC128" s="42">
        <f>+ConstantDollars!AC128*1000/Enrollment!AB$16</f>
        <v>259.98904395695411</v>
      </c>
      <c r="AD128" s="42">
        <f>+ConstantDollars!AD128*1000/Enrollment!AC$16</f>
        <v>244.80162749561416</v>
      </c>
      <c r="AE128" s="42">
        <f>+ConstantDollars!AE128*1000/Enrollment!AD$16</f>
        <v>247.71657533831547</v>
      </c>
      <c r="AF128" s="42">
        <f>+ConstantDollars!AF128*1000/Enrollment!AE$16</f>
        <v>227.3979690914571</v>
      </c>
      <c r="AG128" s="42">
        <f>+ConstantDollars!AG128*1000/Enrollment!AF$16</f>
        <v>236.04500576705684</v>
      </c>
      <c r="AH128" s="42">
        <f>+ConstantDollars!AH128*1000/Enrollment!AG$16</f>
        <v>236.15185051282634</v>
      </c>
      <c r="AI128" s="42">
        <f>+ConstantDollars!AI128*1000/Enrollment!AH$16</f>
        <v>223.18069171860347</v>
      </c>
      <c r="AJ128" s="42">
        <f>+ConstantDollars!AJ128*1000/Enrollment!AI$16</f>
        <v>218.87055171746786</v>
      </c>
      <c r="AK128" s="42">
        <f>+ConstantDollars!AK128*1000/Enrollment!AJ$16</f>
        <v>219.95648590622909</v>
      </c>
    </row>
    <row r="129" spans="2:37">
      <c r="C129"/>
      <c r="D129"/>
      <c r="E129"/>
      <c r="F129"/>
      <c r="G129"/>
      <c r="H129"/>
      <c r="I129"/>
      <c r="J129"/>
      <c r="K129"/>
      <c r="L129"/>
      <c r="M129"/>
      <c r="N129"/>
      <c r="O129"/>
      <c r="P129"/>
      <c r="Q129" s="3"/>
      <c r="R129" s="3"/>
      <c r="S129" s="3"/>
      <c r="T129" s="3"/>
      <c r="U129" s="3"/>
      <c r="V129" s="3"/>
      <c r="W129" s="3"/>
      <c r="X129" s="3"/>
      <c r="Y129" s="3"/>
      <c r="Z129" s="3"/>
      <c r="AA129" s="3"/>
      <c r="AB129" s="3"/>
      <c r="AC129" s="3"/>
      <c r="AD129" s="3"/>
      <c r="AE129" s="3"/>
      <c r="AF129" s="3"/>
      <c r="AG129" s="3"/>
      <c r="AH129" s="3"/>
      <c r="AI129" s="3"/>
      <c r="AJ129" s="3"/>
      <c r="AK129" s="3"/>
    </row>
    <row r="130" spans="2:37">
      <c r="B130" s="1" t="str">
        <f>+$B$16</f>
        <v>Community/Technical College System</v>
      </c>
      <c r="C130"/>
      <c r="D130"/>
      <c r="E130"/>
      <c r="F130"/>
      <c r="G130"/>
      <c r="H130"/>
      <c r="I130"/>
      <c r="J130"/>
      <c r="K130"/>
      <c r="L130"/>
      <c r="M130"/>
      <c r="N130"/>
      <c r="O130"/>
      <c r="P130"/>
      <c r="Q130" s="3">
        <f>+ConstantDollars!Q130*1000/Enrollment!P$18</f>
        <v>99.108206407516263</v>
      </c>
      <c r="R130" s="3">
        <f>+ConstantDollars!R130*1000/Enrollment!Q$18</f>
        <v>102.28738871547316</v>
      </c>
      <c r="S130" s="3">
        <f>+ConstantDollars!S130*1000/Enrollment!R$18</f>
        <v>129.11675809608184</v>
      </c>
      <c r="T130" s="3">
        <f>+ConstantDollars!T130*1000/Enrollment!S$18</f>
        <v>121.40743659895382</v>
      </c>
      <c r="U130" s="3">
        <f>+ConstantDollars!U130*1000/Enrollment!T$18</f>
        <v>115.36207983536696</v>
      </c>
      <c r="V130" s="3">
        <f>+ConstantDollars!V130*1000/Enrollment!U$18</f>
        <v>105.78287228998491</v>
      </c>
      <c r="W130" s="3">
        <f>+ConstantDollars!W130*1000/Enrollment!V$18</f>
        <v>0</v>
      </c>
      <c r="X130" s="3">
        <f>+ConstantDollars!X130*1000/Enrollment!W$18</f>
        <v>0</v>
      </c>
      <c r="Y130" s="3">
        <f>+ConstantDollars!Y130*1000/Enrollment!X$18</f>
        <v>86.094631736878284</v>
      </c>
      <c r="Z130" s="3">
        <f>+ConstantDollars!Z130*1000/Enrollment!Y$18</f>
        <v>110.07914226940574</v>
      </c>
      <c r="AA130" s="3">
        <f>+ConstantDollars!AA130*1000/Enrollment!Z$18</f>
        <v>100.61896287973966</v>
      </c>
      <c r="AB130" s="3">
        <f>+ConstantDollars!AB130*1000/Enrollment!AA$18</f>
        <v>103.17768162730415</v>
      </c>
      <c r="AC130" s="3">
        <f>+ConstantDollars!AC130*1000/Enrollment!AB$18</f>
        <v>100.81091113609877</v>
      </c>
      <c r="AD130" s="3">
        <f>+ConstantDollars!AD130*1000/Enrollment!AC$18</f>
        <v>109.28298232635078</v>
      </c>
      <c r="AE130" s="3">
        <f>+ConstantDollars!AE130*1000/Enrollment!AD$18</f>
        <v>104.22027970665135</v>
      </c>
      <c r="AF130" s="3">
        <f>+ConstantDollars!AF130*1000/Enrollment!AE$18</f>
        <v>110.24881415369984</v>
      </c>
      <c r="AG130" s="3">
        <f>+ConstantDollars!AG130*1000/Enrollment!AF$18</f>
        <v>110.5976070576264</v>
      </c>
      <c r="AH130" s="3">
        <f>+ConstantDollars!AH130*1000/Enrollment!AG$18</f>
        <v>125.61864203649952</v>
      </c>
      <c r="AI130" s="3">
        <f>+ConstantDollars!AI130*1000/Enrollment!AH$18</f>
        <v>106.87214314940259</v>
      </c>
      <c r="AJ130" s="3">
        <f>+ConstantDollars!AJ130*1000/Enrollment!AI$18</f>
        <v>111.71140291378278</v>
      </c>
      <c r="AK130" s="3">
        <f>+ConstantDollars!AK130*1000/Enrollment!AJ$18</f>
        <v>104.22065516737045</v>
      </c>
    </row>
    <row r="131" spans="2:37" hidden="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c r="AE131" s="3"/>
      <c r="AF131" s="3"/>
      <c r="AG131" s="3"/>
      <c r="AH131" s="3"/>
      <c r="AI131" s="3"/>
      <c r="AJ131" s="3"/>
      <c r="AK131" s="3"/>
    </row>
    <row r="132" spans="2:37" ht="13.5" thickBot="1">
      <c r="C132"/>
      <c r="D132"/>
      <c r="E132"/>
      <c r="F132"/>
      <c r="G132"/>
      <c r="H132"/>
      <c r="I132"/>
      <c r="J132"/>
      <c r="K132"/>
      <c r="L132"/>
      <c r="M132"/>
      <c r="N132"/>
      <c r="O132"/>
      <c r="P132"/>
    </row>
    <row r="133" spans="2:37" ht="13.5" thickTop="1">
      <c r="B133" s="1" t="str">
        <f>+$B$19</f>
        <v>Total Higher Education</v>
      </c>
      <c r="C133" s="38"/>
      <c r="D133" s="38"/>
      <c r="E133" s="38"/>
      <c r="F133" s="38"/>
      <c r="G133" s="38"/>
      <c r="H133" s="38"/>
      <c r="I133" s="38"/>
      <c r="J133" s="38"/>
      <c r="K133" s="38"/>
      <c r="L133" s="38"/>
      <c r="M133" s="38"/>
      <c r="N133" s="38"/>
      <c r="O133" s="38"/>
      <c r="P133" s="38"/>
      <c r="Q133" s="39">
        <f>+ConstantDollars!Q133*1000/Enrollment!P$21</f>
        <v>176.92251782726214</v>
      </c>
      <c r="R133" s="39">
        <f>+ConstantDollars!R133*1000/Enrollment!Q$21</f>
        <v>181.69263905141892</v>
      </c>
      <c r="S133" s="39">
        <f>+ConstantDollars!S133*1000/Enrollment!R$21</f>
        <v>219.69909857375066</v>
      </c>
      <c r="T133" s="39">
        <f>+ConstantDollars!T133*1000/Enrollment!S$21</f>
        <v>218.50259998220653</v>
      </c>
      <c r="U133" s="39">
        <f>+ConstantDollars!U133*1000/Enrollment!T$21</f>
        <v>195.83118957261073</v>
      </c>
      <c r="V133" s="39">
        <f>+ConstantDollars!V133*1000/Enrollment!U$21</f>
        <v>195.53832409927998</v>
      </c>
      <c r="W133" s="39">
        <f>+ConstantDollars!W133*1000/Enrollment!V$21</f>
        <v>136.58695178207813</v>
      </c>
      <c r="X133" s="39">
        <f>+ConstantDollars!X133*1000/Enrollment!W$21</f>
        <v>207.84560139083572</v>
      </c>
      <c r="Y133" s="39">
        <f>+ConstantDollars!Y133*1000/Enrollment!X$21</f>
        <v>160.14653717992991</v>
      </c>
      <c r="Z133" s="39">
        <f>+ConstantDollars!Z133*1000/Enrollment!Y$21</f>
        <v>182.8265833650739</v>
      </c>
      <c r="AA133" s="39">
        <f>+ConstantDollars!AA133*1000/Enrollment!Z$21</f>
        <v>183.25417823986817</v>
      </c>
      <c r="AB133" s="39">
        <f>+ConstantDollars!AB133*1000/Enrollment!AA$21</f>
        <v>160.95296206723211</v>
      </c>
      <c r="AC133" s="39">
        <f>+ConstantDollars!AC133*1000/Enrollment!AB$21</f>
        <v>172.02916041460614</v>
      </c>
      <c r="AD133" s="39">
        <f>+ConstantDollars!AD133*1000/Enrollment!AC$21</f>
        <v>171.47458847870706</v>
      </c>
      <c r="AE133" s="39">
        <f>+ConstantDollars!AE133*1000/Enrollment!AD$21</f>
        <v>171.39277306023592</v>
      </c>
      <c r="AF133" s="39">
        <f>+ConstantDollars!AF133*1000/Enrollment!AE$21</f>
        <v>166.36021119387448</v>
      </c>
      <c r="AG133" s="39">
        <f>+ConstantDollars!AG133*1000/Enrollment!AF$21</f>
        <v>172.14850049171289</v>
      </c>
      <c r="AH133" s="39">
        <f>+ConstantDollars!AH133*1000/Enrollment!AG$21</f>
        <v>181.88133374648899</v>
      </c>
      <c r="AI133" s="39">
        <f>+ConstantDollars!AI133*1000/Enrollment!AH$21</f>
        <v>164.58547993875277</v>
      </c>
      <c r="AJ133" s="39">
        <f>+ConstantDollars!AJ133*1000/Enrollment!AI$21</f>
        <v>164.29592770327761</v>
      </c>
      <c r="AK133" s="39">
        <f>+ConstantDollars!AK133*1000/Enrollment!AJ$21</f>
        <v>162.71992872960601</v>
      </c>
    </row>
    <row r="134" spans="2:37">
      <c r="B134" s="199" t="str">
        <f>+$B$20</f>
        <v>[biennial annual average]</v>
      </c>
      <c r="C134"/>
      <c r="D134"/>
      <c r="E134"/>
      <c r="F134"/>
      <c r="G134"/>
      <c r="H134"/>
      <c r="I134"/>
      <c r="J134"/>
      <c r="K134"/>
      <c r="L134"/>
      <c r="M134"/>
      <c r="N134"/>
      <c r="O134"/>
      <c r="P134"/>
      <c r="R134" s="3">
        <f>AVERAGE(Q133:R133)</f>
        <v>179.30757843934055</v>
      </c>
      <c r="T134" s="3">
        <f>AVERAGE(S133:T133)</f>
        <v>219.1008492779786</v>
      </c>
      <c r="V134" s="3">
        <f>AVERAGE(U133:V133)</f>
        <v>195.68475683594534</v>
      </c>
      <c r="X134" s="3">
        <f>AVERAGE(W133:X133)</f>
        <v>172.21627658645693</v>
      </c>
      <c r="Z134" s="3">
        <f>AVERAGE(Y133:Z133)</f>
        <v>171.48656027250189</v>
      </c>
      <c r="AA134" s="3"/>
      <c r="AB134" s="3">
        <f>AVERAGE(AA133:AB133)</f>
        <v>172.10357015355015</v>
      </c>
      <c r="AC134" s="3"/>
      <c r="AD134" s="3">
        <f>AVERAGE(AC133:AD133)</f>
        <v>171.75187444665659</v>
      </c>
      <c r="AE134" s="3"/>
      <c r="AF134" s="3">
        <f>AVERAGE(AE133:AF133)</f>
        <v>168.8764921270552</v>
      </c>
      <c r="AG134" s="3"/>
      <c r="AH134" s="3">
        <f>AVERAGE(AG133:AH133)</f>
        <v>177.01491711910094</v>
      </c>
      <c r="AI134" s="3"/>
      <c r="AJ134" s="3">
        <f>AVERAGE(AI133:AJ133)</f>
        <v>164.44070382101518</v>
      </c>
      <c r="AK134" s="3"/>
    </row>
    <row r="135" spans="2:37">
      <c r="B135" s="199"/>
      <c r="C135"/>
      <c r="D135"/>
      <c r="E135"/>
      <c r="F135"/>
      <c r="G135"/>
      <c r="H135"/>
      <c r="I135"/>
      <c r="J135"/>
      <c r="K135"/>
      <c r="L135"/>
      <c r="M135"/>
      <c r="N135"/>
      <c r="O135"/>
      <c r="P135"/>
      <c r="R135" s="3"/>
      <c r="T135" s="3"/>
      <c r="V135" s="3"/>
      <c r="X135" s="3"/>
      <c r="Y135" s="3"/>
    </row>
    <row r="136" spans="2:37" ht="39.950000000000003" customHeight="1">
      <c r="B136" s="2448" t="str">
        <f>+OperatingFunds!B136</f>
        <v>Other State Funds:  Aquatic Lands (02R-1); Economic Development Strategic Reserve (09R-1); Geoduck Aquaculture (12P-1); Biotoxin (15M-1); Aerospace Training (17R-1); Workforce Education Investment (24J-1); Dedicated Marijuana (315-1); Pension Funding Stablilization (489-1); Accident (608-1); Medical Aid (609-1); Health Professions (747-1), and capital funds appropriated in the 2023-25 Operating Budget</v>
      </c>
      <c r="C136" s="2401"/>
      <c r="D136" s="2401"/>
      <c r="E136" s="2401"/>
      <c r="F136" s="2401"/>
      <c r="G136" s="2401"/>
      <c r="H136" s="2401"/>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c r="AK136" s="2401"/>
    </row>
    <row r="137" spans="2:37" ht="13.5">
      <c r="B137" s="33" t="str">
        <f>+$B$4</f>
        <v>FY2024 Constant Dollar Expenditures per Actual State-Funded FTE Enrollment</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spans="2:37">
      <c r="I138" s="13"/>
      <c r="J138" s="13"/>
      <c r="K138" s="13"/>
      <c r="L138" s="13"/>
      <c r="M138" s="13"/>
      <c r="N138" s="13"/>
      <c r="O138" s="13"/>
      <c r="P138" s="13"/>
      <c r="Q138"/>
      <c r="R138" s="13"/>
      <c r="S138"/>
      <c r="T138"/>
      <c r="U138" s="2" t="str">
        <f>IF(ISBLANK(OperatingFunds!U138),"",OperatingFunds!U138)</f>
        <v/>
      </c>
      <c r="V138" s="2"/>
      <c r="W138"/>
      <c r="X138"/>
      <c r="Y138"/>
    </row>
    <row r="139" spans="2:37">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IF(ISBLANK(OperatingFunds!U139),"",OperatingFunds!U139)</f>
        <v>FY2008</v>
      </c>
      <c r="V139" s="2" t="str">
        <f>IF(ISBLANK(OperatingFunds!V139),"",OperatingFunds!V139)</f>
        <v>FY2009</v>
      </c>
      <c r="W139" s="2" t="str">
        <f>IF(ISBLANK(OperatingFunds!W139),"",OperatingFunds!W139)</f>
        <v>FY2010</v>
      </c>
      <c r="X139" s="2" t="str">
        <f>IF(ISBLANK(OperatingFunds!X139),"",OperatingFunds!X139)</f>
        <v>FY2011</v>
      </c>
      <c r="Y139" s="2" t="str">
        <f>IF(ISBLANK(OperatingFunds!Y139),"",OperatingFunds!Y139)</f>
        <v>FY2012</v>
      </c>
      <c r="Z139" s="2" t="str">
        <f>IF(ISBLANK(OperatingFunds!Z139),"",OperatingFunds!Z139)</f>
        <v>FY2013</v>
      </c>
      <c r="AA139" s="2" t="str">
        <f>IF(ISBLANK(OperatingFunds!AA139),"",OperatingFunds!AA139)</f>
        <v>FY2014</v>
      </c>
      <c r="AB139" s="2" t="str">
        <f>IF(ISBLANK(OperatingFunds!AB139),"",OperatingFunds!AB139)</f>
        <v>FY2015</v>
      </c>
      <c r="AC139" s="2" t="str">
        <f>IF(ISBLANK(OperatingFunds!AC139),"",OperatingFunds!AC139)</f>
        <v>FY2016</v>
      </c>
      <c r="AD139" s="2" t="str">
        <f>IF(ISBLANK(OperatingFunds!AD139),"",OperatingFunds!AD139)</f>
        <v>FY2017</v>
      </c>
      <c r="AE139" s="2" t="str">
        <f>IF(ISBLANK(OperatingFunds!AE139),"",OperatingFunds!AE139)</f>
        <v>FY2018</v>
      </c>
      <c r="AF139" s="2" t="str">
        <f>IF(ISBLANK(OperatingFunds!AF139),"",OperatingFunds!AF139)</f>
        <v>FY2019</v>
      </c>
      <c r="AG139" s="2" t="str">
        <f>IF(ISBLANK(OperatingFunds!AG139),"",OperatingFunds!AG139)</f>
        <v>FY2020</v>
      </c>
      <c r="AH139" s="2" t="str">
        <f>IF(ISBLANK(OperatingFunds!AH139),"",OperatingFunds!AH139)</f>
        <v>FY2021</v>
      </c>
      <c r="AI139" s="2" t="str">
        <f>IF(ISBLANK(OperatingFunds!AI139),"",OperatingFunds!AI139)</f>
        <v>FY2022</v>
      </c>
      <c r="AJ139" s="2" t="str">
        <f>IF(ISBLANK(OperatingFunds!AJ139),"",OperatingFunds!AJ139)</f>
        <v>FY2023</v>
      </c>
      <c r="AK139" s="2" t="str">
        <f>IF(ISBLANK(OperatingFunds!AK139),"",OperatingFunds!AK139)</f>
        <v>FY2024</v>
      </c>
    </row>
    <row r="140" spans="2:37">
      <c r="R140" s="3"/>
    </row>
    <row r="141" spans="2:37">
      <c r="B141" s="1" t="str">
        <f>+$B$8</f>
        <v>University of Washington</v>
      </c>
      <c r="C141" s="3"/>
      <c r="D141" s="3"/>
      <c r="E141" s="3"/>
      <c r="F141" s="3"/>
      <c r="G141" s="3"/>
      <c r="H141" s="3"/>
      <c r="I141" s="3"/>
      <c r="J141" s="3"/>
      <c r="K141" s="3"/>
      <c r="L141" s="3"/>
      <c r="M141" s="3">
        <f>+ConstantDollars!M141*1000/Enrollment!L$10</f>
        <v>260.37224105074506</v>
      </c>
      <c r="N141" s="3">
        <f>+ConstantDollars!N141*1000/Enrollment!M$10</f>
        <v>294.27698508559843</v>
      </c>
      <c r="O141" s="3">
        <f>+ConstantDollars!O141*1000/Enrollment!N$10</f>
        <v>255.40409046806519</v>
      </c>
      <c r="P141" s="3">
        <f>+ConstantDollars!P141*1000/Enrollment!O$10</f>
        <v>304.90338775974345</v>
      </c>
      <c r="Q141" s="3">
        <f>+ConstantDollars!Q141*1000/Enrollment!P$10</f>
        <v>250.55907082603593</v>
      </c>
      <c r="R141" s="3">
        <f>+ConstantDollars!R141*1000/Enrollment!Q$10</f>
        <v>249.69709240285727</v>
      </c>
      <c r="S141" s="3">
        <f>+ConstantDollars!S141*1000/Enrollment!R$10</f>
        <v>246.04018838392327</v>
      </c>
      <c r="T141" s="3">
        <f>+ConstantDollars!T141*1000/Enrollment!S$10</f>
        <v>268.80097026836211</v>
      </c>
      <c r="U141" s="3">
        <f>+ConstantDollars!U141*1000/Enrollment!T$10</f>
        <v>239.68431610510706</v>
      </c>
      <c r="V141" s="3">
        <f>+ConstantDollars!V141*1000/Enrollment!U$10</f>
        <v>220.44120389939479</v>
      </c>
      <c r="W141" s="3">
        <f>+ConstantDollars!W141*1000/Enrollment!V$10</f>
        <v>218.83158359954015</v>
      </c>
      <c r="X141" s="3">
        <f>+ConstantDollars!X141*1000/Enrollment!W$10</f>
        <v>217.83480136064702</v>
      </c>
      <c r="Y141" s="3">
        <f>+ConstantDollars!Y141*1000/Enrollment!X$10</f>
        <v>188.55909692402915</v>
      </c>
      <c r="Z141" s="3">
        <f>+ConstantDollars!Z141*1000/Enrollment!Y$10</f>
        <v>259.9711704826891</v>
      </c>
      <c r="AA141" s="3">
        <f>+ConstantDollars!AA141*1000/Enrollment!Z$10</f>
        <v>220.14662014480658</v>
      </c>
      <c r="AB141" s="3">
        <f>+ConstantDollars!AB141*1000/Enrollment!AA$10</f>
        <v>261.96628459518257</v>
      </c>
      <c r="AC141" s="3">
        <f>+ConstantDollars!AC141*1000/Enrollment!AB$10</f>
        <v>256.19918960388776</v>
      </c>
      <c r="AD141" s="3">
        <f>+ConstantDollars!AD141*1000/Enrollment!AC$10</f>
        <v>244.44253657201156</v>
      </c>
      <c r="AE141" s="3">
        <f>+ConstantDollars!AE141*1000/Enrollment!AD$10</f>
        <v>905.38268881992724</v>
      </c>
      <c r="AF141" s="3">
        <f>+ConstantDollars!AF141*1000/Enrollment!AE$10</f>
        <v>847.76259844959259</v>
      </c>
      <c r="AG141" s="3">
        <f>+ConstantDollars!AG141*1000/Enrollment!AF$10</f>
        <v>1128.7280676435446</v>
      </c>
      <c r="AH141" s="3">
        <f>+ConstantDollars!AH141*1000/Enrollment!AG$10</f>
        <v>1432.578400565531</v>
      </c>
      <c r="AI141" s="3">
        <f>+ConstantDollars!AI141*1000/Enrollment!AH$10</f>
        <v>793.1642207902247</v>
      </c>
      <c r="AJ141" s="3">
        <f>+ConstantDollars!AJ141*1000/Enrollment!AI$10</f>
        <v>833.59167762954769</v>
      </c>
      <c r="AK141" s="3">
        <f>+ConstantDollars!AK141*1000/Enrollment!AJ$10</f>
        <v>892.16623454493504</v>
      </c>
    </row>
    <row r="142" spans="2:37">
      <c r="B142" s="1" t="str">
        <f>+$B$9</f>
        <v>Washington State University</v>
      </c>
      <c r="C142" s="3"/>
      <c r="D142" s="3"/>
      <c r="E142" s="3"/>
      <c r="F142" s="3"/>
      <c r="G142" s="3"/>
      <c r="H142" s="3"/>
      <c r="I142" s="3"/>
      <c r="J142" s="3"/>
      <c r="K142" s="3"/>
      <c r="L142" s="3"/>
      <c r="M142" s="3">
        <f>+ConstantDollars!M142*1000/Enrollment!L$11</f>
        <v>0</v>
      </c>
      <c r="N142" s="3">
        <f>+ConstantDollars!N142*1000/Enrollment!M$11</f>
        <v>0</v>
      </c>
      <c r="O142" s="3">
        <f>+ConstantDollars!O142*1000/Enrollment!N$11</f>
        <v>0</v>
      </c>
      <c r="P142" s="3">
        <f>+ConstantDollars!P142*1000/Enrollment!O$11</f>
        <v>0</v>
      </c>
      <c r="Q142" s="3">
        <f>+ConstantDollars!Q142*1000/Enrollment!P$11</f>
        <v>0</v>
      </c>
      <c r="R142" s="3">
        <f>+ConstantDollars!R142*1000/Enrollment!Q$11</f>
        <v>10.702653820936719</v>
      </c>
      <c r="S142" s="3">
        <f>+ConstantDollars!S142*1000/Enrollment!R$11</f>
        <v>0</v>
      </c>
      <c r="T142" s="3">
        <f>+ConstantDollars!T142*1000/Enrollment!S$11</f>
        <v>19.676181807608689</v>
      </c>
      <c r="U142" s="3">
        <f>+ConstantDollars!U142*1000/Enrollment!T$11</f>
        <v>76.040535483099106</v>
      </c>
      <c r="V142" s="3">
        <f>+ConstantDollars!V142*1000/Enrollment!U$11</f>
        <v>72.109894543293066</v>
      </c>
      <c r="W142" s="3">
        <f>+ConstantDollars!W142*1000/Enrollment!V$11</f>
        <v>0</v>
      </c>
      <c r="X142" s="3">
        <f>+ConstantDollars!X142*1000/Enrollment!W$11</f>
        <v>0</v>
      </c>
      <c r="Y142" s="3">
        <f>+ConstantDollars!Y142*1000/Enrollment!X$11</f>
        <v>0</v>
      </c>
      <c r="Z142" s="3">
        <f>+ConstantDollars!Z142*1000/Enrollment!Y$11</f>
        <v>0</v>
      </c>
      <c r="AA142" s="3">
        <f>+ConstantDollars!AA142*1000/Enrollment!Z$11</f>
        <v>0</v>
      </c>
      <c r="AB142" s="3">
        <f>+ConstantDollars!AB142*1000/Enrollment!AA$11</f>
        <v>0</v>
      </c>
      <c r="AC142" s="3">
        <f>+ConstantDollars!AC142*1000/Enrollment!AB$11</f>
        <v>6.5507713149962949</v>
      </c>
      <c r="AD142" s="3">
        <f>+ConstantDollars!AD142*1000/Enrollment!AC$11</f>
        <v>6.3780016877917793</v>
      </c>
      <c r="AE142" s="3">
        <f>+ConstantDollars!AE142*1000/Enrollment!AD$11</f>
        <v>716.41273370389922</v>
      </c>
      <c r="AF142" s="3">
        <f>+ConstantDollars!AF142*1000/Enrollment!AE$11</f>
        <v>688.49250335109321</v>
      </c>
      <c r="AG142" s="3">
        <f>+ConstantDollars!AG142*1000/Enrollment!AF$11</f>
        <v>963.04279300985274</v>
      </c>
      <c r="AH142" s="3">
        <f>+ConstantDollars!AH142*1000/Enrollment!AG$11</f>
        <v>1239.6143062487561</v>
      </c>
      <c r="AI142" s="3">
        <f>+ConstantDollars!AI142*1000/Enrollment!AH$11</f>
        <v>655.99144459690774</v>
      </c>
      <c r="AJ142" s="3">
        <f>+ConstantDollars!AJ142*1000/Enrollment!AI$11</f>
        <v>758.34048529045913</v>
      </c>
      <c r="AK142" s="3">
        <f>+ConstantDollars!AK142*1000/Enrollment!AJ$11</f>
        <v>1032.9124721118844</v>
      </c>
    </row>
    <row r="143" spans="2:37">
      <c r="B143" s="1" t="str">
        <f>+$B$10</f>
        <v>Eastern Washington University</v>
      </c>
      <c r="C143" s="3"/>
      <c r="D143" s="3"/>
      <c r="E143" s="3"/>
      <c r="F143" s="3"/>
      <c r="G143" s="3"/>
      <c r="H143" s="3"/>
      <c r="I143" s="3"/>
      <c r="J143" s="3"/>
      <c r="K143" s="3"/>
      <c r="L143" s="3"/>
      <c r="M143" s="3">
        <f>+ConstantDollars!M143*1000/Enrollment!L$12</f>
        <v>0</v>
      </c>
      <c r="N143" s="3">
        <f>+ConstantDollars!N143*1000/Enrollment!M$12</f>
        <v>0</v>
      </c>
      <c r="O143" s="3">
        <f>+ConstantDollars!O143*1000/Enrollment!N$12</f>
        <v>0</v>
      </c>
      <c r="P143" s="3">
        <f>+ConstantDollars!P143*1000/Enrollment!O$12</f>
        <v>0</v>
      </c>
      <c r="Q143" s="3">
        <f>+ConstantDollars!Q143*1000/Enrollment!P$12</f>
        <v>0</v>
      </c>
      <c r="R143" s="3">
        <f>+ConstantDollars!R143*1000/Enrollment!Q$12</f>
        <v>0</v>
      </c>
      <c r="S143" s="3">
        <f>+ConstantDollars!S143*1000/Enrollment!R$12</f>
        <v>0</v>
      </c>
      <c r="T143" s="3">
        <f>+ConstantDollars!T143*1000/Enrollment!S$12</f>
        <v>17.104407456776634</v>
      </c>
      <c r="U143" s="3">
        <f>+ConstantDollars!U143*1000/Enrollment!T$12</f>
        <v>361.98129388433665</v>
      </c>
      <c r="V143" s="3">
        <f>+ConstantDollars!V143*1000/Enrollment!U$12</f>
        <v>351.59453090240174</v>
      </c>
      <c r="W143" s="3">
        <f>+ConstantDollars!W143*1000/Enrollment!V$12</f>
        <v>0</v>
      </c>
      <c r="X143" s="3">
        <f>+ConstantDollars!X143*1000/Enrollment!W$12</f>
        <v>0</v>
      </c>
      <c r="Y143" s="3">
        <f>+ConstantDollars!Y143*1000/Enrollment!X$12</f>
        <v>0</v>
      </c>
      <c r="Z143" s="3">
        <f>+ConstantDollars!Z143*1000/Enrollment!Y$12</f>
        <v>0</v>
      </c>
      <c r="AA143" s="3">
        <f>+ConstantDollars!AA143*1000/Enrollment!Z$12</f>
        <v>0</v>
      </c>
      <c r="AB143" s="3">
        <f>+ConstantDollars!AB143*1000/Enrollment!AA$12</f>
        <v>0</v>
      </c>
      <c r="AC143" s="3">
        <f>+ConstantDollars!AC143*1000/Enrollment!AB$12</f>
        <v>0</v>
      </c>
      <c r="AD143" s="3">
        <f>+ConstantDollars!AD143*1000/Enrollment!AC$12</f>
        <v>0</v>
      </c>
      <c r="AE143" s="3">
        <f>+ConstantDollars!AE143*1000/Enrollment!AD$12</f>
        <v>0</v>
      </c>
      <c r="AF143" s="3">
        <f>+ConstantDollars!AF143*1000/Enrollment!AE$12</f>
        <v>0</v>
      </c>
      <c r="AG143" s="3">
        <f>+ConstantDollars!AG143*1000/Enrollment!AF$12</f>
        <v>247.04670395234655</v>
      </c>
      <c r="AH143" s="3">
        <f>+ConstantDollars!AH143*1000/Enrollment!AG$12</f>
        <v>342.47393884197533</v>
      </c>
      <c r="AI143" s="3">
        <f>+ConstantDollars!AI143*1000/Enrollment!AH$12</f>
        <v>392.51464022162207</v>
      </c>
      <c r="AJ143" s="3">
        <f>+ConstantDollars!AJ143*1000/Enrollment!AI$12</f>
        <v>1951.660604271812</v>
      </c>
      <c r="AK143" s="3">
        <f>+ConstantDollars!AK143*1000/Enrollment!AJ$12</f>
        <v>1929.3493563793988</v>
      </c>
    </row>
    <row r="144" spans="2:37">
      <c r="B144" s="1" t="str">
        <f>+$B$11</f>
        <v>Central Washington University</v>
      </c>
      <c r="C144" s="3"/>
      <c r="D144" s="3"/>
      <c r="E144" s="3"/>
      <c r="F144" s="3"/>
      <c r="G144" s="3"/>
      <c r="H144" s="3"/>
      <c r="I144" s="3"/>
      <c r="J144" s="3"/>
      <c r="K144" s="3"/>
      <c r="L144" s="3"/>
      <c r="M144" s="3">
        <f>+ConstantDollars!M144*1000/Enrollment!L$13</f>
        <v>0</v>
      </c>
      <c r="N144" s="3">
        <f>+ConstantDollars!N144*1000/Enrollment!M$13</f>
        <v>0</v>
      </c>
      <c r="O144" s="3">
        <f>+ConstantDollars!O144*1000/Enrollment!N$13</f>
        <v>0</v>
      </c>
      <c r="P144" s="3">
        <f>+ConstantDollars!P144*1000/Enrollment!O$13</f>
        <v>0</v>
      </c>
      <c r="Q144" s="3">
        <f>+ConstantDollars!Q144*1000/Enrollment!P$13</f>
        <v>0</v>
      </c>
      <c r="R144" s="3">
        <f>+ConstantDollars!R144*1000/Enrollment!Q$13</f>
        <v>0</v>
      </c>
      <c r="S144" s="3">
        <f>+ConstantDollars!S144*1000/Enrollment!R$13</f>
        <v>0</v>
      </c>
      <c r="T144" s="3">
        <f>+ConstantDollars!T144*1000/Enrollment!S$13</f>
        <v>15.989843558524958</v>
      </c>
      <c r="U144" s="3">
        <f>+ConstantDollars!U144*1000/Enrollment!T$13</f>
        <v>336.07496519581218</v>
      </c>
      <c r="V144" s="3">
        <f>+ConstantDollars!V144*1000/Enrollment!U$13</f>
        <v>327.1941502699583</v>
      </c>
      <c r="W144" s="3">
        <f>+ConstantDollars!W144*1000/Enrollment!V$13</f>
        <v>0</v>
      </c>
      <c r="X144" s="3">
        <f>+ConstantDollars!X144*1000/Enrollment!W$13</f>
        <v>0</v>
      </c>
      <c r="Y144" s="3">
        <f>+ConstantDollars!Y144*1000/Enrollment!X$13</f>
        <v>0</v>
      </c>
      <c r="Z144" s="3">
        <f>+ConstantDollars!Z144*1000/Enrollment!Y$13</f>
        <v>0</v>
      </c>
      <c r="AA144" s="3">
        <f>+ConstantDollars!AA144*1000/Enrollment!Z$13</f>
        <v>0</v>
      </c>
      <c r="AB144" s="3">
        <f>+ConstantDollars!AB144*1000/Enrollment!AA$13</f>
        <v>0</v>
      </c>
      <c r="AC144" s="3">
        <f>+ConstantDollars!AC144*1000/Enrollment!AB$13</f>
        <v>0</v>
      </c>
      <c r="AD144" s="3">
        <f>+ConstantDollars!AD144*1000/Enrollment!AC$13</f>
        <v>0</v>
      </c>
      <c r="AE144" s="3">
        <f>+ConstantDollars!AE144*1000/Enrollment!AD$13</f>
        <v>243.75887351828544</v>
      </c>
      <c r="AF144" s="3">
        <f>+ConstantDollars!AF144*1000/Enrollment!AE$13</f>
        <v>241.95692101711413</v>
      </c>
      <c r="AG144" s="3">
        <f>+ConstantDollars!AG144*1000/Enrollment!AF$13</f>
        <v>391.01941327382428</v>
      </c>
      <c r="AH144" s="3">
        <f>+ConstantDollars!AH144*1000/Enrollment!AG$13</f>
        <v>476.76370832204583</v>
      </c>
      <c r="AI144" s="3">
        <f>+ConstantDollars!AI144*1000/Enrollment!AH$13</f>
        <v>253.7067917726101</v>
      </c>
      <c r="AJ144" s="3">
        <f>+ConstantDollars!AJ144*1000/Enrollment!AI$13</f>
        <v>398.63310071374065</v>
      </c>
      <c r="AK144" s="3">
        <f>+ConstantDollars!AK144*1000/Enrollment!AJ$13</f>
        <v>1028.0142980608712</v>
      </c>
    </row>
    <row r="145" spans="2:37">
      <c r="B145" s="1" t="str">
        <f>+$B$12</f>
        <v>The Evergreen State College</v>
      </c>
      <c r="C145" s="3"/>
      <c r="D145" s="3"/>
      <c r="E145" s="3"/>
      <c r="F145" s="3"/>
      <c r="G145" s="3"/>
      <c r="H145" s="3"/>
      <c r="I145" s="3"/>
      <c r="J145" s="3"/>
      <c r="K145" s="3"/>
      <c r="L145" s="3"/>
      <c r="M145" s="3">
        <f>+ConstantDollars!M145*1000/Enrollment!L$14</f>
        <v>0</v>
      </c>
      <c r="N145" s="3">
        <f>+ConstantDollars!N145*1000/Enrollment!M$14</f>
        <v>0</v>
      </c>
      <c r="O145" s="3">
        <f>+ConstantDollars!O145*1000/Enrollment!N$14</f>
        <v>0</v>
      </c>
      <c r="P145" s="3">
        <f>+ConstantDollars!P145*1000/Enrollment!O$14</f>
        <v>0</v>
      </c>
      <c r="Q145" s="3">
        <f>+ConstantDollars!Q145*1000/Enrollment!P$14</f>
        <v>0</v>
      </c>
      <c r="R145" s="3">
        <f>+ConstantDollars!R145*1000/Enrollment!Q$14</f>
        <v>0</v>
      </c>
      <c r="S145" s="3">
        <f>+ConstantDollars!S145*1000/Enrollment!R$14</f>
        <v>0</v>
      </c>
      <c r="T145" s="3">
        <f>+ConstantDollars!T145*1000/Enrollment!S$14</f>
        <v>26.048371434622435</v>
      </c>
      <c r="U145" s="3">
        <f>+ConstantDollars!U145*1000/Enrollment!T$14</f>
        <v>0</v>
      </c>
      <c r="V145" s="3">
        <f>+ConstantDollars!V145*1000/Enrollment!U$14</f>
        <v>0</v>
      </c>
      <c r="W145" s="3">
        <f>+ConstantDollars!W145*1000/Enrollment!V$14</f>
        <v>0</v>
      </c>
      <c r="X145" s="3">
        <f>+ConstantDollars!X145*1000/Enrollment!W$14</f>
        <v>0</v>
      </c>
      <c r="Y145" s="3">
        <f>+ConstantDollars!Y145*1000/Enrollment!X$14</f>
        <v>0</v>
      </c>
      <c r="Z145" s="3">
        <f>+ConstantDollars!Z145*1000/Enrollment!Y$14</f>
        <v>0</v>
      </c>
      <c r="AA145" s="3">
        <f>+ConstantDollars!AA145*1000/Enrollment!Z$14</f>
        <v>0</v>
      </c>
      <c r="AB145" s="3">
        <f>+ConstantDollars!AB145*1000/Enrollment!AA$14</f>
        <v>0</v>
      </c>
      <c r="AC145" s="3">
        <f>+ConstantDollars!AC145*1000/Enrollment!AB$14</f>
        <v>0</v>
      </c>
      <c r="AD145" s="3">
        <f>+ConstantDollars!AD145*1000/Enrollment!AC$14</f>
        <v>0</v>
      </c>
      <c r="AE145" s="3">
        <f>+ConstantDollars!AE145*1000/Enrollment!AD$14</f>
        <v>13.987514712890542</v>
      </c>
      <c r="AF145" s="3">
        <f>+ConstantDollars!AF145*1000/Enrollment!AE$14</f>
        <v>15.299993167508612</v>
      </c>
      <c r="AG145" s="3">
        <f>+ConstantDollars!AG145*1000/Enrollment!AF$14</f>
        <v>661.37180984835345</v>
      </c>
      <c r="AH145" s="3">
        <f>+ConstantDollars!AH145*1000/Enrollment!AG$14</f>
        <v>1291.6370010660469</v>
      </c>
      <c r="AI145" s="3">
        <f>+ConstantDollars!AI145*1000/Enrollment!AH$14</f>
        <v>1233.7223019772625</v>
      </c>
      <c r="AJ145" s="3">
        <f>+ConstantDollars!AJ145*1000/Enrollment!AI$14</f>
        <v>1148.6040288923873</v>
      </c>
      <c r="AK145" s="3">
        <f>+ConstantDollars!AK145*1000/Enrollment!AJ$14</f>
        <v>1284.1708582844551</v>
      </c>
    </row>
    <row r="146" spans="2:37">
      <c r="B146" s="1" t="str">
        <f>+$B$13</f>
        <v>Western Washington University</v>
      </c>
      <c r="C146" s="3"/>
      <c r="D146" s="3"/>
      <c r="E146" s="3"/>
      <c r="F146" s="3"/>
      <c r="G146" s="3"/>
      <c r="H146" s="3"/>
      <c r="I146" s="3"/>
      <c r="J146" s="3"/>
      <c r="K146" s="3"/>
      <c r="L146" s="3"/>
      <c r="M146" s="3">
        <f>+ConstantDollars!M146*1000/Enrollment!L$15</f>
        <v>0</v>
      </c>
      <c r="N146" s="3">
        <f>+ConstantDollars!N146*1000/Enrollment!M$15</f>
        <v>0</v>
      </c>
      <c r="O146" s="3">
        <f>+ConstantDollars!O146*1000/Enrollment!N$15</f>
        <v>0</v>
      </c>
      <c r="P146" s="3">
        <f>+ConstantDollars!P146*1000/Enrollment!O$15</f>
        <v>0</v>
      </c>
      <c r="Q146" s="3">
        <f>+ConstantDollars!Q146*1000/Enrollment!P$15</f>
        <v>0</v>
      </c>
      <c r="R146" s="3">
        <f>+ConstantDollars!R146*1000/Enrollment!Q$15</f>
        <v>0</v>
      </c>
      <c r="S146" s="3">
        <f>+ConstantDollars!S146*1000/Enrollment!R$15</f>
        <v>0</v>
      </c>
      <c r="T146" s="3">
        <f>+ConstantDollars!T146*1000/Enrollment!S$15</f>
        <v>19.521659892744864</v>
      </c>
      <c r="U146" s="3">
        <f>+ConstantDollars!U146*1000/Enrollment!T$15</f>
        <v>0</v>
      </c>
      <c r="V146" s="3">
        <f>+ConstantDollars!V146*1000/Enrollment!U$15</f>
        <v>0</v>
      </c>
      <c r="W146" s="3">
        <f>+ConstantDollars!W146*1000/Enrollment!V$15</f>
        <v>0</v>
      </c>
      <c r="X146" s="3">
        <f>+ConstantDollars!X146*1000/Enrollment!W$15</f>
        <v>0</v>
      </c>
      <c r="Y146" s="3">
        <f>+ConstantDollars!Y146*1000/Enrollment!X$15</f>
        <v>0</v>
      </c>
      <c r="Z146" s="3">
        <f>+ConstantDollars!Z146*1000/Enrollment!Y$15</f>
        <v>0</v>
      </c>
      <c r="AA146" s="3">
        <f>+ConstantDollars!AA146*1000/Enrollment!Z$15</f>
        <v>0</v>
      </c>
      <c r="AB146" s="3">
        <f>+ConstantDollars!AB146*1000/Enrollment!AA$15</f>
        <v>0</v>
      </c>
      <c r="AC146" s="3">
        <f>+ConstantDollars!AC146*1000/Enrollment!AB$15</f>
        <v>0</v>
      </c>
      <c r="AD146" s="3">
        <f>+ConstantDollars!AD146*1000/Enrollment!AC$15</f>
        <v>0</v>
      </c>
      <c r="AE146" s="3">
        <f>+ConstantDollars!AE146*1000/Enrollment!AD$15</f>
        <v>40.667307922554187</v>
      </c>
      <c r="AF146" s="3">
        <f>+ConstantDollars!AF146*1000/Enrollment!AE$15</f>
        <v>63.301502168076915</v>
      </c>
      <c r="AG146" s="3">
        <f>+ConstantDollars!AG146*1000/Enrollment!AF$15</f>
        <v>276.68494047691729</v>
      </c>
      <c r="AH146" s="3">
        <f>+ConstantDollars!AH146*1000/Enrollment!AG$15</f>
        <v>330.22807664537783</v>
      </c>
      <c r="AI146" s="3">
        <f>+ConstantDollars!AI146*1000/Enrollment!AH$15</f>
        <v>367.28153710752667</v>
      </c>
      <c r="AJ146" s="3">
        <f>+ConstantDollars!AJ146*1000/Enrollment!AI$15</f>
        <v>518.1850242289762</v>
      </c>
      <c r="AK146" s="3">
        <f>+ConstantDollars!AK146*1000/Enrollment!AJ$15</f>
        <v>941.65850112378041</v>
      </c>
    </row>
    <row r="147" spans="2:37">
      <c r="B147" s="199" t="str">
        <f>+$B$14</f>
        <v>Total Four-Year Institutions</v>
      </c>
      <c r="C147" s="42"/>
      <c r="D147" s="42"/>
      <c r="E147" s="42"/>
      <c r="F147" s="42"/>
      <c r="G147" s="42"/>
      <c r="H147" s="42"/>
      <c r="I147" s="42"/>
      <c r="J147" s="42"/>
      <c r="K147" s="42"/>
      <c r="L147" s="42"/>
      <c r="M147" s="42">
        <f>+ConstantDollars!M147*1000/Enrollment!L$16</f>
        <v>107.12569354191614</v>
      </c>
      <c r="N147" s="42">
        <f>+ConstantDollars!N147*1000/Enrollment!M$16</f>
        <v>121.29490122245183</v>
      </c>
      <c r="O147" s="42">
        <f>+ConstantDollars!O147*1000/Enrollment!N$16</f>
        <v>106.39877347000858</v>
      </c>
      <c r="P147" s="42">
        <f>+ConstantDollars!P147*1000/Enrollment!O$16</f>
        <v>125.90792105733819</v>
      </c>
      <c r="Q147" s="42">
        <f>+ConstantDollars!Q147*1000/Enrollment!P$16</f>
        <v>101.01918641263748</v>
      </c>
      <c r="R147" s="42">
        <f>+ConstantDollars!R147*1000/Enrollment!Q$16</f>
        <v>101.8484778057777</v>
      </c>
      <c r="S147" s="42">
        <f>+ConstantDollars!S147*1000/Enrollment!R$16</f>
        <v>96.78675198442393</v>
      </c>
      <c r="T147" s="42">
        <f>+ConstantDollars!T147*1000/Enrollment!S$16</f>
        <v>118.32075517254547</v>
      </c>
      <c r="U147" s="42">
        <f>+ConstantDollars!U147*1000/Enrollment!T$16</f>
        <v>180.17179768304925</v>
      </c>
      <c r="V147" s="42">
        <f>+ConstantDollars!V147*1000/Enrollment!U$16</f>
        <v>169.65689584198731</v>
      </c>
      <c r="W147" s="42">
        <f>+ConstantDollars!W147*1000/Enrollment!V$16</f>
        <v>88.563792980965729</v>
      </c>
      <c r="X147" s="42">
        <f>+ConstantDollars!X147*1000/Enrollment!W$16</f>
        <v>89.280454297834225</v>
      </c>
      <c r="Y147" s="42">
        <f>+ConstantDollars!Y147*1000/Enrollment!X$16</f>
        <v>76.931587694162815</v>
      </c>
      <c r="Z147" s="42">
        <f>+ConstantDollars!Z147*1000/Enrollment!Y$16</f>
        <v>107.57592206524238</v>
      </c>
      <c r="AA147" s="42">
        <f>+ConstantDollars!AA147*1000/Enrollment!Z$16</f>
        <v>92.821162075276291</v>
      </c>
      <c r="AB147" s="42">
        <f>+ConstantDollars!AB147*1000/Enrollment!AA$16</f>
        <v>111.36951134051412</v>
      </c>
      <c r="AC147" s="42">
        <f>+ConstantDollars!AC147*1000/Enrollment!AB$16</f>
        <v>111.41075465470198</v>
      </c>
      <c r="AD147" s="42">
        <f>+ConstantDollars!AD147*1000/Enrollment!AC$16</f>
        <v>106.83985600599841</v>
      </c>
      <c r="AE147" s="42">
        <f>+ConstantDollars!AE147*1000/Enrollment!AD$16</f>
        <v>587.81961622750021</v>
      </c>
      <c r="AF147" s="42">
        <f>+ConstantDollars!AF147*1000/Enrollment!AE$16</f>
        <v>565.90757984336267</v>
      </c>
      <c r="AG147" s="42">
        <f>+ConstantDollars!AG147*1000/Enrollment!AF$16</f>
        <v>835.85072681014049</v>
      </c>
      <c r="AH147" s="42">
        <f>+ConstantDollars!AH147*1000/Enrollment!AG$16</f>
        <v>1088.5063884983724</v>
      </c>
      <c r="AI147" s="42">
        <f>+ConstantDollars!AI147*1000/Enrollment!AH$16</f>
        <v>644.71842611645855</v>
      </c>
      <c r="AJ147" s="42">
        <f>+ConstantDollars!AJ147*1000/Enrollment!AI$16</f>
        <v>823.4761752787947</v>
      </c>
      <c r="AK147" s="42">
        <f>+ConstantDollars!AK147*1000/Enrollment!AJ$16</f>
        <v>1011.5130069121633</v>
      </c>
    </row>
    <row r="148" spans="2:37">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2:37">
      <c r="B149" s="1" t="str">
        <f>+$B$16</f>
        <v>Community/Technical College System</v>
      </c>
      <c r="C149" s="3"/>
      <c r="D149" s="3"/>
      <c r="E149" s="3"/>
      <c r="F149" s="3"/>
      <c r="G149" s="3"/>
      <c r="H149" s="3"/>
      <c r="I149" s="3"/>
      <c r="J149" s="3"/>
      <c r="K149" s="3"/>
      <c r="L149" s="3"/>
      <c r="M149" s="3">
        <f>+ConstantDollars!M149*1000/Enrollment!L$18</f>
        <v>0</v>
      </c>
      <c r="N149" s="3">
        <f>+ConstantDollars!N149*1000/Enrollment!M$18</f>
        <v>0</v>
      </c>
      <c r="O149" s="3">
        <f>+ConstantDollars!O149*1000/Enrollment!N$18</f>
        <v>0</v>
      </c>
      <c r="P149" s="3">
        <f>+ConstantDollars!P149*1000/Enrollment!O$18</f>
        <v>0</v>
      </c>
      <c r="Q149" s="3">
        <f>+ConstantDollars!Q149*1000/Enrollment!P$18</f>
        <v>0</v>
      </c>
      <c r="R149" s="3">
        <f>+ConstantDollars!R149*1000/Enrollment!Q$18</f>
        <v>0</v>
      </c>
      <c r="S149" s="3">
        <f>+ConstantDollars!S149*1000/Enrollment!R$18</f>
        <v>0</v>
      </c>
      <c r="T149" s="3">
        <f>+ConstantDollars!T149*1000/Enrollment!S$18</f>
        <v>13.773200285524371</v>
      </c>
      <c r="U149" s="3">
        <f>+ConstantDollars!U149*1000/Enrollment!T$18</f>
        <v>222.72449044583229</v>
      </c>
      <c r="V149" s="3">
        <f>+ConstantDollars!V149*1000/Enrollment!U$18</f>
        <v>257.807317103054</v>
      </c>
      <c r="W149" s="3">
        <f>+ConstantDollars!W149*1000/Enrollment!V$18</f>
        <v>0</v>
      </c>
      <c r="X149" s="3">
        <f>+ConstantDollars!X149*1000/Enrollment!W$18</f>
        <v>0</v>
      </c>
      <c r="Y149" s="3">
        <f>+ConstantDollars!Y149*1000/Enrollment!X$18</f>
        <v>34.105836122490928</v>
      </c>
      <c r="Z149" s="3">
        <f>+ConstantDollars!Z149*1000/Enrollment!Y$18</f>
        <v>69.619919551607722</v>
      </c>
      <c r="AA149" s="3">
        <f>+ConstantDollars!AA149*1000/Enrollment!Z$18</f>
        <v>73.975074125862946</v>
      </c>
      <c r="AB149" s="3">
        <f>+ConstantDollars!AB149*1000/Enrollment!AA$18</f>
        <v>75.947645480092419</v>
      </c>
      <c r="AC149" s="3">
        <f>+ConstantDollars!AC149*1000/Enrollment!AB$18</f>
        <v>77.245251532596271</v>
      </c>
      <c r="AD149" s="3">
        <f>+ConstantDollars!AD149*1000/Enrollment!AC$18</f>
        <v>78.794825155042091</v>
      </c>
      <c r="AE149" s="3">
        <f>+ConstantDollars!AE149*1000/Enrollment!AD$18</f>
        <v>405.37060410078925</v>
      </c>
      <c r="AF149" s="3">
        <f>+ConstantDollars!AF149*1000/Enrollment!AE$18</f>
        <v>437.07288163647144</v>
      </c>
      <c r="AG149" s="3">
        <f>+ConstantDollars!AG149*1000/Enrollment!AF$18</f>
        <v>801.78597508960695</v>
      </c>
      <c r="AH149" s="3">
        <f>+ConstantDollars!AH149*1000/Enrollment!AG$18</f>
        <v>1437.0082531748619</v>
      </c>
      <c r="AI149" s="3">
        <f>+ConstantDollars!AI149*1000/Enrollment!AH$18</f>
        <v>1150.2104716174083</v>
      </c>
      <c r="AJ149" s="3">
        <f>+ConstantDollars!AJ149*1000/Enrollment!AI$18</f>
        <v>1398.8999220021797</v>
      </c>
      <c r="AK149" s="3">
        <f>+ConstantDollars!AK149*1000/Enrollment!AJ$18</f>
        <v>1509.0388553299501</v>
      </c>
    </row>
    <row r="150" spans="2:37">
      <c r="B150" s="1" t="str">
        <f>+$B$17</f>
        <v>HEC Board, CHE, SFA, &amp; SAC (1)</v>
      </c>
      <c r="C150" s="3"/>
      <c r="D150" s="3"/>
      <c r="E150" s="3"/>
      <c r="F150" s="3"/>
      <c r="G150" s="3"/>
      <c r="H150" s="3"/>
      <c r="I150" s="3"/>
      <c r="J150" s="3"/>
      <c r="K150" s="3"/>
      <c r="L150" s="3"/>
      <c r="M150" s="3">
        <f>+ConstantDollars!M150*1000/Enrollment!L$21</f>
        <v>0</v>
      </c>
      <c r="N150" s="3">
        <f>+ConstantDollars!N150*1000/Enrollment!M$21</f>
        <v>0</v>
      </c>
      <c r="O150" s="3">
        <f>+ConstantDollars!O150*1000/Enrollment!N$21</f>
        <v>0</v>
      </c>
      <c r="P150" s="3">
        <f>+ConstantDollars!P150*1000/Enrollment!O$21</f>
        <v>0</v>
      </c>
      <c r="Q150" s="3">
        <f>+ConstantDollars!Q150*1000/Enrollment!P$21</f>
        <v>0</v>
      </c>
      <c r="R150" s="3">
        <f>+ConstantDollars!R150*1000/Enrollment!Q$21</f>
        <v>0</v>
      </c>
      <c r="S150" s="3">
        <f>+ConstantDollars!S150*1000/Enrollment!R$21</f>
        <v>0</v>
      </c>
      <c r="T150" s="3">
        <f>+ConstantDollars!T150*1000/Enrollment!S$21</f>
        <v>0.19086148873855538</v>
      </c>
      <c r="U150" s="3">
        <f>+ConstantDollars!U150*1000/Enrollment!T$21</f>
        <v>0</v>
      </c>
      <c r="V150" s="3">
        <f>+ConstantDollars!V150*1000/Enrollment!U$21</f>
        <v>0</v>
      </c>
      <c r="W150" s="3">
        <f>+ConstantDollars!W150*1000/Enrollment!V$21</f>
        <v>0</v>
      </c>
      <c r="X150" s="3">
        <f>+ConstantDollars!X150*1000/Enrollment!W$21</f>
        <v>0</v>
      </c>
      <c r="Y150" s="3">
        <f>+ConstantDollars!Y150*1000/Enrollment!X$21</f>
        <v>0</v>
      </c>
      <c r="Z150" s="3">
        <f>+ConstantDollars!Z150*1000/Enrollment!Y$21</f>
        <v>0</v>
      </c>
      <c r="AA150" s="3">
        <f>+ConstantDollars!AA150*1000/Enrollment!Z$21</f>
        <v>0</v>
      </c>
      <c r="AB150" s="3">
        <f>+ConstantDollars!AB150*1000/Enrollment!AA$21</f>
        <v>0</v>
      </c>
      <c r="AC150" s="3">
        <f>+ConstantDollars!AC150*1000/Enrollment!AB$21</f>
        <v>0</v>
      </c>
      <c r="AD150" s="3">
        <f>+ConstantDollars!AD150*1000/Enrollment!AC$21</f>
        <v>0.30971110890916853</v>
      </c>
      <c r="AE150" s="3">
        <f>+ConstantDollars!AE150*1000/Enrollment!AD$21</f>
        <v>7.1251495728911687</v>
      </c>
      <c r="AF150" s="3">
        <f>+ConstantDollars!AF150*1000/Enrollment!AE$21</f>
        <v>19.718573367214155</v>
      </c>
      <c r="AG150" s="3">
        <f>+ConstantDollars!AG150*1000/Enrollment!AF$21</f>
        <v>211.45488551073032</v>
      </c>
      <c r="AH150" s="3">
        <f>+ConstantDollars!AH150*1000/Enrollment!AG$21</f>
        <v>687.82103746828864</v>
      </c>
      <c r="AI150" s="3">
        <f>+ConstantDollars!AI150*1000/Enrollment!AH$21</f>
        <v>558.10074095958805</v>
      </c>
      <c r="AJ150" s="3">
        <f>+ConstantDollars!AJ150*1000/Enrollment!AI$21</f>
        <v>573.39386455380725</v>
      </c>
      <c r="AK150" s="3">
        <f>+ConstantDollars!AK150*1000/Enrollment!AJ$21</f>
        <v>798.65612096557004</v>
      </c>
    </row>
    <row r="151" spans="2:37" ht="13.5" thickBot="1"/>
    <row r="152" spans="2:37" ht="13.5" thickTop="1">
      <c r="B152" s="1" t="str">
        <f>+$B$19</f>
        <v>Total Higher Education</v>
      </c>
      <c r="C152" s="39"/>
      <c r="D152" s="39"/>
      <c r="E152" s="39"/>
      <c r="F152" s="39"/>
      <c r="G152" s="39"/>
      <c r="H152" s="39"/>
      <c r="I152" s="39"/>
      <c r="J152" s="39"/>
      <c r="K152" s="39"/>
      <c r="L152" s="39"/>
      <c r="M152" s="39">
        <f>+ConstantDollars!M152*1000/Enrollment!L$21</f>
        <v>42.65190604447249</v>
      </c>
      <c r="N152" s="39">
        <f>+ConstantDollars!N152*1000/Enrollment!M$21</f>
        <v>48.325415336400297</v>
      </c>
      <c r="O152" s="39">
        <f>+ConstantDollars!O152*1000/Enrollment!N$21</f>
        <v>42.174341139287371</v>
      </c>
      <c r="P152" s="39">
        <f>+ConstantDollars!P152*1000/Enrollment!O$21</f>
        <v>49.15793112640187</v>
      </c>
      <c r="Q152" s="39">
        <f>+ConstantDollars!Q152*1000/Enrollment!P$21</f>
        <v>39.853988402557512</v>
      </c>
      <c r="R152" s="39">
        <f>+ConstantDollars!R152*1000/Enrollment!Q$21</f>
        <v>41.753639202592986</v>
      </c>
      <c r="S152" s="39">
        <f>+ConstantDollars!S152*1000/Enrollment!R$21</f>
        <v>39.832361063017672</v>
      </c>
      <c r="T152" s="39">
        <f>+ConstantDollars!T152*1000/Enrollment!S$21</f>
        <v>56.890900135647549</v>
      </c>
      <c r="U152" s="39">
        <f>+ConstantDollars!U152*1000/Enrollment!T$21</f>
        <v>205.36990636858781</v>
      </c>
      <c r="V152" s="39">
        <f>+ConstantDollars!V152*1000/Enrollment!U$21</f>
        <v>222.62757979428466</v>
      </c>
      <c r="W152" s="39">
        <f>+ConstantDollars!W152*1000/Enrollment!V$21</f>
        <v>34.204131220432934</v>
      </c>
      <c r="X152" s="39">
        <f>+ConstantDollars!X152*1000/Enrollment!W$21</f>
        <v>34.702649213152156</v>
      </c>
      <c r="Y152" s="39">
        <f>+ConstantDollars!Y152*1000/Enrollment!X$21</f>
        <v>51.478890759821454</v>
      </c>
      <c r="Z152" s="39">
        <f>+ConstantDollars!Z152*1000/Enrollment!Y$21</f>
        <v>85.415809223521293</v>
      </c>
      <c r="AA152" s="39">
        <f>+ConstantDollars!AA152*1000/Enrollment!Z$21</f>
        <v>81.990155819400471</v>
      </c>
      <c r="AB152" s="39">
        <f>+ConstantDollars!AB152*1000/Enrollment!AA$21</f>
        <v>91.44782415787067</v>
      </c>
      <c r="AC152" s="39">
        <f>+ConstantDollars!AC152*1000/Enrollment!AB$21</f>
        <v>92.53131674115204</v>
      </c>
      <c r="AD152" s="39">
        <f>+ConstantDollars!AD152*1000/Enrollment!AC$21</f>
        <v>91.974835483921225</v>
      </c>
      <c r="AE152" s="39">
        <f>+ConstantDollars!AE152*1000/Enrollment!AD$21</f>
        <v>497.90252323871471</v>
      </c>
      <c r="AF152" s="39">
        <f>+ConstantDollars!AF152*1000/Enrollment!AE$21</f>
        <v>518.49992321652803</v>
      </c>
      <c r="AG152" s="39">
        <f>+ConstantDollars!AG152*1000/Enrollment!AF$21</f>
        <v>1029.9547655882418</v>
      </c>
      <c r="AH152" s="39">
        <f>+ConstantDollars!AH152*1000/Enrollment!AG$21</f>
        <v>1947.4377786899877</v>
      </c>
      <c r="AI152" s="39">
        <f>+ConstantDollars!AI152*1000/Enrollment!AH$21</f>
        <v>1457.4815614015611</v>
      </c>
      <c r="AJ152" s="39">
        <f>+ConstantDollars!AJ152*1000/Enrollment!AI$21</f>
        <v>1689.9251357049711</v>
      </c>
      <c r="AK152" s="39">
        <f>+ConstantDollars!AK152*1000/Enrollment!AJ$21</f>
        <v>2056.2179658911409</v>
      </c>
    </row>
    <row r="153" spans="2:37">
      <c r="B153" s="199" t="str">
        <f>+$B$20</f>
        <v>[biennial annual average]</v>
      </c>
      <c r="D153" s="3"/>
      <c r="F153" s="3"/>
      <c r="H153" s="3"/>
      <c r="J153" s="3"/>
      <c r="L153" s="3"/>
      <c r="N153" s="3">
        <f>AVERAGE(M152:N152)</f>
        <v>45.48866069043639</v>
      </c>
      <c r="P153" s="3">
        <f>AVERAGE(O152:P152)</f>
        <v>45.66613613284462</v>
      </c>
      <c r="R153" s="3">
        <f>AVERAGE(Q152:R152)</f>
        <v>40.803813802575249</v>
      </c>
      <c r="T153" s="3">
        <f>AVERAGE(S152:T152)</f>
        <v>48.361630599332614</v>
      </c>
      <c r="V153" s="3">
        <f>AVERAGE(U152:V152)</f>
        <v>213.99874308143623</v>
      </c>
      <c r="X153" s="3">
        <f>AVERAGE(W152:X152)</f>
        <v>34.453390216792542</v>
      </c>
      <c r="Z153" s="3">
        <f>AVERAGE(Y152:Z152)</f>
        <v>68.447349991671373</v>
      </c>
      <c r="AB153" s="3">
        <f>AVERAGE(AA152:AB152)</f>
        <v>86.71898998863557</v>
      </c>
      <c r="AD153" s="3">
        <f>AVERAGE(AC152:AD152)</f>
        <v>92.253076112536633</v>
      </c>
      <c r="AF153" s="3">
        <f>AVERAGE(AE152:AF152)</f>
        <v>508.20122322762137</v>
      </c>
      <c r="AG153" s="3"/>
      <c r="AH153" s="3">
        <f>AVERAGE(AG152:AH152)</f>
        <v>1488.6962721391146</v>
      </c>
      <c r="AI153" s="3"/>
      <c r="AJ153" s="3">
        <f>AVERAGE(AI152:AJ152)</f>
        <v>1573.7033485532661</v>
      </c>
      <c r="AK153" s="3"/>
    </row>
    <row r="154" spans="2:37">
      <c r="B154" s="199"/>
      <c r="C154" s="7"/>
      <c r="D154" s="3"/>
      <c r="F154" s="3"/>
      <c r="H154" s="3"/>
      <c r="J154" s="3"/>
      <c r="L154" s="3"/>
      <c r="N154" s="3"/>
      <c r="P154" s="3"/>
      <c r="R154" s="3"/>
      <c r="T154" s="3"/>
      <c r="U154" s="3"/>
      <c r="V154" s="3"/>
      <c r="W154" s="2"/>
      <c r="X154" s="2"/>
      <c r="Y154" s="2"/>
      <c r="AA154"/>
      <c r="AB154"/>
      <c r="AC154"/>
      <c r="AD154"/>
      <c r="AE154"/>
      <c r="AF154"/>
      <c r="AG154"/>
      <c r="AH154"/>
      <c r="AI154"/>
      <c r="AJ154"/>
      <c r="AK154"/>
    </row>
    <row r="155" spans="2:37">
      <c r="B155" s="199"/>
      <c r="C155" s="7"/>
      <c r="D155" s="3"/>
      <c r="F155" s="3"/>
      <c r="H155" s="3"/>
      <c r="J155" s="3"/>
      <c r="L155" s="3"/>
      <c r="N155" s="3"/>
      <c r="P155" s="3"/>
      <c r="R155" s="3"/>
      <c r="T155" s="3"/>
      <c r="U155" s="3"/>
      <c r="V155" s="3"/>
      <c r="W155" s="2"/>
      <c r="X155" s="2" t="str">
        <f>IF(ISBLANK(OperatingFunds!X155),"",OperatingFunds!X155)</f>
        <v/>
      </c>
      <c r="Y155" s="2" t="str">
        <f>IF(ISBLANK(OperatingFunds!Y155),"",OperatingFunds!Y155)</f>
        <v/>
      </c>
      <c r="Z155" s="2" t="str">
        <f>IF(ISBLANK(OperatingFunds!Z155),"",OperatingFunds!Z155)</f>
        <v/>
      </c>
      <c r="AA155" s="2" t="str">
        <f>IF(ISBLANK(OperatingFunds!AA155),"",OperatingFunds!AA155)</f>
        <v/>
      </c>
      <c r="AB155" s="2" t="str">
        <f>IF(ISBLANK(OperatingFunds!AB155),"",OperatingFunds!AB155)</f>
        <v/>
      </c>
      <c r="AC155" s="2" t="str">
        <f>IF(ISBLANK(OperatingFunds!AC155),"",OperatingFunds!AC155)</f>
        <v/>
      </c>
      <c r="AD155" s="2" t="str">
        <f>IF(ISBLANK(OperatingFunds!AD155),"",OperatingFunds!AD155)</f>
        <v/>
      </c>
      <c r="AE155" s="2" t="str">
        <f>IF(ISBLANK(OperatingFunds!AE155),"",OperatingFunds!AE155)</f>
        <v/>
      </c>
      <c r="AF155" s="2" t="str">
        <f>IF(ISBLANK(OperatingFunds!AF155),"",OperatingFunds!AF155)</f>
        <v/>
      </c>
      <c r="AG155" s="2" t="str">
        <f>IF(ISBLANK(OperatingFunds!AG155),"",OperatingFunds!AG155)</f>
        <v/>
      </c>
      <c r="AH155" s="2" t="str">
        <f>IF(ISBLANK(OperatingFunds!AH155),"",OperatingFunds!AH155)</f>
        <v/>
      </c>
      <c r="AI155" s="2" t="str">
        <f>IF(ISBLANK(OperatingFunds!AI155),"",OperatingFunds!AI155)</f>
        <v/>
      </c>
      <c r="AJ155" s="2" t="str">
        <f>IF(ISBLANK(OperatingFunds!AJ155),"",OperatingFunds!AJ155)</f>
        <v/>
      </c>
      <c r="AK155" s="2" t="str">
        <f>IF(ISBLANK(OperatingFunds!AK155),"",OperatingFunds!AK155)</f>
        <v>Final</v>
      </c>
    </row>
    <row r="156" spans="2:37">
      <c r="B156" s="199"/>
      <c r="C156" s="7"/>
      <c r="D156" s="3"/>
      <c r="F156" s="3"/>
      <c r="H156" s="3"/>
      <c r="J156" s="3"/>
      <c r="L156" s="3"/>
      <c r="N156" s="3"/>
      <c r="P156" s="3"/>
      <c r="R156" s="3"/>
      <c r="T156" s="3"/>
      <c r="U156" s="3"/>
      <c r="V156" s="3"/>
      <c r="W156"/>
      <c r="X156" s="2" t="str">
        <f>+$X$6</f>
        <v>FY2011</v>
      </c>
      <c r="Y156" s="2" t="str">
        <f>+$Y$6</f>
        <v>FY2012</v>
      </c>
      <c r="Z156" s="2" t="str">
        <f>+$Z$6</f>
        <v>FY2013</v>
      </c>
      <c r="AA156" s="2" t="str">
        <f>+$AA$6</f>
        <v>FY2014</v>
      </c>
      <c r="AB156" s="2" t="str">
        <f>+$AB$6</f>
        <v>FY2015</v>
      </c>
      <c r="AC156" s="2" t="str">
        <f>+$AC$6</f>
        <v>FY2016</v>
      </c>
      <c r="AD156" s="2" t="str">
        <f>+$AD$6</f>
        <v>FY2017</v>
      </c>
      <c r="AE156" s="2" t="str">
        <f>+$AE$6</f>
        <v>FY2018</v>
      </c>
      <c r="AF156" s="2" t="str">
        <f>+AF$6</f>
        <v>FY2019</v>
      </c>
      <c r="AG156" s="2" t="str">
        <f>+AG$6</f>
        <v>FY2020</v>
      </c>
      <c r="AH156" s="2" t="str">
        <f>+AH$6</f>
        <v>FY2021</v>
      </c>
      <c r="AI156" s="2" t="str">
        <f>+AI$6</f>
        <v>FY2022</v>
      </c>
      <c r="AJ156" s="2" t="str">
        <f>+AJ$6</f>
        <v>FY2023</v>
      </c>
      <c r="AK156" s="2" t="str">
        <f>+AK$6</f>
        <v>FY2024</v>
      </c>
    </row>
    <row r="157" spans="2:37">
      <c r="B157" s="1" t="str">
        <f>+OperatingFunds!$B$157</f>
        <v>Community/Technical College System Opportunity Express Account (17C-1)</v>
      </c>
      <c r="C157"/>
      <c r="D157"/>
      <c r="E157"/>
      <c r="F157"/>
      <c r="G157"/>
      <c r="H157"/>
      <c r="I157"/>
      <c r="J157"/>
      <c r="K157"/>
      <c r="L157"/>
      <c r="M157"/>
      <c r="N157"/>
      <c r="O157"/>
      <c r="P157"/>
      <c r="R157" s="3"/>
      <c r="T157" s="3"/>
      <c r="U157" s="3"/>
      <c r="V157" s="3"/>
      <c r="W157"/>
      <c r="X157" s="3">
        <f>+ConstantDollars!X157*1000/Enrollment!W$18</f>
        <v>151.89971489897383</v>
      </c>
      <c r="Y157" s="3"/>
    </row>
    <row r="158" spans="2:37">
      <c r="B158" s="1" t="str">
        <f>+OperatingFunds!$B$158</f>
        <v>HEC Board, CHE, SFA, &amp; SAC (1) Opportunity Pathways Account (17F-1)</v>
      </c>
      <c r="C158"/>
      <c r="D158"/>
      <c r="E158"/>
      <c r="F158"/>
      <c r="G158"/>
      <c r="H158"/>
      <c r="I158"/>
      <c r="J158"/>
      <c r="K158"/>
      <c r="L158"/>
      <c r="M158"/>
      <c r="N158"/>
      <c r="O158"/>
      <c r="P158"/>
      <c r="R158" s="3"/>
      <c r="T158" s="3"/>
      <c r="U158" s="3"/>
      <c r="V158" s="3"/>
      <c r="W158"/>
      <c r="X158" s="3">
        <f>+ConstantDollars!X158*1000/Enrollment!W$21</f>
        <v>369.09490712449855</v>
      </c>
      <c r="Y158" s="3">
        <f>+ConstantDollars!Y158*1000/Enrollment!X$21</f>
        <v>370.70363693107481</v>
      </c>
      <c r="Z158" s="3">
        <f>+ConstantDollars!Z158*1000/Enrollment!Y$21</f>
        <v>551.02944944026251</v>
      </c>
      <c r="AA158" s="3">
        <f>+ConstantDollars!AA158*1000/Enrollment!Z$21</f>
        <v>342.44340303703035</v>
      </c>
      <c r="AB158" s="3">
        <f>+ConstantDollars!AB158*1000/Enrollment!AA$21</f>
        <v>374.18404436726655</v>
      </c>
      <c r="AC158" s="3">
        <f>+ConstantDollars!AC158*1000/Enrollment!AB$21</f>
        <v>483.83923181197127</v>
      </c>
      <c r="AD158" s="3">
        <f>+ConstantDollars!AD158*1000/Enrollment!AC$21</f>
        <v>380.74414170654666</v>
      </c>
      <c r="AE158" s="3">
        <f>+ConstantDollars!AE158*1000/Enrollment!AD$21</f>
        <v>295.48743017350375</v>
      </c>
      <c r="AF158" s="3">
        <f>+ConstantDollars!AF158*1000/Enrollment!AE$21</f>
        <v>302.57015094124426</v>
      </c>
      <c r="AG158" s="3">
        <f>+ConstantDollars!AG158*1000/Enrollment!AF$21</f>
        <v>261.51003692563211</v>
      </c>
      <c r="AH158" s="3">
        <f>+ConstantDollars!AH158*1000/Enrollment!AG$21</f>
        <v>272.57320929976856</v>
      </c>
      <c r="AI158" s="3">
        <f>+ConstantDollars!AI158*1000/Enrollment!AH$21</f>
        <v>407.76373922545343</v>
      </c>
      <c r="AJ158" s="3">
        <f>+ConstantDollars!AJ158*1000/Enrollment!AI$21</f>
        <v>712.11776212071527</v>
      </c>
      <c r="AK158" s="3">
        <f>+ConstantDollars!AK158*1000/Enrollment!AJ$21</f>
        <v>167.6790817664901</v>
      </c>
    </row>
    <row r="159" spans="2:37">
      <c r="B159" s="199"/>
      <c r="D159" s="3"/>
      <c r="F159" s="3"/>
      <c r="H159" s="3"/>
      <c r="J159" s="3"/>
      <c r="L159" s="3"/>
      <c r="N159" s="3"/>
      <c r="P159" s="3"/>
      <c r="R159" s="3"/>
      <c r="T159" s="3"/>
      <c r="V159" s="3"/>
      <c r="W159"/>
      <c r="X159"/>
      <c r="Y159"/>
    </row>
    <row r="160" spans="2:37">
      <c r="D160" s="7"/>
      <c r="F160" s="7"/>
      <c r="H160" s="7"/>
      <c r="J160" s="7"/>
      <c r="L160" s="7"/>
      <c r="N160" s="7"/>
      <c r="P160" s="7"/>
      <c r="R160" s="7"/>
      <c r="T160" s="7"/>
      <c r="V160" s="7"/>
      <c r="W160"/>
      <c r="X160"/>
      <c r="Y160"/>
    </row>
    <row r="161" spans="2:25">
      <c r="D161" s="7"/>
      <c r="F161" s="7"/>
      <c r="H161" s="7"/>
      <c r="J161" s="7"/>
      <c r="L161" s="7"/>
      <c r="N161" s="7"/>
      <c r="P161" s="7"/>
      <c r="R161" s="7"/>
      <c r="T161" s="7"/>
      <c r="V161" s="7"/>
      <c r="W161"/>
      <c r="X161"/>
      <c r="Y161"/>
    </row>
    <row r="162" spans="2:25">
      <c r="B162" s="1" t="str">
        <f>+OperatingFunds!B162</f>
        <v>Data through FY2023 from Monitor (AFRS) data; Enacted data for FY2024 and FY2025 reflect legislative action from the 2024 Legislative Session.</v>
      </c>
    </row>
    <row r="163" spans="2:25">
      <c r="B163" s="1" t="str">
        <f>+OperatingFunds!B163</f>
        <v xml:space="preserve"> (1) HEC Board, CHE, SFA, &amp; SAC represents the Higher Education Coordinating Board, the Council for Higher Education, the Office of Student Financial Assistance, and the Student Achievement Council.</v>
      </c>
    </row>
    <row r="164" spans="2:25">
      <c r="B164" s="1" t="str">
        <f>EconomicIndicators!A20</f>
        <v>IPD, CPI, and Income measures from Economic and Revenue Forecast Council (ERFC)--data corresponds to November 2024 Update</v>
      </c>
    </row>
    <row r="166" spans="2:25">
      <c r="B166" s="1" t="str">
        <f>TRIM(+OperatingFunds!B170)</f>
        <v/>
      </c>
    </row>
  </sheetData>
  <phoneticPr fontId="0" type="noConversion"/>
  <printOptions horizontalCentered="1"/>
  <pageMargins left="0.5" right="0.5" top="0.25" bottom="0.25" header="0.25" footer="0.25"/>
  <pageSetup scale="53" fitToHeight="2" orientation="portrait" r:id="rId1"/>
  <headerFooter alignWithMargins="0">
    <oddFooter>&amp;R&amp;8Page &amp;P of &amp;N</oddFooter>
  </headerFooter>
  <rowBreaks count="1" manualBreakCount="1">
    <brk id="116" min="1" max="3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0000"/>
    <pageSetUpPr fitToPage="1"/>
  </sheetPr>
  <dimension ref="A1:AQ68"/>
  <sheetViews>
    <sheetView workbookViewId="0">
      <selection sqref="A1:V1"/>
    </sheetView>
  </sheetViews>
  <sheetFormatPr defaultColWidth="8" defaultRowHeight="12.75"/>
  <cols>
    <col min="1" max="1" width="28.875" style="67" bestFit="1" customWidth="1"/>
    <col min="2" max="3" width="8.625" style="67" customWidth="1"/>
    <col min="4" max="8" width="8.625" style="68" customWidth="1"/>
    <col min="9" max="19" width="8.625" style="67" customWidth="1"/>
    <col min="20" max="20" width="12.25" style="67" customWidth="1"/>
    <col min="21" max="21" width="1.5" style="67" customWidth="1"/>
    <col min="22" max="22" width="8.625" style="131" customWidth="1"/>
    <col min="23" max="23" width="0.875" style="67" customWidth="1"/>
    <col min="24" max="24" width="8" style="72" customWidth="1"/>
    <col min="25" max="26" width="8" style="67" customWidth="1"/>
    <col min="27" max="27" width="17.125" style="67" customWidth="1"/>
    <col min="28" max="30" width="8" style="67" customWidth="1"/>
    <col min="31" max="31" width="11.75" style="67" bestFit="1" customWidth="1"/>
    <col min="32" max="32" width="12.25" style="67" bestFit="1" customWidth="1"/>
    <col min="33" max="33" width="11.375" style="67" bestFit="1" customWidth="1"/>
    <col min="34" max="35" width="8" style="67" customWidth="1"/>
    <col min="36" max="36" width="10.375" style="67" bestFit="1" customWidth="1"/>
    <col min="37" max="39" width="13.5" style="67" bestFit="1" customWidth="1"/>
    <col min="40" max="16384" width="8" style="67"/>
  </cols>
  <sheetData>
    <row r="1" spans="1:40" s="60" customFormat="1" ht="18">
      <c r="A1" s="2504" t="s">
        <v>177</v>
      </c>
      <c r="B1" s="2504"/>
      <c r="C1" s="2504"/>
      <c r="D1" s="2504"/>
      <c r="E1" s="2504"/>
      <c r="F1" s="2504"/>
      <c r="G1" s="2504"/>
      <c r="H1" s="2504"/>
      <c r="I1" s="2504"/>
      <c r="J1" s="2504"/>
      <c r="K1" s="2504"/>
      <c r="L1" s="2504"/>
      <c r="M1" s="2504"/>
      <c r="N1" s="2504"/>
      <c r="O1" s="2504"/>
      <c r="P1" s="2504"/>
      <c r="Q1" s="2504"/>
      <c r="R1" s="2504"/>
      <c r="S1" s="2504"/>
      <c r="T1" s="2504"/>
      <c r="U1" s="2504"/>
      <c r="V1" s="2504"/>
      <c r="X1" s="61"/>
    </row>
    <row r="2" spans="1:40" s="62" customFormat="1" ht="16.5" customHeight="1">
      <c r="A2" s="2504" t="s">
        <v>127</v>
      </c>
      <c r="B2" s="2504"/>
      <c r="C2" s="2504"/>
      <c r="D2" s="2504"/>
      <c r="E2" s="2504"/>
      <c r="F2" s="2504"/>
      <c r="G2" s="2504"/>
      <c r="H2" s="2504"/>
      <c r="I2" s="2504"/>
      <c r="J2" s="2504"/>
      <c r="K2" s="2504"/>
      <c r="L2" s="2504"/>
      <c r="M2" s="2504"/>
      <c r="N2" s="2504"/>
      <c r="O2" s="2504"/>
      <c r="P2" s="2504"/>
      <c r="Q2" s="2504"/>
      <c r="R2" s="2504"/>
      <c r="S2" s="2504"/>
      <c r="T2" s="2504"/>
      <c r="U2" s="2504"/>
      <c r="V2" s="2504"/>
      <c r="X2" s="63"/>
    </row>
    <row r="3" spans="1:40" s="65" customFormat="1">
      <c r="A3" s="2508" t="s">
        <v>178</v>
      </c>
      <c r="B3" s="2508"/>
      <c r="C3" s="2508"/>
      <c r="D3" s="2508"/>
      <c r="E3" s="2508"/>
      <c r="F3" s="2508"/>
      <c r="G3" s="2508"/>
      <c r="H3" s="2508"/>
      <c r="I3" s="2508"/>
      <c r="J3" s="2508"/>
      <c r="K3" s="2508"/>
      <c r="L3" s="2508"/>
      <c r="M3" s="2508"/>
      <c r="N3" s="2508"/>
      <c r="O3" s="2508"/>
      <c r="P3" s="2508"/>
      <c r="Q3" s="2508"/>
      <c r="R3" s="2508"/>
      <c r="S3" s="2508"/>
      <c r="T3" s="2508"/>
      <c r="U3" s="2508"/>
      <c r="V3" s="2508"/>
      <c r="X3" s="66"/>
    </row>
    <row r="4" spans="1:40" s="65" customFormat="1">
      <c r="A4" s="2508" t="s">
        <v>1</v>
      </c>
      <c r="B4" s="2508"/>
      <c r="C4" s="2508"/>
      <c r="D4" s="2508"/>
      <c r="E4" s="2508"/>
      <c r="F4" s="2508"/>
      <c r="G4" s="2508"/>
      <c r="H4" s="2508"/>
      <c r="I4" s="2508"/>
      <c r="J4" s="2508"/>
      <c r="K4" s="2508"/>
      <c r="L4" s="2508"/>
      <c r="M4" s="2508"/>
      <c r="N4" s="2508"/>
      <c r="O4" s="2508"/>
      <c r="P4" s="2508"/>
      <c r="Q4" s="2508"/>
      <c r="R4" s="2508"/>
      <c r="S4" s="2508"/>
      <c r="T4" s="2508"/>
      <c r="U4" s="2508"/>
      <c r="V4" s="2508"/>
      <c r="X4" s="66"/>
    </row>
    <row r="6" spans="1:40" ht="15.75">
      <c r="Q6" s="2507"/>
      <c r="R6" s="2507"/>
      <c r="S6" s="69"/>
      <c r="V6" s="70"/>
      <c r="W6" s="71"/>
      <c r="Z6" s="73" t="s">
        <v>179</v>
      </c>
      <c r="AA6" s="74"/>
      <c r="AB6" s="74"/>
      <c r="AC6" s="74"/>
      <c r="AD6" s="74"/>
      <c r="AE6" s="74"/>
      <c r="AF6" s="74"/>
      <c r="AG6" s="74"/>
    </row>
    <row r="7" spans="1:40" ht="38.25" customHeight="1">
      <c r="B7" s="67" t="s">
        <v>24</v>
      </c>
      <c r="C7" s="67" t="s">
        <v>25</v>
      </c>
      <c r="D7" s="75" t="s">
        <v>180</v>
      </c>
      <c r="E7" s="76" t="s">
        <v>26</v>
      </c>
      <c r="F7" s="76" t="s">
        <v>28</v>
      </c>
      <c r="G7" s="76"/>
      <c r="H7" s="75" t="s">
        <v>181</v>
      </c>
      <c r="I7" s="77" t="s">
        <v>52</v>
      </c>
      <c r="J7" s="77" t="s">
        <v>53</v>
      </c>
      <c r="K7" s="78"/>
      <c r="L7" s="64" t="s">
        <v>182</v>
      </c>
      <c r="M7" s="64" t="s">
        <v>68</v>
      </c>
      <c r="N7" s="64" t="s">
        <v>69</v>
      </c>
      <c r="O7" s="64"/>
      <c r="P7" s="64" t="s">
        <v>183</v>
      </c>
      <c r="Q7" s="64" t="s">
        <v>148</v>
      </c>
      <c r="R7" s="64" t="s">
        <v>184</v>
      </c>
      <c r="S7" s="64"/>
      <c r="T7" s="79" t="s">
        <v>185</v>
      </c>
      <c r="U7" s="64"/>
      <c r="V7" s="2505" t="s">
        <v>186</v>
      </c>
      <c r="W7" s="2506"/>
      <c r="Z7" s="74"/>
      <c r="AA7" s="74"/>
      <c r="AB7" s="74"/>
      <c r="AC7" s="74"/>
      <c r="AD7" s="74"/>
      <c r="AE7" s="74"/>
      <c r="AF7" s="74"/>
      <c r="AG7" s="74"/>
      <c r="AH7" s="80"/>
      <c r="AI7" s="81" t="s">
        <v>187</v>
      </c>
      <c r="AJ7" s="82"/>
      <c r="AK7" s="82"/>
      <c r="AL7" s="82"/>
      <c r="AM7" s="82"/>
      <c r="AN7" s="82"/>
    </row>
    <row r="8" spans="1:40">
      <c r="Q8" s="69" t="s">
        <v>77</v>
      </c>
      <c r="R8" s="69" t="s">
        <v>188</v>
      </c>
      <c r="V8" s="83"/>
      <c r="W8" s="84"/>
      <c r="Z8" s="85"/>
      <c r="AA8" s="86"/>
      <c r="AB8" s="2514" t="s">
        <v>189</v>
      </c>
      <c r="AC8" s="2514"/>
      <c r="AD8" s="2515"/>
      <c r="AE8" s="2516" t="s">
        <v>190</v>
      </c>
      <c r="AF8" s="2514"/>
      <c r="AG8" s="2517"/>
      <c r="AH8" s="87"/>
      <c r="AI8" s="82"/>
      <c r="AJ8" s="82"/>
      <c r="AK8" s="82"/>
      <c r="AL8" s="82"/>
      <c r="AM8" s="82"/>
      <c r="AN8" s="82"/>
    </row>
    <row r="9" spans="1:40">
      <c r="V9" s="83"/>
      <c r="W9" s="84"/>
      <c r="Z9" s="2519" t="s">
        <v>191</v>
      </c>
      <c r="AA9" s="2519" t="s">
        <v>192</v>
      </c>
      <c r="AB9" s="88" t="s">
        <v>193</v>
      </c>
      <c r="AC9" s="88" t="s">
        <v>193</v>
      </c>
      <c r="AD9" s="89" t="s">
        <v>194</v>
      </c>
      <c r="AE9" s="2518" t="s">
        <v>195</v>
      </c>
      <c r="AF9" s="2519" t="s">
        <v>196</v>
      </c>
      <c r="AG9" s="90" t="s">
        <v>197</v>
      </c>
      <c r="AH9" s="2531"/>
      <c r="AI9" s="82"/>
      <c r="AJ9" s="81" t="s">
        <v>198</v>
      </c>
      <c r="AK9" s="91" t="s">
        <v>199</v>
      </c>
      <c r="AL9" s="91" t="s">
        <v>200</v>
      </c>
      <c r="AM9" s="91" t="s">
        <v>197</v>
      </c>
      <c r="AN9" s="82"/>
    </row>
    <row r="10" spans="1:40">
      <c r="A10" s="67" t="s">
        <v>2</v>
      </c>
      <c r="B10" s="67">
        <v>259062</v>
      </c>
      <c r="C10" s="67">
        <v>267601</v>
      </c>
      <c r="D10" s="68">
        <f>SUM(B10:C10)</f>
        <v>526663</v>
      </c>
      <c r="E10" s="68">
        <v>284108</v>
      </c>
      <c r="F10" s="68">
        <v>295832</v>
      </c>
      <c r="H10" s="68">
        <f t="shared" ref="H10:H16" si="0">SUM(E10:F10)</f>
        <v>579940</v>
      </c>
      <c r="I10" s="68">
        <v>316575</v>
      </c>
      <c r="J10" s="68">
        <v>335811</v>
      </c>
      <c r="K10" s="68"/>
      <c r="L10" s="68">
        <f t="shared" ref="L10:L16" si="1">SUM(I10:J10)</f>
        <v>652386</v>
      </c>
      <c r="M10" s="68">
        <v>345477</v>
      </c>
      <c r="N10" s="68">
        <v>333762.49959000002</v>
      </c>
      <c r="O10" s="68"/>
      <c r="P10" s="68">
        <f t="shared" ref="P10:P16" si="2">SUM(M10:N10)</f>
        <v>679239.49959000002</v>
      </c>
      <c r="Q10" s="68">
        <f>FY2004Actuals!C11-(AK10/1000)+(SUM(AE19:AE21)/1000)</f>
        <v>322101.25599999999</v>
      </c>
      <c r="R10" s="68">
        <f>325688-(AL10/1000)+(AF19/1000)+(AF20/1000)+(AF21/1000)+(AF53/1000)+(AF54/1000)+(AF55/1000)+(AF56/1000)</f>
        <v>337552.80099999998</v>
      </c>
      <c r="S10" s="68"/>
      <c r="T10" s="92">
        <f>SUM(Q10:R10)</f>
        <v>659654.05700000003</v>
      </c>
      <c r="U10" s="92"/>
      <c r="V10" s="93">
        <f>(T10-P10)/P10</f>
        <v>-2.8834369323076887E-2</v>
      </c>
      <c r="W10" s="84"/>
      <c r="X10" s="72">
        <f>T10/$T$22</f>
        <v>0.23993433724477378</v>
      </c>
      <c r="Z10" s="2519"/>
      <c r="AA10" s="2519"/>
      <c r="AB10" s="94" t="s">
        <v>195</v>
      </c>
      <c r="AC10" s="94" t="s">
        <v>196</v>
      </c>
      <c r="AD10" s="95" t="s">
        <v>197</v>
      </c>
      <c r="AE10" s="2518"/>
      <c r="AF10" s="2519"/>
      <c r="AG10" s="90" t="s">
        <v>194</v>
      </c>
      <c r="AH10" s="2531"/>
      <c r="AI10" s="82"/>
      <c r="AJ10" s="82" t="s">
        <v>201</v>
      </c>
      <c r="AK10" s="96">
        <v>-10054000</v>
      </c>
      <c r="AL10" s="96">
        <f>AK10</f>
        <v>-10054000</v>
      </c>
      <c r="AM10" s="97">
        <f>SUM(AK10:AL10)</f>
        <v>-20108000</v>
      </c>
      <c r="AN10" s="82"/>
    </row>
    <row r="11" spans="1:40">
      <c r="A11" s="67" t="s">
        <v>3</v>
      </c>
      <c r="B11" s="67">
        <v>150969</v>
      </c>
      <c r="C11" s="67">
        <v>160691</v>
      </c>
      <c r="D11" s="68">
        <f t="shared" ref="D11:D20" si="3">SUM(B11:C11)</f>
        <v>311660</v>
      </c>
      <c r="E11" s="68">
        <v>171407</v>
      </c>
      <c r="F11" s="68">
        <v>171200</v>
      </c>
      <c r="H11" s="68">
        <f t="shared" si="0"/>
        <v>342607</v>
      </c>
      <c r="I11" s="68">
        <v>183312</v>
      </c>
      <c r="J11" s="68">
        <v>197166</v>
      </c>
      <c r="K11" s="68"/>
      <c r="L11" s="68">
        <f t="shared" si="1"/>
        <v>380478</v>
      </c>
      <c r="M11" s="68">
        <v>201270</v>
      </c>
      <c r="N11" s="68">
        <v>194178</v>
      </c>
      <c r="O11" s="68"/>
      <c r="P11" s="68">
        <f t="shared" si="2"/>
        <v>395448</v>
      </c>
      <c r="Q11" s="68">
        <f>FY2004Actuals!C30-(AK11/1000)+(SUM(AE22:AE28)/1000)</f>
        <v>190981.984</v>
      </c>
      <c r="R11" s="68">
        <f>191047-(AL11/1000)+(AL23/1000)+(AF22/1000)+(AF23/1000)+(AF24/1000)+(AF28/1000)+(AF57/1000)+(AF58/1000)+(AF59/1000)+(AF60/1000)+(AF61/1000)</f>
        <v>200418.36000000002</v>
      </c>
      <c r="S11" s="68"/>
      <c r="T11" s="92">
        <f t="shared" ref="T11:T16" si="4">SUM(Q11:R11)</f>
        <v>391400.34400000004</v>
      </c>
      <c r="U11" s="92"/>
      <c r="V11" s="93">
        <f t="shared" ref="V11:V22" si="5">(T11-P11)/P11</f>
        <v>-1.0235621371204201E-2</v>
      </c>
      <c r="W11" s="84"/>
      <c r="X11" s="72">
        <f t="shared" ref="X11:X16" si="6">T11/$T$22</f>
        <v>0.14236307825059957</v>
      </c>
      <c r="Z11" s="2519"/>
      <c r="AA11" s="2519"/>
      <c r="AB11" s="98"/>
      <c r="AC11" s="98"/>
      <c r="AD11" s="99"/>
      <c r="AE11" s="2518"/>
      <c r="AF11" s="2519"/>
      <c r="AG11" s="90"/>
      <c r="AH11" s="2531"/>
      <c r="AI11" s="82"/>
      <c r="AJ11" s="82" t="s">
        <v>202</v>
      </c>
      <c r="AK11" s="96">
        <v>-3938000</v>
      </c>
      <c r="AL11" s="96">
        <f t="shared" ref="AL11:AL16" si="7">AK11</f>
        <v>-3938000</v>
      </c>
      <c r="AM11" s="97">
        <f t="shared" ref="AM11:AM17" si="8">SUM(AK11:AL11)</f>
        <v>-7876000</v>
      </c>
      <c r="AN11" s="82"/>
    </row>
    <row r="12" spans="1:40">
      <c r="A12" s="67" t="s">
        <v>4</v>
      </c>
      <c r="B12" s="67">
        <v>37382</v>
      </c>
      <c r="C12" s="67">
        <v>38188</v>
      </c>
      <c r="D12" s="68">
        <f t="shared" si="3"/>
        <v>75570</v>
      </c>
      <c r="E12" s="68">
        <v>39189</v>
      </c>
      <c r="F12" s="68">
        <v>39454</v>
      </c>
      <c r="H12" s="68">
        <f t="shared" si="0"/>
        <v>78643</v>
      </c>
      <c r="I12" s="68">
        <v>41668</v>
      </c>
      <c r="J12" s="68">
        <v>43970</v>
      </c>
      <c r="K12" s="68"/>
      <c r="L12" s="68">
        <f t="shared" si="1"/>
        <v>85638</v>
      </c>
      <c r="M12" s="68">
        <v>45592</v>
      </c>
      <c r="N12" s="68">
        <v>43906</v>
      </c>
      <c r="O12" s="68"/>
      <c r="P12" s="68">
        <f t="shared" si="2"/>
        <v>89498</v>
      </c>
      <c r="Q12" s="68">
        <f>FY2004Actuals!C48-(AK12/1000)+(SUM(AE17:AE18)/1000)</f>
        <v>42792.062539999999</v>
      </c>
      <c r="R12" s="68">
        <f>42620-(AL12/1000)+(AL24/1000)+(AF17/1000)+(AF18/1000)+(AF50/1000)+(AF51/1000)</f>
        <v>45061.280000000006</v>
      </c>
      <c r="S12" s="68"/>
      <c r="T12" s="92">
        <f t="shared" si="4"/>
        <v>87853.342540000012</v>
      </c>
      <c r="U12" s="92"/>
      <c r="V12" s="93">
        <f t="shared" si="5"/>
        <v>-1.8376471652997693E-2</v>
      </c>
      <c r="W12" s="84"/>
      <c r="X12" s="72">
        <f t="shared" si="6"/>
        <v>3.1954678809885638E-2</v>
      </c>
      <c r="Z12" s="100" t="s">
        <v>93</v>
      </c>
      <c r="AA12" s="101" t="s">
        <v>203</v>
      </c>
      <c r="AB12" s="102">
        <v>20</v>
      </c>
      <c r="AC12" s="102">
        <v>0</v>
      </c>
      <c r="AD12" s="103">
        <v>20</v>
      </c>
      <c r="AE12" s="104">
        <v>223420</v>
      </c>
      <c r="AF12" s="104">
        <v>156070</v>
      </c>
      <c r="AG12" s="105">
        <f>AE12+AF12</f>
        <v>379490</v>
      </c>
      <c r="AH12" s="106"/>
      <c r="AI12" s="82"/>
      <c r="AJ12" s="82" t="s">
        <v>94</v>
      </c>
      <c r="AK12" s="96">
        <v>-863000</v>
      </c>
      <c r="AL12" s="96">
        <f t="shared" si="7"/>
        <v>-863000</v>
      </c>
      <c r="AM12" s="97">
        <f t="shared" si="8"/>
        <v>-1726000</v>
      </c>
      <c r="AN12" s="82"/>
    </row>
    <row r="13" spans="1:40">
      <c r="A13" s="67" t="s">
        <v>5</v>
      </c>
      <c r="B13" s="67">
        <v>33642</v>
      </c>
      <c r="C13" s="67">
        <v>36347</v>
      </c>
      <c r="D13" s="68">
        <f t="shared" si="3"/>
        <v>69989</v>
      </c>
      <c r="E13" s="68">
        <v>37244</v>
      </c>
      <c r="F13" s="68">
        <v>39158</v>
      </c>
      <c r="H13" s="68">
        <f t="shared" si="0"/>
        <v>76402</v>
      </c>
      <c r="I13" s="68">
        <v>42130</v>
      </c>
      <c r="J13" s="68">
        <v>44322</v>
      </c>
      <c r="K13" s="68"/>
      <c r="L13" s="68">
        <f t="shared" si="1"/>
        <v>86452</v>
      </c>
      <c r="M13" s="68">
        <v>44144</v>
      </c>
      <c r="N13" s="68">
        <v>41599</v>
      </c>
      <c r="O13" s="68"/>
      <c r="P13" s="68">
        <f t="shared" si="2"/>
        <v>85743</v>
      </c>
      <c r="Q13" s="68">
        <f>FY2004Actuals!C62-(AK13/1000)+(SUM(AE12:AE16)/1000)</f>
        <v>41782.851999999999</v>
      </c>
      <c r="R13" s="68">
        <f>42291-(AL13/1000)+(AL28/1000)+(AF12/1000)+(AF13/1000)+(AF14/1000)+(AF16/1000)+(AF47/1000)+(AF48/1000)+(AF49/1000)</f>
        <v>44604.652999999998</v>
      </c>
      <c r="S13" s="68"/>
      <c r="T13" s="92">
        <f t="shared" si="4"/>
        <v>86387.505000000005</v>
      </c>
      <c r="U13" s="92"/>
      <c r="V13" s="93">
        <f t="shared" si="5"/>
        <v>7.5167069031874863E-3</v>
      </c>
      <c r="W13" s="84"/>
      <c r="X13" s="72">
        <f t="shared" si="6"/>
        <v>3.1421513349996086E-2</v>
      </c>
      <c r="Z13" s="100" t="s">
        <v>93</v>
      </c>
      <c r="AA13" s="101" t="s">
        <v>204</v>
      </c>
      <c r="AB13" s="102">
        <v>30</v>
      </c>
      <c r="AC13" s="102">
        <v>0</v>
      </c>
      <c r="AD13" s="103">
        <v>30</v>
      </c>
      <c r="AE13" s="107">
        <v>117960</v>
      </c>
      <c r="AF13" s="108">
        <v>104994</v>
      </c>
      <c r="AG13" s="105">
        <f t="shared" ref="AG13:AG24" si="9">AE13+AF13</f>
        <v>222954</v>
      </c>
      <c r="AH13" s="109"/>
      <c r="AI13" s="82"/>
      <c r="AJ13" s="82" t="s">
        <v>93</v>
      </c>
      <c r="AK13" s="96">
        <v>-943000</v>
      </c>
      <c r="AL13" s="96">
        <f t="shared" si="7"/>
        <v>-943000</v>
      </c>
      <c r="AM13" s="97">
        <f t="shared" si="8"/>
        <v>-1886000</v>
      </c>
      <c r="AN13" s="82"/>
    </row>
    <row r="14" spans="1:40">
      <c r="A14" s="67" t="s">
        <v>6</v>
      </c>
      <c r="B14" s="67">
        <v>18476</v>
      </c>
      <c r="C14" s="67">
        <v>19439</v>
      </c>
      <c r="D14" s="68">
        <f t="shared" si="3"/>
        <v>37915</v>
      </c>
      <c r="E14" s="68">
        <v>20491</v>
      </c>
      <c r="F14" s="68">
        <v>20528</v>
      </c>
      <c r="H14" s="68">
        <f t="shared" si="0"/>
        <v>41019</v>
      </c>
      <c r="I14" s="68">
        <v>22388</v>
      </c>
      <c r="J14" s="68">
        <v>24870</v>
      </c>
      <c r="K14" s="68"/>
      <c r="L14" s="68">
        <f t="shared" si="1"/>
        <v>47258</v>
      </c>
      <c r="M14" s="68">
        <v>25414</v>
      </c>
      <c r="N14" s="68">
        <v>24342.161</v>
      </c>
      <c r="O14" s="68"/>
      <c r="P14" s="68">
        <f t="shared" si="2"/>
        <v>49756.161</v>
      </c>
      <c r="Q14" s="68">
        <f>FY2004Actuals!C76-(AK14/1000)</f>
        <v>23413</v>
      </c>
      <c r="R14" s="68">
        <f>24035-(AL14/1000)+(AL29/1000)+(AF52/1000)</f>
        <v>24754.424999999999</v>
      </c>
      <c r="S14" s="68"/>
      <c r="T14" s="92">
        <f t="shared" si="4"/>
        <v>48167.425000000003</v>
      </c>
      <c r="U14" s="92"/>
      <c r="V14" s="93">
        <f t="shared" si="5"/>
        <v>-3.1930437720064396E-2</v>
      </c>
      <c r="W14" s="84"/>
      <c r="X14" s="72">
        <f t="shared" si="6"/>
        <v>1.7519818261592754E-2</v>
      </c>
      <c r="Z14" s="2520" t="s">
        <v>93</v>
      </c>
      <c r="AA14" s="101" t="s">
        <v>205</v>
      </c>
      <c r="AB14" s="2521">
        <v>12</v>
      </c>
      <c r="AC14" s="2521">
        <v>0</v>
      </c>
      <c r="AD14" s="2522">
        <v>12</v>
      </c>
      <c r="AE14" s="2523">
        <v>87992</v>
      </c>
      <c r="AF14" s="2532">
        <v>79992</v>
      </c>
      <c r="AG14" s="105">
        <f t="shared" si="9"/>
        <v>167984</v>
      </c>
      <c r="AH14" s="2533"/>
      <c r="AI14" s="82"/>
      <c r="AJ14" s="82" t="s">
        <v>96</v>
      </c>
      <c r="AK14" s="96">
        <v>-292000</v>
      </c>
      <c r="AL14" s="96">
        <f t="shared" si="7"/>
        <v>-292000</v>
      </c>
      <c r="AM14" s="97">
        <f t="shared" si="8"/>
        <v>-584000</v>
      </c>
      <c r="AN14" s="82"/>
    </row>
    <row r="15" spans="1:40">
      <c r="A15" s="67" t="s">
        <v>7</v>
      </c>
      <c r="B15" s="67">
        <v>42543</v>
      </c>
      <c r="C15" s="67">
        <v>45828</v>
      </c>
      <c r="D15" s="68">
        <f t="shared" si="3"/>
        <v>88371</v>
      </c>
      <c r="E15" s="68">
        <v>47835</v>
      </c>
      <c r="F15" s="68">
        <v>48757</v>
      </c>
      <c r="H15" s="68">
        <f t="shared" si="0"/>
        <v>96592</v>
      </c>
      <c r="I15" s="68">
        <v>53392</v>
      </c>
      <c r="J15" s="68">
        <v>56612</v>
      </c>
      <c r="K15" s="68"/>
      <c r="L15" s="68">
        <f t="shared" si="1"/>
        <v>110004</v>
      </c>
      <c r="M15" s="68">
        <v>59840</v>
      </c>
      <c r="N15" s="68">
        <v>57966</v>
      </c>
      <c r="O15" s="68"/>
      <c r="P15" s="68">
        <f t="shared" si="2"/>
        <v>117806</v>
      </c>
      <c r="Q15" s="68">
        <f>FY2004Actuals!C90-(AK15/1000)+(SUM(AE29:AE32)/1000)</f>
        <v>56052</v>
      </c>
      <c r="R15" s="68">
        <f>56127-(AL15/1000)+(AL30/1000)+(AF29/1000)+(AF30/1000)+(AF31/1000)+(AF32/1000)</f>
        <v>58646.48</v>
      </c>
      <c r="S15" s="68"/>
      <c r="T15" s="92">
        <f t="shared" si="4"/>
        <v>114698.48000000001</v>
      </c>
      <c r="U15" s="92"/>
      <c r="V15" s="93">
        <f t="shared" si="5"/>
        <v>-2.637828293974831E-2</v>
      </c>
      <c r="W15" s="84"/>
      <c r="X15" s="72">
        <f t="shared" si="6"/>
        <v>4.1718994205750697E-2</v>
      </c>
      <c r="Z15" s="2520"/>
      <c r="AA15" s="101" t="s">
        <v>206</v>
      </c>
      <c r="AB15" s="2521"/>
      <c r="AC15" s="2521"/>
      <c r="AD15" s="2522"/>
      <c r="AE15" s="2523"/>
      <c r="AF15" s="2532"/>
      <c r="AG15" s="105"/>
      <c r="AH15" s="2533"/>
      <c r="AI15" s="82"/>
      <c r="AJ15" s="82" t="s">
        <v>98</v>
      </c>
      <c r="AK15" s="96">
        <v>-1407000</v>
      </c>
      <c r="AL15" s="96">
        <f t="shared" si="7"/>
        <v>-1407000</v>
      </c>
      <c r="AM15" s="97">
        <f t="shared" si="8"/>
        <v>-2814000</v>
      </c>
      <c r="AN15" s="82"/>
    </row>
    <row r="16" spans="1:40">
      <c r="A16" s="67" t="s">
        <v>8</v>
      </c>
      <c r="B16" s="67">
        <v>346249</v>
      </c>
      <c r="C16" s="67">
        <v>360791</v>
      </c>
      <c r="D16" s="68">
        <f t="shared" si="3"/>
        <v>707040</v>
      </c>
      <c r="E16" s="68">
        <v>380079</v>
      </c>
      <c r="F16" s="68">
        <v>420342</v>
      </c>
      <c r="H16" s="68">
        <f t="shared" si="0"/>
        <v>800421</v>
      </c>
      <c r="I16" s="68">
        <v>455436</v>
      </c>
      <c r="J16" s="68">
        <v>489740</v>
      </c>
      <c r="K16" s="68"/>
      <c r="L16" s="68">
        <f t="shared" si="1"/>
        <v>945176</v>
      </c>
      <c r="M16" s="68">
        <v>514954</v>
      </c>
      <c r="N16" s="68">
        <v>534152</v>
      </c>
      <c r="O16" s="68"/>
      <c r="P16" s="68">
        <f t="shared" si="2"/>
        <v>1049106</v>
      </c>
      <c r="Q16" s="68">
        <f>FY2004Actuals!C105-(AK16/1000)</f>
        <v>518259</v>
      </c>
      <c r="R16" s="68">
        <f>526108-(AL16/1000)</f>
        <v>534985</v>
      </c>
      <c r="S16" s="68"/>
      <c r="T16" s="92">
        <f t="shared" si="4"/>
        <v>1053244</v>
      </c>
      <c r="U16" s="92"/>
      <c r="V16" s="93">
        <f t="shared" si="5"/>
        <v>3.9443106797597193E-3</v>
      </c>
      <c r="W16" s="84"/>
      <c r="X16" s="72">
        <f t="shared" si="6"/>
        <v>0.38309383291950933</v>
      </c>
      <c r="Z16" s="100" t="s">
        <v>93</v>
      </c>
      <c r="AA16" s="101" t="s">
        <v>207</v>
      </c>
      <c r="AB16" s="102">
        <v>0</v>
      </c>
      <c r="AC16" s="102">
        <v>25</v>
      </c>
      <c r="AD16" s="103">
        <v>25</v>
      </c>
      <c r="AE16" s="107">
        <v>18480</v>
      </c>
      <c r="AF16" s="107">
        <v>71275</v>
      </c>
      <c r="AG16" s="105">
        <f t="shared" si="9"/>
        <v>89755</v>
      </c>
      <c r="AH16" s="110"/>
      <c r="AI16" s="82"/>
      <c r="AJ16" s="82" t="s">
        <v>208</v>
      </c>
      <c r="AK16" s="111">
        <v>-8877000</v>
      </c>
      <c r="AL16" s="111">
        <f t="shared" si="7"/>
        <v>-8877000</v>
      </c>
      <c r="AM16" s="112">
        <f t="shared" si="8"/>
        <v>-17754000</v>
      </c>
      <c r="AN16" s="82"/>
    </row>
    <row r="17" spans="1:43" s="65" customFormat="1">
      <c r="A17" s="65" t="s">
        <v>209</v>
      </c>
      <c r="D17" s="113">
        <f>SUM(D10:D16)</f>
        <v>1817208</v>
      </c>
      <c r="E17" s="113"/>
      <c r="F17" s="113"/>
      <c r="G17" s="113"/>
      <c r="H17" s="113">
        <f>SUM(H10:H16)</f>
        <v>2015624</v>
      </c>
      <c r="I17" s="113"/>
      <c r="J17" s="113"/>
      <c r="K17" s="113"/>
      <c r="L17" s="113">
        <f>SUM(L10:L16)</f>
        <v>2307392</v>
      </c>
      <c r="M17" s="113">
        <f t="shared" ref="M17:R17" si="10">SUM(M10:M16)</f>
        <v>1236691</v>
      </c>
      <c r="N17" s="113">
        <f t="shared" si="10"/>
        <v>1229905.66059</v>
      </c>
      <c r="O17" s="113"/>
      <c r="P17" s="113">
        <f t="shared" si="10"/>
        <v>2466596.6605900005</v>
      </c>
      <c r="Q17" s="113">
        <f t="shared" si="10"/>
        <v>1195382.15454</v>
      </c>
      <c r="R17" s="113">
        <f t="shared" si="10"/>
        <v>1246022.9990000001</v>
      </c>
      <c r="S17" s="113"/>
      <c r="T17" s="113">
        <f>SUM(T10:T16)</f>
        <v>2441405.1535400003</v>
      </c>
      <c r="U17" s="113"/>
      <c r="V17" s="114">
        <f t="shared" si="5"/>
        <v>-1.0213062983704202E-2</v>
      </c>
      <c r="W17" s="115"/>
      <c r="X17" s="66"/>
      <c r="Z17" s="100" t="s">
        <v>94</v>
      </c>
      <c r="AA17" s="101" t="s">
        <v>210</v>
      </c>
      <c r="AB17" s="102">
        <v>0</v>
      </c>
      <c r="AC17" s="102">
        <v>8</v>
      </c>
      <c r="AD17" s="103">
        <v>8</v>
      </c>
      <c r="AE17" s="107">
        <f>20179-46</f>
        <v>20133</v>
      </c>
      <c r="AF17" s="107">
        <v>75821</v>
      </c>
      <c r="AG17" s="105">
        <f t="shared" si="9"/>
        <v>95954</v>
      </c>
      <c r="AH17" s="116"/>
      <c r="AI17" s="81"/>
      <c r="AJ17" s="117" t="s">
        <v>194</v>
      </c>
      <c r="AK17" s="117">
        <f>SUM(AK10:AK16)</f>
        <v>-26374000</v>
      </c>
      <c r="AL17" s="118">
        <f>SUM(AL10:AL16)</f>
        <v>-26374000</v>
      </c>
      <c r="AM17" s="119">
        <f t="shared" si="8"/>
        <v>-52748000</v>
      </c>
      <c r="AN17" s="81"/>
    </row>
    <row r="18" spans="1:43">
      <c r="I18" s="68"/>
      <c r="J18" s="68"/>
      <c r="K18" s="68"/>
      <c r="L18" s="68"/>
      <c r="M18" s="68"/>
      <c r="N18" s="68"/>
      <c r="O18" s="68"/>
      <c r="P18" s="68"/>
      <c r="Q18" s="68"/>
      <c r="R18" s="68"/>
      <c r="S18" s="68"/>
      <c r="T18" s="92"/>
      <c r="U18" s="92"/>
      <c r="V18" s="93"/>
      <c r="W18" s="84"/>
      <c r="Z18" s="100" t="s">
        <v>94</v>
      </c>
      <c r="AA18" s="101" t="s">
        <v>211</v>
      </c>
      <c r="AB18" s="102">
        <v>32</v>
      </c>
      <c r="AC18" s="102">
        <v>6</v>
      </c>
      <c r="AD18" s="103">
        <v>38</v>
      </c>
      <c r="AE18" s="107">
        <f>352000-92070.46</f>
        <v>259929.53999999998</v>
      </c>
      <c r="AF18" s="107">
        <v>418000</v>
      </c>
      <c r="AG18" s="105">
        <f t="shared" si="9"/>
        <v>677929.54</v>
      </c>
      <c r="AH18" s="120"/>
      <c r="AJ18" s="68"/>
      <c r="AK18" s="68"/>
    </row>
    <row r="19" spans="1:43">
      <c r="A19" s="67" t="s">
        <v>11</v>
      </c>
      <c r="B19" s="67">
        <v>72875</v>
      </c>
      <c r="C19" s="67">
        <v>78214</v>
      </c>
      <c r="D19" s="68">
        <f t="shared" si="3"/>
        <v>151089</v>
      </c>
      <c r="E19" s="68">
        <v>91048</v>
      </c>
      <c r="F19" s="68">
        <v>100008</v>
      </c>
      <c r="H19" s="68">
        <f>SUM(E19:F19)</f>
        <v>191056</v>
      </c>
      <c r="I19" s="68">
        <v>106711</v>
      </c>
      <c r="J19" s="68">
        <v>129123</v>
      </c>
      <c r="K19" s="68"/>
      <c r="L19" s="68">
        <f>SUM(I19:J19)</f>
        <v>235834</v>
      </c>
      <c r="M19" s="68">
        <v>125863</v>
      </c>
      <c r="N19" s="68">
        <v>138130</v>
      </c>
      <c r="O19" s="68"/>
      <c r="P19" s="68">
        <f>SUM(M19:N19)</f>
        <v>263993</v>
      </c>
      <c r="Q19" s="68">
        <f>149956-(SUM(AE12:AE32)/1000)</f>
        <v>147382.84546000001</v>
      </c>
      <c r="R19" s="68">
        <f>174929-3563-5500</f>
        <v>165866</v>
      </c>
      <c r="S19" s="68"/>
      <c r="T19" s="92">
        <f>SUM(Q19:R19)-8165.231</f>
        <v>305083.61445999995</v>
      </c>
      <c r="U19" s="92"/>
      <c r="V19" s="93">
        <f t="shared" si="5"/>
        <v>0.15565039398771918</v>
      </c>
      <c r="W19" s="84"/>
      <c r="X19" s="72">
        <f>T19/$T$22</f>
        <v>0.11096730788347166</v>
      </c>
      <c r="Z19" s="100" t="s">
        <v>201</v>
      </c>
      <c r="AA19" s="101" t="s">
        <v>212</v>
      </c>
      <c r="AB19" s="102">
        <v>16</v>
      </c>
      <c r="AC19" s="102">
        <v>16</v>
      </c>
      <c r="AD19" s="103">
        <v>32</v>
      </c>
      <c r="AE19" s="107">
        <v>128145</v>
      </c>
      <c r="AF19" s="107">
        <v>327516</v>
      </c>
      <c r="AG19" s="105">
        <f t="shared" si="9"/>
        <v>455661</v>
      </c>
      <c r="AH19" s="109"/>
    </row>
    <row r="20" spans="1:43">
      <c r="A20" s="67" t="s">
        <v>70</v>
      </c>
      <c r="B20" s="67">
        <v>235</v>
      </c>
      <c r="C20" s="67">
        <v>303</v>
      </c>
      <c r="D20" s="68">
        <f t="shared" si="3"/>
        <v>538</v>
      </c>
      <c r="E20" s="68">
        <v>361</v>
      </c>
      <c r="F20" s="68">
        <v>0</v>
      </c>
      <c r="H20" s="68">
        <f>SUM(E20:F20)</f>
        <v>361</v>
      </c>
      <c r="I20" s="68">
        <v>0</v>
      </c>
      <c r="J20" s="68">
        <v>0</v>
      </c>
      <c r="K20" s="68"/>
      <c r="L20" s="68">
        <f>SUM(I20:J20)</f>
        <v>0</v>
      </c>
      <c r="M20" s="68">
        <v>1469</v>
      </c>
      <c r="N20" s="68">
        <v>1412</v>
      </c>
      <c r="O20" s="68"/>
      <c r="P20" s="68">
        <f>SUM(M20:N20)</f>
        <v>2881</v>
      </c>
      <c r="Q20" s="68">
        <v>1403</v>
      </c>
      <c r="R20" s="68">
        <v>1419</v>
      </c>
      <c r="S20" s="68"/>
      <c r="T20" s="92">
        <f>SUM(Q20:R20)</f>
        <v>2822</v>
      </c>
      <c r="U20" s="92"/>
      <c r="V20" s="93">
        <f t="shared" si="5"/>
        <v>-2.0479000347101702E-2</v>
      </c>
      <c r="W20" s="84"/>
      <c r="X20" s="72">
        <f>T20/$T$22</f>
        <v>1.0264390744204148E-3</v>
      </c>
      <c r="Z20" s="100" t="s">
        <v>201</v>
      </c>
      <c r="AA20" s="101" t="s">
        <v>213</v>
      </c>
      <c r="AB20" s="102">
        <v>15</v>
      </c>
      <c r="AC20" s="102">
        <v>15</v>
      </c>
      <c r="AD20" s="103">
        <v>30</v>
      </c>
      <c r="AE20" s="107">
        <v>212071</v>
      </c>
      <c r="AF20" s="107">
        <v>407202</v>
      </c>
      <c r="AG20" s="105">
        <f t="shared" si="9"/>
        <v>619273</v>
      </c>
      <c r="AH20" s="109"/>
      <c r="AI20" s="122" t="s">
        <v>214</v>
      </c>
      <c r="AJ20" s="123"/>
      <c r="AK20" s="123"/>
      <c r="AL20" s="123"/>
      <c r="AM20" s="123"/>
      <c r="AN20" s="123"/>
      <c r="AO20" s="123"/>
      <c r="AP20" s="123"/>
      <c r="AQ20" s="123"/>
    </row>
    <row r="21" spans="1:43">
      <c r="I21" s="68"/>
      <c r="J21" s="68"/>
      <c r="K21" s="68"/>
      <c r="L21" s="68"/>
      <c r="M21" s="68"/>
      <c r="N21" s="68"/>
      <c r="O21" s="68"/>
      <c r="P21" s="68"/>
      <c r="Q21" s="68"/>
      <c r="R21" s="68"/>
      <c r="S21" s="68"/>
      <c r="T21" s="92"/>
      <c r="U21" s="92"/>
      <c r="V21" s="93"/>
      <c r="W21" s="84"/>
      <c r="Z21" s="100" t="s">
        <v>201</v>
      </c>
      <c r="AA21" s="101" t="s">
        <v>215</v>
      </c>
      <c r="AB21" s="102">
        <v>10</v>
      </c>
      <c r="AC21" s="102">
        <v>20</v>
      </c>
      <c r="AD21" s="103">
        <v>30</v>
      </c>
      <c r="AE21" s="107">
        <v>79040</v>
      </c>
      <c r="AF21" s="107">
        <v>237120</v>
      </c>
      <c r="AG21" s="105">
        <f t="shared" si="9"/>
        <v>316160</v>
      </c>
      <c r="AH21" s="109"/>
      <c r="AI21" s="123"/>
      <c r="AJ21" s="123"/>
      <c r="AK21" s="123"/>
      <c r="AL21" s="123"/>
      <c r="AM21" s="123"/>
      <c r="AN21" s="123"/>
      <c r="AO21" s="123"/>
      <c r="AP21" s="123"/>
      <c r="AQ21" s="123"/>
    </row>
    <row r="22" spans="1:43" s="65" customFormat="1">
      <c r="A22" s="65" t="s">
        <v>9</v>
      </c>
      <c r="B22" s="65">
        <v>961433</v>
      </c>
      <c r="C22" s="65">
        <v>1007402</v>
      </c>
      <c r="D22" s="113">
        <f>D17+D19+D20</f>
        <v>1968835</v>
      </c>
      <c r="E22" s="113">
        <v>1071762</v>
      </c>
      <c r="F22" s="113">
        <v>1135279</v>
      </c>
      <c r="G22" s="113"/>
      <c r="H22" s="113">
        <f>H17+H19+H20</f>
        <v>2207041</v>
      </c>
      <c r="I22" s="113">
        <v>1221612</v>
      </c>
      <c r="J22" s="113">
        <v>1321614</v>
      </c>
      <c r="K22" s="113"/>
      <c r="L22" s="113">
        <f>L17+L19+L20</f>
        <v>2543226</v>
      </c>
      <c r="M22" s="113">
        <f>M17+M19+M20</f>
        <v>1364023</v>
      </c>
      <c r="N22" s="113">
        <f>N17+N19+N20</f>
        <v>1369447.66059</v>
      </c>
      <c r="O22" s="113"/>
      <c r="P22" s="113">
        <f>P17+P19+P20</f>
        <v>2733470.6605900005</v>
      </c>
      <c r="Q22" s="113">
        <f>Q17+Q19+Q20</f>
        <v>1344168</v>
      </c>
      <c r="R22" s="113">
        <f>R17+R19+R20</f>
        <v>1413307.9990000001</v>
      </c>
      <c r="S22" s="113"/>
      <c r="T22" s="113">
        <f>T17+T19+T20</f>
        <v>2749310.7680000002</v>
      </c>
      <c r="U22" s="124"/>
      <c r="V22" s="114">
        <f t="shared" si="5"/>
        <v>5.7948701035557227E-3</v>
      </c>
      <c r="W22" s="115"/>
      <c r="X22" s="66"/>
      <c r="Z22" s="100" t="s">
        <v>202</v>
      </c>
      <c r="AA22" s="101" t="s">
        <v>216</v>
      </c>
      <c r="AB22" s="102">
        <v>8</v>
      </c>
      <c r="AC22" s="102">
        <v>37</v>
      </c>
      <c r="AD22" s="103">
        <v>45</v>
      </c>
      <c r="AE22" s="102">
        <v>0</v>
      </c>
      <c r="AF22" s="107">
        <v>666965</v>
      </c>
      <c r="AG22" s="105">
        <f t="shared" si="9"/>
        <v>666965</v>
      </c>
      <c r="AH22" s="125"/>
      <c r="AI22" s="122"/>
      <c r="AJ22" s="122" t="s">
        <v>198</v>
      </c>
      <c r="AK22" s="126" t="s">
        <v>199</v>
      </c>
      <c r="AL22" s="126" t="s">
        <v>200</v>
      </c>
      <c r="AM22" s="126" t="s">
        <v>197</v>
      </c>
      <c r="AN22" s="122"/>
      <c r="AO22" s="122"/>
      <c r="AP22" s="122"/>
      <c r="AQ22" s="122"/>
    </row>
    <row r="23" spans="1:43">
      <c r="V23" s="127"/>
      <c r="W23" s="128"/>
      <c r="Z23" s="100" t="s">
        <v>202</v>
      </c>
      <c r="AA23" s="101" t="s">
        <v>217</v>
      </c>
      <c r="AB23" s="102">
        <v>23</v>
      </c>
      <c r="AC23" s="102">
        <v>23</v>
      </c>
      <c r="AD23" s="103">
        <v>46</v>
      </c>
      <c r="AE23" s="107">
        <v>404433</v>
      </c>
      <c r="AF23" s="107">
        <v>524553</v>
      </c>
      <c r="AG23" s="105">
        <f t="shared" si="9"/>
        <v>928986</v>
      </c>
      <c r="AH23" s="120"/>
      <c r="AI23" s="123"/>
      <c r="AJ23" s="123" t="s">
        <v>202</v>
      </c>
      <c r="AK23" s="129">
        <v>967200</v>
      </c>
      <c r="AL23" s="129">
        <f t="shared" ref="AL23:AL30" si="11">AK23</f>
        <v>967200</v>
      </c>
      <c r="AM23" s="130">
        <f t="shared" ref="AM23:AM30" si="12">SUM(AK23:AL23)</f>
        <v>1934400</v>
      </c>
      <c r="AN23" s="123"/>
      <c r="AO23" s="123"/>
      <c r="AP23" s="123"/>
      <c r="AQ23" s="123"/>
    </row>
    <row r="24" spans="1:43">
      <c r="T24" s="92"/>
      <c r="Z24" s="100" t="s">
        <v>202</v>
      </c>
      <c r="AA24" s="101" t="s">
        <v>212</v>
      </c>
      <c r="AB24" s="102">
        <v>25</v>
      </c>
      <c r="AC24" s="102">
        <v>40</v>
      </c>
      <c r="AD24" s="103">
        <v>65</v>
      </c>
      <c r="AE24" s="107">
        <f>407511+40</f>
        <v>407551</v>
      </c>
      <c r="AF24" s="107">
        <v>673512</v>
      </c>
      <c r="AG24" s="105">
        <f t="shared" si="9"/>
        <v>1081063</v>
      </c>
      <c r="AH24" s="120"/>
      <c r="AI24" s="123"/>
      <c r="AJ24" s="123" t="s">
        <v>94</v>
      </c>
      <c r="AK24" s="129">
        <v>787800</v>
      </c>
      <c r="AL24" s="129">
        <f t="shared" si="11"/>
        <v>787800</v>
      </c>
      <c r="AM24" s="130">
        <f t="shared" si="12"/>
        <v>1575600</v>
      </c>
      <c r="AN24" s="123"/>
      <c r="AO24" s="123"/>
      <c r="AP24" s="123"/>
      <c r="AQ24" s="123"/>
    </row>
    <row r="25" spans="1:43">
      <c r="A25" s="67" t="s">
        <v>218</v>
      </c>
      <c r="T25" s="92"/>
      <c r="Z25" s="100"/>
      <c r="AA25" s="101"/>
      <c r="AB25" s="102"/>
      <c r="AC25" s="102"/>
      <c r="AD25" s="103"/>
      <c r="AE25" s="107"/>
      <c r="AF25" s="107"/>
      <c r="AG25" s="132"/>
      <c r="AH25" s="120"/>
      <c r="AI25" s="123"/>
      <c r="AJ25" s="123"/>
      <c r="AK25" s="129"/>
      <c r="AL25" s="129"/>
      <c r="AM25" s="130"/>
      <c r="AN25" s="123"/>
      <c r="AO25" s="123"/>
      <c r="AP25" s="123"/>
      <c r="AQ25" s="123"/>
    </row>
    <row r="26" spans="1:43" ht="14.25">
      <c r="A26" s="133" t="s">
        <v>286</v>
      </c>
      <c r="T26" s="92"/>
      <c r="Z26" s="100"/>
      <c r="AA26" s="101"/>
      <c r="AB26" s="102"/>
      <c r="AC26" s="102"/>
      <c r="AD26" s="103"/>
      <c r="AE26" s="107"/>
      <c r="AF26" s="107"/>
      <c r="AG26" s="132"/>
      <c r="AH26" s="120"/>
      <c r="AI26" s="123"/>
      <c r="AJ26" s="123"/>
      <c r="AK26" s="129"/>
      <c r="AL26" s="129"/>
      <c r="AM26" s="130"/>
      <c r="AN26" s="123"/>
      <c r="AO26" s="123"/>
      <c r="AP26" s="123"/>
      <c r="AQ26" s="123"/>
    </row>
    <row r="27" spans="1:43">
      <c r="T27" s="92"/>
      <c r="Z27" s="100"/>
      <c r="AA27" s="101"/>
      <c r="AB27" s="102"/>
      <c r="AC27" s="102"/>
      <c r="AD27" s="103"/>
      <c r="AE27" s="107"/>
      <c r="AF27" s="107"/>
      <c r="AG27" s="132"/>
      <c r="AH27" s="120"/>
      <c r="AI27" s="123"/>
      <c r="AJ27" s="123"/>
      <c r="AK27" s="129"/>
      <c r="AL27" s="129"/>
      <c r="AM27" s="130"/>
      <c r="AN27" s="123"/>
      <c r="AO27" s="123"/>
      <c r="AP27" s="123"/>
      <c r="AQ27" s="123"/>
    </row>
    <row r="28" spans="1:43" ht="14.25">
      <c r="A28" s="133" t="s">
        <v>287</v>
      </c>
      <c r="Z28" s="100" t="s">
        <v>202</v>
      </c>
      <c r="AA28" s="101" t="s">
        <v>219</v>
      </c>
      <c r="AB28" s="102">
        <v>0</v>
      </c>
      <c r="AC28" s="102">
        <v>50</v>
      </c>
      <c r="AD28" s="103">
        <v>50</v>
      </c>
      <c r="AE28" s="102">
        <v>0</v>
      </c>
      <c r="AF28" s="107">
        <v>662500</v>
      </c>
      <c r="AG28" s="105">
        <f>AE28+AF28</f>
        <v>662500</v>
      </c>
      <c r="AH28" s="125"/>
      <c r="AI28" s="123"/>
      <c r="AJ28" s="123" t="s">
        <v>93</v>
      </c>
      <c r="AK28" s="129">
        <v>631800</v>
      </c>
      <c r="AL28" s="129">
        <f t="shared" si="11"/>
        <v>631800</v>
      </c>
      <c r="AM28" s="130">
        <f t="shared" si="12"/>
        <v>1263600</v>
      </c>
      <c r="AN28" s="123"/>
      <c r="AO28" s="123"/>
      <c r="AP28" s="123"/>
      <c r="AQ28" s="123"/>
    </row>
    <row r="29" spans="1:43">
      <c r="A29" s="67" t="s">
        <v>220</v>
      </c>
      <c r="Z29" s="100" t="s">
        <v>98</v>
      </c>
      <c r="AA29" s="101" t="s">
        <v>221</v>
      </c>
      <c r="AB29" s="102">
        <v>20</v>
      </c>
      <c r="AC29" s="102">
        <v>0</v>
      </c>
      <c r="AD29" s="103">
        <v>20</v>
      </c>
      <c r="AE29" s="107">
        <v>160000</v>
      </c>
      <c r="AF29" s="107">
        <v>140000</v>
      </c>
      <c r="AG29" s="105">
        <f>AE29+AF29</f>
        <v>300000</v>
      </c>
      <c r="AH29" s="109"/>
      <c r="AI29" s="123"/>
      <c r="AJ29" s="123" t="s">
        <v>96</v>
      </c>
      <c r="AK29" s="134">
        <v>265200</v>
      </c>
      <c r="AL29" s="134">
        <f t="shared" si="11"/>
        <v>265200</v>
      </c>
      <c r="AM29" s="135">
        <f t="shared" si="12"/>
        <v>530400</v>
      </c>
      <c r="AN29" s="123"/>
      <c r="AO29" s="123"/>
      <c r="AP29" s="123"/>
      <c r="AQ29" s="123"/>
    </row>
    <row r="30" spans="1:43">
      <c r="A30" s="67" t="s">
        <v>222</v>
      </c>
      <c r="Z30" s="100" t="s">
        <v>98</v>
      </c>
      <c r="AA30" s="101" t="s">
        <v>223</v>
      </c>
      <c r="AB30" s="102">
        <v>25</v>
      </c>
      <c r="AC30" s="102">
        <v>25</v>
      </c>
      <c r="AD30" s="103">
        <v>50</v>
      </c>
      <c r="AE30" s="107">
        <v>325000</v>
      </c>
      <c r="AF30" s="108">
        <v>200000</v>
      </c>
      <c r="AG30" s="105">
        <f>AE30+AF30</f>
        <v>525000</v>
      </c>
      <c r="AH30" s="109"/>
      <c r="AI30" s="123"/>
      <c r="AJ30" s="123" t="s">
        <v>98</v>
      </c>
      <c r="AK30" s="136">
        <v>468000</v>
      </c>
      <c r="AL30" s="136">
        <f t="shared" si="11"/>
        <v>468000</v>
      </c>
      <c r="AM30" s="137">
        <f t="shared" si="12"/>
        <v>936000</v>
      </c>
      <c r="AN30" s="123"/>
      <c r="AO30" s="123"/>
      <c r="AP30" s="123"/>
      <c r="AQ30" s="123"/>
    </row>
    <row r="31" spans="1:43">
      <c r="Z31" s="100" t="s">
        <v>98</v>
      </c>
      <c r="AA31" s="101" t="s">
        <v>224</v>
      </c>
      <c r="AB31" s="102">
        <v>6</v>
      </c>
      <c r="AC31" s="102">
        <v>10</v>
      </c>
      <c r="AD31" s="103">
        <v>16</v>
      </c>
      <c r="AE31" s="107">
        <v>83400</v>
      </c>
      <c r="AF31" s="107">
        <v>222400</v>
      </c>
      <c r="AG31" s="105">
        <f>AE31+AF31</f>
        <v>305800</v>
      </c>
      <c r="AH31" s="109"/>
      <c r="AI31" s="123"/>
      <c r="AJ31" s="138" t="s">
        <v>194</v>
      </c>
      <c r="AK31" s="138">
        <f>SUM(AK23:AK30)</f>
        <v>3120000</v>
      </c>
      <c r="AL31" s="139">
        <f>AK31</f>
        <v>3120000</v>
      </c>
      <c r="AM31" s="119">
        <f>SUM(AK31:AL31)</f>
        <v>6240000</v>
      </c>
      <c r="AN31" s="123"/>
      <c r="AO31" s="123"/>
      <c r="AP31" s="123"/>
      <c r="AQ31" s="123"/>
    </row>
    <row r="32" spans="1:43" ht="14.25">
      <c r="A32" s="133" t="s">
        <v>288</v>
      </c>
      <c r="Z32" s="100" t="s">
        <v>98</v>
      </c>
      <c r="AA32" s="101" t="s">
        <v>225</v>
      </c>
      <c r="AB32" s="102">
        <v>5</v>
      </c>
      <c r="AC32" s="102">
        <v>4</v>
      </c>
      <c r="AD32" s="103">
        <v>9</v>
      </c>
      <c r="AE32" s="107">
        <v>45600</v>
      </c>
      <c r="AF32" s="107">
        <v>82080</v>
      </c>
      <c r="AG32" s="105">
        <f>AE32+AF32</f>
        <v>127680</v>
      </c>
      <c r="AH32" s="109"/>
    </row>
    <row r="33" spans="1:34">
      <c r="A33" s="67" t="s">
        <v>226</v>
      </c>
      <c r="Z33" s="2520"/>
      <c r="AA33" s="2520"/>
      <c r="AB33" s="140"/>
      <c r="AC33" s="140"/>
      <c r="AD33" s="141"/>
      <c r="AE33" s="140"/>
      <c r="AF33" s="140"/>
      <c r="AG33" s="141"/>
      <c r="AH33" s="142"/>
    </row>
    <row r="34" spans="1:34">
      <c r="A34" s="67" t="s">
        <v>227</v>
      </c>
      <c r="Z34" s="2512" t="s">
        <v>228</v>
      </c>
      <c r="AA34" s="2512"/>
      <c r="AB34" s="140">
        <v>247</v>
      </c>
      <c r="AC34" s="140">
        <v>279</v>
      </c>
      <c r="AD34" s="141">
        <v>526</v>
      </c>
      <c r="AE34" s="143">
        <f>SUM(AE12:AE32)</f>
        <v>2573154.54</v>
      </c>
      <c r="AF34" s="143">
        <f>SUM(AF12:AF32)</f>
        <v>5050000</v>
      </c>
      <c r="AG34" s="144">
        <f>SUM(AG12:AG32)</f>
        <v>7623154.54</v>
      </c>
      <c r="AH34" s="145"/>
    </row>
    <row r="35" spans="1:34">
      <c r="Z35" s="2512"/>
      <c r="AA35" s="2512"/>
      <c r="AB35" s="146"/>
      <c r="AC35" s="146"/>
      <c r="AD35" s="147"/>
      <c r="AE35" s="146"/>
      <c r="AF35" s="146"/>
      <c r="AG35" s="148"/>
      <c r="AH35" s="149"/>
    </row>
    <row r="36" spans="1:34" ht="14.25">
      <c r="A36" s="133" t="s">
        <v>289</v>
      </c>
      <c r="Y36" s="80"/>
      <c r="Z36" s="2513"/>
      <c r="AA36" s="2513"/>
      <c r="AB36" s="2527"/>
      <c r="AC36" s="2527"/>
      <c r="AD36" s="2527"/>
      <c r="AE36" s="2530"/>
      <c r="AF36" s="2530"/>
      <c r="AG36" s="2530"/>
      <c r="AH36" s="151"/>
    </row>
    <row r="37" spans="1:34">
      <c r="A37" s="67" t="s">
        <v>226</v>
      </c>
      <c r="Y37" s="80"/>
      <c r="Z37" s="2511"/>
      <c r="AA37" s="2511"/>
      <c r="AB37" s="2527"/>
      <c r="AC37" s="2527"/>
      <c r="AD37" s="2527"/>
      <c r="AE37" s="2530"/>
      <c r="AF37" s="2530"/>
      <c r="AG37" s="2530"/>
      <c r="AH37" s="150"/>
    </row>
    <row r="38" spans="1:34" ht="12.75" customHeight="1">
      <c r="A38" s="67" t="s">
        <v>227</v>
      </c>
      <c r="Y38" s="80"/>
      <c r="Z38" s="2511"/>
      <c r="AA38" s="2511"/>
      <c r="AB38" s="2527"/>
      <c r="AC38" s="2527"/>
      <c r="AD38" s="2527"/>
      <c r="AE38" s="2530"/>
      <c r="AF38" s="2530"/>
      <c r="AG38" s="2530"/>
      <c r="AH38" s="152"/>
    </row>
    <row r="39" spans="1:34">
      <c r="Y39" s="80"/>
      <c r="Z39" s="2513"/>
      <c r="AA39" s="2513"/>
      <c r="AB39" s="2527"/>
      <c r="AC39" s="2527"/>
      <c r="AD39" s="2527"/>
      <c r="AE39" s="2529"/>
      <c r="AF39" s="2529"/>
      <c r="AG39" s="2529"/>
      <c r="AH39" s="2529"/>
    </row>
    <row r="40" spans="1:34">
      <c r="Y40" s="80"/>
      <c r="Z40" s="2513"/>
      <c r="AA40" s="2513"/>
      <c r="AB40" s="2527"/>
      <c r="AC40" s="2527"/>
      <c r="AD40" s="2527"/>
      <c r="AE40" s="2529"/>
      <c r="AF40" s="2529"/>
      <c r="AG40" s="2529"/>
      <c r="AH40" s="2529"/>
    </row>
    <row r="41" spans="1:34" ht="15.75">
      <c r="Z41" s="153" t="s">
        <v>229</v>
      </c>
      <c r="AA41" s="154"/>
      <c r="AB41" s="154"/>
      <c r="AC41" s="154"/>
      <c r="AD41" s="154"/>
      <c r="AE41" s="154"/>
      <c r="AF41" s="154"/>
      <c r="AG41" s="154"/>
    </row>
    <row r="42" spans="1:34">
      <c r="Z42" s="154"/>
      <c r="AA42" s="154"/>
      <c r="AB42" s="154"/>
      <c r="AC42" s="154"/>
      <c r="AD42" s="154"/>
      <c r="AE42" s="154"/>
      <c r="AF42" s="154"/>
      <c r="AG42" s="154"/>
    </row>
    <row r="43" spans="1:34">
      <c r="Z43" s="155"/>
      <c r="AA43" s="156"/>
      <c r="AB43" s="2524" t="s">
        <v>189</v>
      </c>
      <c r="AC43" s="2524"/>
      <c r="AD43" s="2525"/>
      <c r="AE43" s="2526" t="s">
        <v>190</v>
      </c>
      <c r="AF43" s="2524"/>
      <c r="AG43" s="2525"/>
    </row>
    <row r="44" spans="1:34">
      <c r="Z44" s="2509" t="s">
        <v>191</v>
      </c>
      <c r="AA44" s="2509" t="s">
        <v>192</v>
      </c>
      <c r="AB44" s="121"/>
      <c r="AC44" s="121" t="s">
        <v>193</v>
      </c>
      <c r="AD44" s="157"/>
      <c r="AE44" s="2528"/>
      <c r="AF44" s="2509" t="s">
        <v>196</v>
      </c>
      <c r="AG44" s="157"/>
    </row>
    <row r="45" spans="1:34">
      <c r="Z45" s="2509"/>
      <c r="AA45" s="2509"/>
      <c r="AB45" s="158"/>
      <c r="AC45" s="158" t="s">
        <v>196</v>
      </c>
      <c r="AD45" s="159"/>
      <c r="AE45" s="2528"/>
      <c r="AF45" s="2509"/>
      <c r="AG45" s="157"/>
    </row>
    <row r="46" spans="1:34">
      <c r="Z46" s="2509"/>
      <c r="AA46" s="2509"/>
      <c r="AB46" s="160"/>
      <c r="AC46" s="160"/>
      <c r="AD46" s="161"/>
      <c r="AE46" s="2528"/>
      <c r="AF46" s="2509"/>
      <c r="AG46" s="157"/>
    </row>
    <row r="47" spans="1:34">
      <c r="Z47" s="162" t="s">
        <v>93</v>
      </c>
      <c r="AA47" s="163" t="s">
        <v>230</v>
      </c>
      <c r="AB47" s="164"/>
      <c r="AC47" s="164">
        <v>25</v>
      </c>
      <c r="AD47" s="165"/>
      <c r="AE47" s="166"/>
      <c r="AF47" s="167">
        <v>124968</v>
      </c>
      <c r="AG47" s="168"/>
    </row>
    <row r="48" spans="1:34">
      <c r="Z48" s="162" t="s">
        <v>93</v>
      </c>
      <c r="AA48" s="163" t="s">
        <v>231</v>
      </c>
      <c r="AB48" s="164"/>
      <c r="AC48" s="164">
        <v>8</v>
      </c>
      <c r="AD48" s="165"/>
      <c r="AE48" s="169"/>
      <c r="AF48" s="170">
        <v>96577</v>
      </c>
      <c r="AG48" s="171"/>
    </row>
    <row r="49" spans="26:33">
      <c r="Z49" s="162" t="s">
        <v>93</v>
      </c>
      <c r="AA49" s="163" t="s">
        <v>232</v>
      </c>
      <c r="AB49" s="164"/>
      <c r="AC49" s="164">
        <v>7</v>
      </c>
      <c r="AD49" s="165"/>
      <c r="AE49" s="172"/>
      <c r="AF49" s="170">
        <v>104977</v>
      </c>
      <c r="AG49" s="171"/>
    </row>
    <row r="50" spans="26:33">
      <c r="Z50" s="162" t="s">
        <v>94</v>
      </c>
      <c r="AA50" s="163" t="s">
        <v>233</v>
      </c>
      <c r="AB50" s="164"/>
      <c r="AC50" s="164">
        <v>20.5</v>
      </c>
      <c r="AD50" s="165"/>
      <c r="AE50" s="169"/>
      <c r="AF50" s="173">
        <v>194791</v>
      </c>
      <c r="AG50" s="171"/>
    </row>
    <row r="51" spans="26:33">
      <c r="Z51" s="162" t="s">
        <v>94</v>
      </c>
      <c r="AA51" s="163" t="s">
        <v>234</v>
      </c>
      <c r="AB51" s="164"/>
      <c r="AC51" s="164">
        <v>6.5</v>
      </c>
      <c r="AD51" s="165"/>
      <c r="AE51" s="169"/>
      <c r="AF51" s="173">
        <v>101868</v>
      </c>
      <c r="AG51" s="171"/>
    </row>
    <row r="52" spans="26:33">
      <c r="Z52" s="162" t="s">
        <v>96</v>
      </c>
      <c r="AA52" s="163" t="s">
        <v>235</v>
      </c>
      <c r="AB52" s="164"/>
      <c r="AC52" s="164">
        <v>25</v>
      </c>
      <c r="AD52" s="165"/>
      <c r="AE52" s="169"/>
      <c r="AF52" s="170">
        <v>162225</v>
      </c>
      <c r="AG52" s="171"/>
    </row>
    <row r="53" spans="26:33">
      <c r="Z53" s="162" t="s">
        <v>201</v>
      </c>
      <c r="AA53" s="163" t="s">
        <v>236</v>
      </c>
      <c r="AB53" s="164"/>
      <c r="AC53" s="164">
        <v>15</v>
      </c>
      <c r="AD53" s="165"/>
      <c r="AE53" s="169"/>
      <c r="AF53" s="170">
        <v>190292</v>
      </c>
      <c r="AG53" s="171"/>
    </row>
    <row r="54" spans="26:33">
      <c r="Z54" s="162" t="s">
        <v>201</v>
      </c>
      <c r="AA54" s="163" t="s">
        <v>237</v>
      </c>
      <c r="AB54" s="164"/>
      <c r="AC54" s="164">
        <v>40</v>
      </c>
      <c r="AD54" s="165"/>
      <c r="AE54" s="169"/>
      <c r="AF54" s="170">
        <v>291596</v>
      </c>
      <c r="AG54" s="171"/>
    </row>
    <row r="55" spans="26:33">
      <c r="Z55" s="162" t="s">
        <v>201</v>
      </c>
      <c r="AA55" s="163" t="s">
        <v>238</v>
      </c>
      <c r="AB55" s="164"/>
      <c r="AC55" s="164">
        <v>35</v>
      </c>
      <c r="AD55" s="165"/>
      <c r="AE55" s="169"/>
      <c r="AF55" s="170">
        <v>243910</v>
      </c>
      <c r="AG55" s="171"/>
    </row>
    <row r="56" spans="26:33">
      <c r="Z56" s="162" t="s">
        <v>201</v>
      </c>
      <c r="AA56" s="163" t="s">
        <v>239</v>
      </c>
      <c r="AB56" s="164"/>
      <c r="AC56" s="164">
        <v>10</v>
      </c>
      <c r="AD56" s="165"/>
      <c r="AE56" s="169"/>
      <c r="AF56" s="170">
        <v>113165</v>
      </c>
      <c r="AG56" s="171"/>
    </row>
    <row r="57" spans="26:33">
      <c r="Z57" s="162" t="s">
        <v>202</v>
      </c>
      <c r="AA57" s="163" t="s">
        <v>240</v>
      </c>
      <c r="AB57" s="164"/>
      <c r="AC57" s="164">
        <v>28</v>
      </c>
      <c r="AD57" s="165"/>
      <c r="AE57" s="164"/>
      <c r="AF57" s="170">
        <v>293810</v>
      </c>
      <c r="AG57" s="171"/>
    </row>
    <row r="58" spans="26:33">
      <c r="Z58" s="162" t="s">
        <v>202</v>
      </c>
      <c r="AA58" s="163" t="s">
        <v>236</v>
      </c>
      <c r="AB58" s="164"/>
      <c r="AC58" s="164">
        <v>20</v>
      </c>
      <c r="AD58" s="165"/>
      <c r="AE58" s="169"/>
      <c r="AF58" s="170">
        <v>524362</v>
      </c>
      <c r="AG58" s="171"/>
    </row>
    <row r="59" spans="26:33">
      <c r="Z59" s="162" t="s">
        <v>202</v>
      </c>
      <c r="AA59" s="163" t="s">
        <v>241</v>
      </c>
      <c r="AB59" s="164"/>
      <c r="AC59" s="164">
        <v>28</v>
      </c>
      <c r="AD59" s="165"/>
      <c r="AE59" s="169"/>
      <c r="AF59" s="170">
        <v>570981</v>
      </c>
      <c r="AG59" s="171"/>
    </row>
    <row r="60" spans="26:33">
      <c r="Z60" s="162" t="s">
        <v>202</v>
      </c>
      <c r="AA60" s="163" t="s">
        <v>242</v>
      </c>
      <c r="AB60" s="164"/>
      <c r="AC60" s="164">
        <v>30</v>
      </c>
      <c r="AD60" s="165"/>
      <c r="AE60" s="164"/>
      <c r="AF60" s="170">
        <v>281347</v>
      </c>
      <c r="AG60" s="171"/>
    </row>
    <row r="61" spans="26:33">
      <c r="Z61" s="162" t="s">
        <v>202</v>
      </c>
      <c r="AA61" s="163" t="s">
        <v>243</v>
      </c>
      <c r="AB61" s="164"/>
      <c r="AC61" s="164">
        <v>30</v>
      </c>
      <c r="AD61" s="165"/>
      <c r="AE61" s="169"/>
      <c r="AF61" s="170">
        <v>268130</v>
      </c>
      <c r="AG61" s="171"/>
    </row>
    <row r="62" spans="26:33">
      <c r="Z62" s="2510"/>
      <c r="AA62" s="2510"/>
      <c r="AB62" s="174"/>
      <c r="AC62" s="174"/>
      <c r="AD62" s="175"/>
      <c r="AE62" s="174"/>
      <c r="AF62" s="176"/>
      <c r="AG62" s="175"/>
    </row>
    <row r="63" spans="26:33">
      <c r="Z63" s="2503" t="s">
        <v>228</v>
      </c>
      <c r="AA63" s="2503"/>
      <c r="AB63" s="174"/>
      <c r="AC63" s="174">
        <f>SUM(AC47:AC62)</f>
        <v>328</v>
      </c>
      <c r="AD63" s="175"/>
      <c r="AE63" s="177"/>
      <c r="AF63" s="178">
        <f>SUM(AF47:AF61)</f>
        <v>3562999</v>
      </c>
      <c r="AG63" s="179"/>
    </row>
    <row r="64" spans="26:33">
      <c r="Z64" s="2503"/>
      <c r="AA64" s="2503"/>
      <c r="AB64" s="180"/>
      <c r="AC64" s="180"/>
      <c r="AD64" s="181"/>
      <c r="AE64" s="180"/>
      <c r="AF64" s="180"/>
      <c r="AG64" s="181"/>
    </row>
    <row r="66" spans="32:32">
      <c r="AF66" s="182">
        <f>AF63+AF34</f>
        <v>8612999</v>
      </c>
    </row>
    <row r="68" spans="32:32">
      <c r="AF68" s="182"/>
    </row>
  </sheetData>
  <mergeCells count="49">
    <mergeCell ref="AH9:AH11"/>
    <mergeCell ref="AF14:AF15"/>
    <mergeCell ref="AH14:AH15"/>
    <mergeCell ref="AF39:AF40"/>
    <mergeCell ref="AG39:AG40"/>
    <mergeCell ref="AH39:AH40"/>
    <mergeCell ref="AF36:AF38"/>
    <mergeCell ref="AG36:AG38"/>
    <mergeCell ref="AB43:AD43"/>
    <mergeCell ref="AE43:AG43"/>
    <mergeCell ref="AC36:AC38"/>
    <mergeCell ref="AD36:AD38"/>
    <mergeCell ref="AE44:AE46"/>
    <mergeCell ref="AF44:AF46"/>
    <mergeCell ref="AB39:AB40"/>
    <mergeCell ref="AC39:AC40"/>
    <mergeCell ref="AD39:AD40"/>
    <mergeCell ref="AE39:AE40"/>
    <mergeCell ref="AE36:AE38"/>
    <mergeCell ref="AB36:AB38"/>
    <mergeCell ref="AB8:AD8"/>
    <mergeCell ref="AE8:AG8"/>
    <mergeCell ref="AE9:AE11"/>
    <mergeCell ref="AF9:AF11"/>
    <mergeCell ref="Z34:AA34"/>
    <mergeCell ref="Z33:AA33"/>
    <mergeCell ref="AC14:AC15"/>
    <mergeCell ref="AD14:AD15"/>
    <mergeCell ref="Z9:Z11"/>
    <mergeCell ref="AA9:AA11"/>
    <mergeCell ref="Z14:Z15"/>
    <mergeCell ref="AE14:AE15"/>
    <mergeCell ref="AB14:AB15"/>
    <mergeCell ref="Z64:AA64"/>
    <mergeCell ref="A1:V1"/>
    <mergeCell ref="V7:W7"/>
    <mergeCell ref="Q6:R6"/>
    <mergeCell ref="A2:V2"/>
    <mergeCell ref="A3:V3"/>
    <mergeCell ref="A4:V4"/>
    <mergeCell ref="Z44:Z46"/>
    <mergeCell ref="Z62:AA62"/>
    <mergeCell ref="Z38:AA38"/>
    <mergeCell ref="Z35:AA35"/>
    <mergeCell ref="Z36:AA36"/>
    <mergeCell ref="Z37:AA37"/>
    <mergeCell ref="Z63:AA63"/>
    <mergeCell ref="AA44:AA46"/>
    <mergeCell ref="Z39:AA40"/>
  </mergeCells>
  <phoneticPr fontId="44" type="noConversion"/>
  <printOptions horizontalCentered="1"/>
  <pageMargins left="0.75" right="0.75" top="1" bottom="1" header="0.5" footer="0.5"/>
  <pageSetup scale="49" orientation="landscape" r:id="rId1"/>
  <headerFooter alignWithMargins="0">
    <oddFooter>&amp;LHouse Appropriations Committee&amp;CSource: LEAP Expenditure Data&amp;R&amp;D</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B1:AG163"/>
  <sheetViews>
    <sheetView topLeftCell="B1" zoomScale="85" zoomScaleNormal="85" workbookViewId="0">
      <pane xSplit="11" ySplit="6" topLeftCell="W7" activePane="bottomRight" state="frozen"/>
      <selection activeCell="W7" sqref="W7"/>
      <selection pane="topRight" activeCell="W7" sqref="W7"/>
      <selection pane="bottomLeft" activeCell="W7" sqref="W7"/>
      <selection pane="bottomRight" activeCell="W7" sqref="W7"/>
    </sheetView>
  </sheetViews>
  <sheetFormatPr defaultRowHeight="12.75"/>
  <cols>
    <col min="1" max="1" width="0" style="1" hidden="1" customWidth="1"/>
    <col min="2" max="2" width="35.625" style="1" customWidth="1"/>
    <col min="3" max="22" width="8.625" style="1" hidden="1" customWidth="1"/>
    <col min="23" max="34" width="8.625" style="1" customWidth="1"/>
    <col min="35" max="16384" width="9" style="1"/>
  </cols>
  <sheetData>
    <row r="1" spans="2:30">
      <c r="B1" s="1" t="str">
        <f>+OperatingFunds!B1</f>
        <v>Last updated: 18 December 2024</v>
      </c>
    </row>
    <row r="2" spans="2:30">
      <c r="B2" s="4" t="s">
        <v>10</v>
      </c>
      <c r="L2" s="8"/>
      <c r="M2" s="8"/>
      <c r="N2" s="8"/>
      <c r="P2" s="8"/>
      <c r="R2" s="8"/>
    </row>
    <row r="3" spans="2:30"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row>
    <row r="4" spans="2:30">
      <c r="B4" s="377" t="s">
        <v>1716</v>
      </c>
      <c r="C4" s="5"/>
      <c r="D4" s="5"/>
      <c r="E4" s="5"/>
      <c r="F4" s="5"/>
      <c r="G4" s="5"/>
      <c r="H4" s="5"/>
      <c r="I4" s="5"/>
      <c r="J4" s="5"/>
      <c r="K4" s="5"/>
      <c r="L4" s="5"/>
      <c r="M4" s="5"/>
      <c r="N4" s="5"/>
      <c r="O4" s="5"/>
      <c r="P4" s="5"/>
      <c r="Q4" s="5"/>
      <c r="R4" s="5"/>
      <c r="S4" s="5"/>
      <c r="T4" s="5"/>
      <c r="U4" s="5"/>
      <c r="V4" s="5"/>
      <c r="W4" s="5"/>
      <c r="X4" s="5"/>
      <c r="Y4" s="5"/>
      <c r="Z4" s="5"/>
      <c r="AA4" s="5"/>
      <c r="AB4" s="5"/>
      <c r="AC4" s="5"/>
      <c r="AD4" s="5"/>
    </row>
    <row r="5" spans="2:30">
      <c r="I5" s="13"/>
      <c r="J5" s="13"/>
      <c r="K5" s="13"/>
      <c r="L5" s="13"/>
      <c r="M5" s="13"/>
      <c r="N5" s="13"/>
      <c r="O5" s="13"/>
      <c r="P5" s="13"/>
      <c r="Q5"/>
      <c r="R5" s="13"/>
      <c r="S5"/>
      <c r="T5"/>
      <c r="U5" s="2"/>
      <c r="V5" s="2"/>
      <c r="W5" s="2"/>
      <c r="X5" s="2"/>
      <c r="Y5" s="2"/>
      <c r="Z5" s="2"/>
      <c r="AA5" s="2"/>
      <c r="AB5" s="2"/>
      <c r="AC5" s="5" t="str">
        <f>TRIM(OperatingFunds!AC5)</f>
        <v/>
      </c>
      <c r="AD5" s="2" t="str">
        <f>TRIM(OperatingFunds!AD5)</f>
        <v/>
      </c>
    </row>
    <row r="6" spans="2:30">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+OperatingFunds!U6</f>
        <v>FY2008</v>
      </c>
      <c r="V6" s="2" t="str">
        <f>+OperatingFunds!V6</f>
        <v>FY2009</v>
      </c>
      <c r="W6" s="2" t="str">
        <f>IF(ISBLANK(OperatingFunds!W6),"",OperatingFunds!W6)</f>
        <v>FY2010</v>
      </c>
      <c r="X6" s="2" t="str">
        <f>IF(ISBLANK(OperatingFunds!X6),"",OperatingFunds!X6)</f>
        <v>FY2011</v>
      </c>
      <c r="Y6" s="2"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row>
    <row r="8" spans="2:30">
      <c r="B8" s="1" t="str">
        <f>+DollarsPerActFTE!$B$8</f>
        <v>University of Washington</v>
      </c>
      <c r="C8" s="3">
        <f t="shared" ref="C8:AD8" si="0">+C27+C46</f>
        <v>9890.2372881355932</v>
      </c>
      <c r="D8" s="3">
        <f t="shared" si="0"/>
        <v>10723.651315789473</v>
      </c>
      <c r="E8" s="3">
        <f t="shared" si="0"/>
        <v>10763.302752293577</v>
      </c>
      <c r="F8" s="3">
        <f t="shared" si="0"/>
        <v>11149.743722831376</v>
      </c>
      <c r="G8" s="3">
        <f t="shared" si="0"/>
        <v>10584.169238683127</v>
      </c>
      <c r="H8" s="3">
        <f t="shared" si="0"/>
        <v>11120.581655480984</v>
      </c>
      <c r="I8" s="3">
        <f t="shared" si="0"/>
        <v>11217.312751592759</v>
      </c>
      <c r="J8" s="3">
        <f t="shared" si="0"/>
        <v>11340.204282549839</v>
      </c>
      <c r="K8" s="3">
        <f t="shared" si="0"/>
        <v>11777.028463805098</v>
      </c>
      <c r="L8" s="3">
        <f t="shared" si="0"/>
        <v>12783.593703238163</v>
      </c>
      <c r="M8" s="3">
        <f t="shared" si="0"/>
        <v>13197.460218418812</v>
      </c>
      <c r="N8" s="3">
        <f t="shared" si="0"/>
        <v>13700.46215261762</v>
      </c>
      <c r="O8" s="3">
        <f t="shared" si="0"/>
        <v>14438.337930499714</v>
      </c>
      <c r="P8" s="3">
        <f t="shared" si="0"/>
        <v>14641.671087179198</v>
      </c>
      <c r="Q8" s="3">
        <f t="shared" si="0"/>
        <v>14415.079766106799</v>
      </c>
      <c r="R8" s="3">
        <f t="shared" si="0"/>
        <v>15408.927816968542</v>
      </c>
      <c r="S8" s="3">
        <f t="shared" si="0"/>
        <v>15883.078264068183</v>
      </c>
      <c r="T8" s="3">
        <f t="shared" si="0"/>
        <v>17135.215053567543</v>
      </c>
      <c r="U8" s="3">
        <f t="shared" si="0"/>
        <v>17993.336017635655</v>
      </c>
      <c r="V8" s="3">
        <f t="shared" si="0"/>
        <v>18201.420692000207</v>
      </c>
      <c r="W8" s="3">
        <f t="shared" si="0"/>
        <v>17816.496119411157</v>
      </c>
      <c r="X8" s="3">
        <f t="shared" si="0"/>
        <v>19586.668967493679</v>
      </c>
      <c r="Y8" s="3">
        <f t="shared" si="0"/>
        <v>18388.63473924977</v>
      </c>
      <c r="Z8" s="3">
        <f t="shared" si="0"/>
        <v>20609.995784941606</v>
      </c>
      <c r="AA8" s="3">
        <f t="shared" si="0"/>
        <v>20466.725898229375</v>
      </c>
      <c r="AB8" s="3">
        <f t="shared" si="0"/>
        <v>23362.861266885528</v>
      </c>
      <c r="AC8" s="3">
        <f t="shared" si="0"/>
        <v>23555.372637102417</v>
      </c>
      <c r="AD8" s="3">
        <f t="shared" si="0"/>
        <v>25769.138138151877</v>
      </c>
    </row>
    <row r="9" spans="2:30">
      <c r="B9" s="1" t="str">
        <f>+DollarsPerActFTE!$B$9</f>
        <v>Washington State University</v>
      </c>
      <c r="C9" s="3">
        <f t="shared" ref="C9:AD9" si="1">+C28+C47</f>
        <v>10043.281020107896</v>
      </c>
      <c r="D9" s="3">
        <f t="shared" si="1"/>
        <v>10672.532006553001</v>
      </c>
      <c r="E9" s="3">
        <f t="shared" si="1"/>
        <v>10916.776433960003</v>
      </c>
      <c r="F9" s="3">
        <f t="shared" si="1"/>
        <v>11278.68755542418</v>
      </c>
      <c r="G9" s="3">
        <f t="shared" si="1"/>
        <v>10969.267276305127</v>
      </c>
      <c r="H9" s="3">
        <f t="shared" si="1"/>
        <v>11148.220436280139</v>
      </c>
      <c r="I9" s="3">
        <f t="shared" si="1"/>
        <v>11298.824188129898</v>
      </c>
      <c r="J9" s="3">
        <f t="shared" si="1"/>
        <v>11127.925600619996</v>
      </c>
      <c r="K9" s="3">
        <f t="shared" si="1"/>
        <v>11707.244135086363</v>
      </c>
      <c r="L9" s="3">
        <f t="shared" si="1"/>
        <v>11728.355756393141</v>
      </c>
      <c r="M9" s="3">
        <f t="shared" si="1"/>
        <v>13090.259461210386</v>
      </c>
      <c r="N9" s="3">
        <f t="shared" si="1"/>
        <v>12970.137268015298</v>
      </c>
      <c r="O9" s="3">
        <f t="shared" si="1"/>
        <v>13647.417424629535</v>
      </c>
      <c r="P9" s="3">
        <f t="shared" si="1"/>
        <v>13876.874151518228</v>
      </c>
      <c r="Q9" s="3">
        <f t="shared" si="1"/>
        <v>13912.872847662144</v>
      </c>
      <c r="R9" s="3">
        <f t="shared" si="1"/>
        <v>14527.767367904627</v>
      </c>
      <c r="S9" s="3">
        <f t="shared" si="1"/>
        <v>15290.018371184724</v>
      </c>
      <c r="T9" s="3">
        <f t="shared" si="1"/>
        <v>15679.708551401869</v>
      </c>
      <c r="U9" s="3">
        <f t="shared" si="1"/>
        <v>16967.677350000002</v>
      </c>
      <c r="V9" s="3">
        <f t="shared" si="1"/>
        <v>17238.45292808989</v>
      </c>
      <c r="W9" s="3">
        <f t="shared" si="1"/>
        <v>16375.460129887641</v>
      </c>
      <c r="X9" s="3">
        <f t="shared" si="1"/>
        <v>16159.820982022469</v>
      </c>
      <c r="Y9" s="3">
        <f t="shared" si="1"/>
        <v>16437.624838941876</v>
      </c>
      <c r="Z9" s="3">
        <f t="shared" si="1"/>
        <v>17344.926876012236</v>
      </c>
      <c r="AA9" s="3">
        <f t="shared" si="1"/>
        <v>18822.7277492352</v>
      </c>
      <c r="AB9" s="3">
        <f t="shared" si="1"/>
        <v>19022.773254059812</v>
      </c>
      <c r="AC9" s="3">
        <f t="shared" si="1"/>
        <v>20867.542670600764</v>
      </c>
      <c r="AD9" s="3">
        <f t="shared" si="1"/>
        <v>20177.081911438458</v>
      </c>
    </row>
    <row r="10" spans="2:30">
      <c r="B10" s="1" t="str">
        <f>+DollarsPerActFTE!$B$10</f>
        <v>Eastern Washington University</v>
      </c>
      <c r="C10" s="3">
        <f t="shared" ref="C10:AD10" si="2">+C29+C48</f>
        <v>6283.4757834757838</v>
      </c>
      <c r="D10" s="3">
        <f t="shared" si="2"/>
        <v>6962.6780626780628</v>
      </c>
      <c r="E10" s="3">
        <f t="shared" si="2"/>
        <v>6696.969696969697</v>
      </c>
      <c r="F10" s="3">
        <f t="shared" si="2"/>
        <v>7105.7274701411507</v>
      </c>
      <c r="G10" s="3">
        <f t="shared" si="2"/>
        <v>6820.5680441512995</v>
      </c>
      <c r="H10" s="3">
        <f t="shared" si="2"/>
        <v>6998.41542321405</v>
      </c>
      <c r="I10" s="3">
        <f t="shared" si="2"/>
        <v>6927.1159874608156</v>
      </c>
      <c r="J10" s="3">
        <f t="shared" si="2"/>
        <v>6907.8594249201278</v>
      </c>
      <c r="K10" s="3">
        <f t="shared" si="2"/>
        <v>7022.7419563251069</v>
      </c>
      <c r="L10" s="3">
        <f t="shared" si="2"/>
        <v>7236.0770125339186</v>
      </c>
      <c r="M10" s="3">
        <f t="shared" si="2"/>
        <v>7674.7669866907872</v>
      </c>
      <c r="N10" s="3">
        <f t="shared" si="2"/>
        <v>8128.3724160732454</v>
      </c>
      <c r="O10" s="3">
        <f t="shared" si="2"/>
        <v>8146.6899470565995</v>
      </c>
      <c r="P10" s="3">
        <f t="shared" si="2"/>
        <v>8310.1863115878768</v>
      </c>
      <c r="Q10" s="3">
        <f t="shared" si="2"/>
        <v>8371.5798760736197</v>
      </c>
      <c r="R10" s="3">
        <f t="shared" si="2"/>
        <v>9265.3905792719797</v>
      </c>
      <c r="S10" s="3">
        <f t="shared" si="2"/>
        <v>9162.9676329570575</v>
      </c>
      <c r="T10" s="3">
        <f t="shared" si="2"/>
        <v>9680.2585099485805</v>
      </c>
      <c r="U10" s="3">
        <f t="shared" si="2"/>
        <v>10553.783831702978</v>
      </c>
      <c r="V10" s="3">
        <f t="shared" si="2"/>
        <v>10245.024756097562</v>
      </c>
      <c r="W10" s="3">
        <f t="shared" si="2"/>
        <v>10751.415534976997</v>
      </c>
      <c r="X10" s="3">
        <f t="shared" si="2"/>
        <v>10320.645586214792</v>
      </c>
      <c r="Y10" s="3">
        <f t="shared" si="2"/>
        <v>10355.785839248912</v>
      </c>
      <c r="Z10" s="3">
        <f t="shared" si="2"/>
        <v>10724.035234714907</v>
      </c>
      <c r="AA10" s="3">
        <f t="shared" si="2"/>
        <v>11641.315356079689</v>
      </c>
      <c r="AB10" s="3">
        <f t="shared" si="2"/>
        <v>12408.546801007556</v>
      </c>
      <c r="AC10" s="3">
        <f t="shared" si="2"/>
        <v>13102.850321731166</v>
      </c>
      <c r="AD10" s="3">
        <f t="shared" si="2"/>
        <v>13282.700133959239</v>
      </c>
    </row>
    <row r="11" spans="2:30">
      <c r="B11" s="1" t="str">
        <f>+DollarsPerActFTE!$B$11</f>
        <v>Central Washington University</v>
      </c>
      <c r="C11" s="3">
        <f t="shared" ref="C11:AD11" si="3">+C30+C49</f>
        <v>6163.0815407703849</v>
      </c>
      <c r="D11" s="3">
        <f t="shared" si="3"/>
        <v>6879.1461412151075</v>
      </c>
      <c r="E11" s="3">
        <f t="shared" si="3"/>
        <v>6523.1259968102077</v>
      </c>
      <c r="F11" s="3">
        <f t="shared" si="3"/>
        <v>6977.2128352193458</v>
      </c>
      <c r="G11" s="3">
        <f t="shared" si="3"/>
        <v>6549.8049804980492</v>
      </c>
      <c r="H11" s="3">
        <f t="shared" si="3"/>
        <v>7088.9867841409687</v>
      </c>
      <c r="I11" s="3">
        <f t="shared" si="3"/>
        <v>7084.456033608576</v>
      </c>
      <c r="J11" s="3">
        <f t="shared" si="3"/>
        <v>6976.1576626240349</v>
      </c>
      <c r="K11" s="3">
        <f t="shared" si="3"/>
        <v>7367.9553498502592</v>
      </c>
      <c r="L11" s="3">
        <f t="shared" si="3"/>
        <v>7555.7346226161699</v>
      </c>
      <c r="M11" s="3">
        <f t="shared" si="3"/>
        <v>7644.9641512385915</v>
      </c>
      <c r="N11" s="3">
        <f t="shared" si="3"/>
        <v>7824.1062539722898</v>
      </c>
      <c r="O11" s="3">
        <f t="shared" si="3"/>
        <v>8292.5630174029448</v>
      </c>
      <c r="P11" s="3">
        <f t="shared" si="3"/>
        <v>8771.3852356091011</v>
      </c>
      <c r="Q11" s="3">
        <f t="shared" si="3"/>
        <v>8728.01750928416</v>
      </c>
      <c r="R11" s="3">
        <f t="shared" si="3"/>
        <v>9030.9135229403691</v>
      </c>
      <c r="S11" s="3">
        <f t="shared" si="3"/>
        <v>9351.9305238495726</v>
      </c>
      <c r="T11" s="3">
        <f t="shared" si="3"/>
        <v>9497.2278612517257</v>
      </c>
      <c r="U11" s="3">
        <f t="shared" si="3"/>
        <v>10203.556750446827</v>
      </c>
      <c r="V11" s="3">
        <f t="shared" si="3"/>
        <v>10231.555647929628</v>
      </c>
      <c r="W11" s="3">
        <f t="shared" si="3"/>
        <v>10994.13878025741</v>
      </c>
      <c r="X11" s="3">
        <f t="shared" si="3"/>
        <v>10290.324141689372</v>
      </c>
      <c r="Y11" s="3">
        <f t="shared" si="3"/>
        <v>10400.071980018165</v>
      </c>
      <c r="Z11" s="3">
        <f t="shared" si="3"/>
        <v>10419.143042688465</v>
      </c>
      <c r="AA11" s="3">
        <f t="shared" si="3"/>
        <v>11584.712898407468</v>
      </c>
      <c r="AB11" s="3">
        <f t="shared" si="3"/>
        <v>11227.51305107084</v>
      </c>
      <c r="AC11" s="3">
        <f t="shared" si="3"/>
        <v>11895.338710598571</v>
      </c>
      <c r="AD11" s="3">
        <f t="shared" si="3"/>
        <v>12874.266075782538</v>
      </c>
    </row>
    <row r="12" spans="2:30">
      <c r="B12" s="1" t="str">
        <f>+DollarsPerActFTE!$B$12</f>
        <v>The Evergreen State College</v>
      </c>
      <c r="C12" s="3">
        <f t="shared" ref="C12:AD12" si="4">+C31+C50</f>
        <v>7624.3333333333339</v>
      </c>
      <c r="D12" s="3">
        <f t="shared" si="4"/>
        <v>8488.7096774193542</v>
      </c>
      <c r="E12" s="3">
        <f t="shared" si="4"/>
        <v>8079.0060528830836</v>
      </c>
      <c r="F12" s="3">
        <f t="shared" si="4"/>
        <v>9069.2259282567647</v>
      </c>
      <c r="G12" s="3">
        <f t="shared" si="4"/>
        <v>8043.3973961562306</v>
      </c>
      <c r="H12" s="3">
        <f t="shared" si="4"/>
        <v>9047.2682627378763</v>
      </c>
      <c r="I12" s="3">
        <f t="shared" si="4"/>
        <v>8540.8785845027451</v>
      </c>
      <c r="J12" s="3">
        <f t="shared" si="4"/>
        <v>9135.9365825014684</v>
      </c>
      <c r="K12" s="3">
        <f t="shared" si="4"/>
        <v>8856.1212814645314</v>
      </c>
      <c r="L12" s="3">
        <f t="shared" si="4"/>
        <v>9284.6756152125272</v>
      </c>
      <c r="M12" s="3">
        <f t="shared" si="4"/>
        <v>10082.33956019791</v>
      </c>
      <c r="N12" s="3">
        <f t="shared" si="4"/>
        <v>10592.5650336655</v>
      </c>
      <c r="O12" s="3">
        <f t="shared" si="4"/>
        <v>10550.879690996271</v>
      </c>
      <c r="P12" s="3">
        <f t="shared" si="4"/>
        <v>10436.506098514465</v>
      </c>
      <c r="Q12" s="3">
        <f t="shared" si="4"/>
        <v>9466.2797752518727</v>
      </c>
      <c r="R12" s="3">
        <f t="shared" si="4"/>
        <v>12611.487078565979</v>
      </c>
      <c r="S12" s="3">
        <f t="shared" si="4"/>
        <v>11523.34719167905</v>
      </c>
      <c r="T12" s="3">
        <f t="shared" si="4"/>
        <v>11975.871819937243</v>
      </c>
      <c r="U12" s="3">
        <f t="shared" si="4"/>
        <v>12656.805176470589</v>
      </c>
      <c r="V12" s="3">
        <f t="shared" si="4"/>
        <v>13143.159563256588</v>
      </c>
      <c r="W12" s="3">
        <f t="shared" si="4"/>
        <v>12467.734232138617</v>
      </c>
      <c r="X12" s="3">
        <f t="shared" si="4"/>
        <v>12738.361371943982</v>
      </c>
      <c r="Y12" s="3">
        <f t="shared" si="4"/>
        <v>12459.760049845714</v>
      </c>
      <c r="Z12" s="3">
        <f t="shared" si="4"/>
        <v>12318.497097080464</v>
      </c>
      <c r="AA12" s="3">
        <f t="shared" si="4"/>
        <v>12972.323854735343</v>
      </c>
      <c r="AB12" s="3">
        <f t="shared" si="4"/>
        <v>12364.48285307382</v>
      </c>
      <c r="AC12" s="3">
        <f t="shared" si="4"/>
        <v>15955.743256586755</v>
      </c>
      <c r="AD12" s="3">
        <f t="shared" si="4"/>
        <v>14165.606214099216</v>
      </c>
    </row>
    <row r="13" spans="2:30">
      <c r="B13" s="1" t="str">
        <f>+DollarsPerActFTE!$B$13</f>
        <v>Western Washington University</v>
      </c>
      <c r="C13" s="41">
        <f t="shared" ref="C13:AD13" si="5">+C32+C51</f>
        <v>5728.4023668639056</v>
      </c>
      <c r="D13" s="41">
        <f t="shared" si="5"/>
        <v>6326.4739884393057</v>
      </c>
      <c r="E13" s="41">
        <f t="shared" si="5"/>
        <v>6250.0849858356942</v>
      </c>
      <c r="F13" s="41">
        <f t="shared" si="5"/>
        <v>6357.4520031073134</v>
      </c>
      <c r="G13" s="41">
        <f t="shared" si="5"/>
        <v>6162.387606976492</v>
      </c>
      <c r="H13" s="41">
        <f t="shared" si="5"/>
        <v>6350.6133333333328</v>
      </c>
      <c r="I13" s="41">
        <f t="shared" si="5"/>
        <v>6426.588136306269</v>
      </c>
      <c r="J13" s="41">
        <f t="shared" si="5"/>
        <v>6519.9244758024442</v>
      </c>
      <c r="K13" s="41">
        <f t="shared" si="5"/>
        <v>6816.1325100460645</v>
      </c>
      <c r="L13" s="41">
        <f t="shared" si="5"/>
        <v>7083.6472520042498</v>
      </c>
      <c r="M13" s="41">
        <f t="shared" si="5"/>
        <v>7522.7638573971699</v>
      </c>
      <c r="N13" s="41">
        <f t="shared" si="5"/>
        <v>7918.0260565846465</v>
      </c>
      <c r="O13" s="41">
        <f t="shared" si="5"/>
        <v>8171.1053653425661</v>
      </c>
      <c r="P13" s="41">
        <f t="shared" si="5"/>
        <v>8320.6139852597516</v>
      </c>
      <c r="Q13" s="41">
        <f t="shared" si="5"/>
        <v>8405.6083428215607</v>
      </c>
      <c r="R13" s="41">
        <f t="shared" si="5"/>
        <v>8655.1745684432353</v>
      </c>
      <c r="S13" s="41">
        <f t="shared" si="5"/>
        <v>9005.9453190567037</v>
      </c>
      <c r="T13" s="41">
        <f t="shared" si="5"/>
        <v>9486.6733242390656</v>
      </c>
      <c r="U13" s="41">
        <f t="shared" si="5"/>
        <v>10212.055068208285</v>
      </c>
      <c r="V13" s="41">
        <f t="shared" si="5"/>
        <v>10234.487695277208</v>
      </c>
      <c r="W13" s="41">
        <f t="shared" si="5"/>
        <v>11239.353019431986</v>
      </c>
      <c r="X13" s="41">
        <f t="shared" si="5"/>
        <v>10578.41482400952</v>
      </c>
      <c r="Y13" s="41">
        <f t="shared" si="5"/>
        <v>10275.029029926884</v>
      </c>
      <c r="Z13" s="41">
        <f t="shared" si="5"/>
        <v>10633.512998639688</v>
      </c>
      <c r="AA13" s="41">
        <f t="shared" si="5"/>
        <v>11363.616798163577</v>
      </c>
      <c r="AB13" s="41">
        <f t="shared" si="5"/>
        <v>11960.99862183302</v>
      </c>
      <c r="AC13" s="41">
        <f t="shared" si="5"/>
        <v>12776.65333786771</v>
      </c>
      <c r="AD13" s="41">
        <f t="shared" si="5"/>
        <v>13825.609075837443</v>
      </c>
    </row>
    <row r="14" spans="2:30">
      <c r="B14" s="199" t="str">
        <f>+DollarsPerActFTE!$B$14</f>
        <v>Total Four-Year Institutions</v>
      </c>
      <c r="C14" s="42">
        <f t="shared" ref="C14:AD14" si="6">+C33+C52</f>
        <v>8650.3222868851299</v>
      </c>
      <c r="D14" s="42">
        <f t="shared" si="6"/>
        <v>9390.7807251083759</v>
      </c>
      <c r="E14" s="42">
        <f t="shared" si="6"/>
        <v>9365.7673778389544</v>
      </c>
      <c r="F14" s="42">
        <f t="shared" si="6"/>
        <v>9735.115052407491</v>
      </c>
      <c r="G14" s="42">
        <f t="shared" si="6"/>
        <v>9286.8524301385223</v>
      </c>
      <c r="H14" s="42">
        <f t="shared" si="6"/>
        <v>9672.4110609301952</v>
      </c>
      <c r="I14" s="42">
        <f t="shared" si="6"/>
        <v>9728.8870938322434</v>
      </c>
      <c r="J14" s="42">
        <f t="shared" si="6"/>
        <v>9767.3519133430327</v>
      </c>
      <c r="K14" s="42">
        <f t="shared" si="6"/>
        <v>10157.217194012183</v>
      </c>
      <c r="L14" s="42">
        <f t="shared" si="6"/>
        <v>10662.520426331064</v>
      </c>
      <c r="M14" s="42">
        <f t="shared" si="6"/>
        <v>11263.065513328311</v>
      </c>
      <c r="N14" s="42">
        <f t="shared" si="6"/>
        <v>11592.795453774082</v>
      </c>
      <c r="O14" s="42">
        <f t="shared" si="6"/>
        <v>12135.041085621666</v>
      </c>
      <c r="P14" s="42">
        <f t="shared" si="6"/>
        <v>12342.037378825182</v>
      </c>
      <c r="Q14" s="42">
        <f t="shared" si="6"/>
        <v>12205.315620494723</v>
      </c>
      <c r="R14" s="42">
        <f t="shared" si="6"/>
        <v>13038.976432752543</v>
      </c>
      <c r="S14" s="42">
        <f t="shared" si="6"/>
        <v>13403.139577805663</v>
      </c>
      <c r="T14" s="42">
        <f t="shared" si="6"/>
        <v>14132.421060794448</v>
      </c>
      <c r="U14" s="42">
        <f t="shared" si="6"/>
        <v>15057.075412989125</v>
      </c>
      <c r="V14" s="42">
        <f t="shared" si="6"/>
        <v>15200.474540294765</v>
      </c>
      <c r="W14" s="42">
        <f t="shared" si="6"/>
        <v>15111.208962202174</v>
      </c>
      <c r="X14" s="42">
        <f t="shared" si="6"/>
        <v>15563.532742523861</v>
      </c>
      <c r="Y14" s="42">
        <f t="shared" si="6"/>
        <v>15113.318664470924</v>
      </c>
      <c r="Z14" s="42">
        <f t="shared" si="6"/>
        <v>16294.3205762752</v>
      </c>
      <c r="AA14" s="42">
        <f t="shared" si="6"/>
        <v>16892.422864683918</v>
      </c>
      <c r="AB14" s="42">
        <f t="shared" si="6"/>
        <v>18182.576941848278</v>
      </c>
      <c r="AC14" s="42">
        <f t="shared" si="6"/>
        <v>19097.94609598563</v>
      </c>
      <c r="AD14" s="42">
        <f t="shared" si="6"/>
        <v>19974.673226789571</v>
      </c>
    </row>
    <row r="15" spans="2:30">
      <c r="C15"/>
      <c r="D15"/>
      <c r="E15"/>
      <c r="F15"/>
      <c r="G15"/>
      <c r="H15"/>
      <c r="I15"/>
      <c r="J15"/>
      <c r="K15"/>
      <c r="L15"/>
      <c r="M15"/>
      <c r="N15"/>
      <c r="O15"/>
      <c r="P15"/>
      <c r="Q15"/>
      <c r="R15"/>
      <c r="S15"/>
      <c r="T15"/>
      <c r="U15"/>
      <c r="V15"/>
      <c r="W15"/>
      <c r="X15"/>
      <c r="Y15"/>
      <c r="Z15"/>
      <c r="AA15"/>
      <c r="AB15"/>
      <c r="AC15"/>
      <c r="AD15"/>
    </row>
    <row r="16" spans="2:30">
      <c r="B16" s="1" t="str">
        <f>+DollarsPerActFTE!$B$16</f>
        <v>Community/Technical College System</v>
      </c>
      <c r="C16" s="3">
        <f t="shared" ref="C16:AD16" si="7">+C35+C54</f>
        <v>3554.1660233647262</v>
      </c>
      <c r="D16" s="3">
        <f t="shared" si="7"/>
        <v>3883.3070144159747</v>
      </c>
      <c r="E16" s="3">
        <f t="shared" si="7"/>
        <v>3911.1808982603061</v>
      </c>
      <c r="F16" s="3">
        <f t="shared" si="7"/>
        <v>4096.8913181396711</v>
      </c>
      <c r="G16" s="3">
        <f t="shared" si="7"/>
        <v>3880.2359060091021</v>
      </c>
      <c r="H16" s="3">
        <f t="shared" si="7"/>
        <v>4173.3915532766841</v>
      </c>
      <c r="I16" s="3">
        <f t="shared" si="7"/>
        <v>4030.7181254799707</v>
      </c>
      <c r="J16" s="3">
        <f t="shared" si="7"/>
        <v>4125.1508843132797</v>
      </c>
      <c r="K16" s="3">
        <f t="shared" si="7"/>
        <v>4285.185439678422</v>
      </c>
      <c r="L16" s="3">
        <f t="shared" si="7"/>
        <v>4575.8820849433887</v>
      </c>
      <c r="M16" s="3">
        <f t="shared" si="7"/>
        <v>4891.3147181176319</v>
      </c>
      <c r="N16" s="3">
        <f t="shared" si="7"/>
        <v>5074.9919175514297</v>
      </c>
      <c r="O16" s="3">
        <f t="shared" si="7"/>
        <v>5284.7474197726287</v>
      </c>
      <c r="P16" s="3">
        <f t="shared" si="7"/>
        <v>5403.6951258754361</v>
      </c>
      <c r="Q16" s="3">
        <f t="shared" si="7"/>
        <v>5521.047174205316</v>
      </c>
      <c r="R16" s="3">
        <f t="shared" si="7"/>
        <v>5677.0347211855533</v>
      </c>
      <c r="S16" s="3">
        <f t="shared" si="7"/>
        <v>6080.5621134410449</v>
      </c>
      <c r="T16" s="3">
        <f t="shared" si="7"/>
        <v>6317.5324480334875</v>
      </c>
      <c r="U16" s="3">
        <f t="shared" si="7"/>
        <v>6902.4847450441584</v>
      </c>
      <c r="V16" s="3">
        <f t="shared" si="7"/>
        <v>6860.4168423623032</v>
      </c>
      <c r="W16" s="3">
        <f t="shared" si="7"/>
        <v>6848.2833817160672</v>
      </c>
      <c r="X16" s="3">
        <f t="shared" si="7"/>
        <v>6725.6144233323548</v>
      </c>
      <c r="Y16" s="3">
        <f t="shared" si="7"/>
        <v>6468.3343917924112</v>
      </c>
      <c r="Z16" s="3">
        <f t="shared" si="7"/>
        <v>6600.3365946551567</v>
      </c>
      <c r="AA16" s="3">
        <f t="shared" si="7"/>
        <v>7068.4291832630688</v>
      </c>
      <c r="AB16" s="3">
        <f t="shared" si="7"/>
        <v>7060.0669794964524</v>
      </c>
      <c r="AC16" s="3">
        <f t="shared" si="7"/>
        <v>7539.3666283133352</v>
      </c>
      <c r="AD16" s="3">
        <f t="shared" si="7"/>
        <v>7827.2006524830804</v>
      </c>
    </row>
    <row r="17" spans="2:30">
      <c r="B17" s="1" t="str">
        <f>+DollarsPerActFTE!$B$17</f>
        <v>HEC Board, CHE, SFA, &amp; SAC (1)</v>
      </c>
      <c r="C17" s="3">
        <f t="shared" ref="C17:AD17" si="8">+C36+C55</f>
        <v>176.40980923826703</v>
      </c>
      <c r="D17" s="3">
        <f t="shared" si="8"/>
        <v>200.12831379196686</v>
      </c>
      <c r="E17" s="3">
        <f t="shared" si="8"/>
        <v>225.59047150993032</v>
      </c>
      <c r="F17" s="3">
        <f t="shared" si="8"/>
        <v>225.19920092619918</v>
      </c>
      <c r="G17" s="3">
        <f t="shared" si="8"/>
        <v>348.53015268011654</v>
      </c>
      <c r="H17" s="3">
        <f t="shared" si="8"/>
        <v>375.19880502063273</v>
      </c>
      <c r="I17" s="3">
        <f t="shared" si="8"/>
        <v>386.1131715587581</v>
      </c>
      <c r="J17" s="3">
        <f t="shared" si="8"/>
        <v>401.64325878758314</v>
      </c>
      <c r="K17" s="3">
        <f t="shared" si="8"/>
        <v>460.94651789149674</v>
      </c>
      <c r="L17" s="3">
        <f t="shared" si="8"/>
        <v>498.72337030240163</v>
      </c>
      <c r="M17" s="3">
        <f t="shared" si="8"/>
        <v>526.09702073113613</v>
      </c>
      <c r="N17" s="3">
        <f t="shared" si="8"/>
        <v>596.80532008417345</v>
      </c>
      <c r="O17" s="3">
        <f t="shared" si="8"/>
        <v>600.47928670594695</v>
      </c>
      <c r="P17" s="3">
        <f t="shared" si="8"/>
        <v>646.94350378433057</v>
      </c>
      <c r="Q17" s="3">
        <f t="shared" si="8"/>
        <v>690.84178636717331</v>
      </c>
      <c r="R17" s="3">
        <f t="shared" si="8"/>
        <v>765.33236315604734</v>
      </c>
      <c r="S17" s="3">
        <f t="shared" si="8"/>
        <v>869.26274586310433</v>
      </c>
      <c r="T17" s="3">
        <f t="shared" si="8"/>
        <v>902.27379345135193</v>
      </c>
      <c r="U17" s="3">
        <f t="shared" si="8"/>
        <v>1017.9956296802618</v>
      </c>
      <c r="V17" s="3">
        <f t="shared" si="8"/>
        <v>1013.3332992205426</v>
      </c>
      <c r="W17" s="3">
        <f t="shared" si="8"/>
        <v>1104.7583306659726</v>
      </c>
      <c r="X17" s="3">
        <f t="shared" si="8"/>
        <v>981.06113906134124</v>
      </c>
      <c r="Y17" s="3">
        <f t="shared" si="8"/>
        <v>1259.6791294196705</v>
      </c>
      <c r="Z17" s="3">
        <f t="shared" si="8"/>
        <v>1401.7375331690675</v>
      </c>
      <c r="AA17" s="3">
        <f t="shared" si="8"/>
        <v>1590.3834462078551</v>
      </c>
      <c r="AB17" s="3">
        <f t="shared" si="8"/>
        <v>1521.312567972207</v>
      </c>
      <c r="AC17" s="3">
        <f t="shared" si="8"/>
        <v>1578.9305213737091</v>
      </c>
      <c r="AD17" s="3">
        <f t="shared" si="8"/>
        <v>1517.7549269836918</v>
      </c>
    </row>
    <row r="18" spans="2:30"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row>
    <row r="19" spans="2:30" ht="13.5" thickTop="1">
      <c r="B19" s="1" t="str">
        <f>+DollarsPerActFTE!$B$19</f>
        <v>Total Higher Education</v>
      </c>
      <c r="C19" s="39">
        <f t="shared" ref="C19:AD19" si="9">+C38+C57</f>
        <v>5869.6441582952084</v>
      </c>
      <c r="D19" s="39">
        <f t="shared" si="9"/>
        <v>6409.0443565475343</v>
      </c>
      <c r="E19" s="39">
        <f t="shared" si="9"/>
        <v>6427.9783758781186</v>
      </c>
      <c r="F19" s="39">
        <f t="shared" si="9"/>
        <v>6681.9311706885201</v>
      </c>
      <c r="G19" s="39">
        <f t="shared" si="9"/>
        <v>6447.4436485509623</v>
      </c>
      <c r="H19" s="39">
        <f t="shared" si="9"/>
        <v>6786.0535591471798</v>
      </c>
      <c r="I19" s="39">
        <f t="shared" si="9"/>
        <v>6734.0786266822079</v>
      </c>
      <c r="J19" s="39">
        <f t="shared" si="9"/>
        <v>6856.5435078439932</v>
      </c>
      <c r="K19" s="39">
        <f t="shared" si="9"/>
        <v>7157.0290192584189</v>
      </c>
      <c r="L19" s="39">
        <f t="shared" si="9"/>
        <v>7563.6170509853982</v>
      </c>
      <c r="M19" s="39">
        <f t="shared" si="9"/>
        <v>7976.8183124214274</v>
      </c>
      <c r="N19" s="39">
        <f t="shared" si="9"/>
        <v>8292.7212642785598</v>
      </c>
      <c r="O19" s="39">
        <f t="shared" si="9"/>
        <v>8619.9276480522894</v>
      </c>
      <c r="P19" s="39">
        <f t="shared" si="9"/>
        <v>8788.8949872138328</v>
      </c>
      <c r="Q19" s="39">
        <f t="shared" si="9"/>
        <v>8883.5605896277266</v>
      </c>
      <c r="R19" s="39">
        <f t="shared" si="9"/>
        <v>9393.6770270732104</v>
      </c>
      <c r="S19" s="39">
        <f t="shared" si="9"/>
        <v>9890.8157370101726</v>
      </c>
      <c r="T19" s="39">
        <f t="shared" si="9"/>
        <v>10364.675855471058</v>
      </c>
      <c r="U19" s="39">
        <f t="shared" si="9"/>
        <v>11243.05500748842</v>
      </c>
      <c r="V19" s="39">
        <f t="shared" si="9"/>
        <v>11270.385065025732</v>
      </c>
      <c r="W19" s="39">
        <f t="shared" si="9"/>
        <v>11226.029665517317</v>
      </c>
      <c r="X19" s="39">
        <f t="shared" si="9"/>
        <v>11238.031149006656</v>
      </c>
      <c r="Y19" s="39">
        <f t="shared" si="9"/>
        <v>10871.23304797884</v>
      </c>
      <c r="Z19" s="39">
        <f t="shared" si="9"/>
        <v>11881.730590107865</v>
      </c>
      <c r="AA19" s="39">
        <f t="shared" si="9"/>
        <v>12307.633220860347</v>
      </c>
      <c r="AB19" s="39">
        <f t="shared" si="9"/>
        <v>13036.93961026555</v>
      </c>
      <c r="AC19" s="39">
        <f t="shared" si="9"/>
        <v>13341.325667984631</v>
      </c>
      <c r="AD19" s="39">
        <f t="shared" si="9"/>
        <v>14211.104843365134</v>
      </c>
    </row>
    <row r="20" spans="2:30">
      <c r="B20" s="199" t="str">
        <f>+DollarsPerActFTE!$B$20</f>
        <v>[biennial annual average]</v>
      </c>
      <c r="C20" s="3"/>
      <c r="D20" s="3">
        <f>AVERAGE(C19:D19)</f>
        <v>6139.3442574213714</v>
      </c>
      <c r="E20" s="3"/>
      <c r="F20" s="3">
        <f>AVERAGE(E19:F19)</f>
        <v>6554.9547732833198</v>
      </c>
      <c r="G20" s="3"/>
      <c r="H20" s="3">
        <f>AVERAGE(G19:H19)</f>
        <v>6616.7486038490715</v>
      </c>
      <c r="I20" s="3"/>
      <c r="J20" s="3">
        <f>AVERAGE(I19:J19)</f>
        <v>6795.311067263101</v>
      </c>
      <c r="K20" s="3"/>
      <c r="L20" s="3">
        <f>AVERAGE(K19:L19)</f>
        <v>7360.3230351219081</v>
      </c>
      <c r="M20" s="3"/>
      <c r="N20" s="3">
        <f>AVERAGE(M19:N19)</f>
        <v>8134.7697883499932</v>
      </c>
      <c r="O20" s="3"/>
      <c r="P20" s="3">
        <f>AVERAGE(O19:P19)</f>
        <v>8704.4113176330611</v>
      </c>
      <c r="Q20" s="3"/>
      <c r="R20" s="3">
        <f>AVERAGE(Q19:R19)</f>
        <v>9138.6188083504676</v>
      </c>
      <c r="S20" s="3"/>
      <c r="T20" s="3">
        <f>AVERAGE(S19:T19)</f>
        <v>10127.745796240615</v>
      </c>
      <c r="U20" s="3"/>
      <c r="V20" s="3">
        <f>AVERAGE(U19:V19)</f>
        <v>11256.720036257077</v>
      </c>
      <c r="W20" s="3"/>
      <c r="X20" s="3">
        <f>AVERAGE(W19:X19)</f>
        <v>11232.030407261987</v>
      </c>
      <c r="Y20" s="3"/>
      <c r="Z20" s="3">
        <f>AVERAGE(Y19:Z19)</f>
        <v>11376.481819043353</v>
      </c>
      <c r="AA20" s="3"/>
      <c r="AB20" s="3">
        <f>AVERAGE(AA19:AB19)</f>
        <v>12672.286415562949</v>
      </c>
      <c r="AC20" s="3"/>
      <c r="AD20" s="3">
        <f>AVERAGE(AC19:AD19)</f>
        <v>13776.215255674882</v>
      </c>
    </row>
    <row r="22" spans="2:30" ht="14.25">
      <c r="B22" s="2447"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2:30">
      <c r="B23" s="377" t="str">
        <f>+$B$4</f>
        <v>(Dollars Per Budgeted State-Funded FTE Enrollment)</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2:30">
      <c r="I24" s="13"/>
      <c r="J24" s="13"/>
      <c r="K24" s="13"/>
      <c r="L24" s="13"/>
      <c r="M24" s="13"/>
      <c r="N24" s="13"/>
      <c r="O24" s="13"/>
      <c r="P24" s="13"/>
      <c r="Q24"/>
      <c r="R24" s="13"/>
      <c r="S24"/>
      <c r="T24"/>
      <c r="U24" s="2"/>
      <c r="V24" s="2"/>
      <c r="W24" s="2"/>
      <c r="X24" s="2"/>
      <c r="Y24" s="2"/>
      <c r="Z24" s="2"/>
      <c r="AA24" s="2"/>
      <c r="AB24" s="2"/>
      <c r="AC24" s="5" t="str">
        <f>TRIM(OperatingFunds!AC24)</f>
        <v/>
      </c>
      <c r="AD24" s="2" t="str">
        <f>TRIM(OperatingFunds!AD24)</f>
        <v/>
      </c>
    </row>
    <row r="25" spans="2:30">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+OperatingFunds!U25</f>
        <v>FY2008</v>
      </c>
      <c r="V25" s="2" t="str">
        <f>+OperatingFunds!V25</f>
        <v>FY2009</v>
      </c>
      <c r="W25" s="2" t="str">
        <f>+OperatingFunds!W25</f>
        <v>FY2010</v>
      </c>
      <c r="X25" s="2" t="str">
        <f>+OperatingFunds!X25</f>
        <v>FY2011</v>
      </c>
      <c r="Y25" s="2" t="str">
        <f>+OperatingFunds!Y25</f>
        <v>FY2012</v>
      </c>
      <c r="Z25" s="2" t="str">
        <f>+OperatingFunds!Z25</f>
        <v>FY2013</v>
      </c>
      <c r="AA25" s="2" t="str">
        <f>+OperatingFunds!AA25</f>
        <v>FY2014</v>
      </c>
      <c r="AB25" s="2" t="str">
        <f>+OperatingFunds!AB25</f>
        <v>FY2015</v>
      </c>
      <c r="AC25" s="2" t="str">
        <f>+OperatingFunds!AC25</f>
        <v>FY2016</v>
      </c>
      <c r="AD25" s="2" t="str">
        <f>+OperatingFunds!AD25</f>
        <v>FY2017</v>
      </c>
    </row>
    <row r="26" spans="2:30">
      <c r="C26" s="3"/>
      <c r="D26" s="3"/>
      <c r="E26" s="3"/>
      <c r="F26" s="3"/>
      <c r="G26" s="3"/>
      <c r="H26" s="3"/>
      <c r="I26" s="3"/>
      <c r="J26" s="3"/>
      <c r="K26" s="3"/>
      <c r="L26" s="3"/>
      <c r="M26" s="3"/>
      <c r="N26" s="3"/>
      <c r="O26" s="3"/>
      <c r="P26" s="3"/>
      <c r="Q26" s="3"/>
      <c r="R26" s="3"/>
    </row>
    <row r="27" spans="2:30">
      <c r="B27" s="1" t="str">
        <f>+$B$8</f>
        <v>University of Washington</v>
      </c>
      <c r="C27" s="3">
        <f t="shared" ref="C27:AD27" si="10">SUM(C65,C84,C103,C122,C141)</f>
        <v>8050.9830508474579</v>
      </c>
      <c r="D27" s="3">
        <f t="shared" si="10"/>
        <v>8748.7171052631584</v>
      </c>
      <c r="E27" s="3">
        <f t="shared" si="10"/>
        <v>8512.2542595019659</v>
      </c>
      <c r="F27" s="3">
        <f t="shared" si="10"/>
        <v>8836.3718938558359</v>
      </c>
      <c r="G27" s="3">
        <f t="shared" si="10"/>
        <v>8190.8114711934159</v>
      </c>
      <c r="H27" s="3">
        <f t="shared" si="10"/>
        <v>7942.6334292106103</v>
      </c>
      <c r="I27" s="3">
        <f t="shared" si="10"/>
        <v>8211.4171606073087</v>
      </c>
      <c r="J27" s="3">
        <f t="shared" si="10"/>
        <v>8232.8636475510702</v>
      </c>
      <c r="K27" s="3">
        <f t="shared" si="10"/>
        <v>8630.5173304170839</v>
      </c>
      <c r="L27" s="3">
        <f t="shared" si="10"/>
        <v>8853.5344466391325</v>
      </c>
      <c r="M27" s="3">
        <f t="shared" si="10"/>
        <v>9449.2830241023985</v>
      </c>
      <c r="N27" s="3">
        <f t="shared" si="10"/>
        <v>9862.4824308118077</v>
      </c>
      <c r="O27" s="3">
        <f t="shared" si="10"/>
        <v>10088.373266513499</v>
      </c>
      <c r="P27" s="3">
        <f t="shared" si="10"/>
        <v>9699.0587529164077</v>
      </c>
      <c r="Q27" s="3">
        <f t="shared" si="10"/>
        <v>9342.0014709978113</v>
      </c>
      <c r="R27" s="3">
        <f t="shared" si="10"/>
        <v>9595.7804418774176</v>
      </c>
      <c r="S27" s="3">
        <f t="shared" si="10"/>
        <v>9977.2602945504023</v>
      </c>
      <c r="T27" s="3">
        <f t="shared" si="10"/>
        <v>10320.632330052207</v>
      </c>
      <c r="U27" s="3">
        <f t="shared" si="10"/>
        <v>10824.044443706674</v>
      </c>
      <c r="V27" s="3">
        <f t="shared" si="10"/>
        <v>10556.107814203393</v>
      </c>
      <c r="W27" s="3">
        <f t="shared" si="10"/>
        <v>9679.6618932304518</v>
      </c>
      <c r="X27" s="3">
        <f t="shared" si="10"/>
        <v>8295.3887422636035</v>
      </c>
      <c r="Y27" s="3">
        <f t="shared" si="10"/>
        <v>6189.2530994026165</v>
      </c>
      <c r="Z27" s="3">
        <f t="shared" si="10"/>
        <v>6251.7588472095149</v>
      </c>
      <c r="AA27" s="3">
        <f t="shared" si="10"/>
        <v>7442.9196178892416</v>
      </c>
      <c r="AB27" s="3">
        <f t="shared" si="10"/>
        <v>7136.3833894838817</v>
      </c>
      <c r="AC27" s="3">
        <f t="shared" si="10"/>
        <v>8476.0356428609866</v>
      </c>
      <c r="AD27" s="3">
        <f t="shared" si="10"/>
        <v>9545.7714181152824</v>
      </c>
    </row>
    <row r="28" spans="2:30">
      <c r="B28" s="1" t="str">
        <f>+$B$9</f>
        <v>Washington State University</v>
      </c>
      <c r="C28" s="3">
        <f t="shared" ref="C28:AD28" si="11">SUM(C66,C85,C104,C123,C142)</f>
        <v>8402.4644433545855</v>
      </c>
      <c r="D28" s="3">
        <f t="shared" si="11"/>
        <v>8977.4285540925921</v>
      </c>
      <c r="E28" s="3">
        <f t="shared" si="11"/>
        <v>8974.4341994970655</v>
      </c>
      <c r="F28" s="3">
        <f t="shared" si="11"/>
        <v>9212.5923736328696</v>
      </c>
      <c r="G28" s="3">
        <f t="shared" si="11"/>
        <v>8571.1309179303153</v>
      </c>
      <c r="H28" s="3">
        <f t="shared" si="11"/>
        <v>8251.894374282434</v>
      </c>
      <c r="I28" s="3">
        <f t="shared" si="11"/>
        <v>8452.9115341545348</v>
      </c>
      <c r="J28" s="3">
        <f t="shared" si="11"/>
        <v>8302.2991475071049</v>
      </c>
      <c r="K28" s="3">
        <f t="shared" si="11"/>
        <v>8837.6901263212167</v>
      </c>
      <c r="L28" s="3">
        <f t="shared" si="11"/>
        <v>8791.2087912087918</v>
      </c>
      <c r="M28" s="3">
        <f t="shared" si="11"/>
        <v>9896.4563515629216</v>
      </c>
      <c r="N28" s="3">
        <f t="shared" si="11"/>
        <v>9949.0671296296296</v>
      </c>
      <c r="O28" s="3">
        <f t="shared" si="11"/>
        <v>10284.620899335718</v>
      </c>
      <c r="P28" s="3">
        <f t="shared" si="11"/>
        <v>9859.7372032090989</v>
      </c>
      <c r="Q28" s="3">
        <f t="shared" si="11"/>
        <v>9601.9197586727005</v>
      </c>
      <c r="R28" s="3">
        <f t="shared" si="11"/>
        <v>9801.7753647647551</v>
      </c>
      <c r="S28" s="3">
        <f t="shared" si="11"/>
        <v>10353.151068036066</v>
      </c>
      <c r="T28" s="3">
        <f t="shared" si="11"/>
        <v>10579.346495327101</v>
      </c>
      <c r="U28" s="3">
        <f t="shared" si="11"/>
        <v>11507.341173394496</v>
      </c>
      <c r="V28" s="3">
        <f t="shared" si="11"/>
        <v>11282.520311460676</v>
      </c>
      <c r="W28" s="3">
        <f t="shared" si="11"/>
        <v>9758.2022471910132</v>
      </c>
      <c r="X28" s="3">
        <f t="shared" si="11"/>
        <v>9061.0919015730324</v>
      </c>
      <c r="Y28" s="3">
        <f t="shared" si="11"/>
        <v>7018.7995703617062</v>
      </c>
      <c r="Z28" s="3">
        <f t="shared" si="11"/>
        <v>6986.2313298542385</v>
      </c>
      <c r="AA28" s="3">
        <f t="shared" si="11"/>
        <v>8048.8123087997119</v>
      </c>
      <c r="AB28" s="3">
        <f t="shared" si="11"/>
        <v>7769.0567042328521</v>
      </c>
      <c r="AC28" s="3">
        <f t="shared" si="11"/>
        <v>9030.6669571390539</v>
      </c>
      <c r="AD28" s="3">
        <f t="shared" si="11"/>
        <v>10184.968857928829</v>
      </c>
    </row>
    <row r="29" spans="2:30">
      <c r="B29" s="1" t="str">
        <f>+$B$10</f>
        <v>Eastern Washington University</v>
      </c>
      <c r="C29" s="3">
        <f t="shared" ref="C29:AD29" si="12">SUM(C67,C86,C105,C124,C143)</f>
        <v>4902.9914529914531</v>
      </c>
      <c r="D29" s="3">
        <f t="shared" si="12"/>
        <v>5437.1794871794873</v>
      </c>
      <c r="E29" s="3">
        <f t="shared" si="12"/>
        <v>5102.8634973589105</v>
      </c>
      <c r="F29" s="3">
        <f t="shared" si="12"/>
        <v>5414.2236699239957</v>
      </c>
      <c r="G29" s="3">
        <f t="shared" si="12"/>
        <v>4895.2752725804285</v>
      </c>
      <c r="H29" s="3">
        <f t="shared" si="12"/>
        <v>4827.6772745279286</v>
      </c>
      <c r="I29" s="3">
        <f t="shared" si="12"/>
        <v>4882.7063740856847</v>
      </c>
      <c r="J29" s="3">
        <f t="shared" si="12"/>
        <v>4880.2555910543133</v>
      </c>
      <c r="K29" s="3">
        <f t="shared" si="12"/>
        <v>5063.8325365034243</v>
      </c>
      <c r="L29" s="3">
        <f t="shared" si="12"/>
        <v>5098.0746866520221</v>
      </c>
      <c r="M29" s="3">
        <f t="shared" si="12"/>
        <v>5384.1682387905412</v>
      </c>
      <c r="N29" s="3">
        <f t="shared" si="12"/>
        <v>5591.3238809766026</v>
      </c>
      <c r="O29" s="3">
        <f t="shared" si="12"/>
        <v>5747.0858439430231</v>
      </c>
      <c r="P29" s="3">
        <f t="shared" si="12"/>
        <v>5476.6594736185607</v>
      </c>
      <c r="Q29" s="3">
        <f t="shared" si="12"/>
        <v>5149.837473619632</v>
      </c>
      <c r="R29" s="3">
        <f t="shared" si="12"/>
        <v>5522.0870855000603</v>
      </c>
      <c r="S29" s="3">
        <f t="shared" si="12"/>
        <v>5724.3162097055747</v>
      </c>
      <c r="T29" s="3">
        <f t="shared" si="12"/>
        <v>5924.3226928236081</v>
      </c>
      <c r="U29" s="3">
        <f t="shared" si="12"/>
        <v>6581.8186516229434</v>
      </c>
      <c r="V29" s="3">
        <f t="shared" si="12"/>
        <v>6228.2185768728232</v>
      </c>
      <c r="W29" s="3">
        <f t="shared" si="12"/>
        <v>5823.4634894420196</v>
      </c>
      <c r="X29" s="3">
        <f t="shared" si="12"/>
        <v>5315.0332035722458</v>
      </c>
      <c r="Y29" s="3">
        <f t="shared" si="12"/>
        <v>4052.495992672315</v>
      </c>
      <c r="Z29" s="3">
        <f t="shared" si="12"/>
        <v>3997.1948706205635</v>
      </c>
      <c r="AA29" s="3">
        <f t="shared" si="12"/>
        <v>4612.0334325624008</v>
      </c>
      <c r="AB29" s="3">
        <f t="shared" si="12"/>
        <v>4555.1293794366848</v>
      </c>
      <c r="AC29" s="3">
        <f t="shared" si="12"/>
        <v>5497.5383558506983</v>
      </c>
      <c r="AD29" s="3">
        <f t="shared" si="12"/>
        <v>6604.1332722692923</v>
      </c>
    </row>
    <row r="30" spans="2:30">
      <c r="B30" s="1" t="str">
        <f>+$B$11</f>
        <v>Central Washington University</v>
      </c>
      <c r="C30" s="3">
        <f t="shared" ref="C30:AD30" si="13">SUM(C68,C87,C106,C125,C144)</f>
        <v>4858.9294647323659</v>
      </c>
      <c r="D30" s="3">
        <f t="shared" si="13"/>
        <v>5469.129720853859</v>
      </c>
      <c r="E30" s="3">
        <f t="shared" si="13"/>
        <v>5098.5645933014357</v>
      </c>
      <c r="F30" s="3">
        <f t="shared" si="13"/>
        <v>5473.5699891489694</v>
      </c>
      <c r="G30" s="3">
        <f t="shared" si="13"/>
        <v>4795.3795379537951</v>
      </c>
      <c r="H30" s="3">
        <f t="shared" si="13"/>
        <v>5017.1806167400882</v>
      </c>
      <c r="I30" s="3">
        <f t="shared" si="13"/>
        <v>4873.5332464146022</v>
      </c>
      <c r="J30" s="3">
        <f t="shared" si="13"/>
        <v>5009.2337375964717</v>
      </c>
      <c r="K30" s="3">
        <f t="shared" si="13"/>
        <v>5069.970051728832</v>
      </c>
      <c r="L30" s="3">
        <f t="shared" si="13"/>
        <v>5258.9309696481332</v>
      </c>
      <c r="M30" s="3">
        <f t="shared" si="13"/>
        <v>5492.8378096479792</v>
      </c>
      <c r="N30" s="3">
        <f t="shared" si="13"/>
        <v>5633.9007817465363</v>
      </c>
      <c r="O30" s="3">
        <f t="shared" si="13"/>
        <v>5909.4415261044169</v>
      </c>
      <c r="P30" s="3">
        <f t="shared" si="13"/>
        <v>5568.8333172690755</v>
      </c>
      <c r="Q30" s="3">
        <f t="shared" si="13"/>
        <v>5332.2871596875402</v>
      </c>
      <c r="R30" s="3">
        <f t="shared" si="13"/>
        <v>5568.0270533816738</v>
      </c>
      <c r="S30" s="3">
        <f t="shared" si="13"/>
        <v>5877.8084825183223</v>
      </c>
      <c r="T30" s="3">
        <f t="shared" si="13"/>
        <v>6043.5180625862859</v>
      </c>
      <c r="U30" s="3">
        <f t="shared" si="13"/>
        <v>6450.8489722966933</v>
      </c>
      <c r="V30" s="3">
        <f t="shared" si="13"/>
        <v>6242.1154258742754</v>
      </c>
      <c r="W30" s="3">
        <f t="shared" si="13"/>
        <v>5669.2643759593811</v>
      </c>
      <c r="X30" s="3">
        <f t="shared" si="13"/>
        <v>5109.7864611716623</v>
      </c>
      <c r="Y30" s="3">
        <f t="shared" si="13"/>
        <v>3861.4895549500452</v>
      </c>
      <c r="Z30" s="3">
        <f t="shared" si="13"/>
        <v>3704.7623717075385</v>
      </c>
      <c r="AA30" s="3">
        <f t="shared" si="13"/>
        <v>4445.7990115321254</v>
      </c>
      <c r="AB30" s="3">
        <f t="shared" si="13"/>
        <v>4391.8725974739154</v>
      </c>
      <c r="AC30" s="3">
        <f t="shared" si="13"/>
        <v>5239.6485447556288</v>
      </c>
      <c r="AD30" s="3">
        <f t="shared" si="13"/>
        <v>6432.1801208127408</v>
      </c>
    </row>
    <row r="31" spans="2:30">
      <c r="B31" s="1" t="str">
        <f>+$B$12</f>
        <v>The Evergreen State College</v>
      </c>
      <c r="C31" s="3">
        <f t="shared" ref="C31:AD31" si="14">SUM(C69,C88,C107,C126,C145)</f>
        <v>5958.666666666667</v>
      </c>
      <c r="D31" s="3">
        <f t="shared" si="14"/>
        <v>6658.0645161290322</v>
      </c>
      <c r="E31" s="3">
        <f t="shared" si="14"/>
        <v>5923.5425294679835</v>
      </c>
      <c r="F31" s="3">
        <f t="shared" si="14"/>
        <v>6908.4329767149147</v>
      </c>
      <c r="G31" s="3">
        <f t="shared" si="14"/>
        <v>5531.9280843149409</v>
      </c>
      <c r="H31" s="3">
        <f t="shared" si="14"/>
        <v>5898.0969920196439</v>
      </c>
      <c r="I31" s="3">
        <f t="shared" si="14"/>
        <v>5636.363636363636</v>
      </c>
      <c r="J31" s="3">
        <f t="shared" si="14"/>
        <v>5707.2812683499706</v>
      </c>
      <c r="K31" s="3">
        <f t="shared" si="14"/>
        <v>5861.2700228832955</v>
      </c>
      <c r="L31" s="3">
        <f t="shared" si="14"/>
        <v>5740.4921700223713</v>
      </c>
      <c r="M31" s="3">
        <f t="shared" si="14"/>
        <v>6154.0250137438152</v>
      </c>
      <c r="N31" s="3">
        <f t="shared" si="14"/>
        <v>6698.0053864799356</v>
      </c>
      <c r="O31" s="3">
        <f t="shared" si="14"/>
        <v>6769.7970165157167</v>
      </c>
      <c r="P31" s="3">
        <f t="shared" si="14"/>
        <v>6344.0607245243682</v>
      </c>
      <c r="Q31" s="3">
        <f t="shared" si="14"/>
        <v>6037.1375587703433</v>
      </c>
      <c r="R31" s="3">
        <f t="shared" si="14"/>
        <v>6318.9410297482827</v>
      </c>
      <c r="S31" s="3">
        <f t="shared" si="14"/>
        <v>6575.7202055473008</v>
      </c>
      <c r="T31" s="3">
        <f t="shared" si="14"/>
        <v>6976.337873521602</v>
      </c>
      <c r="U31" s="3">
        <f t="shared" si="14"/>
        <v>7759.9084945978393</v>
      </c>
      <c r="V31" s="3">
        <f t="shared" si="14"/>
        <v>7330.8761262758135</v>
      </c>
      <c r="W31" s="3">
        <f t="shared" si="14"/>
        <v>6257.7696178495135</v>
      </c>
      <c r="X31" s="3">
        <f t="shared" si="14"/>
        <v>5612.7195062900537</v>
      </c>
      <c r="Y31" s="3">
        <f t="shared" si="14"/>
        <v>4497.6183194873011</v>
      </c>
      <c r="Z31" s="3">
        <f t="shared" si="14"/>
        <v>4286.8171469261806</v>
      </c>
      <c r="AA31" s="3">
        <f t="shared" si="14"/>
        <v>5179.8178993591264</v>
      </c>
      <c r="AB31" s="3">
        <f t="shared" si="14"/>
        <v>4736.5371492997865</v>
      </c>
      <c r="AC31" s="3">
        <f t="shared" si="14"/>
        <v>6120.2537977688116</v>
      </c>
      <c r="AD31" s="3">
        <f t="shared" si="14"/>
        <v>6773.6460360788033</v>
      </c>
    </row>
    <row r="32" spans="2:30">
      <c r="B32" s="1" t="str">
        <f>+$B$13</f>
        <v>Western Washington University</v>
      </c>
      <c r="C32" s="3">
        <f t="shared" ref="C32:AD32" si="15">SUM(C70,C89,C108,C127,C146)</f>
        <v>4489.9408284023666</v>
      </c>
      <c r="D32" s="3">
        <f t="shared" si="15"/>
        <v>4976.4161849710981</v>
      </c>
      <c r="E32" s="3">
        <f t="shared" si="15"/>
        <v>4796.1473087818695</v>
      </c>
      <c r="F32" s="3">
        <f t="shared" si="15"/>
        <v>4826.8782599045608</v>
      </c>
      <c r="G32" s="3">
        <f t="shared" si="15"/>
        <v>4505.2540353157838</v>
      </c>
      <c r="H32" s="3">
        <f t="shared" si="15"/>
        <v>4215.3599999999997</v>
      </c>
      <c r="I32" s="3">
        <f t="shared" si="15"/>
        <v>4474.4425746739589</v>
      </c>
      <c r="J32" s="3">
        <f t="shared" si="15"/>
        <v>4554.1091125906787</v>
      </c>
      <c r="K32" s="3">
        <f t="shared" si="15"/>
        <v>4688.3269626580413</v>
      </c>
      <c r="L32" s="3">
        <f t="shared" si="15"/>
        <v>4709.4561962716125</v>
      </c>
      <c r="M32" s="3">
        <f t="shared" si="15"/>
        <v>5002.5606671039068</v>
      </c>
      <c r="N32" s="3">
        <f t="shared" si="15"/>
        <v>5261.7351377753203</v>
      </c>
      <c r="O32" s="3">
        <f t="shared" si="15"/>
        <v>5451.9303935860062</v>
      </c>
      <c r="P32" s="3">
        <f t="shared" si="15"/>
        <v>5209.9268425310092</v>
      </c>
      <c r="Q32" s="3">
        <f t="shared" si="15"/>
        <v>4985.9844182529796</v>
      </c>
      <c r="R32" s="3">
        <f t="shared" si="15"/>
        <v>5133.0741425937313</v>
      </c>
      <c r="S32" s="3">
        <f t="shared" si="15"/>
        <v>5369.2561123634478</v>
      </c>
      <c r="T32" s="3">
        <f t="shared" si="15"/>
        <v>5594.3821297638342</v>
      </c>
      <c r="U32" s="3">
        <f t="shared" si="15"/>
        <v>6129.6787972051243</v>
      </c>
      <c r="V32" s="3">
        <f t="shared" si="15"/>
        <v>5995.2361396303904</v>
      </c>
      <c r="W32" s="3">
        <f t="shared" si="15"/>
        <v>5306.9550690231245</v>
      </c>
      <c r="X32" s="3">
        <f t="shared" si="15"/>
        <v>4825.7444431219174</v>
      </c>
      <c r="Y32" s="3">
        <f t="shared" si="15"/>
        <v>3586.3798673694951</v>
      </c>
      <c r="Z32" s="3">
        <f t="shared" si="15"/>
        <v>3498.5546675735418</v>
      </c>
      <c r="AA32" s="3">
        <f t="shared" si="15"/>
        <v>4179.1105160686957</v>
      </c>
      <c r="AB32" s="3">
        <f t="shared" si="15"/>
        <v>4235.3100229552792</v>
      </c>
      <c r="AC32" s="3">
        <f t="shared" si="15"/>
        <v>5272.1475939466081</v>
      </c>
      <c r="AD32" s="3">
        <f t="shared" si="15"/>
        <v>6455.4497534432921</v>
      </c>
    </row>
    <row r="33" spans="2:30">
      <c r="B33" s="199" t="str">
        <f>+$B$14</f>
        <v>Total Four-Year Institutions</v>
      </c>
      <c r="C33" s="42">
        <f t="shared" ref="C33:V33" si="16">SUM(C71,C109,C128,C147)</f>
        <v>7028.2587970802088</v>
      </c>
      <c r="D33" s="42">
        <f t="shared" si="16"/>
        <v>7653.6429656681676</v>
      </c>
      <c r="E33" s="42">
        <f t="shared" si="16"/>
        <v>7423.0282174810736</v>
      </c>
      <c r="F33" s="42">
        <f t="shared" si="16"/>
        <v>7713.6367950751874</v>
      </c>
      <c r="G33" s="42">
        <f t="shared" si="16"/>
        <v>7081.2448287826619</v>
      </c>
      <c r="H33" s="42">
        <f t="shared" si="16"/>
        <v>6889.773657660513</v>
      </c>
      <c r="I33" s="42">
        <f t="shared" si="16"/>
        <v>7062.4853427834378</v>
      </c>
      <c r="J33" s="42">
        <f t="shared" si="16"/>
        <v>7065.0549067890406</v>
      </c>
      <c r="K33" s="42">
        <f t="shared" si="16"/>
        <v>7401.8348171348243</v>
      </c>
      <c r="L33" s="42">
        <f t="shared" si="16"/>
        <v>7498.9512450915827</v>
      </c>
      <c r="M33" s="42">
        <f t="shared" si="16"/>
        <v>8076.7113655140565</v>
      </c>
      <c r="N33" s="42">
        <f t="shared" si="16"/>
        <v>8368.0926638383098</v>
      </c>
      <c r="O33" s="42">
        <f t="shared" si="16"/>
        <v>8607.557165978491</v>
      </c>
      <c r="P33" s="42">
        <f t="shared" si="16"/>
        <v>8240.9913746042894</v>
      </c>
      <c r="Q33" s="42">
        <f t="shared" si="16"/>
        <v>7925.0181884873882</v>
      </c>
      <c r="R33" s="42">
        <f t="shared" si="16"/>
        <v>8164.7035622268631</v>
      </c>
      <c r="S33" s="42">
        <f t="shared" si="16"/>
        <v>8523.4033306068468</v>
      </c>
      <c r="T33" s="42">
        <f t="shared" si="16"/>
        <v>8790.8548217830394</v>
      </c>
      <c r="U33" s="42">
        <f t="shared" si="16"/>
        <v>9417.7034267946074</v>
      </c>
      <c r="V33" s="42">
        <f t="shared" si="16"/>
        <v>9166.7882001672424</v>
      </c>
      <c r="W33" s="42">
        <f t="shared" ref="W33:AD33" si="17">SUM(W71,W109,W128,W147,W90)</f>
        <v>8266.593015833043</v>
      </c>
      <c r="X33" s="42">
        <f t="shared" si="17"/>
        <v>7335.8997064425521</v>
      </c>
      <c r="Y33" s="42">
        <f t="shared" si="17"/>
        <v>5559.9348435532302</v>
      </c>
      <c r="Z33" s="42">
        <f t="shared" si="17"/>
        <v>5536.4097418924312</v>
      </c>
      <c r="AA33" s="42">
        <f t="shared" si="17"/>
        <v>6515.1769188017679</v>
      </c>
      <c r="AB33" s="42">
        <f t="shared" si="17"/>
        <v>6307.5531687233988</v>
      </c>
      <c r="AC33" s="42">
        <f t="shared" si="17"/>
        <v>7507.3009141946659</v>
      </c>
      <c r="AD33" s="42">
        <f t="shared" si="17"/>
        <v>8608.3437379429815</v>
      </c>
    </row>
    <row r="34" spans="2:30">
      <c r="C34"/>
      <c r="D34"/>
      <c r="E34"/>
      <c r="F34"/>
      <c r="G34"/>
      <c r="H34"/>
      <c r="I34"/>
      <c r="J34"/>
      <c r="K34"/>
      <c r="L34"/>
      <c r="M34"/>
      <c r="N34"/>
      <c r="O34"/>
      <c r="P34"/>
      <c r="Q34"/>
      <c r="R34"/>
      <c r="S34"/>
      <c r="T34"/>
      <c r="U34"/>
      <c r="V34"/>
      <c r="W34"/>
      <c r="X34"/>
      <c r="Y34"/>
      <c r="Z34"/>
      <c r="AA34"/>
      <c r="AB34"/>
      <c r="AC34"/>
      <c r="AD34"/>
    </row>
    <row r="35" spans="2:30">
      <c r="B35" s="1" t="str">
        <f>+$B$16</f>
        <v>Community/Technical College System</v>
      </c>
      <c r="C35" s="3">
        <f t="shared" ref="C35:AD35" si="18">SUM(C73,C92,C111,C130,C149,C157)</f>
        <v>3077.9167309968607</v>
      </c>
      <c r="D35" s="3">
        <f t="shared" si="18"/>
        <v>3369.8945545310989</v>
      </c>
      <c r="E35" s="3">
        <f t="shared" si="18"/>
        <v>3352.4649818054932</v>
      </c>
      <c r="F35" s="3">
        <f t="shared" si="18"/>
        <v>3494.2169733053533</v>
      </c>
      <c r="G35" s="3">
        <f t="shared" si="18"/>
        <v>3118.1201820377078</v>
      </c>
      <c r="H35" s="3">
        <f t="shared" si="18"/>
        <v>3248.4735383110178</v>
      </c>
      <c r="I35" s="3">
        <f t="shared" si="18"/>
        <v>3091.8954154983658</v>
      </c>
      <c r="J35" s="3">
        <f t="shared" si="18"/>
        <v>3155.8088273883454</v>
      </c>
      <c r="K35" s="3">
        <f t="shared" si="18"/>
        <v>3264.5543091749264</v>
      </c>
      <c r="L35" s="3">
        <f t="shared" si="18"/>
        <v>3546.4117577577917</v>
      </c>
      <c r="M35" s="3">
        <f t="shared" si="18"/>
        <v>3778.6458350272551</v>
      </c>
      <c r="N35" s="3">
        <f t="shared" si="18"/>
        <v>3986.1457011037314</v>
      </c>
      <c r="O35" s="3">
        <f t="shared" si="18"/>
        <v>4116.9316711437295</v>
      </c>
      <c r="P35" s="3">
        <f t="shared" si="18"/>
        <v>4165.833483411584</v>
      </c>
      <c r="Q35" s="3">
        <f t="shared" si="18"/>
        <v>4074.4627617954384</v>
      </c>
      <c r="R35" s="3">
        <f t="shared" si="18"/>
        <v>4135.716440237421</v>
      </c>
      <c r="S35" s="3">
        <f t="shared" si="18"/>
        <v>4487.8888856040639</v>
      </c>
      <c r="T35" s="3">
        <f t="shared" si="18"/>
        <v>4687.6911084189132</v>
      </c>
      <c r="U35" s="3">
        <f t="shared" si="18"/>
        <v>5190.8823877679979</v>
      </c>
      <c r="V35" s="3">
        <f t="shared" si="18"/>
        <v>5157.0317774729419</v>
      </c>
      <c r="W35" s="3">
        <f t="shared" si="18"/>
        <v>4999.371429936009</v>
      </c>
      <c r="X35" s="3">
        <f t="shared" si="18"/>
        <v>4679.3581931686313</v>
      </c>
      <c r="Y35" s="3">
        <f t="shared" si="18"/>
        <v>4258.9864420376762</v>
      </c>
      <c r="Z35" s="3">
        <f t="shared" si="18"/>
        <v>4195.5757536430692</v>
      </c>
      <c r="AA35" s="3">
        <f t="shared" si="18"/>
        <v>4565.7862602612804</v>
      </c>
      <c r="AB35" s="3">
        <f t="shared" si="18"/>
        <v>4486.6424119719568</v>
      </c>
      <c r="AC35" s="3">
        <f t="shared" si="18"/>
        <v>4934.5321363282292</v>
      </c>
      <c r="AD35" s="3">
        <f t="shared" si="18"/>
        <v>5260.7019355806951</v>
      </c>
    </row>
    <row r="36" spans="2:30">
      <c r="B36" s="1" t="str">
        <f>+$B$17</f>
        <v>HEC Board, CHE, SFA, &amp; SAC (1)</v>
      </c>
      <c r="C36" s="3">
        <f t="shared" ref="C36:AD36" si="19">SUM(C74,C112,C131,C150,C158)</f>
        <v>176.40980923826703</v>
      </c>
      <c r="D36" s="3">
        <f t="shared" si="19"/>
        <v>200.12831379196686</v>
      </c>
      <c r="E36" s="3">
        <f t="shared" si="19"/>
        <v>225.59047150993032</v>
      </c>
      <c r="F36" s="3">
        <f t="shared" si="19"/>
        <v>225.19920092619918</v>
      </c>
      <c r="G36" s="3">
        <f t="shared" si="19"/>
        <v>348.53015268011654</v>
      </c>
      <c r="H36" s="3">
        <f t="shared" si="19"/>
        <v>375.19880502063273</v>
      </c>
      <c r="I36" s="3">
        <f t="shared" si="19"/>
        <v>386.1131715587581</v>
      </c>
      <c r="J36" s="3">
        <f t="shared" si="19"/>
        <v>401.64325878758314</v>
      </c>
      <c r="K36" s="3">
        <f t="shared" si="19"/>
        <v>460.94651789149674</v>
      </c>
      <c r="L36" s="3">
        <f t="shared" si="19"/>
        <v>498.72337030240163</v>
      </c>
      <c r="M36" s="3">
        <f t="shared" si="19"/>
        <v>526.09702073113613</v>
      </c>
      <c r="N36" s="3">
        <f t="shared" si="19"/>
        <v>596.80532008417345</v>
      </c>
      <c r="O36" s="3">
        <f t="shared" si="19"/>
        <v>600.47928670594695</v>
      </c>
      <c r="P36" s="3">
        <f t="shared" si="19"/>
        <v>646.94350378433057</v>
      </c>
      <c r="Q36" s="3">
        <f t="shared" si="19"/>
        <v>690.84178636717331</v>
      </c>
      <c r="R36" s="3">
        <f t="shared" si="19"/>
        <v>765.33236315604734</v>
      </c>
      <c r="S36" s="3">
        <f t="shared" si="19"/>
        <v>869.26274586310433</v>
      </c>
      <c r="T36" s="3">
        <f t="shared" si="19"/>
        <v>902.27379345135193</v>
      </c>
      <c r="U36" s="3">
        <f t="shared" si="19"/>
        <v>1017.9956296802618</v>
      </c>
      <c r="V36" s="3">
        <f t="shared" si="19"/>
        <v>1013.3332992205426</v>
      </c>
      <c r="W36" s="3">
        <f t="shared" si="19"/>
        <v>1104.7583306659726</v>
      </c>
      <c r="X36" s="3">
        <f t="shared" si="19"/>
        <v>981.06113906134124</v>
      </c>
      <c r="Y36" s="3">
        <f t="shared" si="19"/>
        <v>1259.6791294196705</v>
      </c>
      <c r="Z36" s="3">
        <f t="shared" si="19"/>
        <v>1401.7375331690675</v>
      </c>
      <c r="AA36" s="3">
        <f t="shared" si="19"/>
        <v>1590.3834462078551</v>
      </c>
      <c r="AB36" s="3">
        <f t="shared" si="19"/>
        <v>1521.312567972207</v>
      </c>
      <c r="AC36" s="3">
        <f t="shared" si="19"/>
        <v>1578.9305213737091</v>
      </c>
      <c r="AD36" s="3">
        <f t="shared" si="19"/>
        <v>1517.7549269836918</v>
      </c>
    </row>
    <row r="37" spans="2:30"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0" ht="13.5" thickTop="1">
      <c r="B38" s="1" t="str">
        <f>+$B$19</f>
        <v>Total Higher Education</v>
      </c>
      <c r="C38" s="39">
        <f t="shared" ref="C38:L38" si="20">SUM(C76,C114,C133)</f>
        <v>4912.4490844153515</v>
      </c>
      <c r="D38" s="39">
        <f t="shared" si="20"/>
        <v>5378.8965013890847</v>
      </c>
      <c r="E38" s="39">
        <f t="shared" si="20"/>
        <v>5287.9014772628716</v>
      </c>
      <c r="F38" s="39">
        <f t="shared" si="20"/>
        <v>5485.4259835191033</v>
      </c>
      <c r="G38" s="39">
        <f t="shared" si="20"/>
        <v>5092.971676414536</v>
      </c>
      <c r="H38" s="39">
        <f t="shared" si="20"/>
        <v>5105.2591987620353</v>
      </c>
      <c r="I38" s="39">
        <f t="shared" si="20"/>
        <v>5092.7095475256965</v>
      </c>
      <c r="J38" s="39">
        <f t="shared" si="20"/>
        <v>5171.6383803630579</v>
      </c>
      <c r="K38" s="39">
        <f t="shared" si="20"/>
        <v>5424.1560519228042</v>
      </c>
      <c r="L38" s="39">
        <f t="shared" si="20"/>
        <v>5661.4487752333835</v>
      </c>
      <c r="M38" s="39">
        <f t="shared" ref="M38:T38" si="21">SUM(M76,M95,M114,M133,M157,M158)</f>
        <v>6022.6933719525732</v>
      </c>
      <c r="N38" s="39">
        <f t="shared" si="21"/>
        <v>6335.1150256690498</v>
      </c>
      <c r="O38" s="39">
        <f t="shared" si="21"/>
        <v>6500.5781439374059</v>
      </c>
      <c r="P38" s="39">
        <f t="shared" si="21"/>
        <v>6407.2990618325903</v>
      </c>
      <c r="Q38" s="39">
        <f t="shared" si="21"/>
        <v>6292.681476202084</v>
      </c>
      <c r="R38" s="39">
        <f t="shared" si="21"/>
        <v>6503.3313529677989</v>
      </c>
      <c r="S38" s="39">
        <f t="shared" si="21"/>
        <v>6965.5974139348564</v>
      </c>
      <c r="T38" s="39">
        <f t="shared" si="21"/>
        <v>7222.2843070673298</v>
      </c>
      <c r="U38" s="39">
        <f>SUM(U76,U114,U133,U152)</f>
        <v>7931.0893378408973</v>
      </c>
      <c r="V38" s="39">
        <f>SUM(V76,V114,V133,V152)</f>
        <v>7803.4087789210189</v>
      </c>
      <c r="W38" s="39">
        <f>SUM(W76,W114,W133,W152,W95)</f>
        <v>7398.29328497387</v>
      </c>
      <c r="X38" s="39">
        <f>SUM(X76,X114,X133,X152,X95,X158,X157)</f>
        <v>6757.4951637963586</v>
      </c>
      <c r="Y38" s="39">
        <f>SUM(Y76,Y114,Y133,Y152,Y95)</f>
        <v>5722.7079466193391</v>
      </c>
      <c r="Z38" s="39">
        <f>SUM(Z76,Z114,Z133,Z152,Z95,Z158,Z157)</f>
        <v>6133.9322101798889</v>
      </c>
      <c r="AA38" s="39">
        <f>SUM(AA76,AA114,AA133,AA152,AA95)</f>
        <v>6647.4384883906023</v>
      </c>
      <c r="AB38" s="39">
        <f>SUM(AB76,AB114,AB133,AB152,AB95,AB158,AB157)</f>
        <v>6737.3926044696536</v>
      </c>
      <c r="AC38" s="39">
        <f>SUM(AC76,AC114,AC133,AC152,AC95)</f>
        <v>7136.8702831550581</v>
      </c>
      <c r="AD38" s="39">
        <f>SUM(AD76,AD114,AD133,AD152,AD95,AD158,AD157)</f>
        <v>8119.4868251935177</v>
      </c>
    </row>
    <row r="39" spans="2:30">
      <c r="B39" s="199" t="str">
        <f>+$B$20</f>
        <v>[biennial annual average]</v>
      </c>
      <c r="C39" s="3"/>
      <c r="D39" s="3">
        <f>AVERAGE(C38:D38)</f>
        <v>5145.6727929022181</v>
      </c>
      <c r="E39" s="3"/>
      <c r="F39" s="3">
        <f>AVERAGE(E38:F38)</f>
        <v>5386.6637303909874</v>
      </c>
      <c r="G39" s="3"/>
      <c r="H39" s="3">
        <f>AVERAGE(G38:H38)</f>
        <v>5099.1154375882852</v>
      </c>
      <c r="I39" s="3"/>
      <c r="J39" s="3">
        <f>AVERAGE(I38:J38)</f>
        <v>5132.1739639443767</v>
      </c>
      <c r="K39" s="3"/>
      <c r="L39" s="3">
        <f>AVERAGE(K38:L38)</f>
        <v>5542.8024135780943</v>
      </c>
      <c r="M39" s="3"/>
      <c r="N39" s="3">
        <f>AVERAGE(M38:N38)</f>
        <v>6178.9041988108111</v>
      </c>
      <c r="O39" s="3"/>
      <c r="P39" s="3">
        <f>AVERAGE(O38:P38)</f>
        <v>6453.9386028849985</v>
      </c>
      <c r="Q39" s="3"/>
      <c r="R39" s="3">
        <f>AVERAGE(Q38:R38)</f>
        <v>6398.006414584941</v>
      </c>
      <c r="S39" s="3"/>
      <c r="T39" s="3">
        <f>AVERAGE(S38:T38)</f>
        <v>7093.9408605010931</v>
      </c>
      <c r="U39" s="3"/>
      <c r="V39" s="3">
        <f>AVERAGE(U38:V38)</f>
        <v>7867.2490583809576</v>
      </c>
      <c r="W39" s="3"/>
      <c r="X39" s="3">
        <f>AVERAGE(W38:X38)</f>
        <v>7077.8942243851143</v>
      </c>
      <c r="Y39" s="3"/>
      <c r="Z39" s="3">
        <f>AVERAGE(Y38:Z38)</f>
        <v>5928.3200783996144</v>
      </c>
      <c r="AA39" s="3"/>
      <c r="AB39" s="3">
        <f>AVERAGE(AA38:AB38)</f>
        <v>6692.4155464301275</v>
      </c>
      <c r="AC39" s="3"/>
      <c r="AD39" s="3">
        <f>AVERAGE(AC38:AD38)</f>
        <v>7628.1785541742884</v>
      </c>
    </row>
    <row r="40" spans="2:30">
      <c r="D40" s="3"/>
      <c r="E40" s="3"/>
      <c r="F40" s="3"/>
      <c r="G40" s="3"/>
      <c r="H40" s="3"/>
      <c r="I40" s="3"/>
      <c r="J40" s="3"/>
      <c r="K40" s="3"/>
      <c r="L40" s="3"/>
      <c r="M40" s="3"/>
      <c r="N40" s="3"/>
      <c r="O40" s="3"/>
      <c r="P40" s="3"/>
      <c r="Q40" s="3"/>
      <c r="R40" s="3"/>
      <c r="S40" s="3"/>
      <c r="T40" s="3"/>
      <c r="U40" s="3"/>
      <c r="V40" s="3"/>
    </row>
    <row r="41" spans="2:30" ht="14.25">
      <c r="B41" s="2447"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row>
    <row r="42" spans="2:30">
      <c r="B42" s="377" t="str">
        <f>+$B$4</f>
        <v>(Dollars Per Budgeted State-Funded FTE Enrollment)</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2:30">
      <c r="I43" s="13"/>
      <c r="J43" s="13"/>
      <c r="K43" s="13"/>
      <c r="L43" s="13"/>
      <c r="M43" s="13"/>
      <c r="N43" s="13"/>
      <c r="O43" s="13"/>
      <c r="P43" s="13"/>
      <c r="Q43"/>
      <c r="R43" s="13"/>
      <c r="S43"/>
      <c r="T43"/>
      <c r="U43" s="2"/>
      <c r="V43" s="2"/>
      <c r="W43" s="2"/>
      <c r="X43" s="2"/>
      <c r="Y43" s="2"/>
      <c r="Z43" s="2"/>
      <c r="AA43" s="2"/>
      <c r="AB43" s="2"/>
      <c r="AC43" s="5" t="str">
        <f>TRIM(OperatingFunds!AC43)</f>
        <v/>
      </c>
      <c r="AD43" s="2" t="str">
        <f>TRIM(OperatingFunds!AD43)</f>
        <v/>
      </c>
    </row>
    <row r="44" spans="2:30">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+OperatingFunds!U44</f>
        <v>FY2008</v>
      </c>
      <c r="V44" s="2" t="str">
        <f>+OperatingFunds!V44</f>
        <v>FY2009</v>
      </c>
      <c r="W44" s="2" t="str">
        <f>+OperatingFunds!W44</f>
        <v>FY2010</v>
      </c>
      <c r="X44" s="2" t="str">
        <f>+OperatingFunds!X44</f>
        <v>FY2011</v>
      </c>
      <c r="Y44" s="2" t="str">
        <f>+OperatingFunds!Y44</f>
        <v>FY2012</v>
      </c>
      <c r="Z44" s="2" t="str">
        <f>+OperatingFunds!Z44</f>
        <v>FY2013</v>
      </c>
      <c r="AA44" s="2" t="str">
        <f>+OperatingFunds!AA44</f>
        <v>FY2014</v>
      </c>
      <c r="AB44" s="2" t="str">
        <f>+OperatingFunds!AB44</f>
        <v>FY2015</v>
      </c>
      <c r="AC44" s="2" t="str">
        <f>+OperatingFunds!AC44</f>
        <v>FY2016</v>
      </c>
      <c r="AD44" s="2" t="str">
        <f>+OperatingFunds!AD44</f>
        <v>FY2017</v>
      </c>
    </row>
    <row r="46" spans="2:30">
      <c r="B46" s="1" t="str">
        <f>+$B$8</f>
        <v>University of Washington</v>
      </c>
      <c r="C46" s="3">
        <f>+OperatingFunds!C46*1000/Enrollment!B$78</f>
        <v>1839.2542372881355</v>
      </c>
      <c r="D46" s="3">
        <f>+OperatingFunds!D46*1000/Enrollment!C$78</f>
        <v>1974.9342105263158</v>
      </c>
      <c r="E46" s="3">
        <f>+OperatingFunds!E46*1000/Enrollment!D$78</f>
        <v>2251.0484927916123</v>
      </c>
      <c r="F46" s="3">
        <f>+OperatingFunds!F46*1000/Enrollment!E$78</f>
        <v>2313.3718289755402</v>
      </c>
      <c r="G46" s="3">
        <f>+OperatingFunds!G46*1000/Enrollment!F$78</f>
        <v>2393.3577674897119</v>
      </c>
      <c r="H46" s="3">
        <f>+OperatingFunds!H46*1000/Enrollment!G$78</f>
        <v>3177.9482262703741</v>
      </c>
      <c r="I46" s="3">
        <f>+OperatingFunds!I46*1000/Enrollment!H$78</f>
        <v>3005.8955909854512</v>
      </c>
      <c r="J46" s="3">
        <f>+OperatingFunds!J46*1000/Enrollment!I$78</f>
        <v>3107.3406349987695</v>
      </c>
      <c r="K46" s="3">
        <f>+OperatingFunds!K46*1000/Enrollment!J$78</f>
        <v>3146.5111333880131</v>
      </c>
      <c r="L46" s="3">
        <f>+OperatingFunds!L46*1000/Enrollment!K$78</f>
        <v>3930.0592565990305</v>
      </c>
      <c r="M46" s="3">
        <f>+OperatingFunds!M46*1000/Enrollment!L$78</f>
        <v>3748.1771943164135</v>
      </c>
      <c r="N46" s="3">
        <f>+OperatingFunds!N46*1000/Enrollment!M$78</f>
        <v>3837.979721805812</v>
      </c>
      <c r="O46" s="3">
        <f>+OperatingFunds!O46*1000/Enrollment!N$78</f>
        <v>4349.9646639862149</v>
      </c>
      <c r="P46" s="3">
        <f>+OperatingFunds!P46*1000/Enrollment!O$78</f>
        <v>4942.6123342627898</v>
      </c>
      <c r="Q46" s="3">
        <f>+OperatingFunds!Q46*1000/Enrollment!P$78</f>
        <v>5073.0782951089886</v>
      </c>
      <c r="R46" s="3">
        <f>+OperatingFunds!R46*1000/Enrollment!Q$78</f>
        <v>5813.1473750911236</v>
      </c>
      <c r="S46" s="3">
        <f>+OperatingFunds!S46*1000/Enrollment!R$78</f>
        <v>5905.8179695177814</v>
      </c>
      <c r="T46" s="3">
        <f>+OperatingFunds!T46*1000/Enrollment!S$78</f>
        <v>6814.5827235153356</v>
      </c>
      <c r="U46" s="3">
        <f>+OperatingFunds!U46*1000/Enrollment!T$78</f>
        <v>7169.2915739289792</v>
      </c>
      <c r="V46" s="3">
        <f>+OperatingFunds!V46*1000/Enrollment!U$78</f>
        <v>7645.3128777968132</v>
      </c>
      <c r="W46" s="3">
        <f>+OperatingFunds!W46*1000/Enrollment!V$78</f>
        <v>8136.8342261807038</v>
      </c>
      <c r="X46" s="3">
        <f>+OperatingFunds!X46*1000/Enrollment!W$78</f>
        <v>11291.280225230073</v>
      </c>
      <c r="Y46" s="3">
        <f>+OperatingFunds!Y46*1000/Enrollment!X$78</f>
        <v>12199.381639847155</v>
      </c>
      <c r="Z46" s="3">
        <f>+OperatingFunds!Z46*1000/Enrollment!Y$78</f>
        <v>14358.236937732092</v>
      </c>
      <c r="AA46" s="3">
        <f>+OperatingFunds!AA46*1000/Enrollment!Z$78</f>
        <v>13023.806280340134</v>
      </c>
      <c r="AB46" s="3">
        <f>+OperatingFunds!AB46*1000/Enrollment!AA$78</f>
        <v>16226.477877401647</v>
      </c>
      <c r="AC46" s="3">
        <f>+OperatingFunds!AC46*1000/Enrollment!AB$78</f>
        <v>15079.33699424143</v>
      </c>
      <c r="AD46" s="3">
        <f>+OperatingFunds!AD46*1000/Enrollment!AC$78</f>
        <v>16223.366720036594</v>
      </c>
    </row>
    <row r="47" spans="2:30">
      <c r="B47" s="1" t="str">
        <f>+$B$9</f>
        <v>Washington State University</v>
      </c>
      <c r="C47" s="3">
        <f>+OperatingFunds!C47*1000/Enrollment!B$83</f>
        <v>1640.8165767533105</v>
      </c>
      <c r="D47" s="3">
        <f>+OperatingFunds!D47*1000/Enrollment!C$83</f>
        <v>1695.103452460409</v>
      </c>
      <c r="E47" s="3">
        <f>+OperatingFunds!E47*1000/Enrollment!D$83</f>
        <v>1942.3422344629387</v>
      </c>
      <c r="F47" s="3">
        <f>+OperatingFunds!F47*1000/Enrollment!E$83</f>
        <v>2066.0951817913096</v>
      </c>
      <c r="G47" s="3">
        <f>+OperatingFunds!G47*1000/Enrollment!F$83</f>
        <v>2398.1363583748121</v>
      </c>
      <c r="H47" s="3">
        <f>+OperatingFunds!H47*1000/Enrollment!G$83</f>
        <v>2896.3260619977036</v>
      </c>
      <c r="I47" s="3">
        <f>+OperatingFunds!I47*1000/Enrollment!H$83</f>
        <v>2845.9126539753638</v>
      </c>
      <c r="J47" s="3">
        <f>+OperatingFunds!J47*1000/Enrollment!I$83</f>
        <v>2825.6264531128909</v>
      </c>
      <c r="K47" s="3">
        <f>+OperatingFunds!K47*1000/Enrollment!J$83</f>
        <v>2869.5540087651457</v>
      </c>
      <c r="L47" s="3">
        <f>+OperatingFunds!L47*1000/Enrollment!K$83</f>
        <v>2937.1469651843486</v>
      </c>
      <c r="M47" s="3">
        <f>+OperatingFunds!M47*1000/Enrollment!L$83</f>
        <v>3193.8031096474651</v>
      </c>
      <c r="N47" s="3">
        <f>+OperatingFunds!N47*1000/Enrollment!M$83</f>
        <v>3021.0701383856681</v>
      </c>
      <c r="O47" s="3">
        <f>+OperatingFunds!O47*1000/Enrollment!N$83</f>
        <v>3362.7965252938179</v>
      </c>
      <c r="P47" s="3">
        <f>+OperatingFunds!P47*1000/Enrollment!O$83</f>
        <v>4017.1369483091298</v>
      </c>
      <c r="Q47" s="3">
        <f>+OperatingFunds!Q47*1000/Enrollment!P$83</f>
        <v>4310.9530889894422</v>
      </c>
      <c r="R47" s="3">
        <f>+OperatingFunds!R47*1000/Enrollment!Q$83</f>
        <v>4725.9920031398715</v>
      </c>
      <c r="S47" s="3">
        <f>+OperatingFunds!S47*1000/Enrollment!R$83</f>
        <v>4936.8673031486569</v>
      </c>
      <c r="T47" s="3">
        <f>+OperatingFunds!T47*1000/Enrollment!S$83</f>
        <v>5100.3620560747668</v>
      </c>
      <c r="U47" s="3">
        <f>+OperatingFunds!U47*1000/Enrollment!T$83</f>
        <v>5460.336176605505</v>
      </c>
      <c r="V47" s="3">
        <f>+OperatingFunds!V47*1000/Enrollment!U$83</f>
        <v>5955.932616629214</v>
      </c>
      <c r="W47" s="3">
        <f>+OperatingFunds!W47*1000/Enrollment!V$83</f>
        <v>6617.2578826966283</v>
      </c>
      <c r="X47" s="3">
        <f>+OperatingFunds!X47*1000/Enrollment!W$83</f>
        <v>7098.7290804494378</v>
      </c>
      <c r="Y47" s="3">
        <f>+OperatingFunds!Y47*1000/Enrollment!X$83</f>
        <v>9418.825268580169</v>
      </c>
      <c r="Z47" s="3">
        <f>+OperatingFunds!Z47*1000/Enrollment!Y$83</f>
        <v>10358.695546157998</v>
      </c>
      <c r="AA47" s="3">
        <f>+OperatingFunds!AA47*1000/Enrollment!Z$83</f>
        <v>10773.915440435487</v>
      </c>
      <c r="AB47" s="3">
        <f>+OperatingFunds!AB47*1000/Enrollment!AA$83</f>
        <v>11253.716549826959</v>
      </c>
      <c r="AC47" s="3">
        <f>+OperatingFunds!AC47*1000/Enrollment!AB$83</f>
        <v>11836.875713461708</v>
      </c>
      <c r="AD47" s="3">
        <f>+OperatingFunds!AD47*1000/Enrollment!AC$83</f>
        <v>9992.113053509629</v>
      </c>
    </row>
    <row r="48" spans="2:30">
      <c r="B48" s="1" t="str">
        <f>+$B$10</f>
        <v>Eastern Washington University</v>
      </c>
      <c r="C48" s="3">
        <f>+OperatingFunds!C48*1000/Enrollment!B$91</f>
        <v>1380.4843304843305</v>
      </c>
      <c r="D48" s="3">
        <f>+OperatingFunds!D48*1000/Enrollment!C$91</f>
        <v>1525.4985754985755</v>
      </c>
      <c r="E48" s="3">
        <f>+OperatingFunds!E48*1000/Enrollment!D$91</f>
        <v>1594.1061996107867</v>
      </c>
      <c r="F48" s="3">
        <f>+OperatingFunds!F48*1000/Enrollment!E$91</f>
        <v>1691.5038002171552</v>
      </c>
      <c r="G48" s="3">
        <f>+OperatingFunds!G48*1000/Enrollment!F$91</f>
        <v>1925.2927715708709</v>
      </c>
      <c r="H48" s="3">
        <f>+OperatingFunds!H48*1000/Enrollment!G$91</f>
        <v>2170.7381486861218</v>
      </c>
      <c r="I48" s="3">
        <f>+OperatingFunds!I48*1000/Enrollment!H$91</f>
        <v>2044.4096133751307</v>
      </c>
      <c r="J48" s="3">
        <f>+OperatingFunds!J48*1000/Enrollment!I$91</f>
        <v>2027.6038338658147</v>
      </c>
      <c r="K48" s="3">
        <f>+OperatingFunds!K48*1000/Enrollment!J$91</f>
        <v>1958.9094198216824</v>
      </c>
      <c r="L48" s="3">
        <f>+OperatingFunds!L48*1000/Enrollment!K$91</f>
        <v>2138.0023258818969</v>
      </c>
      <c r="M48" s="3">
        <f>+OperatingFunds!M48*1000/Enrollment!L$91</f>
        <v>2290.5987479002456</v>
      </c>
      <c r="N48" s="3">
        <f>+OperatingFunds!N48*1000/Enrollment!M$91</f>
        <v>2537.0485350966428</v>
      </c>
      <c r="O48" s="3">
        <f>+OperatingFunds!O48*1000/Enrollment!N$91</f>
        <v>2399.6041031135765</v>
      </c>
      <c r="P48" s="3">
        <f>+OperatingFunds!P48*1000/Enrollment!O$91</f>
        <v>2833.5268379693152</v>
      </c>
      <c r="Q48" s="3">
        <f>+OperatingFunds!Q48*1000/Enrollment!P$91</f>
        <v>3221.7424024539873</v>
      </c>
      <c r="R48" s="3">
        <f>+OperatingFunds!R48*1000/Enrollment!Q$91</f>
        <v>3743.3034937719194</v>
      </c>
      <c r="S48" s="3">
        <f>+OperatingFunds!S48*1000/Enrollment!R$91</f>
        <v>3438.6514232514837</v>
      </c>
      <c r="T48" s="3">
        <f>+OperatingFunds!T48*1000/Enrollment!S$91</f>
        <v>3755.9358171249719</v>
      </c>
      <c r="U48" s="3">
        <f>+OperatingFunds!U48*1000/Enrollment!T$91</f>
        <v>3971.9651800800352</v>
      </c>
      <c r="V48" s="3">
        <f>+OperatingFunds!V48*1000/Enrollment!U$91</f>
        <v>4016.806179224739</v>
      </c>
      <c r="W48" s="3">
        <f>+OperatingFunds!W48*1000/Enrollment!V$91</f>
        <v>4927.9520455349775</v>
      </c>
      <c r="X48" s="3">
        <f>+OperatingFunds!X48*1000/Enrollment!W$91</f>
        <v>5005.6123826425464</v>
      </c>
      <c r="Y48" s="3">
        <f>+OperatingFunds!Y48*1000/Enrollment!X$91</f>
        <v>6303.2898465765975</v>
      </c>
      <c r="Z48" s="3">
        <f>+OperatingFunds!Z48*1000/Enrollment!Y$91</f>
        <v>6726.8403640943443</v>
      </c>
      <c r="AA48" s="3">
        <f>+OperatingFunds!AA48*1000/Enrollment!Z$91</f>
        <v>7029.2819235172892</v>
      </c>
      <c r="AB48" s="3">
        <f>+OperatingFunds!AB48*1000/Enrollment!AA$91</f>
        <v>7853.4174215708726</v>
      </c>
      <c r="AC48" s="3">
        <f>+OperatingFunds!AC48*1000/Enrollment!AB$91</f>
        <v>7605.3119658804671</v>
      </c>
      <c r="AD48" s="3">
        <f>+OperatingFunds!AD48*1000/Enrollment!AC$91</f>
        <v>6678.5668616899475</v>
      </c>
    </row>
    <row r="49" spans="2:30">
      <c r="B49" s="1" t="str">
        <f>+$B$11</f>
        <v>Central Washington University</v>
      </c>
      <c r="C49" s="3">
        <f>+OperatingFunds!C49*1000/Enrollment!B$92</f>
        <v>1304.152076038019</v>
      </c>
      <c r="D49" s="3">
        <f>+OperatingFunds!D49*1000/Enrollment!C$92</f>
        <v>1410.016420361248</v>
      </c>
      <c r="E49" s="3">
        <f>+OperatingFunds!E49*1000/Enrollment!D$92</f>
        <v>1424.5614035087719</v>
      </c>
      <c r="F49" s="3">
        <f>+OperatingFunds!F49*1000/Enrollment!E$92</f>
        <v>1503.6428460703767</v>
      </c>
      <c r="G49" s="3">
        <f>+OperatingFunds!G49*1000/Enrollment!F$92</f>
        <v>1754.4254425442543</v>
      </c>
      <c r="H49" s="3">
        <f>+OperatingFunds!H49*1000/Enrollment!G$92</f>
        <v>2071.8061674008809</v>
      </c>
      <c r="I49" s="3">
        <f>+OperatingFunds!I49*1000/Enrollment!H$92</f>
        <v>2210.9227871939738</v>
      </c>
      <c r="J49" s="3">
        <f>+OperatingFunds!J49*1000/Enrollment!I$92</f>
        <v>1966.9239250275634</v>
      </c>
      <c r="K49" s="3">
        <f>+OperatingFunds!K49*1000/Enrollment!J$92</f>
        <v>2297.9852981214267</v>
      </c>
      <c r="L49" s="3">
        <f>+OperatingFunds!L49*1000/Enrollment!K$92</f>
        <v>2296.8036529680367</v>
      </c>
      <c r="M49" s="3">
        <f>+OperatingFunds!M49*1000/Enrollment!L$92</f>
        <v>2152.1263415906128</v>
      </c>
      <c r="N49" s="3">
        <f>+OperatingFunds!N49*1000/Enrollment!M$92</f>
        <v>2190.2054722257531</v>
      </c>
      <c r="O49" s="3">
        <f>+OperatingFunds!O49*1000/Enrollment!N$92</f>
        <v>2383.1214912985274</v>
      </c>
      <c r="P49" s="3">
        <f>+OperatingFunds!P49*1000/Enrollment!O$92</f>
        <v>3202.5519183400265</v>
      </c>
      <c r="Q49" s="3">
        <f>+OperatingFunds!Q49*1000/Enrollment!P$92</f>
        <v>3395.7303495966194</v>
      </c>
      <c r="R49" s="3">
        <f>+OperatingFunds!R49*1000/Enrollment!Q$92</f>
        <v>3462.8864695586949</v>
      </c>
      <c r="S49" s="3">
        <f>+OperatingFunds!S49*1000/Enrollment!R$92</f>
        <v>3474.1220413312508</v>
      </c>
      <c r="T49" s="3">
        <f>+OperatingFunds!T49*1000/Enrollment!S$92</f>
        <v>3453.7097986654394</v>
      </c>
      <c r="U49" s="3">
        <f>+OperatingFunds!U49*1000/Enrollment!T$92</f>
        <v>3752.7077781501343</v>
      </c>
      <c r="V49" s="3">
        <f>+OperatingFunds!V49*1000/Enrollment!U$92</f>
        <v>3989.4402220553529</v>
      </c>
      <c r="W49" s="3">
        <f>+OperatingFunds!W49*1000/Enrollment!V$92</f>
        <v>5324.8744042980279</v>
      </c>
      <c r="X49" s="3">
        <f>+OperatingFunds!X49*1000/Enrollment!W$92</f>
        <v>5180.5376805177111</v>
      </c>
      <c r="Y49" s="3">
        <f>+OperatingFunds!Y49*1000/Enrollment!X$92</f>
        <v>6538.5824250681198</v>
      </c>
      <c r="Z49" s="3">
        <f>+OperatingFunds!Z49*1000/Enrollment!Y$92</f>
        <v>6714.3806709809269</v>
      </c>
      <c r="AA49" s="3">
        <f>+OperatingFunds!AA49*1000/Enrollment!Z$92</f>
        <v>7138.9138868753425</v>
      </c>
      <c r="AB49" s="3">
        <f>+OperatingFunds!AB49*1000/Enrollment!AA$92</f>
        <v>6835.640453596925</v>
      </c>
      <c r="AC49" s="3">
        <f>+OperatingFunds!AC49*1000/Enrollment!AB$92</f>
        <v>6655.6901658429433</v>
      </c>
      <c r="AD49" s="3">
        <f>+OperatingFunds!AD49*1000/Enrollment!AC$92</f>
        <v>6442.0859549697971</v>
      </c>
    </row>
    <row r="50" spans="2:30">
      <c r="B50" s="1" t="str">
        <f>+$B$12</f>
        <v>The Evergreen State College</v>
      </c>
      <c r="C50" s="3">
        <f>+OperatingFunds!C50*1000/Enrollment!B$93</f>
        <v>1665.6666666666667</v>
      </c>
      <c r="D50" s="3">
        <f>+OperatingFunds!D50*1000/Enrollment!C$93</f>
        <v>1830.6451612903227</v>
      </c>
      <c r="E50" s="3">
        <f>+OperatingFunds!E50*1000/Enrollment!D$93</f>
        <v>2155.4635234151006</v>
      </c>
      <c r="F50" s="3">
        <f>+OperatingFunds!F50*1000/Enrollment!E$93</f>
        <v>2160.79295154185</v>
      </c>
      <c r="G50" s="3">
        <f>+OperatingFunds!G50*1000/Enrollment!F$93</f>
        <v>2511.4693118412897</v>
      </c>
      <c r="H50" s="3">
        <f>+OperatingFunds!H50*1000/Enrollment!G$93</f>
        <v>3149.1712707182319</v>
      </c>
      <c r="I50" s="3">
        <f>+OperatingFunds!I50*1000/Enrollment!H$93</f>
        <v>2904.514948139109</v>
      </c>
      <c r="J50" s="3">
        <f>+OperatingFunds!J50*1000/Enrollment!I$93</f>
        <v>3428.6553141514974</v>
      </c>
      <c r="K50" s="3">
        <f>+OperatingFunds!K50*1000/Enrollment!J$93</f>
        <v>2994.8512585812359</v>
      </c>
      <c r="L50" s="3">
        <f>+OperatingFunds!L50*1000/Enrollment!K$93</f>
        <v>3544.1834451901568</v>
      </c>
      <c r="M50" s="3">
        <f>+OperatingFunds!M50*1000/Enrollment!L$93</f>
        <v>3928.3145464540958</v>
      </c>
      <c r="N50" s="3">
        <f>+OperatingFunds!N50*1000/Enrollment!M$93</f>
        <v>3894.5596471855642</v>
      </c>
      <c r="O50" s="3">
        <f>+OperatingFunds!O50*1000/Enrollment!N$93</f>
        <v>3781.0826744805545</v>
      </c>
      <c r="P50" s="3">
        <f>+OperatingFunds!P50*1000/Enrollment!O$93</f>
        <v>4092.445373990096</v>
      </c>
      <c r="Q50" s="3">
        <f>+OperatingFunds!Q50*1000/Enrollment!P$93</f>
        <v>3429.1422164815294</v>
      </c>
      <c r="R50" s="3">
        <f>+OperatingFunds!R50*1000/Enrollment!Q$93</f>
        <v>6292.5460488176959</v>
      </c>
      <c r="S50" s="3">
        <f>+OperatingFunds!S50*1000/Enrollment!R$93</f>
        <v>4947.6269861317487</v>
      </c>
      <c r="T50" s="3">
        <f>+OperatingFunds!T50*1000/Enrollment!S$93</f>
        <v>4999.5339464156414</v>
      </c>
      <c r="U50" s="3">
        <f>+OperatingFunds!U50*1000/Enrollment!T$93</f>
        <v>4896.8966818727495</v>
      </c>
      <c r="V50" s="3">
        <f>+OperatingFunds!V50*1000/Enrollment!U$93</f>
        <v>5812.2834369807733</v>
      </c>
      <c r="W50" s="3">
        <f>+OperatingFunds!W50*1000/Enrollment!V$93</f>
        <v>6209.9646142891042</v>
      </c>
      <c r="X50" s="3">
        <f>+OperatingFunds!X50*1000/Enrollment!W$93</f>
        <v>7125.6418656539281</v>
      </c>
      <c r="Y50" s="3">
        <f>+OperatingFunds!Y50*1000/Enrollment!X$93</f>
        <v>7962.141730358414</v>
      </c>
      <c r="Z50" s="3">
        <f>+OperatingFunds!Z50*1000/Enrollment!Y$93</f>
        <v>8031.6799501542846</v>
      </c>
      <c r="AA50" s="3">
        <f>+OperatingFunds!AA50*1000/Enrollment!Z$93</f>
        <v>7792.5059553762167</v>
      </c>
      <c r="AB50" s="3">
        <f>+OperatingFunds!AB50*1000/Enrollment!AA$93</f>
        <v>7627.9457037740331</v>
      </c>
      <c r="AC50" s="3">
        <f>+OperatingFunds!AC50*1000/Enrollment!AB$93</f>
        <v>9835.4894588179432</v>
      </c>
      <c r="AD50" s="3">
        <f>+OperatingFunds!AD50*1000/Enrollment!AC$93</f>
        <v>7391.960178020413</v>
      </c>
    </row>
    <row r="51" spans="2:30">
      <c r="B51" s="1" t="str">
        <f>+$B$13</f>
        <v>Western Washington University</v>
      </c>
      <c r="C51" s="3">
        <f>+OperatingFunds!C51*1000/Enrollment!B$94</f>
        <v>1238.4615384615386</v>
      </c>
      <c r="D51" s="3">
        <f>+OperatingFunds!D51*1000/Enrollment!C$94</f>
        <v>1350.057803468208</v>
      </c>
      <c r="E51" s="3">
        <f>+OperatingFunds!E51*1000/Enrollment!D$94</f>
        <v>1453.9376770538245</v>
      </c>
      <c r="F51" s="3">
        <f>+OperatingFunds!F51*1000/Enrollment!E$94</f>
        <v>1530.5737432027522</v>
      </c>
      <c r="G51" s="3">
        <f>+OperatingFunds!G51*1000/Enrollment!F$94</f>
        <v>1657.1335716607084</v>
      </c>
      <c r="H51" s="3">
        <f>+OperatingFunds!H51*1000/Enrollment!G$94</f>
        <v>2135.2533333333336</v>
      </c>
      <c r="I51" s="3">
        <f>+OperatingFunds!I51*1000/Enrollment!H$94</f>
        <v>1952.1455616323096</v>
      </c>
      <c r="J51" s="3">
        <f>+OperatingFunds!J51*1000/Enrollment!I$94</f>
        <v>1965.8153632117658</v>
      </c>
      <c r="K51" s="3">
        <f>+OperatingFunds!K51*1000/Enrollment!J$94</f>
        <v>2127.8055473880231</v>
      </c>
      <c r="L51" s="3">
        <f>+OperatingFunds!L51*1000/Enrollment!K$94</f>
        <v>2374.1910557326378</v>
      </c>
      <c r="M51" s="3">
        <f>+OperatingFunds!M51*1000/Enrollment!L$94</f>
        <v>2520.2031902932631</v>
      </c>
      <c r="N51" s="3">
        <f>+OperatingFunds!N51*1000/Enrollment!M$94</f>
        <v>2656.2909188093263</v>
      </c>
      <c r="O51" s="3">
        <f>+OperatingFunds!O51*1000/Enrollment!N$94</f>
        <v>2719.1749717565599</v>
      </c>
      <c r="P51" s="3">
        <f>+OperatingFunds!P51*1000/Enrollment!O$94</f>
        <v>3110.6871427287433</v>
      </c>
      <c r="Q51" s="3">
        <f>+OperatingFunds!Q51*1000/Enrollment!P$94</f>
        <v>3419.623924568582</v>
      </c>
      <c r="R51" s="3">
        <f>+OperatingFunds!R51*1000/Enrollment!Q$94</f>
        <v>3522.1004258495041</v>
      </c>
      <c r="S51" s="3">
        <f>+OperatingFunds!S51*1000/Enrollment!R$94</f>
        <v>3636.6892066932551</v>
      </c>
      <c r="T51" s="3">
        <f>+OperatingFunds!T51*1000/Enrollment!S$94</f>
        <v>3892.2911944752323</v>
      </c>
      <c r="U51" s="3">
        <f>+OperatingFunds!U51*1000/Enrollment!T$94</f>
        <v>4082.376271003161</v>
      </c>
      <c r="V51" s="3">
        <f>+OperatingFunds!V51*1000/Enrollment!U$94</f>
        <v>4239.2515556468179</v>
      </c>
      <c r="W51" s="3">
        <f>+OperatingFunds!W51*1000/Enrollment!V$94</f>
        <v>5932.3979504088629</v>
      </c>
      <c r="X51" s="3">
        <f>+OperatingFunds!X51*1000/Enrollment!W$94</f>
        <v>5752.6703808876036</v>
      </c>
      <c r="Y51" s="3">
        <f>+OperatingFunds!Y51*1000/Enrollment!X$94</f>
        <v>6688.6491625573881</v>
      </c>
      <c r="Z51" s="3">
        <f>+OperatingFunds!Z51*1000/Enrollment!Y$94</f>
        <v>7134.9583310661465</v>
      </c>
      <c r="AA51" s="3">
        <f>+OperatingFunds!AA51*1000/Enrollment!Z$94</f>
        <v>7184.5062820948815</v>
      </c>
      <c r="AB51" s="3">
        <f>+OperatingFunds!AB51*1000/Enrollment!AA$94</f>
        <v>7725.6885988777412</v>
      </c>
      <c r="AC51" s="3">
        <f>+OperatingFunds!AC51*1000/Enrollment!AB$94</f>
        <v>7504.5057439211023</v>
      </c>
      <c r="AD51" s="3">
        <f>+OperatingFunds!AD51*1000/Enrollment!AC$94</f>
        <v>7370.1593223941509</v>
      </c>
    </row>
    <row r="52" spans="2:30">
      <c r="B52" s="199" t="str">
        <f>+$B$14</f>
        <v>Total Four-Year Institutions</v>
      </c>
      <c r="C52" s="42">
        <f>+OperatingFunds!C52*1000/Enrollment!B$101</f>
        <v>1622.0634898049204</v>
      </c>
      <c r="D52" s="42">
        <f>+OperatingFunds!D52*1000/Enrollment!C$101</f>
        <v>1737.1377594402086</v>
      </c>
      <c r="E52" s="42">
        <f>+OperatingFunds!E52*1000/Enrollment!D$101</f>
        <v>1942.7391603578803</v>
      </c>
      <c r="F52" s="42">
        <f>+OperatingFunds!F52*1000/Enrollment!E$101</f>
        <v>2021.4782573323027</v>
      </c>
      <c r="G52" s="42">
        <f>+OperatingFunds!G52*1000/Enrollment!F$101</f>
        <v>2205.60760135586</v>
      </c>
      <c r="H52" s="42">
        <f>+OperatingFunds!H52*1000/Enrollment!G$101</f>
        <v>2782.6374032696826</v>
      </c>
      <c r="I52" s="42">
        <f>+OperatingFunds!I52*1000/Enrollment!H$101</f>
        <v>2666.4017510488052</v>
      </c>
      <c r="J52" s="42">
        <f>+OperatingFunds!J52*1000/Enrollment!I$101</f>
        <v>2702.2970065539926</v>
      </c>
      <c r="K52" s="42">
        <f>+OperatingFunds!K52*1000/Enrollment!J$101</f>
        <v>2755.3823768773582</v>
      </c>
      <c r="L52" s="42">
        <f>+OperatingFunds!L52*1000/Enrollment!K$101</f>
        <v>3163.5691812394821</v>
      </c>
      <c r="M52" s="42">
        <f>+OperatingFunds!M52*1000/Enrollment!L$101</f>
        <v>3186.3541478142542</v>
      </c>
      <c r="N52" s="42">
        <f>+OperatingFunds!N52*1000/Enrollment!M$101</f>
        <v>3224.7027899357731</v>
      </c>
      <c r="O52" s="42">
        <f>+OperatingFunds!O52*1000/Enrollment!N$101</f>
        <v>3527.4839196431744</v>
      </c>
      <c r="P52" s="42">
        <f>+OperatingFunds!P52*1000/Enrollment!O$101</f>
        <v>4101.0460042208933</v>
      </c>
      <c r="Q52" s="42">
        <f>+OperatingFunds!Q52*1000/Enrollment!P$101</f>
        <v>4280.2974320073354</v>
      </c>
      <c r="R52" s="42">
        <f>+OperatingFunds!R52*1000/Enrollment!Q$101</f>
        <v>4874.2728705256795</v>
      </c>
      <c r="S52" s="42">
        <f>+OperatingFunds!S52*1000/Enrollment!R$101</f>
        <v>4879.7362471988163</v>
      </c>
      <c r="T52" s="42">
        <f>+OperatingFunds!T52*1000/Enrollment!S$101</f>
        <v>5341.5662390114076</v>
      </c>
      <c r="U52" s="42">
        <f>+OperatingFunds!U52*1000/Enrollment!T$101</f>
        <v>5639.3719861945165</v>
      </c>
      <c r="V52" s="42">
        <f>+OperatingFunds!V52*1000/Enrollment!U$101</f>
        <v>6033.6863401275223</v>
      </c>
      <c r="W52" s="42">
        <f>+OperatingFunds!W52*1000/Enrollment!V$101</f>
        <v>6844.6159463691311</v>
      </c>
      <c r="X52" s="42">
        <f>+OperatingFunds!X52*1000/Enrollment!W$101</f>
        <v>8227.6330360813099</v>
      </c>
      <c r="Y52" s="42">
        <f>+OperatingFunds!Y52*1000/Enrollment!X$101</f>
        <v>9553.3838209176938</v>
      </c>
      <c r="Z52" s="42">
        <f>+OperatingFunds!Z52*1000/Enrollment!Y$101</f>
        <v>10757.91083438277</v>
      </c>
      <c r="AA52" s="42">
        <f>+OperatingFunds!AA52*1000/Enrollment!Z$101</f>
        <v>10377.24594588215</v>
      </c>
      <c r="AB52" s="42">
        <f>+OperatingFunds!AB52*1000/Enrollment!AA$101</f>
        <v>11875.023773124878</v>
      </c>
      <c r="AC52" s="42">
        <f>+OperatingFunds!AC52*1000/Enrollment!AB$101</f>
        <v>11590.645181790964</v>
      </c>
      <c r="AD52" s="42">
        <f>+OperatingFunds!AD52*1000/Enrollment!AC$101</f>
        <v>11366.32948884659</v>
      </c>
    </row>
    <row r="54" spans="2:30">
      <c r="B54" s="1" t="str">
        <f>+$B$16</f>
        <v>Community/Technical College System</v>
      </c>
      <c r="C54" s="3">
        <f>+OperatingFunds!C54*1000/Enrollment!B$103</f>
        <v>476.24929236786579</v>
      </c>
      <c r="D54" s="3">
        <f>+OperatingFunds!D54*1000/Enrollment!C$103</f>
        <v>513.41245988487594</v>
      </c>
      <c r="E54" s="3">
        <f>+OperatingFunds!E54*1000/Enrollment!D$103</f>
        <v>558.71591645481283</v>
      </c>
      <c r="F54" s="3">
        <f>+OperatingFunds!F54*1000/Enrollment!E$103</f>
        <v>602.67434483431748</v>
      </c>
      <c r="G54" s="3">
        <f>+OperatingFunds!G54*1000/Enrollment!F$103</f>
        <v>762.11572397139412</v>
      </c>
      <c r="H54" s="3">
        <f>+OperatingFunds!H54*1000/Enrollment!G$103</f>
        <v>924.91801496566598</v>
      </c>
      <c r="I54" s="3">
        <f>+OperatingFunds!I54*1000/Enrollment!H$103</f>
        <v>938.82270998160482</v>
      </c>
      <c r="J54" s="3">
        <f>+OperatingFunds!J54*1000/Enrollment!I$103</f>
        <v>969.34205692493401</v>
      </c>
      <c r="K54" s="3">
        <f>+OperatingFunds!K54*1000/Enrollment!J$103</f>
        <v>1020.6311305034958</v>
      </c>
      <c r="L54" s="3">
        <f>+OperatingFunds!L54*1000/Enrollment!K$103</f>
        <v>1029.4703271855965</v>
      </c>
      <c r="M54" s="3">
        <f>+OperatingFunds!M54*1000/Enrollment!L$103</f>
        <v>1112.6688830903765</v>
      </c>
      <c r="N54" s="3">
        <f>+OperatingFunds!N54*1000/Enrollment!M$103</f>
        <v>1088.846216447698</v>
      </c>
      <c r="O54" s="3">
        <f>+OperatingFunds!O54*1000/Enrollment!N$103</f>
        <v>1167.8157486288994</v>
      </c>
      <c r="P54" s="3">
        <f>+OperatingFunds!P54*1000/Enrollment!O$103</f>
        <v>1237.8616424638519</v>
      </c>
      <c r="Q54" s="3">
        <f>+OperatingFunds!Q54*1000/Enrollment!P$103</f>
        <v>1446.584412409878</v>
      </c>
      <c r="R54" s="3">
        <f>+OperatingFunds!R54*1000/Enrollment!Q$103</f>
        <v>1541.318280948132</v>
      </c>
      <c r="S54" s="3">
        <f>+OperatingFunds!S54*1000/Enrollment!R$103</f>
        <v>1592.6732278369811</v>
      </c>
      <c r="T54" s="3">
        <f>+OperatingFunds!T54*1000/Enrollment!S$103</f>
        <v>1629.8413396145741</v>
      </c>
      <c r="U54" s="3">
        <f>+OperatingFunds!U54*1000/Enrollment!T$103</f>
        <v>1711.6023572761605</v>
      </c>
      <c r="V54" s="3">
        <f>+OperatingFunds!V54*1000/Enrollment!U$103</f>
        <v>1703.3850648893613</v>
      </c>
      <c r="W54" s="3">
        <f>+OperatingFunds!W54*1000/Enrollment!V$103</f>
        <v>1848.9119517800582</v>
      </c>
      <c r="X54" s="3">
        <f>+OperatingFunds!X54*1000/Enrollment!W$103</f>
        <v>2046.2562301637236</v>
      </c>
      <c r="Y54" s="3">
        <f>+OperatingFunds!Y54*1000/Enrollment!X$103</f>
        <v>2209.3479497547351</v>
      </c>
      <c r="Z54" s="3">
        <f>+OperatingFunds!Z54*1000/Enrollment!Y$103</f>
        <v>2404.760841012087</v>
      </c>
      <c r="AA54" s="3">
        <f>+OperatingFunds!AA54*1000/Enrollment!Z$103</f>
        <v>2502.6429230017884</v>
      </c>
      <c r="AB54" s="3">
        <f>+OperatingFunds!AB54*1000/Enrollment!AA$103</f>
        <v>2573.4245675244952</v>
      </c>
      <c r="AC54" s="3">
        <f>+OperatingFunds!AC54*1000/Enrollment!AB$103</f>
        <v>2604.8344919851065</v>
      </c>
      <c r="AD54" s="3">
        <f>+OperatingFunds!AD54*1000/Enrollment!AC$103</f>
        <v>2566.4987169023852</v>
      </c>
    </row>
    <row r="55" spans="2:30" hidden="1">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row>
    <row r="56" spans="2:30" ht="13.5" thickBot="1"/>
    <row r="57" spans="2:30" ht="13.5" thickTop="1">
      <c r="B57" s="1" t="str">
        <f>+$B$19</f>
        <v>Total Higher Education</v>
      </c>
      <c r="C57" s="39">
        <f>+OperatingFunds!C57*1000/Enrollment!B$112</f>
        <v>957.19507387985709</v>
      </c>
      <c r="D57" s="39">
        <f>+OperatingFunds!D57*1000/Enrollment!C$112</f>
        <v>1030.1478551584498</v>
      </c>
      <c r="E57" s="39">
        <f>+OperatingFunds!E57*1000/Enrollment!D$112</f>
        <v>1140.0768986152468</v>
      </c>
      <c r="F57" s="39">
        <f>+OperatingFunds!F57*1000/Enrollment!E$112</f>
        <v>1196.5051871694172</v>
      </c>
      <c r="G57" s="39">
        <f>+OperatingFunds!G57*1000/Enrollment!F$112</f>
        <v>1354.4719721364263</v>
      </c>
      <c r="H57" s="39">
        <f>+OperatingFunds!H57*1000/Enrollment!G$112</f>
        <v>1680.7943603851445</v>
      </c>
      <c r="I57" s="39">
        <f>+OperatingFunds!I57*1000/Enrollment!H$112</f>
        <v>1641.3690791565116</v>
      </c>
      <c r="J57" s="39">
        <f>+OperatingFunds!J57*1000/Enrollment!I$112</f>
        <v>1684.9051274809356</v>
      </c>
      <c r="K57" s="39">
        <f>+OperatingFunds!K57*1000/Enrollment!J$112</f>
        <v>1732.8729673356149</v>
      </c>
      <c r="L57" s="39">
        <f>+OperatingFunds!L57*1000/Enrollment!K$112</f>
        <v>1902.1682757520148</v>
      </c>
      <c r="M57" s="39">
        <f>+OperatingFunds!M57*1000/Enrollment!L$112</f>
        <v>1954.124940468854</v>
      </c>
      <c r="N57" s="39">
        <f>+OperatingFunds!N57*1000/Enrollment!M$112</f>
        <v>1957.6062386095093</v>
      </c>
      <c r="O57" s="39">
        <f>+OperatingFunds!O57*1000/Enrollment!N$112</f>
        <v>2119.3495041148826</v>
      </c>
      <c r="P57" s="39">
        <f>+OperatingFunds!P57*1000/Enrollment!O$112</f>
        <v>2381.595925381243</v>
      </c>
      <c r="Q57" s="39">
        <f>+OperatingFunds!Q57*1000/Enrollment!P$112</f>
        <v>2590.8791134256435</v>
      </c>
      <c r="R57" s="39">
        <f>+OperatingFunds!R57*1000/Enrollment!Q$112</f>
        <v>2890.345674105411</v>
      </c>
      <c r="S57" s="39">
        <f>+OperatingFunds!S57*1000/Enrollment!R$112</f>
        <v>2925.2183230753158</v>
      </c>
      <c r="T57" s="39">
        <f>+OperatingFunds!T57*1000/Enrollment!S$112</f>
        <v>3142.3915484037279</v>
      </c>
      <c r="U57" s="39">
        <f>+OperatingFunds!U57*1000/Enrollment!T$112</f>
        <v>3311.9656696475217</v>
      </c>
      <c r="V57" s="39">
        <f>+OperatingFunds!V57*1000/Enrollment!U$112</f>
        <v>3466.9762861047134</v>
      </c>
      <c r="W57" s="39">
        <f>+OperatingFunds!W57*1000/Enrollment!V$112</f>
        <v>3827.7363805434475</v>
      </c>
      <c r="X57" s="39">
        <f>+OperatingFunds!X57*1000/Enrollment!W$112</f>
        <v>4480.5359852102983</v>
      </c>
      <c r="Y57" s="39">
        <f>+OperatingFunds!Y57*1000/Enrollment!X$112</f>
        <v>5148.5251013595016</v>
      </c>
      <c r="Z57" s="39">
        <f>+OperatingFunds!Z57*1000/Enrollment!Y$112</f>
        <v>5747.7983799279764</v>
      </c>
      <c r="AA57" s="39">
        <f>+OperatingFunds!AA57*1000/Enrollment!Z$112</f>
        <v>5660.1947324697448</v>
      </c>
      <c r="AB57" s="39">
        <f>+OperatingFunds!AB57*1000/Enrollment!AA$112</f>
        <v>6299.5470057958964</v>
      </c>
      <c r="AC57" s="39">
        <f>+OperatingFunds!AC57*1000/Enrollment!AB$112</f>
        <v>6204.4553848295718</v>
      </c>
      <c r="AD57" s="39">
        <f>+OperatingFunds!AD57*1000/Enrollment!AC$112</f>
        <v>6091.6180181716154</v>
      </c>
    </row>
    <row r="58" spans="2:30">
      <c r="B58" s="199" t="str">
        <f>+$B$20</f>
        <v>[biennial annual average]</v>
      </c>
      <c r="D58" s="3">
        <f>AVERAGE(C57:D57)</f>
        <v>993.67146451915346</v>
      </c>
      <c r="E58" s="3"/>
      <c r="F58" s="3">
        <f>AVERAGE(E57:F57)</f>
        <v>1168.2910428923319</v>
      </c>
      <c r="G58" s="3"/>
      <c r="H58" s="3">
        <f>AVERAGE(G57:H57)</f>
        <v>1517.6331662607854</v>
      </c>
      <c r="I58" s="3"/>
      <c r="J58" s="3">
        <f>AVERAGE(I57:J57)</f>
        <v>1663.1371033187236</v>
      </c>
      <c r="K58" s="3"/>
      <c r="L58" s="3">
        <f>AVERAGE(K57:L57)</f>
        <v>1817.5206215438147</v>
      </c>
      <c r="M58" s="3"/>
      <c r="N58" s="3">
        <f>AVERAGE(M57:N57)</f>
        <v>1955.8655895391817</v>
      </c>
      <c r="O58" s="3"/>
      <c r="P58" s="3">
        <f>AVERAGE(O57:P57)</f>
        <v>2250.4727147480626</v>
      </c>
      <c r="Q58" s="3"/>
      <c r="R58" s="3">
        <f>AVERAGE(Q57:R57)</f>
        <v>2740.6123937655275</v>
      </c>
      <c r="S58" s="3"/>
      <c r="T58" s="3">
        <f>AVERAGE(S57:T57)</f>
        <v>3033.8049357395221</v>
      </c>
      <c r="U58" s="3"/>
      <c r="V58" s="3">
        <f>AVERAGE(U57:V57)</f>
        <v>3389.4709778761176</v>
      </c>
      <c r="W58" s="3"/>
      <c r="X58" s="3">
        <f>AVERAGE(W57:X57)</f>
        <v>4154.1361828768731</v>
      </c>
      <c r="Y58" s="3"/>
      <c r="Z58" s="3">
        <f>AVERAGE(Y57:Z57)</f>
        <v>5448.161740643739</v>
      </c>
      <c r="AA58" s="3"/>
      <c r="AB58" s="3">
        <f>AVERAGE(AA57:AB57)</f>
        <v>5979.8708691328211</v>
      </c>
      <c r="AC58" s="3"/>
      <c r="AD58" s="3">
        <f>AVERAGE(AC57:AD57)</f>
        <v>6148.0367015005941</v>
      </c>
    </row>
    <row r="59" spans="2:30">
      <c r="D59" s="3"/>
      <c r="F59" s="3"/>
      <c r="H59" s="3"/>
      <c r="J59" s="3"/>
      <c r="L59" s="3"/>
      <c r="N59" s="3"/>
      <c r="P59" s="3"/>
      <c r="R59" s="3"/>
      <c r="T59" s="3"/>
    </row>
    <row r="60" spans="2:30" ht="14.25">
      <c r="B60" s="2447" t="str">
        <f>+OperatingFunds!B60</f>
        <v>General Fund-State</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row>
    <row r="61" spans="2:30">
      <c r="B61" s="377" t="str">
        <f>+$B$4</f>
        <v>(Dollars Per Budgeted State-Funded FTE Enrollment)</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row>
    <row r="62" spans="2:30">
      <c r="I62" s="13"/>
      <c r="J62" s="13"/>
      <c r="K62" s="13"/>
      <c r="L62" s="13"/>
      <c r="M62" s="13"/>
      <c r="N62" s="13"/>
      <c r="O62" s="13"/>
      <c r="P62" s="13"/>
      <c r="Q62"/>
      <c r="R62" s="13"/>
      <c r="S62"/>
      <c r="T62" s="655"/>
      <c r="U62" s="2"/>
      <c r="V62" s="2"/>
      <c r="W62" s="2"/>
      <c r="X62" s="2"/>
      <c r="Y62" s="2"/>
      <c r="Z62" s="2"/>
      <c r="AA62" s="2"/>
      <c r="AB62" s="2"/>
      <c r="AC62" s="5" t="str">
        <f>TRIM(OperatingFunds!AC62)</f>
        <v/>
      </c>
      <c r="AD62" s="2" t="str">
        <f>TRIM(OperatingFunds!AD62)</f>
        <v/>
      </c>
    </row>
    <row r="63" spans="2:30">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+OperatingFunds!U63</f>
        <v>FY2008</v>
      </c>
      <c r="V63" s="2" t="str">
        <f>+OperatingFunds!V63</f>
        <v>FY2009</v>
      </c>
      <c r="W63" s="2" t="str">
        <f>+OperatingFunds!W63</f>
        <v>FY2010</v>
      </c>
      <c r="X63" s="2" t="str">
        <f>+OperatingFunds!X63</f>
        <v>FY2011</v>
      </c>
      <c r="Y63" s="2" t="str">
        <f>+OperatingFunds!Y63</f>
        <v>FY2012</v>
      </c>
      <c r="Z63" s="2" t="str">
        <f>+OperatingFunds!Z63</f>
        <v>FY2013</v>
      </c>
      <c r="AA63" s="2" t="str">
        <f>+OperatingFunds!AA63</f>
        <v>FY2014</v>
      </c>
      <c r="AB63" s="2" t="str">
        <f>+OperatingFunds!AB63</f>
        <v>FY2015</v>
      </c>
      <c r="AC63" s="2" t="str">
        <f>+OperatingFunds!AC63</f>
        <v>FY2016</v>
      </c>
      <c r="AD63" s="2" t="str">
        <f>+OperatingFunds!AD63</f>
        <v>FY2017</v>
      </c>
    </row>
    <row r="64" spans="2:30">
      <c r="R64" s="3"/>
      <c r="AB64"/>
      <c r="AD64"/>
    </row>
    <row r="65" spans="2:30">
      <c r="B65" s="1" t="str">
        <f>+$B$8</f>
        <v>University of Washington</v>
      </c>
      <c r="C65" s="3">
        <f>+OperatingFunds!C65*1000/Enrollment!B$78</f>
        <v>8050.9830508474579</v>
      </c>
      <c r="D65" s="3">
        <f>+OperatingFunds!D65*1000/Enrollment!C$78</f>
        <v>8748.7171052631584</v>
      </c>
      <c r="E65" s="3">
        <f>+OperatingFunds!E65*1000/Enrollment!D$78</f>
        <v>8512.2542595019659</v>
      </c>
      <c r="F65" s="3">
        <f>+OperatingFunds!F65*1000/Enrollment!E$78</f>
        <v>8836.3718938558359</v>
      </c>
      <c r="G65" s="3">
        <f>+OperatingFunds!G65*1000/Enrollment!F$78</f>
        <v>8190.8114711934159</v>
      </c>
      <c r="H65" s="3">
        <f>+OperatingFunds!H65*1000/Enrollment!G$78</f>
        <v>7942.6334292106103</v>
      </c>
      <c r="I65" s="3">
        <f>+OperatingFunds!I65*1000/Enrollment!H$78</f>
        <v>8211.4171606073087</v>
      </c>
      <c r="J65" s="3">
        <f>+OperatingFunds!J65*1000/Enrollment!I$78</f>
        <v>8232.8636475510702</v>
      </c>
      <c r="K65" s="3">
        <f>+OperatingFunds!K65*1000/Enrollment!J$78</f>
        <v>8630.5173304170839</v>
      </c>
      <c r="L65" s="3">
        <f>+OperatingFunds!L65*1000/Enrollment!K$78</f>
        <v>8853.5344466391325</v>
      </c>
      <c r="M65" s="3">
        <f>+OperatingFunds!M65*1000/Enrollment!L$78</f>
        <v>9293.803806182661</v>
      </c>
      <c r="N65" s="3">
        <f>+OperatingFunds!N65*1000/Enrollment!M$78</f>
        <v>9680.8948097324719</v>
      </c>
      <c r="O65" s="3">
        <f>+OperatingFunds!O65*1000/Enrollment!N$78</f>
        <v>9921.7913980471003</v>
      </c>
      <c r="P65" s="3">
        <f>+OperatingFunds!P65*1000/Enrollment!O$78</f>
        <v>9496.4576222045198</v>
      </c>
      <c r="Q65" s="3">
        <f>+OperatingFunds!Q65*1000/Enrollment!P$78</f>
        <v>8868.2540711058064</v>
      </c>
      <c r="R65" s="3">
        <f>+OperatingFunds!R65*1000/Enrollment!Q$78</f>
        <v>9166.0718611562825</v>
      </c>
      <c r="S65" s="3">
        <f>+OperatingFunds!S65*1000/Enrollment!R$78</f>
        <v>9368.4330271230683</v>
      </c>
      <c r="T65" s="3">
        <f>+OperatingFunds!T65*1000/Enrollment!S$78</f>
        <v>9570.3035795083742</v>
      </c>
      <c r="U65" s="3">
        <f>+OperatingFunds!U65*1000/Enrollment!T$78</f>
        <v>9925.0800733048272</v>
      </c>
      <c r="V65" s="3">
        <f>+OperatingFunds!V65*1000/Enrollment!U$78</f>
        <v>9310.7835625292009</v>
      </c>
      <c r="W65" s="3">
        <f>+OperatingFunds!W65*1000/Enrollment!V$78</f>
        <v>7376.2106465823899</v>
      </c>
      <c r="X65" s="3">
        <f>+OperatingFunds!X65*1000/Enrollment!W$78</f>
        <v>6988.3778391905716</v>
      </c>
      <c r="Y65" s="3">
        <f>+OperatingFunds!Y65*1000/Enrollment!X$78</f>
        <v>5415.6393792045637</v>
      </c>
      <c r="Z65" s="3">
        <f>+OperatingFunds!Z65*1000/Enrollment!Y$78</f>
        <v>5426.7763877078733</v>
      </c>
      <c r="AA65" s="3">
        <f>+OperatingFunds!AA65*1000/Enrollment!Z$78</f>
        <v>6647.145424627307</v>
      </c>
      <c r="AB65" s="3">
        <f>+OperatingFunds!AB65*1000/Enrollment!AA$78</f>
        <v>6393.5719097465153</v>
      </c>
      <c r="AC65" s="3">
        <f>+OperatingFunds!AC65*1000/Enrollment!AB$78</f>
        <v>7518.9433620364898</v>
      </c>
      <c r="AD65" s="3">
        <f>+OperatingFunds!AD65*1000/Enrollment!AC$78</f>
        <v>8536.1983044507851</v>
      </c>
    </row>
    <row r="66" spans="2:30">
      <c r="B66" s="1" t="str">
        <f>+$B$9</f>
        <v>Washington State University</v>
      </c>
      <c r="C66" s="3">
        <f>+OperatingFunds!C66*1000/Enrollment!B$83</f>
        <v>8402.4644433545855</v>
      </c>
      <c r="D66" s="3">
        <f>+OperatingFunds!D66*1000/Enrollment!C$83</f>
        <v>8977.4285540925921</v>
      </c>
      <c r="E66" s="3">
        <f>+OperatingFunds!E66*1000/Enrollment!D$83</f>
        <v>8974.4341994970655</v>
      </c>
      <c r="F66" s="3">
        <f>+OperatingFunds!F66*1000/Enrollment!E$83</f>
        <v>9212.5923736328696</v>
      </c>
      <c r="G66" s="3">
        <f>+OperatingFunds!G66*1000/Enrollment!F$83</f>
        <v>8571.1309179303153</v>
      </c>
      <c r="H66" s="3">
        <f>+OperatingFunds!H66*1000/Enrollment!G$83</f>
        <v>8251.894374282434</v>
      </c>
      <c r="I66" s="3">
        <f>+OperatingFunds!I66*1000/Enrollment!H$83</f>
        <v>8452.9115341545348</v>
      </c>
      <c r="J66" s="3">
        <f>+OperatingFunds!J66*1000/Enrollment!I$83</f>
        <v>8302.2991475071049</v>
      </c>
      <c r="K66" s="3">
        <f>+OperatingFunds!K66*1000/Enrollment!J$83</f>
        <v>8837.6901263212167</v>
      </c>
      <c r="L66" s="3">
        <f>+OperatingFunds!L66*1000/Enrollment!K$83</f>
        <v>8791.2087912087918</v>
      </c>
      <c r="M66" s="3">
        <f>+OperatingFunds!M66*1000/Enrollment!L$83</f>
        <v>9896.4563515629216</v>
      </c>
      <c r="N66" s="3">
        <f>+OperatingFunds!N66*1000/Enrollment!M$83</f>
        <v>9949.0671296296296</v>
      </c>
      <c r="O66" s="3">
        <f>+OperatingFunds!O66*1000/Enrollment!N$83</f>
        <v>10284.620899335718</v>
      </c>
      <c r="P66" s="3">
        <f>+OperatingFunds!P66*1000/Enrollment!O$83</f>
        <v>9859.7372032090989</v>
      </c>
      <c r="Q66" s="3">
        <f>+OperatingFunds!Q66*1000/Enrollment!P$83</f>
        <v>9403.9308195072899</v>
      </c>
      <c r="R66" s="3">
        <f>+OperatingFunds!R66*1000/Enrollment!Q$83</f>
        <v>9601.2160751606734</v>
      </c>
      <c r="S66" s="3">
        <f>+OperatingFunds!S66*1000/Enrollment!R$83</f>
        <v>9952.6978157095327</v>
      </c>
      <c r="T66" s="3">
        <f>+OperatingFunds!T66*1000/Enrollment!S$83</f>
        <v>9959.4866822429904</v>
      </c>
      <c r="U66" s="3">
        <f>+OperatingFunds!U66*1000/Enrollment!T$83</f>
        <v>10646.194384403669</v>
      </c>
      <c r="V66" s="3">
        <f>+OperatingFunds!V66*1000/Enrollment!U$83</f>
        <v>10038.655142921349</v>
      </c>
      <c r="W66" s="3">
        <f>+OperatingFunds!W66*1000/Enrollment!V$83</f>
        <v>7616.2696629213488</v>
      </c>
      <c r="X66" s="3">
        <f>+OperatingFunds!X66*1000/Enrollment!W$83</f>
        <v>7671.2492049438206</v>
      </c>
      <c r="Y66" s="3">
        <f>+OperatingFunds!Y66*1000/Enrollment!X$83</f>
        <v>6047.5021077019974</v>
      </c>
      <c r="Z66" s="3">
        <f>+OperatingFunds!Z66*1000/Enrollment!Y$83</f>
        <v>6014.9338671945297</v>
      </c>
      <c r="AA66" s="3">
        <f>+OperatingFunds!AA66*1000/Enrollment!Z$83</f>
        <v>7056.5952852258415</v>
      </c>
      <c r="AB66" s="3">
        <f>+OperatingFunds!AB66*1000/Enrollment!AA$83</f>
        <v>6790.4871772118204</v>
      </c>
      <c r="AC66" s="3">
        <f>+OperatingFunds!AC66*1000/Enrollment!AB$83</f>
        <v>8045.9754796343959</v>
      </c>
      <c r="AD66" s="3">
        <f>+OperatingFunds!AD66*1000/Enrollment!AC$83</f>
        <v>9200.2752968320165</v>
      </c>
    </row>
    <row r="67" spans="2:30">
      <c r="B67" s="1" t="str">
        <f>+$B$10</f>
        <v>Eastern Washington University</v>
      </c>
      <c r="C67" s="3">
        <f>+OperatingFunds!C67*1000/Enrollment!B$91</f>
        <v>4902.9914529914531</v>
      </c>
      <c r="D67" s="3">
        <f>+OperatingFunds!D67*1000/Enrollment!C$91</f>
        <v>5437.1794871794873</v>
      </c>
      <c r="E67" s="3">
        <f>+OperatingFunds!E67*1000/Enrollment!D$91</f>
        <v>5102.8634973589105</v>
      </c>
      <c r="F67" s="3">
        <f>+OperatingFunds!F67*1000/Enrollment!E$91</f>
        <v>5414.2236699239957</v>
      </c>
      <c r="G67" s="3">
        <f>+OperatingFunds!G67*1000/Enrollment!F$91</f>
        <v>4895.2752725804285</v>
      </c>
      <c r="H67" s="3">
        <f>+OperatingFunds!H67*1000/Enrollment!G$91</f>
        <v>4827.6772745279286</v>
      </c>
      <c r="I67" s="3">
        <f>+OperatingFunds!I67*1000/Enrollment!H$91</f>
        <v>4882.7063740856847</v>
      </c>
      <c r="J67" s="3">
        <f>+OperatingFunds!J67*1000/Enrollment!I$91</f>
        <v>4880.2555910543133</v>
      </c>
      <c r="K67" s="3">
        <f>+OperatingFunds!K67*1000/Enrollment!J$91</f>
        <v>5063.8325365034243</v>
      </c>
      <c r="L67" s="3">
        <f>+OperatingFunds!L67*1000/Enrollment!K$91</f>
        <v>5098.0746866520221</v>
      </c>
      <c r="M67" s="3">
        <f>+OperatingFunds!M67*1000/Enrollment!L$91</f>
        <v>5384.1682387905412</v>
      </c>
      <c r="N67" s="3">
        <f>+OperatingFunds!N67*1000/Enrollment!M$91</f>
        <v>5591.3238809766026</v>
      </c>
      <c r="O67" s="3">
        <f>+OperatingFunds!O67*1000/Enrollment!N$91</f>
        <v>5747.0858439430231</v>
      </c>
      <c r="P67" s="3">
        <f>+OperatingFunds!P67*1000/Enrollment!O$91</f>
        <v>5476.6594736185607</v>
      </c>
      <c r="Q67" s="3">
        <f>+OperatingFunds!Q67*1000/Enrollment!P$91</f>
        <v>5144.6457104294477</v>
      </c>
      <c r="R67" s="3">
        <f>+OperatingFunds!R67*1000/Enrollment!Q$91</f>
        <v>5318.4727294715203</v>
      </c>
      <c r="S67" s="3">
        <f>+OperatingFunds!S67*1000/Enrollment!R$91</f>
        <v>5385.4300011637379</v>
      </c>
      <c r="T67" s="3">
        <f>+OperatingFunds!T67*1000/Enrollment!S$91</f>
        <v>5267.498323272971</v>
      </c>
      <c r="U67" s="3">
        <f>+OperatingFunds!U67*1000/Enrollment!T$91</f>
        <v>5436.9719875500223</v>
      </c>
      <c r="V67" s="3">
        <f>+OperatingFunds!V67*1000/Enrollment!U$91</f>
        <v>4983.7761324041812</v>
      </c>
      <c r="W67" s="3">
        <f>+OperatingFunds!W67*1000/Enrollment!V$91</f>
        <v>4092.1316503480007</v>
      </c>
      <c r="X67" s="3">
        <f>+OperatingFunds!X67*1000/Enrollment!W$91</f>
        <v>4021.7540645752233</v>
      </c>
      <c r="Y67" s="3">
        <f>+OperatingFunds!Y67*1000/Enrollment!X$91</f>
        <v>3004.3508129150446</v>
      </c>
      <c r="Z67" s="3">
        <f>+OperatingFunds!Z67*1000/Enrollment!Y$91</f>
        <v>2949.6221662468515</v>
      </c>
      <c r="AA67" s="3">
        <f>+OperatingFunds!AA67*1000/Enrollment!Z$91</f>
        <v>3593.1989924433251</v>
      </c>
      <c r="AB67" s="3">
        <f>+OperatingFunds!AB67*1000/Enrollment!AA$91</f>
        <v>3609.4572933363866</v>
      </c>
      <c r="AC67" s="3">
        <f>+OperatingFunds!AC67*1000/Enrollment!AB$91</f>
        <v>4419.8534463018086</v>
      </c>
      <c r="AD67" s="3">
        <f>+OperatingFunds!AD67*1000/Enrollment!AC$91</f>
        <v>5513.8539042821158</v>
      </c>
    </row>
    <row r="68" spans="2:30">
      <c r="B68" s="1" t="str">
        <f>+$B$11</f>
        <v>Central Washington University</v>
      </c>
      <c r="C68" s="3">
        <f>+OperatingFunds!C68*1000/Enrollment!B$92</f>
        <v>4858.9294647323659</v>
      </c>
      <c r="D68" s="3">
        <f>+OperatingFunds!D68*1000/Enrollment!C$92</f>
        <v>5469.129720853859</v>
      </c>
      <c r="E68" s="3">
        <f>+OperatingFunds!E68*1000/Enrollment!D$92</f>
        <v>5098.5645933014357</v>
      </c>
      <c r="F68" s="3">
        <f>+OperatingFunds!F68*1000/Enrollment!E$92</f>
        <v>5473.5699891489694</v>
      </c>
      <c r="G68" s="3">
        <f>+OperatingFunds!G68*1000/Enrollment!F$92</f>
        <v>4795.3795379537951</v>
      </c>
      <c r="H68" s="3">
        <f>+OperatingFunds!H68*1000/Enrollment!G$92</f>
        <v>5017.1806167400882</v>
      </c>
      <c r="I68" s="3">
        <f>+OperatingFunds!I68*1000/Enrollment!H$92</f>
        <v>4873.5332464146022</v>
      </c>
      <c r="J68" s="3">
        <f>+OperatingFunds!J68*1000/Enrollment!I$92</f>
        <v>5009.2337375964717</v>
      </c>
      <c r="K68" s="3">
        <f>+OperatingFunds!K68*1000/Enrollment!J$92</f>
        <v>5069.970051728832</v>
      </c>
      <c r="L68" s="3">
        <f>+OperatingFunds!L68*1000/Enrollment!K$92</f>
        <v>5258.9309696481332</v>
      </c>
      <c r="M68" s="3">
        <f>+OperatingFunds!M68*1000/Enrollment!L$92</f>
        <v>5492.8378096479792</v>
      </c>
      <c r="N68" s="3">
        <f>+OperatingFunds!N68*1000/Enrollment!M$92</f>
        <v>5633.9007817465363</v>
      </c>
      <c r="O68" s="3">
        <f>+OperatingFunds!O68*1000/Enrollment!N$92</f>
        <v>5909.4415261044169</v>
      </c>
      <c r="P68" s="3">
        <f>+OperatingFunds!P68*1000/Enrollment!O$92</f>
        <v>5568.8333172690755</v>
      </c>
      <c r="Q68" s="3">
        <f>+OperatingFunds!Q68*1000/Enrollment!P$92</f>
        <v>5229.8412639262388</v>
      </c>
      <c r="R68" s="3">
        <f>+OperatingFunds!R68*1000/Enrollment!Q$92</f>
        <v>5432.2600825103145</v>
      </c>
      <c r="S68" s="3">
        <f>+OperatingFunds!S68*1000/Enrollment!R$92</f>
        <v>5474.3481917577792</v>
      </c>
      <c r="T68" s="3">
        <f>+OperatingFunds!T68*1000/Enrollment!S$92</f>
        <v>5396.026115968707</v>
      </c>
      <c r="U68" s="3">
        <f>+OperatingFunds!U68*1000/Enrollment!T$92</f>
        <v>5327.4128686327076</v>
      </c>
      <c r="V68" s="3">
        <f>+OperatingFunds!V68*1000/Enrollment!U$92</f>
        <v>4856.7903883286845</v>
      </c>
      <c r="W68" s="3">
        <f>+OperatingFunds!W68*1000/Enrollment!V$92</f>
        <v>3576.4553075923959</v>
      </c>
      <c r="X68" s="3">
        <f>+OperatingFunds!X68*1000/Enrollment!W$92</f>
        <v>3671.3215258855585</v>
      </c>
      <c r="Y68" s="3">
        <f>+OperatingFunds!Y68*1000/Enrollment!X$92</f>
        <v>2641.1217075386012</v>
      </c>
      <c r="Z68" s="3">
        <f>+OperatingFunds!Z68*1000/Enrollment!Y$92</f>
        <v>2484.3945242960945</v>
      </c>
      <c r="AA68" s="3">
        <f>+OperatingFunds!AA68*1000/Enrollment!Z$92</f>
        <v>3265.2388797364088</v>
      </c>
      <c r="AB68" s="3">
        <f>+OperatingFunds!AB68*1000/Enrollment!AA$92</f>
        <v>3211.3124656781988</v>
      </c>
      <c r="AC68" s="3">
        <f>+OperatingFunds!AC68*1000/Enrollment!AB$92</f>
        <v>4059.0884129599121</v>
      </c>
      <c r="AD68" s="3">
        <f>+OperatingFunds!AD68*1000/Enrollment!AC$92</f>
        <v>5244.5908841295995</v>
      </c>
    </row>
    <row r="69" spans="2:30">
      <c r="B69" s="1" t="str">
        <f>+$B$12</f>
        <v>The Evergreen State College</v>
      </c>
      <c r="C69" s="3">
        <f>+OperatingFunds!C69*1000/Enrollment!B$93</f>
        <v>5958.666666666667</v>
      </c>
      <c r="D69" s="3">
        <f>+OperatingFunds!D69*1000/Enrollment!C$93</f>
        <v>6658.0645161290322</v>
      </c>
      <c r="E69" s="3">
        <f>+OperatingFunds!E69*1000/Enrollment!D$93</f>
        <v>5923.5425294679835</v>
      </c>
      <c r="F69" s="3">
        <f>+OperatingFunds!F69*1000/Enrollment!E$93</f>
        <v>6908.4329767149147</v>
      </c>
      <c r="G69" s="3">
        <f>+OperatingFunds!G69*1000/Enrollment!F$93</f>
        <v>5531.9280843149409</v>
      </c>
      <c r="H69" s="3">
        <f>+OperatingFunds!H69*1000/Enrollment!G$93</f>
        <v>5898.0969920196439</v>
      </c>
      <c r="I69" s="3">
        <f>+OperatingFunds!I69*1000/Enrollment!H$93</f>
        <v>5636.363636363636</v>
      </c>
      <c r="J69" s="3">
        <f>+OperatingFunds!J69*1000/Enrollment!I$93</f>
        <v>5707.2812683499706</v>
      </c>
      <c r="K69" s="3">
        <f>+OperatingFunds!K69*1000/Enrollment!J$93</f>
        <v>5861.2700228832955</v>
      </c>
      <c r="L69" s="3">
        <f>+OperatingFunds!L69*1000/Enrollment!K$93</f>
        <v>5740.4921700223713</v>
      </c>
      <c r="M69" s="3">
        <f>+OperatingFunds!M69*1000/Enrollment!L$93</f>
        <v>6154.0250137438152</v>
      </c>
      <c r="N69" s="3">
        <f>+OperatingFunds!N69*1000/Enrollment!M$93</f>
        <v>6698.0053864799356</v>
      </c>
      <c r="O69" s="3">
        <f>+OperatingFunds!O69*1000/Enrollment!N$93</f>
        <v>6769.7970165157167</v>
      </c>
      <c r="P69" s="3">
        <f>+OperatingFunds!P69*1000/Enrollment!O$93</f>
        <v>6344.0607245243682</v>
      </c>
      <c r="Q69" s="3">
        <f>+OperatingFunds!Q69*1000/Enrollment!P$93</f>
        <v>5972.9268922758974</v>
      </c>
      <c r="R69" s="3">
        <f>+OperatingFunds!R69*1000/Enrollment!Q$93</f>
        <v>6195.5136028476982</v>
      </c>
      <c r="S69" s="3">
        <f>+OperatingFunds!S69*1000/Enrollment!R$93</f>
        <v>6351.6592372461619</v>
      </c>
      <c r="T69" s="3">
        <f>+OperatingFunds!T69*1000/Enrollment!S$93</f>
        <v>6482.4344677769732</v>
      </c>
      <c r="U69" s="3">
        <f>+OperatingFunds!U69*1000/Enrollment!T$93</f>
        <v>7142.136854741897</v>
      </c>
      <c r="V69" s="3">
        <f>+OperatingFunds!V69*1000/Enrollment!U$93</f>
        <v>6639.6866840731072</v>
      </c>
      <c r="W69" s="3">
        <f>+OperatingFunds!W69*1000/Enrollment!V$93</f>
        <v>4869.2143365772608</v>
      </c>
      <c r="X69" s="3">
        <f>+OperatingFunds!X69*1000/Enrollment!W$93</f>
        <v>4207.9278423925944</v>
      </c>
      <c r="Y69" s="3">
        <f>+OperatingFunds!Y69*1000/Enrollment!X$93</f>
        <v>3711.1322098267269</v>
      </c>
      <c r="Z69" s="3">
        <f>+OperatingFunds!Z69*1000/Enrollment!Y$93</f>
        <v>3599.5727510087822</v>
      </c>
      <c r="AA69" s="3">
        <f>+OperatingFunds!AA69*1000/Enrollment!Z$93</f>
        <v>4355.5661049133632</v>
      </c>
      <c r="AB69" s="3">
        <f>+OperatingFunds!AB69*1000/Enrollment!AA$93</f>
        <v>4089.7222881557086</v>
      </c>
      <c r="AC69" s="3">
        <f>+OperatingFunds!AC69*1000/Enrollment!AB$93</f>
        <v>5293.6150011868031</v>
      </c>
      <c r="AD69" s="3">
        <f>+OperatingFunds!AD69*1000/Enrollment!AC$93</f>
        <v>6110.6100166152382</v>
      </c>
    </row>
    <row r="70" spans="2:30">
      <c r="B70" s="1" t="str">
        <f>+$B$13</f>
        <v>Western Washington University</v>
      </c>
      <c r="C70" s="3">
        <f>+OperatingFunds!C70*1000/Enrollment!B$94</f>
        <v>4489.9408284023666</v>
      </c>
      <c r="D70" s="3">
        <f>+OperatingFunds!D70*1000/Enrollment!C$94</f>
        <v>4976.4161849710981</v>
      </c>
      <c r="E70" s="3">
        <f>+OperatingFunds!E70*1000/Enrollment!D$94</f>
        <v>4796.1473087818695</v>
      </c>
      <c r="F70" s="3">
        <f>+OperatingFunds!F70*1000/Enrollment!E$94</f>
        <v>4826.8782599045608</v>
      </c>
      <c r="G70" s="3">
        <f>+OperatingFunds!G70*1000/Enrollment!F$94</f>
        <v>4505.2540353157838</v>
      </c>
      <c r="H70" s="3">
        <f>+OperatingFunds!H70*1000/Enrollment!G$94</f>
        <v>4215.3599999999997</v>
      </c>
      <c r="I70" s="3">
        <f>+OperatingFunds!I70*1000/Enrollment!H$94</f>
        <v>4474.4425746739589</v>
      </c>
      <c r="J70" s="3">
        <f>+OperatingFunds!J70*1000/Enrollment!I$94</f>
        <v>4554.1091125906787</v>
      </c>
      <c r="K70" s="3">
        <f>+OperatingFunds!K70*1000/Enrollment!J$94</f>
        <v>4688.3269626580413</v>
      </c>
      <c r="L70" s="3">
        <f>+OperatingFunds!L70*1000/Enrollment!K$94</f>
        <v>4709.4561962716125</v>
      </c>
      <c r="M70" s="3">
        <f>+OperatingFunds!M70*1000/Enrollment!L$94</f>
        <v>5002.5606671039068</v>
      </c>
      <c r="N70" s="3">
        <f>+OperatingFunds!N70*1000/Enrollment!M$94</f>
        <v>5261.7351377753203</v>
      </c>
      <c r="O70" s="3">
        <f>+OperatingFunds!O70*1000/Enrollment!N$94</f>
        <v>5451.9303935860062</v>
      </c>
      <c r="P70" s="3">
        <f>+OperatingFunds!P70*1000/Enrollment!O$94</f>
        <v>5209.9268425310092</v>
      </c>
      <c r="Q70" s="3">
        <f>+OperatingFunds!Q70*1000/Enrollment!P$94</f>
        <v>4860.8287520014228</v>
      </c>
      <c r="R70" s="3">
        <f>+OperatingFunds!R70*1000/Enrollment!Q$94</f>
        <v>5009.5338844499083</v>
      </c>
      <c r="S70" s="3">
        <f>+OperatingFunds!S70*1000/Enrollment!R$94</f>
        <v>5112.1900468181029</v>
      </c>
      <c r="T70" s="3">
        <f>+OperatingFunds!T70*1000/Enrollment!S$94</f>
        <v>5229.0483417171117</v>
      </c>
      <c r="U70" s="3">
        <f>+OperatingFunds!U70*1000/Enrollment!T$94</f>
        <v>5554.3169605722842</v>
      </c>
      <c r="V70" s="3">
        <f>+OperatingFunds!V70*1000/Enrollment!U$94</f>
        <v>5293.6344969199181</v>
      </c>
      <c r="W70" s="3">
        <f>+OperatingFunds!W70*1000/Enrollment!V$94</f>
        <v>3793.7219730941706</v>
      </c>
      <c r="X70" s="3">
        <f>+OperatingFunds!X70*1000/Enrollment!W$94</f>
        <v>3941.0743479000166</v>
      </c>
      <c r="Y70" s="3">
        <f>+OperatingFunds!Y70*1000/Enrollment!X$94</f>
        <v>2867.6245536473389</v>
      </c>
      <c r="Z70" s="3">
        <f>+OperatingFunds!Z70*1000/Enrollment!Y$94</f>
        <v>2787.451113756164</v>
      </c>
      <c r="AA70" s="3">
        <f>+OperatingFunds!AA70*1000/Enrollment!Z$94</f>
        <v>3354.5668177180751</v>
      </c>
      <c r="AB70" s="3">
        <f>+OperatingFunds!AB70*1000/Enrollment!AA$94</f>
        <v>3656.2659411664681</v>
      </c>
      <c r="AC70" s="3">
        <f>+OperatingFunds!AC70*1000/Enrollment!AB$94</f>
        <v>4540.1292297228365</v>
      </c>
      <c r="AD70" s="3">
        <f>+OperatingFunds!AD70*1000/Enrollment!AC$94</f>
        <v>5712.2938275803435</v>
      </c>
    </row>
    <row r="71" spans="2:30">
      <c r="B71" s="199" t="str">
        <f>+$B$14</f>
        <v>Total Four-Year Institutions</v>
      </c>
      <c r="C71" s="42">
        <f>+OperatingFunds!C71*1000/Enrollment!B$101</f>
        <v>7028.2587970802088</v>
      </c>
      <c r="D71" s="42">
        <f>+OperatingFunds!D71*1000/Enrollment!C$101</f>
        <v>7653.6429656681676</v>
      </c>
      <c r="E71" s="42">
        <f>+OperatingFunds!E71*1000/Enrollment!D$101</f>
        <v>7423.0282174810736</v>
      </c>
      <c r="F71" s="42">
        <f>+OperatingFunds!F71*1000/Enrollment!E$101</f>
        <v>7713.6367950751874</v>
      </c>
      <c r="G71" s="42">
        <f>+OperatingFunds!G71*1000/Enrollment!F$101</f>
        <v>7081.2448287826619</v>
      </c>
      <c r="H71" s="42">
        <f>+OperatingFunds!H71*1000/Enrollment!G$101</f>
        <v>6889.773657660513</v>
      </c>
      <c r="I71" s="42">
        <f>+OperatingFunds!I71*1000/Enrollment!H$101</f>
        <v>7062.4853427834378</v>
      </c>
      <c r="J71" s="42">
        <f>+OperatingFunds!J71*1000/Enrollment!I$101</f>
        <v>7065.0549067890406</v>
      </c>
      <c r="K71" s="42">
        <f>+OperatingFunds!K71*1000/Enrollment!J$101</f>
        <v>7401.8348171348243</v>
      </c>
      <c r="L71" s="42">
        <f>+OperatingFunds!L71*1000/Enrollment!K$101</f>
        <v>7498.9512450915827</v>
      </c>
      <c r="M71" s="42">
        <f>+OperatingFunds!M71*1000/Enrollment!L$101</f>
        <v>8012.3650408232688</v>
      </c>
      <c r="N71" s="42">
        <f>+OperatingFunds!N71*1000/Enrollment!M$101</f>
        <v>8293.8611936833404</v>
      </c>
      <c r="O71" s="42">
        <f>+OperatingFunds!O71*1000/Enrollment!N$101</f>
        <v>8538.9322868331692</v>
      </c>
      <c r="P71" s="42">
        <f>+OperatingFunds!P71*1000/Enrollment!O$101</f>
        <v>8157.5042208934201</v>
      </c>
      <c r="Q71" s="42">
        <f>+OperatingFunds!Q71*1000/Enrollment!P$101</f>
        <v>7656.812845186827</v>
      </c>
      <c r="R71" s="42">
        <f>+OperatingFunds!R71*1000/Enrollment!Q$101</f>
        <v>7889.9843913098057</v>
      </c>
      <c r="S71" s="42">
        <f>+OperatingFunds!S71*1000/Enrollment!R$101</f>
        <v>8071.0080457825388</v>
      </c>
      <c r="T71" s="42">
        <f>+OperatingFunds!T71*1000/Enrollment!S$101</f>
        <v>8150.6885723011137</v>
      </c>
      <c r="U71" s="42">
        <f>+OperatingFunds!U71*1000/Enrollment!T$101</f>
        <v>8536.5249708289703</v>
      </c>
      <c r="V71" s="42">
        <f>+OperatingFunds!V71*1000/Enrollment!U$101</f>
        <v>8001.8430486045791</v>
      </c>
      <c r="W71" s="42">
        <f>+OperatingFunds!W71*1000/Enrollment!V$101</f>
        <v>6215.7388127408913</v>
      </c>
      <c r="X71" s="42">
        <f>+OperatingFunds!X71*1000/Enrollment!W$101</f>
        <v>6046.9100985698751</v>
      </c>
      <c r="Y71" s="42">
        <f>+OperatingFunds!Y71*1000/Enrollment!X$101</f>
        <v>4677.2241861216053</v>
      </c>
      <c r="Z71" s="42">
        <f>+OperatingFunds!Z71*1000/Enrollment!Y$101</f>
        <v>4638.6748155682571</v>
      </c>
      <c r="AA71" s="42">
        <f>+OperatingFunds!AA71*1000/Enrollment!Z$101</f>
        <v>5609.1437403974069</v>
      </c>
      <c r="AB71" s="42">
        <f>+OperatingFunds!AB71*1000/Enrollment!AA$101</f>
        <v>5471.2761651731289</v>
      </c>
      <c r="AC71" s="42">
        <f>+OperatingFunds!AC71*1000/Enrollment!AB$101</f>
        <v>6544.7223793228823</v>
      </c>
      <c r="AD71" s="42">
        <f>+OperatingFunds!AD71*1000/Enrollment!AC$101</f>
        <v>7629.0181794169866</v>
      </c>
    </row>
    <row r="73" spans="2:30">
      <c r="B73" s="1" t="str">
        <f>+$B$16</f>
        <v>Community/Technical College System</v>
      </c>
      <c r="C73" s="3">
        <f>+OperatingFunds!C73*1000/Enrollment!B$103</f>
        <v>3077.9167309968607</v>
      </c>
      <c r="D73" s="3">
        <f>+OperatingFunds!D73*1000/Enrollment!C$103</f>
        <v>3369.8945545310989</v>
      </c>
      <c r="E73" s="3">
        <f>+OperatingFunds!E73*1000/Enrollment!D$103</f>
        <v>3352.4649818054932</v>
      </c>
      <c r="F73" s="3">
        <f>+OperatingFunds!F73*1000/Enrollment!E$103</f>
        <v>3494.2169733053533</v>
      </c>
      <c r="G73" s="3">
        <f>+OperatingFunds!G73*1000/Enrollment!F$103</f>
        <v>3118.1201820377078</v>
      </c>
      <c r="H73" s="3">
        <f>+OperatingFunds!H73*1000/Enrollment!G$103</f>
        <v>3248.4735383110178</v>
      </c>
      <c r="I73" s="3">
        <f>+OperatingFunds!I73*1000/Enrollment!H$103</f>
        <v>3091.8954154983658</v>
      </c>
      <c r="J73" s="3">
        <f>+OperatingFunds!J73*1000/Enrollment!I$103</f>
        <v>3155.8088273883454</v>
      </c>
      <c r="K73" s="3">
        <f>+OperatingFunds!K73*1000/Enrollment!J$103</f>
        <v>3264.5543091749264</v>
      </c>
      <c r="L73" s="3">
        <f>+OperatingFunds!L73*1000/Enrollment!K$103</f>
        <v>3546.4117577577917</v>
      </c>
      <c r="M73" s="3">
        <f>+OperatingFunds!M73*1000/Enrollment!L$103</f>
        <v>3778.6458350272551</v>
      </c>
      <c r="N73" s="3">
        <f>+OperatingFunds!N73*1000/Enrollment!M$103</f>
        <v>3986.1457011037314</v>
      </c>
      <c r="O73" s="3">
        <f>+OperatingFunds!O73*1000/Enrollment!N$103</f>
        <v>4116.9316711437295</v>
      </c>
      <c r="P73" s="3">
        <f>+OperatingFunds!P73*1000/Enrollment!O$103</f>
        <v>4165.833483411584</v>
      </c>
      <c r="Q73" s="3">
        <f>+OperatingFunds!Q73*1000/Enrollment!P$103</f>
        <v>4004.9251443914177</v>
      </c>
      <c r="R73" s="3">
        <f>+OperatingFunds!R73*1000/Enrollment!Q$103</f>
        <v>4066.588306397176</v>
      </c>
      <c r="S73" s="3">
        <f>+OperatingFunds!S73*1000/Enrollment!R$103</f>
        <v>4265.4041249761276</v>
      </c>
      <c r="T73" s="3">
        <f>+OperatingFunds!T73*1000/Enrollment!S$103</f>
        <v>4385.2013090085293</v>
      </c>
      <c r="U73" s="3">
        <f>+OperatingFunds!U73*1000/Enrollment!T$103</f>
        <v>4536.053799723737</v>
      </c>
      <c r="V73" s="3">
        <f>+OperatingFunds!V73*1000/Enrollment!U$103</f>
        <v>4528.2445152509754</v>
      </c>
      <c r="W73" s="3">
        <f>+OperatingFunds!W73*1000/Enrollment!V$103</f>
        <v>4534.8943823121726</v>
      </c>
      <c r="X73" s="3">
        <f>+OperatingFunds!X73*1000/Enrollment!W$103</f>
        <v>4218.2705656222479</v>
      </c>
      <c r="Y73" s="3">
        <f>+OperatingFunds!Y73*1000/Enrollment!X$103</f>
        <v>3817.4251798013456</v>
      </c>
      <c r="Z73" s="3">
        <f>+OperatingFunds!Z73*1000/Enrollment!Y$103</f>
        <v>3704.1443392919991</v>
      </c>
      <c r="AA73" s="3">
        <f>+OperatingFunds!AA73*1000/Enrollment!Z$103</f>
        <v>4087.9138361211458</v>
      </c>
      <c r="AB73" s="3">
        <f>+OperatingFunds!AB73*1000/Enrollment!AA$103</f>
        <v>4006.7737829010844</v>
      </c>
      <c r="AC73" s="3">
        <f>+OperatingFunds!AC73*1000/Enrollment!AB$103</f>
        <v>4459.399369742795</v>
      </c>
      <c r="AD73" s="3">
        <f>+OperatingFunds!AD73*1000/Enrollment!AC$103</f>
        <v>4769.5632856417988</v>
      </c>
    </row>
    <row r="74" spans="2:30">
      <c r="B74" s="1" t="str">
        <f>+$B$17</f>
        <v>HEC Board, CHE, SFA, &amp; SAC (1)</v>
      </c>
      <c r="C74" s="3">
        <f>+OperatingFunds!C74*1000/Enrollment!B$112</f>
        <v>176.40980923826703</v>
      </c>
      <c r="D74" s="3">
        <f>+OperatingFunds!D74*1000/Enrollment!C$112</f>
        <v>200.12831379196686</v>
      </c>
      <c r="E74" s="3">
        <f>+OperatingFunds!E74*1000/Enrollment!D$112</f>
        <v>225.59047150993032</v>
      </c>
      <c r="F74" s="3">
        <f>+OperatingFunds!F74*1000/Enrollment!E$112</f>
        <v>225.19920092619918</v>
      </c>
      <c r="G74" s="3">
        <f>+OperatingFunds!G74*1000/Enrollment!F$112</f>
        <v>348.53015268011654</v>
      </c>
      <c r="H74" s="3">
        <f>+OperatingFunds!H74*1000/Enrollment!G$112</f>
        <v>375.19880502063273</v>
      </c>
      <c r="I74" s="3">
        <f>+OperatingFunds!I74*1000/Enrollment!H$112</f>
        <v>386.1131715587581</v>
      </c>
      <c r="J74" s="3">
        <f>+OperatingFunds!J74*1000/Enrollment!I$112</f>
        <v>401.64325878758314</v>
      </c>
      <c r="K74" s="3">
        <f>+OperatingFunds!K74*1000/Enrollment!J$112</f>
        <v>460.94651789149674</v>
      </c>
      <c r="L74" s="3">
        <f>+OperatingFunds!L74*1000/Enrollment!K$112</f>
        <v>498.72337030240163</v>
      </c>
      <c r="M74" s="3">
        <f>+OperatingFunds!M74*1000/Enrollment!L$112</f>
        <v>526.09702073113613</v>
      </c>
      <c r="N74" s="3">
        <f>+OperatingFunds!N74*1000/Enrollment!M$112</f>
        <v>596.80532008417345</v>
      </c>
      <c r="O74" s="3">
        <f>+OperatingFunds!O74*1000/Enrollment!N$112</f>
        <v>600.47928670594695</v>
      </c>
      <c r="P74" s="3">
        <f>+OperatingFunds!P74*1000/Enrollment!O$112</f>
        <v>646.94350378433057</v>
      </c>
      <c r="Q74" s="3">
        <f>+OperatingFunds!Q74*1000/Enrollment!P$112</f>
        <v>690.84178636717331</v>
      </c>
      <c r="R74" s="3">
        <f>+OperatingFunds!R74*1000/Enrollment!Q$112</f>
        <v>765.33236315604734</v>
      </c>
      <c r="S74" s="3">
        <f>+OperatingFunds!S74*1000/Enrollment!R$112</f>
        <v>736.34155014921441</v>
      </c>
      <c r="T74" s="3">
        <f>+OperatingFunds!T74*1000/Enrollment!S$112</f>
        <v>752.59358117808119</v>
      </c>
      <c r="U74" s="3">
        <f>+OperatingFunds!U74*1000/Enrollment!T$112</f>
        <v>741.21456175333492</v>
      </c>
      <c r="V74" s="3">
        <f>+OperatingFunds!V74*1000/Enrollment!U$112</f>
        <v>830.24771505319131</v>
      </c>
      <c r="W74" s="3">
        <f>+OperatingFunds!W74*1000/Enrollment!V$112</f>
        <v>844.59476694207706</v>
      </c>
      <c r="X74" s="3">
        <f>+OperatingFunds!X74*1000/Enrollment!W$112</f>
        <v>796.35491365610767</v>
      </c>
      <c r="Y74" s="3">
        <f>+OperatingFunds!Y74*1000/Enrollment!X$112</f>
        <v>943.06530351850574</v>
      </c>
      <c r="Z74" s="3">
        <f>+OperatingFunds!Z74*1000/Enrollment!Y$112</f>
        <v>934.35521874353856</v>
      </c>
      <c r="AA74" s="3">
        <f>+OperatingFunds!AA74*1000/Enrollment!Z$112</f>
        <v>1077.2022496891684</v>
      </c>
      <c r="AB74" s="3">
        <f>+OperatingFunds!AB74*1000/Enrollment!AA$112</f>
        <v>1091.7579931545872</v>
      </c>
      <c r="AC74" s="3">
        <f>+OperatingFunds!AC74*1000/Enrollment!AB$112</f>
        <v>1162.9002406175437</v>
      </c>
      <c r="AD74" s="3">
        <f>+OperatingFunds!AD74*1000/Enrollment!AC$112</f>
        <v>1030.9163335917854</v>
      </c>
    </row>
    <row r="75" spans="2:30" ht="13.5" thickBot="1"/>
    <row r="76" spans="2:30" ht="13.5" thickTop="1">
      <c r="B76" s="1" t="str">
        <f>+$B$19</f>
        <v>Total Higher Education</v>
      </c>
      <c r="C76" s="39">
        <f>+OperatingFunds!C76*1000/Enrollment!B$112</f>
        <v>4912.4490844153515</v>
      </c>
      <c r="D76" s="39">
        <f>+OperatingFunds!D76*1000/Enrollment!C$112</f>
        <v>5378.8965013890847</v>
      </c>
      <c r="E76" s="39">
        <f>+OperatingFunds!E76*1000/Enrollment!D$112</f>
        <v>5287.9014772628716</v>
      </c>
      <c r="F76" s="39">
        <f>+OperatingFunds!F76*1000/Enrollment!E$112</f>
        <v>5485.4259835191033</v>
      </c>
      <c r="G76" s="39">
        <f>+OperatingFunds!G76*1000/Enrollment!F$112</f>
        <v>5092.971676414536</v>
      </c>
      <c r="H76" s="39">
        <f>+OperatingFunds!H76*1000/Enrollment!G$112</f>
        <v>5105.2591987620353</v>
      </c>
      <c r="I76" s="39">
        <f>+OperatingFunds!I76*1000/Enrollment!H$112</f>
        <v>5092.7095475256965</v>
      </c>
      <c r="J76" s="39">
        <f>+OperatingFunds!J76*1000/Enrollment!I$112</f>
        <v>5171.6383803630579</v>
      </c>
      <c r="K76" s="39">
        <f>+OperatingFunds!K76*1000/Enrollment!J$112</f>
        <v>5424.1560519228042</v>
      </c>
      <c r="L76" s="39">
        <f>+OperatingFunds!L76*1000/Enrollment!K$112</f>
        <v>5661.4487752333835</v>
      </c>
      <c r="M76" s="39">
        <f>+OperatingFunds!M76*1000/Enrollment!L$112</f>
        <v>6022.6933719525732</v>
      </c>
      <c r="N76" s="39">
        <f>+OperatingFunds!N76*1000/Enrollment!M$112</f>
        <v>6335.1150256690498</v>
      </c>
      <c r="O76" s="39">
        <f>+OperatingFunds!O76*1000/Enrollment!N$112</f>
        <v>6500.5781439374059</v>
      </c>
      <c r="P76" s="39">
        <f>+OperatingFunds!P76*1000/Enrollment!O$112</f>
        <v>6407.2990618325903</v>
      </c>
      <c r="Q76" s="39">
        <f>+OperatingFunds!Q76*1000/Enrollment!P$112</f>
        <v>6170.452516710573</v>
      </c>
      <c r="R76" s="39">
        <f>+OperatingFunds!R76*1000/Enrollment!Q$112</f>
        <v>6379.4563214239515</v>
      </c>
      <c r="S76" s="39">
        <f>+OperatingFunds!S76*1000/Enrollment!R$112</f>
        <v>6544.5024793666244</v>
      </c>
      <c r="T76" s="39">
        <f>+OperatingFunds!T76*1000/Enrollment!S$112</f>
        <v>6672.2535854448797</v>
      </c>
      <c r="U76" s="39">
        <f>+OperatingFunds!U76*1000/Enrollment!T$112</f>
        <v>6907.2537983264256</v>
      </c>
      <c r="V76" s="39">
        <f>+OperatingFunds!V76*1000/Enrollment!U$112</f>
        <v>6773.1762188014827</v>
      </c>
      <c r="W76" s="39">
        <f>+OperatingFunds!W76*1000/Enrollment!V$112</f>
        <v>6045.2804017955896</v>
      </c>
      <c r="X76" s="39">
        <f>+OperatingFunds!X76*1000/Enrollment!W$112</f>
        <v>5734.7595746583329</v>
      </c>
      <c r="Y76" s="39">
        <f>+OperatingFunds!Y76*1000/Enrollment!X$112</f>
        <v>5104.593050175753</v>
      </c>
      <c r="Z76" s="39">
        <f>+OperatingFunds!Z76*1000/Enrollment!Y$112</f>
        <v>5012.5106156523543</v>
      </c>
      <c r="AA76" s="39">
        <f>+OperatingFunds!AA76*1000/Enrollment!Z$112</f>
        <v>5775.0975950886468</v>
      </c>
      <c r="AB76" s="39">
        <f>+OperatingFunds!AB76*1000/Enrollment!AA$112</f>
        <v>5685.1959686173395</v>
      </c>
      <c r="AC76" s="39">
        <f>+OperatingFunds!AC76*1000/Enrollment!AB$112</f>
        <v>6457.6579917837907</v>
      </c>
      <c r="AD76" s="39">
        <f>+OperatingFunds!AD76*1000/Enrollment!AC$112</f>
        <v>6945.9470604135522</v>
      </c>
    </row>
    <row r="77" spans="2:30">
      <c r="B77" s="199" t="str">
        <f>+$B$20</f>
        <v>[biennial annual average]</v>
      </c>
      <c r="D77" s="3">
        <f>AVERAGE(C76:D76)</f>
        <v>5145.6727929022181</v>
      </c>
      <c r="F77" s="3">
        <f>AVERAGE(E76:F76)</f>
        <v>5386.6637303909874</v>
      </c>
      <c r="H77" s="3">
        <f>AVERAGE(G76:H76)</f>
        <v>5099.1154375882852</v>
      </c>
      <c r="J77" s="3">
        <f>AVERAGE(I76:J76)</f>
        <v>5132.1739639443767</v>
      </c>
      <c r="L77" s="3">
        <f>AVERAGE(K76:L76)</f>
        <v>5542.8024135780943</v>
      </c>
      <c r="N77" s="3">
        <f>AVERAGE(M76:N76)</f>
        <v>6178.9041988108111</v>
      </c>
      <c r="P77" s="3">
        <f>AVERAGE(O76:P76)</f>
        <v>6453.9386028849985</v>
      </c>
      <c r="R77" s="3">
        <f>AVERAGE(Q76:R76)</f>
        <v>6274.9544190672623</v>
      </c>
      <c r="T77" s="3">
        <f>AVERAGE(S76:T76)</f>
        <v>6608.3780324057516</v>
      </c>
      <c r="V77" s="3">
        <f>AVERAGE(U76:V76)</f>
        <v>6840.2150085639541</v>
      </c>
      <c r="X77" s="3">
        <f>AVERAGE(W76:X76)</f>
        <v>5890.0199882269608</v>
      </c>
      <c r="Z77" s="3">
        <f>AVERAGE(Y76:Z76)</f>
        <v>5058.5518329140541</v>
      </c>
      <c r="AB77" s="3">
        <f>AVERAGE(AA76:AB76)</f>
        <v>5730.1467818529927</v>
      </c>
      <c r="AD77" s="3">
        <f>AVERAGE(AC76:AD76)</f>
        <v>6701.8025260986715</v>
      </c>
    </row>
    <row r="78" spans="2:30">
      <c r="B78" s="199"/>
      <c r="D78" s="3"/>
      <c r="F78" s="3"/>
      <c r="H78" s="3"/>
      <c r="J78" s="3"/>
      <c r="L78" s="3"/>
      <c r="N78" s="3"/>
      <c r="P78" s="3"/>
      <c r="R78" s="3"/>
      <c r="T78" s="3"/>
      <c r="V78" s="3"/>
      <c r="AB78"/>
      <c r="AD78"/>
    </row>
    <row r="79" spans="2:30" ht="14.25">
      <c r="B79" s="2447"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row>
    <row r="80" spans="2:30">
      <c r="B80" s="377" t="str">
        <f>+$B$4</f>
        <v>(Dollars Per Budgeted State-Funded FTE Enrollment)</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2:30">
      <c r="I81" s="13"/>
      <c r="J81" s="13"/>
      <c r="K81" s="13"/>
      <c r="L81" s="13"/>
      <c r="M81" s="13"/>
      <c r="N81" s="13"/>
      <c r="O81" s="13"/>
      <c r="P81" s="13"/>
      <c r="Q81"/>
      <c r="R81" s="13"/>
      <c r="S81"/>
      <c r="T81"/>
      <c r="U81" s="2"/>
      <c r="V81" s="2"/>
      <c r="W81" s="2"/>
      <c r="X81" s="2"/>
      <c r="Y81" s="2"/>
      <c r="Z81" s="2"/>
      <c r="AA81" s="2"/>
      <c r="AB81" s="2"/>
      <c r="AC81" s="5" t="str">
        <f>TRIM(OperatingFunds!AC81)</f>
        <v/>
      </c>
      <c r="AD81" s="5" t="str">
        <f>TRIM(OperatingFunds!AD81)</f>
        <v/>
      </c>
    </row>
    <row r="82" spans="2:30">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+OperatingFunds!U82</f>
        <v>FY2008</v>
      </c>
      <c r="V82" s="2" t="str">
        <f>+OperatingFunds!V82</f>
        <v>FY2009</v>
      </c>
      <c r="W82" s="2" t="str">
        <f>+$W$6</f>
        <v>FY2010</v>
      </c>
      <c r="X82"/>
      <c r="Y82"/>
      <c r="Z82"/>
    </row>
    <row r="83" spans="2:30">
      <c r="X83"/>
      <c r="Y83"/>
      <c r="Z83"/>
    </row>
    <row r="84" spans="2:30">
      <c r="B84" s="1" t="str">
        <f>+$B$8</f>
        <v>University of Washington</v>
      </c>
      <c r="C84"/>
      <c r="D84"/>
      <c r="E84"/>
      <c r="F84"/>
      <c r="G84"/>
      <c r="H84"/>
      <c r="I84"/>
      <c r="J84"/>
      <c r="K84"/>
      <c r="L84"/>
      <c r="M84"/>
      <c r="N84"/>
      <c r="O84"/>
      <c r="P84"/>
      <c r="Q84" s="3"/>
      <c r="R84" s="3"/>
      <c r="S84" s="3"/>
      <c r="T84" s="3"/>
      <c r="U84" s="3"/>
      <c r="V84" s="3"/>
      <c r="W84" s="3">
        <f>+OperatingFunds!W84*1000/Enrollment!V$78</f>
        <v>1203.16860942374</v>
      </c>
      <c r="X84"/>
      <c r="Y84"/>
      <c r="Z84"/>
    </row>
    <row r="85" spans="2:30">
      <c r="B85" s="1" t="str">
        <f>+$B$9</f>
        <v>Washington State University</v>
      </c>
      <c r="C85"/>
      <c r="D85"/>
      <c r="E85"/>
      <c r="F85"/>
      <c r="G85"/>
      <c r="H85"/>
      <c r="I85"/>
      <c r="J85"/>
      <c r="K85"/>
      <c r="L85"/>
      <c r="M85"/>
      <c r="N85"/>
      <c r="O85"/>
      <c r="P85"/>
      <c r="Q85" s="3"/>
      <c r="R85" s="3"/>
      <c r="S85" s="3"/>
      <c r="T85" s="3"/>
      <c r="U85" s="3"/>
      <c r="V85" s="3"/>
      <c r="W85" s="3">
        <f>+OperatingFunds!W85*1000/Enrollment!V$83</f>
        <v>708.85393258426961</v>
      </c>
      <c r="X85"/>
      <c r="Y85"/>
      <c r="Z85"/>
    </row>
    <row r="86" spans="2:30">
      <c r="B86" s="1" t="str">
        <f>+$B$10</f>
        <v>Eastern Washington University</v>
      </c>
      <c r="C86"/>
      <c r="D86"/>
      <c r="E86"/>
      <c r="F86"/>
      <c r="G86"/>
      <c r="H86"/>
      <c r="I86"/>
      <c r="J86"/>
      <c r="K86"/>
      <c r="L86"/>
      <c r="M86"/>
      <c r="N86"/>
      <c r="O86"/>
      <c r="P86"/>
      <c r="Q86" s="3"/>
      <c r="R86" s="3"/>
      <c r="S86" s="3"/>
      <c r="T86" s="3"/>
      <c r="U86" s="3"/>
      <c r="V86" s="3"/>
      <c r="W86" s="3">
        <f>+OperatingFunds!W86*1000/Enrollment!V$91</f>
        <v>651.40969682670755</v>
      </c>
      <c r="X86"/>
      <c r="Y86"/>
      <c r="Z86"/>
    </row>
    <row r="87" spans="2:30">
      <c r="B87" s="1" t="str">
        <f>+$B$11</f>
        <v>Central Washington University</v>
      </c>
      <c r="C87"/>
      <c r="D87"/>
      <c r="E87"/>
      <c r="F87"/>
      <c r="G87"/>
      <c r="H87"/>
      <c r="I87"/>
      <c r="J87"/>
      <c r="K87"/>
      <c r="L87"/>
      <c r="M87"/>
      <c r="N87"/>
      <c r="O87"/>
      <c r="P87"/>
      <c r="Q87" s="3"/>
      <c r="R87" s="3"/>
      <c r="S87" s="3"/>
      <c r="T87" s="3"/>
      <c r="U87" s="3"/>
      <c r="V87" s="3"/>
      <c r="W87" s="3">
        <f>+OperatingFunds!W87*1000/Enrollment!V$92</f>
        <v>823.59192348565352</v>
      </c>
      <c r="X87"/>
      <c r="Y87"/>
      <c r="Z87"/>
    </row>
    <row r="88" spans="2:30">
      <c r="B88" s="1" t="str">
        <f>+$B$12</f>
        <v>The Evergreen State College</v>
      </c>
      <c r="C88"/>
      <c r="D88"/>
      <c r="E88"/>
      <c r="F88"/>
      <c r="G88"/>
      <c r="H88"/>
      <c r="I88"/>
      <c r="J88"/>
      <c r="K88"/>
      <c r="L88"/>
      <c r="M88"/>
      <c r="N88"/>
      <c r="O88"/>
      <c r="P88"/>
      <c r="Q88" s="3"/>
      <c r="R88" s="3"/>
      <c r="S88" s="3"/>
      <c r="T88" s="3"/>
      <c r="U88" s="3"/>
      <c r="V88" s="3"/>
      <c r="W88" s="3">
        <f>+OperatingFunds!W88*1000/Enrollment!V$93</f>
        <v>561.59506290054594</v>
      </c>
      <c r="X88"/>
      <c r="Y88"/>
      <c r="Z88"/>
    </row>
    <row r="89" spans="2:30">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+OperatingFunds!W89*1000/Enrollment!V$94</f>
        <v>781.23626132067182</v>
      </c>
      <c r="X89"/>
      <c r="Y89"/>
      <c r="Z89"/>
    </row>
    <row r="90" spans="2:30">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+OperatingFunds!W90*1000/Enrollment!V$101</f>
        <v>914.18841976173792</v>
      </c>
      <c r="X90"/>
      <c r="Y90"/>
      <c r="Z90"/>
    </row>
    <row r="91" spans="2:30">
      <c r="C91"/>
      <c r="D91"/>
      <c r="E91"/>
      <c r="F91"/>
      <c r="G91"/>
      <c r="H91"/>
      <c r="I91"/>
      <c r="J91"/>
      <c r="K91"/>
      <c r="L91"/>
      <c r="M91"/>
      <c r="N91"/>
      <c r="O91"/>
      <c r="P91"/>
      <c r="Q91" s="3"/>
      <c r="R91" s="3"/>
      <c r="X91"/>
      <c r="Y91"/>
      <c r="Z91"/>
    </row>
    <row r="92" spans="2:30">
      <c r="B92" s="1" t="str">
        <f>+$B$16</f>
        <v>Community/Technical College System</v>
      </c>
      <c r="C92"/>
      <c r="D92"/>
      <c r="E92"/>
      <c r="F92"/>
      <c r="G92"/>
      <c r="H92"/>
      <c r="I92"/>
      <c r="J92"/>
      <c r="K92"/>
      <c r="L92"/>
      <c r="M92"/>
      <c r="N92"/>
      <c r="O92"/>
      <c r="P92"/>
      <c r="Q92" s="3"/>
      <c r="R92" s="3"/>
      <c r="S92" s="3"/>
      <c r="T92" s="3"/>
      <c r="U92" s="3"/>
      <c r="V92" s="3"/>
      <c r="W92" s="3">
        <f>+OperatingFunds!W92*1000/Enrollment!V$103</f>
        <v>123.32210547483787</v>
      </c>
      <c r="X92"/>
      <c r="Y92"/>
      <c r="Z92"/>
    </row>
    <row r="93" spans="2:30" hidden="1">
      <c r="B93" s="1" t="str">
        <f>+$B$17</f>
        <v>HEC Board, CHE, SFA, &amp; SAC (1)</v>
      </c>
      <c r="C93"/>
      <c r="D93"/>
      <c r="E93"/>
      <c r="F93"/>
      <c r="G93"/>
      <c r="H93"/>
      <c r="I93"/>
      <c r="J93"/>
      <c r="K93"/>
      <c r="L93"/>
      <c r="M93"/>
      <c r="N93"/>
      <c r="O93"/>
      <c r="P93"/>
      <c r="Q93" s="3"/>
      <c r="R93" s="3"/>
      <c r="S93" s="3"/>
      <c r="T93" s="3"/>
      <c r="U93" s="3"/>
      <c r="V93" s="3"/>
      <c r="W93" s="3"/>
      <c r="X93"/>
      <c r="Y93"/>
      <c r="Z93"/>
    </row>
    <row r="94" spans="2:30" ht="13.5" thickBot="1">
      <c r="C94"/>
      <c r="D94"/>
      <c r="E94"/>
      <c r="F94"/>
      <c r="G94"/>
      <c r="H94"/>
      <c r="I94"/>
      <c r="J94"/>
      <c r="K94"/>
      <c r="L94"/>
      <c r="M94"/>
      <c r="N94"/>
      <c r="O94"/>
      <c r="P94"/>
      <c r="X94"/>
      <c r="Y94"/>
      <c r="Z94"/>
    </row>
    <row r="95" spans="2:30" ht="13.5"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+OperatingFunds!W95*1000/Enrollment!V$112</f>
        <v>436.58838071693447</v>
      </c>
      <c r="X95"/>
      <c r="Y95"/>
      <c r="Z95"/>
    </row>
    <row r="96" spans="2:30">
      <c r="B96" s="199" t="str">
        <f>+$B$20</f>
        <v>[biennial annual average]</v>
      </c>
      <c r="C96"/>
      <c r="D96"/>
      <c r="E96"/>
      <c r="F96"/>
      <c r="G96"/>
      <c r="H96"/>
      <c r="I96"/>
      <c r="J96"/>
      <c r="K96"/>
      <c r="L96"/>
      <c r="M96"/>
      <c r="N96"/>
      <c r="O96"/>
      <c r="P96"/>
      <c r="R96" s="3"/>
      <c r="T96" s="3"/>
      <c r="V96" s="3"/>
      <c r="X96"/>
      <c r="Y96"/>
      <c r="Z96"/>
    </row>
    <row r="97" spans="2:30">
      <c r="B97" s="199"/>
      <c r="C97"/>
      <c r="D97"/>
      <c r="E97"/>
      <c r="F97"/>
      <c r="G97"/>
      <c r="H97"/>
      <c r="I97"/>
      <c r="J97"/>
      <c r="K97"/>
      <c r="L97"/>
      <c r="M97"/>
      <c r="N97"/>
      <c r="O97"/>
      <c r="P97"/>
      <c r="R97" s="3"/>
      <c r="T97" s="3"/>
      <c r="V97" s="3"/>
      <c r="X97"/>
      <c r="Y97"/>
      <c r="Z97"/>
    </row>
    <row r="98" spans="2:30" ht="14.25">
      <c r="B98" s="2447"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row>
    <row r="99" spans="2:30">
      <c r="B99" s="377" t="str">
        <f>+$B$4</f>
        <v>(Dollars Per Budgeted State-Funded FTE Enrollment)</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2:30">
      <c r="I100" s="13"/>
      <c r="J100" s="13"/>
      <c r="K100" s="13"/>
      <c r="L100" s="13"/>
      <c r="M100" s="13"/>
      <c r="N100" s="13"/>
      <c r="O100" s="13"/>
      <c r="P100" s="13"/>
      <c r="Q100"/>
      <c r="R100" s="13"/>
      <c r="S100"/>
      <c r="T100"/>
      <c r="U100" s="2"/>
      <c r="V100" s="2"/>
      <c r="W100" s="2"/>
      <c r="X100" s="2"/>
      <c r="Y100" s="2"/>
      <c r="Z100" s="2"/>
      <c r="AA100" s="2"/>
      <c r="AB100" s="2"/>
      <c r="AC100" s="5" t="str">
        <f>TRIM(OperatingFunds!AC100)</f>
        <v/>
      </c>
      <c r="AD100" s="2" t="str">
        <f>TRIM(OperatingFunds!AD100)</f>
        <v/>
      </c>
    </row>
    <row r="101" spans="2:30">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+OperatingFunds!U101</f>
        <v>FY2008</v>
      </c>
      <c r="V101" s="2" t="str">
        <f>+OperatingFunds!V101</f>
        <v>FY2009</v>
      </c>
      <c r="W101" s="2" t="str">
        <f>+$W$6</f>
        <v>FY2010</v>
      </c>
      <c r="X101" s="2" t="str">
        <f>+$X$6</f>
        <v>FY2011</v>
      </c>
      <c r="Y101" s="2" t="str">
        <f>+OperatingFunds!Y101</f>
        <v>FY2012</v>
      </c>
      <c r="Z101" s="2" t="str">
        <f>+OperatingFunds!Z101</f>
        <v>FY2013</v>
      </c>
      <c r="AA101" s="2" t="str">
        <f>+OperatingFunds!AA101</f>
        <v>FY2014</v>
      </c>
      <c r="AB101" s="2" t="str">
        <f>+OperatingFunds!AB101</f>
        <v>FY2015</v>
      </c>
      <c r="AC101" s="2" t="str">
        <f>+OperatingFunds!AC101</f>
        <v>FY2016</v>
      </c>
      <c r="AD101" s="2" t="str">
        <f>+OperatingFunds!AD101</f>
        <v>FY2017</v>
      </c>
    </row>
    <row r="103" spans="2:30">
      <c r="B103" s="1" t="str">
        <f>+$B$8</f>
        <v>University of Washington</v>
      </c>
      <c r="C103"/>
      <c r="D103"/>
      <c r="E103"/>
      <c r="F103"/>
      <c r="G103"/>
      <c r="H103"/>
      <c r="I103"/>
      <c r="J103"/>
      <c r="K103"/>
      <c r="L103"/>
      <c r="M103"/>
      <c r="N103"/>
      <c r="O103"/>
      <c r="P103"/>
      <c r="Q103" s="3"/>
      <c r="R103" s="3"/>
      <c r="S103" s="3">
        <f>+OperatingFunds!S103*1000/Enrollment!R$78</f>
        <v>84.867160822853336</v>
      </c>
      <c r="T103" s="3">
        <f>+OperatingFunds!T103*1000/Enrollment!S$78</f>
        <v>209.13095497063301</v>
      </c>
      <c r="U103" s="3">
        <f>+OperatingFunds!U103*1000/Enrollment!T$78</f>
        <v>422.72390109160449</v>
      </c>
      <c r="V103" s="3">
        <f>+OperatingFunds!V103*1000/Enrollment!U$78</f>
        <v>706.38373955250995</v>
      </c>
      <c r="W103" s="3">
        <f>+OperatingFunds!W103*1000/Enrollment!V$78</f>
        <v>720.8723252886773</v>
      </c>
      <c r="X103" s="3">
        <f>+OperatingFunds!X103*1000/Enrollment!W$78</f>
        <v>758.54345837145468</v>
      </c>
      <c r="Y103" s="3">
        <f>+OperatingFunds!Y103*1000/Enrollment!X$78</f>
        <v>288.62816855928099</v>
      </c>
      <c r="Z103" s="3">
        <f>+OperatingFunds!Z103*1000/Enrollment!Y$78</f>
        <v>211.31801302405682</v>
      </c>
      <c r="AA103" s="3">
        <f>+OperatingFunds!AA103*1000/Enrollment!Z$78</f>
        <v>188.3375491093052</v>
      </c>
      <c r="AB103" s="3">
        <f>+OperatingFunds!AB103*1000/Enrollment!AA$78</f>
        <v>188.3375491093052</v>
      </c>
      <c r="AC103" s="3">
        <f>+OperatingFunds!AC103*1000/Enrollment!AB$78</f>
        <v>349.79279909585063</v>
      </c>
      <c r="AD103" s="3">
        <f>+OperatingFunds!AD103*1000/Enrollment!AC$78</f>
        <v>406.0330445078306</v>
      </c>
    </row>
    <row r="104" spans="2:30">
      <c r="B104" s="1" t="str">
        <f>+$B$9</f>
        <v>Washington State University</v>
      </c>
      <c r="C104"/>
      <c r="D104"/>
      <c r="E104"/>
      <c r="F104"/>
      <c r="G104"/>
      <c r="H104"/>
      <c r="I104"/>
      <c r="J104"/>
      <c r="K104"/>
      <c r="L104"/>
      <c r="M104"/>
      <c r="N104"/>
      <c r="O104"/>
      <c r="P104"/>
      <c r="Q104" s="3"/>
      <c r="R104" s="3"/>
      <c r="S104" s="3">
        <f>+OperatingFunds!S104*1000/Enrollment!R$83</f>
        <v>156.61314431746951</v>
      </c>
      <c r="T104" s="3">
        <f>+OperatingFunds!T104*1000/Enrollment!S$83</f>
        <v>369.81308411214951</v>
      </c>
      <c r="U104" s="3">
        <f>+OperatingFunds!U104*1000/Enrollment!T$83</f>
        <v>572.98165137614683</v>
      </c>
      <c r="V104" s="3">
        <f>+OperatingFunds!V104*1000/Enrollment!U$83</f>
        <v>961.48314606741576</v>
      </c>
      <c r="W104" s="3">
        <f>+OperatingFunds!W104*1000/Enrollment!V$83</f>
        <v>795.4606741573034</v>
      </c>
      <c r="X104" s="3">
        <f>+OperatingFunds!X104*1000/Enrollment!W$83</f>
        <v>752.17977528089887</v>
      </c>
      <c r="Y104" s="3">
        <f>+OperatingFunds!Y104*1000/Enrollment!X$83</f>
        <v>743.7916141803131</v>
      </c>
      <c r="Z104" s="3">
        <f>+OperatingFunds!Z104*1000/Enrollment!Y$83</f>
        <v>743.74662587727187</v>
      </c>
      <c r="AA104" s="3">
        <f>+OperatingFunds!AA104*1000/Enrollment!Z$83</f>
        <v>764.71117509447549</v>
      </c>
      <c r="AB104" s="3">
        <f>+OperatingFunds!AB104*1000/Enrollment!AA$83</f>
        <v>754.14854911704674</v>
      </c>
      <c r="AC104" s="3">
        <f>+OperatingFunds!AC104*1000/Enrollment!AB$83</f>
        <v>754.19291862631997</v>
      </c>
      <c r="AD104" s="3">
        <f>+OperatingFunds!AD104*1000/Enrollment!AC$83</f>
        <v>754.14854911704674</v>
      </c>
    </row>
    <row r="105" spans="2:30">
      <c r="B105" s="1" t="str">
        <f>+$B$10</f>
        <v>Eastern Washington University</v>
      </c>
      <c r="C105"/>
      <c r="D105"/>
      <c r="E105"/>
      <c r="F105"/>
      <c r="G105"/>
      <c r="H105"/>
      <c r="I105"/>
      <c r="J105"/>
      <c r="K105"/>
      <c r="L105"/>
      <c r="M105"/>
      <c r="N105"/>
      <c r="O105"/>
      <c r="P105"/>
      <c r="Q105" s="3"/>
      <c r="R105" s="3"/>
      <c r="S105" s="3">
        <f>+OperatingFunds!S105*1000/Enrollment!R$91</f>
        <v>249.85453275922262</v>
      </c>
      <c r="T105" s="3">
        <f>+OperatingFunds!T105*1000/Enrollment!S$91</f>
        <v>482.22669349429913</v>
      </c>
      <c r="U105" s="3">
        <f>+OperatingFunds!U105*1000/Enrollment!T$91</f>
        <v>745.55357936860833</v>
      </c>
      <c r="V105" s="3">
        <f>+OperatingFunds!V105*1000/Enrollment!U$91</f>
        <v>876.08885017421608</v>
      </c>
      <c r="W105" s="3">
        <f>+OperatingFunds!W105*1000/Enrollment!V$91</f>
        <v>949.15654122920841</v>
      </c>
      <c r="X105" s="3">
        <f>+OperatingFunds!X105*1000/Enrollment!W$91</f>
        <v>915.38813831005268</v>
      </c>
      <c r="Y105" s="3">
        <f>+OperatingFunds!Y105*1000/Enrollment!X$91</f>
        <v>921.22738722234942</v>
      </c>
      <c r="Z105" s="3">
        <f>+OperatingFunds!Z105*1000/Enrollment!Y$91</f>
        <v>920.65491183879089</v>
      </c>
      <c r="AA105" s="3">
        <f>+OperatingFunds!AA105*1000/Enrollment!Z$91</f>
        <v>891.91664758415391</v>
      </c>
      <c r="AB105" s="3">
        <f>+OperatingFunds!AB105*1000/Enrollment!AA$91</f>
        <v>818.75429356537666</v>
      </c>
      <c r="AC105" s="3">
        <f>+OperatingFunds!AC105*1000/Enrollment!AB$91</f>
        <v>950.76711701396835</v>
      </c>
      <c r="AD105" s="3">
        <f>+OperatingFunds!AD105*1000/Enrollment!AC$91</f>
        <v>963.36157545225558</v>
      </c>
    </row>
    <row r="106" spans="2:30">
      <c r="B106" s="1" t="str">
        <f>+$B$11</f>
        <v>Central Washington University</v>
      </c>
      <c r="C106"/>
      <c r="D106"/>
      <c r="E106"/>
      <c r="F106"/>
      <c r="G106"/>
      <c r="H106"/>
      <c r="I106"/>
      <c r="J106"/>
      <c r="K106"/>
      <c r="L106"/>
      <c r="M106"/>
      <c r="N106"/>
      <c r="O106"/>
      <c r="P106"/>
      <c r="Q106" s="3"/>
      <c r="R106" s="3"/>
      <c r="S106" s="3">
        <f>+OperatingFunds!S106*1000/Enrollment!R$92</f>
        <v>257.95987023909646</v>
      </c>
      <c r="T106" s="3">
        <f>+OperatingFunds!T106*1000/Enrollment!S$92</f>
        <v>496.31845375057526</v>
      </c>
      <c r="U106" s="3">
        <f>+OperatingFunds!U106*1000/Enrollment!T$92</f>
        <v>746.31367292225207</v>
      </c>
      <c r="V106" s="3">
        <f>+OperatingFunds!V106*1000/Enrollment!U$92</f>
        <v>1023.1709933490667</v>
      </c>
      <c r="W106" s="3">
        <f>+OperatingFunds!W106*1000/Enrollment!V$92</f>
        <v>1126.2250560869052</v>
      </c>
      <c r="X106" s="3">
        <f>+OperatingFunds!X106*1000/Enrollment!W$92</f>
        <v>1075.6130790190737</v>
      </c>
      <c r="Y106" s="3">
        <f>+OperatingFunds!Y106*1000/Enrollment!X$92</f>
        <v>1082.8792007266122</v>
      </c>
      <c r="Z106" s="3">
        <f>+OperatingFunds!Z106*1000/Enrollment!Y$92</f>
        <v>1082.8792007266122</v>
      </c>
      <c r="AA106" s="3">
        <f>+OperatingFunds!AA106*1000/Enrollment!Z$92</f>
        <v>1047.5562877539812</v>
      </c>
      <c r="AB106" s="3">
        <f>+OperatingFunds!AB106*1000/Enrollment!AA$92</f>
        <v>1047.5562877539812</v>
      </c>
      <c r="AC106" s="3">
        <f>+OperatingFunds!AC106*1000/Enrollment!AB$92</f>
        <v>1047.5562877539812</v>
      </c>
      <c r="AD106" s="3">
        <f>+OperatingFunds!AD106*1000/Enrollment!AC$92</f>
        <v>1054.5853926414059</v>
      </c>
    </row>
    <row r="107" spans="2:30">
      <c r="B107" s="1" t="str">
        <f>+$B$12</f>
        <v>The Evergreen State College</v>
      </c>
      <c r="C107"/>
      <c r="D107"/>
      <c r="E107"/>
      <c r="F107"/>
      <c r="G107"/>
      <c r="H107"/>
      <c r="I107"/>
      <c r="J107"/>
      <c r="K107"/>
      <c r="L107"/>
      <c r="M107"/>
      <c r="N107"/>
      <c r="O107"/>
      <c r="P107"/>
      <c r="Q107" s="3"/>
      <c r="R107" s="3"/>
      <c r="S107" s="3">
        <f>+OperatingFunds!S107*1000/Enrollment!R$93</f>
        <v>174.59138187221396</v>
      </c>
      <c r="T107" s="3">
        <f>+OperatingFunds!T107*1000/Enrollment!S$93</f>
        <v>340.57446294955344</v>
      </c>
      <c r="U107" s="3">
        <f>+OperatingFunds!U107*1000/Enrollment!T$93</f>
        <v>488.1152460984394</v>
      </c>
      <c r="V107" s="3">
        <f>+OperatingFunds!V107*1000/Enrollment!U$93</f>
        <v>638.97460242107763</v>
      </c>
      <c r="W107" s="3">
        <f>+OperatingFunds!W107*1000/Enrollment!V$93</f>
        <v>646.80750059340141</v>
      </c>
      <c r="X107" s="3">
        <f>+OperatingFunds!X107*1000/Enrollment!W$93</f>
        <v>638.97460242107763</v>
      </c>
      <c r="Y107" s="3">
        <f>+OperatingFunds!Y107*1000/Enrollment!X$93</f>
        <v>646.80750059340141</v>
      </c>
      <c r="Z107" s="3">
        <f>+OperatingFunds!Z107*1000/Enrollment!Y$93</f>
        <v>646.80750059340141</v>
      </c>
      <c r="AA107" s="3">
        <f>+OperatingFunds!AA107*1000/Enrollment!Z$93</f>
        <v>646.80750059340141</v>
      </c>
      <c r="AB107" s="3">
        <f>+OperatingFunds!AB107*1000/Enrollment!AA$93</f>
        <v>646.80750059340141</v>
      </c>
      <c r="AC107" s="3">
        <f>+OperatingFunds!AC107*1000/Enrollment!AB$93</f>
        <v>646.80750059340141</v>
      </c>
      <c r="AD107" s="3">
        <f>+OperatingFunds!AD107*1000/Enrollment!AC$93</f>
        <v>657.01400427248996</v>
      </c>
    </row>
    <row r="108" spans="2:30">
      <c r="B108" s="1" t="str">
        <f>+$B$13</f>
        <v>Western Washington University</v>
      </c>
      <c r="C108" s="41"/>
      <c r="D108" s="41"/>
      <c r="E108" s="41"/>
      <c r="F108" s="41"/>
      <c r="G108" s="41"/>
      <c r="H108" s="41"/>
      <c r="I108" s="41"/>
      <c r="J108" s="41"/>
      <c r="K108" s="41"/>
      <c r="L108" s="41"/>
      <c r="M108" s="41"/>
      <c r="N108" s="41"/>
      <c r="O108" s="41"/>
      <c r="P108" s="41"/>
      <c r="Q108" s="41"/>
      <c r="R108" s="41"/>
      <c r="S108" s="3">
        <f>+OperatingFunds!S108*1000/Enrollment!R$94</f>
        <v>100.39882087740592</v>
      </c>
      <c r="T108" s="3">
        <f>+OperatingFunds!T108*1000/Enrollment!S$94</f>
        <v>197.54454770227642</v>
      </c>
      <c r="U108" s="3">
        <f>+OperatingFunds!U108*1000/Enrollment!T$94</f>
        <v>425.05406754283814</v>
      </c>
      <c r="V108" s="3">
        <f>+OperatingFunds!V108*1000/Enrollment!U$94</f>
        <v>553.18275154004107</v>
      </c>
      <c r="W108" s="3">
        <f>+OperatingFunds!W108*1000/Enrollment!V$94</f>
        <v>573.11175591312758</v>
      </c>
      <c r="X108" s="3">
        <f>+OperatingFunds!X108*1000/Enrollment!W$94</f>
        <v>543.99674035028056</v>
      </c>
      <c r="Y108" s="3">
        <f>+OperatingFunds!Y108*1000/Enrollment!X$94</f>
        <v>565.12497874511132</v>
      </c>
      <c r="Z108" s="3">
        <f>+OperatingFunds!Z108*1000/Enrollment!Y$94</f>
        <v>557.47321884033329</v>
      </c>
      <c r="AA108" s="3">
        <f>+OperatingFunds!AA108*1000/Enrollment!Z$94</f>
        <v>670.91336337357586</v>
      </c>
      <c r="AB108" s="3">
        <f>+OperatingFunds!AB108*1000/Enrollment!AA$94</f>
        <v>425.41377401802418</v>
      </c>
      <c r="AC108" s="3">
        <f>+OperatingFunds!AC108*1000/Enrollment!AB$94</f>
        <v>578.38802924672677</v>
      </c>
      <c r="AD108" s="3">
        <f>+OperatingFunds!AD108*1000/Enrollment!AC$94</f>
        <v>589.52559088590374</v>
      </c>
    </row>
    <row r="109" spans="2:30">
      <c r="B109" s="199" t="str">
        <f>+$B$14</f>
        <v>Total Four-Year Institutions</v>
      </c>
      <c r="C109" s="42"/>
      <c r="D109" s="42"/>
      <c r="E109" s="42"/>
      <c r="F109" s="42"/>
      <c r="G109" s="42"/>
      <c r="H109" s="42"/>
      <c r="I109" s="42"/>
      <c r="J109" s="42"/>
      <c r="K109" s="42"/>
      <c r="L109" s="42"/>
      <c r="M109" s="42"/>
      <c r="N109" s="42"/>
      <c r="O109" s="42"/>
      <c r="P109" s="42"/>
      <c r="Q109" s="42"/>
      <c r="R109" s="42"/>
      <c r="S109" s="42">
        <f>+OperatingFunds!S109*1000/Enrollment!R$101</f>
        <v>139.63338114019362</v>
      </c>
      <c r="T109" s="42">
        <f>+OperatingFunds!T109*1000/Enrollment!S$101</f>
        <v>304.96477106646597</v>
      </c>
      <c r="U109" s="42">
        <f>+OperatingFunds!U109*1000/Enrollment!T$101</f>
        <v>522.91985553394738</v>
      </c>
      <c r="V109" s="42">
        <f>+OperatingFunds!V109*1000/Enrollment!U$101</f>
        <v>790.40597836312327</v>
      </c>
      <c r="W109" s="42">
        <f>+OperatingFunds!W109*1000/Enrollment!V$101</f>
        <v>776.00516818500353</v>
      </c>
      <c r="X109" s="42">
        <f>+OperatingFunds!X109*1000/Enrollment!W$101</f>
        <v>769.2376078511553</v>
      </c>
      <c r="Y109" s="42">
        <f>+OperatingFunds!Y109*1000/Enrollment!X$101</f>
        <v>583.54052977708886</v>
      </c>
      <c r="Z109" s="42">
        <f>+OperatingFunds!Z109*1000/Enrollment!Y$101</f>
        <v>551.58384190642255</v>
      </c>
      <c r="AA109" s="42">
        <f>+OperatingFunds!AA109*1000/Enrollment!Z$101</f>
        <v>557.28598536543495</v>
      </c>
      <c r="AB109" s="42">
        <f>+OperatingFunds!AB109*1000/Enrollment!AA$101</f>
        <v>517.71624366405024</v>
      </c>
      <c r="AC109" s="42">
        <f>+OperatingFunds!AC109*1000/Enrollment!AB$101</f>
        <v>613.45894732339548</v>
      </c>
      <c r="AD109" s="42">
        <f>+OperatingFunds!AD109*1000/Enrollment!AC$101</f>
        <v>639.51921637401881</v>
      </c>
    </row>
    <row r="110" spans="2:30">
      <c r="C110"/>
      <c r="D110"/>
      <c r="E110"/>
      <c r="F110"/>
      <c r="G110"/>
      <c r="H110"/>
      <c r="I110"/>
      <c r="J110"/>
      <c r="K110"/>
      <c r="L110"/>
      <c r="M110"/>
      <c r="N110"/>
      <c r="O110"/>
      <c r="P110"/>
      <c r="Q110" s="3"/>
      <c r="R110" s="3"/>
    </row>
    <row r="111" spans="2:30">
      <c r="B111" s="1" t="str">
        <f>+$B$16</f>
        <v>Community/Technical College System</v>
      </c>
      <c r="C111"/>
      <c r="D111"/>
      <c r="E111"/>
      <c r="F111"/>
      <c r="G111"/>
      <c r="H111"/>
      <c r="I111"/>
      <c r="J111"/>
      <c r="K111"/>
      <c r="L111"/>
      <c r="M111"/>
      <c r="N111"/>
      <c r="O111"/>
      <c r="P111"/>
      <c r="Q111" s="3"/>
      <c r="R111" s="3"/>
      <c r="S111" s="3">
        <f>+OperatingFunds!S111*1000/Enrollment!R$103</f>
        <v>134.21947213628204</v>
      </c>
      <c r="T111" s="3">
        <f>+OperatingFunds!T111*1000/Enrollment!S$103</f>
        <v>208.54400466592151</v>
      </c>
      <c r="U111" s="3">
        <f>+OperatingFunds!U111*1000/Enrollment!T$103</f>
        <v>409.46047706866909</v>
      </c>
      <c r="V111" s="3">
        <f>+OperatingFunds!V111*1000/Enrollment!U$103</f>
        <v>347.20385773896305</v>
      </c>
      <c r="W111" s="3">
        <f>+OperatingFunds!W111*1000/Enrollment!V$103</f>
        <v>341.15494214899775</v>
      </c>
      <c r="X111" s="3">
        <f>+OperatingFunds!X111*1000/Enrollment!W$103</f>
        <v>331.81987402653687</v>
      </c>
      <c r="Y111" s="3">
        <f>+OperatingFunds!Y111*1000/Enrollment!X$103</f>
        <v>339.83319203947224</v>
      </c>
      <c r="Z111" s="3">
        <f>+OperatingFunds!Z111*1000/Enrollment!Y$103</f>
        <v>343.06432349160065</v>
      </c>
      <c r="AA111" s="3">
        <f>+OperatingFunds!AA111*1000/Enrollment!Z$103</f>
        <v>335.82370849702301</v>
      </c>
      <c r="AB111" s="3">
        <f>+OperatingFunds!AB111*1000/Enrollment!AA$103</f>
        <v>338.44817411936219</v>
      </c>
      <c r="AC111" s="3">
        <f>+OperatingFunds!AC111*1000/Enrollment!AB$103</f>
        <v>336.98049675902433</v>
      </c>
      <c r="AD111" s="3">
        <f>+OperatingFunds!AD111*1000/Enrollment!AC$103</f>
        <v>347.92763705360659</v>
      </c>
    </row>
    <row r="112" spans="2:30">
      <c r="B112" s="1" t="str">
        <f>+$B$17</f>
        <v>HEC Board, CHE, SFA, &amp; SAC (1)</v>
      </c>
      <c r="C112"/>
      <c r="D112"/>
      <c r="E112"/>
      <c r="F112"/>
      <c r="G112"/>
      <c r="H112"/>
      <c r="I112"/>
      <c r="J112"/>
      <c r="K112"/>
      <c r="L112"/>
      <c r="M112"/>
      <c r="N112"/>
      <c r="O112"/>
      <c r="P112"/>
      <c r="Q112" s="3"/>
      <c r="R112" s="3"/>
      <c r="S112" s="3">
        <f>+OperatingFunds!S112*1000/Enrollment!R$112</f>
        <v>132.92119571388989</v>
      </c>
      <c r="T112" s="3">
        <f>+OperatingFunds!T112*1000/Enrollment!S$112</f>
        <v>149.54687479166017</v>
      </c>
      <c r="U112" s="3">
        <f>+OperatingFunds!U112*1000/Enrollment!T$112</f>
        <v>276.78106792692694</v>
      </c>
      <c r="V112" s="3">
        <f>+OperatingFunds!V112*1000/Enrollment!U$112</f>
        <v>183.08558416735133</v>
      </c>
      <c r="W112" s="3">
        <f>+OperatingFunds!W112*1000/Enrollment!V$112</f>
        <v>260.16356372389566</v>
      </c>
      <c r="X112" s="3">
        <f>+OperatingFunds!X112*1000/Enrollment!W$112</f>
        <v>-126.76744765335312</v>
      </c>
      <c r="Y112" s="3">
        <f>+OperatingFunds!Y112*1000/Enrollment!X$112</f>
        <v>0</v>
      </c>
      <c r="Z112" s="3">
        <f>+OperatingFunds!Z112*1000/Enrollment!Y$112</f>
        <v>0</v>
      </c>
      <c r="AA112" s="3">
        <f>+OperatingFunds!AA112*1000/Enrollment!Z$112</f>
        <v>222.78492391617658</v>
      </c>
      <c r="AB112" s="3">
        <f>+OperatingFunds!AB112*1000/Enrollment!AA$112</f>
        <v>114.6998577799101</v>
      </c>
      <c r="AC112" s="3">
        <f>+OperatingFunds!AC112*1000/Enrollment!AB$112</f>
        <v>8.8138963164139987</v>
      </c>
      <c r="AD112" s="3">
        <f>+OperatingFunds!AD112*1000/Enrollment!AC$112</f>
        <v>165.40999751543214</v>
      </c>
    </row>
    <row r="113" spans="2:30" ht="13.5" thickBot="1">
      <c r="C113"/>
      <c r="D113"/>
      <c r="E113"/>
      <c r="F113"/>
      <c r="G113"/>
      <c r="H113"/>
      <c r="I113"/>
      <c r="J113"/>
      <c r="K113"/>
      <c r="L113"/>
      <c r="M113"/>
      <c r="N113"/>
      <c r="O113"/>
      <c r="P113"/>
    </row>
    <row r="114" spans="2:30" ht="13.5" thickTop="1">
      <c r="B114" s="1" t="str">
        <f>+$B$19</f>
        <v>Total Higher Education</v>
      </c>
      <c r="C114" s="38"/>
      <c r="D114" s="38"/>
      <c r="E114" s="38"/>
      <c r="F114" s="38"/>
      <c r="G114" s="38"/>
      <c r="H114" s="38"/>
      <c r="I114" s="38"/>
      <c r="J114" s="38"/>
      <c r="K114" s="38"/>
      <c r="L114" s="38"/>
      <c r="M114" s="38"/>
      <c r="N114" s="38"/>
      <c r="O114" s="38"/>
      <c r="P114" s="38"/>
      <c r="Q114" s="39"/>
      <c r="R114" s="39"/>
      <c r="S114" s="39">
        <f>+OperatingFunds!S114*1000/Enrollment!R$112</f>
        <v>269.33541673290847</v>
      </c>
      <c r="T114" s="39">
        <f>+OperatingFunds!T114*1000/Enrollment!S$112</f>
        <v>397.38292137977623</v>
      </c>
      <c r="U114" s="39">
        <f>+OperatingFunds!U114*1000/Enrollment!T$112</f>
        <v>732.47038321549235</v>
      </c>
      <c r="V114" s="39">
        <f>+OperatingFunds!V114*1000/Enrollment!U$112</f>
        <v>710.79128680711938</v>
      </c>
      <c r="W114" s="39">
        <f>+OperatingFunds!W114*1000/Enrollment!V$112</f>
        <v>773.56495023095442</v>
      </c>
      <c r="X114" s="39">
        <f>+OperatingFunds!X114*1000/Enrollment!W$112</f>
        <v>377.31132069075119</v>
      </c>
      <c r="Y114" s="39">
        <f>+OperatingFunds!Y114*1000/Enrollment!X$112</f>
        <v>437.36798780067534</v>
      </c>
      <c r="Z114" s="39">
        <f>+OperatingFunds!Z114*1000/Enrollment!Y$112</f>
        <v>426.51650359259776</v>
      </c>
      <c r="AA114" s="39">
        <f>+OperatingFunds!AA114*1000/Enrollment!Z$112</f>
        <v>647.41039308899894</v>
      </c>
      <c r="AB114" s="39">
        <f>+OperatingFunds!AB114*1000/Enrollment!AA$112</f>
        <v>524.96092790041155</v>
      </c>
      <c r="AC114" s="39">
        <f>+OperatingFunds!AC114*1000/Enrollment!AB$112</f>
        <v>456.54874139504199</v>
      </c>
      <c r="AD114" s="39">
        <f>+OperatingFunds!AD114*1000/Enrollment!AC$112</f>
        <v>630.14614270843595</v>
      </c>
    </row>
    <row r="115" spans="2:30">
      <c r="B115" s="199" t="str">
        <f>+$B$20</f>
        <v>[biennial annual average]</v>
      </c>
      <c r="C115"/>
      <c r="D115"/>
      <c r="E115"/>
      <c r="F115"/>
      <c r="G115"/>
      <c r="H115"/>
      <c r="I115"/>
      <c r="J115"/>
      <c r="K115"/>
      <c r="L115"/>
      <c r="M115"/>
      <c r="N115"/>
      <c r="O115"/>
      <c r="P115"/>
      <c r="R115" s="3"/>
      <c r="T115" s="3">
        <f>AVERAGE(S114:T114)</f>
        <v>333.35916905634235</v>
      </c>
      <c r="V115" s="3">
        <f>AVERAGE(U114:V114)</f>
        <v>721.63083501130586</v>
      </c>
      <c r="X115" s="3">
        <f>AVERAGE(W114:X114)</f>
        <v>575.43813546085278</v>
      </c>
      <c r="Z115" s="3">
        <f>AVERAGE(Y114:Z114)</f>
        <v>431.94224569663652</v>
      </c>
      <c r="AB115" s="3">
        <f>AVERAGE(AA114:AB114)</f>
        <v>586.18566049470519</v>
      </c>
      <c r="AD115" s="3">
        <f>AVERAGE(AC114:AD114)</f>
        <v>543.34744205173899</v>
      </c>
    </row>
    <row r="116" spans="2:30" ht="15" customHeight="1">
      <c r="C116"/>
      <c r="D116"/>
      <c r="E116"/>
      <c r="F116"/>
      <c r="G116"/>
      <c r="H116"/>
      <c r="I116"/>
      <c r="J116"/>
      <c r="K116"/>
      <c r="L116"/>
      <c r="M116"/>
      <c r="N116"/>
      <c r="O116"/>
      <c r="P116"/>
      <c r="R116" s="3"/>
      <c r="T116" s="3"/>
    </row>
    <row r="117" spans="2:30" ht="25.5">
      <c r="B117" s="2400" t="str">
        <f>+OperatingFunds!B117</f>
        <v>Capital Budget Education Construction Account-State (253-1) and Higher Education Building Accounts (060 through 066) for Preventive Facility Maintenance and Repairs</v>
      </c>
      <c r="C117" s="2407"/>
      <c r="D117" s="2407"/>
      <c r="E117" s="2407"/>
      <c r="F117" s="2407"/>
      <c r="G117" s="2407"/>
      <c r="H117" s="2407"/>
      <c r="I117" s="2407"/>
      <c r="J117" s="2450"/>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row>
    <row r="118" spans="2:30">
      <c r="B118" s="377" t="str">
        <f>+$B$4</f>
        <v>(Dollars Per Budgeted State-Funded FTE Enrollment)</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2:30">
      <c r="I119" s="13"/>
      <c r="J119" s="13"/>
      <c r="K119" s="13"/>
      <c r="L119" s="13"/>
      <c r="M119" s="13"/>
      <c r="N119" s="13"/>
      <c r="O119" s="13"/>
      <c r="P119" s="13"/>
      <c r="Q119"/>
      <c r="R119" s="13"/>
      <c r="S119"/>
      <c r="T119"/>
      <c r="U119" s="2"/>
      <c r="V119" s="2"/>
      <c r="W119" s="2"/>
      <c r="X119" s="2"/>
      <c r="Y119" s="2"/>
      <c r="Z119" s="2"/>
      <c r="AA119" s="2"/>
      <c r="AB119" s="2"/>
      <c r="AC119" s="5" t="str">
        <f>TRIM(OperatingFunds!AC119)</f>
        <v/>
      </c>
      <c r="AD119" s="2" t="str">
        <f>TRIM(OperatingFunds!AD119)</f>
        <v/>
      </c>
    </row>
    <row r="120" spans="2:30">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+OperatingFunds!U120</f>
        <v>FY2008</v>
      </c>
      <c r="V120" s="2" t="str">
        <f>+OperatingFunds!V120</f>
        <v>FY2009</v>
      </c>
      <c r="W120" s="2" t="str">
        <f>+$W$6</f>
        <v>FY2010</v>
      </c>
      <c r="X120" s="2" t="str">
        <f>+$X$6</f>
        <v>FY2011</v>
      </c>
      <c r="Y120" s="2" t="str">
        <f>+OperatingFunds!Y120</f>
        <v>FY2012</v>
      </c>
      <c r="Z120" s="2" t="str">
        <f>+OperatingFunds!Z120</f>
        <v>FY2013</v>
      </c>
      <c r="AA120" s="2" t="str">
        <f>+OperatingFunds!AA120</f>
        <v>FY2014</v>
      </c>
      <c r="AB120" s="2" t="str">
        <f>+OperatingFunds!AB120</f>
        <v>FY2015</v>
      </c>
      <c r="AC120" s="2" t="str">
        <f>+OperatingFunds!AC120</f>
        <v>FY2016</v>
      </c>
      <c r="AD120" s="2" t="str">
        <f>+OperatingFunds!AD120</f>
        <v>FY2017</v>
      </c>
    </row>
    <row r="122" spans="2:30" ht="15" customHeight="1">
      <c r="B122" s="1" t="str">
        <f>+$B$8</f>
        <v>University of Washington</v>
      </c>
      <c r="C122"/>
      <c r="D122"/>
      <c r="E122"/>
      <c r="F122"/>
      <c r="G122"/>
      <c r="H122"/>
      <c r="I122"/>
      <c r="J122"/>
      <c r="K122"/>
      <c r="L122"/>
      <c r="M122"/>
      <c r="N122"/>
      <c r="O122"/>
      <c r="P122"/>
      <c r="Q122" s="3">
        <f>+OperatingFunds!Q122*1000/Enrollment!P$78</f>
        <v>306.81187313496463</v>
      </c>
      <c r="R122" s="3">
        <f>+OperatingFunds!R122*1000/Enrollment!Q$78</f>
        <v>261.09489766163853</v>
      </c>
      <c r="S122" s="3">
        <f>+OperatingFunds!S122*1000/Enrollment!R$78</f>
        <v>355.79628994197827</v>
      </c>
      <c r="T122" s="3">
        <f>+OperatingFunds!T122*1000/Enrollment!S$78</f>
        <v>353.73237546225801</v>
      </c>
      <c r="U122" s="3">
        <f>+OperatingFunds!U122*1000/Enrollment!T$78</f>
        <v>303.91831239542114</v>
      </c>
      <c r="V122" s="3">
        <f>+OperatingFunds!V122*1000/Enrollment!U$78</f>
        <v>373.31079323054558</v>
      </c>
      <c r="W122" s="3">
        <f>+OperatingFunds!W122*1000/Enrollment!V$78</f>
        <v>198.91073523778255</v>
      </c>
      <c r="X122" s="3">
        <f>+OperatingFunds!X122*1000/Enrollment!W$78</f>
        <v>362.51031349227702</v>
      </c>
      <c r="Y122" s="3">
        <f>+OperatingFunds!Y122*1000/Enrollment!X$78</f>
        <v>318.47670954200527</v>
      </c>
      <c r="Z122" s="3">
        <f>+OperatingFunds!Z122*1000/Enrollment!Y$78</f>
        <v>376.45359560841717</v>
      </c>
      <c r="AA122" s="3">
        <f>+OperatingFunds!AA122*1000/Enrollment!Z$78</f>
        <v>398.0496846240784</v>
      </c>
      <c r="AB122" s="3">
        <f>+OperatingFunds!AB122*1000/Enrollment!AA$78</f>
        <v>296.8806205263441</v>
      </c>
      <c r="AC122" s="3">
        <f>+OperatingFunds!AC122*1000/Enrollment!AB$78</f>
        <v>347.47860717937681</v>
      </c>
      <c r="AD122" s="3">
        <f>+OperatingFunds!AD122*1000/Enrollment!AC$78</f>
        <v>347.45169797104569</v>
      </c>
    </row>
    <row r="123" spans="2:30">
      <c r="B123" s="1" t="str">
        <f>+$B$9</f>
        <v>Washington State University</v>
      </c>
      <c r="C123"/>
      <c r="D123"/>
      <c r="E123"/>
      <c r="F123"/>
      <c r="G123"/>
      <c r="H123"/>
      <c r="I123"/>
      <c r="J123"/>
      <c r="K123"/>
      <c r="L123"/>
      <c r="M123"/>
      <c r="N123"/>
      <c r="O123"/>
      <c r="P123"/>
      <c r="Q123" s="3">
        <f>+OperatingFunds!Q123*1000/Enrollment!P$83</f>
        <v>197.98893916540976</v>
      </c>
      <c r="R123" s="3">
        <f>+OperatingFunds!R123*1000/Enrollment!Q$83</f>
        <v>193.20021586616298</v>
      </c>
      <c r="S123" s="3">
        <f>+OperatingFunds!S123*1000/Enrollment!R$83</f>
        <v>243.84010800906503</v>
      </c>
      <c r="T123" s="3">
        <f>+OperatingFunds!T123*1000/Enrollment!S$83</f>
        <v>236.35514018691589</v>
      </c>
      <c r="U123" s="3">
        <f>+OperatingFunds!U123*1000/Enrollment!T$83</f>
        <v>231.97247706422019</v>
      </c>
      <c r="V123" s="3">
        <f>+OperatingFunds!V123*1000/Enrollment!U$83</f>
        <v>227.32584269662922</v>
      </c>
      <c r="W123" s="3">
        <f>+OperatingFunds!W123*1000/Enrollment!V$83</f>
        <v>637.61797752808991</v>
      </c>
      <c r="X123" s="3">
        <f>+OperatingFunds!X123*1000/Enrollment!W$83</f>
        <v>637.66292134831463</v>
      </c>
      <c r="Y123" s="3">
        <f>+OperatingFunds!Y123*1000/Enrollment!X$83</f>
        <v>227.50584847939535</v>
      </c>
      <c r="Z123" s="3">
        <f>+OperatingFunds!Z123*1000/Enrollment!Y$83</f>
        <v>227.55083678243656</v>
      </c>
      <c r="AA123" s="3">
        <f>+OperatingFunds!AA123*1000/Enrollment!Z$83</f>
        <v>227.50584847939535</v>
      </c>
      <c r="AB123" s="3">
        <f>+OperatingFunds!AB123*1000/Enrollment!AA$83</f>
        <v>224.42097790398438</v>
      </c>
      <c r="AC123" s="3">
        <f>+OperatingFunds!AC123*1000/Enrollment!AB$83</f>
        <v>224.37556659863341</v>
      </c>
      <c r="AD123" s="3">
        <f>+OperatingFunds!AD123*1000/Enrollment!AC$83</f>
        <v>224.42201970006215</v>
      </c>
    </row>
    <row r="124" spans="2:30">
      <c r="B124" s="1" t="str">
        <f>+$B$10</f>
        <v>Eastern Washington University</v>
      </c>
      <c r="C124"/>
      <c r="D124"/>
      <c r="E124"/>
      <c r="F124"/>
      <c r="G124"/>
      <c r="H124"/>
      <c r="I124"/>
      <c r="J124"/>
      <c r="K124"/>
      <c r="L124"/>
      <c r="M124"/>
      <c r="N124"/>
      <c r="O124"/>
      <c r="P124"/>
      <c r="Q124" s="3">
        <f>+OperatingFunds!Q124*1000/Enrollment!P$91</f>
        <v>5.1917631901840497</v>
      </c>
      <c r="R124" s="3">
        <f>+OperatingFunds!R124*1000/Enrollment!Q$91</f>
        <v>203.61435602854033</v>
      </c>
      <c r="S124" s="3">
        <f>+OperatingFunds!S124*1000/Enrollment!R$91</f>
        <v>89.031675782613746</v>
      </c>
      <c r="T124" s="3">
        <f>+OperatingFunds!T124*1000/Enrollment!S$91</f>
        <v>162.30167784484686</v>
      </c>
      <c r="U124" s="3">
        <f>+OperatingFunds!U124*1000/Enrollment!T$91</f>
        <v>134.84221765228989</v>
      </c>
      <c r="V124" s="3">
        <f>+OperatingFunds!V124*1000/Enrollment!U$91</f>
        <v>109.31613784843205</v>
      </c>
      <c r="W124" s="3">
        <f>+OperatingFunds!W124*1000/Enrollment!V$91</f>
        <v>130.76560103810311</v>
      </c>
      <c r="X124" s="3">
        <f>+OperatingFunds!X124*1000/Enrollment!W$91</f>
        <v>377.89100068697047</v>
      </c>
      <c r="Y124" s="3">
        <f>+OperatingFunds!Y124*1000/Enrollment!X$91</f>
        <v>126.91779253492099</v>
      </c>
      <c r="Z124" s="3">
        <f>+OperatingFunds!Z124*1000/Enrollment!Y$91</f>
        <v>126.91779253492099</v>
      </c>
      <c r="AA124" s="3">
        <f>+OperatingFunds!AA124*1000/Enrollment!Z$91</f>
        <v>126.91779253492099</v>
      </c>
      <c r="AB124" s="3">
        <f>+OperatingFunds!AB124*1000/Enrollment!AA$91</f>
        <v>126.91779253492099</v>
      </c>
      <c r="AC124" s="3">
        <f>+OperatingFunds!AC124*1000/Enrollment!AB$91</f>
        <v>126.91779253492099</v>
      </c>
      <c r="AD124" s="3">
        <f>+OperatingFunds!AD124*1000/Enrollment!AC$91</f>
        <v>126.91779253492099</v>
      </c>
    </row>
    <row r="125" spans="2:30">
      <c r="B125" s="1" t="str">
        <f>+$B$11</f>
        <v>Central Washington University</v>
      </c>
      <c r="C125"/>
      <c r="D125"/>
      <c r="E125"/>
      <c r="F125"/>
      <c r="G125"/>
      <c r="H125"/>
      <c r="I125"/>
      <c r="J125"/>
      <c r="K125"/>
      <c r="L125"/>
      <c r="M125"/>
      <c r="N125"/>
      <c r="O125"/>
      <c r="P125"/>
      <c r="Q125" s="3">
        <f>+OperatingFunds!Q125*1000/Enrollment!P$92</f>
        <v>102.44589576130106</v>
      </c>
      <c r="R125" s="3">
        <f>+OperatingFunds!R125*1000/Enrollment!Q$92</f>
        <v>135.76697087135892</v>
      </c>
      <c r="S125" s="3">
        <f>+OperatingFunds!S125*1000/Enrollment!R$92</f>
        <v>145.50042052144659</v>
      </c>
      <c r="T125" s="3">
        <f>+OperatingFunds!T125*1000/Enrollment!S$92</f>
        <v>139.32351587666821</v>
      </c>
      <c r="U125" s="3">
        <f>+OperatingFunds!U125*1000/Enrollment!T$92</f>
        <v>135.27703306523682</v>
      </c>
      <c r="V125" s="3">
        <f>+OperatingFunds!V125*1000/Enrollment!U$92</f>
        <v>129.90774511907316</v>
      </c>
      <c r="W125" s="3">
        <f>+OperatingFunds!W125*1000/Enrollment!V$92</f>
        <v>142.99208879442673</v>
      </c>
      <c r="X125" s="3">
        <f>+OperatingFunds!X125*1000/Enrollment!W$92</f>
        <v>362.85185626702997</v>
      </c>
      <c r="Y125" s="3">
        <f>+OperatingFunds!Y125*1000/Enrollment!X$92</f>
        <v>137.48864668483196</v>
      </c>
      <c r="Z125" s="3">
        <f>+OperatingFunds!Z125*1000/Enrollment!Y$92</f>
        <v>137.48864668483196</v>
      </c>
      <c r="AA125" s="3">
        <f>+OperatingFunds!AA125*1000/Enrollment!Z$92</f>
        <v>133.00384404173531</v>
      </c>
      <c r="AB125" s="3">
        <f>+OperatingFunds!AB125*1000/Enrollment!AA$92</f>
        <v>133.00384404173531</v>
      </c>
      <c r="AC125" s="3">
        <f>+OperatingFunds!AC125*1000/Enrollment!AB$92</f>
        <v>133.00384404173531</v>
      </c>
      <c r="AD125" s="3">
        <f>+OperatingFunds!AD125*1000/Enrollment!AC$92</f>
        <v>133.00384404173531</v>
      </c>
    </row>
    <row r="126" spans="2:30">
      <c r="B126" s="1" t="str">
        <f>+$B$12</f>
        <v>The Evergreen State College</v>
      </c>
      <c r="C126"/>
      <c r="D126"/>
      <c r="E126"/>
      <c r="F126"/>
      <c r="G126"/>
      <c r="H126"/>
      <c r="I126"/>
      <c r="J126"/>
      <c r="K126"/>
      <c r="L126"/>
      <c r="M126"/>
      <c r="N126"/>
      <c r="O126"/>
      <c r="P126"/>
      <c r="Q126" s="3">
        <f>+OperatingFunds!Q126*1000/Enrollment!P$93</f>
        <v>64.210666494445874</v>
      </c>
      <c r="R126" s="3">
        <f>+OperatingFunds!R126*1000/Enrollment!Q$93</f>
        <v>123.42742690058479</v>
      </c>
      <c r="S126" s="3">
        <f>+OperatingFunds!S126*1000/Enrollment!R$93</f>
        <v>49.469586428925211</v>
      </c>
      <c r="T126" s="3">
        <f>+OperatingFunds!T126*1000/Enrollment!S$93</f>
        <v>135.22611875452569</v>
      </c>
      <c r="U126" s="3">
        <f>+OperatingFunds!U126*1000/Enrollment!T$93</f>
        <v>129.656393757503</v>
      </c>
      <c r="V126" s="3">
        <f>+OperatingFunds!V126*1000/Enrollment!U$93</f>
        <v>52.214839781628292</v>
      </c>
      <c r="W126" s="3">
        <f>+OperatingFunds!W126*1000/Enrollment!V$93</f>
        <v>180.15271777830526</v>
      </c>
      <c r="X126" s="3">
        <f>+OperatingFunds!X126*1000/Enrollment!W$93</f>
        <v>765.81706147638261</v>
      </c>
      <c r="Y126" s="3">
        <f>+OperatingFunds!Y126*1000/Enrollment!X$93</f>
        <v>139.67860906717303</v>
      </c>
      <c r="Z126" s="3">
        <f>+OperatingFunds!Z126*1000/Enrollment!Y$93</f>
        <v>40.436895323997149</v>
      </c>
      <c r="AA126" s="3">
        <f>+OperatingFunds!AA126*1000/Enrollment!Z$93</f>
        <v>177.44429385236174</v>
      </c>
      <c r="AB126" s="3">
        <f>+OperatingFunds!AB126*1000/Enrollment!AA$93</f>
        <v>7.3605506764776209E-3</v>
      </c>
      <c r="AC126" s="3">
        <f>+OperatingFunds!AC126*1000/Enrollment!AB$93</f>
        <v>179.83129598860668</v>
      </c>
      <c r="AD126" s="3">
        <f>+OperatingFunds!AD126*1000/Enrollment!AC$93</f>
        <v>6.0220151910752433</v>
      </c>
    </row>
    <row r="127" spans="2:30">
      <c r="B127" s="1" t="str">
        <f>+$B$13</f>
        <v>Western Washington University</v>
      </c>
      <c r="C127" s="41"/>
      <c r="D127" s="41"/>
      <c r="E127" s="41"/>
      <c r="F127" s="41"/>
      <c r="G127" s="41"/>
      <c r="H127" s="41"/>
      <c r="I127" s="41"/>
      <c r="J127" s="41"/>
      <c r="K127" s="41"/>
      <c r="L127" s="41"/>
      <c r="M127" s="41"/>
      <c r="N127" s="41"/>
      <c r="O127" s="41"/>
      <c r="P127" s="41"/>
      <c r="Q127" s="3">
        <f>+OperatingFunds!Q127*1000/Enrollment!P$94</f>
        <v>125.15566625155667</v>
      </c>
      <c r="R127" s="3">
        <f>+OperatingFunds!R127*1000/Enrollment!Q$94</f>
        <v>123.54025814382298</v>
      </c>
      <c r="S127" s="3">
        <f>+OperatingFunds!S127*1000/Enrollment!R$94</f>
        <v>156.66724466793826</v>
      </c>
      <c r="T127" s="3">
        <f>+OperatingFunds!T127*1000/Enrollment!S$94</f>
        <v>154.06257993008782</v>
      </c>
      <c r="U127" s="3">
        <f>+OperatingFunds!U127*1000/Enrollment!T$94</f>
        <v>150.30776909000167</v>
      </c>
      <c r="V127" s="3">
        <f>+OperatingFunds!V127*1000/Enrollment!U$94</f>
        <v>148.41889117043121</v>
      </c>
      <c r="W127" s="3">
        <f>+OperatingFunds!W127*1000/Enrollment!V$94</f>
        <v>158.88507869515519</v>
      </c>
      <c r="X127" s="3">
        <f>+OperatingFunds!X127*1000/Enrollment!W$94</f>
        <v>340.67335487162046</v>
      </c>
      <c r="Y127" s="3">
        <f>+OperatingFunds!Y127*1000/Enrollment!X$94</f>
        <v>153.63033497704473</v>
      </c>
      <c r="Z127" s="3">
        <f>+OperatingFunds!Z127*1000/Enrollment!Y$94</f>
        <v>153.63033497704473</v>
      </c>
      <c r="AA127" s="3">
        <f>+OperatingFunds!AA127*1000/Enrollment!Z$94</f>
        <v>153.63033497704473</v>
      </c>
      <c r="AB127" s="3">
        <f>+OperatingFunds!AB127*1000/Enrollment!AA$94</f>
        <v>153.63030777078728</v>
      </c>
      <c r="AC127" s="3">
        <f>+OperatingFunds!AC127*1000/Enrollment!AB$94</f>
        <v>153.63033497704473</v>
      </c>
      <c r="AD127" s="3">
        <f>+OperatingFunds!AD127*1000/Enrollment!AC$94</f>
        <v>153.63033497704473</v>
      </c>
    </row>
    <row r="128" spans="2:30">
      <c r="B128" s="199" t="str">
        <f>+$B$14</f>
        <v>Total Four-Year Institutions</v>
      </c>
      <c r="C128" s="42"/>
      <c r="D128" s="42"/>
      <c r="E128" s="42"/>
      <c r="F128" s="42"/>
      <c r="G128" s="42"/>
      <c r="H128" s="42"/>
      <c r="I128" s="42"/>
      <c r="J128" s="42"/>
      <c r="K128" s="42"/>
      <c r="L128" s="42"/>
      <c r="M128" s="42"/>
      <c r="N128" s="42"/>
      <c r="O128" s="42"/>
      <c r="P128" s="42"/>
      <c r="Q128" s="42">
        <f>+OperatingFunds!Q128*1000/Enrollment!P$101</f>
        <v>200.02161069774459</v>
      </c>
      <c r="R128" s="42">
        <f>+OperatingFunds!R128*1000/Enrollment!Q$101</f>
        <v>204.38774746402859</v>
      </c>
      <c r="S128" s="42">
        <f>+OperatingFunds!S128*1000/Enrollment!R$101</f>
        <v>244.89003159734676</v>
      </c>
      <c r="T128" s="42">
        <f>+OperatingFunds!T128*1000/Enrollment!S$101</f>
        <v>251.91473572846451</v>
      </c>
      <c r="U128" s="42">
        <f>+OperatingFunds!U128*1000/Enrollment!T$101</f>
        <v>227.28707124997325</v>
      </c>
      <c r="V128" s="42">
        <f>+OperatingFunds!V128*1000/Enrollment!U$101</f>
        <v>247.53958555451032</v>
      </c>
      <c r="W128" s="42">
        <f>+OperatingFunds!W128*1000/Enrollment!V$101</f>
        <v>288.43153392168887</v>
      </c>
      <c r="X128" s="42">
        <f>+OperatingFunds!X128*1000/Enrollment!W$101</f>
        <v>445.38835777851909</v>
      </c>
      <c r="Y128" s="42">
        <f>+OperatingFunds!Y128*1000/Enrollment!X$101</f>
        <v>232.56802458372357</v>
      </c>
      <c r="Z128" s="42">
        <f>+OperatingFunds!Z128*1000/Enrollment!Y$101</f>
        <v>251.26878663609841</v>
      </c>
      <c r="AA128" s="42">
        <f>+OperatingFunds!AA128*1000/Enrollment!Z$101</f>
        <v>265.26109598300502</v>
      </c>
      <c r="AB128" s="42">
        <f>+OperatingFunds!AB128*1000/Enrollment!AA$101</f>
        <v>216.19445548260151</v>
      </c>
      <c r="AC128" s="42">
        <f>+OperatingFunds!AC128*1000/Enrollment!AB$101</f>
        <v>244.39234521034288</v>
      </c>
      <c r="AD128" s="42">
        <f>+OperatingFunds!AD128*1000/Enrollment!AC$101</f>
        <v>236.56237814658763</v>
      </c>
    </row>
    <row r="129" spans="2:32">
      <c r="C129"/>
      <c r="D129"/>
      <c r="E129"/>
      <c r="F129"/>
      <c r="G129"/>
      <c r="H129"/>
      <c r="I129"/>
      <c r="J129"/>
      <c r="K129"/>
      <c r="L129"/>
      <c r="M129"/>
      <c r="N129"/>
      <c r="O129"/>
      <c r="P129"/>
    </row>
    <row r="130" spans="2:32">
      <c r="B130" s="1" t="str">
        <f>+$B$16</f>
        <v>Community/Technical College System</v>
      </c>
      <c r="C130"/>
      <c r="D130"/>
      <c r="E130"/>
      <c r="F130"/>
      <c r="G130"/>
      <c r="H130"/>
      <c r="I130"/>
      <c r="J130"/>
      <c r="K130"/>
      <c r="L130"/>
      <c r="M130"/>
      <c r="N130"/>
      <c r="O130"/>
      <c r="P130"/>
      <c r="Q130" s="3">
        <f>+OperatingFunds!Q130*1000/Enrollment!P$103</f>
        <v>69.537617404020779</v>
      </c>
      <c r="R130" s="3">
        <f>+OperatingFunds!R130*1000/Enrollment!Q$103</f>
        <v>69.128133840245169</v>
      </c>
      <c r="S130" s="3">
        <f>+OperatingFunds!S130*1000/Enrollment!R$103</f>
        <v>88.265288491654246</v>
      </c>
      <c r="T130" s="3">
        <f>+OperatingFunds!T130*1000/Enrollment!S$103</f>
        <v>84.373904296098488</v>
      </c>
      <c r="U130" s="3">
        <f>+OperatingFunds!U130*1000/Enrollment!T$103</f>
        <v>83.724637698196943</v>
      </c>
      <c r="V130" s="3">
        <f>+OperatingFunds!V130*1000/Enrollment!U$103</f>
        <v>81.923831237386622</v>
      </c>
      <c r="W130" s="3">
        <f>+OperatingFunds!W130*1000/Enrollment!V$103</f>
        <v>0</v>
      </c>
      <c r="X130" s="3">
        <f>+OperatingFunds!X130*1000/Enrollment!W$103</f>
        <v>0</v>
      </c>
      <c r="Y130" s="3">
        <f>+OperatingFunds!Y130*1000/Enrollment!X$103</f>
        <v>72.863616064695449</v>
      </c>
      <c r="Z130" s="3">
        <f>+OperatingFunds!Z130*1000/Enrollment!Y$103</f>
        <v>90.885961992861098</v>
      </c>
      <c r="AA130" s="3">
        <f>+OperatingFunds!AA130*1000/Enrollment!Z$103</f>
        <v>81.863016008675856</v>
      </c>
      <c r="AB130" s="3">
        <f>+OperatingFunds!AB130*1000/Enrollment!AA$103</f>
        <v>81.459360952496652</v>
      </c>
      <c r="AC130" s="3">
        <f>+OperatingFunds!AC130*1000/Enrollment!AB$103</f>
        <v>78.218332844983451</v>
      </c>
      <c r="AD130" s="3">
        <f>+OperatingFunds!AD130*1000/Enrollment!AC$103</f>
        <v>83.213042515025677</v>
      </c>
    </row>
    <row r="131" spans="2:32" hidden="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row>
    <row r="132" spans="2:32" ht="13.5" thickBot="1">
      <c r="C132"/>
      <c r="D132"/>
      <c r="E132"/>
      <c r="F132"/>
      <c r="G132"/>
      <c r="H132"/>
      <c r="I132"/>
      <c r="J132"/>
      <c r="K132"/>
      <c r="L132"/>
      <c r="M132"/>
      <c r="N132"/>
      <c r="O132"/>
      <c r="P132"/>
    </row>
    <row r="133" spans="2:32" ht="13.5" thickTop="1">
      <c r="B133" s="1" t="str">
        <f>+$B$19</f>
        <v>Total Higher Education</v>
      </c>
      <c r="C133" s="38"/>
      <c r="D133" s="38"/>
      <c r="E133" s="38"/>
      <c r="F133" s="38"/>
      <c r="G133" s="38"/>
      <c r="H133" s="38"/>
      <c r="I133" s="38"/>
      <c r="J133" s="38"/>
      <c r="K133" s="38"/>
      <c r="L133" s="38"/>
      <c r="M133" s="38"/>
      <c r="N133" s="38"/>
      <c r="O133" s="38"/>
      <c r="P133" s="38"/>
      <c r="Q133" s="39">
        <f>+OperatingFunds!Q133*1000/Enrollment!P$112</f>
        <v>122.22895949151113</v>
      </c>
      <c r="R133" s="39">
        <f>+OperatingFunds!R133*1000/Enrollment!Q$112</f>
        <v>123.87503154384734</v>
      </c>
      <c r="S133" s="39">
        <f>+OperatingFunds!S133*1000/Enrollment!R$112</f>
        <v>151.75951783532363</v>
      </c>
      <c r="T133" s="39">
        <f>+OperatingFunds!T133*1000/Enrollment!S$112</f>
        <v>152.64780024267421</v>
      </c>
      <c r="U133" s="39">
        <f>+OperatingFunds!U133*1000/Enrollment!T$112</f>
        <v>142.21891648671243</v>
      </c>
      <c r="V133" s="39">
        <f>+OperatingFunds!V133*1000/Enrollment!U$112</f>
        <v>149.37375489023316</v>
      </c>
      <c r="W133" s="39">
        <f>+OperatingFunds!W133*1000/Enrollment!V$112</f>
        <v>114.24923613731485</v>
      </c>
      <c r="X133" s="39">
        <f>+OperatingFunds!X133*1000/Enrollment!W$112</f>
        <v>175.39779510541373</v>
      </c>
      <c r="Y133" s="39">
        <f>+OperatingFunds!Y133*1000/Enrollment!X$112</f>
        <v>136.77936440312911</v>
      </c>
      <c r="Z133" s="39">
        <f>+OperatingFunds!Z133*1000/Enrollment!Y$112</f>
        <v>155.07322114721899</v>
      </c>
      <c r="AA133" s="39">
        <f>+OperatingFunds!AA133*1000/Enrollment!Z$112</f>
        <v>155.4018264850005</v>
      </c>
      <c r="AB133" s="39">
        <f>+OperatingFunds!AB133*1000/Enrollment!AA$112</f>
        <v>135.43281732857551</v>
      </c>
      <c r="AC133" s="39">
        <f>+OperatingFunds!AC133*1000/Enrollment!AB$112</f>
        <v>144.78588778320861</v>
      </c>
      <c r="AD133" s="39">
        <f>+OperatingFunds!AD133*1000/Enrollment!AC$112</f>
        <v>144.64316735277865</v>
      </c>
    </row>
    <row r="134" spans="2:32">
      <c r="B134" s="199" t="str">
        <f>+$B$20</f>
        <v>[biennial annual average]</v>
      </c>
      <c r="C134"/>
      <c r="D134"/>
      <c r="E134"/>
      <c r="F134"/>
      <c r="G134"/>
      <c r="H134"/>
      <c r="I134"/>
      <c r="J134"/>
      <c r="K134"/>
      <c r="L134"/>
      <c r="M134"/>
      <c r="N134"/>
      <c r="O134"/>
      <c r="P134"/>
      <c r="R134" s="3">
        <f>AVERAGE(Q133:R133)</f>
        <v>123.05199551767925</v>
      </c>
      <c r="T134" s="3">
        <f>AVERAGE(S133:T133)</f>
        <v>152.20365903899892</v>
      </c>
      <c r="V134" s="3">
        <f>AVERAGE(U133:V133)</f>
        <v>145.79633568847279</v>
      </c>
      <c r="X134" s="3">
        <f>AVERAGE(W133:X133)</f>
        <v>144.82351562136429</v>
      </c>
      <c r="Z134" s="3">
        <f>AVERAGE(Y133:Z133)</f>
        <v>145.92629277517403</v>
      </c>
      <c r="AB134" s="3">
        <f>AVERAGE(AA133:AB133)</f>
        <v>145.417321906788</v>
      </c>
      <c r="AD134" s="3">
        <f>AVERAGE(AC133:AD133)</f>
        <v>144.71452756799363</v>
      </c>
    </row>
    <row r="135" spans="2:32">
      <c r="D135" s="3"/>
      <c r="F135" s="3"/>
      <c r="H135" s="3"/>
      <c r="J135" s="3"/>
      <c r="L135" s="3"/>
      <c r="N135" s="3"/>
      <c r="P135" s="3"/>
      <c r="R135" s="3"/>
      <c r="T135" s="3"/>
    </row>
    <row r="136" spans="2:32" ht="50.1" customHeight="1">
      <c r="B136" s="2400" t="str">
        <f>+OperatingFunds!B136</f>
        <v>Other State Funds:  Aquatic Lands (02R-1); Economic Development Strategic Reserve (09R-1); Geoduck Aquaculture (12P-1); Biotoxin (15M-1); Aerospace Training (17R-1); Workforce Education Investment (24J-1); Dedicated Marijuana (315-1); Pension Funding Stablilization (489-1); Accident (608-1); Medical Aid (609-1); Health Professions (747-1), and capital funds appropriated in the 2023-25 Operating Budget</v>
      </c>
      <c r="C136" s="2400"/>
      <c r="D136" s="2400"/>
      <c r="E136" s="2400"/>
      <c r="F136" s="2400"/>
      <c r="G136" s="2400"/>
      <c r="H136" s="2400"/>
      <c r="I136" s="2400"/>
      <c r="J136" s="2400"/>
      <c r="K136" s="2400"/>
      <c r="L136" s="2400"/>
      <c r="M136" s="2400"/>
      <c r="N136" s="2400"/>
      <c r="O136" s="2400"/>
      <c r="P136" s="2400"/>
      <c r="Q136" s="2400"/>
      <c r="R136" s="2400"/>
      <c r="S136" s="2400"/>
      <c r="T136" s="2400"/>
      <c r="U136" s="2400"/>
      <c r="V136" s="2400"/>
      <c r="W136" s="2400"/>
      <c r="X136" s="2400"/>
      <c r="Y136" s="2400"/>
      <c r="Z136" s="2400"/>
      <c r="AA136" s="2400"/>
      <c r="AB136" s="2400"/>
      <c r="AC136" s="2400"/>
      <c r="AD136" s="2400"/>
      <c r="AE136"/>
      <c r="AF136"/>
    </row>
    <row r="137" spans="2:32">
      <c r="B137" s="377" t="str">
        <f>+$B$4</f>
        <v>(Dollars Per Budgeted State-Funded FTE Enrollment)</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2:32">
      <c r="I138" s="13"/>
      <c r="J138" s="13"/>
      <c r="K138" s="13"/>
      <c r="L138" s="13"/>
      <c r="M138" s="13"/>
      <c r="N138" s="13"/>
      <c r="O138" s="13"/>
      <c r="P138" s="13"/>
      <c r="Q138"/>
      <c r="R138" s="13"/>
      <c r="S138"/>
      <c r="T138"/>
      <c r="U138" s="2"/>
      <c r="V138" s="2"/>
      <c r="W138" s="2"/>
      <c r="X138" s="2"/>
      <c r="Y138" s="2"/>
      <c r="Z138" s="2"/>
      <c r="AA138" s="2"/>
      <c r="AB138" s="2"/>
      <c r="AC138" s="5" t="str">
        <f>TRIM(OperatingFunds!AC138)</f>
        <v/>
      </c>
      <c r="AD138" s="2" t="str">
        <f>TRIM(OperatingFunds!AD138)</f>
        <v/>
      </c>
    </row>
    <row r="139" spans="2:32">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+OperatingFunds!U139</f>
        <v>FY2008</v>
      </c>
      <c r="V139" s="2" t="str">
        <f>+OperatingFunds!V139</f>
        <v>FY2009</v>
      </c>
      <c r="W139" s="2" t="str">
        <f>+$W$6</f>
        <v>FY2010</v>
      </c>
      <c r="X139" s="2" t="str">
        <f>+$X$6</f>
        <v>FY2011</v>
      </c>
      <c r="Y139" s="2" t="str">
        <f>+OperatingFunds!Y139</f>
        <v>FY2012</v>
      </c>
      <c r="Z139" s="2" t="str">
        <f>+OperatingFunds!Z139</f>
        <v>FY2013</v>
      </c>
      <c r="AA139" s="2" t="str">
        <f>+OperatingFunds!AA139</f>
        <v>FY2014</v>
      </c>
      <c r="AB139" s="2" t="str">
        <f>+OperatingFunds!AB139</f>
        <v>FY2015</v>
      </c>
      <c r="AC139" s="2" t="str">
        <f>+OperatingFunds!AC139</f>
        <v>FY2016</v>
      </c>
      <c r="AD139" s="2" t="str">
        <f>+OperatingFunds!AD139</f>
        <v>FY2017</v>
      </c>
    </row>
    <row r="141" spans="2:32">
      <c r="B141" s="1" t="str">
        <f>+$B$8</f>
        <v>University of Washington</v>
      </c>
      <c r="C141" s="3"/>
      <c r="D141" s="3"/>
      <c r="E141" s="3"/>
      <c r="F141" s="3"/>
      <c r="G141" s="3"/>
      <c r="H141" s="3"/>
      <c r="I141" s="3"/>
      <c r="J141" s="3"/>
      <c r="K141" s="3"/>
      <c r="L141" s="3"/>
      <c r="M141" s="3">
        <f>+OperatingFunds!M141*1000/Enrollment!L$78</f>
        <v>155.47921791973695</v>
      </c>
      <c r="N141" s="3">
        <f>+OperatingFunds!N141*1000/Enrollment!M$78</f>
        <v>181.5876210793358</v>
      </c>
      <c r="O141" s="3">
        <f>+OperatingFunds!O141*1000/Enrollment!N$78</f>
        <v>166.58186846639865</v>
      </c>
      <c r="P141" s="3">
        <f>+OperatingFunds!P141*1000/Enrollment!O$78</f>
        <v>202.60113071188755</v>
      </c>
      <c r="Q141" s="3">
        <f>+OperatingFunds!Q141*1000/Enrollment!P$78</f>
        <v>166.93552675704095</v>
      </c>
      <c r="R141" s="3">
        <f>+OperatingFunds!R141*1000/Enrollment!Q$78</f>
        <v>168.61368305949648</v>
      </c>
      <c r="S141" s="3">
        <f>+OperatingFunds!S141*1000/Enrollment!R$78</f>
        <v>168.16381666250243</v>
      </c>
      <c r="T141" s="3">
        <f>+OperatingFunds!T141*1000/Enrollment!S$78</f>
        <v>187.46542011094195</v>
      </c>
      <c r="U141" s="3">
        <f>+OperatingFunds!U141*1000/Enrollment!T$78</f>
        <v>172.32215691482295</v>
      </c>
      <c r="V141" s="3">
        <f>+OperatingFunds!V141*1000/Enrollment!U$78</f>
        <v>165.62971889113845</v>
      </c>
      <c r="W141" s="3">
        <f>+OperatingFunds!W141*1000/Enrollment!V$78</f>
        <v>180.49957669786022</v>
      </c>
      <c r="X141" s="3">
        <f>+OperatingFunds!X141*1000/Enrollment!W$78</f>
        <v>185.95713120929983</v>
      </c>
      <c r="Y141" s="3">
        <f>+OperatingFunds!Y141*1000/Enrollment!X$78</f>
        <v>166.50884209676551</v>
      </c>
      <c r="Z141" s="3">
        <f>+OperatingFunds!Z141*1000/Enrollment!Y$78</f>
        <v>237.21085086916744</v>
      </c>
      <c r="AA141" s="3">
        <f>+OperatingFunds!AA141*1000/Enrollment!Z$78</f>
        <v>209.38695952855065</v>
      </c>
      <c r="AB141" s="3">
        <f>+OperatingFunds!AB141*1000/Enrollment!AA$78</f>
        <v>257.59331010171678</v>
      </c>
      <c r="AC141" s="3">
        <f>+OperatingFunds!AC141*1000/Enrollment!AB$78</f>
        <v>259.82087454927074</v>
      </c>
      <c r="AD141" s="3">
        <f>+OperatingFunds!AD141*1000/Enrollment!AC$78</f>
        <v>256.08837118561974</v>
      </c>
    </row>
    <row r="142" spans="2:32">
      <c r="B142" s="1" t="str">
        <f>+$B$9</f>
        <v>Washington State University</v>
      </c>
      <c r="C142" s="3"/>
      <c r="D142" s="3"/>
      <c r="E142" s="3"/>
      <c r="F142" s="3"/>
      <c r="G142" s="3"/>
      <c r="H142" s="3"/>
      <c r="I142" s="3"/>
      <c r="J142" s="3"/>
      <c r="K142" s="3"/>
      <c r="L142" s="3"/>
      <c r="M142" s="3">
        <f>+OperatingFunds!M142*1000/Enrollment!L$83</f>
        <v>0</v>
      </c>
      <c r="N142" s="3">
        <f>+OperatingFunds!N142*1000/Enrollment!M$83</f>
        <v>0</v>
      </c>
      <c r="O142" s="3">
        <f>+OperatingFunds!O142*1000/Enrollment!N$83</f>
        <v>0</v>
      </c>
      <c r="P142" s="3">
        <f>+OperatingFunds!P142*1000/Enrollment!O$83</f>
        <v>0</v>
      </c>
      <c r="Q142" s="3">
        <f>+OperatingFunds!Q142*1000/Enrollment!P$83</f>
        <v>0</v>
      </c>
      <c r="R142" s="3">
        <f>+OperatingFunds!R142*1000/Enrollment!Q$83</f>
        <v>7.3590737379188536</v>
      </c>
      <c r="S142" s="3">
        <f>+OperatingFunds!S142*1000/Enrollment!R$83</f>
        <v>0</v>
      </c>
      <c r="T142" s="3">
        <f>+OperatingFunds!T142*1000/Enrollment!S$83</f>
        <v>13.691588785046729</v>
      </c>
      <c r="U142" s="3">
        <f>+OperatingFunds!U142*1000/Enrollment!T$83</f>
        <v>56.192660550458719</v>
      </c>
      <c r="V142" s="3">
        <f>+OperatingFunds!V142*1000/Enrollment!U$83</f>
        <v>55.056179775280896</v>
      </c>
      <c r="W142" s="3">
        <f>+OperatingFunds!W142*1000/Enrollment!V$83</f>
        <v>0</v>
      </c>
      <c r="X142" s="3">
        <f>+OperatingFunds!X142*1000/Enrollment!W$83</f>
        <v>0</v>
      </c>
      <c r="Y142" s="3">
        <f>+OperatingFunds!Y142*1000/Enrollment!X$83</f>
        <v>0</v>
      </c>
      <c r="Z142" s="3">
        <f>+OperatingFunds!Z142*1000/Enrollment!Y$83</f>
        <v>0</v>
      </c>
      <c r="AA142" s="3">
        <f>+OperatingFunds!AA142*1000/Enrollment!Z$83</f>
        <v>0</v>
      </c>
      <c r="AB142" s="3">
        <f>+OperatingFunds!AB142*1000/Enrollment!AA$83</f>
        <v>0</v>
      </c>
      <c r="AC142" s="3">
        <f>+OperatingFunds!AC142*1000/Enrollment!AB$83</f>
        <v>6.1229922797053868</v>
      </c>
      <c r="AD142" s="3">
        <f>+OperatingFunds!AD142*1000/Enrollment!AC$83</f>
        <v>6.1229922797053868</v>
      </c>
    </row>
    <row r="143" spans="2:32">
      <c r="B143" s="1" t="str">
        <f>+$B$10</f>
        <v>Eastern Washington University</v>
      </c>
      <c r="C143" s="3"/>
      <c r="D143" s="3"/>
      <c r="E143" s="3"/>
      <c r="F143" s="3"/>
      <c r="G143" s="3"/>
      <c r="H143" s="3"/>
      <c r="I143" s="3"/>
      <c r="J143" s="3"/>
      <c r="K143" s="3"/>
      <c r="L143" s="3"/>
      <c r="M143" s="3">
        <f>+OperatingFunds!M143*1000/Enrollment!L$91</f>
        <v>0</v>
      </c>
      <c r="N143" s="3">
        <f>+OperatingFunds!N143*1000/Enrollment!M$91</f>
        <v>0</v>
      </c>
      <c r="O143" s="3">
        <f>+OperatingFunds!O143*1000/Enrollment!N$91</f>
        <v>0</v>
      </c>
      <c r="P143" s="3">
        <f>+OperatingFunds!P143*1000/Enrollment!O$91</f>
        <v>0</v>
      </c>
      <c r="Q143" s="3">
        <f>+OperatingFunds!Q143*1000/Enrollment!P$91</f>
        <v>0</v>
      </c>
      <c r="R143" s="3">
        <f>+OperatingFunds!R143*1000/Enrollment!Q$91</f>
        <v>0</v>
      </c>
      <c r="S143" s="3">
        <f>+OperatingFunds!S143*1000/Enrollment!R$91</f>
        <v>0</v>
      </c>
      <c r="T143" s="3">
        <f>+OperatingFunds!T143*1000/Enrollment!S$91</f>
        <v>12.295998211491169</v>
      </c>
      <c r="U143" s="3">
        <f>+OperatingFunds!U143*1000/Enrollment!T$91</f>
        <v>264.45086705202311</v>
      </c>
      <c r="V143" s="3">
        <f>+OperatingFunds!V143*1000/Enrollment!U$91</f>
        <v>259.03745644599303</v>
      </c>
      <c r="W143" s="3">
        <f>+OperatingFunds!W143*1000/Enrollment!V$91</f>
        <v>0</v>
      </c>
      <c r="X143" s="3">
        <f>+OperatingFunds!X143*1000/Enrollment!W$91</f>
        <v>0</v>
      </c>
      <c r="Y143" s="3">
        <f>+OperatingFunds!Y143*1000/Enrollment!X$91</f>
        <v>0</v>
      </c>
      <c r="Z143" s="3">
        <f>+OperatingFunds!Z143*1000/Enrollment!Y$91</f>
        <v>0</v>
      </c>
      <c r="AA143" s="3">
        <f>+OperatingFunds!AA143*1000/Enrollment!Z$91</f>
        <v>0</v>
      </c>
      <c r="AB143" s="3">
        <f>+OperatingFunds!AB143*1000/Enrollment!AA$91</f>
        <v>0</v>
      </c>
      <c r="AC143" s="3">
        <f>+OperatingFunds!AC143*1000/Enrollment!AB$91</f>
        <v>0</v>
      </c>
      <c r="AD143" s="3">
        <f>+OperatingFunds!AD143*1000/Enrollment!AC$91</f>
        <v>0</v>
      </c>
    </row>
    <row r="144" spans="2:32">
      <c r="B144" s="1" t="str">
        <f>+$B$11</f>
        <v>Central Washington University</v>
      </c>
      <c r="C144" s="3"/>
      <c r="D144" s="3"/>
      <c r="E144" s="3"/>
      <c r="F144" s="3"/>
      <c r="G144" s="3"/>
      <c r="H144" s="3"/>
      <c r="I144" s="3"/>
      <c r="J144" s="3"/>
      <c r="K144" s="3"/>
      <c r="L144" s="3"/>
      <c r="M144" s="3">
        <f>+OperatingFunds!M144*1000/Enrollment!L$92</f>
        <v>0</v>
      </c>
      <c r="N144" s="3">
        <f>+OperatingFunds!N144*1000/Enrollment!M$92</f>
        <v>0</v>
      </c>
      <c r="O144" s="3">
        <f>+OperatingFunds!O144*1000/Enrollment!N$92</f>
        <v>0</v>
      </c>
      <c r="P144" s="3">
        <f>+OperatingFunds!P144*1000/Enrollment!O$92</f>
        <v>0</v>
      </c>
      <c r="Q144" s="3">
        <f>+OperatingFunds!Q144*1000/Enrollment!P$92</f>
        <v>0</v>
      </c>
      <c r="R144" s="3">
        <f>+OperatingFunds!R144*1000/Enrollment!Q$92</f>
        <v>0</v>
      </c>
      <c r="S144" s="3">
        <f>+OperatingFunds!S144*1000/Enrollment!R$92</f>
        <v>0</v>
      </c>
      <c r="T144" s="3">
        <f>+OperatingFunds!T144*1000/Enrollment!S$92</f>
        <v>11.849976990335941</v>
      </c>
      <c r="U144" s="3">
        <f>+OperatingFunds!U144*1000/Enrollment!T$92</f>
        <v>241.84539767649687</v>
      </c>
      <c r="V144" s="3">
        <f>+OperatingFunds!V144*1000/Enrollment!U$92</f>
        <v>232.2462990774512</v>
      </c>
      <c r="W144" s="3">
        <f>+OperatingFunds!W144*1000/Enrollment!V$92</f>
        <v>0</v>
      </c>
      <c r="X144" s="3">
        <f>+OperatingFunds!X144*1000/Enrollment!W$92</f>
        <v>0</v>
      </c>
      <c r="Y144" s="3">
        <f>+OperatingFunds!Y144*1000/Enrollment!X$92</f>
        <v>0</v>
      </c>
      <c r="Z144" s="3">
        <f>+OperatingFunds!Z144*1000/Enrollment!Y$92</f>
        <v>0</v>
      </c>
      <c r="AA144" s="3">
        <f>+OperatingFunds!AA144*1000/Enrollment!Z$92</f>
        <v>0</v>
      </c>
      <c r="AB144" s="3">
        <f>+OperatingFunds!AB144*1000/Enrollment!AA$92</f>
        <v>0</v>
      </c>
      <c r="AC144" s="3">
        <f>+OperatingFunds!AC144*1000/Enrollment!AB$92</f>
        <v>0</v>
      </c>
      <c r="AD144" s="3">
        <f>+OperatingFunds!AD144*1000/Enrollment!AC$92</f>
        <v>0</v>
      </c>
    </row>
    <row r="145" spans="2:33">
      <c r="B145" s="1" t="str">
        <f>+$B$12</f>
        <v>The Evergreen State College</v>
      </c>
      <c r="C145" s="3"/>
      <c r="D145" s="3"/>
      <c r="E145" s="3"/>
      <c r="F145" s="3"/>
      <c r="G145" s="3"/>
      <c r="H145" s="3"/>
      <c r="I145" s="3"/>
      <c r="J145" s="3"/>
      <c r="K145" s="3"/>
      <c r="L145" s="3"/>
      <c r="M145" s="3">
        <f>+OperatingFunds!M145*1000/Enrollment!L$93</f>
        <v>0</v>
      </c>
      <c r="N145" s="3">
        <f>+OperatingFunds!N145*1000/Enrollment!M$93</f>
        <v>0</v>
      </c>
      <c r="O145" s="3">
        <f>+OperatingFunds!O145*1000/Enrollment!N$93</f>
        <v>0</v>
      </c>
      <c r="P145" s="3">
        <f>+OperatingFunds!P145*1000/Enrollment!O$93</f>
        <v>0</v>
      </c>
      <c r="Q145" s="3">
        <f>+OperatingFunds!Q145*1000/Enrollment!P$93</f>
        <v>0</v>
      </c>
      <c r="R145" s="3">
        <f>+OperatingFunds!R145*1000/Enrollment!Q$93</f>
        <v>0</v>
      </c>
      <c r="S145" s="3">
        <f>+OperatingFunds!S145*1000/Enrollment!R$93</f>
        <v>0</v>
      </c>
      <c r="T145" s="3">
        <f>+OperatingFunds!T145*1000/Enrollment!S$93</f>
        <v>18.102824040550328</v>
      </c>
      <c r="U145" s="3">
        <f>+OperatingFunds!U145*1000/Enrollment!T$93</f>
        <v>0</v>
      </c>
      <c r="V145" s="3">
        <f>+OperatingFunds!V145*1000/Enrollment!U$93</f>
        <v>0</v>
      </c>
      <c r="W145" s="3">
        <f>+OperatingFunds!W145*1000/Enrollment!V$93</f>
        <v>0</v>
      </c>
      <c r="X145" s="3">
        <f>+OperatingFunds!X145*1000/Enrollment!W$93</f>
        <v>0</v>
      </c>
      <c r="Y145" s="3">
        <f>+OperatingFunds!Y145*1000/Enrollment!X$93</f>
        <v>0</v>
      </c>
      <c r="Z145" s="3">
        <f>+OperatingFunds!Z145*1000/Enrollment!Y$93</f>
        <v>0</v>
      </c>
      <c r="AA145" s="3">
        <f>+OperatingFunds!AA145*1000/Enrollment!Z$93</f>
        <v>0</v>
      </c>
      <c r="AB145" s="3">
        <f>+OperatingFunds!AB145*1000/Enrollment!AA$93</f>
        <v>0</v>
      </c>
      <c r="AC145" s="3">
        <f>+OperatingFunds!AC145*1000/Enrollment!AB$93</f>
        <v>0</v>
      </c>
      <c r="AD145" s="3">
        <f>+OperatingFunds!AD145*1000/Enrollment!AC$93</f>
        <v>0</v>
      </c>
    </row>
    <row r="146" spans="2:33">
      <c r="B146" s="1" t="str">
        <f>+$B$13</f>
        <v>Western Washington University</v>
      </c>
      <c r="C146" s="3"/>
      <c r="D146" s="3"/>
      <c r="E146" s="3"/>
      <c r="F146" s="3"/>
      <c r="G146" s="3"/>
      <c r="H146" s="3"/>
      <c r="I146" s="3"/>
      <c r="J146" s="3"/>
      <c r="K146" s="3"/>
      <c r="L146" s="3"/>
      <c r="M146" s="3">
        <f>+OperatingFunds!M146*1000/Enrollment!L$94</f>
        <v>0</v>
      </c>
      <c r="N146" s="3">
        <f>+OperatingFunds!N146*1000/Enrollment!M$94</f>
        <v>0</v>
      </c>
      <c r="O146" s="3">
        <f>+OperatingFunds!O146*1000/Enrollment!N$94</f>
        <v>0</v>
      </c>
      <c r="P146" s="3">
        <f>+OperatingFunds!P146*1000/Enrollment!O$94</f>
        <v>0</v>
      </c>
      <c r="Q146" s="3">
        <f>+OperatingFunds!Q146*1000/Enrollment!P$94</f>
        <v>0</v>
      </c>
      <c r="R146" s="3">
        <f>+OperatingFunds!R146*1000/Enrollment!Q$94</f>
        <v>0</v>
      </c>
      <c r="S146" s="3">
        <f>+OperatingFunds!S146*1000/Enrollment!R$94</f>
        <v>0</v>
      </c>
      <c r="T146" s="3">
        <f>+OperatingFunds!T146*1000/Enrollment!S$94</f>
        <v>13.726660414357575</v>
      </c>
      <c r="U146" s="3">
        <f>+OperatingFunds!U146*1000/Enrollment!T$94</f>
        <v>0</v>
      </c>
      <c r="V146" s="3">
        <f>+OperatingFunds!V146*1000/Enrollment!U$94</f>
        <v>0</v>
      </c>
      <c r="W146" s="3">
        <f>+OperatingFunds!W146*1000/Enrollment!V$94</f>
        <v>0</v>
      </c>
      <c r="X146" s="3">
        <f>+OperatingFunds!X146*1000/Enrollment!W$94</f>
        <v>0</v>
      </c>
      <c r="Y146" s="3">
        <f>+OperatingFunds!Y146*1000/Enrollment!X$94</f>
        <v>0</v>
      </c>
      <c r="Z146" s="3">
        <f>+OperatingFunds!Z146*1000/Enrollment!Y$94</f>
        <v>0</v>
      </c>
      <c r="AA146" s="3">
        <f>+OperatingFunds!AA146*1000/Enrollment!Z$94</f>
        <v>0</v>
      </c>
      <c r="AB146" s="3">
        <f>+OperatingFunds!AB146*1000/Enrollment!AA$94</f>
        <v>0</v>
      </c>
      <c r="AC146" s="3">
        <f>+OperatingFunds!AC146*1000/Enrollment!AB$94</f>
        <v>0</v>
      </c>
      <c r="AD146" s="3">
        <f>+OperatingFunds!AD146*1000/Enrollment!AC$94</f>
        <v>0</v>
      </c>
    </row>
    <row r="147" spans="2:33">
      <c r="B147" s="199" t="str">
        <f>+$B$14</f>
        <v>Total Four-Year Institutions</v>
      </c>
      <c r="C147" s="42"/>
      <c r="D147" s="42"/>
      <c r="E147" s="42"/>
      <c r="F147" s="42"/>
      <c r="G147" s="42"/>
      <c r="H147" s="42"/>
      <c r="I147" s="42"/>
      <c r="J147" s="42"/>
      <c r="K147" s="42"/>
      <c r="L147" s="42"/>
      <c r="M147" s="42">
        <f>+OperatingFunds!M147*1000/Enrollment!L$101</f>
        <v>64.346324690788023</v>
      </c>
      <c r="N147" s="42">
        <f>+OperatingFunds!N147*1000/Enrollment!M$101</f>
        <v>74.231470154970253</v>
      </c>
      <c r="O147" s="42">
        <f>+OperatingFunds!O147*1000/Enrollment!N$101</f>
        <v>68.624879145321401</v>
      </c>
      <c r="P147" s="42">
        <f>+OperatingFunds!P147*1000/Enrollment!O$101</f>
        <v>83.487153710868796</v>
      </c>
      <c r="Q147" s="42">
        <f>+OperatingFunds!Q147*1000/Enrollment!P$101</f>
        <v>68.18373260281605</v>
      </c>
      <c r="R147" s="42">
        <f>+OperatingFunds!R147*1000/Enrollment!Q$101</f>
        <v>70.331423453028918</v>
      </c>
      <c r="S147" s="42">
        <f>+OperatingFunds!S147*1000/Enrollment!R$101</f>
        <v>67.871872086769443</v>
      </c>
      <c r="T147" s="42">
        <f>+OperatingFunds!T147*1000/Enrollment!S$101</f>
        <v>83.286742686996931</v>
      </c>
      <c r="U147" s="42">
        <f>+OperatingFunds!U147*1000/Enrollment!T$101</f>
        <v>130.9715291817152</v>
      </c>
      <c r="V147" s="42">
        <f>+OperatingFunds!V147*1000/Enrollment!U$101</f>
        <v>126.99958764502979</v>
      </c>
      <c r="W147" s="42">
        <f>+OperatingFunds!W147*1000/Enrollment!V$101</f>
        <v>72.229081223721082</v>
      </c>
      <c r="X147" s="42">
        <f>+OperatingFunds!X147*1000/Enrollment!W$101</f>
        <v>74.36364224300273</v>
      </c>
      <c r="Y147" s="42">
        <f>+OperatingFunds!Y147*1000/Enrollment!X$101</f>
        <v>66.602103070812746</v>
      </c>
      <c r="Z147" s="42">
        <f>+OperatingFunds!Z147*1000/Enrollment!Y$101</f>
        <v>94.882297781652625</v>
      </c>
      <c r="AA147" s="42">
        <f>+OperatingFunds!AA147*1000/Enrollment!Z$101</f>
        <v>83.486097055920339</v>
      </c>
      <c r="AB147" s="42">
        <f>+OperatingFunds!AB147*1000/Enrollment!AA$101</f>
        <v>102.36630440361868</v>
      </c>
      <c r="AC147" s="42">
        <f>+OperatingFunds!AC147*1000/Enrollment!AB$101</f>
        <v>104.72724233804564</v>
      </c>
      <c r="AD147" s="42">
        <f>+OperatingFunds!AD147*1000/Enrollment!AC$101</f>
        <v>103.24396400538957</v>
      </c>
    </row>
    <row r="149" spans="2:33" ht="15" customHeight="1">
      <c r="B149" s="1" t="str">
        <f>+$B$16</f>
        <v>Community/Technical College System</v>
      </c>
      <c r="C149" s="3"/>
      <c r="D149" s="3"/>
      <c r="E149" s="3"/>
      <c r="F149" s="3"/>
      <c r="G149" s="3"/>
      <c r="H149" s="3"/>
      <c r="I149" s="3"/>
      <c r="J149" s="3"/>
      <c r="K149" s="3"/>
      <c r="L149" s="3"/>
      <c r="M149" s="3">
        <f>+OperatingFunds!M149*1000/Enrollment!L$103</f>
        <v>0</v>
      </c>
      <c r="N149" s="3">
        <f>+OperatingFunds!N149*1000/Enrollment!M$103</f>
        <v>0</v>
      </c>
      <c r="O149" s="3">
        <f>+OperatingFunds!O149*1000/Enrollment!N$103</f>
        <v>0</v>
      </c>
      <c r="P149" s="3">
        <f>+OperatingFunds!P149*1000/Enrollment!O$103</f>
        <v>0</v>
      </c>
      <c r="Q149" s="3">
        <f>+OperatingFunds!Q149*1000/Enrollment!P$103</f>
        <v>0</v>
      </c>
      <c r="R149" s="3">
        <f>+OperatingFunds!R149*1000/Enrollment!Q$103</f>
        <v>0</v>
      </c>
      <c r="S149" s="3">
        <f>+OperatingFunds!S149*1000/Enrollment!R$103</f>
        <v>0</v>
      </c>
      <c r="T149" s="3">
        <f>+OperatingFunds!T149*1000/Enrollment!S$103</f>
        <v>9.5718904483635523</v>
      </c>
      <c r="U149" s="3">
        <f>+OperatingFunds!U149*1000/Enrollment!T$103</f>
        <v>161.64347327739489</v>
      </c>
      <c r="V149" s="3">
        <f>+OperatingFunds!V149*1000/Enrollment!U$103</f>
        <v>199.6595732456172</v>
      </c>
      <c r="W149" s="3">
        <f>+OperatingFunds!W149*1000/Enrollment!V$103</f>
        <v>0</v>
      </c>
      <c r="X149" s="3">
        <f>+OperatingFunds!X149*1000/Enrollment!W$103</f>
        <v>0</v>
      </c>
      <c r="Y149" s="3">
        <f>+OperatingFunds!Y149*1000/Enrollment!X$103</f>
        <v>28.864454132163146</v>
      </c>
      <c r="Z149" s="3">
        <f>+OperatingFunds!Z149*1000/Enrollment!Y$103</f>
        <v>57.481128866608728</v>
      </c>
      <c r="AA149" s="3">
        <f>+OperatingFunds!AA149*1000/Enrollment!Z$103</f>
        <v>60.185699634436247</v>
      </c>
      <c r="AB149" s="3">
        <f>+OperatingFunds!AB149*1000/Enrollment!AA$103</f>
        <v>59.961093999013769</v>
      </c>
      <c r="AC149" s="3">
        <f>+OperatingFunds!AC149*1000/Enrollment!AB$103</f>
        <v>59.933936981426029</v>
      </c>
      <c r="AD149" s="3">
        <f>+OperatingFunds!AD149*1000/Enrollment!AC$103</f>
        <v>59.997970370264497</v>
      </c>
    </row>
    <row r="150" spans="2:33">
      <c r="B150" s="1" t="str">
        <f>+$B$17</f>
        <v>HEC Board, CHE, SFA, &amp; SAC (1)</v>
      </c>
      <c r="C150" s="3"/>
      <c r="D150" s="3"/>
      <c r="E150" s="3"/>
      <c r="F150" s="3"/>
      <c r="G150" s="3"/>
      <c r="H150" s="3"/>
      <c r="I150" s="3"/>
      <c r="J150" s="3"/>
      <c r="K150" s="3"/>
      <c r="L150" s="3"/>
      <c r="M150" s="3">
        <f>+OperatingFunds!M150*1000/Enrollment!L$112</f>
        <v>0</v>
      </c>
      <c r="N150" s="3">
        <f>+OperatingFunds!N150*1000/Enrollment!M$112</f>
        <v>0</v>
      </c>
      <c r="O150" s="3">
        <f>+OperatingFunds!O150*1000/Enrollment!N$112</f>
        <v>0</v>
      </c>
      <c r="P150" s="3">
        <f>+OperatingFunds!P150*1000/Enrollment!O$112</f>
        <v>0</v>
      </c>
      <c r="Q150" s="3">
        <f>+OperatingFunds!Q150*1000/Enrollment!P$112</f>
        <v>0</v>
      </c>
      <c r="R150" s="3">
        <f>+OperatingFunds!R150*1000/Enrollment!Q$112</f>
        <v>0</v>
      </c>
      <c r="S150" s="3">
        <f>+OperatingFunds!S150*1000/Enrollment!R$112</f>
        <v>0</v>
      </c>
      <c r="T150" s="3">
        <f>+OperatingFunds!T150*1000/Enrollment!S$112</f>
        <v>0.13333748161053899</v>
      </c>
      <c r="U150" s="3">
        <f>+OperatingFunds!U150*1000/Enrollment!T$112</f>
        <v>0</v>
      </c>
      <c r="V150" s="3">
        <f>+OperatingFunds!V150*1000/Enrollment!U$112</f>
        <v>0</v>
      </c>
      <c r="W150" s="3">
        <f>+OperatingFunds!W150*1000/Enrollment!V$112</f>
        <v>0</v>
      </c>
      <c r="X150" s="3">
        <f>+OperatingFunds!X150*1000/Enrollment!W$112</f>
        <v>0</v>
      </c>
      <c r="Y150" s="3">
        <f>+OperatingFunds!Y150*1000/Enrollment!X$112</f>
        <v>0</v>
      </c>
      <c r="Z150" s="3">
        <f>+OperatingFunds!Z150*1000/Enrollment!Y$112</f>
        <v>0</v>
      </c>
      <c r="AA150" s="3">
        <f>+OperatingFunds!AA150*1000/Enrollment!Z$112</f>
        <v>0</v>
      </c>
      <c r="AB150" s="3">
        <f>+OperatingFunds!AB150*1000/Enrollment!AA$112</f>
        <v>0</v>
      </c>
      <c r="AC150" s="3">
        <f>+OperatingFunds!AC150*1000/Enrollment!AB$112</f>
        <v>0</v>
      </c>
      <c r="AD150" s="3">
        <f>+OperatingFunds!AD150*1000/Enrollment!AC$112</f>
        <v>0.26124918073517506</v>
      </c>
    </row>
    <row r="151" spans="2:33" ht="13.5" thickBot="1"/>
    <row r="152" spans="2:33" ht="13.5" thickTop="1">
      <c r="B152" s="1" t="str">
        <f>+$B$19</f>
        <v>Total Higher Education</v>
      </c>
      <c r="C152" s="39"/>
      <c r="D152" s="39"/>
      <c r="E152" s="39"/>
      <c r="F152" s="39"/>
      <c r="G152" s="39"/>
      <c r="H152" s="39"/>
      <c r="I152" s="39"/>
      <c r="J152" s="39"/>
      <c r="K152" s="39"/>
      <c r="L152" s="39"/>
      <c r="M152" s="39">
        <f>+OperatingFunds!M152*1000/Enrollment!L$112</f>
        <v>26.110329085217046</v>
      </c>
      <c r="N152" s="39">
        <f>+OperatingFunds!N152*1000/Enrollment!M$112</f>
        <v>30.193663028420506</v>
      </c>
      <c r="O152" s="39">
        <f>+OperatingFunds!O152*1000/Enrollment!N$112</f>
        <v>27.672911714892301</v>
      </c>
      <c r="P152" s="39">
        <f>+OperatingFunds!P152*1000/Enrollment!O$112</f>
        <v>33.349972554235826</v>
      </c>
      <c r="Q152" s="39">
        <f>+OperatingFunds!Q152*1000/Enrollment!P$112</f>
        <v>27.533586984034724</v>
      </c>
      <c r="R152" s="39">
        <f>+OperatingFunds!R152*1000/Enrollment!Q$112</f>
        <v>28.466939554044821</v>
      </c>
      <c r="S152" s="39">
        <f>+OperatingFunds!S152*1000/Enrollment!R$112</f>
        <v>27.514632278460887</v>
      </c>
      <c r="T152" s="39">
        <f>+OperatingFunds!T152*1000/Enrollment!S$112</f>
        <v>39.744473339170554</v>
      </c>
      <c r="U152" s="39">
        <f>+OperatingFunds!U152*1000/Enrollment!T$112</f>
        <v>149.14623981226708</v>
      </c>
      <c r="V152" s="39">
        <f>+OperatingFunds!V152*1000/Enrollment!U$112</f>
        <v>170.06751842218409</v>
      </c>
      <c r="W152" s="39">
        <f>+OperatingFunds!W152*1000/Enrollment!V$112</f>
        <v>28.610316093075703</v>
      </c>
      <c r="X152" s="39">
        <f>+OperatingFunds!X152*1000/Enrollment!W$112</f>
        <v>29.28504676342833</v>
      </c>
      <c r="Y152" s="39">
        <f>+OperatingFunds!Y152*1000/Enrollment!X$112</f>
        <v>43.967544239782207</v>
      </c>
      <c r="Z152" s="39">
        <f>+OperatingFunds!Z152*1000/Enrollment!Y$112</f>
        <v>72.449555362188974</v>
      </c>
      <c r="AA152" s="39">
        <f>+OperatingFunds!AA152*1000/Enrollment!Z$112</f>
        <v>69.528673727956757</v>
      </c>
      <c r="AB152" s="39">
        <f>+OperatingFunds!AB152*1000/Enrollment!AA$112</f>
        <v>76.9481735856169</v>
      </c>
      <c r="AC152" s="39">
        <f>+OperatingFunds!AC152*1000/Enrollment!AB$112</f>
        <v>77.877662193016647</v>
      </c>
      <c r="AD152" s="39">
        <f>+OperatingFunds!AD152*1000/Enrollment!AC$112</f>
        <v>77.583108023012244</v>
      </c>
    </row>
    <row r="153" spans="2:33">
      <c r="B153" s="199" t="str">
        <f>+$B$20</f>
        <v>[biennial annual average]</v>
      </c>
      <c r="D153" s="3"/>
      <c r="F153" s="3"/>
      <c r="H153" s="3"/>
      <c r="J153" s="3"/>
      <c r="L153" s="3"/>
      <c r="N153" s="3">
        <f>AVERAGE(M152:N152)</f>
        <v>28.151996056818774</v>
      </c>
      <c r="P153" s="3">
        <f>AVERAGE(O152:P152)</f>
        <v>30.511442134564064</v>
      </c>
      <c r="R153" s="3">
        <f>AVERAGE(Q152:R152)</f>
        <v>28.00026326903977</v>
      </c>
      <c r="T153" s="3">
        <f>AVERAGE(S152:T152)</f>
        <v>33.629552808815717</v>
      </c>
      <c r="V153" s="3">
        <f>AVERAGE(U152:V152)</f>
        <v>159.60687911722559</v>
      </c>
      <c r="X153" s="3">
        <f>AVERAGE(W152:X152)</f>
        <v>28.947681428252018</v>
      </c>
      <c r="AB153" s="3">
        <f>AVERAGE(AA152:AB152)</f>
        <v>73.238423656786836</v>
      </c>
      <c r="AD153" s="3">
        <f>AVERAGE(AC152:AD152)</f>
        <v>77.730385108014445</v>
      </c>
    </row>
    <row r="154" spans="2:33">
      <c r="B154" s="199"/>
      <c r="C154" s="7"/>
      <c r="D154" s="3"/>
      <c r="F154" s="3"/>
      <c r="H154" s="3"/>
      <c r="J154" s="3"/>
      <c r="L154" s="3"/>
      <c r="N154" s="3"/>
      <c r="P154" s="3"/>
      <c r="R154" s="3"/>
      <c r="T154" s="3"/>
      <c r="U154" s="3"/>
      <c r="V154" s="3"/>
      <c r="W154"/>
      <c r="X154"/>
      <c r="Y154"/>
      <c r="Z154"/>
    </row>
    <row r="155" spans="2:33">
      <c r="B155" s="199"/>
      <c r="C155" s="7"/>
      <c r="D155" s="3"/>
      <c r="F155" s="3"/>
      <c r="H155" s="3"/>
      <c r="J155" s="3"/>
      <c r="L155" s="3"/>
      <c r="N155" s="3"/>
      <c r="P155" s="3"/>
      <c r="R155" s="3"/>
      <c r="T155" s="3"/>
      <c r="U155" s="3"/>
      <c r="V155" s="3"/>
      <c r="W155" s="2"/>
      <c r="X155" s="2" t="str">
        <f>+$X$6</f>
        <v>FY2011</v>
      </c>
      <c r="Y155" s="2" t="str">
        <f>+$Y$6</f>
        <v>FY2012</v>
      </c>
      <c r="Z155" s="2" t="str">
        <f>+$Z$6</f>
        <v>FY2013</v>
      </c>
      <c r="AA155" s="2" t="str">
        <f>+$AA$6</f>
        <v>FY2014</v>
      </c>
      <c r="AB155" s="2" t="str">
        <f>+$AB$6</f>
        <v>FY2015</v>
      </c>
      <c r="AC155" s="2" t="str">
        <f>+$AC$6</f>
        <v>FY2016</v>
      </c>
      <c r="AD155" s="2" t="str">
        <f>+$AD$6</f>
        <v>FY2017</v>
      </c>
      <c r="AE155" s="2"/>
      <c r="AF155" s="2"/>
      <c r="AG155" s="2"/>
    </row>
    <row r="156" spans="2:33">
      <c r="B156" s="199"/>
      <c r="C156" s="7"/>
      <c r="D156" s="3"/>
      <c r="F156" s="3"/>
      <c r="H156" s="3"/>
      <c r="J156" s="3"/>
      <c r="L156" s="3"/>
      <c r="N156" s="3"/>
      <c r="P156" s="3"/>
      <c r="R156" s="3"/>
      <c r="T156" s="3"/>
      <c r="U156" s="3"/>
      <c r="V156" s="3"/>
      <c r="W156"/>
      <c r="X156"/>
      <c r="Y156"/>
      <c r="Z156"/>
      <c r="AA156"/>
      <c r="AC156"/>
    </row>
    <row r="157" spans="2:33">
      <c r="B157" s="1" t="str">
        <f>+OperatingFunds!$B$157</f>
        <v>Community/Technical College System Opportunity Express Account (17C-1)</v>
      </c>
      <c r="C157"/>
      <c r="D157"/>
      <c r="E157"/>
      <c r="F157"/>
      <c r="G157"/>
      <c r="H157"/>
      <c r="I157"/>
      <c r="J157"/>
      <c r="K157"/>
      <c r="L157"/>
      <c r="M157"/>
      <c r="N157"/>
      <c r="O157"/>
      <c r="P157"/>
      <c r="R157" s="3"/>
      <c r="T157" s="3"/>
      <c r="U157" s="3"/>
      <c r="V157" s="3"/>
      <c r="W157"/>
      <c r="X157" s="3">
        <f>+OperatingFunds!X157*1000/Enrollment!W$103</f>
        <v>129.26775351984676</v>
      </c>
      <c r="Y157" s="3"/>
      <c r="Z157" s="3"/>
      <c r="AA157"/>
      <c r="AC157"/>
    </row>
    <row r="158" spans="2:33">
      <c r="B158" s="1" t="str">
        <f>+OperatingFunds!$B$158</f>
        <v>HEC Board, CHE, SFA, &amp; SAC (1) Opportunity Pathways Account (17F-1)</v>
      </c>
      <c r="C158"/>
      <c r="D158"/>
      <c r="E158"/>
      <c r="F158"/>
      <c r="G158"/>
      <c r="H158"/>
      <c r="I158"/>
      <c r="J158"/>
      <c r="K158"/>
      <c r="L158"/>
      <c r="M158"/>
      <c r="N158"/>
      <c r="O158"/>
      <c r="P158"/>
      <c r="R158" s="3"/>
      <c r="T158" s="3"/>
      <c r="U158" s="3"/>
      <c r="V158" s="3"/>
      <c r="W158"/>
      <c r="X158" s="3">
        <f>+OperatingFunds!X158*1000/Enrollment!W$112</f>
        <v>311.47367305858671</v>
      </c>
      <c r="Y158" s="3">
        <f>+OperatingFunds!Y158*1000/Enrollment!X$112</f>
        <v>316.61382590116477</v>
      </c>
      <c r="Z158" s="3">
        <f>+OperatingFunds!Z158*1000/Enrollment!Y$112</f>
        <v>467.38231442552899</v>
      </c>
      <c r="AA158" s="3">
        <f>+OperatingFunds!AA158*1000/Enrollment!Z$112</f>
        <v>290.3962726025099</v>
      </c>
      <c r="AB158" s="3">
        <f>+OperatingFunds!AB158*1000/Enrollment!AA$112</f>
        <v>314.85471703770975</v>
      </c>
      <c r="AC158" s="3">
        <f>+OperatingFunds!AC158*1000/Enrollment!AB$112</f>
        <v>407.21638443975138</v>
      </c>
      <c r="AD158" s="3">
        <f>+OperatingFunds!AD158*1000/Enrollment!AC$112</f>
        <v>321.16734669573901</v>
      </c>
    </row>
    <row r="159" spans="2:33">
      <c r="C159"/>
      <c r="D159"/>
      <c r="E159"/>
      <c r="F159"/>
      <c r="G159"/>
      <c r="H159"/>
      <c r="I159"/>
      <c r="J159"/>
      <c r="K159"/>
      <c r="L159"/>
      <c r="M159"/>
      <c r="N159"/>
      <c r="O159"/>
      <c r="P159"/>
      <c r="R159" s="3"/>
      <c r="T159" s="3"/>
    </row>
    <row r="160" spans="2:33">
      <c r="B160" s="1" t="str">
        <f>+OperatingFunds!B162</f>
        <v>Data through FY2023 from Monitor (AFRS) data; Enacted data for FY2024 and FY2025 reflect legislative action from the 2024 Legislative Session.</v>
      </c>
    </row>
    <row r="161" spans="2:2">
      <c r="B161" s="1" t="str">
        <f>+OperatingFunds!B163</f>
        <v xml:space="preserve"> (1) HEC Board, CHE, SFA, &amp; SAC represents the Higher Education Coordinating Board, the Council for Higher Education, the Office of Student Financial Assistance, and the Student Achievement Council.</v>
      </c>
    </row>
    <row r="162" spans="2:2">
      <c r="B162" s="653" t="e">
        <f>+Enrollment!#REF!</f>
        <v>#REF!</v>
      </c>
    </row>
    <row r="163" spans="2:2">
      <c r="B163" s="1" t="str">
        <f>TRIM(+OperatingFunds!B170)</f>
        <v/>
      </c>
    </row>
  </sheetData>
  <phoneticPr fontId="0" type="noConversion"/>
  <printOptions horizontalCentered="1"/>
  <pageMargins left="0.5" right="0.5" top="0.3" bottom="0.3" header="0.25" footer="0.25"/>
  <pageSetup scale="51" fitToHeight="2" orientation="landscape" r:id="rId1"/>
  <headerFooter alignWithMargins="0"/>
  <rowBreaks count="1" manualBreakCount="1">
    <brk id="78" min="1" max="29"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B1:AD164"/>
  <sheetViews>
    <sheetView topLeftCell="B1" zoomScale="85" zoomScaleNormal="85" workbookViewId="0">
      <pane xSplit="11" ySplit="6" topLeftCell="M7" activePane="bottomRight" state="frozen"/>
      <selection activeCell="W7" sqref="W7"/>
      <selection pane="topRight" activeCell="W7" sqref="W7"/>
      <selection pane="bottomLeft" activeCell="W7" sqref="W7"/>
      <selection pane="bottomRight" activeCell="W7" sqref="W7"/>
    </sheetView>
  </sheetViews>
  <sheetFormatPr defaultRowHeight="12.75"/>
  <cols>
    <col min="1" max="1" width="0" style="1" hidden="1" customWidth="1"/>
    <col min="2" max="2" width="35.625" style="1" customWidth="1"/>
    <col min="3" max="22" width="8.625" style="1" hidden="1" customWidth="1"/>
    <col min="23" max="34" width="8.625" style="1" customWidth="1"/>
    <col min="35" max="16384" width="9" style="1"/>
  </cols>
  <sheetData>
    <row r="1" spans="2:30">
      <c r="B1" s="1" t="str">
        <f>+OperatingFunds!B1</f>
        <v>Last updated: 18 December 2024</v>
      </c>
    </row>
    <row r="2" spans="2:30">
      <c r="B2" s="4" t="s">
        <v>10</v>
      </c>
      <c r="L2" s="8"/>
      <c r="M2" s="8"/>
      <c r="N2" s="8"/>
      <c r="P2" s="8"/>
      <c r="R2" s="8"/>
    </row>
    <row r="3" spans="2:30" ht="15.75">
      <c r="B3" s="376" t="str">
        <f>+OperatingFunds!B3</f>
        <v>State Funds and Tuition</v>
      </c>
      <c r="C3" s="5"/>
      <c r="D3" s="5"/>
      <c r="E3" s="5"/>
      <c r="F3" s="5"/>
      <c r="G3" s="5"/>
      <c r="H3" s="5"/>
      <c r="I3" s="5"/>
      <c r="J3" s="5"/>
      <c r="K3" s="5"/>
      <c r="L3" s="5"/>
      <c r="M3" s="5"/>
      <c r="N3" s="5"/>
      <c r="O3" s="5"/>
      <c r="P3" s="5"/>
      <c r="Q3" s="5"/>
      <c r="R3" s="5"/>
      <c r="S3" s="5"/>
      <c r="T3" s="5"/>
      <c r="U3" s="5"/>
      <c r="V3" s="5"/>
      <c r="W3" s="5"/>
      <c r="X3" s="5"/>
      <c r="Y3" s="5"/>
      <c r="Z3" s="5"/>
      <c r="AA3" s="5"/>
      <c r="AB3" s="5"/>
      <c r="AC3" s="5"/>
      <c r="AD3" s="5"/>
    </row>
    <row r="4" spans="2:30" ht="13.5">
      <c r="B4" s="33" t="str">
        <f>+"FY"&amp;BaseYear&amp;" Constant Dollar Expenditures per Budgeted State-Funded FTE Enrollment"</f>
        <v>FY2024 Constant Dollar Expenditures per Budgeted State-Funded FTE Enrollment</v>
      </c>
      <c r="C4" s="5"/>
      <c r="D4" s="5"/>
      <c r="E4" s="5"/>
      <c r="F4" s="5"/>
      <c r="G4" s="5"/>
      <c r="H4" s="5"/>
      <c r="I4" s="5"/>
      <c r="J4" s="5"/>
      <c r="K4" s="5"/>
      <c r="L4" s="5"/>
      <c r="M4" s="5"/>
      <c r="N4" s="5"/>
      <c r="O4" s="5"/>
      <c r="P4" s="5"/>
      <c r="Q4" s="5"/>
      <c r="R4" s="5"/>
      <c r="S4" s="5"/>
      <c r="T4" s="5"/>
      <c r="U4" s="5"/>
      <c r="V4" s="5"/>
      <c r="W4" s="5"/>
      <c r="X4" s="5"/>
      <c r="Y4" s="5"/>
      <c r="Z4" s="5"/>
      <c r="AA4" s="5"/>
      <c r="AB4" s="5"/>
      <c r="AC4" s="5"/>
      <c r="AD4" s="5"/>
    </row>
    <row r="5" spans="2:30">
      <c r="I5" s="13"/>
      <c r="J5" s="13"/>
      <c r="K5" s="13"/>
      <c r="L5" s="13"/>
      <c r="M5" s="13"/>
      <c r="N5" s="13"/>
      <c r="O5" s="13"/>
      <c r="P5" s="13"/>
      <c r="Q5"/>
      <c r="R5" s="13"/>
      <c r="S5"/>
      <c r="T5"/>
      <c r="U5" s="2"/>
      <c r="V5" s="2"/>
      <c r="W5" s="2"/>
      <c r="X5" s="2"/>
      <c r="Y5" s="2"/>
      <c r="Z5" s="2"/>
      <c r="AA5" s="2"/>
      <c r="AB5" s="2"/>
      <c r="AC5" s="5"/>
      <c r="AD5" s="2" t="str">
        <f>TRIM(OperatingFunds!AD5)</f>
        <v/>
      </c>
    </row>
    <row r="6" spans="2:30">
      <c r="C6" s="2" t="str">
        <f>+OperatingFunds!C6</f>
        <v>FY1990</v>
      </c>
      <c r="D6" s="2" t="str">
        <f>+OperatingFunds!D6</f>
        <v>FY1991</v>
      </c>
      <c r="E6" s="2" t="str">
        <f>+OperatingFunds!E6</f>
        <v>FY1992</v>
      </c>
      <c r="F6" s="2" t="str">
        <f>+OperatingFunds!F6</f>
        <v>FY1993</v>
      </c>
      <c r="G6" s="2" t="str">
        <f>+OperatingFunds!G6</f>
        <v>FY1994</v>
      </c>
      <c r="H6" s="2" t="str">
        <f>+OperatingFunds!H6</f>
        <v>FY1995</v>
      </c>
      <c r="I6" s="2" t="str">
        <f>+OperatingFunds!I6</f>
        <v>FY1996</v>
      </c>
      <c r="J6" s="2" t="str">
        <f>+OperatingFunds!J6</f>
        <v>FY1997</v>
      </c>
      <c r="K6" s="2" t="str">
        <f>+OperatingFunds!K6</f>
        <v>FY1998</v>
      </c>
      <c r="L6" s="2" t="str">
        <f>+OperatingFunds!L6</f>
        <v>FY1999</v>
      </c>
      <c r="M6" s="2" t="str">
        <f>+OperatingFunds!M6</f>
        <v>FY2000</v>
      </c>
      <c r="N6" s="2" t="str">
        <f>+OperatingFunds!N6</f>
        <v>FY2001*</v>
      </c>
      <c r="O6" s="2" t="str">
        <f>+OperatingFunds!O6</f>
        <v>FY2002</v>
      </c>
      <c r="P6" s="2" t="str">
        <f>+OperatingFunds!P6</f>
        <v>FY2003</v>
      </c>
      <c r="Q6" s="2" t="str">
        <f>+OperatingFunds!Q6</f>
        <v>FY2004*</v>
      </c>
      <c r="R6" s="2" t="str">
        <f>+OperatingFunds!R6</f>
        <v>FY2005*</v>
      </c>
      <c r="S6" s="2" t="str">
        <f>+OperatingFunds!S6</f>
        <v>FY2006</v>
      </c>
      <c r="T6" s="2" t="str">
        <f>+OperatingFunds!T6</f>
        <v>FY2007</v>
      </c>
      <c r="U6" s="2" t="str">
        <f>+OperatingFunds!U6</f>
        <v>FY2008</v>
      </c>
      <c r="V6" s="2" t="str">
        <f>+OperatingFunds!V6</f>
        <v>FY2009</v>
      </c>
      <c r="W6" s="2" t="str">
        <f>IF(ISBLANK(OperatingFunds!W6),"",OperatingFunds!W6)</f>
        <v>FY2010</v>
      </c>
      <c r="X6" s="2" t="str">
        <f>IF(ISBLANK(OperatingFunds!X6),"",OperatingFunds!X6)</f>
        <v>FY2011</v>
      </c>
      <c r="Y6" s="2" t="str">
        <f>IF(ISBLANK(OperatingFunds!Y6),"",OperatingFunds!Y6)</f>
        <v>FY2012</v>
      </c>
      <c r="Z6" s="2" t="str">
        <f>IF(ISBLANK(OperatingFunds!Z6),"",OperatingFunds!Z6)</f>
        <v>FY2013</v>
      </c>
      <c r="AA6" s="2" t="str">
        <f>IF(ISBLANK(OperatingFunds!AA6),"",OperatingFunds!AA6)</f>
        <v>FY2014</v>
      </c>
      <c r="AB6" s="2" t="str">
        <f>IF(ISBLANK(OperatingFunds!AB6),"",OperatingFunds!AB6)</f>
        <v>FY2015</v>
      </c>
      <c r="AC6" s="2" t="str">
        <f>IF(ISBLANK(OperatingFunds!AC6),"",OperatingFunds!AC6)</f>
        <v>FY2016</v>
      </c>
      <c r="AD6" s="2" t="str">
        <f>IF(ISBLANK(OperatingFunds!AD6),"",OperatingFunds!AD6)</f>
        <v>FY2017</v>
      </c>
    </row>
    <row r="8" spans="2:30">
      <c r="B8" s="1" t="str">
        <f>+DollarsPerActFTE!$B$8</f>
        <v>University of Washington</v>
      </c>
      <c r="C8" s="3">
        <f t="shared" ref="C8:AD8" si="0">+C27+C46</f>
        <v>20671.090444067799</v>
      </c>
      <c r="D8" s="3">
        <f t="shared" si="0"/>
        <v>21482.969675321136</v>
      </c>
      <c r="E8" s="3">
        <f t="shared" si="0"/>
        <v>20990.212943027807</v>
      </c>
      <c r="F8" s="3">
        <f t="shared" si="0"/>
        <v>21183.671828068873</v>
      </c>
      <c r="G8" s="3">
        <f t="shared" si="0"/>
        <v>19680.123586414902</v>
      </c>
      <c r="H8" s="3">
        <f t="shared" si="0"/>
        <v>20228.345870826215</v>
      </c>
      <c r="I8" s="3">
        <f t="shared" si="0"/>
        <v>20004.730977564468</v>
      </c>
      <c r="J8" s="3">
        <f t="shared" si="0"/>
        <v>19802.981076259988</v>
      </c>
      <c r="K8" s="3">
        <f t="shared" si="0"/>
        <v>20335.56810096978</v>
      </c>
      <c r="L8" s="3">
        <f t="shared" si="0"/>
        <v>21862.47557049114</v>
      </c>
      <c r="M8" s="3">
        <f t="shared" si="0"/>
        <v>22097.795079076332</v>
      </c>
      <c r="N8" s="3">
        <f t="shared" si="0"/>
        <v>22380.612550864797</v>
      </c>
      <c r="O8" s="3">
        <f t="shared" si="0"/>
        <v>23298.447527961001</v>
      </c>
      <c r="P8" s="3">
        <f t="shared" si="0"/>
        <v>23174.07131717723</v>
      </c>
      <c r="Q8" s="3">
        <f t="shared" si="0"/>
        <v>22330.280286353878</v>
      </c>
      <c r="R8" s="3">
        <f t="shared" si="0"/>
        <v>23260.911344539374</v>
      </c>
      <c r="S8" s="3">
        <f t="shared" si="0"/>
        <v>23239.149387677528</v>
      </c>
      <c r="T8" s="3">
        <f t="shared" si="0"/>
        <v>24483.480695882332</v>
      </c>
      <c r="U8" s="3">
        <f t="shared" si="0"/>
        <v>24944.099720531558</v>
      </c>
      <c r="V8" s="3">
        <f t="shared" si="0"/>
        <v>24981.369519056901</v>
      </c>
      <c r="W8" s="3">
        <f t="shared" si="0"/>
        <v>24198.65072872414</v>
      </c>
      <c r="X8" s="3">
        <f t="shared" si="0"/>
        <v>26118.349512565739</v>
      </c>
      <c r="Y8" s="3">
        <f t="shared" si="0"/>
        <v>23937.098534974051</v>
      </c>
      <c r="Z8" s="3">
        <f t="shared" si="0"/>
        <v>26431.810572692651</v>
      </c>
      <c r="AA8" s="3">
        <f t="shared" si="0"/>
        <v>25888.581859310369</v>
      </c>
      <c r="AB8" s="3">
        <f t="shared" si="0"/>
        <v>29337.451824282536</v>
      </c>
      <c r="AC8" s="3">
        <f t="shared" si="0"/>
        <v>29431.718176760372</v>
      </c>
      <c r="AD8" s="3">
        <f t="shared" si="0"/>
        <v>31715.967379778311</v>
      </c>
    </row>
    <row r="9" spans="2:30">
      <c r="B9" s="1" t="str">
        <f>+DollarsPerActFTE!$B$9</f>
        <v>Washington State University</v>
      </c>
      <c r="C9" s="3">
        <f t="shared" ref="C9:AD9" si="1">+C28+C47</f>
        <v>20990.959496076506</v>
      </c>
      <c r="D9" s="3">
        <f t="shared" si="1"/>
        <v>21380.561033170168</v>
      </c>
      <c r="E9" s="3">
        <f t="shared" si="1"/>
        <v>21289.511897397766</v>
      </c>
      <c r="F9" s="3">
        <f t="shared" si="1"/>
        <v>21428.655381216024</v>
      </c>
      <c r="G9" s="3">
        <f t="shared" si="1"/>
        <v>20396.171941498629</v>
      </c>
      <c r="H9" s="3">
        <f t="shared" si="1"/>
        <v>20278.620832583962</v>
      </c>
      <c r="I9" s="3">
        <f t="shared" si="1"/>
        <v>20150.096841531198</v>
      </c>
      <c r="J9" s="3">
        <f t="shared" si="1"/>
        <v>19432.286632279043</v>
      </c>
      <c r="K9" s="3">
        <f t="shared" si="1"/>
        <v>20215.070475155113</v>
      </c>
      <c r="L9" s="3">
        <f t="shared" si="1"/>
        <v>20057.809811432264</v>
      </c>
      <c r="M9" s="3">
        <f t="shared" si="1"/>
        <v>21918.298393660494</v>
      </c>
      <c r="N9" s="3">
        <f t="shared" si="1"/>
        <v>21187.578469498669</v>
      </c>
      <c r="O9" s="3">
        <f t="shared" si="1"/>
        <v>22022.177364905816</v>
      </c>
      <c r="P9" s="3">
        <f t="shared" si="1"/>
        <v>21963.590722125129</v>
      </c>
      <c r="Q9" s="3">
        <f t="shared" si="1"/>
        <v>21552.315721982686</v>
      </c>
      <c r="R9" s="3">
        <f t="shared" si="1"/>
        <v>21930.734752796307</v>
      </c>
      <c r="S9" s="3">
        <f t="shared" si="1"/>
        <v>22371.420398534545</v>
      </c>
      <c r="T9" s="3">
        <f t="shared" si="1"/>
        <v>22403.794783735866</v>
      </c>
      <c r="U9" s="3">
        <f t="shared" si="1"/>
        <v>23522.232643761818</v>
      </c>
      <c r="V9" s="3">
        <f t="shared" si="1"/>
        <v>23659.700515727029</v>
      </c>
      <c r="W9" s="3">
        <f t="shared" si="1"/>
        <v>22241.412539784815</v>
      </c>
      <c r="X9" s="3">
        <f t="shared" si="1"/>
        <v>21548.730576364273</v>
      </c>
      <c r="Y9" s="3">
        <f t="shared" si="1"/>
        <v>21397.403941622997</v>
      </c>
      <c r="Z9" s="3">
        <f t="shared" si="1"/>
        <v>22244.440337000295</v>
      </c>
      <c r="AA9" s="3">
        <f t="shared" si="1"/>
        <v>23809.070907318168</v>
      </c>
      <c r="AB9" s="3">
        <f t="shared" si="1"/>
        <v>23887.471980850696</v>
      </c>
      <c r="AC9" s="3">
        <f t="shared" si="1"/>
        <v>26073.356782955689</v>
      </c>
      <c r="AD9" s="3">
        <f t="shared" si="1"/>
        <v>24833.413841453083</v>
      </c>
    </row>
    <row r="10" spans="2:30">
      <c r="B10" s="1" t="str">
        <f>+DollarsPerActFTE!$B$10</f>
        <v>Eastern Washington University</v>
      </c>
      <c r="C10" s="3">
        <f t="shared" ref="C10:AD10" si="2">+C29+C48</f>
        <v>13132.778561253563</v>
      </c>
      <c r="D10" s="3">
        <f t="shared" si="2"/>
        <v>13948.514109116626</v>
      </c>
      <c r="E10" s="3">
        <f t="shared" si="2"/>
        <v>13060.193812948706</v>
      </c>
      <c r="F10" s="3">
        <f t="shared" si="2"/>
        <v>13500.346067948871</v>
      </c>
      <c r="G10" s="3">
        <f t="shared" si="2"/>
        <v>12682.112219810884</v>
      </c>
      <c r="H10" s="3">
        <f t="shared" si="2"/>
        <v>12730.122588392202</v>
      </c>
      <c r="I10" s="3">
        <f t="shared" si="2"/>
        <v>12353.679963132257</v>
      </c>
      <c r="J10" s="3">
        <f t="shared" si="2"/>
        <v>12062.940495671472</v>
      </c>
      <c r="K10" s="3">
        <f t="shared" si="2"/>
        <v>12126.271728670454</v>
      </c>
      <c r="L10" s="3">
        <f t="shared" si="2"/>
        <v>12375.123974148417</v>
      </c>
      <c r="M10" s="3">
        <f t="shared" si="2"/>
        <v>12850.61105278879</v>
      </c>
      <c r="N10" s="3">
        <f t="shared" si="2"/>
        <v>13278.234827904309</v>
      </c>
      <c r="O10" s="3">
        <f t="shared" si="2"/>
        <v>13145.919507613045</v>
      </c>
      <c r="P10" s="3">
        <f t="shared" si="2"/>
        <v>13152.928316522461</v>
      </c>
      <c r="Q10" s="3">
        <f t="shared" si="2"/>
        <v>12968.344823998983</v>
      </c>
      <c r="R10" s="3">
        <f t="shared" si="2"/>
        <v>13986.78943772067</v>
      </c>
      <c r="S10" s="3">
        <f t="shared" si="2"/>
        <v>13406.694226173389</v>
      </c>
      <c r="T10" s="3">
        <f t="shared" si="2"/>
        <v>13831.540579943417</v>
      </c>
      <c r="U10" s="3">
        <f t="shared" si="2"/>
        <v>14630.674160084114</v>
      </c>
      <c r="V10" s="3">
        <f t="shared" si="2"/>
        <v>14061.251233891104</v>
      </c>
      <c r="W10" s="3">
        <f t="shared" si="2"/>
        <v>14602.744985689473</v>
      </c>
      <c r="X10" s="3">
        <f t="shared" si="2"/>
        <v>13762.33136238937</v>
      </c>
      <c r="Y10" s="3">
        <f t="shared" si="2"/>
        <v>13480.471473615427</v>
      </c>
      <c r="Z10" s="3">
        <f t="shared" si="2"/>
        <v>13753.310328475116</v>
      </c>
      <c r="AA10" s="3">
        <f t="shared" si="2"/>
        <v>14725.225082141193</v>
      </c>
      <c r="AB10" s="3">
        <f t="shared" si="2"/>
        <v>15581.78768539353</v>
      </c>
      <c r="AC10" s="3">
        <f t="shared" si="2"/>
        <v>16371.611008778495</v>
      </c>
      <c r="AD10" s="3">
        <f t="shared" si="2"/>
        <v>16347.992777465914</v>
      </c>
    </row>
    <row r="11" spans="2:30">
      <c r="B11" s="1" t="str">
        <f>+DollarsPerActFTE!$B$11</f>
        <v>Central Washington University</v>
      </c>
      <c r="C11" s="3">
        <f t="shared" ref="C11:AD11" si="3">+C30+C49</f>
        <v>12881.148574287145</v>
      </c>
      <c r="D11" s="3">
        <f t="shared" si="3"/>
        <v>13781.172437621979</v>
      </c>
      <c r="E11" s="3">
        <f t="shared" si="3"/>
        <v>12721.169967840009</v>
      </c>
      <c r="F11" s="3">
        <f t="shared" si="3"/>
        <v>13256.177957993761</v>
      </c>
      <c r="G11" s="3">
        <f t="shared" si="3"/>
        <v>12178.657443610116</v>
      </c>
      <c r="H11" s="3">
        <f t="shared" si="3"/>
        <v>12894.871957766976</v>
      </c>
      <c r="I11" s="3">
        <f t="shared" si="3"/>
        <v>12634.277051301757</v>
      </c>
      <c r="J11" s="3">
        <f t="shared" si="3"/>
        <v>12182.207192733851</v>
      </c>
      <c r="K11" s="3">
        <f t="shared" si="3"/>
        <v>12722.356767861183</v>
      </c>
      <c r="L11" s="3">
        <f t="shared" si="3"/>
        <v>12921.801759251563</v>
      </c>
      <c r="M11" s="3">
        <f t="shared" si="3"/>
        <v>12800.709258072342</v>
      </c>
      <c r="N11" s="3">
        <f t="shared" si="3"/>
        <v>12781.195895168814</v>
      </c>
      <c r="O11" s="3">
        <f t="shared" si="3"/>
        <v>13381.30782526889</v>
      </c>
      <c r="P11" s="3">
        <f t="shared" si="3"/>
        <v>13882.889855272773</v>
      </c>
      <c r="Q11" s="3">
        <f t="shared" si="3"/>
        <v>13520.499399855737</v>
      </c>
      <c r="R11" s="3">
        <f t="shared" si="3"/>
        <v>13632.829052907135</v>
      </c>
      <c r="S11" s="3">
        <f t="shared" si="3"/>
        <v>13683.173179255991</v>
      </c>
      <c r="T11" s="3">
        <f t="shared" si="3"/>
        <v>13570.019067659199</v>
      </c>
      <c r="U11" s="3">
        <f t="shared" si="3"/>
        <v>14145.155564137161</v>
      </c>
      <c r="V11" s="3">
        <f t="shared" si="3"/>
        <v>14042.764942412596</v>
      </c>
      <c r="W11" s="3">
        <f t="shared" si="3"/>
        <v>14932.415589657659</v>
      </c>
      <c r="X11" s="3">
        <f t="shared" si="3"/>
        <v>13721.898449209742</v>
      </c>
      <c r="Y11" s="3">
        <f t="shared" si="3"/>
        <v>13538.120218634253</v>
      </c>
      <c r="Z11" s="3">
        <f t="shared" si="3"/>
        <v>13362.293622366709</v>
      </c>
      <c r="AA11" s="3">
        <f t="shared" si="3"/>
        <v>14653.628024254554</v>
      </c>
      <c r="AB11" s="3">
        <f t="shared" si="3"/>
        <v>14098.727868968948</v>
      </c>
      <c r="AC11" s="3">
        <f t="shared" si="3"/>
        <v>14862.862156381139</v>
      </c>
      <c r="AD11" s="3">
        <f t="shared" si="3"/>
        <v>15845.303040755462</v>
      </c>
    </row>
    <row r="12" spans="2:30">
      <c r="B12" s="1" t="str">
        <f>+DollarsPerActFTE!$B$12</f>
        <v>The Evergreen State College</v>
      </c>
      <c r="C12" s="3">
        <f t="shared" ref="C12:AD12" si="4">+C31+C50</f>
        <v>15935.237883333335</v>
      </c>
      <c r="D12" s="3">
        <f t="shared" si="4"/>
        <v>17005.652945288777</v>
      </c>
      <c r="E12" s="3">
        <f t="shared" si="4"/>
        <v>15755.392310403076</v>
      </c>
      <c r="F12" s="3">
        <f t="shared" si="4"/>
        <v>17230.84499291232</v>
      </c>
      <c r="G12" s="3">
        <f t="shared" si="4"/>
        <v>14955.831793813737</v>
      </c>
      <c r="H12" s="3">
        <f t="shared" si="4"/>
        <v>16456.987347834482</v>
      </c>
      <c r="I12" s="3">
        <f t="shared" si="4"/>
        <v>15231.631869295852</v>
      </c>
      <c r="J12" s="3">
        <f t="shared" si="4"/>
        <v>15953.749575356718</v>
      </c>
      <c r="K12" s="3">
        <f t="shared" si="4"/>
        <v>15291.994749198579</v>
      </c>
      <c r="L12" s="3">
        <f t="shared" si="4"/>
        <v>15878.633076871105</v>
      </c>
      <c r="M12" s="3">
        <f t="shared" si="4"/>
        <v>16881.844675536471</v>
      </c>
      <c r="N12" s="3">
        <f t="shared" si="4"/>
        <v>17303.656715916793</v>
      </c>
      <c r="O12" s="3">
        <f t="shared" si="4"/>
        <v>17025.444205405031</v>
      </c>
      <c r="P12" s="3">
        <f t="shared" si="4"/>
        <v>16518.356080332109</v>
      </c>
      <c r="Q12" s="3">
        <f t="shared" si="4"/>
        <v>14664.135341618559</v>
      </c>
      <c r="R12" s="3">
        <f t="shared" si="4"/>
        <v>19037.968529794824</v>
      </c>
      <c r="S12" s="3">
        <f t="shared" si="4"/>
        <v>16860.257336849078</v>
      </c>
      <c r="T12" s="3">
        <f t="shared" si="4"/>
        <v>17111.60470429861</v>
      </c>
      <c r="U12" s="3">
        <f t="shared" si="4"/>
        <v>17546.085403828711</v>
      </c>
      <c r="V12" s="3">
        <f t="shared" si="4"/>
        <v>18038.928458037728</v>
      </c>
      <c r="W12" s="3">
        <f t="shared" si="4"/>
        <v>16933.876562483798</v>
      </c>
      <c r="X12" s="3">
        <f t="shared" si="4"/>
        <v>16986.29690847185</v>
      </c>
      <c r="Y12" s="3">
        <f t="shared" si="4"/>
        <v>16219.284806320444</v>
      </c>
      <c r="Z12" s="3">
        <f t="shared" si="4"/>
        <v>15798.168287263317</v>
      </c>
      <c r="AA12" s="3">
        <f t="shared" si="4"/>
        <v>16408.832056907278</v>
      </c>
      <c r="AB12" s="3">
        <f t="shared" si="4"/>
        <v>15526.455252652257</v>
      </c>
      <c r="AC12" s="3">
        <f t="shared" si="4"/>
        <v>19936.21353664872</v>
      </c>
      <c r="AD12" s="3">
        <f t="shared" si="4"/>
        <v>17434.650014002258</v>
      </c>
    </row>
    <row r="13" spans="2:30">
      <c r="B13" s="1" t="str">
        <f>+DollarsPerActFTE!$B$13</f>
        <v>Western Washington University</v>
      </c>
      <c r="C13" s="41">
        <f t="shared" ref="C13:AD13" si="5">+C32+C51</f>
        <v>11972.647366863905</v>
      </c>
      <c r="D13" s="41">
        <f t="shared" si="5"/>
        <v>12673.989935240992</v>
      </c>
      <c r="E13" s="41">
        <f t="shared" si="5"/>
        <v>12188.695030134355</v>
      </c>
      <c r="F13" s="41">
        <f t="shared" si="5"/>
        <v>12078.67913777709</v>
      </c>
      <c r="G13" s="41">
        <f t="shared" si="5"/>
        <v>11458.29653303787</v>
      </c>
      <c r="H13" s="41">
        <f t="shared" si="5"/>
        <v>11551.770130228049</v>
      </c>
      <c r="I13" s="41">
        <f t="shared" si="5"/>
        <v>11461.048614531996</v>
      </c>
      <c r="J13" s="41">
        <f t="shared" si="5"/>
        <v>11385.503981761511</v>
      </c>
      <c r="K13" s="41">
        <f t="shared" si="5"/>
        <v>11769.516161846119</v>
      </c>
      <c r="L13" s="41">
        <f t="shared" si="5"/>
        <v>12114.438912251338</v>
      </c>
      <c r="M13" s="41">
        <f t="shared" si="5"/>
        <v>12596.097385240784</v>
      </c>
      <c r="N13" s="41">
        <f t="shared" si="5"/>
        <v>12934.620114710142</v>
      </c>
      <c r="O13" s="41">
        <f t="shared" si="5"/>
        <v>13185.317487113665</v>
      </c>
      <c r="P13" s="41">
        <f t="shared" si="5"/>
        <v>13169.4326930998</v>
      </c>
      <c r="Q13" s="41">
        <f t="shared" si="5"/>
        <v>13021.058039085246</v>
      </c>
      <c r="R13" s="41">
        <f t="shared" si="5"/>
        <v>13065.623429448828</v>
      </c>
      <c r="S13" s="41">
        <f t="shared" si="5"/>
        <v>13176.948773229022</v>
      </c>
      <c r="T13" s="41">
        <f t="shared" si="5"/>
        <v>13554.938322982483</v>
      </c>
      <c r="U13" s="41">
        <f t="shared" si="5"/>
        <v>14156.936752766709</v>
      </c>
      <c r="V13" s="41">
        <f t="shared" si="5"/>
        <v>14046.789164448704</v>
      </c>
      <c r="W13" s="41">
        <f t="shared" si="5"/>
        <v>15265.469501477644</v>
      </c>
      <c r="X13" s="41">
        <f t="shared" si="5"/>
        <v>14106.060408787398</v>
      </c>
      <c r="Y13" s="41">
        <f t="shared" si="5"/>
        <v>13375.34764416737</v>
      </c>
      <c r="Z13" s="41">
        <f t="shared" si="5"/>
        <v>13637.217796408471</v>
      </c>
      <c r="AA13" s="41">
        <f t="shared" si="5"/>
        <v>14373.961187536261</v>
      </c>
      <c r="AB13" s="41">
        <f t="shared" si="5"/>
        <v>15019.787894546482</v>
      </c>
      <c r="AC13" s="41">
        <f t="shared" si="5"/>
        <v>15964.037847144169</v>
      </c>
      <c r="AD13" s="41">
        <f t="shared" si="5"/>
        <v>17016.19061157609</v>
      </c>
    </row>
    <row r="14" spans="2:30">
      <c r="B14" s="199" t="str">
        <f>+DollarsPerActFTE!$B$14</f>
        <v>Total Four-Year Institutions</v>
      </c>
      <c r="C14" s="42">
        <f t="shared" ref="C14:AD14" si="6">+C33+C52</f>
        <v>18079.606095704268</v>
      </c>
      <c r="D14" s="42">
        <f t="shared" si="6"/>
        <v>18812.795344068054</v>
      </c>
      <c r="E14" s="42">
        <f t="shared" si="6"/>
        <v>18264.788806931138</v>
      </c>
      <c r="F14" s="42">
        <f t="shared" si="6"/>
        <v>18495.984087634672</v>
      </c>
      <c r="G14" s="42">
        <f t="shared" si="6"/>
        <v>17267.902603630639</v>
      </c>
      <c r="H14" s="42">
        <f t="shared" si="6"/>
        <v>17594.122538443666</v>
      </c>
      <c r="I14" s="42">
        <f t="shared" si="6"/>
        <v>17350.302459524286</v>
      </c>
      <c r="J14" s="42">
        <f t="shared" si="6"/>
        <v>17056.366912432099</v>
      </c>
      <c r="K14" s="42">
        <f t="shared" si="6"/>
        <v>17538.616179793102</v>
      </c>
      <c r="L14" s="42">
        <f t="shared" si="6"/>
        <v>18235.020429464817</v>
      </c>
      <c r="M14" s="42">
        <f t="shared" si="6"/>
        <v>18858.84932074909</v>
      </c>
      <c r="N14" s="42">
        <f t="shared" si="6"/>
        <v>18937.599370162359</v>
      </c>
      <c r="O14" s="42">
        <f t="shared" si="6"/>
        <v>19581.728821138764</v>
      </c>
      <c r="P14" s="42">
        <f t="shared" si="6"/>
        <v>19534.331341905898</v>
      </c>
      <c r="Q14" s="42">
        <f t="shared" si="6"/>
        <v>18907.153009994738</v>
      </c>
      <c r="R14" s="42">
        <f t="shared" si="6"/>
        <v>19683.295192790658</v>
      </c>
      <c r="S14" s="42">
        <f t="shared" si="6"/>
        <v>19610.654668696392</v>
      </c>
      <c r="T14" s="42">
        <f t="shared" si="6"/>
        <v>20192.9685239639</v>
      </c>
      <c r="U14" s="42">
        <f t="shared" si="6"/>
        <v>20873.571761959291</v>
      </c>
      <c r="V14" s="42">
        <f t="shared" si="6"/>
        <v>20862.584178553516</v>
      </c>
      <c r="W14" s="42">
        <f t="shared" si="6"/>
        <v>20524.286330727868</v>
      </c>
      <c r="X14" s="42">
        <f t="shared" si="6"/>
        <v>20753.594625718244</v>
      </c>
      <c r="Y14" s="42">
        <f t="shared" si="6"/>
        <v>19673.510469470697</v>
      </c>
      <c r="Z14" s="42">
        <f t="shared" si="6"/>
        <v>20897.063705248809</v>
      </c>
      <c r="AA14" s="42">
        <f t="shared" si="6"/>
        <v>21367.407484178479</v>
      </c>
      <c r="AB14" s="42">
        <f t="shared" si="6"/>
        <v>22832.412048299397</v>
      </c>
      <c r="AC14" s="42">
        <f t="shared" si="6"/>
        <v>23862.299947938889</v>
      </c>
      <c r="AD14" s="42">
        <f t="shared" si="6"/>
        <v>24584.294635164857</v>
      </c>
    </row>
    <row r="15" spans="2:30">
      <c r="C15"/>
      <c r="D15"/>
      <c r="E15"/>
      <c r="F15"/>
      <c r="G15"/>
      <c r="H15"/>
      <c r="I15"/>
      <c r="J15"/>
      <c r="K15"/>
      <c r="L15"/>
      <c r="M15"/>
      <c r="N15"/>
      <c r="O15"/>
      <c r="P15"/>
      <c r="Q15"/>
      <c r="R15"/>
      <c r="S15"/>
      <c r="T15"/>
      <c r="U15"/>
      <c r="V15"/>
      <c r="W15"/>
      <c r="X15"/>
      <c r="Y15"/>
      <c r="Z15"/>
      <c r="AA15"/>
      <c r="AB15"/>
      <c r="AC15"/>
      <c r="AD15"/>
    </row>
    <row r="16" spans="2:30">
      <c r="B16" s="1" t="str">
        <f>+DollarsPerActFTE!$B$16</f>
        <v>Community/Technical College System</v>
      </c>
      <c r="C16" s="3">
        <f t="shared" ref="C16:AD16" si="7">+C35+C54</f>
        <v>7428.3846971334469</v>
      </c>
      <c r="D16" s="3">
        <f t="shared" si="7"/>
        <v>7779.5299729510571</v>
      </c>
      <c r="E16" s="3">
        <f t="shared" si="7"/>
        <v>7627.4468722616257</v>
      </c>
      <c r="F16" s="3">
        <f t="shared" si="7"/>
        <v>7783.7843950637871</v>
      </c>
      <c r="G16" s="3">
        <f t="shared" si="7"/>
        <v>7214.8810598766277</v>
      </c>
      <c r="H16" s="3">
        <f t="shared" si="7"/>
        <v>7591.4021774622788</v>
      </c>
      <c r="I16" s="3">
        <f t="shared" si="7"/>
        <v>7188.3020053239134</v>
      </c>
      <c r="J16" s="3">
        <f t="shared" si="7"/>
        <v>7203.5990590113961</v>
      </c>
      <c r="K16" s="3">
        <f t="shared" si="7"/>
        <v>7399.2926655209649</v>
      </c>
      <c r="L16" s="3">
        <f t="shared" si="7"/>
        <v>7825.6640986784569</v>
      </c>
      <c r="M16" s="3">
        <f t="shared" si="7"/>
        <v>8190.0053888689317</v>
      </c>
      <c r="N16" s="3">
        <f t="shared" si="7"/>
        <v>8290.3355040317383</v>
      </c>
      <c r="O16" s="3">
        <f t="shared" si="7"/>
        <v>8527.7412850966884</v>
      </c>
      <c r="P16" s="3">
        <f t="shared" si="7"/>
        <v>8552.6860614272809</v>
      </c>
      <c r="Q16" s="3">
        <f t="shared" si="7"/>
        <v>8552.6083014859232</v>
      </c>
      <c r="R16" s="3">
        <f t="shared" si="7"/>
        <v>8569.9020021334782</v>
      </c>
      <c r="S16" s="3">
        <f t="shared" si="7"/>
        <v>8896.7068578251256</v>
      </c>
      <c r="T16" s="3">
        <f t="shared" si="7"/>
        <v>9026.7430699584274</v>
      </c>
      <c r="U16" s="3">
        <f t="shared" si="7"/>
        <v>9568.8908177491758</v>
      </c>
      <c r="V16" s="3">
        <f t="shared" si="7"/>
        <v>9415.8918193204227</v>
      </c>
      <c r="W16" s="3">
        <f t="shared" si="7"/>
        <v>9301.4483058159294</v>
      </c>
      <c r="X16" s="3">
        <f t="shared" si="7"/>
        <v>8968.4442253493362</v>
      </c>
      <c r="Y16" s="3">
        <f t="shared" si="7"/>
        <v>8420.0463976268729</v>
      </c>
      <c r="Z16" s="3">
        <f t="shared" si="7"/>
        <v>8464.7686688709655</v>
      </c>
      <c r="AA16" s="3">
        <f t="shared" si="7"/>
        <v>8940.9321470160194</v>
      </c>
      <c r="AB16" s="3">
        <f t="shared" si="7"/>
        <v>8865.5397350992607</v>
      </c>
      <c r="AC16" s="3">
        <f t="shared" si="7"/>
        <v>9420.2081730720602</v>
      </c>
      <c r="AD16" s="3">
        <f t="shared" si="7"/>
        <v>9633.509636148694</v>
      </c>
    </row>
    <row r="17" spans="2:30">
      <c r="B17" s="1" t="str">
        <f>+DollarsPerActFTE!$B$17</f>
        <v>HEC Board, CHE, SFA, &amp; SAC (1)</v>
      </c>
      <c r="C17" s="3">
        <f t="shared" ref="C17:AD17" si="8">+C36+C55</f>
        <v>368.70532179844002</v>
      </c>
      <c r="D17" s="3">
        <f t="shared" si="8"/>
        <v>400.92225770485703</v>
      </c>
      <c r="E17" s="3">
        <f t="shared" si="8"/>
        <v>439.93857126265937</v>
      </c>
      <c r="F17" s="3">
        <f t="shared" si="8"/>
        <v>427.86149053769543</v>
      </c>
      <c r="G17" s="3">
        <f t="shared" si="8"/>
        <v>648.05430862424055</v>
      </c>
      <c r="H17" s="3">
        <f t="shared" si="8"/>
        <v>682.486890830692</v>
      </c>
      <c r="I17" s="3">
        <f t="shared" si="8"/>
        <v>688.58649972386638</v>
      </c>
      <c r="J17" s="3">
        <f t="shared" si="8"/>
        <v>701.37483020627803</v>
      </c>
      <c r="K17" s="3">
        <f t="shared" si="8"/>
        <v>795.92312562509119</v>
      </c>
      <c r="L17" s="3">
        <f t="shared" si="8"/>
        <v>852.91567870366396</v>
      </c>
      <c r="M17" s="3">
        <f t="shared" si="8"/>
        <v>880.89556349669238</v>
      </c>
      <c r="N17" s="3">
        <f t="shared" si="8"/>
        <v>974.92102735722426</v>
      </c>
      <c r="O17" s="3">
        <f t="shared" si="8"/>
        <v>968.964379438219</v>
      </c>
      <c r="P17" s="3">
        <f t="shared" si="8"/>
        <v>1023.9483461700241</v>
      </c>
      <c r="Q17" s="3">
        <f t="shared" si="8"/>
        <v>1070.1772708449466</v>
      </c>
      <c r="R17" s="3">
        <f t="shared" si="8"/>
        <v>1155.3255657979942</v>
      </c>
      <c r="S17" s="3">
        <f t="shared" si="8"/>
        <v>1271.8521228945526</v>
      </c>
      <c r="T17" s="3">
        <f t="shared" si="8"/>
        <v>1289.204888021957</v>
      </c>
      <c r="U17" s="3">
        <f t="shared" si="8"/>
        <v>1411.2438336571697</v>
      </c>
      <c r="V17" s="3">
        <f t="shared" si="8"/>
        <v>1390.7954781199858</v>
      </c>
      <c r="W17" s="3">
        <f t="shared" si="8"/>
        <v>1500.5004802435742</v>
      </c>
      <c r="X17" s="3">
        <f t="shared" si="8"/>
        <v>1308.2213093878004</v>
      </c>
      <c r="Y17" s="3">
        <f t="shared" si="8"/>
        <v>1639.7662942865754</v>
      </c>
      <c r="Z17" s="3">
        <f t="shared" si="8"/>
        <v>1797.6937664600907</v>
      </c>
      <c r="AA17" s="3">
        <f t="shared" si="8"/>
        <v>2011.6931374160895</v>
      </c>
      <c r="AB17" s="3">
        <f t="shared" si="8"/>
        <v>1910.3582246503638</v>
      </c>
      <c r="AC17" s="3">
        <f t="shared" si="8"/>
        <v>1972.8254289027773</v>
      </c>
      <c r="AD17" s="3">
        <f t="shared" si="8"/>
        <v>1868.0122515795126</v>
      </c>
    </row>
    <row r="18" spans="2:30" ht="13.5" thickBot="1">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row>
    <row r="19" spans="2:30" ht="13.5" thickTop="1">
      <c r="B19" s="1" t="str">
        <f>+DollarsPerActFTE!$B$19</f>
        <v>Total Higher Education</v>
      </c>
      <c r="C19" s="39">
        <f t="shared" ref="C19:AD19" si="9">+C38+C57</f>
        <v>12267.849773044902</v>
      </c>
      <c r="D19" s="39">
        <f t="shared" si="9"/>
        <v>12839.405301883631</v>
      </c>
      <c r="E19" s="39">
        <f t="shared" si="9"/>
        <v>12535.616437446055</v>
      </c>
      <c r="F19" s="39">
        <f t="shared" si="9"/>
        <v>12695.16507431122</v>
      </c>
      <c r="G19" s="39">
        <f t="shared" si="9"/>
        <v>11988.327563412606</v>
      </c>
      <c r="H19" s="39">
        <f t="shared" si="9"/>
        <v>12343.836207949071</v>
      </c>
      <c r="I19" s="39">
        <f t="shared" si="9"/>
        <v>12009.420998751793</v>
      </c>
      <c r="J19" s="39">
        <f t="shared" si="9"/>
        <v>11973.329399658558</v>
      </c>
      <c r="K19" s="39">
        <f t="shared" si="9"/>
        <v>12358.147173461328</v>
      </c>
      <c r="L19" s="39">
        <f t="shared" si="9"/>
        <v>12935.282271982092</v>
      </c>
      <c r="M19" s="39">
        <f t="shared" si="9"/>
        <v>13356.365053095884</v>
      </c>
      <c r="N19" s="39">
        <f t="shared" si="9"/>
        <v>13546.709559186365</v>
      </c>
      <c r="O19" s="39">
        <f t="shared" si="9"/>
        <v>13909.560294937337</v>
      </c>
      <c r="P19" s="39">
        <f t="shared" si="9"/>
        <v>13910.60337444815</v>
      </c>
      <c r="Q19" s="39">
        <f t="shared" si="9"/>
        <v>13761.449893160761</v>
      </c>
      <c r="R19" s="39">
        <f t="shared" si="9"/>
        <v>14180.447278451436</v>
      </c>
      <c r="S19" s="39">
        <f t="shared" si="9"/>
        <v>14471.637088029926</v>
      </c>
      <c r="T19" s="39">
        <f t="shared" si="9"/>
        <v>14866.251953997798</v>
      </c>
      <c r="U19" s="39">
        <f t="shared" si="9"/>
        <v>15586.208416012454</v>
      </c>
      <c r="V19" s="39">
        <f t="shared" si="9"/>
        <v>15468.553729721394</v>
      </c>
      <c r="W19" s="39">
        <f t="shared" si="9"/>
        <v>15247.373508541914</v>
      </c>
      <c r="X19" s="39">
        <f t="shared" si="9"/>
        <v>14985.642830334491</v>
      </c>
      <c r="Y19" s="39">
        <f t="shared" si="9"/>
        <v>14563.593046016049</v>
      </c>
      <c r="Z19" s="39">
        <f t="shared" si="9"/>
        <v>15238.026029241544</v>
      </c>
      <c r="AA19" s="39">
        <f t="shared" si="9"/>
        <v>15935.383091036321</v>
      </c>
      <c r="AB19" s="39">
        <f t="shared" si="9"/>
        <v>16370.879550372512</v>
      </c>
      <c r="AC19" s="39">
        <f t="shared" si="9"/>
        <v>17178.383091716983</v>
      </c>
      <c r="AD19" s="39">
        <f t="shared" si="9"/>
        <v>17490.648512434222</v>
      </c>
    </row>
    <row r="20" spans="2:30">
      <c r="B20" s="199" t="str">
        <f>+DollarsPerActFTE!$B$20</f>
        <v>[biennial annual average]</v>
      </c>
      <c r="C20" s="3"/>
      <c r="D20" s="3">
        <f>AVERAGE(C19:D19)</f>
        <v>12553.627537464266</v>
      </c>
      <c r="E20" s="3"/>
      <c r="F20" s="3">
        <f>AVERAGE(E19:F19)</f>
        <v>12615.390755878638</v>
      </c>
      <c r="G20" s="3"/>
      <c r="H20" s="3">
        <f>AVERAGE(G19:H19)</f>
        <v>12166.081885680838</v>
      </c>
      <c r="I20" s="3"/>
      <c r="J20" s="3">
        <f>AVERAGE(I19:J19)</f>
        <v>11991.375199205177</v>
      </c>
      <c r="K20" s="3"/>
      <c r="L20" s="3">
        <f>AVERAGE(K19:L19)</f>
        <v>12646.71472272171</v>
      </c>
      <c r="M20" s="3"/>
      <c r="N20" s="3">
        <f>AVERAGE(M19:N19)</f>
        <v>13451.537306141125</v>
      </c>
      <c r="O20" s="3"/>
      <c r="P20" s="3">
        <f>AVERAGE(O19:P19)</f>
        <v>13910.081834692744</v>
      </c>
      <c r="Q20" s="3"/>
      <c r="R20" s="3">
        <f>AVERAGE(Q19:R19)</f>
        <v>13970.948585806098</v>
      </c>
      <c r="S20" s="3"/>
      <c r="T20" s="3">
        <f>AVERAGE(S19:T19)</f>
        <v>14668.944521013862</v>
      </c>
      <c r="U20" s="3"/>
      <c r="V20" s="3">
        <f>AVERAGE(U19:V19)</f>
        <v>15527.381072866923</v>
      </c>
      <c r="W20" s="3"/>
      <c r="X20" s="3">
        <f>AVERAGE(W19:X19)</f>
        <v>15116.508169438202</v>
      </c>
      <c r="Y20" s="3"/>
      <c r="Z20" s="3">
        <f>AVERAGE(Y19:Z19)</f>
        <v>14900.809537628797</v>
      </c>
      <c r="AA20" s="3"/>
      <c r="AB20" s="3">
        <f>AVERAGE(AA19:AB19)</f>
        <v>16153.131320704417</v>
      </c>
      <c r="AC20" s="3"/>
      <c r="AD20" s="3">
        <f>AVERAGE(AC19:AD19)</f>
        <v>17334.515802075603</v>
      </c>
    </row>
    <row r="22" spans="2:30" ht="14.25">
      <c r="B22" s="2447" t="str">
        <f>+OperatingFunds!B22</f>
        <v>State Funds (Including Stimulus in FY2010, Opportunity Express in FY2011, and Opportunity Pathways since FY2011)</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2:30" ht="13.5">
      <c r="B23" s="33" t="str">
        <f>+$B$4</f>
        <v>FY2024 Constant Dollar Expenditures per Budgeted State-Funded FTE Enrollment</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2:30">
      <c r="I24" s="13"/>
      <c r="J24" s="13"/>
      <c r="K24" s="13"/>
      <c r="L24" s="13"/>
      <c r="M24" s="13"/>
      <c r="N24" s="13"/>
      <c r="O24" s="13"/>
      <c r="P24" s="13"/>
      <c r="Q24"/>
      <c r="R24" s="13"/>
      <c r="S24"/>
      <c r="T24"/>
      <c r="U24" s="2"/>
      <c r="V24" s="2"/>
      <c r="W24" s="2"/>
      <c r="X24" s="2"/>
      <c r="Y24" s="2"/>
      <c r="Z24" s="2"/>
      <c r="AA24" s="2"/>
      <c r="AB24" s="2"/>
      <c r="AC24" s="5"/>
      <c r="AD24" s="2" t="str">
        <f>TRIM(OperatingFunds!AD24)</f>
        <v/>
      </c>
    </row>
    <row r="25" spans="2:30">
      <c r="C25" s="2" t="str">
        <f>+OperatingFunds!C25</f>
        <v>FY1990</v>
      </c>
      <c r="D25" s="2" t="str">
        <f>+OperatingFunds!D25</f>
        <v>FY1991</v>
      </c>
      <c r="E25" s="2" t="str">
        <f>+OperatingFunds!E25</f>
        <v>FY1992</v>
      </c>
      <c r="F25" s="2" t="str">
        <f>+OperatingFunds!F25</f>
        <v>FY1993</v>
      </c>
      <c r="G25" s="2" t="str">
        <f>+OperatingFunds!G25</f>
        <v>FY1994</v>
      </c>
      <c r="H25" s="2" t="str">
        <f>+OperatingFunds!H25</f>
        <v>FY1995</v>
      </c>
      <c r="I25" s="2" t="str">
        <f>+OperatingFunds!I25</f>
        <v>FY1996</v>
      </c>
      <c r="J25" s="2" t="str">
        <f>+OperatingFunds!J25</f>
        <v>FY1997</v>
      </c>
      <c r="K25" s="2" t="str">
        <f>+OperatingFunds!K25</f>
        <v>FY1998</v>
      </c>
      <c r="L25" s="2" t="str">
        <f>+OperatingFunds!L25</f>
        <v>FY1999</v>
      </c>
      <c r="M25" s="2" t="str">
        <f>+OperatingFunds!M25</f>
        <v>FY2000</v>
      </c>
      <c r="N25" s="2" t="str">
        <f>+OperatingFunds!N25</f>
        <v>FY2001*</v>
      </c>
      <c r="O25" s="2" t="str">
        <f>+OperatingFunds!O25</f>
        <v>FY2002</v>
      </c>
      <c r="P25" s="2" t="str">
        <f>+OperatingFunds!P25</f>
        <v>FY2003</v>
      </c>
      <c r="Q25" s="2" t="str">
        <f>+OperatingFunds!Q25</f>
        <v>FY2004*</v>
      </c>
      <c r="R25" s="2" t="str">
        <f>+OperatingFunds!R25</f>
        <v>FY2005*</v>
      </c>
      <c r="S25" s="2" t="str">
        <f>+OperatingFunds!S25</f>
        <v>FY2006</v>
      </c>
      <c r="T25" s="2" t="str">
        <f>+OperatingFunds!T25</f>
        <v>FY2007</v>
      </c>
      <c r="U25" s="2" t="str">
        <f>+OperatingFunds!U25</f>
        <v>FY2008</v>
      </c>
      <c r="V25" s="2" t="str">
        <f>+OperatingFunds!V25</f>
        <v>FY2009</v>
      </c>
      <c r="W25" s="2" t="str">
        <f>+$W$6</f>
        <v>FY2010</v>
      </c>
      <c r="X25" s="2" t="str">
        <f>+$X$6</f>
        <v>FY2011</v>
      </c>
      <c r="Y25" s="2" t="str">
        <f>IF(ISBLANK(OperatingFunds!Y25),"",OperatingFunds!Y25)</f>
        <v>FY2012</v>
      </c>
      <c r="Z25" s="2" t="str">
        <f>IF(ISBLANK(OperatingFunds!Z25),"",OperatingFunds!Z25)</f>
        <v>FY2013</v>
      </c>
      <c r="AA25" s="2" t="str">
        <f>IF(ISBLANK(OperatingFunds!AA25),"",OperatingFunds!AA25)</f>
        <v>FY2014</v>
      </c>
      <c r="AB25" s="2" t="str">
        <f>IF(ISBLANK(OperatingFunds!AB25),"",OperatingFunds!AB25)</f>
        <v>FY2015</v>
      </c>
      <c r="AC25" s="2" t="str">
        <f>IF(ISBLANK(OperatingFunds!AC25),"",OperatingFunds!AC25)</f>
        <v>FY2016</v>
      </c>
      <c r="AD25" s="2" t="str">
        <f>IF(ISBLANK(OperatingFunds!AD25),"",OperatingFunds!AD25)</f>
        <v>FY2017</v>
      </c>
    </row>
    <row r="26" spans="2:30">
      <c r="C26" s="3"/>
      <c r="D26" s="3"/>
      <c r="E26" s="3"/>
      <c r="F26" s="3"/>
      <c r="G26" s="3"/>
      <c r="H26" s="3"/>
      <c r="I26" s="3"/>
      <c r="J26" s="3"/>
      <c r="K26" s="3"/>
      <c r="L26" s="3"/>
      <c r="M26" s="3"/>
      <c r="N26" s="3"/>
      <c r="O26" s="3"/>
      <c r="P26" s="3"/>
      <c r="Q26" s="3"/>
      <c r="R26" s="3"/>
    </row>
    <row r="27" spans="2:30">
      <c r="B27" s="1" t="str">
        <f>+$B$8</f>
        <v>University of Washington</v>
      </c>
      <c r="C27" s="3">
        <f t="shared" ref="C27:AD27" si="10">SUM(C65,C84,C103,C122,C141)</f>
        <v>16826.957125423731</v>
      </c>
      <c r="D27" s="3">
        <f t="shared" si="10"/>
        <v>17526.532590032744</v>
      </c>
      <c r="E27" s="3">
        <f t="shared" si="10"/>
        <v>16600.297663657901</v>
      </c>
      <c r="F27" s="3">
        <f t="shared" si="10"/>
        <v>16788.439896327865</v>
      </c>
      <c r="G27" s="3">
        <f t="shared" si="10"/>
        <v>15229.932401021128</v>
      </c>
      <c r="H27" s="3">
        <f t="shared" si="10"/>
        <v>14447.655806930867</v>
      </c>
      <c r="I27" s="3">
        <f t="shared" si="10"/>
        <v>14644.076962120986</v>
      </c>
      <c r="J27" s="3">
        <f t="shared" si="10"/>
        <v>14376.746569438716</v>
      </c>
      <c r="K27" s="3">
        <f t="shared" si="10"/>
        <v>14902.441091883997</v>
      </c>
      <c r="L27" s="3">
        <f t="shared" si="10"/>
        <v>15141.296340098783</v>
      </c>
      <c r="M27" s="3">
        <f t="shared" si="10"/>
        <v>15821.856361376995</v>
      </c>
      <c r="N27" s="3">
        <f t="shared" si="10"/>
        <v>16111.018417837662</v>
      </c>
      <c r="O27" s="3">
        <f t="shared" si="10"/>
        <v>16279.119959911783</v>
      </c>
      <c r="P27" s="3">
        <f t="shared" si="10"/>
        <v>15351.162986197054</v>
      </c>
      <c r="Q27" s="3">
        <f t="shared" si="10"/>
        <v>14471.616853165166</v>
      </c>
      <c r="R27" s="3">
        <f t="shared" si="10"/>
        <v>14485.537267192401</v>
      </c>
      <c r="S27" s="3">
        <f t="shared" si="10"/>
        <v>14598.117481378729</v>
      </c>
      <c r="T27" s="3">
        <f t="shared" si="10"/>
        <v>14746.532309760736</v>
      </c>
      <c r="U27" s="3">
        <f t="shared" si="10"/>
        <v>15005.335515251643</v>
      </c>
      <c r="V27" s="3">
        <f t="shared" si="10"/>
        <v>14488.211357343207</v>
      </c>
      <c r="W27" s="3">
        <f t="shared" si="10"/>
        <v>13147.072003188356</v>
      </c>
      <c r="X27" s="3">
        <f t="shared" si="10"/>
        <v>11061.70032651387</v>
      </c>
      <c r="Y27" s="3">
        <f t="shared" si="10"/>
        <v>8056.7569805532166</v>
      </c>
      <c r="Z27" s="3">
        <f t="shared" si="10"/>
        <v>8017.7263168744239</v>
      </c>
      <c r="AA27" s="3">
        <f t="shared" si="10"/>
        <v>9414.6291281822687</v>
      </c>
      <c r="AB27" s="3">
        <f t="shared" si="10"/>
        <v>8961.3725603612002</v>
      </c>
      <c r="AC27" s="3">
        <f t="shared" si="10"/>
        <v>10590.547478918914</v>
      </c>
      <c r="AD27" s="3">
        <f t="shared" si="10"/>
        <v>11748.680661676075</v>
      </c>
    </row>
    <row r="28" spans="2:30">
      <c r="B28" s="1" t="str">
        <f>+$B$9</f>
        <v>Washington State University</v>
      </c>
      <c r="C28" s="3">
        <f t="shared" ref="C28:AD28" si="11">SUM(C66,C85,C104,C123,C142)</f>
        <v>17561.570809833251</v>
      </c>
      <c r="D28" s="3">
        <f t="shared" si="11"/>
        <v>17984.716185798028</v>
      </c>
      <c r="E28" s="3">
        <f t="shared" si="11"/>
        <v>17501.624661676768</v>
      </c>
      <c r="F28" s="3">
        <f t="shared" si="11"/>
        <v>17503.230422165303</v>
      </c>
      <c r="G28" s="3">
        <f t="shared" si="11"/>
        <v>15937.09548064611</v>
      </c>
      <c r="H28" s="3">
        <f t="shared" si="11"/>
        <v>15010.20168403147</v>
      </c>
      <c r="I28" s="3">
        <f t="shared" si="11"/>
        <v>15074.753192907345</v>
      </c>
      <c r="J28" s="3">
        <f t="shared" si="11"/>
        <v>14497.999225686352</v>
      </c>
      <c r="K28" s="3">
        <f t="shared" si="11"/>
        <v>15260.169402783877</v>
      </c>
      <c r="L28" s="3">
        <f t="shared" si="11"/>
        <v>15034.707132799778</v>
      </c>
      <c r="M28" s="3">
        <f t="shared" si="11"/>
        <v>16570.602286086079</v>
      </c>
      <c r="N28" s="3">
        <f t="shared" si="11"/>
        <v>16252.460259396619</v>
      </c>
      <c r="O28" s="3">
        <f t="shared" si="11"/>
        <v>16595.795272389161</v>
      </c>
      <c r="P28" s="3">
        <f t="shared" si="11"/>
        <v>15605.476434712975</v>
      </c>
      <c r="Q28" s="3">
        <f t="shared" si="11"/>
        <v>14874.25411286151</v>
      </c>
      <c r="R28" s="3">
        <f t="shared" si="11"/>
        <v>14796.501773978594</v>
      </c>
      <c r="S28" s="3">
        <f t="shared" si="11"/>
        <v>15148.097887774185</v>
      </c>
      <c r="T28" s="3">
        <f t="shared" si="11"/>
        <v>15116.193457955107</v>
      </c>
      <c r="U28" s="3">
        <f t="shared" si="11"/>
        <v>15952.587417141356</v>
      </c>
      <c r="V28" s="3">
        <f t="shared" si="11"/>
        <v>15485.209301861945</v>
      </c>
      <c r="W28" s="3">
        <f t="shared" si="11"/>
        <v>13253.746771384293</v>
      </c>
      <c r="X28" s="3">
        <f t="shared" si="11"/>
        <v>12082.746976707938</v>
      </c>
      <c r="Y28" s="3">
        <f t="shared" si="11"/>
        <v>9136.6052616387024</v>
      </c>
      <c r="Z28" s="3">
        <f t="shared" si="11"/>
        <v>8959.6691360138993</v>
      </c>
      <c r="AA28" s="3">
        <f t="shared" si="11"/>
        <v>10181.029313761079</v>
      </c>
      <c r="AB28" s="3">
        <f t="shared" si="11"/>
        <v>9755.8395856080351</v>
      </c>
      <c r="AC28" s="3">
        <f t="shared" si="11"/>
        <v>11283.542354666557</v>
      </c>
      <c r="AD28" s="3">
        <f t="shared" si="11"/>
        <v>12535.38780887205</v>
      </c>
    </row>
    <row r="29" spans="2:30">
      <c r="B29" s="1" t="str">
        <f>+$B$10</f>
        <v>Eastern Washington University</v>
      </c>
      <c r="C29" s="3">
        <f t="shared" ref="C29:AD29" si="12">SUM(C67,C86,C105,C124,C143)</f>
        <v>10247.497286324788</v>
      </c>
      <c r="D29" s="3">
        <f t="shared" si="12"/>
        <v>10892.443124327356</v>
      </c>
      <c r="E29" s="3">
        <f t="shared" si="12"/>
        <v>9951.4241951377608</v>
      </c>
      <c r="F29" s="3">
        <f t="shared" si="12"/>
        <v>10286.616471065157</v>
      </c>
      <c r="G29" s="3">
        <f t="shared" si="12"/>
        <v>9102.237519199969</v>
      </c>
      <c r="H29" s="3">
        <f t="shared" si="12"/>
        <v>8781.5483656600863</v>
      </c>
      <c r="I29" s="3">
        <f t="shared" si="12"/>
        <v>8707.7207900933372</v>
      </c>
      <c r="J29" s="3">
        <f t="shared" si="12"/>
        <v>8522.210597711588</v>
      </c>
      <c r="K29" s="3">
        <f t="shared" si="12"/>
        <v>8743.7940491060817</v>
      </c>
      <c r="L29" s="3">
        <f t="shared" si="12"/>
        <v>8718.7168085009216</v>
      </c>
      <c r="M29" s="3">
        <f t="shared" si="12"/>
        <v>9015.2381172564346</v>
      </c>
      <c r="N29" s="3">
        <f t="shared" si="12"/>
        <v>9133.7979721090087</v>
      </c>
      <c r="O29" s="3">
        <f t="shared" si="12"/>
        <v>9273.7944366121192</v>
      </c>
      <c r="P29" s="3">
        <f t="shared" si="12"/>
        <v>8668.170215397322</v>
      </c>
      <c r="Q29" s="3">
        <f t="shared" si="12"/>
        <v>7977.5704388039758</v>
      </c>
      <c r="R29" s="3">
        <f t="shared" si="12"/>
        <v>8335.997134803436</v>
      </c>
      <c r="S29" s="3">
        <f t="shared" si="12"/>
        <v>8375.4696242099144</v>
      </c>
      <c r="T29" s="3">
        <f t="shared" si="12"/>
        <v>8464.909242894244</v>
      </c>
      <c r="U29" s="3">
        <f t="shared" si="12"/>
        <v>9124.3525173777307</v>
      </c>
      <c r="V29" s="3">
        <f t="shared" si="12"/>
        <v>8548.2024918361749</v>
      </c>
      <c r="W29" s="3">
        <f t="shared" si="12"/>
        <v>7909.5214944621812</v>
      </c>
      <c r="X29" s="3">
        <f t="shared" si="12"/>
        <v>7087.4682730473178</v>
      </c>
      <c r="Y29" s="3">
        <f t="shared" si="12"/>
        <v>5275.2690596508282</v>
      </c>
      <c r="Z29" s="3">
        <f t="shared" si="12"/>
        <v>5126.3036996628261</v>
      </c>
      <c r="AA29" s="3">
        <f t="shared" si="12"/>
        <v>5833.8107252952159</v>
      </c>
      <c r="AB29" s="3">
        <f t="shared" si="12"/>
        <v>5720.0137943725667</v>
      </c>
      <c r="AC29" s="3">
        <f t="shared" si="12"/>
        <v>6869.0061519328965</v>
      </c>
      <c r="AD29" s="3">
        <f t="shared" si="12"/>
        <v>8128.1909512098027</v>
      </c>
    </row>
    <row r="30" spans="2:30">
      <c r="B30" s="1" t="str">
        <f>+$B$11</f>
        <v>Central Washington University</v>
      </c>
      <c r="C30" s="3">
        <f t="shared" ref="C30:AD30" si="13">SUM(C68,C87,C106,C125,C144)</f>
        <v>10155.405527763884</v>
      </c>
      <c r="D30" s="3">
        <f t="shared" si="13"/>
        <v>10956.449858688004</v>
      </c>
      <c r="E30" s="3">
        <f t="shared" si="13"/>
        <v>9943.0406242520639</v>
      </c>
      <c r="F30" s="3">
        <f t="shared" si="13"/>
        <v>10399.369999928009</v>
      </c>
      <c r="G30" s="3">
        <f t="shared" si="13"/>
        <v>8916.4921518618667</v>
      </c>
      <c r="H30" s="3">
        <f t="shared" si="13"/>
        <v>9126.2550787352775</v>
      </c>
      <c r="I30" s="3">
        <f t="shared" si="13"/>
        <v>8691.3616178613956</v>
      </c>
      <c r="J30" s="3">
        <f t="shared" si="13"/>
        <v>8747.4403847230751</v>
      </c>
      <c r="K30" s="3">
        <f t="shared" si="13"/>
        <v>8754.391786830889</v>
      </c>
      <c r="L30" s="3">
        <f t="shared" si="13"/>
        <v>8993.8128917307622</v>
      </c>
      <c r="M30" s="3">
        <f t="shared" si="13"/>
        <v>9197.1941806501636</v>
      </c>
      <c r="N30" s="3">
        <f t="shared" si="13"/>
        <v>9203.3501601398657</v>
      </c>
      <c r="O30" s="3">
        <f t="shared" si="13"/>
        <v>9535.7799476807504</v>
      </c>
      <c r="P30" s="3">
        <f t="shared" si="13"/>
        <v>8814.0581549376238</v>
      </c>
      <c r="Q30" s="3">
        <f t="shared" si="13"/>
        <v>8260.2017314613313</v>
      </c>
      <c r="R30" s="3">
        <f t="shared" si="13"/>
        <v>8405.3468996124047</v>
      </c>
      <c r="S30" s="3">
        <f t="shared" si="13"/>
        <v>8600.0501367809084</v>
      </c>
      <c r="T30" s="3">
        <f t="shared" si="13"/>
        <v>8635.2203551563252</v>
      </c>
      <c r="U30" s="3">
        <f t="shared" si="13"/>
        <v>8942.789702217824</v>
      </c>
      <c r="V30" s="3">
        <f t="shared" si="13"/>
        <v>8567.2758557197103</v>
      </c>
      <c r="W30" s="3">
        <f t="shared" si="13"/>
        <v>7700.0857858449363</v>
      </c>
      <c r="X30" s="3">
        <f t="shared" si="13"/>
        <v>6813.7767043977055</v>
      </c>
      <c r="Y30" s="3">
        <f t="shared" si="13"/>
        <v>5026.6296154829952</v>
      </c>
      <c r="Z30" s="3">
        <f t="shared" si="13"/>
        <v>4751.2662422454077</v>
      </c>
      <c r="AA30" s="3">
        <f t="shared" si="13"/>
        <v>5623.5390170563505</v>
      </c>
      <c r="AB30" s="3">
        <f t="shared" si="13"/>
        <v>5515.0073133124379</v>
      </c>
      <c r="AC30" s="3">
        <f t="shared" si="13"/>
        <v>6546.7807149702603</v>
      </c>
      <c r="AD30" s="3">
        <f t="shared" si="13"/>
        <v>7916.5556022428218</v>
      </c>
    </row>
    <row r="31" spans="2:30">
      <c r="B31" s="1" t="str">
        <f>+$B$12</f>
        <v>The Evergreen State College</v>
      </c>
      <c r="C31" s="3">
        <f t="shared" ref="C31:AD31" si="14">SUM(C69,C88,C107,C126,C145)</f>
        <v>12453.911266666668</v>
      </c>
      <c r="D31" s="3">
        <f t="shared" si="14"/>
        <v>13338.273866264881</v>
      </c>
      <c r="E31" s="3">
        <f t="shared" si="14"/>
        <v>11551.883462919353</v>
      </c>
      <c r="F31" s="3">
        <f t="shared" si="14"/>
        <v>13125.501416258066</v>
      </c>
      <c r="G31" s="3">
        <f t="shared" si="14"/>
        <v>10286.024903360565</v>
      </c>
      <c r="H31" s="3">
        <f t="shared" si="14"/>
        <v>10728.642586374928</v>
      </c>
      <c r="I31" s="3">
        <f t="shared" si="14"/>
        <v>10051.778062546351</v>
      </c>
      <c r="J31" s="3">
        <f t="shared" si="14"/>
        <v>9966.4150784252743</v>
      </c>
      <c r="K31" s="3">
        <f t="shared" si="14"/>
        <v>10120.741074442947</v>
      </c>
      <c r="L31" s="3">
        <f t="shared" si="14"/>
        <v>9817.3778628398904</v>
      </c>
      <c r="M31" s="3">
        <f t="shared" si="14"/>
        <v>10304.284416438555</v>
      </c>
      <c r="N31" s="3">
        <f t="shared" si="14"/>
        <v>10941.635526490019</v>
      </c>
      <c r="O31" s="3">
        <f t="shared" si="14"/>
        <v>10924.093986680877</v>
      </c>
      <c r="P31" s="3">
        <f t="shared" si="14"/>
        <v>10041.047554972403</v>
      </c>
      <c r="Q31" s="3">
        <f t="shared" si="14"/>
        <v>9352.0796278621983</v>
      </c>
      <c r="R31" s="3">
        <f t="shared" si="14"/>
        <v>9538.9068486962369</v>
      </c>
      <c r="S31" s="3">
        <f t="shared" si="14"/>
        <v>9621.1919155489013</v>
      </c>
      <c r="T31" s="3">
        <f t="shared" si="14"/>
        <v>9968.0706148334848</v>
      </c>
      <c r="U31" s="3">
        <f t="shared" si="14"/>
        <v>10757.534407279021</v>
      </c>
      <c r="V31" s="3">
        <f t="shared" si="14"/>
        <v>10061.595108859783</v>
      </c>
      <c r="W31" s="3">
        <f t="shared" si="14"/>
        <v>8499.4030424522534</v>
      </c>
      <c r="X31" s="3">
        <f t="shared" si="14"/>
        <v>7484.4257604276772</v>
      </c>
      <c r="Y31" s="3">
        <f t="shared" si="14"/>
        <v>5854.6996235928445</v>
      </c>
      <c r="Z31" s="3">
        <f t="shared" si="14"/>
        <v>5497.7371159925542</v>
      </c>
      <c r="AA31" s="3">
        <f t="shared" si="14"/>
        <v>6552.007408057435</v>
      </c>
      <c r="AB31" s="3">
        <f t="shared" si="14"/>
        <v>5947.8130201657159</v>
      </c>
      <c r="AC31" s="3">
        <f t="shared" si="14"/>
        <v>7647.0700642813954</v>
      </c>
      <c r="AD31" s="3">
        <f t="shared" si="14"/>
        <v>8336.8227362006564</v>
      </c>
    </row>
    <row r="32" spans="2:30">
      <c r="B32" s="1" t="str">
        <f>+$B$13</f>
        <v>Western Washington University</v>
      </c>
      <c r="C32" s="3">
        <f t="shared" ref="C32:AD32" si="15">SUM(C70,C89,C108,C127,C146)</f>
        <v>9384.2008284023668</v>
      </c>
      <c r="D32" s="3">
        <f t="shared" si="15"/>
        <v>9969.3840134563216</v>
      </c>
      <c r="E32" s="3">
        <f t="shared" si="15"/>
        <v>9353.2771152431542</v>
      </c>
      <c r="F32" s="3">
        <f t="shared" si="15"/>
        <v>9170.7045070891218</v>
      </c>
      <c r="G32" s="3">
        <f t="shared" si="15"/>
        <v>8377.0350042362479</v>
      </c>
      <c r="H32" s="3">
        <f t="shared" si="15"/>
        <v>7667.7428116378433</v>
      </c>
      <c r="I32" s="3">
        <f t="shared" si="15"/>
        <v>7979.6313041377771</v>
      </c>
      <c r="J32" s="3">
        <f t="shared" si="15"/>
        <v>7952.6730144210715</v>
      </c>
      <c r="K32" s="3">
        <f t="shared" si="15"/>
        <v>8095.4030570408959</v>
      </c>
      <c r="L32" s="3">
        <f t="shared" si="15"/>
        <v>8054.1022682225694</v>
      </c>
      <c r="M32" s="3">
        <f t="shared" si="15"/>
        <v>8376.2753334939771</v>
      </c>
      <c r="N32" s="3">
        <f t="shared" si="15"/>
        <v>8595.3929255825278</v>
      </c>
      <c r="O32" s="3">
        <f t="shared" si="15"/>
        <v>8797.5163632053245</v>
      </c>
      <c r="P32" s="3">
        <f t="shared" si="15"/>
        <v>8245.9997555750288</v>
      </c>
      <c r="Q32" s="3">
        <f t="shared" si="15"/>
        <v>7723.7470322408226</v>
      </c>
      <c r="R32" s="3">
        <f t="shared" si="15"/>
        <v>7748.7534482662195</v>
      </c>
      <c r="S32" s="3">
        <f t="shared" si="15"/>
        <v>7855.9673900363478</v>
      </c>
      <c r="T32" s="3">
        <f t="shared" si="15"/>
        <v>7993.4769684110161</v>
      </c>
      <c r="U32" s="3">
        <f t="shared" si="15"/>
        <v>8497.5525951637119</v>
      </c>
      <c r="V32" s="3">
        <f t="shared" si="15"/>
        <v>8228.4351256128466</v>
      </c>
      <c r="W32" s="3">
        <f t="shared" si="15"/>
        <v>7207.9914752939158</v>
      </c>
      <c r="X32" s="3">
        <f t="shared" si="15"/>
        <v>6435.013540738285</v>
      </c>
      <c r="Y32" s="3">
        <f t="shared" si="15"/>
        <v>4668.5101687202923</v>
      </c>
      <c r="Z32" s="3">
        <f t="shared" si="15"/>
        <v>4486.8099545696041</v>
      </c>
      <c r="AA32" s="3">
        <f t="shared" si="15"/>
        <v>5286.2018689422684</v>
      </c>
      <c r="AB32" s="3">
        <f t="shared" si="15"/>
        <v>5318.4069510983973</v>
      </c>
      <c r="AC32" s="3">
        <f t="shared" si="15"/>
        <v>6587.3872836515366</v>
      </c>
      <c r="AD32" s="3">
        <f t="shared" si="15"/>
        <v>7945.1952449616974</v>
      </c>
    </row>
    <row r="33" spans="2:30">
      <c r="B33" s="199" t="str">
        <f>+$B$14</f>
        <v>Total Four-Year Institutions</v>
      </c>
      <c r="C33" s="42">
        <f t="shared" ref="C33:V33" si="16">SUM(C71,C109,C128,C147)</f>
        <v>14689.412298837493</v>
      </c>
      <c r="D33" s="42">
        <f t="shared" si="16"/>
        <v>15332.742075927838</v>
      </c>
      <c r="E33" s="42">
        <f t="shared" si="16"/>
        <v>14476.127500346467</v>
      </c>
      <c r="F33" s="42">
        <f t="shared" si="16"/>
        <v>14655.327918720532</v>
      </c>
      <c r="G33" s="42">
        <f t="shared" si="16"/>
        <v>13166.812645698326</v>
      </c>
      <c r="H33" s="42">
        <f t="shared" si="16"/>
        <v>12532.503140262796</v>
      </c>
      <c r="I33" s="42">
        <f t="shared" si="16"/>
        <v>12595.094961162946</v>
      </c>
      <c r="J33" s="42">
        <f t="shared" si="16"/>
        <v>12337.445176113057</v>
      </c>
      <c r="K33" s="42">
        <f t="shared" si="16"/>
        <v>12780.856941848815</v>
      </c>
      <c r="L33" s="42">
        <f t="shared" si="16"/>
        <v>12824.690944189693</v>
      </c>
      <c r="M33" s="42">
        <f t="shared" si="16"/>
        <v>13523.625736631304</v>
      </c>
      <c r="N33" s="42">
        <f t="shared" si="16"/>
        <v>13669.833733551606</v>
      </c>
      <c r="O33" s="42">
        <f t="shared" si="16"/>
        <v>13889.598646381992</v>
      </c>
      <c r="P33" s="42">
        <f t="shared" si="16"/>
        <v>13043.410188782977</v>
      </c>
      <c r="Q33" s="42">
        <f t="shared" si="16"/>
        <v>12276.579824377277</v>
      </c>
      <c r="R33" s="42">
        <f t="shared" si="16"/>
        <v>12325.221324371631</v>
      </c>
      <c r="S33" s="42">
        <f t="shared" si="16"/>
        <v>12470.922827315131</v>
      </c>
      <c r="T33" s="42">
        <f t="shared" si="16"/>
        <v>12560.725013172116</v>
      </c>
      <c r="U33" s="42">
        <f t="shared" si="16"/>
        <v>13055.729809420005</v>
      </c>
      <c r="V33" s="42">
        <f t="shared" si="16"/>
        <v>12581.376322561282</v>
      </c>
      <c r="W33" s="42">
        <f t="shared" ref="W33:AD33" si="17">SUM(W71,W109,W128,W147,W90)</f>
        <v>11227.819194409907</v>
      </c>
      <c r="X33" s="42">
        <f t="shared" si="17"/>
        <v>9782.2448952386858</v>
      </c>
      <c r="Y33" s="42">
        <f t="shared" si="17"/>
        <v>7237.5524385231784</v>
      </c>
      <c r="Z33" s="42">
        <f t="shared" si="17"/>
        <v>7100.3087568523497</v>
      </c>
      <c r="AA33" s="42">
        <f t="shared" si="17"/>
        <v>8241.1174033889329</v>
      </c>
      <c r="AB33" s="42">
        <f t="shared" si="17"/>
        <v>7920.5853727689346</v>
      </c>
      <c r="AC33" s="42">
        <f t="shared" si="17"/>
        <v>9380.1430433194237</v>
      </c>
      <c r="AD33" s="42">
        <f t="shared" si="17"/>
        <v>10594.919695133398</v>
      </c>
    </row>
    <row r="34" spans="2:30">
      <c r="C34"/>
      <c r="D34"/>
      <c r="E34"/>
      <c r="F34"/>
      <c r="G34"/>
      <c r="H34"/>
      <c r="I34"/>
      <c r="J34"/>
      <c r="K34"/>
      <c r="L34"/>
      <c r="M34"/>
      <c r="N34"/>
      <c r="O34"/>
      <c r="P34"/>
      <c r="Q34"/>
      <c r="R34"/>
      <c r="S34"/>
      <c r="T34"/>
      <c r="U34"/>
      <c r="V34"/>
      <c r="W34"/>
      <c r="X34"/>
      <c r="Y34"/>
      <c r="Z34"/>
      <c r="AA34"/>
      <c r="AB34"/>
      <c r="AC34"/>
      <c r="AD34"/>
    </row>
    <row r="35" spans="2:30">
      <c r="B35" s="1" t="str">
        <f>+$B$16</f>
        <v>Community/Technical College System</v>
      </c>
      <c r="C35" s="3">
        <f t="shared" ref="C35:AD35" si="18">SUM(C73,C92,C111,C130,C149,C157)</f>
        <v>6432.9998636199889</v>
      </c>
      <c r="D35" s="3">
        <f t="shared" si="18"/>
        <v>6750.9974347475036</v>
      </c>
      <c r="E35" s="3">
        <f t="shared" si="18"/>
        <v>6537.8588219258309</v>
      </c>
      <c r="F35" s="3">
        <f t="shared" si="18"/>
        <v>6638.7486115036818</v>
      </c>
      <c r="G35" s="3">
        <f t="shared" si="18"/>
        <v>5797.8088932591172</v>
      </c>
      <c r="H35" s="3">
        <f t="shared" si="18"/>
        <v>5908.9756562144303</v>
      </c>
      <c r="I35" s="3">
        <f t="shared" si="18"/>
        <v>5514.0243806634699</v>
      </c>
      <c r="J35" s="3">
        <f t="shared" si="18"/>
        <v>5510.8727260964115</v>
      </c>
      <c r="K35" s="3">
        <f t="shared" si="18"/>
        <v>5636.9538952521061</v>
      </c>
      <c r="L35" s="3">
        <f t="shared" si="18"/>
        <v>6065.0660695859397</v>
      </c>
      <c r="M35" s="3">
        <f t="shared" si="18"/>
        <v>6326.955335110807</v>
      </c>
      <c r="N35" s="3">
        <f t="shared" si="18"/>
        <v>6511.6330758705799</v>
      </c>
      <c r="O35" s="3">
        <f t="shared" si="18"/>
        <v>6643.2934994355846</v>
      </c>
      <c r="P35" s="3">
        <f t="shared" si="18"/>
        <v>6593.4633871538335</v>
      </c>
      <c r="Q35" s="3">
        <f t="shared" si="18"/>
        <v>6311.7164083356602</v>
      </c>
      <c r="R35" s="3">
        <f t="shared" si="18"/>
        <v>6243.1685452234487</v>
      </c>
      <c r="S35" s="3">
        <f t="shared" si="18"/>
        <v>6566.4047304856067</v>
      </c>
      <c r="T35" s="3">
        <f t="shared" si="18"/>
        <v>6697.9605684807821</v>
      </c>
      <c r="U35" s="3">
        <f t="shared" si="18"/>
        <v>7196.1023676281002</v>
      </c>
      <c r="V35" s="3">
        <f t="shared" si="18"/>
        <v>7078.0033402114013</v>
      </c>
      <c r="W35" s="3">
        <f t="shared" si="18"/>
        <v>6790.2264443780014</v>
      </c>
      <c r="X35" s="3">
        <f t="shared" si="18"/>
        <v>6239.8110156709008</v>
      </c>
      <c r="Y35" s="3">
        <f t="shared" si="18"/>
        <v>5544.0645576896022</v>
      </c>
      <c r="Z35" s="3">
        <f t="shared" si="18"/>
        <v>5380.7222825683866</v>
      </c>
      <c r="AA35" s="3">
        <f t="shared" si="18"/>
        <v>5775.3121793219825</v>
      </c>
      <c r="AB35" s="3">
        <f t="shared" si="18"/>
        <v>5634.0126369956861</v>
      </c>
      <c r="AC35" s="3">
        <f t="shared" si="18"/>
        <v>6165.5470880483135</v>
      </c>
      <c r="AD35" s="3">
        <f t="shared" si="18"/>
        <v>6474.7315214469982</v>
      </c>
    </row>
    <row r="36" spans="2:30">
      <c r="B36" s="1" t="str">
        <f>+$B$17</f>
        <v>HEC Board, CHE, SFA, &amp; SAC (1)</v>
      </c>
      <c r="C36" s="3">
        <f t="shared" ref="C36:AD36" si="19">SUM(C74,C112,C131,C150,C158)</f>
        <v>368.70532179844002</v>
      </c>
      <c r="D36" s="3">
        <f t="shared" si="19"/>
        <v>400.92225770485703</v>
      </c>
      <c r="E36" s="3">
        <f t="shared" si="19"/>
        <v>439.93857126265937</v>
      </c>
      <c r="F36" s="3">
        <f t="shared" si="19"/>
        <v>427.86149053769543</v>
      </c>
      <c r="G36" s="3">
        <f t="shared" si="19"/>
        <v>648.05430862424055</v>
      </c>
      <c r="H36" s="3">
        <f t="shared" si="19"/>
        <v>682.486890830692</v>
      </c>
      <c r="I36" s="3">
        <f t="shared" si="19"/>
        <v>688.58649972386638</v>
      </c>
      <c r="J36" s="3">
        <f t="shared" si="19"/>
        <v>701.37483020627803</v>
      </c>
      <c r="K36" s="3">
        <f t="shared" si="19"/>
        <v>795.92312562509119</v>
      </c>
      <c r="L36" s="3">
        <f t="shared" si="19"/>
        <v>852.91567870366396</v>
      </c>
      <c r="M36" s="3">
        <f t="shared" si="19"/>
        <v>880.89556349669238</v>
      </c>
      <c r="N36" s="3">
        <f t="shared" si="19"/>
        <v>974.92102735722426</v>
      </c>
      <c r="O36" s="3">
        <f t="shared" si="19"/>
        <v>968.964379438219</v>
      </c>
      <c r="P36" s="3">
        <f t="shared" si="19"/>
        <v>1023.9483461700241</v>
      </c>
      <c r="Q36" s="3">
        <f t="shared" si="19"/>
        <v>1070.1772708449466</v>
      </c>
      <c r="R36" s="3">
        <f t="shared" si="19"/>
        <v>1155.3255657979942</v>
      </c>
      <c r="S36" s="3">
        <f t="shared" si="19"/>
        <v>1271.8521228945526</v>
      </c>
      <c r="T36" s="3">
        <f t="shared" si="19"/>
        <v>1289.204888021957</v>
      </c>
      <c r="U36" s="3">
        <f t="shared" si="19"/>
        <v>1411.2438336571697</v>
      </c>
      <c r="V36" s="3">
        <f t="shared" si="19"/>
        <v>1390.7954781199858</v>
      </c>
      <c r="W36" s="3">
        <f t="shared" si="19"/>
        <v>1500.5004802435742</v>
      </c>
      <c r="X36" s="3">
        <f t="shared" si="19"/>
        <v>1308.2213093878004</v>
      </c>
      <c r="Y36" s="3">
        <f t="shared" si="19"/>
        <v>1639.7662942865754</v>
      </c>
      <c r="Z36" s="3">
        <f t="shared" si="19"/>
        <v>1797.6937664600907</v>
      </c>
      <c r="AA36" s="3">
        <f t="shared" si="19"/>
        <v>2011.6931374160895</v>
      </c>
      <c r="AB36" s="3">
        <f t="shared" si="19"/>
        <v>1910.3582246503638</v>
      </c>
      <c r="AC36" s="3">
        <f t="shared" si="19"/>
        <v>1972.8254289027773</v>
      </c>
      <c r="AD36" s="3">
        <f t="shared" si="19"/>
        <v>1868.0122515795126</v>
      </c>
    </row>
    <row r="37" spans="2:30" ht="13.5" thickBot="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0" ht="13.5" thickTop="1">
      <c r="B38" s="1" t="str">
        <f>+$B$19</f>
        <v>Total Higher Education</v>
      </c>
      <c r="C38" s="39">
        <f t="shared" ref="C38:S38" si="20">SUM(C76,C114,C133)</f>
        <v>10267.264208882307</v>
      </c>
      <c r="D38" s="39">
        <f t="shared" si="20"/>
        <v>10775.683302560416</v>
      </c>
      <c r="E38" s="39">
        <f t="shared" si="20"/>
        <v>10312.278729300537</v>
      </c>
      <c r="F38" s="39">
        <f t="shared" si="20"/>
        <v>10421.895494699522</v>
      </c>
      <c r="G38" s="39">
        <f t="shared" si="20"/>
        <v>9469.8327052090226</v>
      </c>
      <c r="H38" s="39">
        <f t="shared" si="20"/>
        <v>9286.4700815246088</v>
      </c>
      <c r="I38" s="39">
        <f t="shared" si="20"/>
        <v>9082.2362450988803</v>
      </c>
      <c r="J38" s="39">
        <f t="shared" si="20"/>
        <v>9031.041630985661</v>
      </c>
      <c r="K38" s="39">
        <f t="shared" si="20"/>
        <v>9365.9699578008112</v>
      </c>
      <c r="L38" s="39">
        <f t="shared" si="20"/>
        <v>9682.1980121891938</v>
      </c>
      <c r="M38" s="39">
        <f t="shared" si="20"/>
        <v>10084.383036955614</v>
      </c>
      <c r="N38" s="39">
        <f t="shared" si="20"/>
        <v>10348.830081441567</v>
      </c>
      <c r="O38" s="39">
        <f t="shared" si="20"/>
        <v>10489.668514268798</v>
      </c>
      <c r="P38" s="39">
        <f t="shared" si="20"/>
        <v>10141.137888243422</v>
      </c>
      <c r="Q38" s="39">
        <f t="shared" si="20"/>
        <v>9747.9405869628627</v>
      </c>
      <c r="R38" s="39">
        <f t="shared" si="20"/>
        <v>9817.2576211930063</v>
      </c>
      <c r="S38" s="39">
        <f t="shared" si="20"/>
        <v>10191.636418681908</v>
      </c>
      <c r="T38" s="39">
        <f>SUM(T76,T114,T133,T152)</f>
        <v>10376.277210539398</v>
      </c>
      <c r="U38" s="39">
        <f>SUM(U76,U114,U133,U152)</f>
        <v>10994.841820418778</v>
      </c>
      <c r="V38" s="39">
        <f>SUM(V76,V114,V133,V152)</f>
        <v>10710.144087827028</v>
      </c>
      <c r="W38" s="39">
        <f>SUM(W76,W114,W133,W152,W95)</f>
        <v>10048.48057619451</v>
      </c>
      <c r="X38" s="39">
        <f t="shared" ref="X38:AD38" si="21">SUM(X76,X114,X133,X152,X95,X158,X157)</f>
        <v>9010.9564219632794</v>
      </c>
      <c r="Y38" s="39">
        <f t="shared" si="21"/>
        <v>7861.5863767565088</v>
      </c>
      <c r="Z38" s="39">
        <f t="shared" si="21"/>
        <v>7866.6165649423074</v>
      </c>
      <c r="AA38" s="39">
        <f t="shared" si="21"/>
        <v>8775.741856780216</v>
      </c>
      <c r="AB38" s="39">
        <f t="shared" si="21"/>
        <v>8460.3477586482877</v>
      </c>
      <c r="AC38" s="39">
        <f t="shared" si="21"/>
        <v>9426.1057178936098</v>
      </c>
      <c r="AD38" s="39">
        <f t="shared" si="21"/>
        <v>9993.247655695408</v>
      </c>
    </row>
    <row r="39" spans="2:30">
      <c r="B39" s="199" t="str">
        <f>+$B$20</f>
        <v>[biennial annual average]</v>
      </c>
      <c r="C39" s="3"/>
      <c r="D39" s="3">
        <f>AVERAGE(C38:D38)</f>
        <v>10521.473755721361</v>
      </c>
      <c r="E39" s="3"/>
      <c r="F39" s="3">
        <f>AVERAGE(E38:F38)</f>
        <v>10367.08711200003</v>
      </c>
      <c r="G39" s="3"/>
      <c r="H39" s="3">
        <f>AVERAGE(G38:H38)</f>
        <v>9378.1513933668157</v>
      </c>
      <c r="I39" s="3"/>
      <c r="J39" s="3">
        <f>AVERAGE(I38:J38)</f>
        <v>9056.6389380422697</v>
      </c>
      <c r="K39" s="3"/>
      <c r="L39" s="3">
        <f>AVERAGE(K38:L38)</f>
        <v>9524.0839849950025</v>
      </c>
      <c r="M39" s="3"/>
      <c r="N39" s="3">
        <f>AVERAGE(M38:N38)</f>
        <v>10216.60655919859</v>
      </c>
      <c r="O39" s="3"/>
      <c r="P39" s="3">
        <f>AVERAGE(O38:P38)</f>
        <v>10315.403201256111</v>
      </c>
      <c r="Q39" s="3"/>
      <c r="R39" s="3">
        <f>AVERAGE(Q38:R38)</f>
        <v>9782.5991040779336</v>
      </c>
      <c r="S39" s="3"/>
      <c r="T39" s="3">
        <f>AVERAGE(S38:T38)</f>
        <v>10283.956814610654</v>
      </c>
      <c r="U39" s="3"/>
      <c r="V39" s="3">
        <f>AVERAGE(U38:V38)</f>
        <v>10852.492954122903</v>
      </c>
      <c r="W39" s="3"/>
      <c r="X39" s="3">
        <f>AVERAGE(W38:X38)</f>
        <v>9529.7184990788955</v>
      </c>
      <c r="Y39" s="3"/>
      <c r="Z39" s="3">
        <f>AVERAGE(Y38:Z38)</f>
        <v>7864.1014708494076</v>
      </c>
      <c r="AA39" s="3"/>
      <c r="AB39" s="3">
        <f>AVERAGE(AA38:AB38)</f>
        <v>8618.0448077142519</v>
      </c>
      <c r="AC39" s="3"/>
      <c r="AD39" s="3">
        <f>AVERAGE(AC38:AD38)</f>
        <v>9709.676686794508</v>
      </c>
    </row>
    <row r="40" spans="2:30">
      <c r="D40" s="3"/>
      <c r="E40" s="3"/>
      <c r="F40" s="3"/>
      <c r="G40" s="3"/>
      <c r="H40" s="3"/>
      <c r="I40" s="3"/>
      <c r="J40" s="3"/>
      <c r="K40" s="3"/>
      <c r="L40" s="3"/>
      <c r="M40" s="3"/>
      <c r="N40" s="3"/>
      <c r="O40" s="3"/>
      <c r="P40" s="3"/>
      <c r="Q40" s="3"/>
      <c r="R40" s="3"/>
      <c r="S40" s="3"/>
      <c r="T40" s="3"/>
      <c r="U40" s="3"/>
      <c r="V40" s="3"/>
    </row>
    <row r="41" spans="2:30" ht="14.25">
      <c r="B41" s="2447" t="str">
        <f>+OperatingFunds!B41</f>
        <v>Higher Ed Operating Fees-NonApp (149-6)</v>
      </c>
      <c r="C41" s="5"/>
      <c r="D41" s="5"/>
      <c r="E41" s="5"/>
      <c r="F41" s="5"/>
      <c r="G41" s="5"/>
      <c r="H41" s="5"/>
      <c r="I41" s="5"/>
      <c r="J41" s="6"/>
      <c r="K41" s="5"/>
      <c r="L41" s="5"/>
      <c r="M41" s="5"/>
      <c r="N41" s="5"/>
      <c r="O41" s="5"/>
      <c r="P41" s="5"/>
      <c r="Q41" s="5"/>
      <c r="R41" s="5"/>
      <c r="S41" s="5"/>
      <c r="T41" s="5"/>
      <c r="U41" s="5"/>
      <c r="V41" s="5"/>
      <c r="W41" s="5"/>
      <c r="X41" s="5"/>
      <c r="Y41" s="5"/>
      <c r="Z41" s="5"/>
      <c r="AA41" s="5"/>
      <c r="AB41" s="5"/>
      <c r="AC41" s="5"/>
      <c r="AD41" s="5"/>
    </row>
    <row r="42" spans="2:30" ht="13.5">
      <c r="B42" s="33" t="str">
        <f>+$B$4</f>
        <v>FY2024 Constant Dollar Expenditures per Budgeted State-Funded FTE Enrollment</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2:30">
      <c r="I43" s="13"/>
      <c r="J43" s="13"/>
      <c r="K43" s="13"/>
      <c r="L43" s="13"/>
      <c r="M43" s="13"/>
      <c r="N43" s="13"/>
      <c r="O43" s="13"/>
      <c r="P43" s="13"/>
      <c r="Q43"/>
      <c r="R43" s="13"/>
      <c r="S43"/>
      <c r="T43"/>
      <c r="U43" s="2"/>
      <c r="V43" s="2"/>
      <c r="W43" s="2"/>
      <c r="X43" s="2"/>
      <c r="Y43" s="2"/>
      <c r="Z43" s="2"/>
      <c r="AA43" s="2"/>
      <c r="AB43" s="2"/>
      <c r="AC43" s="5"/>
      <c r="AD43" s="2" t="str">
        <f>TRIM(OperatingFunds!AD43)</f>
        <v/>
      </c>
    </row>
    <row r="44" spans="2:30">
      <c r="C44" s="2" t="str">
        <f>+OperatingFunds!C44</f>
        <v>FY1990</v>
      </c>
      <c r="D44" s="2" t="str">
        <f>+OperatingFunds!D44</f>
        <v>FY1991</v>
      </c>
      <c r="E44" s="2" t="str">
        <f>+OperatingFunds!E44</f>
        <v>FY1992</v>
      </c>
      <c r="F44" s="2" t="str">
        <f>+OperatingFunds!F44</f>
        <v>FY1993</v>
      </c>
      <c r="G44" s="2" t="str">
        <f>+OperatingFunds!G44</f>
        <v>FY1994</v>
      </c>
      <c r="H44" s="2" t="str">
        <f>+OperatingFunds!H44</f>
        <v>FY1995</v>
      </c>
      <c r="I44" s="2" t="str">
        <f>+OperatingFunds!I44</f>
        <v>FY1996</v>
      </c>
      <c r="J44" s="2" t="str">
        <f>+OperatingFunds!J44</f>
        <v>FY1997</v>
      </c>
      <c r="K44" s="2" t="str">
        <f>+OperatingFunds!K44</f>
        <v>FY1998</v>
      </c>
      <c r="L44" s="2" t="str">
        <f>+OperatingFunds!L44</f>
        <v>FY1999</v>
      </c>
      <c r="M44" s="2" t="str">
        <f>+OperatingFunds!M44</f>
        <v>FY2000</v>
      </c>
      <c r="N44" s="2" t="str">
        <f>+OperatingFunds!N44</f>
        <v>FY2001</v>
      </c>
      <c r="O44" s="2" t="str">
        <f>+OperatingFunds!O44</f>
        <v>FY2002</v>
      </c>
      <c r="P44" s="2" t="str">
        <f>+OperatingFunds!P44</f>
        <v>FY2003</v>
      </c>
      <c r="Q44" s="2" t="str">
        <f>+OperatingFunds!Q44</f>
        <v>FY2004</v>
      </c>
      <c r="R44" s="2" t="str">
        <f>+OperatingFunds!R44</f>
        <v>FY2005</v>
      </c>
      <c r="S44" s="2" t="str">
        <f>+OperatingFunds!S44</f>
        <v>FY2006</v>
      </c>
      <c r="T44" s="2" t="str">
        <f>+OperatingFunds!T44</f>
        <v>FY2007</v>
      </c>
      <c r="U44" s="2" t="str">
        <f>+OperatingFunds!U44</f>
        <v>FY2008</v>
      </c>
      <c r="V44" s="2" t="str">
        <f>+OperatingFunds!V44</f>
        <v>FY2009</v>
      </c>
      <c r="W44" s="2" t="str">
        <f>+$W$6</f>
        <v>FY2010</v>
      </c>
      <c r="X44" s="2" t="str">
        <f>+$X$6</f>
        <v>FY2011</v>
      </c>
      <c r="Y44" s="2" t="str">
        <f>IF(ISBLANK(OperatingFunds!Y44),"",OperatingFunds!Y44)</f>
        <v>FY2012</v>
      </c>
      <c r="Z44" s="2" t="str">
        <f>IF(ISBLANK(OperatingFunds!Z44),"",OperatingFunds!Z44)</f>
        <v>FY2013</v>
      </c>
      <c r="AA44" s="2" t="str">
        <f>IF(ISBLANK(OperatingFunds!AA44),"",OperatingFunds!AA44)</f>
        <v>FY2014</v>
      </c>
      <c r="AB44" s="2" t="str">
        <f>IF(ISBLANK(OperatingFunds!AB44),"",OperatingFunds!AB44)</f>
        <v>FY2015</v>
      </c>
      <c r="AC44" s="2" t="str">
        <f>IF(ISBLANK(OperatingFunds!AC44),"",OperatingFunds!AC44)</f>
        <v>FY2016</v>
      </c>
      <c r="AD44" s="2" t="str">
        <f>IF(ISBLANK(OperatingFunds!AD44),"",OperatingFunds!AD44)</f>
        <v>FY2017</v>
      </c>
    </row>
    <row r="46" spans="2:30">
      <c r="B46" s="1" t="str">
        <f>+$B$8</f>
        <v>University of Washington</v>
      </c>
      <c r="C46" s="3">
        <f>+ConstantDollars!C46*1000/Enrollment!B$78</f>
        <v>3844.1333186440684</v>
      </c>
      <c r="D46" s="3">
        <f>+ConstantDollars!D46*1000/Enrollment!C$78</f>
        <v>3956.4370852883926</v>
      </c>
      <c r="E46" s="3">
        <f>+ConstantDollars!E46*1000/Enrollment!D$78</f>
        <v>4389.9152793699059</v>
      </c>
      <c r="F46" s="3">
        <f>+ConstantDollars!F46*1000/Enrollment!E$78</f>
        <v>4395.2319317410056</v>
      </c>
      <c r="G46" s="3">
        <f>+ConstantDollars!G46*1000/Enrollment!F$78</f>
        <v>4450.1911853937754</v>
      </c>
      <c r="H46" s="3">
        <f>+ConstantDollars!H46*1000/Enrollment!G$78</f>
        <v>5780.6900638953484</v>
      </c>
      <c r="I46" s="3">
        <f>+ConstantDollars!I46*1000/Enrollment!H$78</f>
        <v>5360.6540154434824</v>
      </c>
      <c r="J46" s="3">
        <f>+ConstantDollars!J46*1000/Enrollment!I$78</f>
        <v>5426.2345068212744</v>
      </c>
      <c r="K46" s="3">
        <f>+ConstantDollars!K46*1000/Enrollment!J$78</f>
        <v>5433.1270090857852</v>
      </c>
      <c r="L46" s="3">
        <f>+ConstantDollars!L46*1000/Enrollment!K$78</f>
        <v>6721.1792303923576</v>
      </c>
      <c r="M46" s="3">
        <f>+ConstantDollars!M46*1000/Enrollment!L$78</f>
        <v>6275.9387176993378</v>
      </c>
      <c r="N46" s="3">
        <f>+ConstantDollars!N46*1000/Enrollment!M$78</f>
        <v>6269.5941330271353</v>
      </c>
      <c r="O46" s="3">
        <f>+ConstantDollars!O46*1000/Enrollment!N$78</f>
        <v>7019.3275680492179</v>
      </c>
      <c r="P46" s="3">
        <f>+ConstantDollars!P46*1000/Enrollment!O$78</f>
        <v>7822.9083309801772</v>
      </c>
      <c r="Q46" s="3">
        <f>+ConstantDollars!Q46*1000/Enrollment!P$78</f>
        <v>7858.6634331887126</v>
      </c>
      <c r="R46" s="3">
        <f>+ConstantDollars!R46*1000/Enrollment!Q$78</f>
        <v>8775.3740773469708</v>
      </c>
      <c r="S46" s="3">
        <f>+ConstantDollars!S46*1000/Enrollment!R$78</f>
        <v>8641.0319062987965</v>
      </c>
      <c r="T46" s="3">
        <f>+ConstantDollars!T46*1000/Enrollment!S$78</f>
        <v>9736.9483861215977</v>
      </c>
      <c r="U46" s="3">
        <f>+ConstantDollars!U46*1000/Enrollment!T$78</f>
        <v>9938.7642052799165</v>
      </c>
      <c r="V46" s="3">
        <f>+ConstantDollars!V46*1000/Enrollment!U$78</f>
        <v>10493.158161713694</v>
      </c>
      <c r="W46" s="3">
        <f>+ConstantDollars!W46*1000/Enrollment!V$78</f>
        <v>11051.578725535786</v>
      </c>
      <c r="X46" s="3">
        <f>+ConstantDollars!X46*1000/Enrollment!W$78</f>
        <v>15056.649186051869</v>
      </c>
      <c r="Y46" s="3">
        <f>+ConstantDollars!Y46*1000/Enrollment!X$78</f>
        <v>15880.341554420836</v>
      </c>
      <c r="Z46" s="3">
        <f>+ConstantDollars!Z46*1000/Enrollment!Y$78</f>
        <v>18414.084255818227</v>
      </c>
      <c r="AA46" s="3">
        <f>+ConstantDollars!AA46*1000/Enrollment!Z$78</f>
        <v>16473.952731128098</v>
      </c>
      <c r="AB46" s="3">
        <f>+ConstantDollars!AB46*1000/Enrollment!AA$78</f>
        <v>20376.079263921336</v>
      </c>
      <c r="AC46" s="3">
        <f>+ConstantDollars!AC46*1000/Enrollment!AB$78</f>
        <v>18841.170697841459</v>
      </c>
      <c r="AD46" s="3">
        <f>+ConstantDollars!AD46*1000/Enrollment!AC$78</f>
        <v>19967.286718102234</v>
      </c>
    </row>
    <row r="47" spans="2:30">
      <c r="B47" s="1" t="str">
        <f>+$B$9</f>
        <v>Washington State University</v>
      </c>
      <c r="C47" s="3">
        <f>+ConstantDollars!C47*1000/Enrollment!B$83</f>
        <v>3429.3886862432569</v>
      </c>
      <c r="D47" s="3">
        <f>+ConstantDollars!D47*1000/Enrollment!C$83</f>
        <v>3395.8448473721382</v>
      </c>
      <c r="E47" s="3">
        <f>+ConstantDollars!E47*1000/Enrollment!D$83</f>
        <v>3787.8872357209975</v>
      </c>
      <c r="F47" s="3">
        <f>+ConstantDollars!F47*1000/Enrollment!E$83</f>
        <v>3925.4249590507211</v>
      </c>
      <c r="G47" s="3">
        <f>+ConstantDollars!G47*1000/Enrollment!F$83</f>
        <v>4459.0764608525205</v>
      </c>
      <c r="H47" s="3">
        <f>+ConstantDollars!H47*1000/Enrollment!G$83</f>
        <v>5268.4191485524934</v>
      </c>
      <c r="I47" s="3">
        <f>+ConstantDollars!I47*1000/Enrollment!H$83</f>
        <v>5075.3436486238525</v>
      </c>
      <c r="J47" s="3">
        <f>+ConstantDollars!J47*1000/Enrollment!I$83</f>
        <v>4934.2874065926935</v>
      </c>
      <c r="K47" s="3">
        <f>+ConstantDollars!K47*1000/Enrollment!J$83</f>
        <v>4954.9010723712372</v>
      </c>
      <c r="L47" s="3">
        <f>+ConstantDollars!L47*1000/Enrollment!K$83</f>
        <v>5023.1026786324865</v>
      </c>
      <c r="M47" s="3">
        <f>+ConstantDollars!M47*1000/Enrollment!L$83</f>
        <v>5347.696107574413</v>
      </c>
      <c r="N47" s="3">
        <f>+ConstantDollars!N47*1000/Enrollment!M$83</f>
        <v>4935.1182101020495</v>
      </c>
      <c r="O47" s="3">
        <f>+ConstantDollars!O47*1000/Enrollment!N$83</f>
        <v>5426.3820925166528</v>
      </c>
      <c r="P47" s="3">
        <f>+ConstantDollars!P47*1000/Enrollment!O$83</f>
        <v>6358.1142874121542</v>
      </c>
      <c r="Q47" s="3">
        <f>+ConstantDollars!Q47*1000/Enrollment!P$83</f>
        <v>6678.0616091211768</v>
      </c>
      <c r="R47" s="3">
        <f>+ConstantDollars!R47*1000/Enrollment!Q$83</f>
        <v>7134.232978817714</v>
      </c>
      <c r="S47" s="3">
        <f>+ConstantDollars!S47*1000/Enrollment!R$83</f>
        <v>7223.3225107603603</v>
      </c>
      <c r="T47" s="3">
        <f>+ConstantDollars!T47*1000/Enrollment!S$83</f>
        <v>7287.6013257807608</v>
      </c>
      <c r="U47" s="3">
        <f>+ConstantDollars!U47*1000/Enrollment!T$83</f>
        <v>7569.6452266204615</v>
      </c>
      <c r="V47" s="3">
        <f>+ConstantDollars!V47*1000/Enrollment!U$83</f>
        <v>8174.4912138650843</v>
      </c>
      <c r="W47" s="3">
        <f>+ConstantDollars!W47*1000/Enrollment!V$83</f>
        <v>8987.6657684005222</v>
      </c>
      <c r="X47" s="3">
        <f>+ConstantDollars!X47*1000/Enrollment!W$83</f>
        <v>9465.9835996563361</v>
      </c>
      <c r="Y47" s="3">
        <f>+ConstantDollars!Y47*1000/Enrollment!X$83</f>
        <v>12260.798679984295</v>
      </c>
      <c r="Z47" s="3">
        <f>+ConstantDollars!Z47*1000/Enrollment!Y$83</f>
        <v>13284.771200986395</v>
      </c>
      <c r="AA47" s="3">
        <f>+ConstantDollars!AA47*1000/Enrollment!Z$83</f>
        <v>13628.041593557089</v>
      </c>
      <c r="AB47" s="3">
        <f>+ConstantDollars!AB47*1000/Enrollment!AA$83</f>
        <v>14131.632395242661</v>
      </c>
      <c r="AC47" s="3">
        <f>+ConstantDollars!AC47*1000/Enrollment!AB$83</f>
        <v>14789.814428289132</v>
      </c>
      <c r="AD47" s="3">
        <f>+ConstantDollars!AD47*1000/Enrollment!AC$83</f>
        <v>12298.02603258103</v>
      </c>
    </row>
    <row r="48" spans="2:30">
      <c r="B48" s="1" t="str">
        <f>+$B$10</f>
        <v>Eastern Washington University</v>
      </c>
      <c r="C48" s="3">
        <f>+ConstantDollars!C48*1000/Enrollment!B$91</f>
        <v>2885.2812749287755</v>
      </c>
      <c r="D48" s="3">
        <f>+ConstantDollars!D48*1000/Enrollment!C$91</f>
        <v>3056.0709847892708</v>
      </c>
      <c r="E48" s="3">
        <f>+ConstantDollars!E48*1000/Enrollment!D$91</f>
        <v>3108.7696178109459</v>
      </c>
      <c r="F48" s="3">
        <f>+ConstantDollars!F48*1000/Enrollment!E$91</f>
        <v>3213.7295968837125</v>
      </c>
      <c r="G48" s="3">
        <f>+ConstantDollars!G48*1000/Enrollment!F$91</f>
        <v>3579.8747006109147</v>
      </c>
      <c r="H48" s="3">
        <f>+ConstantDollars!H48*1000/Enrollment!G$91</f>
        <v>3948.5742227321161</v>
      </c>
      <c r="I48" s="3">
        <f>+ConstantDollars!I48*1000/Enrollment!H$91</f>
        <v>3645.9591730389197</v>
      </c>
      <c r="J48" s="3">
        <f>+ConstantDollars!J48*1000/Enrollment!I$91</f>
        <v>3540.7298979598836</v>
      </c>
      <c r="K48" s="3">
        <f>+ConstantDollars!K48*1000/Enrollment!J$91</f>
        <v>3382.4776795643725</v>
      </c>
      <c r="L48" s="3">
        <f>+ConstantDollars!L48*1000/Enrollment!K$91</f>
        <v>3656.4071656474944</v>
      </c>
      <c r="M48" s="3">
        <f>+ConstantDollars!M48*1000/Enrollment!L$91</f>
        <v>3835.3729355323567</v>
      </c>
      <c r="N48" s="3">
        <f>+ConstantDollars!N48*1000/Enrollment!M$91</f>
        <v>4144.4368557953003</v>
      </c>
      <c r="O48" s="3">
        <f>+ConstantDollars!O48*1000/Enrollment!N$91</f>
        <v>3872.1250710009272</v>
      </c>
      <c r="P48" s="3">
        <f>+ConstantDollars!P48*1000/Enrollment!O$91</f>
        <v>4484.7581011251386</v>
      </c>
      <c r="Q48" s="3">
        <f>+ConstantDollars!Q48*1000/Enrollment!P$91</f>
        <v>4990.7743851950072</v>
      </c>
      <c r="R48" s="3">
        <f>+ConstantDollars!R48*1000/Enrollment!Q$91</f>
        <v>5650.7923029172343</v>
      </c>
      <c r="S48" s="3">
        <f>+ConstantDollars!S48*1000/Enrollment!R$91</f>
        <v>5031.224601963474</v>
      </c>
      <c r="T48" s="3">
        <f>+ConstantDollars!T48*1000/Enrollment!S$91</f>
        <v>5366.6313370491735</v>
      </c>
      <c r="U48" s="3">
        <f>+ConstantDollars!U48*1000/Enrollment!T$91</f>
        <v>5506.3216427063835</v>
      </c>
      <c r="V48" s="3">
        <f>+ConstantDollars!V48*1000/Enrollment!U$91</f>
        <v>5513.0487420549298</v>
      </c>
      <c r="W48" s="3">
        <f>+ConstantDollars!W48*1000/Enrollment!V$91</f>
        <v>6693.2234912272916</v>
      </c>
      <c r="X48" s="3">
        <f>+ConstantDollars!X48*1000/Enrollment!W$91</f>
        <v>6674.8630893420523</v>
      </c>
      <c r="Y48" s="3">
        <f>+ConstantDollars!Y48*1000/Enrollment!X$91</f>
        <v>8205.2024139646001</v>
      </c>
      <c r="Z48" s="3">
        <f>+ConstantDollars!Z48*1000/Enrollment!Y$91</f>
        <v>8627.0066288122889</v>
      </c>
      <c r="AA48" s="3">
        <f>+ConstantDollars!AA48*1000/Enrollment!Z$91</f>
        <v>8891.4143568459767</v>
      </c>
      <c r="AB48" s="3">
        <f>+ConstantDollars!AB48*1000/Enrollment!AA$91</f>
        <v>9861.7738910209646</v>
      </c>
      <c r="AC48" s="3">
        <f>+ConstantDollars!AC48*1000/Enrollment!AB$91</f>
        <v>9502.6048568455972</v>
      </c>
      <c r="AD48" s="3">
        <f>+ConstantDollars!AD48*1000/Enrollment!AC$91</f>
        <v>8219.8018262561109</v>
      </c>
    </row>
    <row r="49" spans="2:30">
      <c r="B49" s="1" t="str">
        <f>+$B$11</f>
        <v>Central Washington University</v>
      </c>
      <c r="C49" s="3">
        <f>+ConstantDollars!C49*1000/Enrollment!B$92</f>
        <v>2725.7430465232619</v>
      </c>
      <c r="D49" s="3">
        <f>+ConstantDollars!D49*1000/Enrollment!C$92</f>
        <v>2824.7225789339745</v>
      </c>
      <c r="E49" s="3">
        <f>+ConstantDollars!E49*1000/Enrollment!D$92</f>
        <v>2778.1293435879456</v>
      </c>
      <c r="F49" s="3">
        <f>+ConstantDollars!F49*1000/Enrollment!E$92</f>
        <v>2856.8079580657513</v>
      </c>
      <c r="G49" s="3">
        <f>+ConstantDollars!G49*1000/Enrollment!F$92</f>
        <v>3262.1652917482493</v>
      </c>
      <c r="H49" s="3">
        <f>+ConstantDollars!H49*1000/Enrollment!G$92</f>
        <v>3768.6168790316979</v>
      </c>
      <c r="I49" s="3">
        <f>+ConstantDollars!I49*1000/Enrollment!H$92</f>
        <v>3942.9154334403611</v>
      </c>
      <c r="J49" s="3">
        <f>+ConstantDollars!J49*1000/Enrollment!I$92</f>
        <v>3434.7668080107769</v>
      </c>
      <c r="K49" s="3">
        <f>+ConstantDollars!K49*1000/Enrollment!J$92</f>
        <v>3967.9649810302935</v>
      </c>
      <c r="L49" s="3">
        <f>+ConstantDollars!L49*1000/Enrollment!K$92</f>
        <v>3927.9888675208008</v>
      </c>
      <c r="M49" s="3">
        <f>+ConstantDollars!M49*1000/Enrollment!L$92</f>
        <v>3603.5150774221788</v>
      </c>
      <c r="N49" s="3">
        <f>+ConstantDollars!N49*1000/Enrollment!M$92</f>
        <v>3577.8457350289473</v>
      </c>
      <c r="O49" s="3">
        <f>+ConstantDollars!O49*1000/Enrollment!N$92</f>
        <v>3845.5278775881402</v>
      </c>
      <c r="P49" s="3">
        <f>+ConstantDollars!P49*1000/Enrollment!O$92</f>
        <v>5068.8317003351503</v>
      </c>
      <c r="Q49" s="3">
        <f>+ConstantDollars!Q49*1000/Enrollment!P$92</f>
        <v>5260.2976683944044</v>
      </c>
      <c r="R49" s="3">
        <f>+ConstantDollars!R49*1000/Enrollment!Q$92</f>
        <v>5227.482153294729</v>
      </c>
      <c r="S49" s="3">
        <f>+ConstantDollars!S49*1000/Enrollment!R$92</f>
        <v>5083.1230424750838</v>
      </c>
      <c r="T49" s="3">
        <f>+ConstantDollars!T49*1000/Enrollment!S$92</f>
        <v>4934.7987125028731</v>
      </c>
      <c r="U49" s="3">
        <f>+ConstantDollars!U49*1000/Enrollment!T$92</f>
        <v>5202.3658619193375</v>
      </c>
      <c r="V49" s="3">
        <f>+ConstantDollars!V49*1000/Enrollment!U$92</f>
        <v>5475.4890866928845</v>
      </c>
      <c r="W49" s="3">
        <f>+ConstantDollars!W49*1000/Enrollment!V$92</f>
        <v>7232.3298038127232</v>
      </c>
      <c r="X49" s="3">
        <f>+ConstantDollars!X49*1000/Enrollment!W$92</f>
        <v>6908.1217448120369</v>
      </c>
      <c r="Y49" s="3">
        <f>+ConstantDollars!Y49*1000/Enrollment!X$92</f>
        <v>8511.4906031512564</v>
      </c>
      <c r="Z49" s="3">
        <f>+ConstantDollars!Z49*1000/Enrollment!Y$92</f>
        <v>8611.0273801213025</v>
      </c>
      <c r="AA49" s="3">
        <f>+ConstantDollars!AA49*1000/Enrollment!Z$92</f>
        <v>9030.0890071982049</v>
      </c>
      <c r="AB49" s="3">
        <f>+ConstantDollars!AB49*1000/Enrollment!AA$92</f>
        <v>8583.7205556565095</v>
      </c>
      <c r="AC49" s="3">
        <f>+ConstantDollars!AC49*1000/Enrollment!AB$92</f>
        <v>8316.0814414108791</v>
      </c>
      <c r="AD49" s="3">
        <f>+ConstantDollars!AD49*1000/Enrollment!AC$92</f>
        <v>7928.7474385126407</v>
      </c>
    </row>
    <row r="50" spans="2:30">
      <c r="B50" s="1" t="str">
        <f>+$B$12</f>
        <v>The Evergreen State College</v>
      </c>
      <c r="C50" s="3">
        <f>+ConstantDollars!C50*1000/Enrollment!B$93</f>
        <v>3481.3266166666672</v>
      </c>
      <c r="D50" s="3">
        <f>+ConstantDollars!D50*1000/Enrollment!C$93</f>
        <v>3667.3790790238945</v>
      </c>
      <c r="E50" s="3">
        <f>+ConstantDollars!E50*1000/Enrollment!D$93</f>
        <v>4203.508847483723</v>
      </c>
      <c r="F50" s="3">
        <f>+ConstantDollars!F50*1000/Enrollment!E$93</f>
        <v>4105.3435766542534</v>
      </c>
      <c r="G50" s="3">
        <f>+ConstantDollars!G50*1000/Enrollment!F$93</f>
        <v>4669.8068904531719</v>
      </c>
      <c r="H50" s="3">
        <f>+ConstantDollars!H50*1000/Enrollment!G$93</f>
        <v>5728.3447614595525</v>
      </c>
      <c r="I50" s="3">
        <f>+ConstantDollars!I50*1000/Enrollment!H$93</f>
        <v>5179.8538067495019</v>
      </c>
      <c r="J50" s="3">
        <f>+ConstantDollars!J50*1000/Enrollment!I$93</f>
        <v>5987.3344969314439</v>
      </c>
      <c r="K50" s="3">
        <f>+ConstantDollars!K50*1000/Enrollment!J$93</f>
        <v>5171.2536747556314</v>
      </c>
      <c r="L50" s="3">
        <f>+ConstantDollars!L50*1000/Enrollment!K$93</f>
        <v>6061.2552140312146</v>
      </c>
      <c r="M50" s="3">
        <f>+ConstantDollars!M50*1000/Enrollment!L$93</f>
        <v>6577.560259097917</v>
      </c>
      <c r="N50" s="3">
        <f>+ConstantDollars!N50*1000/Enrollment!M$93</f>
        <v>6362.0211894267732</v>
      </c>
      <c r="O50" s="3">
        <f>+ConstantDollars!O50*1000/Enrollment!N$93</f>
        <v>6101.350218724152</v>
      </c>
      <c r="P50" s="3">
        <f>+ConstantDollars!P50*1000/Enrollment!O$93</f>
        <v>6477.3085253597073</v>
      </c>
      <c r="Q50" s="3">
        <f>+ConstantDollars!Q50*1000/Enrollment!P$93</f>
        <v>5312.0557137563619</v>
      </c>
      <c r="R50" s="3">
        <f>+ConstantDollars!R50*1000/Enrollment!Q$93</f>
        <v>9499.0616810985848</v>
      </c>
      <c r="S50" s="3">
        <f>+ConstantDollars!S50*1000/Enrollment!R$93</f>
        <v>7239.0654213001762</v>
      </c>
      <c r="T50" s="3">
        <f>+ConstantDollars!T50*1000/Enrollment!S$93</f>
        <v>7143.5340894651272</v>
      </c>
      <c r="U50" s="3">
        <f>+ConstantDollars!U50*1000/Enrollment!T$93</f>
        <v>6788.5509965496894</v>
      </c>
      <c r="V50" s="3">
        <f>+ConstantDollars!V50*1000/Enrollment!U$93</f>
        <v>7977.3333491779458</v>
      </c>
      <c r="W50" s="3">
        <f>+ConstantDollars!W50*1000/Enrollment!V$93</f>
        <v>8434.4735200315463</v>
      </c>
      <c r="X50" s="3">
        <f>+ConstantDollars!X50*1000/Enrollment!W$93</f>
        <v>9501.8711480441725</v>
      </c>
      <c r="Y50" s="3">
        <f>+ConstantDollars!Y50*1000/Enrollment!X$93</f>
        <v>10364.585182727598</v>
      </c>
      <c r="Z50" s="3">
        <f>+ConstantDollars!Z50*1000/Enrollment!Y$93</f>
        <v>10300.431171270764</v>
      </c>
      <c r="AA50" s="3">
        <f>+ConstantDollars!AA50*1000/Enrollment!Z$93</f>
        <v>9856.8246488498426</v>
      </c>
      <c r="AB50" s="3">
        <f>+ConstantDollars!AB50*1000/Enrollment!AA$93</f>
        <v>9578.6422324865398</v>
      </c>
      <c r="AC50" s="3">
        <f>+ConstantDollars!AC50*1000/Enrollment!AB$93</f>
        <v>12289.143472367326</v>
      </c>
      <c r="AD50" s="3">
        <f>+ConstantDollars!AD50*1000/Enrollment!AC$93</f>
        <v>9097.8272778016017</v>
      </c>
    </row>
    <row r="51" spans="2:30">
      <c r="B51" s="1" t="str">
        <f>+$B$13</f>
        <v>Western Washington University</v>
      </c>
      <c r="C51" s="3">
        <f>+ConstantDollars!C51*1000/Enrollment!B$94</f>
        <v>2588.4465384615387</v>
      </c>
      <c r="D51" s="3">
        <f>+ConstantDollars!D51*1000/Enrollment!C$94</f>
        <v>2704.6059217846705</v>
      </c>
      <c r="E51" s="3">
        <f>+ConstantDollars!E51*1000/Enrollment!D$94</f>
        <v>2835.4179148912003</v>
      </c>
      <c r="F51" s="3">
        <f>+ConstantDollars!F51*1000/Enrollment!E$94</f>
        <v>2907.9746306879679</v>
      </c>
      <c r="G51" s="3">
        <f>+ConstantDollars!G51*1000/Enrollment!F$94</f>
        <v>3081.2615288016227</v>
      </c>
      <c r="H51" s="3">
        <f>+ConstantDollars!H51*1000/Enrollment!G$94</f>
        <v>3884.0273185902065</v>
      </c>
      <c r="I51" s="3">
        <f>+ConstantDollars!I51*1000/Enrollment!H$94</f>
        <v>3481.4173103942194</v>
      </c>
      <c r="J51" s="3">
        <f>+ConstantDollars!J51*1000/Enrollment!I$94</f>
        <v>3432.8309673404397</v>
      </c>
      <c r="K51" s="3">
        <f>+ConstantDollars!K51*1000/Enrollment!J$94</f>
        <v>3674.1131048052234</v>
      </c>
      <c r="L51" s="3">
        <f>+ConstantDollars!L51*1000/Enrollment!K$94</f>
        <v>4060.33664402877</v>
      </c>
      <c r="M51" s="3">
        <f>+ConstantDollars!M51*1000/Enrollment!L$94</f>
        <v>4219.822051746808</v>
      </c>
      <c r="N51" s="3">
        <f>+ConstantDollars!N51*1000/Enrollment!M$94</f>
        <v>4339.2271891276132</v>
      </c>
      <c r="O51" s="3">
        <f>+ConstantDollars!O51*1000/Enrollment!N$94</f>
        <v>4387.8011239083398</v>
      </c>
      <c r="P51" s="3">
        <f>+ConstantDollars!P51*1000/Enrollment!O$94</f>
        <v>4923.4329375247708</v>
      </c>
      <c r="Q51" s="3">
        <f>+ConstantDollars!Q51*1000/Enrollment!P$94</f>
        <v>5297.3110068444239</v>
      </c>
      <c r="R51" s="3">
        <f>+ConstantDollars!R51*1000/Enrollment!Q$94</f>
        <v>5316.8699811826073</v>
      </c>
      <c r="S51" s="3">
        <f>+ConstantDollars!S51*1000/Enrollment!R$94</f>
        <v>5320.9813831926731</v>
      </c>
      <c r="T51" s="3">
        <f>+ConstantDollars!T51*1000/Enrollment!S$94</f>
        <v>5561.4613545714674</v>
      </c>
      <c r="U51" s="3">
        <f>+ConstantDollars!U51*1000/Enrollment!T$94</f>
        <v>5659.3841576029963</v>
      </c>
      <c r="V51" s="3">
        <f>+ConstantDollars!V51*1000/Enrollment!U$94</f>
        <v>5818.3540388358579</v>
      </c>
      <c r="W51" s="3">
        <f>+ConstantDollars!W51*1000/Enrollment!V$94</f>
        <v>8057.4780261837286</v>
      </c>
      <c r="X51" s="3">
        <f>+ConstantDollars!X51*1000/Enrollment!W$94</f>
        <v>7671.0468680491122</v>
      </c>
      <c r="Y51" s="3">
        <f>+ConstantDollars!Y51*1000/Enrollment!X$94</f>
        <v>8706.8374754470769</v>
      </c>
      <c r="Z51" s="3">
        <f>+ConstantDollars!Z51*1000/Enrollment!Y$94</f>
        <v>9150.4078418388672</v>
      </c>
      <c r="AA51" s="3">
        <f>+ConstantDollars!AA51*1000/Enrollment!Z$94</f>
        <v>9087.7593185939913</v>
      </c>
      <c r="AB51" s="3">
        <f>+ConstantDollars!AB51*1000/Enrollment!AA$94</f>
        <v>9701.3809434480845</v>
      </c>
      <c r="AC51" s="3">
        <f>+ConstantDollars!AC51*1000/Enrollment!AB$94</f>
        <v>9376.6505634926325</v>
      </c>
      <c r="AD51" s="3">
        <f>+ConstantDollars!AD51*1000/Enrollment!AC$94</f>
        <v>9070.995366614392</v>
      </c>
    </row>
    <row r="52" spans="2:30">
      <c r="B52" s="199" t="str">
        <f>+$B$14</f>
        <v>Total Four-Year Institutions</v>
      </c>
      <c r="C52" s="42">
        <f>+ConstantDollars!C52*1000/Enrollment!B$101</f>
        <v>3390.1937968667748</v>
      </c>
      <c r="D52" s="42">
        <f>+ConstantDollars!D52*1000/Enrollment!C$101</f>
        <v>3480.0532681402178</v>
      </c>
      <c r="E52" s="42">
        <f>+ConstantDollars!E52*1000/Enrollment!D$101</f>
        <v>3788.66130658467</v>
      </c>
      <c r="F52" s="42">
        <f>+ConstantDollars!F52*1000/Enrollment!E$101</f>
        <v>3840.6561689141417</v>
      </c>
      <c r="G52" s="42">
        <f>+ConstantDollars!G52*1000/Enrollment!F$101</f>
        <v>4101.0899579323113</v>
      </c>
      <c r="H52" s="42">
        <f>+ConstantDollars!H52*1000/Enrollment!G$101</f>
        <v>5061.6193981808692</v>
      </c>
      <c r="I52" s="42">
        <f>+ConstantDollars!I52*1000/Enrollment!H$101</f>
        <v>4755.2074983613402</v>
      </c>
      <c r="J52" s="42">
        <f>+ConstantDollars!J52*1000/Enrollment!I$101</f>
        <v>4718.9217363190419</v>
      </c>
      <c r="K52" s="42">
        <f>+ConstantDollars!K52*1000/Enrollment!J$101</f>
        <v>4757.7592379442858</v>
      </c>
      <c r="L52" s="42">
        <f>+ConstantDollars!L52*1000/Enrollment!K$101</f>
        <v>5410.3294852751233</v>
      </c>
      <c r="M52" s="42">
        <f>+ConstantDollars!M52*1000/Enrollment!L$101</f>
        <v>5335.2235841177844</v>
      </c>
      <c r="N52" s="42">
        <f>+ConstantDollars!N52*1000/Enrollment!M$101</f>
        <v>5267.7656366107531</v>
      </c>
      <c r="O52" s="42">
        <f>+ConstantDollars!O52*1000/Enrollment!N$101</f>
        <v>5692.1301747567741</v>
      </c>
      <c r="P52" s="42">
        <f>+ConstantDollars!P52*1000/Enrollment!O$101</f>
        <v>6490.9211531229193</v>
      </c>
      <c r="Q52" s="42">
        <f>+ConstantDollars!Q52*1000/Enrollment!P$101</f>
        <v>6630.5731856174598</v>
      </c>
      <c r="R52" s="42">
        <f>+ConstantDollars!R52*1000/Enrollment!Q$101</f>
        <v>7358.0738684190283</v>
      </c>
      <c r="S52" s="42">
        <f>+ConstantDollars!S52*1000/Enrollment!R$101</f>
        <v>7139.73184138126</v>
      </c>
      <c r="T52" s="42">
        <f>+ConstantDollars!T52*1000/Enrollment!S$101</f>
        <v>7632.2435107917845</v>
      </c>
      <c r="U52" s="42">
        <f>+ConstantDollars!U52*1000/Enrollment!T$101</f>
        <v>7817.8419525392837</v>
      </c>
      <c r="V52" s="42">
        <f>+ConstantDollars!V52*1000/Enrollment!U$101</f>
        <v>8281.207855992232</v>
      </c>
      <c r="W52" s="42">
        <f>+ConstantDollars!W52*1000/Enrollment!V$101</f>
        <v>9296.4671363179586</v>
      </c>
      <c r="X52" s="42">
        <f>+ConstantDollars!X52*1000/Enrollment!W$101</f>
        <v>10971.349730479556</v>
      </c>
      <c r="Y52" s="42">
        <f>+ConstantDollars!Y52*1000/Enrollment!X$101</f>
        <v>12435.958030947517</v>
      </c>
      <c r="Z52" s="42">
        <f>+ConstantDollars!Z52*1000/Enrollment!Y$101</f>
        <v>13796.754948396461</v>
      </c>
      <c r="AA52" s="42">
        <f>+ConstantDollars!AA52*1000/Enrollment!Z$101</f>
        <v>13126.290080789546</v>
      </c>
      <c r="AB52" s="42">
        <f>+ConstantDollars!AB52*1000/Enrollment!AA$101</f>
        <v>14911.826675530463</v>
      </c>
      <c r="AC52" s="42">
        <f>+ConstantDollars!AC52*1000/Enrollment!AB$101</f>
        <v>14482.156904619464</v>
      </c>
      <c r="AD52" s="42">
        <f>+ConstantDollars!AD52*1000/Enrollment!AC$101</f>
        <v>13989.374940031457</v>
      </c>
    </row>
    <row r="54" spans="2:30">
      <c r="B54" s="1" t="str">
        <f>+$B$16</f>
        <v>Community/Technical College System</v>
      </c>
      <c r="C54" s="3">
        <f>+ConstantDollars!C54*1000/Enrollment!B$103</f>
        <v>995.38483351345792</v>
      </c>
      <c r="D54" s="3">
        <f>+ConstantDollars!D54*1000/Enrollment!C$103</f>
        <v>1028.5325382035533</v>
      </c>
      <c r="E54" s="3">
        <f>+ConstantDollars!E54*1000/Enrollment!D$103</f>
        <v>1089.5880503357951</v>
      </c>
      <c r="F54" s="3">
        <f>+ConstantDollars!F54*1000/Enrollment!E$103</f>
        <v>1145.0357835601058</v>
      </c>
      <c r="G54" s="3">
        <f>+ConstantDollars!G54*1000/Enrollment!F$103</f>
        <v>1417.0721666175102</v>
      </c>
      <c r="H54" s="3">
        <f>+ConstantDollars!H54*1000/Enrollment!G$103</f>
        <v>1682.4265212478483</v>
      </c>
      <c r="I54" s="3">
        <f>+ConstantDollars!I54*1000/Enrollment!H$103</f>
        <v>1674.2776246604437</v>
      </c>
      <c r="J54" s="3">
        <f>+ConstantDollars!J54*1000/Enrollment!I$103</f>
        <v>1692.7263329149851</v>
      </c>
      <c r="K54" s="3">
        <f>+ConstantDollars!K54*1000/Enrollment!J$103</f>
        <v>1762.3387702688583</v>
      </c>
      <c r="L54" s="3">
        <f>+ConstantDollars!L54*1000/Enrollment!K$103</f>
        <v>1760.598029092517</v>
      </c>
      <c r="M54" s="3">
        <f>+ConstantDollars!M54*1000/Enrollment!L$103</f>
        <v>1863.0500537581247</v>
      </c>
      <c r="N54" s="3">
        <f>+ConstantDollars!N54*1000/Enrollment!M$103</f>
        <v>1778.7024281611577</v>
      </c>
      <c r="O54" s="3">
        <f>+ConstantDollars!O54*1000/Enrollment!N$103</f>
        <v>1884.4477856611036</v>
      </c>
      <c r="P54" s="3">
        <f>+ConstantDollars!P54*1000/Enrollment!O$103</f>
        <v>1959.2226742734481</v>
      </c>
      <c r="Q54" s="3">
        <f>+ConstantDollars!Q54*1000/Enrollment!P$103</f>
        <v>2240.8918931502626</v>
      </c>
      <c r="R54" s="3">
        <f>+ConstantDollars!R54*1000/Enrollment!Q$103</f>
        <v>2326.7334569100299</v>
      </c>
      <c r="S54" s="3">
        <f>+ConstantDollars!S54*1000/Enrollment!R$103</f>
        <v>2330.3021273395188</v>
      </c>
      <c r="T54" s="3">
        <f>+ConstantDollars!T54*1000/Enrollment!S$103</f>
        <v>2328.7825014776449</v>
      </c>
      <c r="U54" s="3">
        <f>+ConstantDollars!U54*1000/Enrollment!T$103</f>
        <v>2372.788450121076</v>
      </c>
      <c r="V54" s="3">
        <f>+ConstantDollars!V54*1000/Enrollment!U$103</f>
        <v>2337.8884791090222</v>
      </c>
      <c r="W54" s="3">
        <f>+ConstantDollars!W54*1000/Enrollment!V$103</f>
        <v>2511.2218614379276</v>
      </c>
      <c r="X54" s="3">
        <f>+ConstantDollars!X54*1000/Enrollment!W$103</f>
        <v>2728.6332096784363</v>
      </c>
      <c r="Y54" s="3">
        <f>+ConstantDollars!Y54*1000/Enrollment!X$103</f>
        <v>2875.9818399372712</v>
      </c>
      <c r="Z54" s="3">
        <f>+ConstantDollars!Z54*1000/Enrollment!Y$103</f>
        <v>3084.0463863025793</v>
      </c>
      <c r="AA54" s="3">
        <f>+ConstantDollars!AA54*1000/Enrollment!Z$103</f>
        <v>3165.6199676940369</v>
      </c>
      <c r="AB54" s="3">
        <f>+ConstantDollars!AB54*1000/Enrollment!AA$103</f>
        <v>3231.5270981035751</v>
      </c>
      <c r="AC54" s="3">
        <f>+ConstantDollars!AC54*1000/Enrollment!AB$103</f>
        <v>3254.6610850237466</v>
      </c>
      <c r="AD54" s="3">
        <f>+ConstantDollars!AD54*1000/Enrollment!AC$103</f>
        <v>3158.7781147016954</v>
      </c>
    </row>
    <row r="55" spans="2:30" hidden="1">
      <c r="B55" s="1" t="str">
        <f>+$B$17</f>
        <v>HEC Board, CHE, SFA, &amp; SAC (1)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row>
    <row r="56" spans="2:30" ht="13.5" thickBot="1"/>
    <row r="57" spans="2:30" ht="13.5" thickTop="1">
      <c r="B57" s="1" t="str">
        <f>+$B$19</f>
        <v>Total Higher Education</v>
      </c>
      <c r="C57" s="39">
        <f>+ConstantDollars!C57*1000/Enrollment!B$112</f>
        <v>2000.5855641625956</v>
      </c>
      <c r="D57" s="39">
        <f>+ConstantDollars!D57*1000/Enrollment!C$112</f>
        <v>2063.7219993232161</v>
      </c>
      <c r="E57" s="39">
        <f>+ConstantDollars!E57*1000/Enrollment!D$112</f>
        <v>2223.3377081455183</v>
      </c>
      <c r="F57" s="39">
        <f>+ConstantDollars!F57*1000/Enrollment!E$112</f>
        <v>2273.2695796116982</v>
      </c>
      <c r="G57" s="39">
        <f>+ConstantDollars!G57*1000/Enrollment!F$112</f>
        <v>2518.4948582035836</v>
      </c>
      <c r="H57" s="39">
        <f>+ConstantDollars!H57*1000/Enrollment!G$112</f>
        <v>3057.366126424462</v>
      </c>
      <c r="I57" s="39">
        <f>+ConstantDollars!I57*1000/Enrollment!H$112</f>
        <v>2927.1847536529131</v>
      </c>
      <c r="J57" s="39">
        <f>+ConstantDollars!J57*1000/Enrollment!I$112</f>
        <v>2942.2877686728966</v>
      </c>
      <c r="K57" s="39">
        <f>+ConstantDollars!K57*1000/Enrollment!J$112</f>
        <v>2992.1772156605166</v>
      </c>
      <c r="L57" s="39">
        <f>+ConstantDollars!L57*1000/Enrollment!K$112</f>
        <v>3253.0842597928986</v>
      </c>
      <c r="M57" s="39">
        <f>+ConstantDollars!M57*1000/Enrollment!L$112</f>
        <v>3271.9820161402686</v>
      </c>
      <c r="N57" s="39">
        <f>+ConstantDollars!N57*1000/Enrollment!M$112</f>
        <v>3197.8794777447993</v>
      </c>
      <c r="O57" s="39">
        <f>+ConstantDollars!O57*1000/Enrollment!N$112</f>
        <v>3419.8917806685386</v>
      </c>
      <c r="P57" s="39">
        <f>+ConstantDollars!P57*1000/Enrollment!O$112</f>
        <v>3769.4654862047278</v>
      </c>
      <c r="Q57" s="39">
        <f>+ConstantDollars!Q57*1000/Enrollment!P$112</f>
        <v>4013.5093061978982</v>
      </c>
      <c r="R57" s="39">
        <f>+ConstantDollars!R57*1000/Enrollment!Q$112</f>
        <v>4363.1896572584301</v>
      </c>
      <c r="S57" s="39">
        <f>+ConstantDollars!S57*1000/Enrollment!R$112</f>
        <v>4280.0006693480182</v>
      </c>
      <c r="T57" s="39">
        <f>+ConstantDollars!T57*1000/Enrollment!S$112</f>
        <v>4489.9747434584015</v>
      </c>
      <c r="U57" s="39">
        <f>+ConstantDollars!U57*1000/Enrollment!T$112</f>
        <v>4591.3665955936758</v>
      </c>
      <c r="V57" s="39">
        <f>+ConstantDollars!V57*1000/Enrollment!U$112</f>
        <v>4758.4096418943664</v>
      </c>
      <c r="W57" s="39">
        <f>+ConstantDollars!W57*1000/Enrollment!V$112</f>
        <v>5198.8929323474049</v>
      </c>
      <c r="X57" s="39">
        <f>+ConstantDollars!X57*1000/Enrollment!W$112</f>
        <v>5974.6864083712107</v>
      </c>
      <c r="Y57" s="39">
        <f>+ConstantDollars!Y57*1000/Enrollment!X$112</f>
        <v>6702.006669259541</v>
      </c>
      <c r="Z57" s="39">
        <f>+ConstantDollars!Z57*1000/Enrollment!Y$112</f>
        <v>7371.4094642992368</v>
      </c>
      <c r="AA57" s="39">
        <f>+ConstantDollars!AA57*1000/Enrollment!Z$112</f>
        <v>7159.6412342561061</v>
      </c>
      <c r="AB57" s="39">
        <f>+ConstantDollars!AB57*1000/Enrollment!AA$112</f>
        <v>7910.5317917242246</v>
      </c>
      <c r="AC57" s="39">
        <f>+ConstantDollars!AC57*1000/Enrollment!AB$112</f>
        <v>7752.2773738233736</v>
      </c>
      <c r="AD57" s="39">
        <f>+ConstantDollars!AD57*1000/Enrollment!AC$112</f>
        <v>7497.4008567388155</v>
      </c>
    </row>
    <row r="58" spans="2:30">
      <c r="B58" s="199" t="str">
        <f>+$B$20</f>
        <v>[biennial annual average]</v>
      </c>
      <c r="D58" s="3">
        <f>AVERAGE(C57:D57)</f>
        <v>2032.1537817429057</v>
      </c>
      <c r="E58" s="3"/>
      <c r="F58" s="3">
        <f>AVERAGE(E57:F57)</f>
        <v>2248.3036438786085</v>
      </c>
      <c r="G58" s="3"/>
      <c r="H58" s="3">
        <f>AVERAGE(G57:H57)</f>
        <v>2787.9304923140226</v>
      </c>
      <c r="I58" s="3"/>
      <c r="J58" s="3">
        <f>AVERAGE(I57:J57)</f>
        <v>2934.7362611629051</v>
      </c>
      <c r="K58" s="3"/>
      <c r="L58" s="3">
        <f>AVERAGE(K57:L57)</f>
        <v>3122.6307377267076</v>
      </c>
      <c r="M58" s="3"/>
      <c r="N58" s="3">
        <f>AVERAGE(M57:N57)</f>
        <v>3234.9307469425339</v>
      </c>
      <c r="O58" s="3"/>
      <c r="P58" s="3">
        <f>AVERAGE(O57:P57)</f>
        <v>3594.6786334366334</v>
      </c>
      <c r="Q58" s="3"/>
      <c r="R58" s="3">
        <f>AVERAGE(Q57:R57)</f>
        <v>4188.3494817281644</v>
      </c>
      <c r="S58" s="3"/>
      <c r="T58" s="3">
        <f>AVERAGE(S57:T57)</f>
        <v>4384.9877064032098</v>
      </c>
      <c r="U58" s="3"/>
      <c r="V58" s="3">
        <f>AVERAGE(U57:V57)</f>
        <v>4674.8881187440211</v>
      </c>
      <c r="W58" s="3"/>
      <c r="X58" s="3">
        <f>AVERAGE(W57:X57)</f>
        <v>5586.7896703593078</v>
      </c>
      <c r="Y58" s="3"/>
      <c r="Z58" s="3">
        <f>AVERAGE(Y57:Z57)</f>
        <v>7036.7080667793889</v>
      </c>
      <c r="AA58" s="3"/>
      <c r="AB58" s="3">
        <f>AVERAGE(AA57:AB57)</f>
        <v>7535.0865129901649</v>
      </c>
      <c r="AC58" s="3"/>
      <c r="AD58" s="3">
        <f>AVERAGE(AC57:AD57)</f>
        <v>7624.8391152810946</v>
      </c>
    </row>
    <row r="59" spans="2:30">
      <c r="D59" s="3"/>
      <c r="F59" s="3"/>
      <c r="H59" s="3"/>
      <c r="J59" s="3"/>
      <c r="L59" s="3"/>
      <c r="N59" s="3"/>
      <c r="P59" s="3"/>
      <c r="R59" s="3"/>
      <c r="T59" s="3"/>
    </row>
    <row r="60" spans="2:30" ht="14.25">
      <c r="B60" s="2447" t="str">
        <f>+OperatingFunds!B60</f>
        <v>General Fund-State</v>
      </c>
      <c r="C60" s="5"/>
      <c r="D60" s="5"/>
      <c r="E60" s="5"/>
      <c r="F60" s="5"/>
      <c r="G60" s="5"/>
      <c r="H60" s="5"/>
      <c r="I60" s="5"/>
      <c r="J60" s="6"/>
      <c r="K60" s="5"/>
      <c r="L60" s="5"/>
      <c r="M60" s="5"/>
      <c r="N60" s="5"/>
      <c r="O60" s="5"/>
      <c r="P60" s="5"/>
      <c r="Q60" s="5"/>
      <c r="R60" s="5"/>
      <c r="S60" s="5"/>
      <c r="T60" s="5"/>
      <c r="U60" s="5"/>
      <c r="V60" s="5"/>
      <c r="W60" s="5"/>
      <c r="X60" s="5"/>
      <c r="Y60" s="5"/>
      <c r="Z60" s="5"/>
      <c r="AA60" s="5"/>
      <c r="AB60" s="5"/>
      <c r="AC60" s="5"/>
      <c r="AD60" s="5"/>
    </row>
    <row r="61" spans="2:30" ht="13.5">
      <c r="B61" s="33" t="str">
        <f>+$B$4</f>
        <v>FY2024 Constant Dollar Expenditures per Budgeted State-Funded FTE Enrollment</v>
      </c>
      <c r="C61" s="5"/>
      <c r="D61" s="5"/>
      <c r="E61" s="5"/>
      <c r="F61" s="5"/>
      <c r="G61" s="5"/>
      <c r="H61" s="5"/>
      <c r="I61" s="5"/>
      <c r="J61" s="5"/>
      <c r="K61" s="5"/>
      <c r="L61" s="5"/>
      <c r="M61" s="5"/>
      <c r="N61" s="5"/>
      <c r="O61" s="5"/>
      <c r="P61" s="5"/>
      <c r="Q61" s="5"/>
      <c r="R61" s="5"/>
      <c r="S61" s="5"/>
      <c r="T61" s="656"/>
      <c r="U61" s="5"/>
      <c r="V61" s="5"/>
      <c r="W61" s="5"/>
      <c r="X61" s="5"/>
      <c r="Y61" s="5"/>
      <c r="Z61" s="5"/>
      <c r="AA61" s="5"/>
      <c r="AB61" s="5"/>
      <c r="AC61" s="5"/>
      <c r="AD61" s="5"/>
    </row>
    <row r="62" spans="2:30">
      <c r="I62" s="13"/>
      <c r="J62" s="13"/>
      <c r="K62" s="13"/>
      <c r="L62" s="13"/>
      <c r="M62" s="13"/>
      <c r="N62" s="13"/>
      <c r="O62" s="13"/>
      <c r="P62" s="13"/>
      <c r="Q62"/>
      <c r="R62" s="13"/>
      <c r="S62"/>
      <c r="T62" s="655"/>
      <c r="U62" s="2"/>
      <c r="V62" s="2"/>
      <c r="W62" s="2"/>
      <c r="X62" s="2"/>
      <c r="Y62" s="2"/>
      <c r="Z62" s="2"/>
      <c r="AA62" s="2"/>
      <c r="AB62" s="2"/>
      <c r="AC62" s="5"/>
      <c r="AD62" s="2" t="str">
        <f>TRIM(OperatingFunds!AD62)</f>
        <v/>
      </c>
    </row>
    <row r="63" spans="2:30">
      <c r="C63" s="2" t="str">
        <f>+OperatingFunds!C63</f>
        <v>FY1990</v>
      </c>
      <c r="D63" s="2" t="str">
        <f>+OperatingFunds!D63</f>
        <v>FY1991</v>
      </c>
      <c r="E63" s="2" t="str">
        <f>+OperatingFunds!E63</f>
        <v>FY1992</v>
      </c>
      <c r="F63" s="2" t="str">
        <f>+OperatingFunds!F63</f>
        <v>FY1993</v>
      </c>
      <c r="G63" s="2" t="str">
        <f>+OperatingFunds!G63</f>
        <v>FY1994</v>
      </c>
      <c r="H63" s="2" t="str">
        <f>+OperatingFunds!H63</f>
        <v>FY1995</v>
      </c>
      <c r="I63" s="2" t="str">
        <f>+OperatingFunds!I63</f>
        <v>FY1996</v>
      </c>
      <c r="J63" s="2" t="str">
        <f>+OperatingFunds!J63</f>
        <v>FY1997</v>
      </c>
      <c r="K63" s="2" t="str">
        <f>+OperatingFunds!K63</f>
        <v>FY1998</v>
      </c>
      <c r="L63" s="2" t="str">
        <f>+OperatingFunds!L63</f>
        <v>FY1999</v>
      </c>
      <c r="M63" s="2" t="str">
        <f>+OperatingFunds!M63</f>
        <v>FY2000</v>
      </c>
      <c r="N63" s="2" t="str">
        <f>+OperatingFunds!N63</f>
        <v>FY2001*</v>
      </c>
      <c r="O63" s="2" t="str">
        <f>+OperatingFunds!O63</f>
        <v>FY2002</v>
      </c>
      <c r="P63" s="2" t="str">
        <f>+OperatingFunds!P63</f>
        <v>FY2003</v>
      </c>
      <c r="Q63" s="2" t="str">
        <f>+OperatingFunds!Q63</f>
        <v>FY2004*</v>
      </c>
      <c r="R63" s="2" t="str">
        <f>+OperatingFunds!R63</f>
        <v>FY2005*</v>
      </c>
      <c r="S63" s="2" t="str">
        <f>+OperatingFunds!S63</f>
        <v>FY2006</v>
      </c>
      <c r="T63" s="2" t="str">
        <f>+OperatingFunds!T63</f>
        <v>FY2007</v>
      </c>
      <c r="U63" s="2" t="str">
        <f>+OperatingFunds!U63</f>
        <v>FY2008</v>
      </c>
      <c r="V63" s="2" t="str">
        <f>+OperatingFunds!V63</f>
        <v>FY2009</v>
      </c>
      <c r="W63" s="2" t="str">
        <f>+$W$6</f>
        <v>FY2010</v>
      </c>
      <c r="X63" s="2" t="str">
        <f>+$X$6</f>
        <v>FY2011</v>
      </c>
      <c r="Y63" s="2" t="str">
        <f>IF(ISBLANK(OperatingFunds!Y63),"",OperatingFunds!Y63)</f>
        <v>FY2012</v>
      </c>
      <c r="Z63" s="2" t="str">
        <f>IF(ISBLANK(OperatingFunds!Z63),"",OperatingFunds!Z63)</f>
        <v>FY2013</v>
      </c>
      <c r="AA63" s="2" t="str">
        <f>IF(ISBLANK(OperatingFunds!AA63),"",OperatingFunds!AA63)</f>
        <v>FY2014</v>
      </c>
      <c r="AB63" s="2" t="str">
        <f>IF(ISBLANK(OperatingFunds!AB63),"",OperatingFunds!AB63)</f>
        <v>FY2015</v>
      </c>
      <c r="AC63" s="2" t="str">
        <f>IF(ISBLANK(OperatingFunds!AC63),"",OperatingFunds!AC63)</f>
        <v>FY2016</v>
      </c>
      <c r="AD63" s="2" t="str">
        <f>IF(ISBLANK(OperatingFunds!AD63),"",OperatingFunds!AD63)</f>
        <v>FY2017</v>
      </c>
    </row>
    <row r="64" spans="2:30">
      <c r="R64" s="3"/>
    </row>
    <row r="65" spans="2:30">
      <c r="B65" s="1" t="str">
        <f>+$B$8</f>
        <v>University of Washington</v>
      </c>
      <c r="C65" s="3">
        <f>+ConstantDollars!C65*1000/Enrollment!B$78</f>
        <v>16826.957125423731</v>
      </c>
      <c r="D65" s="3">
        <f>+ConstantDollars!D65*1000/Enrollment!C$78</f>
        <v>17526.532590032744</v>
      </c>
      <c r="E65" s="3">
        <f>+ConstantDollars!E65*1000/Enrollment!D$78</f>
        <v>16600.297663657901</v>
      </c>
      <c r="F65" s="3">
        <f>+ConstantDollars!F65*1000/Enrollment!E$78</f>
        <v>16788.439896327865</v>
      </c>
      <c r="G65" s="3">
        <f>+ConstantDollars!G65*1000/Enrollment!F$78</f>
        <v>15229.932401021128</v>
      </c>
      <c r="H65" s="3">
        <f>+ConstantDollars!H65*1000/Enrollment!G$78</f>
        <v>14447.655806930867</v>
      </c>
      <c r="I65" s="3">
        <f>+ConstantDollars!I65*1000/Enrollment!H$78</f>
        <v>14644.076962120986</v>
      </c>
      <c r="J65" s="3">
        <f>+ConstantDollars!J65*1000/Enrollment!I$78</f>
        <v>14376.746569438716</v>
      </c>
      <c r="K65" s="3">
        <f>+ConstantDollars!K65*1000/Enrollment!J$78</f>
        <v>14902.441091883997</v>
      </c>
      <c r="L65" s="3">
        <f>+ConstantDollars!L65*1000/Enrollment!K$78</f>
        <v>15141.296340098783</v>
      </c>
      <c r="M65" s="3">
        <f>+ConstantDollars!M65*1000/Enrollment!L$78</f>
        <v>15561.522339543737</v>
      </c>
      <c r="N65" s="3">
        <f>+ConstantDollars!N65*1000/Enrollment!M$78</f>
        <v>15814.383009036261</v>
      </c>
      <c r="O65" s="3">
        <f>+ConstantDollars!O65*1000/Enrollment!N$78</f>
        <v>16010.314856425764</v>
      </c>
      <c r="P65" s="3">
        <f>+ConstantDollars!P65*1000/Enrollment!O$78</f>
        <v>15030.496511441366</v>
      </c>
      <c r="Q65" s="3">
        <f>+ConstantDollars!Q65*1000/Enrollment!P$78</f>
        <v>13737.738692505012</v>
      </c>
      <c r="R65" s="3">
        <f>+ConstantDollars!R65*1000/Enrollment!Q$78</f>
        <v>13836.860518305626</v>
      </c>
      <c r="S65" s="3">
        <f>+ConstantDollars!S65*1000/Enrollment!R$78</f>
        <v>13707.318633459978</v>
      </c>
      <c r="T65" s="3">
        <f>+ConstantDollars!T65*1000/Enrollment!S$78</f>
        <v>13674.43257701296</v>
      </c>
      <c r="U65" s="3">
        <f>+ConstantDollars!U65*1000/Enrollment!T$78</f>
        <v>13759.104306178991</v>
      </c>
      <c r="V65" s="3">
        <f>+ConstantDollars!V65*1000/Enrollment!U$78</f>
        <v>12779.009321493922</v>
      </c>
      <c r="W65" s="3">
        <f>+ConstantDollars!W65*1000/Enrollment!V$78</f>
        <v>10018.487582621441</v>
      </c>
      <c r="X65" s="3">
        <f>+ConstantDollars!X65*1000/Enrollment!W$78</f>
        <v>9318.8328874485633</v>
      </c>
      <c r="Y65" s="3">
        <f>+ConstantDollars!Y65*1000/Enrollment!X$78</f>
        <v>7049.718224768777</v>
      </c>
      <c r="Z65" s="3">
        <f>+ConstantDollars!Z65*1000/Enrollment!Y$78</f>
        <v>6959.7066878129981</v>
      </c>
      <c r="AA65" s="3">
        <f>+ConstantDollars!AA65*1000/Enrollment!Z$78</f>
        <v>8408.045786702598</v>
      </c>
      <c r="AB65" s="3">
        <f>+ConstantDollars!AB65*1000/Enrollment!AA$78</f>
        <v>8028.6017086929933</v>
      </c>
      <c r="AC65" s="3">
        <f>+ConstantDollars!AC65*1000/Enrollment!AB$78</f>
        <v>9394.6899260644859</v>
      </c>
      <c r="AD65" s="3">
        <f>+ConstantDollars!AD65*1000/Enrollment!AC$78</f>
        <v>10506.125021327416</v>
      </c>
    </row>
    <row r="66" spans="2:30">
      <c r="B66" s="1" t="str">
        <f>+$B$9</f>
        <v>Washington State University</v>
      </c>
      <c r="C66" s="3">
        <f>+ConstantDollars!C66*1000/Enrollment!B$83</f>
        <v>17561.570809833251</v>
      </c>
      <c r="D66" s="3">
        <f>+ConstantDollars!D66*1000/Enrollment!C$83</f>
        <v>17984.716185798028</v>
      </c>
      <c r="E66" s="3">
        <f>+ConstantDollars!E66*1000/Enrollment!D$83</f>
        <v>17501.624661676768</v>
      </c>
      <c r="F66" s="3">
        <f>+ConstantDollars!F66*1000/Enrollment!E$83</f>
        <v>17503.230422165303</v>
      </c>
      <c r="G66" s="3">
        <f>+ConstantDollars!G66*1000/Enrollment!F$83</f>
        <v>15937.09548064611</v>
      </c>
      <c r="H66" s="3">
        <f>+ConstantDollars!H66*1000/Enrollment!G$83</f>
        <v>15010.20168403147</v>
      </c>
      <c r="I66" s="3">
        <f>+ConstantDollars!I66*1000/Enrollment!H$83</f>
        <v>15074.753192907345</v>
      </c>
      <c r="J66" s="3">
        <f>+ConstantDollars!J66*1000/Enrollment!I$83</f>
        <v>14497.999225686352</v>
      </c>
      <c r="K66" s="3">
        <f>+ConstantDollars!K66*1000/Enrollment!J$83</f>
        <v>15260.169402783877</v>
      </c>
      <c r="L66" s="3">
        <f>+ConstantDollars!L66*1000/Enrollment!K$83</f>
        <v>15034.707132799778</v>
      </c>
      <c r="M66" s="3">
        <f>+ConstantDollars!M66*1000/Enrollment!L$83</f>
        <v>16570.602286086079</v>
      </c>
      <c r="N66" s="3">
        <f>+ConstantDollars!N66*1000/Enrollment!M$83</f>
        <v>16252.460259396619</v>
      </c>
      <c r="O66" s="3">
        <f>+ConstantDollars!O66*1000/Enrollment!N$83</f>
        <v>16595.795272389161</v>
      </c>
      <c r="P66" s="3">
        <f>+ConstantDollars!P66*1000/Enrollment!O$83</f>
        <v>15605.476434712975</v>
      </c>
      <c r="Q66" s="3">
        <f>+ConstantDollars!Q66*1000/Enrollment!P$83</f>
        <v>14567.551092351237</v>
      </c>
      <c r="R66" s="3">
        <f>+ConstantDollars!R66*1000/Enrollment!Q$83</f>
        <v>14493.742755945752</v>
      </c>
      <c r="S66" s="3">
        <f>+ConstantDollars!S66*1000/Enrollment!R$83</f>
        <v>14562.179163527211</v>
      </c>
      <c r="T66" s="3">
        <f>+ConstantDollars!T66*1000/Enrollment!S$83</f>
        <v>14230.512961949988</v>
      </c>
      <c r="U66" s="3">
        <f>+ConstantDollars!U66*1000/Enrollment!T$83</f>
        <v>14758.782590868497</v>
      </c>
      <c r="V66" s="3">
        <f>+ConstantDollars!V66*1000/Enrollment!U$83</f>
        <v>13778.009851171695</v>
      </c>
      <c r="W66" s="3">
        <f>+ConstantDollars!W66*1000/Enrollment!V$83</f>
        <v>10344.539588118667</v>
      </c>
      <c r="X66" s="3">
        <f>+ConstantDollars!X66*1000/Enrollment!W$83</f>
        <v>10229.425343596491</v>
      </c>
      <c r="Y66" s="3">
        <f>+ConstantDollars!Y66*1000/Enrollment!X$83</f>
        <v>7872.2349916246112</v>
      </c>
      <c r="Z66" s="3">
        <f>+ConstantDollars!Z66*1000/Enrollment!Y$83</f>
        <v>7714.0041290605195</v>
      </c>
      <c r="AA66" s="3">
        <f>+ConstantDollars!AA66*1000/Enrollment!Z$83</f>
        <v>8925.9633220278465</v>
      </c>
      <c r="AB66" s="3">
        <f>+ConstantDollars!AB66*1000/Enrollment!AA$83</f>
        <v>8527.0202202171131</v>
      </c>
      <c r="AC66" s="3">
        <f>+ConstantDollars!AC66*1000/Enrollment!AB$83</f>
        <v>10053.200449086755</v>
      </c>
      <c r="AD66" s="3">
        <f>+ConstantDollars!AD66*1000/Enrollment!AC$83</f>
        <v>11323.453257728224</v>
      </c>
    </row>
    <row r="67" spans="2:30">
      <c r="B67" s="1" t="str">
        <f>+$B$10</f>
        <v>Eastern Washington University</v>
      </c>
      <c r="C67" s="3">
        <f>+ConstantDollars!C67*1000/Enrollment!B$91</f>
        <v>10247.497286324788</v>
      </c>
      <c r="D67" s="3">
        <f>+ConstantDollars!D67*1000/Enrollment!C$91</f>
        <v>10892.443124327356</v>
      </c>
      <c r="E67" s="3">
        <f>+ConstantDollars!E67*1000/Enrollment!D$91</f>
        <v>9951.4241951377608</v>
      </c>
      <c r="F67" s="3">
        <f>+ConstantDollars!F67*1000/Enrollment!E$91</f>
        <v>10286.616471065157</v>
      </c>
      <c r="G67" s="3">
        <f>+ConstantDollars!G67*1000/Enrollment!F$91</f>
        <v>9102.237519199969</v>
      </c>
      <c r="H67" s="3">
        <f>+ConstantDollars!H67*1000/Enrollment!G$91</f>
        <v>8781.5483656600863</v>
      </c>
      <c r="I67" s="3">
        <f>+ConstantDollars!I67*1000/Enrollment!H$91</f>
        <v>8707.7207900933372</v>
      </c>
      <c r="J67" s="3">
        <f>+ConstantDollars!J67*1000/Enrollment!I$91</f>
        <v>8522.210597711588</v>
      </c>
      <c r="K67" s="3">
        <f>+ConstantDollars!K67*1000/Enrollment!J$91</f>
        <v>8743.7940491060817</v>
      </c>
      <c r="L67" s="3">
        <f>+ConstantDollars!L67*1000/Enrollment!K$91</f>
        <v>8718.7168085009216</v>
      </c>
      <c r="M67" s="3">
        <f>+ConstantDollars!M67*1000/Enrollment!L$91</f>
        <v>9015.2381172564346</v>
      </c>
      <c r="N67" s="3">
        <f>+ConstantDollars!N67*1000/Enrollment!M$91</f>
        <v>9133.7979721090087</v>
      </c>
      <c r="O67" s="3">
        <f>+ConstantDollars!O67*1000/Enrollment!N$91</f>
        <v>9273.7944366121192</v>
      </c>
      <c r="P67" s="3">
        <f>+ConstantDollars!P67*1000/Enrollment!O$91</f>
        <v>8668.170215397322</v>
      </c>
      <c r="Q67" s="3">
        <f>+ConstantDollars!Q67*1000/Enrollment!P$91</f>
        <v>7969.5279215860155</v>
      </c>
      <c r="R67" s="3">
        <f>+ConstantDollars!R67*1000/Enrollment!Q$91</f>
        <v>8028.6262690096646</v>
      </c>
      <c r="S67" s="3">
        <f>+ConstantDollars!S67*1000/Enrollment!R$91</f>
        <v>7879.6320356271199</v>
      </c>
      <c r="T67" s="3">
        <f>+ConstantDollars!T67*1000/Enrollment!S$91</f>
        <v>7526.4123099870612</v>
      </c>
      <c r="U67" s="3">
        <f>+ConstantDollars!U67*1000/Enrollment!T$91</f>
        <v>7537.2555318402319</v>
      </c>
      <c r="V67" s="3">
        <f>+ConstantDollars!V67*1000/Enrollment!U$91</f>
        <v>6840.2107324822937</v>
      </c>
      <c r="W67" s="3">
        <f>+ConstantDollars!W67*1000/Enrollment!V$91</f>
        <v>5557.9988275495762</v>
      </c>
      <c r="X67" s="3">
        <f>+ConstantDollars!X67*1000/Enrollment!W$91</f>
        <v>5362.9118093784145</v>
      </c>
      <c r="Y67" s="3">
        <f>+ConstantDollars!Y67*1000/Enrollment!X$91</f>
        <v>3910.8635557851567</v>
      </c>
      <c r="Z67" s="3">
        <f>+ConstantDollars!Z67*1000/Enrollment!Y$91</f>
        <v>3782.8175790416835</v>
      </c>
      <c r="AA67" s="3">
        <f>+ConstantDollars!AA67*1000/Enrollment!Z$91</f>
        <v>4545.0760769072594</v>
      </c>
      <c r="AB67" s="3">
        <f>+ConstantDollars!AB67*1000/Enrollment!AA$91</f>
        <v>4532.504740981919</v>
      </c>
      <c r="AC67" s="3">
        <f>+ConstantDollars!AC67*1000/Enrollment!AB$91</f>
        <v>5522.4717952133287</v>
      </c>
      <c r="AD67" s="3">
        <f>+ConstantDollars!AD67*1000/Enrollment!AC$91</f>
        <v>6786.3042072860262</v>
      </c>
    </row>
    <row r="68" spans="2:30">
      <c r="B68" s="1" t="str">
        <f>+$B$11</f>
        <v>Central Washington University</v>
      </c>
      <c r="C68" s="3">
        <f>+ConstantDollars!C68*1000/Enrollment!B$92</f>
        <v>10155.405527763884</v>
      </c>
      <c r="D68" s="3">
        <f>+ConstantDollars!D68*1000/Enrollment!C$92</f>
        <v>10956.449858688004</v>
      </c>
      <c r="E68" s="3">
        <f>+ConstantDollars!E68*1000/Enrollment!D$92</f>
        <v>9943.0406242520639</v>
      </c>
      <c r="F68" s="3">
        <f>+ConstantDollars!F68*1000/Enrollment!E$92</f>
        <v>10399.369999928009</v>
      </c>
      <c r="G68" s="3">
        <f>+ConstantDollars!G68*1000/Enrollment!F$92</f>
        <v>8916.4921518618667</v>
      </c>
      <c r="H68" s="3">
        <f>+ConstantDollars!H68*1000/Enrollment!G$92</f>
        <v>9126.2550787352775</v>
      </c>
      <c r="I68" s="3">
        <f>+ConstantDollars!I68*1000/Enrollment!H$92</f>
        <v>8691.3616178613956</v>
      </c>
      <c r="J68" s="3">
        <f>+ConstantDollars!J68*1000/Enrollment!I$92</f>
        <v>8747.4403847230751</v>
      </c>
      <c r="K68" s="3">
        <f>+ConstantDollars!K68*1000/Enrollment!J$92</f>
        <v>8754.391786830889</v>
      </c>
      <c r="L68" s="3">
        <f>+ConstantDollars!L68*1000/Enrollment!K$92</f>
        <v>8993.8128917307622</v>
      </c>
      <c r="M68" s="3">
        <f>+ConstantDollars!M68*1000/Enrollment!L$92</f>
        <v>9197.1941806501636</v>
      </c>
      <c r="N68" s="3">
        <f>+ConstantDollars!N68*1000/Enrollment!M$92</f>
        <v>9203.3501601398657</v>
      </c>
      <c r="O68" s="3">
        <f>+ConstantDollars!O68*1000/Enrollment!N$92</f>
        <v>9535.7799476807504</v>
      </c>
      <c r="P68" s="3">
        <f>+ConstantDollars!P68*1000/Enrollment!O$92</f>
        <v>8814.0581549376238</v>
      </c>
      <c r="Q68" s="3">
        <f>+ConstantDollars!Q68*1000/Enrollment!P$92</f>
        <v>8101.5036455918907</v>
      </c>
      <c r="R68" s="3">
        <f>+ConstantDollars!R68*1000/Enrollment!Q$92</f>
        <v>8200.3966583972033</v>
      </c>
      <c r="S68" s="3">
        <f>+ConstantDollars!S68*1000/Enrollment!R$92</f>
        <v>8009.7316976788798</v>
      </c>
      <c r="T68" s="3">
        <f>+ConstantDollars!T68*1000/Enrollment!S$92</f>
        <v>7710.0579614430226</v>
      </c>
      <c r="U68" s="3">
        <f>+ConstantDollars!U68*1000/Enrollment!T$92</f>
        <v>7385.3741027995829</v>
      </c>
      <c r="V68" s="3">
        <f>+ConstantDollars!V68*1000/Enrollment!U$92</f>
        <v>6665.9233595303222</v>
      </c>
      <c r="W68" s="3">
        <f>+ConstantDollars!W68*1000/Enrollment!V$92</f>
        <v>4857.5989496065085</v>
      </c>
      <c r="X68" s="3">
        <f>+ConstantDollars!X68*1000/Enrollment!W$92</f>
        <v>4895.6184915987369</v>
      </c>
      <c r="Y68" s="3">
        <f>+ConstantDollars!Y68*1000/Enrollment!X$92</f>
        <v>3438.0361268076244</v>
      </c>
      <c r="Z68" s="3">
        <f>+ConstantDollars!Z68*1000/Enrollment!Y$92</f>
        <v>3186.1746183377631</v>
      </c>
      <c r="AA68" s="3">
        <f>+ConstantDollars!AA68*1000/Enrollment!Z$92</f>
        <v>4130.2358007135872</v>
      </c>
      <c r="AB68" s="3">
        <f>+ConstantDollars!AB68*1000/Enrollment!AA$92</f>
        <v>4032.5422335186154</v>
      </c>
      <c r="AC68" s="3">
        <f>+ConstantDollars!AC68*1000/Enrollment!AB$92</f>
        <v>5071.7069122743178</v>
      </c>
      <c r="AD68" s="3">
        <f>+ConstantDollars!AD68*1000/Enrollment!AC$92</f>
        <v>6454.9024693639412</v>
      </c>
    </row>
    <row r="69" spans="2:30">
      <c r="B69" s="1" t="str">
        <f>+$B$12</f>
        <v>The Evergreen State College</v>
      </c>
      <c r="C69" s="3">
        <f>+ConstantDollars!C69*1000/Enrollment!B$93</f>
        <v>12453.911266666668</v>
      </c>
      <c r="D69" s="3">
        <f>+ConstantDollars!D69*1000/Enrollment!C$93</f>
        <v>13338.273866264881</v>
      </c>
      <c r="E69" s="3">
        <f>+ConstantDollars!E69*1000/Enrollment!D$93</f>
        <v>11551.883462919353</v>
      </c>
      <c r="F69" s="3">
        <f>+ConstantDollars!F69*1000/Enrollment!E$93</f>
        <v>13125.501416258066</v>
      </c>
      <c r="G69" s="3">
        <f>+ConstantDollars!G69*1000/Enrollment!F$93</f>
        <v>10286.024903360565</v>
      </c>
      <c r="H69" s="3">
        <f>+ConstantDollars!H69*1000/Enrollment!G$93</f>
        <v>10728.642586374928</v>
      </c>
      <c r="I69" s="3">
        <f>+ConstantDollars!I69*1000/Enrollment!H$93</f>
        <v>10051.778062546351</v>
      </c>
      <c r="J69" s="3">
        <f>+ConstantDollars!J69*1000/Enrollment!I$93</f>
        <v>9966.4150784252743</v>
      </c>
      <c r="K69" s="3">
        <f>+ConstantDollars!K69*1000/Enrollment!J$93</f>
        <v>10120.741074442947</v>
      </c>
      <c r="L69" s="3">
        <f>+ConstantDollars!L69*1000/Enrollment!K$93</f>
        <v>9817.3778628398904</v>
      </c>
      <c r="M69" s="3">
        <f>+ConstantDollars!M69*1000/Enrollment!L$93</f>
        <v>10304.284416438555</v>
      </c>
      <c r="N69" s="3">
        <f>+ConstantDollars!N69*1000/Enrollment!M$93</f>
        <v>10941.635526490019</v>
      </c>
      <c r="O69" s="3">
        <f>+ConstantDollars!O69*1000/Enrollment!N$93</f>
        <v>10924.093986680877</v>
      </c>
      <c r="P69" s="3">
        <f>+ConstantDollars!P69*1000/Enrollment!O$93</f>
        <v>10041.047554972403</v>
      </c>
      <c r="Q69" s="3">
        <f>+ConstantDollars!Q69*1000/Enrollment!P$93</f>
        <v>9252.6114179417873</v>
      </c>
      <c r="R69" s="3">
        <f>+ConstantDollars!R69*1000/Enrollment!Q$93</f>
        <v>9352.5840578621155</v>
      </c>
      <c r="S69" s="3">
        <f>+ConstantDollars!S69*1000/Enrollment!R$93</f>
        <v>9293.3596006960888</v>
      </c>
      <c r="T69" s="3">
        <f>+ConstantDollars!T69*1000/Enrollment!S$93</f>
        <v>9262.3616720290847</v>
      </c>
      <c r="U69" s="3">
        <f>+ConstantDollars!U69*1000/Enrollment!T$93</f>
        <v>9901.1197116395069</v>
      </c>
      <c r="V69" s="3">
        <f>+ConstantDollars!V69*1000/Enrollment!U$93</f>
        <v>9112.9406518521682</v>
      </c>
      <c r="W69" s="3">
        <f>+ConstantDollars!W69*1000/Enrollment!V$93</f>
        <v>6613.4449930227738</v>
      </c>
      <c r="X69" s="3">
        <f>+ConstantDollars!X69*1000/Enrollment!W$93</f>
        <v>5611.1700408918387</v>
      </c>
      <c r="Y69" s="3">
        <f>+ConstantDollars!Y69*1000/Enrollment!X$93</f>
        <v>4830.9044495471144</v>
      </c>
      <c r="Z69" s="3">
        <f>+ConstantDollars!Z69*1000/Enrollment!Y$93</f>
        <v>4616.3631516511668</v>
      </c>
      <c r="AA69" s="3">
        <f>+ConstantDollars!AA69*1000/Enrollment!Z$93</f>
        <v>5509.4024423536312</v>
      </c>
      <c r="AB69" s="3">
        <f>+ConstantDollars!AB69*1000/Enrollment!AA$93</f>
        <v>5135.5880272047389</v>
      </c>
      <c r="AC69" s="3">
        <f>+ConstantDollars!AC69*1000/Enrollment!AB$93</f>
        <v>6614.2101528802741</v>
      </c>
      <c r="AD69" s="3">
        <f>+ConstantDollars!AD69*1000/Enrollment!AC$93</f>
        <v>7520.7757014808267</v>
      </c>
    </row>
    <row r="70" spans="2:30">
      <c r="B70" s="1" t="str">
        <f>+$B$13</f>
        <v>Western Washington University</v>
      </c>
      <c r="C70" s="3">
        <f>+ConstantDollars!C70*1000/Enrollment!B$94</f>
        <v>9384.2008284023668</v>
      </c>
      <c r="D70" s="3">
        <f>+ConstantDollars!D70*1000/Enrollment!C$94</f>
        <v>9969.3840134563216</v>
      </c>
      <c r="E70" s="3">
        <f>+ConstantDollars!E70*1000/Enrollment!D$94</f>
        <v>9353.2771152431542</v>
      </c>
      <c r="F70" s="3">
        <f>+ConstantDollars!F70*1000/Enrollment!E$94</f>
        <v>9170.7045070891218</v>
      </c>
      <c r="G70" s="3">
        <f>+ConstantDollars!G70*1000/Enrollment!F$94</f>
        <v>8377.0350042362479</v>
      </c>
      <c r="H70" s="3">
        <f>+ConstantDollars!H70*1000/Enrollment!G$94</f>
        <v>7667.7428116378433</v>
      </c>
      <c r="I70" s="3">
        <f>+ConstantDollars!I70*1000/Enrollment!H$94</f>
        <v>7979.6313041377771</v>
      </c>
      <c r="J70" s="3">
        <f>+ConstantDollars!J70*1000/Enrollment!I$94</f>
        <v>7952.6730144210715</v>
      </c>
      <c r="K70" s="3">
        <f>+ConstantDollars!K70*1000/Enrollment!J$94</f>
        <v>8095.4030570408959</v>
      </c>
      <c r="L70" s="3">
        <f>+ConstantDollars!L70*1000/Enrollment!K$94</f>
        <v>8054.1022682225694</v>
      </c>
      <c r="M70" s="3">
        <f>+ConstantDollars!M70*1000/Enrollment!L$94</f>
        <v>8376.2753334939771</v>
      </c>
      <c r="N70" s="3">
        <f>+ConstantDollars!N70*1000/Enrollment!M$94</f>
        <v>8595.3929255825278</v>
      </c>
      <c r="O70" s="3">
        <f>+ConstantDollars!O70*1000/Enrollment!N$94</f>
        <v>8797.5163632053245</v>
      </c>
      <c r="P70" s="3">
        <f>+ConstantDollars!P70*1000/Enrollment!O$94</f>
        <v>8245.9997555750288</v>
      </c>
      <c r="Q70" s="3">
        <f>+ConstantDollars!Q70*1000/Enrollment!P$94</f>
        <v>7529.8694296073809</v>
      </c>
      <c r="R70" s="3">
        <f>+ConstantDollars!R70*1000/Enrollment!Q$94</f>
        <v>7562.2603303608676</v>
      </c>
      <c r="S70" s="3">
        <f>+ConstantDollars!S70*1000/Enrollment!R$94</f>
        <v>7479.8440340729421</v>
      </c>
      <c r="T70" s="3">
        <f>+ConstantDollars!T70*1000/Enrollment!S$94</f>
        <v>7471.4734382987281</v>
      </c>
      <c r="U70" s="3">
        <f>+ConstantDollars!U70*1000/Enrollment!T$94</f>
        <v>7699.9304635983844</v>
      </c>
      <c r="V70" s="3">
        <f>+ConstantDollars!V70*1000/Enrollment!U$94</f>
        <v>7265.4899693904536</v>
      </c>
      <c r="W70" s="3">
        <f>+ConstantDollars!W70*1000/Enrollment!V$94</f>
        <v>5152.6940187061982</v>
      </c>
      <c r="X70" s="3">
        <f>+ConstantDollars!X70*1000/Enrollment!W$94</f>
        <v>5255.3273578213384</v>
      </c>
      <c r="Y70" s="3">
        <f>+ConstantDollars!Y70*1000/Enrollment!X$94</f>
        <v>3732.88242848462</v>
      </c>
      <c r="Z70" s="3">
        <f>+ConstantDollars!Z70*1000/Enrollment!Y$94</f>
        <v>3574.8372094901342</v>
      </c>
      <c r="AA70" s="3">
        <f>+ConstantDollars!AA70*1000/Enrollment!Z$94</f>
        <v>4243.2276708476293</v>
      </c>
      <c r="AB70" s="3">
        <f>+ConstantDollars!AB70*1000/Enrollment!AA$94</f>
        <v>4591.2837764342785</v>
      </c>
      <c r="AC70" s="3">
        <f>+ConstantDollars!AC70*1000/Enrollment!AB$94</f>
        <v>5672.7527105557992</v>
      </c>
      <c r="AD70" s="3">
        <f>+ConstantDollars!AD70*1000/Enrollment!AC$94</f>
        <v>7030.5387680397016</v>
      </c>
    </row>
    <row r="71" spans="2:30">
      <c r="B71" s="199" t="str">
        <f>+$B$14</f>
        <v>Total Four-Year Institutions</v>
      </c>
      <c r="C71" s="42">
        <f>+ConstantDollars!C71*1000/Enrollment!B$101</f>
        <v>14689.412298837493</v>
      </c>
      <c r="D71" s="42">
        <f>+ConstantDollars!D71*1000/Enrollment!C$101</f>
        <v>15332.742075927838</v>
      </c>
      <c r="E71" s="42">
        <f>+ConstantDollars!E71*1000/Enrollment!D$101</f>
        <v>14476.127500346467</v>
      </c>
      <c r="F71" s="42">
        <f>+ConstantDollars!F71*1000/Enrollment!E$101</f>
        <v>14655.327918720532</v>
      </c>
      <c r="G71" s="42">
        <f>+ConstantDollars!G71*1000/Enrollment!F$101</f>
        <v>13166.812645698326</v>
      </c>
      <c r="H71" s="42">
        <f>+ConstantDollars!H71*1000/Enrollment!G$101</f>
        <v>12532.503140262796</v>
      </c>
      <c r="I71" s="42">
        <f>+ConstantDollars!I71*1000/Enrollment!H$101</f>
        <v>12595.094961162946</v>
      </c>
      <c r="J71" s="42">
        <f>+ConstantDollars!J71*1000/Enrollment!I$101</f>
        <v>12337.445176113057</v>
      </c>
      <c r="K71" s="42">
        <f>+ConstantDollars!K71*1000/Enrollment!J$101</f>
        <v>12780.856941848815</v>
      </c>
      <c r="L71" s="42">
        <f>+ConstantDollars!L71*1000/Enrollment!K$101</f>
        <v>12824.690944189693</v>
      </c>
      <c r="M71" s="42">
        <f>+ConstantDollars!M71*1000/Enrollment!L$101</f>
        <v>13415.884408104754</v>
      </c>
      <c r="N71" s="42">
        <f>+ConstantDollars!N71*1000/Enrollment!M$101</f>
        <v>13548.571709386819</v>
      </c>
      <c r="O71" s="42">
        <f>+ConstantDollars!O71*1000/Enrollment!N$101</f>
        <v>13778.861998328997</v>
      </c>
      <c r="P71" s="42">
        <f>+ConstantDollars!P71*1000/Enrollment!O$101</f>
        <v>12911.2710878126</v>
      </c>
      <c r="Q71" s="42">
        <f>+ConstantDollars!Q71*1000/Enrollment!P$101</f>
        <v>11861.105155670895</v>
      </c>
      <c r="R71" s="42">
        <f>+ConstantDollars!R71*1000/Enrollment!Q$101</f>
        <v>11910.512503923395</v>
      </c>
      <c r="S71" s="42">
        <f>+ConstantDollars!S71*1000/Enrollment!R$101</f>
        <v>11809.00569566585</v>
      </c>
      <c r="T71" s="42">
        <f>+ConstantDollars!T71*1000/Enrollment!S$101</f>
        <v>11646.029868562131</v>
      </c>
      <c r="U71" s="42">
        <f>+ConstantDollars!U71*1000/Enrollment!T$101</f>
        <v>11834.155152244284</v>
      </c>
      <c r="V71" s="42">
        <f>+ConstantDollars!V71*1000/Enrollment!U$101</f>
        <v>10982.49424664666</v>
      </c>
      <c r="W71" s="42">
        <f>+ConstantDollars!W71*1000/Enrollment!V$101</f>
        <v>8442.3161289618674</v>
      </c>
      <c r="X71" s="42">
        <f>+ConstantDollars!X71*1000/Enrollment!W$101</f>
        <v>8063.4084176142005</v>
      </c>
      <c r="Y71" s="42">
        <f>+ConstantDollars!Y71*1000/Enrollment!X$101</f>
        <v>6088.4985645173811</v>
      </c>
      <c r="Z71" s="42">
        <f>+ConstantDollars!Z71*1000/Enrollment!Y$101</f>
        <v>5948.9858859166934</v>
      </c>
      <c r="AA71" s="42">
        <f>+ConstantDollars!AA71*1000/Enrollment!Z$101</f>
        <v>7095.066284953733</v>
      </c>
      <c r="AB71" s="42">
        <f>+ConstantDollars!AB71*1000/Enrollment!AA$101</f>
        <v>6870.4470346970393</v>
      </c>
      <c r="AC71" s="42">
        <f>+ConstantDollars!AC71*1000/Enrollment!AB$101</f>
        <v>8177.4305837117281</v>
      </c>
      <c r="AD71" s="42">
        <f>+ConstantDollars!AD71*1000/Enrollment!AC$101</f>
        <v>9389.5919382687571</v>
      </c>
    </row>
    <row r="73" spans="2:30">
      <c r="B73" s="1" t="str">
        <f>+$B$16</f>
        <v>Community/Technical College System</v>
      </c>
      <c r="C73" s="3">
        <f>+ConstantDollars!C73*1000/Enrollment!B$103</f>
        <v>6432.9998636199889</v>
      </c>
      <c r="D73" s="3">
        <f>+ConstantDollars!D73*1000/Enrollment!C$103</f>
        <v>6750.9974347475036</v>
      </c>
      <c r="E73" s="3">
        <f>+ConstantDollars!E73*1000/Enrollment!D$103</f>
        <v>6537.8588219258309</v>
      </c>
      <c r="F73" s="3">
        <f>+ConstantDollars!F73*1000/Enrollment!E$103</f>
        <v>6638.7486115036818</v>
      </c>
      <c r="G73" s="3">
        <f>+ConstantDollars!G73*1000/Enrollment!F$103</f>
        <v>5797.8088932591172</v>
      </c>
      <c r="H73" s="3">
        <f>+ConstantDollars!H73*1000/Enrollment!G$103</f>
        <v>5908.9756562144303</v>
      </c>
      <c r="I73" s="3">
        <f>+ConstantDollars!I73*1000/Enrollment!H$103</f>
        <v>5514.0243806634699</v>
      </c>
      <c r="J73" s="3">
        <f>+ConstantDollars!J73*1000/Enrollment!I$103</f>
        <v>5510.8727260964115</v>
      </c>
      <c r="K73" s="3">
        <f>+ConstantDollars!K73*1000/Enrollment!J$103</f>
        <v>5636.9538952521061</v>
      </c>
      <c r="L73" s="3">
        <f>+ConstantDollars!L73*1000/Enrollment!K$103</f>
        <v>6065.0660695859397</v>
      </c>
      <c r="M73" s="3">
        <f>+ConstantDollars!M73*1000/Enrollment!L$103</f>
        <v>6326.955335110807</v>
      </c>
      <c r="N73" s="3">
        <f>+ConstantDollars!N73*1000/Enrollment!M$103</f>
        <v>6511.6330758705799</v>
      </c>
      <c r="O73" s="3">
        <f>+ConstantDollars!O73*1000/Enrollment!N$103</f>
        <v>6643.2934994355846</v>
      </c>
      <c r="P73" s="3">
        <f>+ConstantDollars!P73*1000/Enrollment!O$103</f>
        <v>6593.4633871538335</v>
      </c>
      <c r="Q73" s="3">
        <f>+ConstantDollars!Q73*1000/Enrollment!P$103</f>
        <v>6203.9962630244972</v>
      </c>
      <c r="R73" s="3">
        <f>+ConstantDollars!R73*1000/Enrollment!Q$103</f>
        <v>6138.814536185866</v>
      </c>
      <c r="S73" s="3">
        <f>+ConstantDollars!S73*1000/Enrollment!R$103</f>
        <v>6240.8786263669217</v>
      </c>
      <c r="T73" s="3">
        <f>+ConstantDollars!T73*1000/Enrollment!S$103</f>
        <v>6265.7510431603796</v>
      </c>
      <c r="U73" s="3">
        <f>+ConstantDollars!U73*1000/Enrollment!T$103</f>
        <v>6288.3157524044691</v>
      </c>
      <c r="V73" s="3">
        <f>+ConstantDollars!V73*1000/Enrollment!U$103</f>
        <v>6214.9955996482176</v>
      </c>
      <c r="W73" s="3">
        <f>+ConstantDollars!W73*1000/Enrollment!V$103</f>
        <v>6159.366270097581</v>
      </c>
      <c r="X73" s="3">
        <f>+ConstantDollars!X73*1000/Enrollment!W$103</f>
        <v>5624.9618122579741</v>
      </c>
      <c r="Y73" s="3">
        <f>+ConstantDollars!Y73*1000/Enrollment!X$103</f>
        <v>4969.2695501615008</v>
      </c>
      <c r="Z73" s="3">
        <f>+ConstantDollars!Z73*1000/Enrollment!Y$103</f>
        <v>4750.4736309365189</v>
      </c>
      <c r="AA73" s="3">
        <f>+ConstantDollars!AA73*1000/Enrollment!Z$103</f>
        <v>5170.8462069834732</v>
      </c>
      <c r="AB73" s="3">
        <f>+ConstantDollars!AB73*1000/Enrollment!AA$103</f>
        <v>5031.4270792367342</v>
      </c>
      <c r="AC73" s="3">
        <f>+ConstantDollars!AC73*1000/Enrollment!AB$103</f>
        <v>5571.8832178932471</v>
      </c>
      <c r="AD73" s="3">
        <f>+ConstantDollars!AD73*1000/Enrollment!AC$103</f>
        <v>5870.2511807813416</v>
      </c>
    </row>
    <row r="74" spans="2:30">
      <c r="B74" s="1" t="str">
        <f>+$B$17</f>
        <v>HEC Board, CHE, SFA, &amp; SAC (1)</v>
      </c>
      <c r="C74" s="3">
        <f>+ConstantDollars!C74*1000/Enrollment!B$112</f>
        <v>368.70532179844002</v>
      </c>
      <c r="D74" s="3">
        <f>+ConstantDollars!D74*1000/Enrollment!C$112</f>
        <v>400.92225770485703</v>
      </c>
      <c r="E74" s="3">
        <f>+ConstantDollars!E74*1000/Enrollment!D$112</f>
        <v>439.93857126265937</v>
      </c>
      <c r="F74" s="3">
        <f>+ConstantDollars!F74*1000/Enrollment!E$112</f>
        <v>427.86149053769543</v>
      </c>
      <c r="G74" s="3">
        <f>+ConstantDollars!G74*1000/Enrollment!F$112</f>
        <v>648.05430862424055</v>
      </c>
      <c r="H74" s="3">
        <f>+ConstantDollars!H74*1000/Enrollment!G$112</f>
        <v>682.486890830692</v>
      </c>
      <c r="I74" s="3">
        <f>+ConstantDollars!I74*1000/Enrollment!H$112</f>
        <v>688.58649972386638</v>
      </c>
      <c r="J74" s="3">
        <f>+ConstantDollars!J74*1000/Enrollment!I$112</f>
        <v>701.37483020627803</v>
      </c>
      <c r="K74" s="3">
        <f>+ConstantDollars!K74*1000/Enrollment!J$112</f>
        <v>795.92312562509119</v>
      </c>
      <c r="L74" s="3">
        <f>+ConstantDollars!L74*1000/Enrollment!K$112</f>
        <v>852.91567870366396</v>
      </c>
      <c r="M74" s="3">
        <f>+ConstantDollars!M74*1000/Enrollment!L$112</f>
        <v>880.89556349669238</v>
      </c>
      <c r="N74" s="3">
        <f>+ConstantDollars!N74*1000/Enrollment!M$112</f>
        <v>974.92102735722426</v>
      </c>
      <c r="O74" s="3">
        <f>+ConstantDollars!O74*1000/Enrollment!N$112</f>
        <v>968.964379438219</v>
      </c>
      <c r="P74" s="3">
        <f>+ConstantDollars!P74*1000/Enrollment!O$112</f>
        <v>1023.9483461700241</v>
      </c>
      <c r="Q74" s="3">
        <f>+ConstantDollars!Q74*1000/Enrollment!P$112</f>
        <v>1070.1772708449466</v>
      </c>
      <c r="R74" s="3">
        <f>+ConstantDollars!R74*1000/Enrollment!Q$112</f>
        <v>1155.3255657979942</v>
      </c>
      <c r="S74" s="3">
        <f>+ConstantDollars!S74*1000/Enrollment!R$112</f>
        <v>1077.3699530892254</v>
      </c>
      <c r="T74" s="3">
        <f>+ConstantDollars!T74*1000/Enrollment!S$112</f>
        <v>1075.3358133536933</v>
      </c>
      <c r="U74" s="3">
        <f>+ConstantDollars!U74*1000/Enrollment!T$112</f>
        <v>1027.5431929111917</v>
      </c>
      <c r="V74" s="3">
        <f>+ConstantDollars!V74*1000/Enrollment!U$112</f>
        <v>1139.5113223888225</v>
      </c>
      <c r="W74" s="3">
        <f>+ConstantDollars!W74*1000/Enrollment!V$112</f>
        <v>1147.1421560983667</v>
      </c>
      <c r="X74" s="3">
        <f>+ConstantDollars!X74*1000/Enrollment!W$112</f>
        <v>1061.9200235342951</v>
      </c>
      <c r="Y74" s="3">
        <f>+ConstantDollars!Y74*1000/Enrollment!X$112</f>
        <v>1227.6195277865788</v>
      </c>
      <c r="Z74" s="3">
        <f>+ConstantDollars!Z74*1000/Enrollment!Y$112</f>
        <v>1198.2874915229386</v>
      </c>
      <c r="AA74" s="3">
        <f>+ConstantDollars!AA74*1000/Enrollment!Z$112</f>
        <v>1362.5647188895962</v>
      </c>
      <c r="AB74" s="3">
        <f>+ConstantDollars!AB74*1000/Enrollment!AA$112</f>
        <v>1370.9535472586354</v>
      </c>
      <c r="AC74" s="3">
        <f>+ConstantDollars!AC74*1000/Enrollment!AB$112</f>
        <v>1453.0083084159003</v>
      </c>
      <c r="AD74" s="3">
        <f>+ConstantDollars!AD74*1000/Enrollment!AC$112</f>
        <v>1268.8243057329764</v>
      </c>
    </row>
    <row r="75" spans="2:30" ht="13.5" thickBot="1"/>
    <row r="76" spans="2:30" ht="13.5" thickTop="1">
      <c r="B76" s="1" t="str">
        <f>+$B$19</f>
        <v>Total Higher Education</v>
      </c>
      <c r="C76" s="39">
        <f>+ConstantDollars!C76*1000/Enrollment!B$112</f>
        <v>10267.264208882307</v>
      </c>
      <c r="D76" s="39">
        <f>+ConstantDollars!D76*1000/Enrollment!C$112</f>
        <v>10775.683302560416</v>
      </c>
      <c r="E76" s="39">
        <f>+ConstantDollars!E76*1000/Enrollment!D$112</f>
        <v>10312.278729300537</v>
      </c>
      <c r="F76" s="39">
        <f>+ConstantDollars!F76*1000/Enrollment!E$112</f>
        <v>10421.895494699522</v>
      </c>
      <c r="G76" s="39">
        <f>+ConstantDollars!G76*1000/Enrollment!F$112</f>
        <v>9469.8327052090226</v>
      </c>
      <c r="H76" s="39">
        <f>+ConstantDollars!H76*1000/Enrollment!G$112</f>
        <v>9286.4700815246088</v>
      </c>
      <c r="I76" s="39">
        <f>+ConstantDollars!I76*1000/Enrollment!H$112</f>
        <v>9082.2362450988803</v>
      </c>
      <c r="J76" s="39">
        <f>+ConstantDollars!J76*1000/Enrollment!I$112</f>
        <v>9031.041630985661</v>
      </c>
      <c r="K76" s="39">
        <f>+ConstantDollars!K76*1000/Enrollment!J$112</f>
        <v>9365.9699578008112</v>
      </c>
      <c r="L76" s="39">
        <f>+ConstantDollars!L76*1000/Enrollment!K$112</f>
        <v>9682.1980121891938</v>
      </c>
      <c r="M76" s="39">
        <f>+ConstantDollars!M76*1000/Enrollment!L$112</f>
        <v>10084.383036955614</v>
      </c>
      <c r="N76" s="39">
        <f>+ConstantDollars!N76*1000/Enrollment!M$112</f>
        <v>10348.830081441567</v>
      </c>
      <c r="O76" s="39">
        <f>+ConstantDollars!O76*1000/Enrollment!N$112</f>
        <v>10489.668514268798</v>
      </c>
      <c r="P76" s="39">
        <f>+ConstantDollars!P76*1000/Enrollment!O$112</f>
        <v>10141.137888243422</v>
      </c>
      <c r="Q76" s="39">
        <f>+ConstantDollars!Q76*1000/Enrollment!P$112</f>
        <v>9558.5967214525026</v>
      </c>
      <c r="R76" s="39">
        <f>+ConstantDollars!R76*1000/Enrollment!Q$112</f>
        <v>9630.2591381856182</v>
      </c>
      <c r="S76" s="39">
        <f>+ConstantDollars!S76*1000/Enrollment!R$112</f>
        <v>9575.5160465394529</v>
      </c>
      <c r="T76" s="39">
        <f>+ConstantDollars!T76*1000/Enrollment!S$112</f>
        <v>9533.5828203253259</v>
      </c>
      <c r="U76" s="39">
        <f>+ConstantDollars!U76*1000/Enrollment!T$112</f>
        <v>9575.5021398813715</v>
      </c>
      <c r="V76" s="39">
        <f>+ConstantDollars!V76*1000/Enrollment!U$112</f>
        <v>9296.1544487533174</v>
      </c>
      <c r="W76" s="39">
        <f>+ConstantDollars!W76*1000/Enrollment!V$112</f>
        <v>8210.7967818022062</v>
      </c>
      <c r="X76" s="39">
        <f>+ConstantDollars!X76*1000/Enrollment!W$112</f>
        <v>7647.1632409798904</v>
      </c>
      <c r="Y76" s="39">
        <f>+ConstantDollars!Y76*1000/Enrollment!X$112</f>
        <v>6644.8188544521545</v>
      </c>
      <c r="Z76" s="39">
        <f>+ConstantDollars!Z76*1000/Enrollment!Y$112</f>
        <v>6428.4210666037952</v>
      </c>
      <c r="AA76" s="39">
        <f>+ConstantDollars!AA76*1000/Enrollment!Z$112</f>
        <v>7304.9831018107925</v>
      </c>
      <c r="AB76" s="39">
        <f>+ConstantDollars!AB76*1000/Enrollment!AA$112</f>
        <v>7139.072604832143</v>
      </c>
      <c r="AC76" s="39">
        <f>+ConstantDollars!AC76*1000/Enrollment!AB$112</f>
        <v>8068.6462924691168</v>
      </c>
      <c r="AD76" s="39">
        <f>+ConstantDollars!AD76*1000/Enrollment!AC$112</f>
        <v>8548.8862378205504</v>
      </c>
    </row>
    <row r="77" spans="2:30">
      <c r="B77" s="199" t="str">
        <f>+$B$20</f>
        <v>[biennial annual average]</v>
      </c>
      <c r="D77" s="3">
        <f>AVERAGE(C76:D76)</f>
        <v>10521.473755721361</v>
      </c>
      <c r="E77" s="3"/>
      <c r="F77" s="3">
        <f>AVERAGE(E76:F76)</f>
        <v>10367.08711200003</v>
      </c>
      <c r="G77" s="3"/>
      <c r="H77" s="3">
        <f>AVERAGE(G76:H76)</f>
        <v>9378.1513933668157</v>
      </c>
      <c r="I77" s="3"/>
      <c r="J77" s="3">
        <f>AVERAGE(I76:J76)</f>
        <v>9056.6389380422697</v>
      </c>
      <c r="K77" s="3"/>
      <c r="L77" s="3">
        <f>AVERAGE(K76:L76)</f>
        <v>9524.0839849950025</v>
      </c>
      <c r="M77" s="3"/>
      <c r="N77" s="3">
        <f>AVERAGE(M76:N76)</f>
        <v>10216.60655919859</v>
      </c>
      <c r="O77" s="3"/>
      <c r="P77" s="3">
        <f>AVERAGE(O76:P76)</f>
        <v>10315.403201256111</v>
      </c>
      <c r="Q77" s="3"/>
      <c r="R77" s="3">
        <f>AVERAGE(Q76:R76)</f>
        <v>9594.4279298190595</v>
      </c>
      <c r="S77" s="3"/>
      <c r="T77" s="3">
        <f>AVERAGE(S76:T76)</f>
        <v>9554.5494334323885</v>
      </c>
      <c r="U77" s="3"/>
      <c r="V77" s="3">
        <f>AVERAGE(U76:V76)</f>
        <v>9435.8282943173435</v>
      </c>
      <c r="W77" s="3"/>
      <c r="X77" s="3">
        <f>AVERAGE(W76:X76)</f>
        <v>7928.9800113910478</v>
      </c>
      <c r="Y77" s="3"/>
      <c r="Z77" s="3">
        <f>AVERAGE(Y76:Z76)</f>
        <v>6536.6199605279744</v>
      </c>
      <c r="AA77" s="3"/>
      <c r="AB77" s="3">
        <f>AVERAGE(AA76:AB76)</f>
        <v>7222.0278533214678</v>
      </c>
      <c r="AC77" s="3"/>
      <c r="AD77" s="3">
        <f>AVERAGE(AC76:AD76)</f>
        <v>8308.7662651448336</v>
      </c>
    </row>
    <row r="78" spans="2:30">
      <c r="B78" s="199"/>
      <c r="D78" s="3"/>
      <c r="F78" s="3"/>
      <c r="H78" s="3"/>
      <c r="J78" s="3"/>
      <c r="L78" s="3"/>
      <c r="N78" s="3"/>
      <c r="P78" s="3"/>
      <c r="R78" s="3"/>
      <c r="T78" s="3"/>
      <c r="V78" s="3"/>
    </row>
    <row r="79" spans="2:30" ht="14.25">
      <c r="B79" s="2447" t="str">
        <f>+OperatingFunds!B79</f>
        <v>General Fund-Federal Stimulus Direct (001-8)</v>
      </c>
      <c r="C79" s="5"/>
      <c r="D79" s="5"/>
      <c r="E79" s="5"/>
      <c r="F79" s="5"/>
      <c r="G79" s="5"/>
      <c r="H79" s="5"/>
      <c r="I79" s="5"/>
      <c r="J79" s="6"/>
      <c r="K79" s="5"/>
      <c r="L79" s="5"/>
      <c r="M79" s="5"/>
      <c r="N79" s="5"/>
      <c r="O79" s="5"/>
      <c r="P79" s="5"/>
      <c r="Q79" s="5"/>
      <c r="R79" s="5"/>
      <c r="S79" s="5"/>
      <c r="T79" s="5"/>
      <c r="U79" s="5"/>
      <c r="V79" s="5"/>
      <c r="W79" s="5"/>
      <c r="X79" s="5"/>
      <c r="Y79" s="5"/>
      <c r="Z79" s="5"/>
      <c r="AA79" s="5"/>
      <c r="AB79" s="5"/>
      <c r="AC79" s="5"/>
      <c r="AD79" s="5"/>
    </row>
    <row r="80" spans="2:30" ht="13.5">
      <c r="B80" s="33" t="str">
        <f>+$B$4</f>
        <v>FY2024 Constant Dollar Expenditures per Budgeted State-Funded FTE Enrollment</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2:30">
      <c r="I81" s="13"/>
      <c r="J81" s="13"/>
      <c r="K81" s="13"/>
      <c r="L81" s="13"/>
      <c r="M81" s="13"/>
      <c r="N81" s="13"/>
      <c r="O81" s="13"/>
      <c r="P81" s="13"/>
      <c r="Q81"/>
      <c r="R81" s="13"/>
      <c r="S81"/>
      <c r="T81"/>
      <c r="U81" s="2"/>
      <c r="V81" s="2"/>
      <c r="W81" s="2"/>
      <c r="X81" s="2"/>
      <c r="Y81" s="2"/>
      <c r="Z81" s="2"/>
      <c r="AA81" s="2"/>
      <c r="AB81" s="2"/>
      <c r="AC81" s="5"/>
      <c r="AD81" s="5" t="str">
        <f>TRIM(OperatingFunds!AD81)</f>
        <v/>
      </c>
    </row>
    <row r="82" spans="2:30">
      <c r="C82" s="2" t="str">
        <f>+OperatingFunds!C82</f>
        <v>FY1990</v>
      </c>
      <c r="D82" s="2" t="str">
        <f>+OperatingFunds!D82</f>
        <v>FY1991</v>
      </c>
      <c r="E82" s="2" t="str">
        <f>+OperatingFunds!E82</f>
        <v>FY1992</v>
      </c>
      <c r="F82" s="2" t="str">
        <f>+OperatingFunds!F82</f>
        <v>FY1993</v>
      </c>
      <c r="G82" s="2" t="str">
        <f>+OperatingFunds!G82</f>
        <v>FY1994</v>
      </c>
      <c r="H82" s="2" t="str">
        <f>+OperatingFunds!H82</f>
        <v>FY1995</v>
      </c>
      <c r="I82" s="2" t="str">
        <f>+OperatingFunds!I82</f>
        <v>FY1996</v>
      </c>
      <c r="J82" s="2" t="str">
        <f>+OperatingFunds!J82</f>
        <v>FY1997</v>
      </c>
      <c r="K82" s="2" t="str">
        <f>+OperatingFunds!K82</f>
        <v>FY1998</v>
      </c>
      <c r="L82" s="2" t="str">
        <f>+OperatingFunds!L82</f>
        <v>FY1999</v>
      </c>
      <c r="M82" s="2" t="str">
        <f>+OperatingFunds!M82</f>
        <v>FY2000</v>
      </c>
      <c r="N82" s="2" t="str">
        <f>+OperatingFunds!N82</f>
        <v>FY2001</v>
      </c>
      <c r="O82" s="2" t="str">
        <f>+OperatingFunds!O82</f>
        <v>FY2002</v>
      </c>
      <c r="P82" s="2" t="str">
        <f>+OperatingFunds!P82</f>
        <v>FY2003</v>
      </c>
      <c r="Q82" s="2" t="str">
        <f>+OperatingFunds!Q82</f>
        <v>FY2004</v>
      </c>
      <c r="R82" s="2" t="str">
        <f>+OperatingFunds!R82</f>
        <v>FY2005</v>
      </c>
      <c r="S82" s="2" t="str">
        <f>+OperatingFunds!S82</f>
        <v>FY2006</v>
      </c>
      <c r="T82" s="2" t="str">
        <f>+OperatingFunds!T82</f>
        <v>FY2007</v>
      </c>
      <c r="U82" s="2" t="str">
        <f>+OperatingFunds!U82</f>
        <v>FY2008</v>
      </c>
      <c r="V82" s="2" t="str">
        <f>+OperatingFunds!V82</f>
        <v>FY2009</v>
      </c>
      <c r="W82" s="2" t="str">
        <f>+$W$6</f>
        <v>FY2010</v>
      </c>
      <c r="X82" s="2" t="str">
        <f>+$X$6</f>
        <v>FY2011</v>
      </c>
      <c r="Y82" s="2" t="str">
        <f>IF(ISBLANK(OperatingFunds!Y82),"",OperatingFunds!Y82)</f>
        <v/>
      </c>
      <c r="Z82" s="2" t="str">
        <f>IF(ISBLANK(OperatingFunds!Z82),"",OperatingFunds!Z82)</f>
        <v/>
      </c>
      <c r="AA82" s="2" t="str">
        <f>IF(ISBLANK(OperatingFunds!AA82),"",OperatingFunds!AA82)</f>
        <v/>
      </c>
      <c r="AB82" s="2" t="str">
        <f>IF(ISBLANK(OperatingFunds!AB82),"",OperatingFunds!AB82)</f>
        <v/>
      </c>
      <c r="AC82" s="2" t="str">
        <f>IF(ISBLANK(OperatingFunds!AC82),"",OperatingFunds!AC82)</f>
        <v/>
      </c>
      <c r="AD82" s="2" t="str">
        <f>IF(ISBLANK(OperatingFunds!AD82),"",OperatingFunds!AD82)</f>
        <v/>
      </c>
    </row>
    <row r="83" spans="2:30">
      <c r="Y83"/>
      <c r="Z83"/>
    </row>
    <row r="84" spans="2:30">
      <c r="B84" s="1" t="str">
        <f>+$B$8</f>
        <v>University of Washington</v>
      </c>
      <c r="C84"/>
      <c r="D84"/>
      <c r="E84"/>
      <c r="F84"/>
      <c r="G84"/>
      <c r="H84"/>
      <c r="I84"/>
      <c r="J84"/>
      <c r="K84"/>
      <c r="L84"/>
      <c r="M84"/>
      <c r="N84"/>
      <c r="O84"/>
      <c r="P84"/>
      <c r="Q84" s="3"/>
      <c r="R84" s="3"/>
      <c r="S84" s="3"/>
      <c r="T84" s="3"/>
      <c r="U84" s="3"/>
      <c r="V84" s="3"/>
      <c r="W84" s="3">
        <f>+ConstantDollars!W84*1000/Enrollment!V$78</f>
        <v>1634.1628989265073</v>
      </c>
      <c r="X84" s="3"/>
      <c r="Y84"/>
      <c r="Z84"/>
    </row>
    <row r="85" spans="2:30">
      <c r="B85" s="1" t="str">
        <f>+$B$9</f>
        <v>Washington State University</v>
      </c>
      <c r="C85"/>
      <c r="D85"/>
      <c r="E85"/>
      <c r="F85"/>
      <c r="G85"/>
      <c r="H85"/>
      <c r="I85"/>
      <c r="J85"/>
      <c r="K85"/>
      <c r="L85"/>
      <c r="M85"/>
      <c r="N85"/>
      <c r="O85"/>
      <c r="P85"/>
      <c r="Q85" s="3"/>
      <c r="R85" s="3"/>
      <c r="S85" s="3"/>
      <c r="T85" s="3"/>
      <c r="U85" s="3"/>
      <c r="V85" s="3"/>
      <c r="W85" s="3">
        <f>+ConstantDollars!W85*1000/Enrollment!V$83</f>
        <v>962.77677817922358</v>
      </c>
      <c r="X85" s="3"/>
      <c r="Y85"/>
      <c r="Z85"/>
    </row>
    <row r="86" spans="2:30">
      <c r="B86" s="1" t="str">
        <f>+$B$10</f>
        <v>Eastern Washington University</v>
      </c>
      <c r="C86"/>
      <c r="D86"/>
      <c r="E86"/>
      <c r="F86"/>
      <c r="G86"/>
      <c r="H86"/>
      <c r="I86"/>
      <c r="J86"/>
      <c r="K86"/>
      <c r="L86"/>
      <c r="M86"/>
      <c r="N86"/>
      <c r="O86"/>
      <c r="P86"/>
      <c r="Q86" s="3"/>
      <c r="R86" s="3"/>
      <c r="S86" s="3"/>
      <c r="T86" s="3"/>
      <c r="U86" s="3"/>
      <c r="V86" s="3"/>
      <c r="W86" s="3">
        <f>+ConstantDollars!W86*1000/Enrollment!V$91</f>
        <v>884.75509601685724</v>
      </c>
      <c r="X86" s="3"/>
      <c r="Y86"/>
      <c r="Z86"/>
    </row>
    <row r="87" spans="2:30">
      <c r="B87" s="1" t="str">
        <f>+$B$11</f>
        <v>Central Washington University</v>
      </c>
      <c r="C87"/>
      <c r="D87"/>
      <c r="E87"/>
      <c r="F87"/>
      <c r="G87"/>
      <c r="H87"/>
      <c r="I87"/>
      <c r="J87"/>
      <c r="K87"/>
      <c r="L87"/>
      <c r="M87"/>
      <c r="N87"/>
      <c r="O87"/>
      <c r="P87"/>
      <c r="Q87" s="3"/>
      <c r="R87" s="3"/>
      <c r="S87" s="3"/>
      <c r="T87" s="3"/>
      <c r="U87" s="3"/>
      <c r="V87" s="3"/>
      <c r="W87" s="3">
        <f>+ConstantDollars!W87*1000/Enrollment!V$92</f>
        <v>1118.6157573213177</v>
      </c>
      <c r="X87" s="3"/>
      <c r="Y87"/>
      <c r="Z87"/>
    </row>
    <row r="88" spans="2:30">
      <c r="B88" s="1" t="str">
        <f>+$B$12</f>
        <v>The Evergreen State College</v>
      </c>
      <c r="C88"/>
      <c r="D88"/>
      <c r="E88"/>
      <c r="F88"/>
      <c r="G88"/>
      <c r="H88"/>
      <c r="I88"/>
      <c r="J88"/>
      <c r="K88"/>
      <c r="L88"/>
      <c r="M88"/>
      <c r="N88"/>
      <c r="O88"/>
      <c r="P88"/>
      <c r="Q88" s="3"/>
      <c r="R88" s="3"/>
      <c r="S88" s="3"/>
      <c r="T88" s="3"/>
      <c r="U88" s="3"/>
      <c r="V88" s="3"/>
      <c r="W88" s="3">
        <f>+ConstantDollars!W88*1000/Enrollment!V$93</f>
        <v>762.76741998108037</v>
      </c>
      <c r="X88" s="3"/>
      <c r="Y88"/>
      <c r="Z88"/>
    </row>
    <row r="89" spans="2:30">
      <c r="B89" s="1" t="str">
        <f>+$B$13</f>
        <v>Western Washington University</v>
      </c>
      <c r="C89" s="41"/>
      <c r="D89" s="41"/>
      <c r="E89" s="41"/>
      <c r="F89" s="41"/>
      <c r="G89" s="41"/>
      <c r="H89" s="41"/>
      <c r="I89" s="41"/>
      <c r="J89" s="41"/>
      <c r="K89" s="41"/>
      <c r="L89" s="41"/>
      <c r="M89" s="41"/>
      <c r="N89" s="41"/>
      <c r="O89" s="41"/>
      <c r="P89" s="41"/>
      <c r="Q89" s="41"/>
      <c r="R89" s="41"/>
      <c r="S89" s="3"/>
      <c r="T89" s="3"/>
      <c r="U89" s="3"/>
      <c r="V89" s="3"/>
      <c r="W89" s="3">
        <f>+ConstantDollars!W89*1000/Enrollment!V$94</f>
        <v>1061.0876177676857</v>
      </c>
      <c r="X89" s="3"/>
      <c r="Y89"/>
      <c r="Z89"/>
    </row>
    <row r="90" spans="2:30">
      <c r="B90" s="199" t="str">
        <f>+$B$14</f>
        <v>Total Four-Year Institutions</v>
      </c>
      <c r="C90" s="42"/>
      <c r="D90" s="42"/>
      <c r="E90" s="42"/>
      <c r="F90" s="42"/>
      <c r="G90" s="42"/>
      <c r="H90" s="42"/>
      <c r="I90" s="42"/>
      <c r="J90" s="42"/>
      <c r="K90" s="42"/>
      <c r="L90" s="42"/>
      <c r="M90" s="42"/>
      <c r="N90" s="42"/>
      <c r="O90" s="42"/>
      <c r="P90" s="42"/>
      <c r="Q90" s="42"/>
      <c r="R90" s="42"/>
      <c r="S90" s="42"/>
      <c r="T90" s="42"/>
      <c r="U90" s="42"/>
      <c r="V90" s="42"/>
      <c r="W90" s="42">
        <f>+ConstantDollars!W90*1000/Enrollment!V$101</f>
        <v>1241.6653713384414</v>
      </c>
      <c r="X90" s="42"/>
      <c r="Y90"/>
      <c r="Z90"/>
    </row>
    <row r="91" spans="2:30">
      <c r="C91"/>
      <c r="D91"/>
      <c r="E91"/>
      <c r="F91"/>
      <c r="G91"/>
      <c r="H91"/>
      <c r="I91"/>
      <c r="J91"/>
      <c r="K91"/>
      <c r="L91"/>
      <c r="M91"/>
      <c r="N91"/>
      <c r="O91"/>
      <c r="P91"/>
      <c r="Q91" s="3"/>
      <c r="R91" s="3"/>
      <c r="Y91"/>
      <c r="Z91"/>
    </row>
    <row r="92" spans="2:30">
      <c r="B92" s="1" t="str">
        <f>+$B$16</f>
        <v>Community/Technical College System</v>
      </c>
      <c r="C92"/>
      <c r="D92"/>
      <c r="E92"/>
      <c r="F92"/>
      <c r="G92"/>
      <c r="H92"/>
      <c r="I92"/>
      <c r="J92"/>
      <c r="K92"/>
      <c r="L92"/>
      <c r="M92"/>
      <c r="N92"/>
      <c r="O92"/>
      <c r="P92"/>
      <c r="Q92" s="3"/>
      <c r="R92" s="3"/>
      <c r="S92" s="3"/>
      <c r="T92" s="3"/>
      <c r="U92" s="3"/>
      <c r="V92" s="3"/>
      <c r="W92" s="3">
        <f>+ConstantDollars!W92*1000/Enrollment!V$103</f>
        <v>167.4980612077338</v>
      </c>
      <c r="X92" s="3"/>
      <c r="Y92"/>
      <c r="Z92"/>
    </row>
    <row r="93" spans="2:30" hidden="1">
      <c r="B93" s="1" t="str">
        <f>+$B$17</f>
        <v>HEC Board, CHE, SFA, &amp; SAC (1)</v>
      </c>
      <c r="C93"/>
      <c r="D93"/>
      <c r="E93"/>
      <c r="F93"/>
      <c r="G93"/>
      <c r="H93"/>
      <c r="I93"/>
      <c r="J93"/>
      <c r="K93"/>
      <c r="L93"/>
      <c r="M93"/>
      <c r="N93"/>
      <c r="O93"/>
      <c r="P93"/>
      <c r="Q93" s="3"/>
      <c r="R93" s="3"/>
      <c r="S93" s="3"/>
      <c r="T93" s="3"/>
      <c r="U93" s="3"/>
      <c r="V93" s="3"/>
      <c r="W93" s="3"/>
      <c r="X93" s="3"/>
      <c r="Y93"/>
      <c r="Z93"/>
    </row>
    <row r="94" spans="2:30" ht="13.5" thickBot="1">
      <c r="C94"/>
      <c r="D94"/>
      <c r="E94"/>
      <c r="F94"/>
      <c r="G94"/>
      <c r="H94"/>
      <c r="I94"/>
      <c r="J94"/>
      <c r="K94"/>
      <c r="L94"/>
      <c r="M94"/>
      <c r="N94"/>
      <c r="O94"/>
      <c r="P94"/>
      <c r="Y94"/>
      <c r="Z94"/>
    </row>
    <row r="95" spans="2:30" ht="13.5" thickTop="1">
      <c r="B95" s="1" t="str">
        <f>+$B$19</f>
        <v>Total Higher Education</v>
      </c>
      <c r="C95" s="38"/>
      <c r="D95" s="38"/>
      <c r="E95" s="38"/>
      <c r="F95" s="38"/>
      <c r="G95" s="38"/>
      <c r="H95" s="38"/>
      <c r="I95" s="38"/>
      <c r="J95" s="38"/>
      <c r="K95" s="38"/>
      <c r="L95" s="38"/>
      <c r="M95" s="38"/>
      <c r="N95" s="38"/>
      <c r="O95" s="38"/>
      <c r="P95" s="38"/>
      <c r="Q95" s="39"/>
      <c r="R95" s="39"/>
      <c r="S95" s="39"/>
      <c r="T95" s="39"/>
      <c r="U95" s="39"/>
      <c r="V95" s="39"/>
      <c r="W95" s="39">
        <f>+ConstantDollars!W95*1000/Enrollment!V$112</f>
        <v>592.98133967418471</v>
      </c>
      <c r="X95" s="39">
        <f>+ConstantDollars!X95*1000/Enrollment!W$112</f>
        <v>0</v>
      </c>
      <c r="Y95"/>
      <c r="Z95"/>
    </row>
    <row r="96" spans="2:30">
      <c r="B96" s="199" t="str">
        <f>+$B$20</f>
        <v>[biennial annual average]</v>
      </c>
      <c r="C96"/>
      <c r="D96"/>
      <c r="E96"/>
      <c r="F96"/>
      <c r="G96"/>
      <c r="H96"/>
      <c r="I96"/>
      <c r="J96"/>
      <c r="K96"/>
      <c r="L96"/>
      <c r="M96"/>
      <c r="N96"/>
      <c r="O96"/>
      <c r="P96"/>
      <c r="R96" s="3"/>
      <c r="T96" s="3"/>
      <c r="V96" s="3"/>
      <c r="X96" s="3">
        <f>AVERAGE(W95:X95)</f>
        <v>296.49066983709236</v>
      </c>
      <c r="Y96"/>
      <c r="Z96"/>
    </row>
    <row r="97" spans="2:30">
      <c r="C97"/>
      <c r="D97"/>
      <c r="E97"/>
      <c r="F97"/>
      <c r="G97"/>
      <c r="H97"/>
      <c r="I97"/>
      <c r="J97"/>
      <c r="K97"/>
      <c r="L97"/>
      <c r="M97"/>
      <c r="N97"/>
      <c r="O97"/>
      <c r="P97"/>
      <c r="R97" s="3"/>
      <c r="T97" s="3"/>
    </row>
    <row r="98" spans="2:30" ht="14.25">
      <c r="B98" s="2447" t="str">
        <f>+OperatingFunds!B98</f>
        <v>Education Legacy Trust Account-State (08A-1)</v>
      </c>
      <c r="C98" s="5"/>
      <c r="D98" s="5"/>
      <c r="E98" s="5"/>
      <c r="F98" s="5"/>
      <c r="G98" s="5"/>
      <c r="H98" s="5"/>
      <c r="I98" s="5"/>
      <c r="J98" s="6"/>
      <c r="K98" s="5"/>
      <c r="L98" s="5"/>
      <c r="M98" s="5"/>
      <c r="N98" s="5"/>
      <c r="O98" s="5"/>
      <c r="P98" s="5"/>
      <c r="Q98" s="5"/>
      <c r="R98" s="5"/>
      <c r="S98" s="5"/>
      <c r="T98" s="5"/>
      <c r="U98" s="5"/>
      <c r="V98" s="5"/>
      <c r="W98" s="5"/>
      <c r="X98" s="5"/>
      <c r="Y98" s="5"/>
      <c r="Z98" s="5"/>
      <c r="AA98" s="5"/>
      <c r="AB98" s="5"/>
      <c r="AC98" s="5"/>
      <c r="AD98" s="5"/>
    </row>
    <row r="99" spans="2:30" ht="13.5">
      <c r="B99" s="33" t="str">
        <f>+$B$4</f>
        <v>FY2024 Constant Dollar Expenditures per Budgeted State-Funded FTE Enrollment</v>
      </c>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2:30">
      <c r="I100" s="13"/>
      <c r="J100" s="13"/>
      <c r="K100" s="13"/>
      <c r="L100" s="13"/>
      <c r="M100" s="13"/>
      <c r="N100" s="13"/>
      <c r="O100" s="13"/>
      <c r="P100" s="13"/>
      <c r="Q100"/>
      <c r="R100" s="13"/>
      <c r="S100"/>
      <c r="T100"/>
      <c r="U100" s="2"/>
      <c r="V100" s="2"/>
      <c r="W100" s="2"/>
      <c r="X100" s="2"/>
      <c r="Y100" s="2"/>
      <c r="Z100" s="2"/>
      <c r="AA100" s="2"/>
      <c r="AB100" s="2"/>
      <c r="AC100" s="5"/>
      <c r="AD100" s="2" t="str">
        <f>TRIM(OperatingFunds!AD100)</f>
        <v/>
      </c>
    </row>
    <row r="101" spans="2:30">
      <c r="C101" s="2" t="str">
        <f>+OperatingFunds!C101</f>
        <v>FY1990</v>
      </c>
      <c r="D101" s="2" t="str">
        <f>+OperatingFunds!D101</f>
        <v>FY1991</v>
      </c>
      <c r="E101" s="2" t="str">
        <f>+OperatingFunds!E101</f>
        <v>FY1992</v>
      </c>
      <c r="F101" s="2" t="str">
        <f>+OperatingFunds!F101</f>
        <v>FY1993</v>
      </c>
      <c r="G101" s="2" t="str">
        <f>+OperatingFunds!G101</f>
        <v>FY1994</v>
      </c>
      <c r="H101" s="2" t="str">
        <f>+OperatingFunds!H101</f>
        <v>FY1995</v>
      </c>
      <c r="I101" s="2" t="str">
        <f>+OperatingFunds!I101</f>
        <v>FY1996</v>
      </c>
      <c r="J101" s="2" t="str">
        <f>+OperatingFunds!J101</f>
        <v>FY1997</v>
      </c>
      <c r="K101" s="2" t="str">
        <f>+OperatingFunds!K101</f>
        <v>FY1998</v>
      </c>
      <c r="L101" s="2" t="str">
        <f>+OperatingFunds!L101</f>
        <v>FY1999</v>
      </c>
      <c r="M101" s="2" t="str">
        <f>+OperatingFunds!M101</f>
        <v>FY2000</v>
      </c>
      <c r="N101" s="2" t="str">
        <f>+OperatingFunds!N101</f>
        <v>FY2001</v>
      </c>
      <c r="O101" s="2" t="str">
        <f>+OperatingFunds!O101</f>
        <v>FY2002</v>
      </c>
      <c r="P101" s="2" t="str">
        <f>+OperatingFunds!P101</f>
        <v>FY2003</v>
      </c>
      <c r="Q101" s="2" t="str">
        <f>+OperatingFunds!Q101</f>
        <v>FY2004</v>
      </c>
      <c r="R101" s="2" t="str">
        <f>+OperatingFunds!R101</f>
        <v>FY2005</v>
      </c>
      <c r="S101" s="2" t="str">
        <f>+OperatingFunds!S101</f>
        <v>FY2006</v>
      </c>
      <c r="T101" s="2" t="str">
        <f>+OperatingFunds!T101</f>
        <v>FY2007</v>
      </c>
      <c r="U101" s="2" t="str">
        <f>+OperatingFunds!U101</f>
        <v>FY2008</v>
      </c>
      <c r="V101" s="2" t="str">
        <f>+OperatingFunds!V101</f>
        <v>FY2009</v>
      </c>
      <c r="W101" s="2" t="str">
        <f>+$W$6</f>
        <v>FY2010</v>
      </c>
      <c r="X101" s="2" t="str">
        <f>+$X$6</f>
        <v>FY2011</v>
      </c>
      <c r="Y101" s="2" t="str">
        <f>IF(ISBLANK(OperatingFunds!Y101),"",OperatingFunds!Y101)</f>
        <v>FY2012</v>
      </c>
      <c r="Z101" s="2" t="str">
        <f>IF(ISBLANK(OperatingFunds!Z101),"",OperatingFunds!Z101)</f>
        <v>FY2013</v>
      </c>
      <c r="AA101" s="2" t="str">
        <f>IF(ISBLANK(OperatingFunds!AA101),"",OperatingFunds!AA101)</f>
        <v>FY2014</v>
      </c>
      <c r="AB101" s="2" t="str">
        <f>IF(ISBLANK(OperatingFunds!AB101),"",OperatingFunds!AB101)</f>
        <v>FY2015</v>
      </c>
      <c r="AC101" s="2" t="str">
        <f>IF(ISBLANK(OperatingFunds!AC101),"",OperatingFunds!AC101)</f>
        <v>FY2016</v>
      </c>
      <c r="AD101" s="2" t="str">
        <f>IF(ISBLANK(OperatingFunds!AD101),"",OperatingFunds!AD101)</f>
        <v>FY2017</v>
      </c>
    </row>
    <row r="103" spans="2:30">
      <c r="B103" s="1" t="str">
        <f>+$B$8</f>
        <v>University of Washington</v>
      </c>
      <c r="C103"/>
      <c r="D103"/>
      <c r="E103"/>
      <c r="F103"/>
      <c r="G103"/>
      <c r="H103"/>
      <c r="I103"/>
      <c r="J103"/>
      <c r="K103"/>
      <c r="L103"/>
      <c r="M103"/>
      <c r="N103"/>
      <c r="O103"/>
      <c r="P103"/>
      <c r="Q103" s="3"/>
      <c r="R103" s="3"/>
      <c r="S103" s="3">
        <f>+ConstantDollars!S103*1000/Enrollment!R$78</f>
        <v>124.17244287790759</v>
      </c>
      <c r="T103" s="3">
        <f>+ConstantDollars!T103*1000/Enrollment!S$78</f>
        <v>298.81467392899145</v>
      </c>
      <c r="U103" s="3">
        <f>+ConstantDollars!U103*1000/Enrollment!T$78</f>
        <v>586.02068747819999</v>
      </c>
      <c r="V103" s="3">
        <f>+ConstantDollars!V103*1000/Enrollment!U$78</f>
        <v>969.50856301949932</v>
      </c>
      <c r="W103" s="3">
        <f>+ConstantDollars!W103*1000/Enrollment!V$78</f>
        <v>979.10035187325354</v>
      </c>
      <c r="X103" s="3">
        <f>+ConstantDollars!X103*1000/Enrollment!W$78</f>
        <v>1011.4993620965431</v>
      </c>
      <c r="Y103" s="3">
        <f>+ConstantDollars!Y103*1000/Enrollment!X$78</f>
        <v>375.71690387790488</v>
      </c>
      <c r="Z103" s="3">
        <f>+ConstantDollars!Z103*1000/Enrollment!Y$78</f>
        <v>271.01013261393507</v>
      </c>
      <c r="AA103" s="3">
        <f>+ConstantDollars!AA103*1000/Enrollment!Z$78</f>
        <v>238.23019282825061</v>
      </c>
      <c r="AB103" s="3">
        <f>+ConstantDollars!AB103*1000/Enrollment!AA$78</f>
        <v>236.50115927920606</v>
      </c>
      <c r="AC103" s="3">
        <f>+ConstantDollars!AC103*1000/Enrollment!AB$78</f>
        <v>437.05541159783746</v>
      </c>
      <c r="AD103" s="3">
        <f>+ConstantDollars!AD103*1000/Enrollment!AC$78</f>
        <v>499.73463317566745</v>
      </c>
    </row>
    <row r="104" spans="2:30">
      <c r="B104" s="1" t="str">
        <f>+$B$9</f>
        <v>Washington State University</v>
      </c>
      <c r="C104"/>
      <c r="D104"/>
      <c r="E104"/>
      <c r="F104"/>
      <c r="G104"/>
      <c r="H104"/>
      <c r="I104"/>
      <c r="J104"/>
      <c r="K104"/>
      <c r="L104"/>
      <c r="M104"/>
      <c r="N104"/>
      <c r="O104"/>
      <c r="P104"/>
      <c r="Q104" s="3"/>
      <c r="R104" s="3"/>
      <c r="S104" s="3">
        <f>+ConstantDollars!S104*1000/Enrollment!R$83</f>
        <v>229.1467810179613</v>
      </c>
      <c r="T104" s="3">
        <f>+ConstantDollars!T104*1000/Enrollment!S$83</f>
        <v>528.40372750731365</v>
      </c>
      <c r="U104" s="3">
        <f>+ConstantDollars!U104*1000/Enrollment!T$83</f>
        <v>794.32248894552163</v>
      </c>
      <c r="V104" s="3">
        <f>+ConstantDollars!V104*1000/Enrollment!U$83</f>
        <v>1319.631371896824</v>
      </c>
      <c r="W104" s="3">
        <f>+ConstantDollars!W104*1000/Enrollment!V$83</f>
        <v>1080.4074433802994</v>
      </c>
      <c r="X104" s="3">
        <f>+ConstantDollars!X104*1000/Enrollment!W$83</f>
        <v>1003.0135445528769</v>
      </c>
      <c r="Y104" s="3">
        <f>+ConstantDollars!Y104*1000/Enrollment!X$83</f>
        <v>968.2183267319574</v>
      </c>
      <c r="Z104" s="3">
        <f>+ConstantDollars!Z104*1000/Enrollment!Y$83</f>
        <v>953.8366787843114</v>
      </c>
      <c r="AA104" s="3">
        <f>+ConstantDollars!AA104*1000/Enrollment!Z$83</f>
        <v>967.29139548771047</v>
      </c>
      <c r="AB104" s="3">
        <f>+ConstantDollars!AB104*1000/Enrollment!AA$83</f>
        <v>947.00715273405206</v>
      </c>
      <c r="AC104" s="3">
        <f>+ConstantDollars!AC104*1000/Enrollment!AB$83</f>
        <v>942.3410010909821</v>
      </c>
      <c r="AD104" s="3">
        <f>+ConstantDollars!AD104*1000/Enrollment!AC$83</f>
        <v>928.18590420342241</v>
      </c>
    </row>
    <row r="105" spans="2:30">
      <c r="B105" s="1" t="str">
        <f>+$B$10</f>
        <v>Eastern Washington University</v>
      </c>
      <c r="C105"/>
      <c r="D105"/>
      <c r="E105"/>
      <c r="F105"/>
      <c r="G105"/>
      <c r="H105"/>
      <c r="I105"/>
      <c r="J105"/>
      <c r="K105"/>
      <c r="L105"/>
      <c r="M105"/>
      <c r="N105"/>
      <c r="O105"/>
      <c r="P105"/>
      <c r="Q105" s="3"/>
      <c r="R105" s="3"/>
      <c r="S105" s="3">
        <f>+ConstantDollars!S105*1000/Enrollment!R$91</f>
        <v>365.57188193900703</v>
      </c>
      <c r="T105" s="3">
        <f>+ConstantDollars!T105*1000/Enrollment!S$91</f>
        <v>689.02478925986475</v>
      </c>
      <c r="U105" s="3">
        <f>+ConstantDollars!U105*1000/Enrollment!T$91</f>
        <v>1033.5583580800319</v>
      </c>
      <c r="V105" s="3">
        <f>+ConstantDollars!V105*1000/Enrollment!U$91</f>
        <v>1202.4280778998173</v>
      </c>
      <c r="W105" s="3">
        <f>+ConstantDollars!W105*1000/Enrollment!V$91</f>
        <v>1289.1596346525957</v>
      </c>
      <c r="X105" s="3">
        <f>+ConstantDollars!X105*1000/Enrollment!W$91</f>
        <v>1220.6479506912381</v>
      </c>
      <c r="Y105" s="3">
        <f>+ConstantDollars!Y105*1000/Enrollment!X$91</f>
        <v>1199.1923845216224</v>
      </c>
      <c r="Z105" s="3">
        <f>+ConstantDollars!Z105*1000/Enrollment!Y$91</f>
        <v>1180.7171862850005</v>
      </c>
      <c r="AA105" s="3">
        <f>+ConstantDollars!AA105*1000/Enrollment!Z$91</f>
        <v>1128.1949666732801</v>
      </c>
      <c r="AB105" s="3">
        <f>+ConstantDollars!AB105*1000/Enrollment!AA$91</f>
        <v>1028.1345409282064</v>
      </c>
      <c r="AC105" s="3">
        <f>+ConstantDollars!AC105*1000/Enrollment!AB$91</f>
        <v>1187.9544539919564</v>
      </c>
      <c r="AD105" s="3">
        <f>+ConstantDollars!AD105*1000/Enrollment!AC$91</f>
        <v>1185.6797126148226</v>
      </c>
    </row>
    <row r="106" spans="2:30">
      <c r="B106" s="1" t="str">
        <f>+$B$11</f>
        <v>Central Washington University</v>
      </c>
      <c r="C106"/>
      <c r="D106"/>
      <c r="E106"/>
      <c r="F106"/>
      <c r="G106"/>
      <c r="H106"/>
      <c r="I106"/>
      <c r="J106"/>
      <c r="K106"/>
      <c r="L106"/>
      <c r="M106"/>
      <c r="N106"/>
      <c r="O106"/>
      <c r="P106"/>
      <c r="Q106" s="3"/>
      <c r="R106" s="3"/>
      <c r="S106" s="3">
        <f>+ConstantDollars!S106*1000/Enrollment!R$92</f>
        <v>377.43111636451846</v>
      </c>
      <c r="T106" s="3">
        <f>+ConstantDollars!T106*1000/Enrollment!S$92</f>
        <v>709.15965999985622</v>
      </c>
      <c r="U106" s="3">
        <f>+ConstantDollars!U106*1000/Enrollment!T$92</f>
        <v>1034.6120731543483</v>
      </c>
      <c r="V106" s="3">
        <f>+ConstantDollars!V106*1000/Enrollment!U$92</f>
        <v>1404.297669866377</v>
      </c>
      <c r="W106" s="3">
        <f>+ConstantDollars!W106*1000/Enrollment!V$92</f>
        <v>1529.6569309434738</v>
      </c>
      <c r="X106" s="3">
        <f>+ConstantDollars!X106*1000/Enrollment!W$92</f>
        <v>1434.3040352972271</v>
      </c>
      <c r="Y106" s="3">
        <f>+ConstantDollars!Y106*1000/Enrollment!X$92</f>
        <v>1409.6199362718105</v>
      </c>
      <c r="Z106" s="3">
        <f>+ConstantDollars!Z106*1000/Enrollment!Y$92</f>
        <v>1388.7658302010529</v>
      </c>
      <c r="AA106" s="3">
        <f>+ConstantDollars!AA106*1000/Enrollment!Z$92</f>
        <v>1325.0652225767305</v>
      </c>
      <c r="AB106" s="3">
        <f>+ConstantDollars!AB106*1000/Enrollment!AA$92</f>
        <v>1315.4481282978404</v>
      </c>
      <c r="AC106" s="3">
        <f>+ConstantDollars!AC106*1000/Enrollment!AB$92</f>
        <v>1308.8895646212577</v>
      </c>
      <c r="AD106" s="3">
        <f>+ConstantDollars!AD106*1000/Enrollment!AC$92</f>
        <v>1297.9555518267834</v>
      </c>
    </row>
    <row r="107" spans="2:30">
      <c r="B107" s="1" t="str">
        <f>+$B$12</f>
        <v>The Evergreen State College</v>
      </c>
      <c r="C107"/>
      <c r="D107"/>
      <c r="E107"/>
      <c r="F107"/>
      <c r="G107"/>
      <c r="H107"/>
      <c r="I107"/>
      <c r="J107"/>
      <c r="K107"/>
      <c r="L107"/>
      <c r="M107"/>
      <c r="N107"/>
      <c r="O107"/>
      <c r="P107"/>
      <c r="Q107" s="3"/>
      <c r="R107" s="3"/>
      <c r="S107" s="3">
        <f>+ConstantDollars!S107*1000/Enrollment!R$93</f>
        <v>255.45143942961411</v>
      </c>
      <c r="T107" s="3">
        <f>+ConstantDollars!T107*1000/Enrollment!S$93</f>
        <v>486.62641601336804</v>
      </c>
      <c r="U107" s="3">
        <f>+ConstantDollars!U107*1000/Enrollment!T$93</f>
        <v>676.67248373829693</v>
      </c>
      <c r="V107" s="3">
        <f>+ConstantDollars!V107*1000/Enrollment!U$93</f>
        <v>876.98981999735588</v>
      </c>
      <c r="W107" s="3">
        <f>+ConstantDollars!W107*1000/Enrollment!V$93</f>
        <v>878.50431929350987</v>
      </c>
      <c r="X107" s="3">
        <f>+ConstantDollars!X107*1000/Enrollment!W$93</f>
        <v>852.05718355600357</v>
      </c>
      <c r="Y107" s="3">
        <f>+ConstantDollars!Y107*1000/Enrollment!X$93</f>
        <v>841.97087464124627</v>
      </c>
      <c r="Z107" s="3">
        <f>+ConstantDollars!Z107*1000/Enrollment!Y$93</f>
        <v>829.51464479059871</v>
      </c>
      <c r="AA107" s="3">
        <f>+ConstantDollars!AA107*1000/Enrollment!Z$93</f>
        <v>818.15376868739213</v>
      </c>
      <c r="AB107" s="3">
        <f>+ConstantDollars!AB107*1000/Enrollment!AA$93</f>
        <v>812.21575009477147</v>
      </c>
      <c r="AC107" s="3">
        <f>+ConstantDollars!AC107*1000/Enrollment!AB$93</f>
        <v>808.16620332699961</v>
      </c>
      <c r="AD107" s="3">
        <f>+ConstantDollars!AD107*1000/Enrollment!AC$93</f>
        <v>808.6352991648123</v>
      </c>
    </row>
    <row r="108" spans="2:30">
      <c r="B108" s="1" t="str">
        <f>+$B$13</f>
        <v>Western Washington University</v>
      </c>
      <c r="C108" s="41"/>
      <c r="D108" s="41"/>
      <c r="E108" s="41"/>
      <c r="F108" s="41"/>
      <c r="G108" s="41"/>
      <c r="H108" s="41"/>
      <c r="I108" s="41"/>
      <c r="J108" s="41"/>
      <c r="K108" s="41"/>
      <c r="L108" s="41"/>
      <c r="M108" s="41"/>
      <c r="N108" s="41"/>
      <c r="O108" s="41"/>
      <c r="P108" s="41"/>
      <c r="Q108" s="41"/>
      <c r="R108" s="41"/>
      <c r="S108" s="3">
        <f>+ConstantDollars!S108*1000/Enrollment!R$94</f>
        <v>146.89741861909755</v>
      </c>
      <c r="T108" s="3">
        <f>+ConstantDollars!T108*1000/Enrollment!S$94</f>
        <v>282.25955175499934</v>
      </c>
      <c r="U108" s="3">
        <f>+ConstantDollars!U108*1000/Enrollment!T$94</f>
        <v>589.250989200351</v>
      </c>
      <c r="V108" s="3">
        <f>+ConstantDollars!V108*1000/Enrollment!U$94</f>
        <v>759.24088353521643</v>
      </c>
      <c r="W108" s="3">
        <f>+ConstantDollars!W108*1000/Enrollment!V$94</f>
        <v>778.40957710858481</v>
      </c>
      <c r="X108" s="3">
        <f>+ConstantDollars!X108*1000/Enrollment!W$94</f>
        <v>725.40650080651289</v>
      </c>
      <c r="Y108" s="3">
        <f>+ConstantDollars!Y108*1000/Enrollment!X$94</f>
        <v>735.64201435373923</v>
      </c>
      <c r="Z108" s="3">
        <f>+ConstantDollars!Z108*1000/Enrollment!Y$94</f>
        <v>714.94563480225736</v>
      </c>
      <c r="AA108" s="3">
        <f>+ConstantDollars!AA108*1000/Enrollment!Z$94</f>
        <v>848.6455339544417</v>
      </c>
      <c r="AB108" s="3">
        <f>+ConstantDollars!AB108*1000/Enrollment!AA$94</f>
        <v>534.20494853213552</v>
      </c>
      <c r="AC108" s="3">
        <f>+ConstantDollars!AC108*1000/Enrollment!AB$94</f>
        <v>722.67816501397192</v>
      </c>
      <c r="AD108" s="3">
        <f>+ConstantDollars!AD108*1000/Enrollment!AC$94</f>
        <v>725.5723613976794</v>
      </c>
    </row>
    <row r="109" spans="2:30">
      <c r="B109" s="199" t="str">
        <f>+$B$14</f>
        <v>Total Four-Year Institutions</v>
      </c>
      <c r="C109" s="42"/>
      <c r="D109" s="42"/>
      <c r="E109" s="42"/>
      <c r="F109" s="42"/>
      <c r="G109" s="42"/>
      <c r="H109" s="42"/>
      <c r="I109" s="42"/>
      <c r="J109" s="42"/>
      <c r="K109" s="42"/>
      <c r="L109" s="42"/>
      <c r="M109" s="42"/>
      <c r="N109" s="42"/>
      <c r="O109" s="42"/>
      <c r="P109" s="42"/>
      <c r="Q109" s="42"/>
      <c r="R109" s="42"/>
      <c r="S109" s="42">
        <f>+ConstantDollars!S109*1000/Enrollment!R$101</f>
        <v>204.30302929152293</v>
      </c>
      <c r="T109" s="42">
        <f>+ConstantDollars!T109*1000/Enrollment!S$101</f>
        <v>435.74586382418664</v>
      </c>
      <c r="U109" s="42">
        <f>+ConstantDollars!U109*1000/Enrollment!T$101</f>
        <v>724.92199387041205</v>
      </c>
      <c r="V109" s="42">
        <f>+ConstantDollars!V109*1000/Enrollment!U$101</f>
        <v>1084.8287147299047</v>
      </c>
      <c r="W109" s="42">
        <f>+ConstantDollars!W109*1000/Enrollment!V$101</f>
        <v>1053.9826631867709</v>
      </c>
      <c r="X109" s="42">
        <f>+ConstantDollars!X109*1000/Enrollment!W$101</f>
        <v>1025.7597518705263</v>
      </c>
      <c r="Y109" s="42">
        <f>+ConstantDollars!Y109*1000/Enrollment!X$101</f>
        <v>759.61415072378657</v>
      </c>
      <c r="Z109" s="42">
        <f>+ConstantDollars!Z109*1000/Enrollment!Y$101</f>
        <v>707.39265433915364</v>
      </c>
      <c r="AA109" s="42">
        <f>+ConstantDollars!AA109*1000/Enrollment!Z$101</f>
        <v>704.91704061115365</v>
      </c>
      <c r="AB109" s="42">
        <f>+ConstantDollars!AB109*1000/Enrollment!AA$101</f>
        <v>650.11195262588456</v>
      </c>
      <c r="AC109" s="42">
        <f>+ConstantDollars!AC109*1000/Enrollment!AB$101</f>
        <v>766.49820526274857</v>
      </c>
      <c r="AD109" s="42">
        <f>+ConstantDollars!AD109*1000/Enrollment!AC$101</f>
        <v>787.10318119760109</v>
      </c>
    </row>
    <row r="110" spans="2:30">
      <c r="C110"/>
      <c r="D110"/>
      <c r="E110"/>
      <c r="F110"/>
      <c r="G110"/>
      <c r="H110"/>
      <c r="I110"/>
      <c r="J110"/>
      <c r="K110"/>
      <c r="L110"/>
      <c r="M110"/>
      <c r="N110"/>
      <c r="O110"/>
      <c r="P110"/>
      <c r="Q110" s="3"/>
      <c r="R110" s="3"/>
    </row>
    <row r="111" spans="2:30">
      <c r="B111" s="1" t="str">
        <f>+$B$16</f>
        <v>Community/Technical College System</v>
      </c>
      <c r="C111"/>
      <c r="D111"/>
      <c r="E111"/>
      <c r="F111"/>
      <c r="G111"/>
      <c r="H111"/>
      <c r="I111"/>
      <c r="J111"/>
      <c r="K111"/>
      <c r="L111"/>
      <c r="M111"/>
      <c r="N111"/>
      <c r="O111"/>
      <c r="P111"/>
      <c r="Q111" s="3"/>
      <c r="R111" s="3"/>
      <c r="S111" s="3">
        <f>+ConstantDollars!S111*1000/Enrollment!R$103</f>
        <v>196.38172851963031</v>
      </c>
      <c r="T111" s="3">
        <f>+ConstantDollars!T111*1000/Enrollment!S$103</f>
        <v>297.97601585496545</v>
      </c>
      <c r="U111" s="3">
        <f>+ConstantDollars!U111*1000/Enrollment!T$103</f>
        <v>567.63364845777994</v>
      </c>
      <c r="V111" s="3">
        <f>+ConstantDollars!V111*1000/Enrollment!U$103</f>
        <v>476.53576143269339</v>
      </c>
      <c r="W111" s="3">
        <f>+ConstantDollars!W111*1000/Enrollment!V$103</f>
        <v>463.36211307268735</v>
      </c>
      <c r="X111" s="3">
        <f>+ConstantDollars!X111*1000/Enrollment!W$103</f>
        <v>442.47377945804976</v>
      </c>
      <c r="Y111" s="3">
        <f>+ConstantDollars!Y111*1000/Enrollment!X$103</f>
        <v>442.37218905330684</v>
      </c>
      <c r="Z111" s="3">
        <f>+ConstantDollars!Z111*1000/Enrollment!Y$103</f>
        <v>439.97152194491014</v>
      </c>
      <c r="AA111" s="3">
        <f>+ConstantDollars!AA111*1000/Enrollment!Z$103</f>
        <v>424.78702313956836</v>
      </c>
      <c r="AB111" s="3">
        <f>+ConstantDollars!AB111*1000/Enrollment!AA$103</f>
        <v>424.9996132672677</v>
      </c>
      <c r="AC111" s="3">
        <f>+ConstantDollars!AC111*1000/Enrollment!AB$103</f>
        <v>421.04683141605074</v>
      </c>
      <c r="AD111" s="3">
        <f>+ConstantDollars!AD111*1000/Enrollment!AC$103</f>
        <v>428.2200486549504</v>
      </c>
    </row>
    <row r="112" spans="2:30">
      <c r="B112" s="1" t="str">
        <f>+$B$17</f>
        <v>HEC Board, CHE, SFA, &amp; SAC (1)</v>
      </c>
      <c r="C112"/>
      <c r="D112"/>
      <c r="E112"/>
      <c r="F112"/>
      <c r="G112"/>
      <c r="H112"/>
      <c r="I112"/>
      <c r="J112"/>
      <c r="K112"/>
      <c r="L112"/>
      <c r="M112"/>
      <c r="N112"/>
      <c r="O112"/>
      <c r="P112"/>
      <c r="Q112" s="3"/>
      <c r="R112" s="3"/>
      <c r="S112" s="3">
        <f>+ConstantDollars!S112*1000/Enrollment!R$112</f>
        <v>194.48216980532712</v>
      </c>
      <c r="T112" s="3">
        <f>+ConstantDollars!T112*1000/Enrollment!S$112</f>
        <v>213.6785567408935</v>
      </c>
      <c r="U112" s="3">
        <f>+ConstantDollars!U112*1000/Enrollment!T$112</f>
        <v>383.70064074597803</v>
      </c>
      <c r="V112" s="3">
        <f>+ConstantDollars!V112*1000/Enrollment!U$112</f>
        <v>251.28415573116325</v>
      </c>
      <c r="W112" s="3">
        <f>+ConstantDollars!W112*1000/Enrollment!V$112</f>
        <v>353.35832414520746</v>
      </c>
      <c r="X112" s="3">
        <f>+ConstantDollars!X112*1000/Enrollment!W$112</f>
        <v>-169.04132653291222</v>
      </c>
      <c r="Y112" s="3">
        <f>+ConstantDollars!Y112*1000/Enrollment!X$112</f>
        <v>0</v>
      </c>
      <c r="Z112" s="3">
        <f>+ConstantDollars!Z112*1000/Enrollment!Y$112</f>
        <v>0</v>
      </c>
      <c r="AA112" s="3">
        <f>+ConstantDollars!AA112*1000/Enrollment!Z$112</f>
        <v>281.80304795713022</v>
      </c>
      <c r="AB112" s="3">
        <f>+ConstantDollars!AB112*1000/Enrollment!AA$112</f>
        <v>144.03208209089178</v>
      </c>
      <c r="AC112" s="3">
        <f>+ConstantDollars!AC112*1000/Enrollment!AB$112</f>
        <v>11.012694064337817</v>
      </c>
      <c r="AD112" s="3">
        <f>+ConstantDollars!AD112*1000/Enrollment!AC$112</f>
        <v>203.58220974886291</v>
      </c>
    </row>
    <row r="113" spans="2:30" ht="13.5" thickBot="1">
      <c r="C113"/>
      <c r="D113"/>
      <c r="E113"/>
      <c r="F113"/>
      <c r="G113"/>
      <c r="H113"/>
      <c r="I113"/>
      <c r="J113"/>
      <c r="K113"/>
      <c r="L113"/>
      <c r="M113"/>
      <c r="N113"/>
      <c r="O113"/>
      <c r="P113"/>
    </row>
    <row r="114" spans="2:30" ht="13.5" thickTop="1">
      <c r="B114" s="1" t="str">
        <f>+$B$19</f>
        <v>Total Higher Education</v>
      </c>
      <c r="C114" s="38"/>
      <c r="D114" s="38"/>
      <c r="E114" s="38"/>
      <c r="F114" s="38"/>
      <c r="G114" s="38"/>
      <c r="H114" s="38"/>
      <c r="I114" s="38"/>
      <c r="J114" s="38"/>
      <c r="K114" s="38"/>
      <c r="L114" s="38"/>
      <c r="M114" s="38"/>
      <c r="N114" s="38"/>
      <c r="O114" s="38"/>
      <c r="P114" s="38"/>
      <c r="Q114" s="39"/>
      <c r="R114" s="39"/>
      <c r="S114" s="39">
        <f>+ConstantDollars!S114*1000/Enrollment!R$112</f>
        <v>394.07512075340429</v>
      </c>
      <c r="T114" s="39">
        <f>+ConstantDollars!T114*1000/Enrollment!S$112</f>
        <v>567.79661381894596</v>
      </c>
      <c r="U114" s="39">
        <f>+ConstantDollars!U114*1000/Enrollment!T$112</f>
        <v>1015.4211683345205</v>
      </c>
      <c r="V114" s="39">
        <f>+ConstantDollars!V114*1000/Enrollment!U$112</f>
        <v>975.55790216193748</v>
      </c>
      <c r="W114" s="39">
        <f>+ConstantDollars!W114*1000/Enrollment!V$112</f>
        <v>1050.668320031067</v>
      </c>
      <c r="X114" s="39">
        <f>+ConstantDollars!X114*1000/Enrollment!W$112</f>
        <v>503.13552371788683</v>
      </c>
      <c r="Y114" s="39">
        <f>+ConstantDollars!Y114*1000/Enrollment!X$112</f>
        <v>569.33648247859139</v>
      </c>
      <c r="Z114" s="39">
        <f>+ConstantDollars!Z114*1000/Enrollment!Y$112</f>
        <v>546.99688183942374</v>
      </c>
      <c r="AA114" s="39">
        <f>+ConstantDollars!AA114*1000/Enrollment!Z$112</f>
        <v>818.91637389363029</v>
      </c>
      <c r="AB114" s="39">
        <f>+ConstantDollars!AB114*1000/Enrollment!AA$112</f>
        <v>659.20932183672028</v>
      </c>
      <c r="AC114" s="39">
        <f>+ConstantDollars!AC114*1000/Enrollment!AB$112</f>
        <v>570.44369867147361</v>
      </c>
      <c r="AD114" s="39">
        <f>+ConstantDollars!AD114*1000/Enrollment!AC$112</f>
        <v>775.56705232002093</v>
      </c>
    </row>
    <row r="115" spans="2:30">
      <c r="B115" s="199" t="str">
        <f>+$B$20</f>
        <v>[biennial annual average]</v>
      </c>
      <c r="C115"/>
      <c r="D115"/>
      <c r="E115"/>
      <c r="F115"/>
      <c r="G115"/>
      <c r="H115"/>
      <c r="I115"/>
      <c r="J115"/>
      <c r="K115"/>
      <c r="L115"/>
      <c r="M115"/>
      <c r="N115"/>
      <c r="O115"/>
      <c r="P115"/>
      <c r="R115" s="3"/>
      <c r="T115" s="3">
        <f>AVERAGE(S114:T114)</f>
        <v>480.93586728617515</v>
      </c>
      <c r="V115" s="3">
        <f>AVERAGE(U114:V114)</f>
        <v>995.489535248229</v>
      </c>
      <c r="X115" s="3">
        <f>AVERAGE(W114:X114)</f>
        <v>776.9019218744769</v>
      </c>
      <c r="Z115" s="3">
        <f>AVERAGE(Y114:Z114)</f>
        <v>558.16668215900756</v>
      </c>
      <c r="AB115" s="3">
        <f>AVERAGE(AA114:AB114)</f>
        <v>739.06284786517529</v>
      </c>
      <c r="AD115" s="3">
        <f>AVERAGE(AC114:AD114)</f>
        <v>673.00537549574733</v>
      </c>
    </row>
    <row r="116" spans="2:30">
      <c r="D116" s="7"/>
      <c r="F116" s="7"/>
      <c r="H116" s="7"/>
      <c r="J116" s="7"/>
      <c r="L116" s="7"/>
      <c r="N116" s="7"/>
      <c r="P116" s="7"/>
      <c r="R116" s="7"/>
      <c r="T116" s="7"/>
    </row>
    <row r="117" spans="2:30" ht="25.5">
      <c r="B117" s="2400" t="str">
        <f>+OperatingFunds!B117</f>
        <v>Capital Budget Education Construction Account-State (253-1) and Higher Education Building Accounts (060 through 066) for Preventive Facility Maintenance and Repairs</v>
      </c>
      <c r="C117" s="2407"/>
      <c r="D117" s="2407"/>
      <c r="E117" s="2407"/>
      <c r="F117" s="2407"/>
      <c r="G117" s="2407"/>
      <c r="H117" s="2407"/>
      <c r="I117" s="2407"/>
      <c r="J117" s="2450"/>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row>
    <row r="118" spans="2:30" ht="13.5">
      <c r="B118" s="33" t="str">
        <f>+$B$4</f>
        <v>FY2024 Constant Dollar Expenditures per Budgeted State-Funded FTE Enrollment</v>
      </c>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2:30">
      <c r="I119" s="13"/>
      <c r="J119" s="13"/>
      <c r="K119" s="13"/>
      <c r="L119" s="13"/>
      <c r="M119" s="13"/>
      <c r="N119" s="13"/>
      <c r="O119" s="13"/>
      <c r="P119" s="13"/>
      <c r="Q119"/>
      <c r="R119" s="13"/>
      <c r="S119"/>
      <c r="T119"/>
      <c r="U119" s="2"/>
      <c r="V119" s="2"/>
      <c r="W119" s="2"/>
      <c r="X119" s="2"/>
      <c r="Y119" s="2"/>
      <c r="Z119" s="2"/>
      <c r="AA119" s="2"/>
      <c r="AB119" s="2"/>
      <c r="AC119" s="5"/>
      <c r="AD119" s="2" t="str">
        <f>TRIM(OperatingFunds!AD119)</f>
        <v/>
      </c>
    </row>
    <row r="120" spans="2:30">
      <c r="C120" s="2" t="str">
        <f>+OperatingFunds!C120</f>
        <v>FY1990</v>
      </c>
      <c r="D120" s="2" t="str">
        <f>+OperatingFunds!D120</f>
        <v>FY1991</v>
      </c>
      <c r="E120" s="2" t="str">
        <f>+OperatingFunds!E120</f>
        <v>FY1992</v>
      </c>
      <c r="F120" s="2" t="str">
        <f>+OperatingFunds!F120</f>
        <v>FY1993</v>
      </c>
      <c r="G120" s="2" t="str">
        <f>+OperatingFunds!G120</f>
        <v>FY1994</v>
      </c>
      <c r="H120" s="2" t="str">
        <f>+OperatingFunds!H120</f>
        <v>FY1995</v>
      </c>
      <c r="I120" s="2" t="str">
        <f>+OperatingFunds!I120</f>
        <v>FY1996</v>
      </c>
      <c r="J120" s="2" t="str">
        <f>+OperatingFunds!J120</f>
        <v>FY1997</v>
      </c>
      <c r="K120" s="2" t="str">
        <f>+OperatingFunds!K120</f>
        <v>FY1998</v>
      </c>
      <c r="L120" s="2" t="str">
        <f>+OperatingFunds!L120</f>
        <v>FY1999</v>
      </c>
      <c r="M120" s="2" t="str">
        <f>+OperatingFunds!M120</f>
        <v>FY2000</v>
      </c>
      <c r="N120" s="2" t="str">
        <f>+OperatingFunds!N120</f>
        <v>FY2001</v>
      </c>
      <c r="O120" s="2" t="str">
        <f>+OperatingFunds!O120</f>
        <v>FY2002</v>
      </c>
      <c r="P120" s="2" t="str">
        <f>+OperatingFunds!P120</f>
        <v>FY2003</v>
      </c>
      <c r="Q120" s="2" t="str">
        <f>+OperatingFunds!Q120</f>
        <v>FY2004</v>
      </c>
      <c r="R120" s="2" t="str">
        <f>+OperatingFunds!R120</f>
        <v>FY2005</v>
      </c>
      <c r="S120" s="2" t="str">
        <f>+OperatingFunds!S120</f>
        <v>FY2006</v>
      </c>
      <c r="T120" s="2" t="str">
        <f>+OperatingFunds!T120</f>
        <v>FY2007</v>
      </c>
      <c r="U120" s="2" t="str">
        <f>+OperatingFunds!U120</f>
        <v>FY2008</v>
      </c>
      <c r="V120" s="2" t="str">
        <f>+OperatingFunds!V120</f>
        <v>FY2009</v>
      </c>
      <c r="W120" s="2" t="str">
        <f>+$W$6</f>
        <v>FY2010</v>
      </c>
      <c r="X120" s="2" t="str">
        <f>+$X$6</f>
        <v>FY2011</v>
      </c>
      <c r="Y120" s="2" t="str">
        <f>IF(ISBLANK(OperatingFunds!Y120),"",OperatingFunds!Y120)</f>
        <v>FY2012</v>
      </c>
      <c r="Z120" s="2" t="str">
        <f>IF(ISBLANK(OperatingFunds!Z120),"",OperatingFunds!Z120)</f>
        <v>FY2013</v>
      </c>
      <c r="AA120" s="2" t="str">
        <f>IF(ISBLANK(OperatingFunds!AA120),"",OperatingFunds!AA120)</f>
        <v>FY2014</v>
      </c>
      <c r="AB120" s="2" t="str">
        <f>IF(ISBLANK(OperatingFunds!AB120),"",OperatingFunds!AB120)</f>
        <v>FY2015</v>
      </c>
      <c r="AC120" s="2" t="str">
        <f>IF(ISBLANK(OperatingFunds!AC120),"",OperatingFunds!AC120)</f>
        <v>FY2016</v>
      </c>
      <c r="AD120" s="2" t="str">
        <f>IF(ISBLANK(OperatingFunds!AD120),"",OperatingFunds!AD120)</f>
        <v>FY2017</v>
      </c>
    </row>
    <row r="121" spans="2:30">
      <c r="AA121"/>
      <c r="AC121"/>
    </row>
    <row r="122" spans="2:30">
      <c r="B122" s="1" t="str">
        <f>+$B$8</f>
        <v>University of Washington</v>
      </c>
      <c r="C122"/>
      <c r="D122"/>
      <c r="E122"/>
      <c r="F122"/>
      <c r="G122"/>
      <c r="H122"/>
      <c r="I122"/>
      <c r="J122"/>
      <c r="K122"/>
      <c r="L122"/>
      <c r="M122"/>
      <c r="N122"/>
      <c r="O122"/>
      <c r="P122"/>
      <c r="Q122" s="3">
        <f>+ConstantDollars!Q122*1000/Enrollment!P$78</f>
        <v>475.27972327935072</v>
      </c>
      <c r="R122" s="3">
        <f>+ConstantDollars!R122*1000/Enrollment!Q$78</f>
        <v>394.1419765969012</v>
      </c>
      <c r="S122" s="3">
        <f>+ConstantDollars!S122*1000/Enrollment!R$78</f>
        <v>520.57938619168192</v>
      </c>
      <c r="T122" s="3">
        <f>+ConstantDollars!T122*1000/Enrollment!S$78</f>
        <v>505.42696774241324</v>
      </c>
      <c r="U122" s="3">
        <f>+ConstantDollars!U122*1000/Enrollment!T$78</f>
        <v>421.32090924422118</v>
      </c>
      <c r="V122" s="3">
        <f>+ConstantDollars!V122*1000/Enrollment!U$78</f>
        <v>512.36741510201659</v>
      </c>
      <c r="W122" s="3">
        <f>+ConstantDollars!W122*1000/Enrollment!V$78</f>
        <v>270.16375026561093</v>
      </c>
      <c r="X122" s="3">
        <f>+ConstantDollars!X122*1000/Enrollment!W$78</f>
        <v>483.39873846924064</v>
      </c>
      <c r="Y122" s="3">
        <f>+ConstantDollars!Y122*1000/Enrollment!X$78</f>
        <v>414.57174420510103</v>
      </c>
      <c r="Z122" s="3">
        <f>+ConstantDollars!Z122*1000/Enrollment!Y$78</f>
        <v>482.79243879325787</v>
      </c>
      <c r="AA122" s="3">
        <f>+ConstantDollars!AA122*1000/Enrollment!Z$78</f>
        <v>503.49733004215568</v>
      </c>
      <c r="AB122" s="3">
        <f>+ConstantDollars!AB122*1000/Enrollment!AA$78</f>
        <v>372.8019784374556</v>
      </c>
      <c r="AC122" s="3">
        <f>+ConstantDollars!AC122*1000/Enrollment!AB$78</f>
        <v>434.16389952787716</v>
      </c>
      <c r="AD122" s="3">
        <f>+ConstantDollars!AD122*1000/Enrollment!AC$78</f>
        <v>427.63427553610035</v>
      </c>
    </row>
    <row r="123" spans="2:30">
      <c r="B123" s="1" t="str">
        <f>+$B$9</f>
        <v>Washington State University</v>
      </c>
      <c r="C123"/>
      <c r="D123"/>
      <c r="E123"/>
      <c r="F123"/>
      <c r="G123"/>
      <c r="H123"/>
      <c r="I123"/>
      <c r="J123"/>
      <c r="K123"/>
      <c r="L123"/>
      <c r="M123"/>
      <c r="N123"/>
      <c r="O123"/>
      <c r="P123"/>
      <c r="Q123" s="3">
        <f>+ConstantDollars!Q123*1000/Enrollment!P$83</f>
        <v>306.70302051027244</v>
      </c>
      <c r="R123" s="3">
        <f>+ConstantDollars!R123*1000/Enrollment!Q$83</f>
        <v>291.64995425962161</v>
      </c>
      <c r="S123" s="3">
        <f>+ConstantDollars!S123*1000/Enrollment!R$83</f>
        <v>356.77194322901175</v>
      </c>
      <c r="T123" s="3">
        <f>+ConstantDollars!T123*1000/Enrollment!S$83</f>
        <v>337.71367876320352</v>
      </c>
      <c r="U123" s="3">
        <f>+ConstantDollars!U123*1000/Enrollment!T$83</f>
        <v>321.58264563265578</v>
      </c>
      <c r="V123" s="3">
        <f>+ConstantDollars!V123*1000/Enrollment!U$83</f>
        <v>312.00371518974134</v>
      </c>
      <c r="W123" s="3">
        <f>+ConstantDollars!W123*1000/Enrollment!V$83</f>
        <v>866.02296170610225</v>
      </c>
      <c r="X123" s="3">
        <f>+ConstantDollars!X123*1000/Enrollment!W$83</f>
        <v>850.30808855856958</v>
      </c>
      <c r="Y123" s="3">
        <f>+ConstantDollars!Y123*1000/Enrollment!X$83</f>
        <v>296.15194328213323</v>
      </c>
      <c r="Z123" s="3">
        <f>+ConstantDollars!Z123*1000/Enrollment!Y$83</f>
        <v>291.82832816906893</v>
      </c>
      <c r="AA123" s="3">
        <f>+ConstantDollars!AA123*1000/Enrollment!Z$83</f>
        <v>287.77459624552012</v>
      </c>
      <c r="AB123" s="3">
        <f>+ConstantDollars!AB123*1000/Enrollment!AA$83</f>
        <v>281.812212656871</v>
      </c>
      <c r="AC123" s="3">
        <f>+ConstantDollars!AC123*1000/Enrollment!AB$83</f>
        <v>280.3504127750553</v>
      </c>
      <c r="AD123" s="3">
        <f>+ConstantDollars!AD123*1000/Enrollment!AC$83</f>
        <v>276.21263148002248</v>
      </c>
    </row>
    <row r="124" spans="2:30">
      <c r="B124" s="1" t="str">
        <f>+$B$10</f>
        <v>Eastern Washington University</v>
      </c>
      <c r="C124"/>
      <c r="D124"/>
      <c r="E124"/>
      <c r="F124"/>
      <c r="G124"/>
      <c r="H124"/>
      <c r="I124"/>
      <c r="J124"/>
      <c r="K124"/>
      <c r="L124"/>
      <c r="M124"/>
      <c r="N124"/>
      <c r="O124"/>
      <c r="P124"/>
      <c r="Q124" s="3">
        <f>+ConstantDollars!Q124*1000/Enrollment!P$91</f>
        <v>8.0425172179602669</v>
      </c>
      <c r="R124" s="3">
        <f>+ConstantDollars!R124*1000/Enrollment!Q$91</f>
        <v>307.37086579377166</v>
      </c>
      <c r="S124" s="3">
        <f>+ConstantDollars!S124*1000/Enrollment!R$91</f>
        <v>130.26570664378804</v>
      </c>
      <c r="T124" s="3">
        <f>+ConstantDollars!T124*1000/Enrollment!S$91</f>
        <v>231.90312954936022</v>
      </c>
      <c r="U124" s="3">
        <f>+ConstantDollars!U124*1000/Enrollment!T$91</f>
        <v>186.93130169745535</v>
      </c>
      <c r="V124" s="3">
        <f>+ConstantDollars!V124*1000/Enrollment!U$91</f>
        <v>150.03591643745145</v>
      </c>
      <c r="W124" s="3">
        <f>+ConstantDollars!W124*1000/Enrollment!V$91</f>
        <v>177.60793624315215</v>
      </c>
      <c r="X124" s="3">
        <f>+ConstantDollars!X124*1000/Enrollment!W$91</f>
        <v>503.90851297766494</v>
      </c>
      <c r="Y124" s="3">
        <f>+ConstantDollars!Y124*1000/Enrollment!X$91</f>
        <v>165.21311934404901</v>
      </c>
      <c r="Z124" s="3">
        <f>+ConstantDollars!Z124*1000/Enrollment!Y$91</f>
        <v>162.76893433614265</v>
      </c>
      <c r="AA124" s="3">
        <f>+ConstantDollars!AA124*1000/Enrollment!Z$91</f>
        <v>160.53968171467662</v>
      </c>
      <c r="AB124" s="3">
        <f>+ConstantDollars!AB124*1000/Enrollment!AA$91</f>
        <v>159.37451246244112</v>
      </c>
      <c r="AC124" s="3">
        <f>+ConstantDollars!AC124*1000/Enrollment!AB$91</f>
        <v>158.5799027276112</v>
      </c>
      <c r="AD124" s="3">
        <f>+ConstantDollars!AD124*1000/Enrollment!AC$91</f>
        <v>156.20703130895305</v>
      </c>
    </row>
    <row r="125" spans="2:30">
      <c r="B125" s="1" t="str">
        <f>+$B$11</f>
        <v>Central Washington University</v>
      </c>
      <c r="C125"/>
      <c r="D125"/>
      <c r="E125"/>
      <c r="F125"/>
      <c r="G125"/>
      <c r="H125"/>
      <c r="I125"/>
      <c r="J125"/>
      <c r="K125"/>
      <c r="L125"/>
      <c r="M125"/>
      <c r="N125"/>
      <c r="O125"/>
      <c r="P125"/>
      <c r="Q125" s="3">
        <f>+ConstantDollars!Q125*1000/Enrollment!P$92</f>
        <v>158.69808586944012</v>
      </c>
      <c r="R125" s="3">
        <f>+ConstantDollars!R125*1000/Enrollment!Q$92</f>
        <v>204.95024121520208</v>
      </c>
      <c r="S125" s="3">
        <f>+ConstantDollars!S125*1000/Enrollment!R$92</f>
        <v>212.88732273750901</v>
      </c>
      <c r="T125" s="3">
        <f>+ConstantDollars!T125*1000/Enrollment!S$92</f>
        <v>199.0710125776138</v>
      </c>
      <c r="U125" s="3">
        <f>+ConstantDollars!U125*1000/Enrollment!T$92</f>
        <v>187.53408480615414</v>
      </c>
      <c r="V125" s="3">
        <f>+ConstantDollars!V125*1000/Enrollment!U$92</f>
        <v>178.29780648020363</v>
      </c>
      <c r="W125" s="3">
        <f>+ConstantDollars!W125*1000/Enrollment!V$92</f>
        <v>194.2141479736367</v>
      </c>
      <c r="X125" s="3">
        <f>+ConstantDollars!X125*1000/Enrollment!W$92</f>
        <v>483.85417750174241</v>
      </c>
      <c r="Y125" s="3">
        <f>+ConstantDollars!Y125*1000/Enrollment!X$92</f>
        <v>178.97355240356075</v>
      </c>
      <c r="Z125" s="3">
        <f>+ConstantDollars!Z125*1000/Enrollment!Y$92</f>
        <v>176.32579370659207</v>
      </c>
      <c r="AA125" s="3">
        <f>+ConstantDollars!AA125*1000/Enrollment!Z$92</f>
        <v>168.23799376603276</v>
      </c>
      <c r="AB125" s="3">
        <f>+ConstantDollars!AB125*1000/Enrollment!AA$92</f>
        <v>167.01695149598288</v>
      </c>
      <c r="AC125" s="3">
        <f>+ConstantDollars!AC125*1000/Enrollment!AB$92</f>
        <v>166.18423807468477</v>
      </c>
      <c r="AD125" s="3">
        <f>+ConstantDollars!AD125*1000/Enrollment!AC$92</f>
        <v>163.69758105209692</v>
      </c>
    </row>
    <row r="126" spans="2:30">
      <c r="B126" s="1" t="str">
        <f>+$B$12</f>
        <v>The Evergreen State College</v>
      </c>
      <c r="C126"/>
      <c r="D126"/>
      <c r="E126"/>
      <c r="F126"/>
      <c r="G126"/>
      <c r="H126"/>
      <c r="I126"/>
      <c r="J126"/>
      <c r="K126"/>
      <c r="L126"/>
      <c r="M126"/>
      <c r="N126"/>
      <c r="O126"/>
      <c r="P126"/>
      <c r="Q126" s="3">
        <f>+ConstantDollars!Q126*1000/Enrollment!P$93</f>
        <v>99.468209920410175</v>
      </c>
      <c r="R126" s="3">
        <f>+ConstantDollars!R126*1000/Enrollment!Q$93</f>
        <v>186.32279083412223</v>
      </c>
      <c r="S126" s="3">
        <f>+ConstantDollars!S126*1000/Enrollment!R$93</f>
        <v>72.380875423197651</v>
      </c>
      <c r="T126" s="3">
        <f>+ConstantDollars!T126*1000/Enrollment!S$93</f>
        <v>193.21648766912989</v>
      </c>
      <c r="U126" s="3">
        <f>+ConstantDollars!U126*1000/Enrollment!T$93</f>
        <v>179.74221190121659</v>
      </c>
      <c r="V126" s="3">
        <f>+ConstantDollars!V126*1000/Enrollment!U$93</f>
        <v>71.664637010258815</v>
      </c>
      <c r="W126" s="3">
        <f>+ConstantDollars!W126*1000/Enrollment!V$93</f>
        <v>244.68631015488941</v>
      </c>
      <c r="X126" s="3">
        <f>+ConstantDollars!X126*1000/Enrollment!W$93</f>
        <v>1021.1985359798349</v>
      </c>
      <c r="Y126" s="3">
        <f>+ConstantDollars!Y126*1000/Enrollment!X$93</f>
        <v>181.8242994044837</v>
      </c>
      <c r="Z126" s="3">
        <f>+ConstantDollars!Z126*1000/Enrollment!Y$93</f>
        <v>51.859319550788648</v>
      </c>
      <c r="AA126" s="3">
        <f>+ConstantDollars!AA126*1000/Enrollment!Z$93</f>
        <v>224.45119701641241</v>
      </c>
      <c r="AB126" s="3">
        <f>+ConstantDollars!AB126*1000/Enrollment!AA$93</f>
        <v>9.2428662056657021E-3</v>
      </c>
      <c r="AC126" s="3">
        <f>+ConstantDollars!AC126*1000/Enrollment!AB$93</f>
        <v>224.6937080741219</v>
      </c>
      <c r="AD126" s="3">
        <f>+ConstantDollars!AD126*1000/Enrollment!AC$93</f>
        <v>7.4117355550164978</v>
      </c>
    </row>
    <row r="127" spans="2:30">
      <c r="B127" s="1" t="str">
        <f>+$B$13</f>
        <v>Western Washington University</v>
      </c>
      <c r="C127" s="41"/>
      <c r="D127" s="41"/>
      <c r="E127" s="41"/>
      <c r="F127" s="41"/>
      <c r="G127" s="41"/>
      <c r="H127" s="41"/>
      <c r="I127" s="41"/>
      <c r="J127" s="41"/>
      <c r="K127" s="41"/>
      <c r="L127" s="41"/>
      <c r="M127" s="41"/>
      <c r="N127" s="41"/>
      <c r="O127" s="41"/>
      <c r="P127" s="41"/>
      <c r="Q127" s="3">
        <f>+ConstantDollars!Q127*1000/Enrollment!P$94</f>
        <v>193.87760263344177</v>
      </c>
      <c r="R127" s="3">
        <f>+ConstantDollars!R127*1000/Enrollment!Q$94</f>
        <v>186.49311790535219</v>
      </c>
      <c r="S127" s="3">
        <f>+ConstantDollars!S127*1000/Enrollment!R$94</f>
        <v>229.22593734430853</v>
      </c>
      <c r="T127" s="3">
        <f>+ConstantDollars!T127*1000/Enrollment!S$94</f>
        <v>220.13077687582381</v>
      </c>
      <c r="U127" s="3">
        <f>+ConstantDollars!U127*1000/Enrollment!T$94</f>
        <v>208.37114236497732</v>
      </c>
      <c r="V127" s="3">
        <f>+ConstantDollars!V127*1000/Enrollment!U$94</f>
        <v>203.70427268717685</v>
      </c>
      <c r="W127" s="3">
        <f>+ConstantDollars!W127*1000/Enrollment!V$94</f>
        <v>215.80026171144721</v>
      </c>
      <c r="X127" s="3">
        <f>+ConstantDollars!X127*1000/Enrollment!W$94</f>
        <v>454.27968211043367</v>
      </c>
      <c r="Y127" s="3">
        <f>+ConstantDollars!Y127*1000/Enrollment!X$94</f>
        <v>199.98572588193272</v>
      </c>
      <c r="Z127" s="3">
        <f>+ConstantDollars!Z127*1000/Enrollment!Y$94</f>
        <v>197.02711027721196</v>
      </c>
      <c r="AA127" s="3">
        <f>+ConstantDollars!AA127*1000/Enrollment!Z$94</f>
        <v>194.32866414019739</v>
      </c>
      <c r="AB127" s="3">
        <f>+ConstantDollars!AB127*1000/Enrollment!AA$94</f>
        <v>192.91822613198306</v>
      </c>
      <c r="AC127" s="3">
        <f>+ConstantDollars!AC127*1000/Enrollment!AB$94</f>
        <v>191.95640808176495</v>
      </c>
      <c r="AD127" s="3">
        <f>+ConstantDollars!AD127*1000/Enrollment!AC$94</f>
        <v>189.08411552431593</v>
      </c>
    </row>
    <row r="128" spans="2:30">
      <c r="B128" s="199" t="str">
        <f>+$B$14</f>
        <v>Total Four-Year Institutions</v>
      </c>
      <c r="C128" s="42"/>
      <c r="D128" s="42"/>
      <c r="E128" s="42"/>
      <c r="F128" s="42"/>
      <c r="G128" s="42"/>
      <c r="H128" s="42"/>
      <c r="I128" s="42"/>
      <c r="J128" s="42"/>
      <c r="K128" s="42"/>
      <c r="L128" s="42"/>
      <c r="M128" s="42"/>
      <c r="N128" s="42"/>
      <c r="O128" s="42"/>
      <c r="P128" s="42"/>
      <c r="Q128" s="42">
        <f>+ConstantDollars!Q128*1000/Enrollment!P$101</f>
        <v>309.8518150909207</v>
      </c>
      <c r="R128" s="42">
        <f>+ConstantDollars!R128*1000/Enrollment!Q$101</f>
        <v>308.53835712277299</v>
      </c>
      <c r="S128" s="42">
        <f>+ConstantDollars!S128*1000/Enrollment!R$101</f>
        <v>358.30812725505933</v>
      </c>
      <c r="T128" s="42">
        <f>+ConstantDollars!T128*1000/Enrollment!S$101</f>
        <v>359.94585127380935</v>
      </c>
      <c r="U128" s="42">
        <f>+ConstantDollars!U128*1000/Enrollment!T$101</f>
        <v>315.08728369714902</v>
      </c>
      <c r="V128" s="42">
        <f>+ConstantDollars!V128*1000/Enrollment!U$101</f>
        <v>339.74698799469684</v>
      </c>
      <c r="W128" s="42">
        <f>+ConstantDollars!W128*1000/Enrollment!V$101</f>
        <v>391.75233456351344</v>
      </c>
      <c r="X128" s="42">
        <f>+ConstantDollars!X128*1000/Enrollment!W$101</f>
        <v>593.91460674569123</v>
      </c>
      <c r="Y128" s="42">
        <f>+ConstantDollars!Y128*1000/Enrollment!X$101</f>
        <v>302.74154658487618</v>
      </c>
      <c r="Z128" s="42">
        <f>+ConstantDollars!Z128*1000/Enrollment!Y$101</f>
        <v>322.24601307527615</v>
      </c>
      <c r="AA128" s="42">
        <f>+ConstantDollars!AA128*1000/Enrollment!Z$101</f>
        <v>335.53161514908027</v>
      </c>
      <c r="AB128" s="42">
        <f>+ConstantDollars!AB128*1000/Enrollment!AA$101</f>
        <v>271.4819195278875</v>
      </c>
      <c r="AC128" s="42">
        <f>+ConstantDollars!AC128*1000/Enrollment!AB$101</f>
        <v>305.36076586870547</v>
      </c>
      <c r="AD128" s="42">
        <f>+ConstantDollars!AD128*1000/Enrollment!AC$101</f>
        <v>291.15466060045912</v>
      </c>
    </row>
    <row r="129" spans="2:30">
      <c r="C129"/>
      <c r="D129"/>
      <c r="E129"/>
      <c r="F129"/>
      <c r="G129"/>
      <c r="H129"/>
      <c r="I129"/>
      <c r="J129"/>
      <c r="K129"/>
      <c r="L129"/>
      <c r="M129"/>
      <c r="N129"/>
      <c r="O129"/>
      <c r="P129"/>
    </row>
    <row r="130" spans="2:30">
      <c r="B130" s="1" t="str">
        <f>+$B$16</f>
        <v>Community/Technical College System</v>
      </c>
      <c r="C130"/>
      <c r="D130"/>
      <c r="E130"/>
      <c r="F130"/>
      <c r="G130"/>
      <c r="H130"/>
      <c r="I130"/>
      <c r="J130"/>
      <c r="K130"/>
      <c r="L130"/>
      <c r="M130"/>
      <c r="N130"/>
      <c r="O130"/>
      <c r="P130"/>
      <c r="Q130" s="3">
        <f>+ConstantDollars!Q130*1000/Enrollment!P$103</f>
        <v>107.72014531116257</v>
      </c>
      <c r="R130" s="3">
        <f>+ConstantDollars!R130*1000/Enrollment!Q$103</f>
        <v>104.35400903758273</v>
      </c>
      <c r="S130" s="3">
        <f>+ConstantDollars!S130*1000/Enrollment!R$103</f>
        <v>129.14437559905491</v>
      </c>
      <c r="T130" s="3">
        <f>+ConstantDollars!T130*1000/Enrollment!S$103</f>
        <v>120.55680950672743</v>
      </c>
      <c r="U130" s="3">
        <f>+ConstantDollars!U130*1000/Enrollment!T$103</f>
        <v>116.06717674600641</v>
      </c>
      <c r="V130" s="3">
        <f>+ConstantDollars!V130*1000/Enrollment!U$103</f>
        <v>112.44009658309305</v>
      </c>
      <c r="W130" s="3">
        <f>+ConstantDollars!W130*1000/Enrollment!V$103</f>
        <v>0</v>
      </c>
      <c r="X130" s="3">
        <f>+ConstantDollars!X130*1000/Enrollment!W$103</f>
        <v>0</v>
      </c>
      <c r="Y130" s="3">
        <f>+ConstantDollars!Y130*1000/Enrollment!X$103</f>
        <v>94.848996789975502</v>
      </c>
      <c r="Z130" s="3">
        <f>+ConstantDollars!Z130*1000/Enrollment!Y$103</f>
        <v>116.55900157279214</v>
      </c>
      <c r="AA130" s="3">
        <f>+ConstantDollars!AA130*1000/Enrollment!Z$103</f>
        <v>103.54940999009459</v>
      </c>
      <c r="AB130" s="3">
        <f>+ConstantDollars!AB130*1000/Enrollment!AA$103</f>
        <v>102.29098440814802</v>
      </c>
      <c r="AC130" s="3">
        <f>+ConstantDollars!AC130*1000/Enrollment!AB$103</f>
        <v>97.731416268215611</v>
      </c>
      <c r="AD130" s="3">
        <f>+ConstantDollars!AD130*1000/Enrollment!AC$103</f>
        <v>102.41639157001075</v>
      </c>
    </row>
    <row r="131" spans="2:30" ht="12.75" hidden="1" customHeight="1">
      <c r="B131" s="1" t="str">
        <f>+$B$17</f>
        <v>HEC Board, CHE, SFA, &amp; SAC (1)</v>
      </c>
      <c r="C131"/>
      <c r="D131"/>
      <c r="E131"/>
      <c r="F131"/>
      <c r="G131"/>
      <c r="H131"/>
      <c r="I131"/>
      <c r="J131"/>
      <c r="K131"/>
      <c r="L131"/>
      <c r="M131"/>
      <c r="N131"/>
      <c r="O131"/>
      <c r="P131"/>
      <c r="Q131" s="3"/>
      <c r="R131" s="3"/>
      <c r="S131" s="3"/>
      <c r="T131" s="3"/>
      <c r="U131" s="3"/>
      <c r="V131" s="3"/>
      <c r="W131" s="3"/>
      <c r="X131" s="3"/>
      <c r="Y131" s="3"/>
      <c r="Z131" s="3"/>
      <c r="AA131" s="3"/>
      <c r="AB131" s="3"/>
      <c r="AC131" s="3"/>
      <c r="AD131" s="3"/>
    </row>
    <row r="132" spans="2:30" ht="13.5" thickBot="1">
      <c r="C132"/>
      <c r="D132"/>
      <c r="E132"/>
      <c r="F132"/>
      <c r="G132"/>
      <c r="H132"/>
      <c r="I132"/>
      <c r="J132"/>
      <c r="K132"/>
      <c r="L132"/>
      <c r="M132"/>
      <c r="N132"/>
      <c r="O132"/>
      <c r="P132"/>
    </row>
    <row r="133" spans="2:30" ht="13.5" thickTop="1">
      <c r="B133" s="1" t="str">
        <f>+$B$19</f>
        <v>Total Higher Education</v>
      </c>
      <c r="C133" s="38"/>
      <c r="D133" s="38"/>
      <c r="E133" s="38"/>
      <c r="F133" s="38"/>
      <c r="G133" s="38"/>
      <c r="H133" s="38"/>
      <c r="I133" s="38"/>
      <c r="J133" s="38"/>
      <c r="K133" s="38"/>
      <c r="L133" s="38"/>
      <c r="M133" s="38"/>
      <c r="N133" s="38"/>
      <c r="O133" s="38"/>
      <c r="P133" s="38"/>
      <c r="Q133" s="39">
        <f>+ConstantDollars!Q133*1000/Enrollment!P$112</f>
        <v>189.34386551036002</v>
      </c>
      <c r="R133" s="39">
        <f>+ConstantDollars!R133*1000/Enrollment!Q$112</f>
        <v>186.99848300738739</v>
      </c>
      <c r="S133" s="39">
        <f>+ConstantDollars!S133*1000/Enrollment!R$112</f>
        <v>222.04525138905134</v>
      </c>
      <c r="T133" s="39">
        <f>+ConstantDollars!T133*1000/Enrollment!S$112</f>
        <v>218.10928306571228</v>
      </c>
      <c r="U133" s="39">
        <f>+ConstantDollars!U133*1000/Enrollment!T$112</f>
        <v>197.1575938732818</v>
      </c>
      <c r="V133" s="39">
        <f>+ConstantDollars!V133*1000/Enrollment!U$112</f>
        <v>205.01481892575691</v>
      </c>
      <c r="W133" s="39">
        <f>+ConstantDollars!W133*1000/Enrollment!V$112</f>
        <v>155.17514458402863</v>
      </c>
      <c r="X133" s="39">
        <f>+ConstantDollars!X133*1000/Enrollment!W$112</f>
        <v>233.88871910274537</v>
      </c>
      <c r="Y133" s="39">
        <f>+ConstantDollars!Y133*1000/Enrollment!X$112</f>
        <v>178.05025602473856</v>
      </c>
      <c r="Z133" s="39">
        <f>+ConstantDollars!Z133*1000/Enrollment!Y$112</f>
        <v>198.87757615435052</v>
      </c>
      <c r="AA133" s="39">
        <f>+ConstantDollars!AA133*1000/Enrollment!Z$112</f>
        <v>196.56944281407183</v>
      </c>
      <c r="AB133" s="39">
        <f>+ConstantDollars!AB133*1000/Enrollment!AA$112</f>
        <v>170.06708675001306</v>
      </c>
      <c r="AC133" s="39">
        <f>+ConstantDollars!AC133*1000/Enrollment!AB$112</f>
        <v>180.90554162982821</v>
      </c>
      <c r="AD133" s="39">
        <f>+ConstantDollars!AD133*1000/Enrollment!AC$112</f>
        <v>178.02294950162235</v>
      </c>
    </row>
    <row r="134" spans="2:30">
      <c r="B134" s="199" t="str">
        <f>+$B$20</f>
        <v>[biennial annual average]</v>
      </c>
      <c r="C134"/>
      <c r="D134"/>
      <c r="E134"/>
      <c r="F134"/>
      <c r="G134"/>
      <c r="H134"/>
      <c r="I134"/>
      <c r="J134"/>
      <c r="K134"/>
      <c r="L134"/>
      <c r="M134"/>
      <c r="N134"/>
      <c r="O134"/>
      <c r="P134"/>
      <c r="R134" s="3">
        <f>AVERAGE(Q133:R133)</f>
        <v>188.17117425887369</v>
      </c>
      <c r="T134" s="3">
        <f>AVERAGE(S133:T133)</f>
        <v>220.07726722738181</v>
      </c>
      <c r="V134" s="3">
        <f>AVERAGE(U133:V133)</f>
        <v>201.08620639951937</v>
      </c>
      <c r="X134" s="3">
        <f>AVERAGE(W133:X133)</f>
        <v>194.53193184338699</v>
      </c>
      <c r="Z134" s="3">
        <f>AVERAGE(Y133:Z133)</f>
        <v>188.46391608954454</v>
      </c>
      <c r="AB134" s="3">
        <f>AVERAGE(AA133:AB133)</f>
        <v>183.31826478204243</v>
      </c>
      <c r="AD134" s="3">
        <f>AVERAGE(AC133:AD133)</f>
        <v>179.46424556572526</v>
      </c>
    </row>
    <row r="135" spans="2:30">
      <c r="D135" s="3"/>
      <c r="F135" s="3"/>
      <c r="H135" s="3"/>
      <c r="J135" s="3"/>
      <c r="L135" s="3"/>
      <c r="N135" s="3"/>
      <c r="P135" s="3"/>
      <c r="R135" s="3"/>
      <c r="T135" s="3"/>
      <c r="W135"/>
      <c r="X135"/>
      <c r="Y135"/>
      <c r="Z135"/>
      <c r="AA135"/>
      <c r="AC135"/>
    </row>
    <row r="136" spans="2:30" ht="50.1" customHeight="1">
      <c r="B136" s="2400" t="str">
        <f>+OperatingFunds!B136</f>
        <v>Other State Funds:  Aquatic Lands (02R-1); Economic Development Strategic Reserve (09R-1); Geoduck Aquaculture (12P-1); Biotoxin (15M-1); Aerospace Training (17R-1); Workforce Education Investment (24J-1); Dedicated Marijuana (315-1); Pension Funding Stablilization (489-1); Accident (608-1); Medical Aid (609-1); Health Professions (747-1), and capital funds appropriated in the 2023-25 Operating Budget</v>
      </c>
      <c r="C136" s="2400"/>
      <c r="D136" s="2400"/>
      <c r="E136" s="2400"/>
      <c r="F136" s="2400"/>
      <c r="G136" s="2400"/>
      <c r="H136" s="2400"/>
      <c r="I136" s="2400"/>
      <c r="J136" s="2400"/>
      <c r="K136" s="2400"/>
      <c r="L136" s="2400"/>
      <c r="M136" s="2400"/>
      <c r="N136" s="2400"/>
      <c r="O136" s="2400"/>
      <c r="P136" s="2400"/>
      <c r="Q136" s="2400"/>
      <c r="R136" s="2400"/>
      <c r="S136" s="2400"/>
      <c r="T136" s="2400"/>
      <c r="U136" s="2400"/>
      <c r="V136" s="2400"/>
      <c r="W136" s="2400"/>
      <c r="X136" s="2400"/>
      <c r="Y136" s="2400"/>
      <c r="Z136" s="2400"/>
      <c r="AA136" s="2400"/>
      <c r="AB136" s="2400"/>
      <c r="AC136" s="2400"/>
      <c r="AD136" s="2400"/>
    </row>
    <row r="137" spans="2:30" ht="13.5">
      <c r="B137" s="33" t="str">
        <f>+$B$4</f>
        <v>FY2024 Constant Dollar Expenditures per Budgeted State-Funded FTE Enrollment</v>
      </c>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2:30">
      <c r="I138" s="13"/>
      <c r="J138" s="13"/>
      <c r="K138" s="13"/>
      <c r="L138" s="13"/>
      <c r="M138" s="13"/>
      <c r="N138" s="13"/>
      <c r="O138" s="13"/>
      <c r="P138" s="13"/>
      <c r="Q138"/>
      <c r="R138" s="13"/>
      <c r="S138"/>
      <c r="T138"/>
      <c r="U138" s="2"/>
      <c r="V138" s="2"/>
      <c r="W138" s="2"/>
      <c r="X138" s="2"/>
      <c r="Y138" s="2"/>
      <c r="Z138" s="2"/>
      <c r="AA138" s="2"/>
      <c r="AB138" s="2"/>
      <c r="AC138" s="5"/>
      <c r="AD138" s="2" t="str">
        <f>TRIM(OperatingFunds!AD138)</f>
        <v/>
      </c>
    </row>
    <row r="139" spans="2:30">
      <c r="C139" s="2" t="str">
        <f>+OperatingFunds!C139</f>
        <v>FY1990</v>
      </c>
      <c r="D139" s="2" t="str">
        <f>+OperatingFunds!D139</f>
        <v>FY1991</v>
      </c>
      <c r="E139" s="2" t="str">
        <f>+OperatingFunds!E139</f>
        <v>FY1992</v>
      </c>
      <c r="F139" s="2" t="str">
        <f>+OperatingFunds!F139</f>
        <v>FY1993</v>
      </c>
      <c r="G139" s="2" t="str">
        <f>+OperatingFunds!G139</f>
        <v>FY1994</v>
      </c>
      <c r="H139" s="2" t="str">
        <f>+OperatingFunds!H139</f>
        <v>FY1995</v>
      </c>
      <c r="I139" s="2" t="str">
        <f>+OperatingFunds!I139</f>
        <v>FY1996</v>
      </c>
      <c r="J139" s="2" t="str">
        <f>+OperatingFunds!J139</f>
        <v>FY1997</v>
      </c>
      <c r="K139" s="2" t="str">
        <f>+OperatingFunds!K139</f>
        <v>FY1998</v>
      </c>
      <c r="L139" s="2" t="str">
        <f>+OperatingFunds!L139</f>
        <v>FY1999</v>
      </c>
      <c r="M139" s="2" t="str">
        <f>+OperatingFunds!M139</f>
        <v>FY2000</v>
      </c>
      <c r="N139" s="2" t="str">
        <f>+OperatingFunds!N139</f>
        <v>FY2001</v>
      </c>
      <c r="O139" s="2" t="str">
        <f>+OperatingFunds!O139</f>
        <v>FY2002</v>
      </c>
      <c r="P139" s="2" t="str">
        <f>+OperatingFunds!P139</f>
        <v>FY2003</v>
      </c>
      <c r="Q139" s="2" t="str">
        <f>+OperatingFunds!Q139</f>
        <v>FY2004</v>
      </c>
      <c r="R139" s="2" t="str">
        <f>+OperatingFunds!R139</f>
        <v>FY2005</v>
      </c>
      <c r="S139" s="2" t="str">
        <f>+OperatingFunds!S139</f>
        <v>FY2006</v>
      </c>
      <c r="T139" s="2" t="str">
        <f>+OperatingFunds!T139</f>
        <v>FY2007</v>
      </c>
      <c r="U139" s="2" t="str">
        <f>+OperatingFunds!U139</f>
        <v>FY2008</v>
      </c>
      <c r="V139" s="2" t="str">
        <f>+OperatingFunds!V139</f>
        <v>FY2009</v>
      </c>
      <c r="W139" s="2" t="str">
        <f>+$W$6</f>
        <v>FY2010</v>
      </c>
      <c r="X139" s="2" t="str">
        <f>+$X$6</f>
        <v>FY2011</v>
      </c>
      <c r="Y139" s="2" t="str">
        <f>IF(ISBLANK(OperatingFunds!Y139),"",OperatingFunds!Y139)</f>
        <v>FY2012</v>
      </c>
      <c r="Z139" s="2" t="str">
        <f>IF(ISBLANK(OperatingFunds!Z139),"",OperatingFunds!Z139)</f>
        <v>FY2013</v>
      </c>
      <c r="AA139" s="2" t="str">
        <f>IF(ISBLANK(OperatingFunds!AA139),"",OperatingFunds!AA139)</f>
        <v>FY2014</v>
      </c>
      <c r="AB139" s="2" t="str">
        <f>IF(ISBLANK(OperatingFunds!AB139),"",OperatingFunds!AB139)</f>
        <v>FY2015</v>
      </c>
      <c r="AC139" s="2" t="str">
        <f>IF(ISBLANK(OperatingFunds!AC139),"",OperatingFunds!AC139)</f>
        <v>FY2016</v>
      </c>
      <c r="AD139" s="2" t="str">
        <f>IF(ISBLANK(OperatingFunds!AD139),"",OperatingFunds!AD139)</f>
        <v>FY2017</v>
      </c>
    </row>
    <row r="140" spans="2:30">
      <c r="R140" s="3"/>
    </row>
    <row r="141" spans="2:30">
      <c r="B141" s="1" t="str">
        <f>+$B$8</f>
        <v>University of Washington</v>
      </c>
      <c r="C141" s="3"/>
      <c r="D141" s="3"/>
      <c r="E141" s="3"/>
      <c r="F141" s="3"/>
      <c r="G141" s="3"/>
      <c r="H141" s="3"/>
      <c r="I141" s="3"/>
      <c r="J141" s="3"/>
      <c r="K141" s="3"/>
      <c r="L141" s="3"/>
      <c r="M141" s="3">
        <f>+ConstantDollars!M141*1000/Enrollment!L$78</f>
        <v>260.33402183325825</v>
      </c>
      <c r="N141" s="3">
        <f>+ConstantDollars!N141*1000/Enrollment!M$78</f>
        <v>296.63540880140204</v>
      </c>
      <c r="O141" s="3">
        <f>+ConstantDollars!O141*1000/Enrollment!N$78</f>
        <v>268.80510348601911</v>
      </c>
      <c r="P141" s="3">
        <f>+ConstantDollars!P141*1000/Enrollment!O$78</f>
        <v>320.66647475568766</v>
      </c>
      <c r="Q141" s="3">
        <f>+ConstantDollars!Q141*1000/Enrollment!P$78</f>
        <v>258.59843738080315</v>
      </c>
      <c r="R141" s="3">
        <f>+ConstantDollars!R141*1000/Enrollment!Q$78</f>
        <v>254.53477228987498</v>
      </c>
      <c r="S141" s="3">
        <f>+ConstantDollars!S141*1000/Enrollment!R$78</f>
        <v>246.04701884916253</v>
      </c>
      <c r="T141" s="3">
        <f>+ConstantDollars!T141*1000/Enrollment!S$78</f>
        <v>267.85809107637226</v>
      </c>
      <c r="U141" s="3">
        <f>+ConstantDollars!U141*1000/Enrollment!T$78</f>
        <v>238.889612350231</v>
      </c>
      <c r="V141" s="3">
        <f>+ConstantDollars!V141*1000/Enrollment!U$78</f>
        <v>227.32605772776904</v>
      </c>
      <c r="W141" s="3">
        <f>+ConstantDollars!W141*1000/Enrollment!V$78</f>
        <v>245.15741950154194</v>
      </c>
      <c r="X141" s="3">
        <f>+ConstantDollars!X141*1000/Enrollment!W$78</f>
        <v>247.96933849952285</v>
      </c>
      <c r="Y141" s="3">
        <f>+ConstantDollars!Y141*1000/Enrollment!X$78</f>
        <v>216.75010770143362</v>
      </c>
      <c r="Z141" s="3">
        <f>+ConstantDollars!Z141*1000/Enrollment!Y$78</f>
        <v>304.21705765423297</v>
      </c>
      <c r="AA141" s="3">
        <f>+ConstantDollars!AA141*1000/Enrollment!Z$78</f>
        <v>264.85581860926527</v>
      </c>
      <c r="AB141" s="3">
        <f>+ConstantDollars!AB141*1000/Enrollment!AA$78</f>
        <v>323.46771395154627</v>
      </c>
      <c r="AC141" s="3">
        <f>+ConstantDollars!AC141*1000/Enrollment!AB$78</f>
        <v>324.63824172871227</v>
      </c>
      <c r="AD141" s="3">
        <f>+ConstantDollars!AD141*1000/Enrollment!AC$78</f>
        <v>315.18673163689203</v>
      </c>
    </row>
    <row r="142" spans="2:30">
      <c r="B142" s="1" t="str">
        <f>+$B$9</f>
        <v>Washington State University</v>
      </c>
      <c r="C142" s="3"/>
      <c r="D142" s="3"/>
      <c r="E142" s="3"/>
      <c r="F142" s="3"/>
      <c r="G142" s="3"/>
      <c r="H142" s="3"/>
      <c r="I142" s="3"/>
      <c r="J142" s="3"/>
      <c r="K142" s="3"/>
      <c r="L142" s="3"/>
      <c r="M142" s="3">
        <f>+ConstantDollars!M142*1000/Enrollment!L$83</f>
        <v>0</v>
      </c>
      <c r="N142" s="3">
        <f>+ConstantDollars!N142*1000/Enrollment!M$83</f>
        <v>0</v>
      </c>
      <c r="O142" s="3">
        <f>+ConstantDollars!O142*1000/Enrollment!N$83</f>
        <v>0</v>
      </c>
      <c r="P142" s="3">
        <f>+ConstantDollars!P142*1000/Enrollment!O$83</f>
        <v>0</v>
      </c>
      <c r="Q142" s="3">
        <f>+ConstantDollars!Q142*1000/Enrollment!P$83</f>
        <v>0</v>
      </c>
      <c r="R142" s="3">
        <f>+ConstantDollars!R142*1000/Enrollment!Q$83</f>
        <v>11.109063773220731</v>
      </c>
      <c r="S142" s="3">
        <f>+ConstantDollars!S142*1000/Enrollment!R$83</f>
        <v>0</v>
      </c>
      <c r="T142" s="3">
        <f>+ConstantDollars!T142*1000/Enrollment!S$83</f>
        <v>19.56308973460234</v>
      </c>
      <c r="U142" s="3">
        <f>+ConstantDollars!U142*1000/Enrollment!T$83</f>
        <v>77.899691694681295</v>
      </c>
      <c r="V142" s="3">
        <f>+ConstantDollars!V142*1000/Enrollment!U$83</f>
        <v>75.564363603683887</v>
      </c>
      <c r="W142" s="3">
        <f>+ConstantDollars!W142*1000/Enrollment!V$83</f>
        <v>0</v>
      </c>
      <c r="X142" s="3">
        <f>+ConstantDollars!X142*1000/Enrollment!W$83</f>
        <v>0</v>
      </c>
      <c r="Y142" s="3">
        <f>+ConstantDollars!Y142*1000/Enrollment!X$83</f>
        <v>0</v>
      </c>
      <c r="Z142" s="3">
        <f>+ConstantDollars!Z142*1000/Enrollment!Y$83</f>
        <v>0</v>
      </c>
      <c r="AA142" s="3">
        <f>+ConstantDollars!AA142*1000/Enrollment!Z$83</f>
        <v>0</v>
      </c>
      <c r="AB142" s="3">
        <f>+ConstantDollars!AB142*1000/Enrollment!AA$83</f>
        <v>0</v>
      </c>
      <c r="AC142" s="3">
        <f>+ConstantDollars!AC142*1000/Enrollment!AB$83</f>
        <v>7.6504917137637092</v>
      </c>
      <c r="AD142" s="3">
        <f>+ConstantDollars!AD142*1000/Enrollment!AC$83</f>
        <v>7.5360154603796143</v>
      </c>
    </row>
    <row r="143" spans="2:30">
      <c r="B143" s="1" t="str">
        <f>+$B$10</f>
        <v>Eastern Washington University</v>
      </c>
      <c r="C143" s="3"/>
      <c r="D143" s="3"/>
      <c r="E143" s="3"/>
      <c r="F143" s="3"/>
      <c r="G143" s="3"/>
      <c r="H143" s="3"/>
      <c r="I143" s="3"/>
      <c r="J143" s="3"/>
      <c r="K143" s="3"/>
      <c r="L143" s="3"/>
      <c r="M143" s="3">
        <f>+ConstantDollars!M143*1000/Enrollment!L$91</f>
        <v>0</v>
      </c>
      <c r="N143" s="3">
        <f>+ConstantDollars!N143*1000/Enrollment!M$91</f>
        <v>0</v>
      </c>
      <c r="O143" s="3">
        <f>+ConstantDollars!O143*1000/Enrollment!N$91</f>
        <v>0</v>
      </c>
      <c r="P143" s="3">
        <f>+ConstantDollars!P143*1000/Enrollment!O$91</f>
        <v>0</v>
      </c>
      <c r="Q143" s="3">
        <f>+ConstantDollars!Q143*1000/Enrollment!P$91</f>
        <v>0</v>
      </c>
      <c r="R143" s="3">
        <f>+ConstantDollars!R143*1000/Enrollment!Q$91</f>
        <v>0</v>
      </c>
      <c r="S143" s="3">
        <f>+ConstantDollars!S143*1000/Enrollment!R$91</f>
        <v>0</v>
      </c>
      <c r="T143" s="3">
        <f>+ConstantDollars!T143*1000/Enrollment!S$91</f>
        <v>17.569014097956686</v>
      </c>
      <c r="U143" s="3">
        <f>+ConstantDollars!U143*1000/Enrollment!T$91</f>
        <v>366.60732576001135</v>
      </c>
      <c r="V143" s="3">
        <f>+ConstantDollars!V143*1000/Enrollment!U$91</f>
        <v>355.52776501661259</v>
      </c>
      <c r="W143" s="3">
        <f>+ConstantDollars!W143*1000/Enrollment!V$91</f>
        <v>0</v>
      </c>
      <c r="X143" s="3">
        <f>+ConstantDollars!X143*1000/Enrollment!W$91</f>
        <v>0</v>
      </c>
      <c r="Y143" s="3">
        <f>+ConstantDollars!Y143*1000/Enrollment!X$91</f>
        <v>0</v>
      </c>
      <c r="Z143" s="3">
        <f>+ConstantDollars!Z143*1000/Enrollment!Y$91</f>
        <v>0</v>
      </c>
      <c r="AA143" s="3">
        <f>+ConstantDollars!AA143*1000/Enrollment!Z$91</f>
        <v>0</v>
      </c>
      <c r="AB143" s="3">
        <f>+ConstantDollars!AB143*1000/Enrollment!AA$91</f>
        <v>0</v>
      </c>
      <c r="AC143" s="3">
        <f>+ConstantDollars!AC143*1000/Enrollment!AB$91</f>
        <v>0</v>
      </c>
      <c r="AD143" s="3">
        <f>+ConstantDollars!AD143*1000/Enrollment!AC$91</f>
        <v>0</v>
      </c>
    </row>
    <row r="144" spans="2:30">
      <c r="B144" s="1" t="str">
        <f>+$B$11</f>
        <v>Central Washington University</v>
      </c>
      <c r="C144" s="3"/>
      <c r="D144" s="3"/>
      <c r="E144" s="3"/>
      <c r="F144" s="3"/>
      <c r="G144" s="3"/>
      <c r="H144" s="3"/>
      <c r="I144" s="3"/>
      <c r="J144" s="3"/>
      <c r="K144" s="3"/>
      <c r="L144" s="3"/>
      <c r="M144" s="3">
        <f>+ConstantDollars!M144*1000/Enrollment!L$92</f>
        <v>0</v>
      </c>
      <c r="N144" s="3">
        <f>+ConstantDollars!N144*1000/Enrollment!M$92</f>
        <v>0</v>
      </c>
      <c r="O144" s="3">
        <f>+ConstantDollars!O144*1000/Enrollment!N$92</f>
        <v>0</v>
      </c>
      <c r="P144" s="3">
        <f>+ConstantDollars!P144*1000/Enrollment!O$92</f>
        <v>0</v>
      </c>
      <c r="Q144" s="3">
        <f>+ConstantDollars!Q144*1000/Enrollment!P$92</f>
        <v>0</v>
      </c>
      <c r="R144" s="3">
        <f>+ConstantDollars!R144*1000/Enrollment!Q$92</f>
        <v>0</v>
      </c>
      <c r="S144" s="3">
        <f>+ConstantDollars!S144*1000/Enrollment!R$92</f>
        <v>0</v>
      </c>
      <c r="T144" s="3">
        <f>+ConstantDollars!T144*1000/Enrollment!S$92</f>
        <v>16.931721135833378</v>
      </c>
      <c r="U144" s="3">
        <f>+ConstantDollars!U144*1000/Enrollment!T$92</f>
        <v>335.26944145774047</v>
      </c>
      <c r="V144" s="3">
        <f>+ConstantDollars!V144*1000/Enrollment!U$92</f>
        <v>318.75701984280829</v>
      </c>
      <c r="W144" s="3">
        <f>+ConstantDollars!W144*1000/Enrollment!V$92</f>
        <v>0</v>
      </c>
      <c r="X144" s="3">
        <f>+ConstantDollars!X144*1000/Enrollment!W$92</f>
        <v>0</v>
      </c>
      <c r="Y144" s="3">
        <f>+ConstantDollars!Y144*1000/Enrollment!X$92</f>
        <v>0</v>
      </c>
      <c r="Z144" s="3">
        <f>+ConstantDollars!Z144*1000/Enrollment!Y$92</f>
        <v>0</v>
      </c>
      <c r="AA144" s="3">
        <f>+ConstantDollars!AA144*1000/Enrollment!Z$92</f>
        <v>0</v>
      </c>
      <c r="AB144" s="3">
        <f>+ConstantDollars!AB144*1000/Enrollment!AA$92</f>
        <v>0</v>
      </c>
      <c r="AC144" s="3">
        <f>+ConstantDollars!AC144*1000/Enrollment!AB$92</f>
        <v>0</v>
      </c>
      <c r="AD144" s="3">
        <f>+ConstantDollars!AD144*1000/Enrollment!AC$92</f>
        <v>0</v>
      </c>
    </row>
    <row r="145" spans="2:30">
      <c r="B145" s="1" t="str">
        <f>+$B$12</f>
        <v>The Evergreen State College</v>
      </c>
      <c r="C145" s="3"/>
      <c r="D145" s="3"/>
      <c r="E145" s="3"/>
      <c r="F145" s="3"/>
      <c r="G145" s="3"/>
      <c r="H145" s="3"/>
      <c r="I145" s="3"/>
      <c r="J145" s="3"/>
      <c r="K145" s="3"/>
      <c r="L145" s="3"/>
      <c r="M145" s="3">
        <f>+ConstantDollars!M145*1000/Enrollment!L$93</f>
        <v>0</v>
      </c>
      <c r="N145" s="3">
        <f>+ConstantDollars!N145*1000/Enrollment!M$93</f>
        <v>0</v>
      </c>
      <c r="O145" s="3">
        <f>+ConstantDollars!O145*1000/Enrollment!N$93</f>
        <v>0</v>
      </c>
      <c r="P145" s="3">
        <f>+ConstantDollars!P145*1000/Enrollment!O$93</f>
        <v>0</v>
      </c>
      <c r="Q145" s="3">
        <f>+ConstantDollars!Q145*1000/Enrollment!P$93</f>
        <v>0</v>
      </c>
      <c r="R145" s="3">
        <f>+ConstantDollars!R145*1000/Enrollment!Q$93</f>
        <v>0</v>
      </c>
      <c r="S145" s="3">
        <f>+ConstantDollars!S145*1000/Enrollment!R$93</f>
        <v>0</v>
      </c>
      <c r="T145" s="3">
        <f>+ConstantDollars!T145*1000/Enrollment!S$93</f>
        <v>25.866039121901206</v>
      </c>
      <c r="U145" s="3">
        <f>+ConstantDollars!U145*1000/Enrollment!T$93</f>
        <v>0</v>
      </c>
      <c r="V145" s="3">
        <f>+ConstantDollars!V145*1000/Enrollment!U$93</f>
        <v>0</v>
      </c>
      <c r="W145" s="3">
        <f>+ConstantDollars!W145*1000/Enrollment!V$93</f>
        <v>0</v>
      </c>
      <c r="X145" s="3">
        <f>+ConstantDollars!X145*1000/Enrollment!W$93</f>
        <v>0</v>
      </c>
      <c r="Y145" s="3">
        <f>+ConstantDollars!Y145*1000/Enrollment!X$93</f>
        <v>0</v>
      </c>
      <c r="Z145" s="3">
        <f>+ConstantDollars!Z145*1000/Enrollment!Y$93</f>
        <v>0</v>
      </c>
      <c r="AA145" s="3">
        <f>+ConstantDollars!AA145*1000/Enrollment!Z$93</f>
        <v>0</v>
      </c>
      <c r="AB145" s="3">
        <f>+ConstantDollars!AB145*1000/Enrollment!AA$93</f>
        <v>0</v>
      </c>
      <c r="AC145" s="3">
        <f>+ConstantDollars!AC145*1000/Enrollment!AB$93</f>
        <v>0</v>
      </c>
      <c r="AD145" s="3">
        <f>+ConstantDollars!AD145*1000/Enrollment!AC$93</f>
        <v>0</v>
      </c>
    </row>
    <row r="146" spans="2:30">
      <c r="B146" s="1" t="str">
        <f>+$B$13</f>
        <v>Western Washington University</v>
      </c>
      <c r="C146" s="3"/>
      <c r="D146" s="3"/>
      <c r="E146" s="3"/>
      <c r="F146" s="3"/>
      <c r="G146" s="3"/>
      <c r="H146" s="3"/>
      <c r="I146" s="3"/>
      <c r="J146" s="3"/>
      <c r="K146" s="3"/>
      <c r="L146" s="3"/>
      <c r="M146" s="3">
        <f>+ConstantDollars!M146*1000/Enrollment!L$94</f>
        <v>0</v>
      </c>
      <c r="N146" s="3">
        <f>+ConstantDollars!N146*1000/Enrollment!M$94</f>
        <v>0</v>
      </c>
      <c r="O146" s="3">
        <f>+ConstantDollars!O146*1000/Enrollment!N$94</f>
        <v>0</v>
      </c>
      <c r="P146" s="3">
        <f>+ConstantDollars!P146*1000/Enrollment!O$94</f>
        <v>0</v>
      </c>
      <c r="Q146" s="3">
        <f>+ConstantDollars!Q146*1000/Enrollment!P$94</f>
        <v>0</v>
      </c>
      <c r="R146" s="3">
        <f>+ConstantDollars!R146*1000/Enrollment!Q$94</f>
        <v>0</v>
      </c>
      <c r="S146" s="3">
        <f>+ConstantDollars!S146*1000/Enrollment!R$94</f>
        <v>0</v>
      </c>
      <c r="T146" s="3">
        <f>+ConstantDollars!T146*1000/Enrollment!S$94</f>
        <v>19.613201481465211</v>
      </c>
      <c r="U146" s="3">
        <f>+ConstantDollars!U146*1000/Enrollment!T$94</f>
        <v>0</v>
      </c>
      <c r="V146" s="3">
        <f>+ConstantDollars!V146*1000/Enrollment!U$94</f>
        <v>0</v>
      </c>
      <c r="W146" s="3">
        <f>+ConstantDollars!W146*1000/Enrollment!V$94</f>
        <v>0</v>
      </c>
      <c r="X146" s="3">
        <f>+ConstantDollars!X146*1000/Enrollment!W$94</f>
        <v>0</v>
      </c>
      <c r="Y146" s="3">
        <f>+ConstantDollars!Y146*1000/Enrollment!X$94</f>
        <v>0</v>
      </c>
      <c r="Z146" s="3">
        <f>+ConstantDollars!Z146*1000/Enrollment!Y$94</f>
        <v>0</v>
      </c>
      <c r="AA146" s="3">
        <f>+ConstantDollars!AA146*1000/Enrollment!Z$94</f>
        <v>0</v>
      </c>
      <c r="AB146" s="3">
        <f>+ConstantDollars!AB146*1000/Enrollment!AA$94</f>
        <v>0</v>
      </c>
      <c r="AC146" s="3">
        <f>+ConstantDollars!AC146*1000/Enrollment!AB$94</f>
        <v>0</v>
      </c>
      <c r="AD146" s="3">
        <f>+ConstantDollars!AD146*1000/Enrollment!AC$94</f>
        <v>0</v>
      </c>
    </row>
    <row r="147" spans="2:30">
      <c r="B147" s="199" t="str">
        <f>+$B$14</f>
        <v>Total Four-Year Institutions</v>
      </c>
      <c r="C147" s="42"/>
      <c r="D147" s="42"/>
      <c r="E147" s="42"/>
      <c r="F147" s="42"/>
      <c r="G147" s="42"/>
      <c r="H147" s="42"/>
      <c r="I147" s="42"/>
      <c r="J147" s="42"/>
      <c r="K147" s="42"/>
      <c r="L147" s="42"/>
      <c r="M147" s="42">
        <f>+ConstantDollars!M147*1000/Enrollment!L$101</f>
        <v>107.74132852655063</v>
      </c>
      <c r="N147" s="42">
        <f>+ConstantDollars!N147*1000/Enrollment!M$101</f>
        <v>121.26202416478739</v>
      </c>
      <c r="O147" s="42">
        <f>+ConstantDollars!O147*1000/Enrollment!N$101</f>
        <v>110.73664805299369</v>
      </c>
      <c r="P147" s="42">
        <f>+ConstantDollars!P147*1000/Enrollment!O$101</f>
        <v>132.13910097037635</v>
      </c>
      <c r="Q147" s="42">
        <f>+ConstantDollars!Q147*1000/Enrollment!P$101</f>
        <v>105.62285361546067</v>
      </c>
      <c r="R147" s="42">
        <f>+ConstantDollars!R147*1000/Enrollment!Q$101</f>
        <v>106.17046332546286</v>
      </c>
      <c r="S147" s="42">
        <f>+ConstantDollars!S147*1000/Enrollment!R$101</f>
        <v>99.305975102699037</v>
      </c>
      <c r="T147" s="42">
        <f>+ConstantDollars!T147*1000/Enrollment!S$101</f>
        <v>119.00342951198964</v>
      </c>
      <c r="U147" s="42">
        <f>+ConstantDollars!U147*1000/Enrollment!T$101</f>
        <v>181.56537960816104</v>
      </c>
      <c r="V147" s="42">
        <f>+ConstantDollars!V147*1000/Enrollment!U$101</f>
        <v>174.30637319002014</v>
      </c>
      <c r="W147" s="42">
        <f>+ConstantDollars!W147*1000/Enrollment!V$101</f>
        <v>98.102696359313157</v>
      </c>
      <c r="X147" s="42">
        <f>+ConstantDollars!X147*1000/Enrollment!W$101</f>
        <v>99.162119008267268</v>
      </c>
      <c r="Y147" s="42">
        <f>+ConstantDollars!Y147*1000/Enrollment!X$101</f>
        <v>86.698176697134514</v>
      </c>
      <c r="Z147" s="42">
        <f>+ConstantDollars!Z147*1000/Enrollment!Y$101</f>
        <v>121.68420352122668</v>
      </c>
      <c r="AA147" s="42">
        <f>+ConstantDollars!AA147*1000/Enrollment!Z$101</f>
        <v>105.60246267496584</v>
      </c>
      <c r="AB147" s="42">
        <f>+ConstantDollars!AB147*1000/Enrollment!AA$101</f>
        <v>128.54446591812308</v>
      </c>
      <c r="AC147" s="42">
        <f>+ConstantDollars!AC147*1000/Enrollment!AB$101</f>
        <v>130.8534884762411</v>
      </c>
      <c r="AD147" s="42">
        <f>+ConstantDollars!AD147*1000/Enrollment!AC$101</f>
        <v>127.06991506658059</v>
      </c>
    </row>
    <row r="149" spans="2:30">
      <c r="B149" s="1" t="str">
        <f>+$B$16</f>
        <v>Community/Technical College System</v>
      </c>
      <c r="C149" s="3"/>
      <c r="D149" s="3"/>
      <c r="E149" s="3"/>
      <c r="F149" s="3"/>
      <c r="G149" s="3"/>
      <c r="H149" s="3"/>
      <c r="I149" s="3"/>
      <c r="J149" s="3"/>
      <c r="K149" s="3"/>
      <c r="L149" s="3"/>
      <c r="M149" s="3">
        <f>+ConstantDollars!M149*1000/Enrollment!L$103</f>
        <v>0</v>
      </c>
      <c r="N149" s="3">
        <f>+ConstantDollars!N149*1000/Enrollment!M$103</f>
        <v>0</v>
      </c>
      <c r="O149" s="3">
        <f>+ConstantDollars!O149*1000/Enrollment!N$103</f>
        <v>0</v>
      </c>
      <c r="P149" s="3">
        <f>+ConstantDollars!P149*1000/Enrollment!O$103</f>
        <v>0</v>
      </c>
      <c r="Q149" s="3">
        <f>+ConstantDollars!Q149*1000/Enrollment!P$103</f>
        <v>0</v>
      </c>
      <c r="R149" s="3">
        <f>+ConstantDollars!R149*1000/Enrollment!Q$103</f>
        <v>0</v>
      </c>
      <c r="S149" s="3">
        <f>+ConstantDollars!S149*1000/Enrollment!R$103</f>
        <v>0</v>
      </c>
      <c r="T149" s="3">
        <f>+ConstantDollars!T149*1000/Enrollment!S$103</f>
        <v>13.676699958709728</v>
      </c>
      <c r="U149" s="3">
        <f>+ConstantDollars!U149*1000/Enrollment!T$103</f>
        <v>224.08579001984495</v>
      </c>
      <c r="V149" s="3">
        <f>+ConstantDollars!V149*1000/Enrollment!U$103</f>
        <v>274.0318825473974</v>
      </c>
      <c r="W149" s="3">
        <f>+ConstantDollars!W149*1000/Enrollment!V$103</f>
        <v>0</v>
      </c>
      <c r="X149" s="3">
        <f>+ConstantDollars!X149*1000/Enrollment!W$103</f>
        <v>0</v>
      </c>
      <c r="Y149" s="3">
        <f>+ConstantDollars!Y149*1000/Enrollment!X$103</f>
        <v>37.573821684818405</v>
      </c>
      <c r="Z149" s="3">
        <f>+ConstantDollars!Z149*1000/Enrollment!Y$103</f>
        <v>73.718128114165538</v>
      </c>
      <c r="AA149" s="3">
        <f>+ConstantDollars!AA149*1000/Enrollment!Z$103</f>
        <v>76.129539208846595</v>
      </c>
      <c r="AB149" s="3">
        <f>+ConstantDollars!AB149*1000/Enrollment!AA$103</f>
        <v>75.294960083536353</v>
      </c>
      <c r="AC149" s="3">
        <f>+ConstantDollars!AC149*1000/Enrollment!AB$103</f>
        <v>74.885622470799277</v>
      </c>
      <c r="AD149" s="3">
        <f>+ConstantDollars!AD149*1000/Enrollment!AC$103</f>
        <v>73.843900440695421</v>
      </c>
    </row>
    <row r="150" spans="2:30">
      <c r="B150" s="1" t="str">
        <f>+$B$17</f>
        <v>HEC Board, CHE, SFA, &amp; SAC (1)</v>
      </c>
      <c r="C150" s="3"/>
      <c r="D150" s="3"/>
      <c r="E150" s="3"/>
      <c r="F150" s="3"/>
      <c r="G150" s="3"/>
      <c r="H150" s="3"/>
      <c r="I150" s="3"/>
      <c r="J150" s="3"/>
      <c r="K150" s="3"/>
      <c r="L150" s="3"/>
      <c r="M150" s="3">
        <f>+ConstantDollars!M150*1000/Enrollment!L$112</f>
        <v>0</v>
      </c>
      <c r="N150" s="3">
        <f>+ConstantDollars!N150*1000/Enrollment!M$112</f>
        <v>0</v>
      </c>
      <c r="O150" s="3">
        <f>+ConstantDollars!O150*1000/Enrollment!N$112</f>
        <v>0</v>
      </c>
      <c r="P150" s="3">
        <f>+ConstantDollars!P150*1000/Enrollment!O$112</f>
        <v>0</v>
      </c>
      <c r="Q150" s="3">
        <f>+ConstantDollars!Q150*1000/Enrollment!P$112</f>
        <v>0</v>
      </c>
      <c r="R150" s="3">
        <f>+ConstantDollars!R150*1000/Enrollment!Q$112</f>
        <v>0</v>
      </c>
      <c r="S150" s="3">
        <f>+ConstantDollars!S150*1000/Enrollment!R$112</f>
        <v>0</v>
      </c>
      <c r="T150" s="3">
        <f>+ConstantDollars!T150*1000/Enrollment!S$112</f>
        <v>0.19051792737025008</v>
      </c>
      <c r="U150" s="3">
        <f>+ConstantDollars!U150*1000/Enrollment!T$112</f>
        <v>0</v>
      </c>
      <c r="V150" s="3">
        <f>+ConstantDollars!V150*1000/Enrollment!U$112</f>
        <v>0</v>
      </c>
      <c r="W150" s="3">
        <f>+ConstantDollars!W150*1000/Enrollment!V$112</f>
        <v>0</v>
      </c>
      <c r="X150" s="3">
        <f>+ConstantDollars!X150*1000/Enrollment!W$112</f>
        <v>0</v>
      </c>
      <c r="Y150" s="3">
        <f>+ConstantDollars!Y150*1000/Enrollment!X$112</f>
        <v>0</v>
      </c>
      <c r="Z150" s="3">
        <f>+ConstantDollars!Z150*1000/Enrollment!Y$112</f>
        <v>0</v>
      </c>
      <c r="AA150" s="3">
        <f>+ConstantDollars!AA150*1000/Enrollment!Z$112</f>
        <v>0</v>
      </c>
      <c r="AB150" s="3">
        <f>+ConstantDollars!AB150*1000/Enrollment!AA$112</f>
        <v>0</v>
      </c>
      <c r="AC150" s="3">
        <f>+ConstantDollars!AC150*1000/Enrollment!AB$112</f>
        <v>0</v>
      </c>
      <c r="AD150" s="3">
        <f>+ConstantDollars!AD150*1000/Enrollment!AC$112</f>
        <v>0.32153851827598856</v>
      </c>
    </row>
    <row r="151" spans="2:30" ht="13.5" thickBot="1"/>
    <row r="152" spans="2:30" ht="13.5" thickTop="1">
      <c r="B152" s="1" t="str">
        <f>+$B$19</f>
        <v>Total Higher Education</v>
      </c>
      <c r="C152" s="39"/>
      <c r="D152" s="39"/>
      <c r="E152" s="39"/>
      <c r="F152" s="39"/>
      <c r="G152" s="39"/>
      <c r="H152" s="39"/>
      <c r="I152" s="39"/>
      <c r="J152" s="39"/>
      <c r="K152" s="39"/>
      <c r="L152" s="39"/>
      <c r="M152" s="39">
        <f>+ConstantDollars!M152*1000/Enrollment!L$112</f>
        <v>43.719071095749136</v>
      </c>
      <c r="N152" s="39">
        <f>+ConstantDollars!N152*1000/Enrollment!M$112</f>
        <v>49.323348818663071</v>
      </c>
      <c r="O152" s="39">
        <f>+ConstantDollars!O152*1000/Enrollment!N$112</f>
        <v>44.654439080094392</v>
      </c>
      <c r="P152" s="39">
        <f>+ConstantDollars!P152*1000/Enrollment!O$112</f>
        <v>52.784592537016174</v>
      </c>
      <c r="Q152" s="39">
        <f>+ConstantDollars!Q152*1000/Enrollment!P$112</f>
        <v>42.65205081194312</v>
      </c>
      <c r="R152" s="39">
        <f>+ConstantDollars!R152*1000/Enrollment!Q$112</f>
        <v>42.972941731079416</v>
      </c>
      <c r="S152" s="39">
        <f>+ConstantDollars!S152*1000/Enrollment!R$112</f>
        <v>40.25772833422976</v>
      </c>
      <c r="T152" s="39">
        <f>+ConstantDollars!T152*1000/Enrollment!S$112</f>
        <v>56.788493329413853</v>
      </c>
      <c r="U152" s="39">
        <f>+ConstantDollars!U152*1000/Enrollment!T$112</f>
        <v>206.76091832960492</v>
      </c>
      <c r="V152" s="39">
        <f>+ConstantDollars!V152*1000/Enrollment!U$112</f>
        <v>233.41691798601659</v>
      </c>
      <c r="W152" s="39">
        <f>+ConstantDollars!W152*1000/Enrollment!V$112</f>
        <v>38.858990103022364</v>
      </c>
      <c r="X152" s="39">
        <f>+ConstantDollars!X152*1000/Enrollment!W$112</f>
        <v>39.050901821461039</v>
      </c>
      <c r="Y152" s="39">
        <f>+ConstantDollars!Y152*1000/Enrollment!X$112</f>
        <v>57.234017301027535</v>
      </c>
      <c r="Z152" s="39">
        <f>+ConstantDollars!Z152*1000/Enrollment!Y$112</f>
        <v>92.914765407586131</v>
      </c>
      <c r="AA152" s="39">
        <f>+ConstantDollars!AA152*1000/Enrollment!Z$112</f>
        <v>87.9475676923593</v>
      </c>
      <c r="AB152" s="39">
        <f>+ConstantDollars!AB152*1000/Enrollment!AA$112</f>
        <v>96.626149928574478</v>
      </c>
      <c r="AC152" s="39">
        <f>+ConstantDollars!AC152*1000/Enrollment!AB$112</f>
        <v>97.305758700651296</v>
      </c>
      <c r="AD152" s="39">
        <f>+ConstantDollars!AD152*1000/Enrollment!AC$112</f>
        <v>95.48721847381681</v>
      </c>
    </row>
    <row r="153" spans="2:30">
      <c r="B153" s="199" t="str">
        <f>+$B$20</f>
        <v>[biennial annual average]</v>
      </c>
      <c r="D153" s="3"/>
      <c r="F153" s="3"/>
      <c r="H153" s="3"/>
      <c r="J153" s="3"/>
      <c r="L153" s="3"/>
      <c r="N153" s="3">
        <f>AVERAGE(M152:N152)</f>
        <v>46.521209957206104</v>
      </c>
      <c r="P153" s="3">
        <f>AVERAGE(O152:P152)</f>
        <v>48.719515808555286</v>
      </c>
      <c r="R153" s="3">
        <f>AVERAGE(Q152:R152)</f>
        <v>42.812496271511264</v>
      </c>
      <c r="T153" s="3">
        <f>AVERAGE(S152:T152)</f>
        <v>48.523110831821811</v>
      </c>
      <c r="V153" s="3">
        <f>AVERAGE(U152:V152)</f>
        <v>220.08891815781075</v>
      </c>
      <c r="X153" s="3">
        <f>AVERAGE(W152:X152)</f>
        <v>38.954945962241702</v>
      </c>
      <c r="Z153" s="3">
        <f>AVERAGE(Y152:Z152)</f>
        <v>75.07439135430684</v>
      </c>
      <c r="AB153" s="3">
        <f>AVERAGE(AA152:AB152)</f>
        <v>92.286858810466896</v>
      </c>
      <c r="AD153" s="3">
        <f>AVERAGE(AC152:AD152)</f>
        <v>96.396488587234046</v>
      </c>
    </row>
    <row r="154" spans="2:30">
      <c r="B154" s="199"/>
      <c r="C154" s="7"/>
      <c r="D154" s="3"/>
      <c r="F154" s="3"/>
      <c r="H154" s="3"/>
      <c r="J154" s="3"/>
      <c r="L154" s="3"/>
      <c r="N154" s="3"/>
      <c r="P154" s="3"/>
      <c r="R154" s="3"/>
      <c r="T154" s="3"/>
      <c r="U154" s="3"/>
      <c r="V154" s="3"/>
      <c r="W154"/>
      <c r="X154"/>
      <c r="Y154"/>
      <c r="Z154"/>
    </row>
    <row r="155" spans="2:30">
      <c r="B155" s="199"/>
      <c r="C155" s="7"/>
      <c r="D155" s="3"/>
      <c r="F155" s="3"/>
      <c r="H155" s="3"/>
      <c r="J155" s="3"/>
      <c r="L155" s="3"/>
      <c r="N155" s="3"/>
      <c r="P155" s="3"/>
      <c r="R155" s="3"/>
      <c r="T155" s="3"/>
      <c r="U155" s="3"/>
      <c r="V155" s="3"/>
      <c r="W155" s="2"/>
      <c r="X155" s="2" t="str">
        <f>IF(ISBLANK(OperatingFunds!X155),"",OperatingFunds!X155)</f>
        <v/>
      </c>
      <c r="Y155" s="2" t="str">
        <f>IF(ISBLANK(OperatingFunds!Y155),"",OperatingFunds!Y155)</f>
        <v/>
      </c>
      <c r="Z155" s="2" t="str">
        <f>IF(ISBLANK(OperatingFunds!Z155),"",OperatingFunds!Z155)</f>
        <v/>
      </c>
      <c r="AA155" s="2" t="str">
        <f>IF(ISBLANK(OperatingFunds!AA155),"",OperatingFunds!AA155)</f>
        <v/>
      </c>
      <c r="AB155" s="2" t="str">
        <f>IF(ISBLANK(OperatingFunds!AB155),"",OperatingFunds!AB155)</f>
        <v/>
      </c>
      <c r="AC155" s="2" t="str">
        <f>IF(ISBLANK(OperatingFunds!AC155),"",OperatingFunds!AC155)</f>
        <v/>
      </c>
      <c r="AD155" s="2" t="str">
        <f>IF(ISBLANK(OperatingFunds!AD155),"",OperatingFunds!AD155)</f>
        <v/>
      </c>
    </row>
    <row r="156" spans="2:30">
      <c r="B156" s="199"/>
      <c r="C156" s="7"/>
      <c r="D156" s="3"/>
      <c r="F156" s="3"/>
      <c r="H156" s="3"/>
      <c r="J156" s="3"/>
      <c r="L156" s="3"/>
      <c r="N156" s="3"/>
      <c r="P156" s="3"/>
      <c r="R156" s="3"/>
      <c r="T156" s="3"/>
      <c r="U156" s="3"/>
      <c r="V156" s="3"/>
      <c r="W156" s="2"/>
      <c r="X156" s="2" t="str">
        <f>+$X$6</f>
        <v>FY2011</v>
      </c>
      <c r="Y156" s="2" t="str">
        <f>+$Y$6</f>
        <v>FY2012</v>
      </c>
      <c r="Z156" s="2" t="str">
        <f>+$Z$6</f>
        <v>FY2013</v>
      </c>
      <c r="AA156" s="2" t="str">
        <f>+$AA$6</f>
        <v>FY2014</v>
      </c>
      <c r="AB156" s="2" t="str">
        <f>+$AB$6</f>
        <v>FY2015</v>
      </c>
      <c r="AC156" s="2" t="str">
        <f>+$AC$6</f>
        <v>FY2016</v>
      </c>
      <c r="AD156" s="2" t="str">
        <f>+$AD$6</f>
        <v>FY2017</v>
      </c>
    </row>
    <row r="157" spans="2:30">
      <c r="B157" s="1" t="str">
        <f>+OperatingFunds!$B$157</f>
        <v>Community/Technical College System Opportunity Express Account (17C-1)</v>
      </c>
      <c r="C157"/>
      <c r="D157"/>
      <c r="E157"/>
      <c r="F157"/>
      <c r="G157"/>
      <c r="H157"/>
      <c r="I157"/>
      <c r="J157"/>
      <c r="K157"/>
      <c r="L157"/>
      <c r="M157"/>
      <c r="N157"/>
      <c r="O157"/>
      <c r="P157"/>
      <c r="R157" s="3"/>
      <c r="T157" s="3"/>
      <c r="U157" s="3"/>
      <c r="V157" s="3"/>
      <c r="W157"/>
      <c r="X157" s="3">
        <f>+ConstantDollars!X157*1000/Enrollment!W$103</f>
        <v>172.37542395487711</v>
      </c>
      <c r="Y157" s="3"/>
      <c r="Z157" s="3"/>
    </row>
    <row r="158" spans="2:30">
      <c r="B158" s="1" t="str">
        <f>+OperatingFunds!$B$158</f>
        <v>HEC Board, CHE, SFA, &amp; SAC (1) Opportunity Pathways Account (17F-1)</v>
      </c>
      <c r="C158"/>
      <c r="D158"/>
      <c r="E158"/>
      <c r="F158"/>
      <c r="G158"/>
      <c r="H158"/>
      <c r="I158"/>
      <c r="J158"/>
      <c r="K158"/>
      <c r="L158"/>
      <c r="M158"/>
      <c r="N158"/>
      <c r="O158"/>
      <c r="P158"/>
      <c r="R158" s="3"/>
      <c r="T158" s="3"/>
      <c r="U158" s="3"/>
      <c r="V158" s="3"/>
      <c r="W158"/>
      <c r="X158" s="3">
        <f>+ConstantDollars!X158*1000/Enrollment!W$112</f>
        <v>415.34261238641756</v>
      </c>
      <c r="Y158" s="3">
        <f>+ConstantDollars!Y158*1000/Enrollment!X$112</f>
        <v>412.1467664999966</v>
      </c>
      <c r="Z158" s="3">
        <f>+ConstantDollars!Z158*1000/Enrollment!Y$112</f>
        <v>599.40627493715215</v>
      </c>
      <c r="AA158" s="3">
        <f>+ConstantDollars!AA158*1000/Enrollment!Z$112</f>
        <v>367.32537056936314</v>
      </c>
      <c r="AB158" s="3">
        <f>+ConstantDollars!AB158*1000/Enrollment!AA$112</f>
        <v>395.37259530083651</v>
      </c>
      <c r="AC158" s="3">
        <f>+ConstantDollars!AC158*1000/Enrollment!AB$112</f>
        <v>508.80442642253917</v>
      </c>
      <c r="AD158" s="3">
        <f>+ConstantDollars!AD158*1000/Enrollment!AC$112</f>
        <v>395.28419757939736</v>
      </c>
    </row>
    <row r="159" spans="2:30">
      <c r="C159"/>
      <c r="D159"/>
      <c r="E159"/>
      <c r="F159"/>
      <c r="G159"/>
      <c r="H159"/>
      <c r="I159"/>
      <c r="J159"/>
      <c r="K159"/>
      <c r="L159"/>
      <c r="M159"/>
      <c r="N159"/>
      <c r="O159"/>
      <c r="P159"/>
      <c r="R159" s="3"/>
      <c r="T159" s="3"/>
    </row>
    <row r="160" spans="2:30">
      <c r="B160" s="1" t="str">
        <f>+OperatingFunds!B162</f>
        <v>Data through FY2023 from Monitor (AFRS) data; Enacted data for FY2024 and FY2025 reflect legislative action from the 2024 Legislative Session.</v>
      </c>
    </row>
    <row r="161" spans="2:2">
      <c r="B161" s="1" t="str">
        <f>+OperatingFunds!B163</f>
        <v xml:space="preserve"> (1) HEC Board, CHE, SFA, &amp; SAC represents the Higher Education Coordinating Board, the Council for Higher Education, the Office of Student Financial Assistance, and the Student Achievement Council.</v>
      </c>
    </row>
    <row r="162" spans="2:2">
      <c r="B162" s="1" t="str">
        <f>EconomicIndicators!A20</f>
        <v>IPD, CPI, and Income measures from Economic and Revenue Forecast Council (ERFC)--data corresponds to November 2024 Update</v>
      </c>
    </row>
    <row r="164" spans="2:2">
      <c r="B164" s="1" t="str">
        <f>TRIM(+OperatingFunds!B170)</f>
        <v/>
      </c>
    </row>
  </sheetData>
  <phoneticPr fontId="0" type="noConversion"/>
  <printOptions horizontalCentered="1"/>
  <pageMargins left="0.5" right="0.5" top="0.3" bottom="0.3" header="0.25" footer="0.25"/>
  <pageSetup scale="50" fitToHeight="2" orientation="landscape" r:id="rId1"/>
  <headerFooter alignWithMargins="0"/>
  <rowBreaks count="1" manualBreakCount="1">
    <brk id="78" min="1" max="29"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pageSetUpPr fitToPage="1"/>
  </sheetPr>
  <dimension ref="A1:AS23"/>
  <sheetViews>
    <sheetView zoomScale="85" zoomScaleNormal="85" workbookViewId="0">
      <pane xSplit="1" ySplit="5" topLeftCell="H6" activePane="bottomRight" state="frozen"/>
      <selection pane="topRight" activeCell="B1" sqref="B1"/>
      <selection pane="bottomLeft" activeCell="A6" sqref="A6"/>
      <selection pane="bottomRight" activeCell="A20" sqref="A20"/>
    </sheetView>
  </sheetViews>
  <sheetFormatPr defaultRowHeight="12.75"/>
  <cols>
    <col min="1" max="1" width="40.625" style="1" customWidth="1"/>
    <col min="2" max="21" width="8.625" style="1" hidden="1" customWidth="1"/>
    <col min="22" max="23" width="9" style="1" hidden="1" customWidth="1"/>
    <col min="24" max="27" width="9" style="1"/>
    <col min="28" max="28" width="9" style="1" customWidth="1"/>
    <col min="29" max="16384" width="9" style="1"/>
  </cols>
  <sheetData>
    <row r="1" spans="1:38">
      <c r="A1" s="1" t="str">
        <f>+OperatingFunds!B1</f>
        <v>Last updated: 18 December 2024</v>
      </c>
    </row>
    <row r="2" spans="1:38">
      <c r="A2" s="4" t="s">
        <v>10</v>
      </c>
      <c r="Q2" s="8"/>
    </row>
    <row r="3" spans="1:38" ht="18.75">
      <c r="A3" s="10" t="s">
        <v>16</v>
      </c>
      <c r="B3" s="5"/>
      <c r="C3" s="5"/>
      <c r="D3" s="5"/>
      <c r="E3" s="5"/>
      <c r="F3" s="5"/>
      <c r="G3" s="5"/>
      <c r="H3" s="5"/>
      <c r="I3" s="5"/>
      <c r="J3" s="5"/>
      <c r="K3" s="5"/>
      <c r="L3" s="5"/>
      <c r="M3" s="5"/>
      <c r="N3" s="5"/>
      <c r="O3" s="5"/>
      <c r="P3" s="5"/>
      <c r="Q3" s="5"/>
      <c r="R3" s="5"/>
      <c r="S3" s="5"/>
      <c r="T3" s="5"/>
      <c r="U3" s="5"/>
      <c r="V3" s="5"/>
      <c r="W3" s="5"/>
      <c r="X3" s="5"/>
      <c r="Y3" s="5"/>
      <c r="Z3" s="5"/>
      <c r="AA3" s="5"/>
      <c r="AB3" s="5"/>
      <c r="AC3" s="5"/>
    </row>
    <row r="5" spans="1:38">
      <c r="B5" s="1">
        <v>1990</v>
      </c>
      <c r="C5" s="1">
        <f t="shared" ref="C5:O5" si="0">+B5+1</f>
        <v>1991</v>
      </c>
      <c r="D5" s="1">
        <f t="shared" si="0"/>
        <v>1992</v>
      </c>
      <c r="E5" s="1">
        <f t="shared" si="0"/>
        <v>1993</v>
      </c>
      <c r="F5" s="1">
        <f t="shared" si="0"/>
        <v>1994</v>
      </c>
      <c r="G5" s="1">
        <f t="shared" si="0"/>
        <v>1995</v>
      </c>
      <c r="H5" s="1">
        <f t="shared" si="0"/>
        <v>1996</v>
      </c>
      <c r="I5" s="1">
        <f t="shared" si="0"/>
        <v>1997</v>
      </c>
      <c r="J5" s="1">
        <f t="shared" si="0"/>
        <v>1998</v>
      </c>
      <c r="K5" s="1">
        <f t="shared" si="0"/>
        <v>1999</v>
      </c>
      <c r="L5" s="1">
        <f t="shared" si="0"/>
        <v>2000</v>
      </c>
      <c r="M5" s="1">
        <f t="shared" si="0"/>
        <v>2001</v>
      </c>
      <c r="N5" s="1">
        <f t="shared" si="0"/>
        <v>2002</v>
      </c>
      <c r="O5" s="1">
        <f t="shared" si="0"/>
        <v>2003</v>
      </c>
      <c r="P5" s="1">
        <f t="shared" ref="P5:AA5" si="1">+O5+1</f>
        <v>2004</v>
      </c>
      <c r="Q5" s="1">
        <f t="shared" si="1"/>
        <v>2005</v>
      </c>
      <c r="R5" s="1">
        <f t="shared" si="1"/>
        <v>2006</v>
      </c>
      <c r="S5" s="1">
        <f t="shared" si="1"/>
        <v>2007</v>
      </c>
      <c r="T5" s="1">
        <f t="shared" si="1"/>
        <v>2008</v>
      </c>
      <c r="U5" s="1">
        <f t="shared" si="1"/>
        <v>2009</v>
      </c>
      <c r="V5" s="1">
        <f t="shared" si="1"/>
        <v>2010</v>
      </c>
      <c r="W5" s="1">
        <f t="shared" si="1"/>
        <v>2011</v>
      </c>
      <c r="X5" s="1">
        <f t="shared" si="1"/>
        <v>2012</v>
      </c>
      <c r="Y5" s="1">
        <f t="shared" si="1"/>
        <v>2013</v>
      </c>
      <c r="Z5" s="1">
        <f t="shared" si="1"/>
        <v>2014</v>
      </c>
      <c r="AA5" s="1">
        <f t="shared" si="1"/>
        <v>2015</v>
      </c>
      <c r="AB5" s="1">
        <f t="shared" ref="AB5:AI5" si="2">+AA5+1</f>
        <v>2016</v>
      </c>
      <c r="AC5" s="1">
        <f t="shared" si="2"/>
        <v>2017</v>
      </c>
      <c r="AD5" s="1">
        <f t="shared" si="2"/>
        <v>2018</v>
      </c>
      <c r="AE5" s="1">
        <f t="shared" si="2"/>
        <v>2019</v>
      </c>
      <c r="AF5" s="1">
        <f t="shared" si="2"/>
        <v>2020</v>
      </c>
      <c r="AG5" s="1">
        <f t="shared" si="2"/>
        <v>2021</v>
      </c>
      <c r="AH5" s="1">
        <f t="shared" si="2"/>
        <v>2022</v>
      </c>
      <c r="AI5" s="1">
        <f t="shared" si="2"/>
        <v>2023</v>
      </c>
      <c r="AJ5" s="1">
        <f t="shared" ref="AJ5" si="3">+AI5+1</f>
        <v>2024</v>
      </c>
      <c r="AK5" s="1">
        <f t="shared" ref="AK5" si="4">+AJ5+1</f>
        <v>2025</v>
      </c>
    </row>
    <row r="6" spans="1:38">
      <c r="B6" s="397"/>
      <c r="C6" s="397"/>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row>
    <row r="7" spans="1:38">
      <c r="A7" s="1" t="s">
        <v>1786</v>
      </c>
      <c r="B7" s="397">
        <f>ROUND(+[1]IPD!$G$37/[1]IPD!$G$37,5)</f>
        <v>1</v>
      </c>
      <c r="C7" s="397">
        <f>ROUND(+[1]IPD!$G$38/[1]IPD!$G$37,5)</f>
        <v>1.0432900000000001</v>
      </c>
      <c r="D7" s="397">
        <f>ROUND(+[1]IPD!$G$39/[1]IPD!$G$37,5)</f>
        <v>1.0717300000000001</v>
      </c>
      <c r="E7" s="397">
        <f>ROUND(+[1]IPD!$G$40/[1]IPD!$G$37,5)</f>
        <v>1.1000700000000001</v>
      </c>
      <c r="F7" s="397">
        <f>ROUND(+[1]IPD!$G$41/[1]IPD!$G$37,5)</f>
        <v>1.12405</v>
      </c>
      <c r="G7" s="397">
        <f>ROUND(+[1]IPD!$G$42/[1]IPD!$G$37,5)</f>
        <v>1.1490100000000001</v>
      </c>
      <c r="H7" s="397">
        <f>ROUND(+[1]IPD!$G$43/[1]IPD!$G$37,5)</f>
        <v>1.1719599999999999</v>
      </c>
      <c r="I7" s="397">
        <f>ROUND(+[1]IPD!$G$44/[1]IPD!$G$37,5)</f>
        <v>1.1968700000000001</v>
      </c>
      <c r="J7" s="397">
        <f>ROUND(+[1]IPD!$G$45/[1]IPD!$G$37,5)</f>
        <v>1.2104200000000001</v>
      </c>
      <c r="K7" s="397">
        <f>ROUND(+[1]IPD!$G$46/[1]IPD!$G$37,5)</f>
        <v>1.22211</v>
      </c>
      <c r="L7" s="397">
        <f>ROUND(+[1]IPD!$G$47/[1]IPD!$G$37,5)</f>
        <v>1.24824</v>
      </c>
      <c r="M7" s="397">
        <f>ROUND(+[1]IPD!$G$48/[1]IPD!$G$37,5)</f>
        <v>1.2794399999999999</v>
      </c>
      <c r="N7" s="397">
        <f>ROUND(+[1]IPD!$G$49/[1]IPD!$G$37,5)</f>
        <v>1.2952300000000001</v>
      </c>
      <c r="O7" s="397">
        <f>ROUND(+[1]IPD!$G$50/[1]IPD!$G$37,5)</f>
        <v>1.3205199999999999</v>
      </c>
      <c r="P7" s="397">
        <f>ROUND(+[1]IPD!$G$51/[1]IPD!$G$37,5)</f>
        <v>1.34921</v>
      </c>
      <c r="Q7" s="397">
        <f>ROUND(+[1]IPD!$G$52/[1]IPD!$G$37,5)</f>
        <v>1.38453</v>
      </c>
      <c r="R7" s="397">
        <f>ROUND(+[1]IPD!$G$53/[1]IPD!$G$37,5)</f>
        <v>1.4284699999999999</v>
      </c>
      <c r="S7" s="397">
        <f>ROUND(+[1]IPD!$G$54/[1]IPD!$G$37,5)</f>
        <v>1.4627600000000001</v>
      </c>
      <c r="T7" s="397">
        <f>ROUND(+[1]IPD!$G$55/[1]IPD!$G$37,5)</f>
        <v>1.5076499999999999</v>
      </c>
      <c r="U7" s="397">
        <f>ROUND(+[1]IPD!$G$56/[1]IPD!$G$37,5)</f>
        <v>1.52281</v>
      </c>
      <c r="V7" s="397">
        <f>ROUND(+[1]IPD!$G$57/[1]IPD!$G$37,5)</f>
        <v>1.5388200000000001</v>
      </c>
      <c r="W7" s="397">
        <f>ROUND(+[1]IPD!$G$58/[1]IPD!$G$37,5)</f>
        <v>1.5673699999999999</v>
      </c>
      <c r="X7" s="397">
        <f>ROUND(+[1]IPD!$G$59/[1]IPD!$G$37,5)</f>
        <v>1.6055900000000001</v>
      </c>
      <c r="Y7" s="397">
        <f>ROUND(+[1]IPD!$G$60/[1]IPD!$G$37,5)</f>
        <v>1.6296999999999999</v>
      </c>
      <c r="Z7" s="397">
        <f>ROUND(+[1]IPD!$G$61/[1]IPD!$G$37,5)</f>
        <v>1.6523300000000001</v>
      </c>
      <c r="AA7" s="397">
        <f>ROUND(+[1]IPD!$G$62/[1]IPD!$G$37,5)</f>
        <v>1.6644099999999999</v>
      </c>
      <c r="AB7" s="397">
        <f>ROUND(+[1]IPD!$G$63/[1]IPD!$G$37,5)</f>
        <v>1.67275</v>
      </c>
      <c r="AC7" s="397">
        <f>ROUND(+[1]IPD!$G$64/[1]IPD!$G$37,5)</f>
        <v>1.6981599999999999</v>
      </c>
      <c r="AD7" s="397">
        <f>ROUND(+[1]IPD!$G$65/[1]IPD!$G$37,5)</f>
        <v>1.7296499999999999</v>
      </c>
      <c r="AE7" s="397">
        <f>ROUND(+[1]IPD!$G$66/[1]IPD!$G$37,5)</f>
        <v>1.7601800000000001</v>
      </c>
      <c r="AF7" s="397">
        <f>ROUND(+[1]IPD!$G$67/[1]IPD!$G$37,5)</f>
        <v>1.78138</v>
      </c>
      <c r="AG7" s="397">
        <f>ROUND(+[1]IPD!$G$68/[1]IPD!$G$37,5)</f>
        <v>1.81847</v>
      </c>
      <c r="AH7" s="397">
        <f>ROUND(+[1]IPD!$G$69/[1]IPD!$G$37,5)</f>
        <v>1.92787</v>
      </c>
      <c r="AI7" s="397">
        <f>ROUND(+[1]IPD!$G$70/[1]IPD!$G$37,5)</f>
        <v>2.03206</v>
      </c>
      <c r="AJ7" s="397">
        <f>ROUND(+[1]IPD!$G$71/[1]IPD!$G$37,5)</f>
        <v>2.0900500000000002</v>
      </c>
      <c r="AK7" s="397">
        <f>ROUND(+[1]IPD!$G$72/[1]IPD!$G$37,5)</f>
        <v>2.1347499999999999</v>
      </c>
    </row>
    <row r="8" spans="1:38">
      <c r="A8" s="1" t="s">
        <v>1787</v>
      </c>
      <c r="B8" s="397">
        <f>ROUND(+[1]SeattleCPI!$G$33/[1]SeattleCPI!$G$33,5)</f>
        <v>1</v>
      </c>
      <c r="C8" s="397">
        <f>ROUND(+[1]SeattleCPI!$G$34/[1]SeattleCPI!$G$33,5)</f>
        <v>1.0577000000000001</v>
      </c>
      <c r="D8" s="397">
        <f>ROUND(+[1]SeattleCPI!$G$35/[1]SeattleCPI!$G$33,5)</f>
        <v>1.13839</v>
      </c>
      <c r="E8" s="397">
        <f>ROUND(+[1]SeattleCPI!$G$36/[1]SeattleCPI!$G$33,5)</f>
        <v>1.18438</v>
      </c>
      <c r="F8" s="397">
        <f>ROUND(+[1]SeattleCPI!$G$37/[1]SeattleCPI!$G$33,5)</f>
        <v>1.2238599999999999</v>
      </c>
      <c r="G8" s="397">
        <f>ROUND(+[1]SeattleCPI!$G$38/[1]SeattleCPI!$G$33,5)</f>
        <v>1.2594399999999999</v>
      </c>
      <c r="H8" s="397">
        <f>ROUND(+[1]SeattleCPI!$G$39/[1]SeattleCPI!$G$33,5)</f>
        <v>1.30325</v>
      </c>
      <c r="I8" s="397">
        <f>ROUND(+[1]SeattleCPI!$G$40/[1]SeattleCPI!$G$33,5)</f>
        <v>1.34013</v>
      </c>
      <c r="J8" s="397">
        <f>ROUND(+[1]SeattleCPI!$G$41/[1]SeattleCPI!$G$33,5)</f>
        <v>1.3939299999999999</v>
      </c>
      <c r="K8" s="397">
        <f>ROUND(+[1]SeattleCPI!$G$42/[1]SeattleCPI!$G$33,5)</f>
        <v>1.4347399999999999</v>
      </c>
      <c r="L8" s="397">
        <f>ROUND(+[1]SeattleCPI!$G$43/[1]SeattleCPI!$G$33,5)</f>
        <v>1.4771000000000001</v>
      </c>
      <c r="M8" s="397">
        <f>ROUND(+[1]SeattleCPI!$G$44/[1]SeattleCPI!$G$33,5)</f>
        <v>1.5242199999999999</v>
      </c>
      <c r="N8" s="397">
        <f>ROUND(+[1]SeattleCPI!$G$45/[1]SeattleCPI!$G$33,5)</f>
        <v>1.5858699999999999</v>
      </c>
      <c r="O8" s="397">
        <f>ROUND(+[1]SeattleCPI!$G$46/[1]SeattleCPI!$G$33,5)</f>
        <v>1.6280300000000001</v>
      </c>
      <c r="P8" s="397">
        <f>ROUND(+[1]SeattleCPI!$G$47/[1]SeattleCPI!$G$33,5)</f>
        <v>1.65706</v>
      </c>
      <c r="Q8" s="397">
        <f>ROUND(+[1]SeattleCPI!$G$48/[1]SeattleCPI!$G$33,5)</f>
        <v>1.6792400000000001</v>
      </c>
      <c r="R8" s="397">
        <f>ROUND(+[1]SeattleCPI!$G$49/[1]SeattleCPI!$G$33,5)</f>
        <v>1.7117599999999999</v>
      </c>
      <c r="S8" s="397">
        <f>ROUND(+[1]SeattleCPI!$G$50/[1]SeattleCPI!$G$33,5)</f>
        <v>1.76593</v>
      </c>
      <c r="T8" s="397">
        <f>ROUND(+[1]SeattleCPI!$G$51/[1]SeattleCPI!$G$33,5)</f>
        <v>1.8364100000000001</v>
      </c>
      <c r="U8" s="397">
        <f>ROUND(+[1]SeattleCPI!$G$52/[1]SeattleCPI!$G$33,5)</f>
        <v>1.9136500000000001</v>
      </c>
      <c r="V8" s="397">
        <f>ROUND(+[1]SeattleCPI!$G$53/[1]SeattleCPI!$G$33,5)</f>
        <v>1.95869</v>
      </c>
      <c r="W8" s="397">
        <f>ROUND(+[1]SeattleCPI!$G$54/[1]SeattleCPI!$G$33,5)</f>
        <v>1.9639899999999999</v>
      </c>
      <c r="X8" s="397">
        <f>ROUND(+[1]SeattleCPI!$G$55/[1]SeattleCPI!$G$33,5)</f>
        <v>1.9871000000000001</v>
      </c>
      <c r="Y8" s="397">
        <f>ROUND(+[1]SeattleCPI!$G$56/[1]SeattleCPI!$G$33,5)</f>
        <v>2.0480200000000002</v>
      </c>
      <c r="Z8" s="397">
        <f>ROUND(+[1]SeattleCPI!$G$57/[1]SeattleCPI!$G$33,5)</f>
        <v>2.0857199999999998</v>
      </c>
      <c r="AA8" s="397">
        <f>ROUND(+[1]SeattleCPI!$G$58/[1]SeattleCPI!$G$33,5)</f>
        <v>2.1147900000000002</v>
      </c>
      <c r="AB8" s="397">
        <f>ROUND(+[1]SeattleCPI!$G$59/[1]SeattleCPI!$G$33,5)</f>
        <v>2.1456599999999999</v>
      </c>
      <c r="AC8" s="397">
        <f>ROUND(+[1]SeattleCPI!$G$60/[1]SeattleCPI!$G$33,5)</f>
        <v>2.1872500000000001</v>
      </c>
      <c r="AD8" s="397">
        <f>ROUND(+[1]SeattleCPI!$G$61/[1]SeattleCPI!$G$33,5)</f>
        <v>2.2466300000000001</v>
      </c>
      <c r="AE8" s="397">
        <f>ROUND(+[1]SeattleCPI!$G$62/[1]SeattleCPI!$G$33,5)</f>
        <v>2.3173499999999998</v>
      </c>
      <c r="AF8" s="397">
        <f>ROUND(+[1]SeattleCPI!$G$63/[1]SeattleCPI!$G$33,5)</f>
        <v>2.3817200000000001</v>
      </c>
      <c r="AG8" s="397">
        <f>ROUND(+[1]SeattleCPI!$G$64/[1]SeattleCPI!$G$33,5)</f>
        <v>2.4317700000000002</v>
      </c>
      <c r="AH8" s="397">
        <f>ROUND(+[1]SeattleCPI!$G$65/[1]SeattleCPI!$G$33,5)</f>
        <v>2.49112</v>
      </c>
      <c r="AI8" s="397">
        <f>ROUND(+[1]SeattleCPI!$G$66/[1]SeattleCPI!$G$33,5)</f>
        <v>2.6802999999999999</v>
      </c>
      <c r="AJ8" s="397">
        <f>ROUND(+[1]SeattleCPI!$G$67/[1]SeattleCPI!$G$33,5)</f>
        <v>2.89072</v>
      </c>
      <c r="AK8" s="397">
        <f>ROUND(+[1]SeattleCPI!$G$68/[1]SeattleCPI!$G$33,5)</f>
        <v>3.0220899999999999</v>
      </c>
    </row>
    <row r="9" spans="1:38">
      <c r="A9" s="9" t="s">
        <v>1783</v>
      </c>
      <c r="B9" s="396">
        <f>+'[1]Income-PerCap'!$C$36</f>
        <v>19575.71338677096</v>
      </c>
      <c r="C9" s="396">
        <f>+'[1]Income-PerCap'!$C$37</f>
        <v>20670.480486939949</v>
      </c>
      <c r="D9" s="396">
        <f>+'[1]Income-PerCap'!$C$38</f>
        <v>21783.708538787359</v>
      </c>
      <c r="E9" s="396">
        <f>+'[1]Income-PerCap'!$C$39</f>
        <v>22851.450149937049</v>
      </c>
      <c r="F9" s="396">
        <f>+'[1]Income-PerCap'!$C$40</f>
        <v>23433.206168300134</v>
      </c>
      <c r="G9" s="396">
        <f>+'[1]Income-PerCap'!$C$41</f>
        <v>24256.616358000811</v>
      </c>
      <c r="H9" s="396">
        <f>+'[1]Income-PerCap'!$C$42</f>
        <v>25394.114706295117</v>
      </c>
      <c r="I9" s="396">
        <f>+'[1]Income-PerCap'!$C$43</f>
        <v>26871.273896862509</v>
      </c>
      <c r="J9" s="396">
        <f>+'[1]Income-PerCap'!$C$44</f>
        <v>28602.326083958931</v>
      </c>
      <c r="K9" s="396">
        <f>+'[1]Income-PerCap'!$C$45</f>
        <v>30179.679224301548</v>
      </c>
      <c r="L9" s="396">
        <f>+'[1]Income-PerCap'!$C$46</f>
        <v>31964.126922521551</v>
      </c>
      <c r="M9" s="396">
        <f>+'[1]Income-PerCap'!$C$47</f>
        <v>32900.557967626148</v>
      </c>
      <c r="N9" s="396">
        <f>+'[1]Income-PerCap'!$C$48</f>
        <v>32782.150679654653</v>
      </c>
      <c r="O9" s="396">
        <f>+'[1]Income-PerCap'!$C$49</f>
        <v>33468.909513250837</v>
      </c>
      <c r="P9" s="396">
        <f>+'[1]Income-PerCap'!$C$50</f>
        <v>34581.389925335447</v>
      </c>
      <c r="Q9" s="396">
        <f>+'[1]Income-PerCap'!$C$51</f>
        <v>36760.428734804307</v>
      </c>
      <c r="R9" s="396">
        <f>+'[1]Income-PerCap'!$C$52</f>
        <v>38062.408972509598</v>
      </c>
      <c r="S9" s="396">
        <f>+'[1]Income-PerCap'!$C$53</f>
        <v>40519.087350547015</v>
      </c>
      <c r="T9" s="396">
        <f>+'[1]Income-PerCap'!$C$54</f>
        <v>43204.706176057138</v>
      </c>
      <c r="U9" s="396">
        <f>+'[1]Income-PerCap'!$C$55</f>
        <v>42654.669620742585</v>
      </c>
      <c r="V9" s="396">
        <f>+'[1]Income-PerCap'!$C$56</f>
        <v>41684.494414700705</v>
      </c>
      <c r="W9" s="396">
        <f>+'[1]Income-PerCap'!$C$57</f>
        <v>43298.82872285632</v>
      </c>
      <c r="X9" s="396">
        <f>+'[1]Income-PerCap'!$C$58</f>
        <v>45591.951897112827</v>
      </c>
      <c r="Y9" s="396">
        <f>+'[1]Income-PerCap'!$C$59</f>
        <v>47312.987721902005</v>
      </c>
      <c r="Z9" s="396">
        <f>+'[1]Income-PerCap'!$C$60</f>
        <v>48606.323488450245</v>
      </c>
      <c r="AA9" s="396">
        <f>+'[1]Income-PerCap'!$C$61</f>
        <v>51567.476031895581</v>
      </c>
      <c r="AB9" s="396">
        <f>+'[1]Income-PerCap'!$C$62</f>
        <v>53231.965848870626</v>
      </c>
      <c r="AC9" s="396">
        <f>+'[1]Income-PerCap'!$C$63</f>
        <v>55504.224729318492</v>
      </c>
      <c r="AD9" s="396">
        <f>+'[1]Income-PerCap'!$C$64</f>
        <v>58266.939270953786</v>
      </c>
      <c r="AE9" s="396">
        <f>+'[1]Income-PerCap'!$C$65</f>
        <v>61794.86643334879</v>
      </c>
      <c r="AF9" s="396">
        <f>+'[1]Income-PerCap'!$C$66</f>
        <v>65636.813854677996</v>
      </c>
      <c r="AG9" s="396">
        <f>+'[1]Income-PerCap'!$C$67</f>
        <v>71133.921995762197</v>
      </c>
      <c r="AH9" s="396">
        <f>+'[1]Income-PerCap'!$C$68</f>
        <v>73796.894545441901</v>
      </c>
      <c r="AI9" s="396">
        <f>+'[1]Income-PerCap'!$C$69</f>
        <v>78137.568164158743</v>
      </c>
      <c r="AJ9" s="396">
        <f>+'[1]Income-PerCap'!$C$70</f>
        <v>82740.010206638137</v>
      </c>
      <c r="AK9" s="396">
        <f>+'[1]Income-PerCap'!$C$71</f>
        <v>86777.11469269931</v>
      </c>
      <c r="AL9" s="396"/>
    </row>
    <row r="10" spans="1:38">
      <c r="A10" s="9"/>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row>
    <row r="11" spans="1:38">
      <c r="A11" s="1745"/>
      <c r="B11" s="207"/>
      <c r="C11" s="207"/>
      <c r="D11" s="207"/>
      <c r="E11" s="207"/>
      <c r="F11" s="207"/>
      <c r="G11" s="207"/>
      <c r="H11" s="207"/>
      <c r="I11" s="207"/>
      <c r="J11" s="207"/>
      <c r="K11" s="207"/>
      <c r="L11" s="207"/>
      <c r="M11" s="207"/>
      <c r="N11" s="207"/>
      <c r="O11" s="207"/>
      <c r="P11" s="207"/>
      <c r="Q11" s="207"/>
      <c r="R11" s="207"/>
      <c r="S11" s="207"/>
      <c r="T11" s="207"/>
      <c r="U11" s="207"/>
    </row>
    <row r="12" spans="1:38" ht="18.75">
      <c r="A12" s="10" t="s">
        <v>17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row>
    <row r="14" spans="1:38">
      <c r="A14" s="1" t="s">
        <v>1177</v>
      </c>
      <c r="B14" s="11"/>
      <c r="C14" s="15">
        <f>+C7/B7-1</f>
        <v>4.3290000000000051E-2</v>
      </c>
      <c r="D14" s="15">
        <f t="shared" ref="D14:AE14" si="5">+D7/C7-1</f>
        <v>2.7259918143565098E-2</v>
      </c>
      <c r="E14" s="15">
        <f t="shared" si="5"/>
        <v>2.6443227305384731E-2</v>
      </c>
      <c r="F14" s="15">
        <f t="shared" si="5"/>
        <v>2.1798612815548069E-2</v>
      </c>
      <c r="G14" s="15">
        <f t="shared" si="5"/>
        <v>2.2205417908456093E-2</v>
      </c>
      <c r="H14" s="15">
        <f t="shared" si="5"/>
        <v>1.9973716503772554E-2</v>
      </c>
      <c r="I14" s="15">
        <f t="shared" si="5"/>
        <v>2.125499163794009E-2</v>
      </c>
      <c r="J14" s="15">
        <f t="shared" si="5"/>
        <v>1.1321196119879362E-2</v>
      </c>
      <c r="K14" s="15">
        <f t="shared" si="5"/>
        <v>9.6578047289370694E-3</v>
      </c>
      <c r="L14" s="15">
        <f t="shared" si="5"/>
        <v>2.1381054078601691E-2</v>
      </c>
      <c r="M14" s="15">
        <f t="shared" si="5"/>
        <v>2.4995193232070667E-2</v>
      </c>
      <c r="N14" s="15">
        <f t="shared" si="5"/>
        <v>1.2341336834865491E-2</v>
      </c>
      <c r="O14" s="15">
        <f t="shared" si="5"/>
        <v>1.9525489681369246E-2</v>
      </c>
      <c r="P14" s="15">
        <f t="shared" si="5"/>
        <v>2.1726289643473784E-2</v>
      </c>
      <c r="Q14" s="15">
        <f t="shared" si="5"/>
        <v>2.6178282105824957E-2</v>
      </c>
      <c r="R14" s="15">
        <f t="shared" si="5"/>
        <v>3.1736401522538316E-2</v>
      </c>
      <c r="S14" s="15">
        <f t="shared" si="5"/>
        <v>2.400470433400792E-2</v>
      </c>
      <c r="T14" s="15">
        <f t="shared" si="5"/>
        <v>3.0688561349777155E-2</v>
      </c>
      <c r="U14" s="15">
        <f t="shared" si="5"/>
        <v>1.0055384207209972E-2</v>
      </c>
      <c r="V14" s="15">
        <f t="shared" si="5"/>
        <v>1.0513458671797649E-2</v>
      </c>
      <c r="W14" s="15">
        <f t="shared" si="5"/>
        <v>1.8553177109733365E-2</v>
      </c>
      <c r="X14" s="15">
        <f t="shared" si="5"/>
        <v>2.4384797463266494E-2</v>
      </c>
      <c r="Y14" s="15">
        <f t="shared" si="5"/>
        <v>1.5016286847825411E-2</v>
      </c>
      <c r="Z14" s="15">
        <f t="shared" si="5"/>
        <v>1.3885991286739952E-2</v>
      </c>
      <c r="AA14" s="15">
        <f t="shared" si="5"/>
        <v>7.3108882608194925E-3</v>
      </c>
      <c r="AB14" s="15">
        <f t="shared" si="5"/>
        <v>5.0107846023514924E-3</v>
      </c>
      <c r="AC14" s="15">
        <f t="shared" si="5"/>
        <v>1.519055447616191E-2</v>
      </c>
      <c r="AD14" s="15">
        <f t="shared" si="5"/>
        <v>1.8543600131907478E-2</v>
      </c>
      <c r="AE14" s="15">
        <f t="shared" si="5"/>
        <v>1.7650969849391629E-2</v>
      </c>
      <c r="AF14" s="15">
        <f t="shared" ref="AF14:AG15" si="6">+AF7/AE7-1</f>
        <v>1.2044222749945988E-2</v>
      </c>
      <c r="AG14" s="15">
        <f t="shared" si="6"/>
        <v>2.0820936577260474E-2</v>
      </c>
      <c r="AH14" s="15">
        <f t="shared" ref="AH14:AH16" si="7">+AH7/AG7-1</f>
        <v>6.0160464566366256E-2</v>
      </c>
      <c r="AI14" s="15">
        <f t="shared" ref="AI14:AI16" si="8">+AI7/AH7-1</f>
        <v>5.4044100483953805E-2</v>
      </c>
      <c r="AJ14" s="15">
        <f t="shared" ref="AJ14:AJ16" si="9">+AJ7/AI7-1</f>
        <v>2.8537543182780123E-2</v>
      </c>
      <c r="AK14" s="15">
        <f t="shared" ref="AK14:AK15" si="10">+AK7/AJ7-1</f>
        <v>2.1387048156742638E-2</v>
      </c>
    </row>
    <row r="15" spans="1:38" ht="15.75">
      <c r="A15" s="1" t="s">
        <v>18</v>
      </c>
      <c r="B15" s="11"/>
      <c r="C15" s="15">
        <f>+C8/B8-1</f>
        <v>5.7700000000000085E-2</v>
      </c>
      <c r="D15" s="15">
        <f t="shared" ref="D15:AE15" si="11">+D8/C8-1</f>
        <v>7.6288172449654912E-2</v>
      </c>
      <c r="E15" s="15">
        <f t="shared" si="11"/>
        <v>4.039916021750023E-2</v>
      </c>
      <c r="F15" s="15">
        <f t="shared" si="11"/>
        <v>3.3333896215741454E-2</v>
      </c>
      <c r="G15" s="15">
        <f t="shared" si="11"/>
        <v>2.9071952674325496E-2</v>
      </c>
      <c r="H15" s="15">
        <f t="shared" si="11"/>
        <v>3.4785301403798652E-2</v>
      </c>
      <c r="I15" s="15">
        <f t="shared" si="11"/>
        <v>2.8298484557836234E-2</v>
      </c>
      <c r="J15" s="15">
        <f t="shared" si="11"/>
        <v>4.0145359032332628E-2</v>
      </c>
      <c r="K15" s="15">
        <f t="shared" si="11"/>
        <v>2.9276936431528178E-2</v>
      </c>
      <c r="L15" s="15">
        <f t="shared" si="11"/>
        <v>2.9524513152208831E-2</v>
      </c>
      <c r="M15" s="15">
        <f t="shared" si="11"/>
        <v>3.1900345271139274E-2</v>
      </c>
      <c r="N15" s="15">
        <f t="shared" si="11"/>
        <v>4.0446917111703007E-2</v>
      </c>
      <c r="O15" s="15">
        <f t="shared" si="11"/>
        <v>2.6584776810205213E-2</v>
      </c>
      <c r="P15" s="15">
        <f t="shared" si="11"/>
        <v>1.7831366743856103E-2</v>
      </c>
      <c r="Q15" s="15">
        <f t="shared" si="11"/>
        <v>1.3385152016221591E-2</v>
      </c>
      <c r="R15" s="15">
        <f t="shared" si="11"/>
        <v>1.936590362306756E-2</v>
      </c>
      <c r="S15" s="15">
        <f t="shared" si="11"/>
        <v>3.1645791466093476E-2</v>
      </c>
      <c r="T15" s="15">
        <f t="shared" si="11"/>
        <v>3.9910981748993546E-2</v>
      </c>
      <c r="U15" s="15">
        <f t="shared" si="11"/>
        <v>4.2060324219536982E-2</v>
      </c>
      <c r="V15" s="15">
        <f t="shared" si="11"/>
        <v>2.3536174326548753E-2</v>
      </c>
      <c r="W15" s="15">
        <f t="shared" si="11"/>
        <v>2.7058901612810882E-3</v>
      </c>
      <c r="X15" s="15">
        <f t="shared" si="11"/>
        <v>1.1766862356733077E-2</v>
      </c>
      <c r="Y15" s="15">
        <f t="shared" si="11"/>
        <v>3.0657742438729763E-2</v>
      </c>
      <c r="Z15" s="15">
        <f t="shared" si="11"/>
        <v>1.8408023359146597E-2</v>
      </c>
      <c r="AA15" s="15">
        <f t="shared" si="11"/>
        <v>1.3937633047580889E-2</v>
      </c>
      <c r="AB15" s="15">
        <f t="shared" si="11"/>
        <v>1.4597194047635709E-2</v>
      </c>
      <c r="AC15" s="15">
        <f t="shared" si="11"/>
        <v>1.9383313292879789E-2</v>
      </c>
      <c r="AD15" s="15">
        <f t="shared" si="11"/>
        <v>2.7148245513773039E-2</v>
      </c>
      <c r="AE15" s="15">
        <f t="shared" si="11"/>
        <v>3.1478258547246174E-2</v>
      </c>
      <c r="AF15" s="15">
        <f t="shared" si="6"/>
        <v>2.7777418171618606E-2</v>
      </c>
      <c r="AG15" s="15">
        <f t="shared" si="6"/>
        <v>2.1014225013855636E-2</v>
      </c>
      <c r="AH15" s="15">
        <f t="shared" si="7"/>
        <v>2.4406091036569988E-2</v>
      </c>
      <c r="AI15" s="15">
        <f t="shared" si="8"/>
        <v>7.5941745078518919E-2</v>
      </c>
      <c r="AJ15" s="15">
        <f t="shared" si="9"/>
        <v>7.8506137372682083E-2</v>
      </c>
      <c r="AK15" s="15">
        <f t="shared" si="10"/>
        <v>4.5445425361155589E-2</v>
      </c>
    </row>
    <row r="16" spans="1:38">
      <c r="A16" s="9" t="s">
        <v>1783</v>
      </c>
      <c r="B16" s="12"/>
      <c r="C16" s="15">
        <f t="shared" ref="C16:AG16" si="12">+C9/B9-1</f>
        <v>5.5924761388712385E-2</v>
      </c>
      <c r="D16" s="15">
        <f t="shared" si="12"/>
        <v>5.3855934918918491E-2</v>
      </c>
      <c r="E16" s="15">
        <f t="shared" si="12"/>
        <v>4.9015603070914349E-2</v>
      </c>
      <c r="F16" s="15">
        <f t="shared" si="12"/>
        <v>2.5458166310932784E-2</v>
      </c>
      <c r="G16" s="15">
        <f t="shared" si="12"/>
        <v>3.5138605608931339E-2</v>
      </c>
      <c r="H16" s="15">
        <f t="shared" si="12"/>
        <v>4.6894353750996931E-2</v>
      </c>
      <c r="I16" s="15">
        <f t="shared" si="12"/>
        <v>5.816935174358373E-2</v>
      </c>
      <c r="J16" s="15">
        <f t="shared" si="12"/>
        <v>6.4420175751271014E-2</v>
      </c>
      <c r="K16" s="15">
        <f t="shared" si="12"/>
        <v>5.5147722451400316E-2</v>
      </c>
      <c r="L16" s="15">
        <f t="shared" si="12"/>
        <v>5.9127457417874618E-2</v>
      </c>
      <c r="M16" s="15">
        <f t="shared" si="12"/>
        <v>2.9296312312062422E-2</v>
      </c>
      <c r="N16" s="15">
        <f t="shared" si="12"/>
        <v>-3.5989446771087508E-3</v>
      </c>
      <c r="O16" s="15">
        <f t="shared" si="12"/>
        <v>2.0949169574234316E-2</v>
      </c>
      <c r="P16" s="15">
        <f t="shared" si="12"/>
        <v>3.323921897258586E-2</v>
      </c>
      <c r="Q16" s="15">
        <f t="shared" si="12"/>
        <v>6.301189206603941E-2</v>
      </c>
      <c r="R16" s="15">
        <f t="shared" si="12"/>
        <v>3.5417982937522074E-2</v>
      </c>
      <c r="S16" s="15">
        <f t="shared" si="12"/>
        <v>6.4543428657175772E-2</v>
      </c>
      <c r="T16" s="15">
        <f t="shared" si="12"/>
        <v>6.6280338505054326E-2</v>
      </c>
      <c r="U16" s="15">
        <f t="shared" si="12"/>
        <v>-1.273094077004433E-2</v>
      </c>
      <c r="V16" s="15">
        <f t="shared" si="12"/>
        <v>-2.2744876813442505E-2</v>
      </c>
      <c r="W16" s="15">
        <f t="shared" si="12"/>
        <v>3.8727453237055398E-2</v>
      </c>
      <c r="X16" s="15">
        <f t="shared" si="12"/>
        <v>5.2960397357031175E-2</v>
      </c>
      <c r="Y16" s="15">
        <f t="shared" si="12"/>
        <v>3.7748676096891698E-2</v>
      </c>
      <c r="Z16" s="15">
        <f t="shared" si="12"/>
        <v>2.7335744978741472E-2</v>
      </c>
      <c r="AA16" s="15">
        <f t="shared" si="12"/>
        <v>6.0921138052108859E-2</v>
      </c>
      <c r="AB16" s="15">
        <f t="shared" si="12"/>
        <v>3.2277899658023301E-2</v>
      </c>
      <c r="AC16" s="15">
        <f t="shared" si="12"/>
        <v>4.2685984712624858E-2</v>
      </c>
      <c r="AD16" s="15">
        <f t="shared" si="12"/>
        <v>4.9774851465963721E-2</v>
      </c>
      <c r="AE16" s="15">
        <f t="shared" si="12"/>
        <v>6.0547665735270373E-2</v>
      </c>
      <c r="AF16" s="15">
        <f t="shared" si="12"/>
        <v>6.2172598519540268E-2</v>
      </c>
      <c r="AG16" s="15">
        <f t="shared" si="12"/>
        <v>8.3750380590608353E-2</v>
      </c>
      <c r="AH16" s="15">
        <f t="shared" si="7"/>
        <v>3.7436042818479009E-2</v>
      </c>
      <c r="AI16" s="15">
        <f t="shared" si="8"/>
        <v>5.8819190772912311E-2</v>
      </c>
      <c r="AJ16" s="15">
        <f t="shared" si="9"/>
        <v>5.8901782466663777E-2</v>
      </c>
      <c r="AK16" s="15">
        <f>+AK9/AJ9-1</f>
        <v>4.8792651535559894E-2</v>
      </c>
    </row>
    <row r="18" spans="1:45">
      <c r="A18" s="1" t="s">
        <v>15</v>
      </c>
      <c r="C18" s="15">
        <f>+[1]I601GrowthFactors!$D$8</f>
        <v>0</v>
      </c>
      <c r="D18" s="15">
        <f>+[1]I601GrowthFactors!$D$9</f>
        <v>6.08E-2</v>
      </c>
      <c r="E18" s="15">
        <f>+[1]I601GrowthFactors!$D$10</f>
        <v>7.0199999999999999E-2</v>
      </c>
      <c r="F18" s="15">
        <f>+[1]I601GrowthFactors!$D$11</f>
        <v>7.4300000000000005E-2</v>
      </c>
      <c r="G18" s="15">
        <f>+[1]I601GrowthFactors!$D$12</f>
        <v>7.1800000000000003E-2</v>
      </c>
      <c r="H18" s="15">
        <f>+[1]I601GrowthFactors!$D$13</f>
        <v>6.2100000000000002E-2</v>
      </c>
      <c r="I18" s="15">
        <f>+[1]I601GrowthFactors!$D$14</f>
        <v>5.1299999999999998E-2</v>
      </c>
      <c r="J18" s="15">
        <f>+[1]I601GrowthFactors!$D$15</f>
        <v>4.4499999999999998E-2</v>
      </c>
      <c r="K18" s="15">
        <f>+[1]I601GrowthFactors!$D$16</f>
        <v>4.0500000000000001E-2</v>
      </c>
      <c r="L18" s="15">
        <f>+[1]I601GrowthFactors!$D$17</f>
        <v>4.1799999999999997E-2</v>
      </c>
      <c r="M18" s="15">
        <f>+[1]I601GrowthFactors!$D$18</f>
        <v>3.32E-2</v>
      </c>
      <c r="N18" s="15">
        <f>+[1]I601GrowthFactors!$D$19</f>
        <v>2.87E-2</v>
      </c>
      <c r="O18" s="15">
        <f>+[1]I601GrowthFactors!$D$20</f>
        <v>2.7900000000000001E-2</v>
      </c>
      <c r="P18" s="15">
        <f>+[1]I601GrowthFactors!$D$21</f>
        <v>3.2899999999999999E-2</v>
      </c>
      <c r="Q18" s="15">
        <f>+[1]I601GrowthFactors!$D$22</f>
        <v>3.2000000000000001E-2</v>
      </c>
      <c r="R18" s="15">
        <f>+[1]I601GrowthFactors!$D$23</f>
        <v>3.0300000000000001E-2</v>
      </c>
      <c r="S18" s="15">
        <f>+[1]I601GrowthFactors!$D$24</f>
        <v>2.8199999999999999E-2</v>
      </c>
      <c r="T18" s="15">
        <f>+[1]I601GrowthFactors!$D$25</f>
        <v>3.3799999999999997E-2</v>
      </c>
      <c r="U18" s="15">
        <f>+[1]I601GrowthFactors!$D$26</f>
        <v>5.5300000000000002E-2</v>
      </c>
      <c r="V18" s="15">
        <f>+[1]I601GrowthFactors!$D$27</f>
        <v>5.57E-2</v>
      </c>
      <c r="W18" s="15">
        <f>+[1]I601GrowthFactors!$D$28</f>
        <v>5.1999999999999998E-2</v>
      </c>
      <c r="X18" s="15">
        <f>+[1]I601GrowthFactors!$D$29</f>
        <v>4.1700000000000001E-2</v>
      </c>
      <c r="Y18" s="15">
        <f>+[1]I601GrowthFactors!$D$30</f>
        <v>4.3400000000000001E-2</v>
      </c>
      <c r="Z18" s="15">
        <f>+[1]I601GrowthFactors!$D$31</f>
        <v>4.3999999999999997E-2</v>
      </c>
      <c r="AA18" s="15">
        <f>+[1]I601GrowthFactors!$D$32</f>
        <v>4.65E-2</v>
      </c>
      <c r="AB18" s="15">
        <f>+[1]I601GrowthFactors!$D$33</f>
        <v>4.48E-2</v>
      </c>
      <c r="AC18" s="15">
        <f>+[1]I601GrowthFactors!$D$34</f>
        <v>4.3299999999999998E-2</v>
      </c>
      <c r="AD18" s="15">
        <f>+[1]I601GrowthFactors!$D$35</f>
        <v>4.3700000000000003E-2</v>
      </c>
      <c r="AE18" s="15">
        <f>+[1]I601GrowthFactors!$D$36</f>
        <v>4.0800000000000003E-2</v>
      </c>
      <c r="AF18" s="15">
        <f>+[1]I601GrowthFactors!$D$37</f>
        <v>0.04</v>
      </c>
      <c r="AG18" s="15">
        <f>+[1]I601GrowthFactors!$D$38</f>
        <v>5.0799999999999998E-2</v>
      </c>
      <c r="AH18" s="15">
        <f>+[1]I601GrowthFactors!$D$39</f>
        <v>5.91E-2</v>
      </c>
      <c r="AI18" s="15">
        <f>+[1]I601GrowthFactors!$D$40</f>
        <v>0.06</v>
      </c>
      <c r="AJ18" s="15">
        <f>+[1]I601GrowthFactors!$D$40</f>
        <v>0.06</v>
      </c>
      <c r="AK18" s="15">
        <f>+[1]I601GrowthFactors!$D$40</f>
        <v>0.06</v>
      </c>
      <c r="AL18" s="15"/>
      <c r="AM18" s="15"/>
      <c r="AN18" s="15"/>
      <c r="AO18" s="15"/>
      <c r="AP18" s="15"/>
      <c r="AQ18" s="15"/>
      <c r="AR18" s="15"/>
      <c r="AS18" s="15"/>
    </row>
    <row r="19" spans="1:45" ht="15.75">
      <c r="A19" s="16"/>
    </row>
    <row r="20" spans="1:45">
      <c r="A20" s="1" t="str">
        <f>"IPD, CPI, and Income measures from "&amp;TRIM(MID([1]IPD!$C$1,6,100))</f>
        <v>IPD, CPI, and Income measures from Economic and Revenue Forecast Council (ERFC)--data corresponds to November 2024 Update</v>
      </c>
    </row>
    <row r="21" spans="1:45">
      <c r="A21" s="1" t="str">
        <f>+[1]I601GrowthFactors!$B$1</f>
        <v xml:space="preserve">Initiative 601 (I-601) Fiscal Growth Factors from Economic and Revenue Forecast Notebook </v>
      </c>
    </row>
    <row r="23" spans="1:45">
      <c r="A23" s="1" t="str">
        <f>TRIM(+OperatingFunds!B170)</f>
        <v/>
      </c>
    </row>
  </sheetData>
  <phoneticPr fontId="0" type="noConversion"/>
  <pageMargins left="0.5" right="0.5" top="1" bottom="1" header="0.5" footer="0.5"/>
  <pageSetup scale="2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E78"/>
  <sheetViews>
    <sheetView workbookViewId="0"/>
  </sheetViews>
  <sheetFormatPr defaultColWidth="7" defaultRowHeight="12.75"/>
  <cols>
    <col min="1" max="1" width="8.875" style="337" bestFit="1" customWidth="1"/>
    <col min="2" max="2" width="30.625" style="337" customWidth="1"/>
    <col min="3" max="5" width="9.625" style="337" customWidth="1"/>
    <col min="6" max="16384" width="7" style="337"/>
  </cols>
  <sheetData>
    <row r="1" spans="1:5">
      <c r="A1" s="340" t="s">
        <v>245</v>
      </c>
      <c r="B1" s="336" t="s">
        <v>392</v>
      </c>
      <c r="C1" s="336"/>
      <c r="D1" s="336"/>
      <c r="E1" s="336"/>
    </row>
    <row r="2" spans="1:5">
      <c r="B2" s="336" t="s">
        <v>2</v>
      </c>
      <c r="C2" s="336"/>
      <c r="D2" s="336"/>
      <c r="E2" s="336"/>
    </row>
    <row r="3" spans="1:5">
      <c r="B3" s="336" t="s">
        <v>248</v>
      </c>
      <c r="C3" s="336"/>
      <c r="D3" s="336"/>
      <c r="E3" s="336"/>
    </row>
    <row r="4" spans="1:5">
      <c r="B4" s="338" t="s">
        <v>1</v>
      </c>
      <c r="C4" s="338"/>
      <c r="D4" s="338"/>
      <c r="E4" s="338"/>
    </row>
    <row r="6" spans="1:5">
      <c r="C6" s="336" t="s">
        <v>395</v>
      </c>
      <c r="D6" s="336"/>
      <c r="E6" s="336"/>
    </row>
    <row r="7" spans="1:5">
      <c r="B7" s="339"/>
      <c r="C7" s="383" t="s">
        <v>393</v>
      </c>
      <c r="D7" s="383" t="s">
        <v>77</v>
      </c>
      <c r="E7" s="383" t="s">
        <v>394</v>
      </c>
    </row>
    <row r="8" spans="1:5">
      <c r="B8" s="340" t="s">
        <v>396</v>
      </c>
      <c r="C8" s="337">
        <v>0</v>
      </c>
      <c r="D8" s="337">
        <v>222</v>
      </c>
      <c r="E8" s="337">
        <v>-222</v>
      </c>
    </row>
    <row r="9" spans="1:5">
      <c r="B9" s="340" t="s">
        <v>397</v>
      </c>
      <c r="C9" s="380">
        <v>12913</v>
      </c>
      <c r="D9" s="380">
        <v>13009</v>
      </c>
      <c r="E9" s="337">
        <v>-96</v>
      </c>
    </row>
    <row r="10" spans="1:5">
      <c r="B10" s="340" t="s">
        <v>398</v>
      </c>
      <c r="C10" s="382">
        <v>9289</v>
      </c>
      <c r="D10" s="382">
        <v>5413</v>
      </c>
      <c r="E10" s="382">
        <v>3876</v>
      </c>
    </row>
    <row r="11" spans="1:5">
      <c r="B11" s="341" t="s">
        <v>194</v>
      </c>
      <c r="C11" s="381">
        <v>22201</v>
      </c>
      <c r="D11" s="381">
        <v>18644</v>
      </c>
      <c r="E11" s="381">
        <v>3557</v>
      </c>
    </row>
    <row r="14" spans="1:5">
      <c r="A14" s="340" t="s">
        <v>265</v>
      </c>
      <c r="B14" s="336" t="s">
        <v>392</v>
      </c>
      <c r="C14" s="336"/>
      <c r="D14" s="336"/>
      <c r="E14" s="336"/>
    </row>
    <row r="15" spans="1:5">
      <c r="B15" s="336" t="s">
        <v>3</v>
      </c>
      <c r="C15" s="336"/>
      <c r="D15" s="336"/>
      <c r="E15" s="336"/>
    </row>
    <row r="16" spans="1:5">
      <c r="B16" s="336" t="s">
        <v>248</v>
      </c>
      <c r="C16" s="336"/>
      <c r="D16" s="336"/>
      <c r="E16" s="336"/>
    </row>
    <row r="17" spans="1:5">
      <c r="B17" s="338" t="s">
        <v>1</v>
      </c>
      <c r="C17" s="338"/>
      <c r="D17" s="338"/>
      <c r="E17" s="338"/>
    </row>
    <row r="19" spans="1:5">
      <c r="C19" s="336" t="s">
        <v>395</v>
      </c>
      <c r="D19" s="336"/>
      <c r="E19" s="336"/>
    </row>
    <row r="20" spans="1:5">
      <c r="B20" s="339"/>
      <c r="C20" s="383" t="s">
        <v>393</v>
      </c>
      <c r="D20" s="383" t="s">
        <v>77</v>
      </c>
      <c r="E20" s="383" t="s">
        <v>394</v>
      </c>
    </row>
    <row r="21" spans="1:5">
      <c r="B21" s="340" t="s">
        <v>399</v>
      </c>
      <c r="C21" s="382">
        <v>5058</v>
      </c>
      <c r="D21" s="382">
        <v>5058</v>
      </c>
      <c r="E21" s="339">
        <v>0</v>
      </c>
    </row>
    <row r="22" spans="1:5">
      <c r="B22" s="341" t="s">
        <v>194</v>
      </c>
      <c r="C22" s="381">
        <v>5058</v>
      </c>
      <c r="D22" s="381">
        <v>5058</v>
      </c>
      <c r="E22" s="378">
        <v>0</v>
      </c>
    </row>
    <row r="25" spans="1:5">
      <c r="A25" s="340" t="s">
        <v>270</v>
      </c>
      <c r="B25" s="336" t="s">
        <v>392</v>
      </c>
      <c r="C25" s="336"/>
      <c r="D25" s="336"/>
      <c r="E25" s="336"/>
    </row>
    <row r="26" spans="1:5">
      <c r="B26" s="336" t="s">
        <v>4</v>
      </c>
      <c r="C26" s="336"/>
      <c r="D26" s="336"/>
      <c r="E26" s="336"/>
    </row>
    <row r="27" spans="1:5">
      <c r="B27" s="336" t="s">
        <v>248</v>
      </c>
      <c r="C27" s="336"/>
      <c r="D27" s="336"/>
      <c r="E27" s="336"/>
    </row>
    <row r="28" spans="1:5">
      <c r="B28" s="338" t="s">
        <v>1</v>
      </c>
      <c r="C28" s="338"/>
      <c r="D28" s="338"/>
      <c r="E28" s="338"/>
    </row>
    <row r="30" spans="1:5">
      <c r="C30" s="336" t="s">
        <v>395</v>
      </c>
      <c r="D30" s="336"/>
      <c r="E30" s="336"/>
    </row>
    <row r="31" spans="1:5">
      <c r="B31" s="339"/>
      <c r="C31" s="383" t="s">
        <v>393</v>
      </c>
      <c r="D31" s="383" t="s">
        <v>77</v>
      </c>
      <c r="E31" s="383" t="s">
        <v>394</v>
      </c>
    </row>
    <row r="32" spans="1:5">
      <c r="B32" s="340" t="s">
        <v>399</v>
      </c>
      <c r="C32" s="382">
        <v>1104</v>
      </c>
      <c r="D32" s="382">
        <v>1452</v>
      </c>
      <c r="E32" s="339">
        <v>-348</v>
      </c>
    </row>
    <row r="33" spans="1:5">
      <c r="B33" s="341" t="s">
        <v>194</v>
      </c>
      <c r="C33" s="381">
        <v>1104</v>
      </c>
      <c r="D33" s="381">
        <v>1452</v>
      </c>
      <c r="E33" s="378">
        <v>-348</v>
      </c>
    </row>
    <row r="36" spans="1:5">
      <c r="A36" s="340" t="s">
        <v>271</v>
      </c>
      <c r="B36" s="336" t="s">
        <v>392</v>
      </c>
      <c r="C36" s="336"/>
      <c r="D36" s="336"/>
      <c r="E36" s="336"/>
    </row>
    <row r="37" spans="1:5">
      <c r="B37" s="336" t="s">
        <v>5</v>
      </c>
      <c r="C37" s="336"/>
      <c r="D37" s="336"/>
      <c r="E37" s="336"/>
    </row>
    <row r="38" spans="1:5">
      <c r="B38" s="336" t="s">
        <v>248</v>
      </c>
      <c r="C38" s="336"/>
      <c r="D38" s="336"/>
      <c r="E38" s="336"/>
    </row>
    <row r="39" spans="1:5">
      <c r="B39" s="338" t="s">
        <v>1</v>
      </c>
      <c r="C39" s="338"/>
      <c r="D39" s="338"/>
      <c r="E39" s="338"/>
    </row>
    <row r="41" spans="1:5">
      <c r="C41" s="336" t="s">
        <v>395</v>
      </c>
      <c r="D41" s="336"/>
      <c r="E41" s="336"/>
    </row>
    <row r="42" spans="1:5">
      <c r="B42" s="339"/>
      <c r="C42" s="383" t="s">
        <v>393</v>
      </c>
      <c r="D42" s="383" t="s">
        <v>77</v>
      </c>
      <c r="E42" s="383" t="s">
        <v>394</v>
      </c>
    </row>
    <row r="43" spans="1:5">
      <c r="B43" s="340" t="s">
        <v>400</v>
      </c>
      <c r="C43" s="382">
        <v>1211</v>
      </c>
      <c r="D43" s="382">
        <v>1211</v>
      </c>
      <c r="E43" s="339">
        <v>0</v>
      </c>
    </row>
    <row r="44" spans="1:5">
      <c r="B44" s="341" t="s">
        <v>194</v>
      </c>
      <c r="C44" s="381">
        <v>1211</v>
      </c>
      <c r="D44" s="381">
        <v>1211</v>
      </c>
      <c r="E44" s="378">
        <v>0</v>
      </c>
    </row>
    <row r="47" spans="1:5">
      <c r="A47" s="340" t="s">
        <v>272</v>
      </c>
      <c r="B47" s="336" t="s">
        <v>392</v>
      </c>
      <c r="C47" s="336"/>
      <c r="D47" s="336"/>
      <c r="E47" s="336"/>
    </row>
    <row r="48" spans="1:5">
      <c r="B48" s="336" t="s">
        <v>6</v>
      </c>
      <c r="C48" s="336"/>
      <c r="D48" s="336"/>
      <c r="E48" s="336"/>
    </row>
    <row r="49" spans="1:5">
      <c r="B49" s="336" t="s">
        <v>248</v>
      </c>
      <c r="C49" s="336"/>
      <c r="D49" s="336"/>
      <c r="E49" s="336"/>
    </row>
    <row r="50" spans="1:5">
      <c r="B50" s="338" t="s">
        <v>1</v>
      </c>
      <c r="C50" s="338"/>
      <c r="D50" s="338"/>
      <c r="E50" s="338"/>
    </row>
    <row r="52" spans="1:5">
      <c r="C52" s="336" t="s">
        <v>395</v>
      </c>
      <c r="D52" s="336"/>
      <c r="E52" s="336"/>
    </row>
    <row r="53" spans="1:5">
      <c r="B53" s="339"/>
      <c r="C53" s="383" t="s">
        <v>393</v>
      </c>
      <c r="D53" s="383" t="s">
        <v>77</v>
      </c>
      <c r="E53" s="383" t="s">
        <v>394</v>
      </c>
    </row>
    <row r="54" spans="1:5">
      <c r="B54" s="340" t="s">
        <v>401</v>
      </c>
      <c r="C54" s="339">
        <v>380</v>
      </c>
      <c r="D54" s="339">
        <v>560</v>
      </c>
      <c r="E54" s="339">
        <v>-180</v>
      </c>
    </row>
    <row r="55" spans="1:5">
      <c r="B55" s="341" t="s">
        <v>194</v>
      </c>
      <c r="C55" s="378">
        <v>380</v>
      </c>
      <c r="D55" s="378">
        <v>560</v>
      </c>
      <c r="E55" s="378">
        <v>-180</v>
      </c>
    </row>
    <row r="58" spans="1:5">
      <c r="A58" s="340" t="s">
        <v>273</v>
      </c>
      <c r="B58" s="336" t="s">
        <v>392</v>
      </c>
      <c r="C58" s="336"/>
      <c r="D58" s="336"/>
      <c r="E58" s="336"/>
    </row>
    <row r="59" spans="1:5">
      <c r="B59" s="336" t="s">
        <v>7</v>
      </c>
      <c r="C59" s="336"/>
      <c r="D59" s="336"/>
      <c r="E59" s="336"/>
    </row>
    <row r="60" spans="1:5">
      <c r="B60" s="336" t="s">
        <v>248</v>
      </c>
      <c r="C60" s="336"/>
      <c r="D60" s="336"/>
      <c r="E60" s="336"/>
    </row>
    <row r="61" spans="1:5">
      <c r="B61" s="338" t="s">
        <v>1</v>
      </c>
      <c r="C61" s="338"/>
      <c r="D61" s="338"/>
      <c r="E61" s="338"/>
    </row>
    <row r="63" spans="1:5">
      <c r="C63" s="336" t="s">
        <v>395</v>
      </c>
      <c r="D63" s="336"/>
      <c r="E63" s="336"/>
    </row>
    <row r="64" spans="1:5">
      <c r="B64" s="339"/>
      <c r="C64" s="383" t="s">
        <v>393</v>
      </c>
      <c r="D64" s="383" t="s">
        <v>77</v>
      </c>
      <c r="E64" s="383" t="s">
        <v>394</v>
      </c>
    </row>
    <row r="65" spans="1:5">
      <c r="B65" s="340" t="s">
        <v>401</v>
      </c>
      <c r="C65" s="382">
        <v>1656</v>
      </c>
      <c r="D65" s="382">
        <v>1807</v>
      </c>
      <c r="E65" s="339">
        <v>-151</v>
      </c>
    </row>
    <row r="66" spans="1:5">
      <c r="B66" s="341" t="s">
        <v>194</v>
      </c>
      <c r="C66" s="381">
        <v>1656</v>
      </c>
      <c r="D66" s="381">
        <v>1807</v>
      </c>
      <c r="E66" s="378">
        <v>-151</v>
      </c>
    </row>
    <row r="69" spans="1:5">
      <c r="A69" s="340" t="s">
        <v>275</v>
      </c>
      <c r="B69" s="336" t="s">
        <v>392</v>
      </c>
      <c r="C69" s="336"/>
      <c r="D69" s="336"/>
      <c r="E69" s="336"/>
    </row>
    <row r="70" spans="1:5">
      <c r="B70" s="336" t="s">
        <v>276</v>
      </c>
      <c r="C70" s="336"/>
      <c r="D70" s="336"/>
      <c r="E70" s="336"/>
    </row>
    <row r="71" spans="1:5">
      <c r="B71" s="336" t="s">
        <v>248</v>
      </c>
      <c r="C71" s="336"/>
      <c r="D71" s="336"/>
      <c r="E71" s="336"/>
    </row>
    <row r="72" spans="1:5">
      <c r="B72" s="338" t="s">
        <v>1</v>
      </c>
      <c r="C72" s="338"/>
      <c r="D72" s="338"/>
      <c r="E72" s="338"/>
    </row>
    <row r="74" spans="1:5">
      <c r="C74" s="336" t="s">
        <v>395</v>
      </c>
      <c r="D74" s="336"/>
      <c r="E74" s="336"/>
    </row>
    <row r="75" spans="1:5">
      <c r="B75" s="339"/>
      <c r="C75" s="383" t="s">
        <v>393</v>
      </c>
      <c r="D75" s="383" t="s">
        <v>77</v>
      </c>
      <c r="E75" s="383" t="s">
        <v>394</v>
      </c>
    </row>
    <row r="76" spans="1:5">
      <c r="B76" s="340" t="s">
        <v>402</v>
      </c>
      <c r="C76" s="337">
        <v>0</v>
      </c>
      <c r="D76" s="337">
        <v>22</v>
      </c>
      <c r="E76" s="337">
        <v>-22</v>
      </c>
    </row>
    <row r="77" spans="1:5">
      <c r="B77" s="340" t="s">
        <v>403</v>
      </c>
      <c r="C77" s="382">
        <v>11390</v>
      </c>
      <c r="D77" s="382">
        <v>11248</v>
      </c>
      <c r="E77" s="339">
        <v>142</v>
      </c>
    </row>
    <row r="78" spans="1:5">
      <c r="B78" s="341" t="s">
        <v>194</v>
      </c>
      <c r="C78" s="381">
        <v>11390</v>
      </c>
      <c r="D78" s="381">
        <v>11270</v>
      </c>
      <c r="E78" s="378">
        <v>120</v>
      </c>
    </row>
  </sheetData>
  <phoneticPr fontId="63" type="noConversion"/>
  <printOptions horizontalCentered="1"/>
  <pageMargins left="0.5" right="0.5" top="0.5" bottom="1" header="0.5" footer="0.5"/>
  <pageSetup scale="90" orientation="portrait" r:id="rId1"/>
  <headerFooter alignWithMargins="0">
    <oddFooter>&amp;RNovember 7, 2007     9:02 am  &amp;LLEAP Office</oddFooter>
  </headerFooter>
  <rowBreaks count="6" manualBreakCount="6">
    <brk id="13" max="16383" man="1"/>
    <brk id="24" max="16383" man="1"/>
    <brk id="35" max="16383" man="1"/>
    <brk id="46" max="16383" man="1"/>
    <brk id="57" max="16383" man="1"/>
    <brk id="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0000"/>
  </sheetPr>
  <dimension ref="A1:E90"/>
  <sheetViews>
    <sheetView workbookViewId="0"/>
  </sheetViews>
  <sheetFormatPr defaultRowHeight="12.75"/>
  <cols>
    <col min="1" max="1" width="8.875" style="385" bestFit="1" customWidth="1"/>
    <col min="2" max="2" width="30.625" style="385" customWidth="1"/>
    <col min="3" max="5" width="9.625" style="385" customWidth="1"/>
    <col min="6" max="16384" width="9" style="385"/>
  </cols>
  <sheetData>
    <row r="1" spans="1:5">
      <c r="A1" s="390" t="s">
        <v>245</v>
      </c>
      <c r="B1" s="393" t="s">
        <v>407</v>
      </c>
      <c r="C1" s="393"/>
      <c r="D1" s="393"/>
      <c r="E1" s="393"/>
    </row>
    <row r="2" spans="1:5">
      <c r="B2" s="393" t="s">
        <v>2</v>
      </c>
      <c r="C2" s="393"/>
      <c r="D2" s="393"/>
      <c r="E2" s="393"/>
    </row>
    <row r="3" spans="1:5">
      <c r="B3" s="393" t="s">
        <v>248</v>
      </c>
      <c r="C3" s="393"/>
      <c r="D3" s="393"/>
      <c r="E3" s="393"/>
    </row>
    <row r="4" spans="1:5">
      <c r="B4" s="394" t="s">
        <v>1</v>
      </c>
      <c r="C4" s="394"/>
      <c r="D4" s="394"/>
      <c r="E4" s="394"/>
    </row>
    <row r="6" spans="1:5">
      <c r="C6" s="393" t="s">
        <v>395</v>
      </c>
      <c r="D6" s="393"/>
      <c r="E6" s="393"/>
    </row>
    <row r="7" spans="1:5">
      <c r="B7" s="388"/>
      <c r="C7" s="392" t="s">
        <v>393</v>
      </c>
      <c r="D7" s="392" t="s">
        <v>77</v>
      </c>
      <c r="E7" s="392" t="s">
        <v>394</v>
      </c>
    </row>
    <row r="8" spans="1:5">
      <c r="B8" s="390" t="s">
        <v>398</v>
      </c>
      <c r="C8" s="391">
        <v>3876</v>
      </c>
      <c r="D8" s="391">
        <v>3776</v>
      </c>
      <c r="E8" s="385">
        <v>100</v>
      </c>
    </row>
    <row r="9" spans="1:5">
      <c r="B9" s="390" t="s">
        <v>419</v>
      </c>
      <c r="C9" s="391">
        <v>8817</v>
      </c>
      <c r="D9" s="391">
        <v>4042</v>
      </c>
      <c r="E9" s="391">
        <v>4775</v>
      </c>
    </row>
    <row r="10" spans="1:5">
      <c r="B10" s="390" t="s">
        <v>414</v>
      </c>
      <c r="C10" s="391">
        <v>12353</v>
      </c>
      <c r="D10" s="391">
        <v>11443</v>
      </c>
      <c r="E10" s="385">
        <v>910</v>
      </c>
    </row>
    <row r="11" spans="1:5">
      <c r="B11" s="390" t="s">
        <v>418</v>
      </c>
      <c r="C11" s="391">
        <v>8250</v>
      </c>
      <c r="D11" s="391">
        <v>3667</v>
      </c>
      <c r="E11" s="391">
        <v>4583</v>
      </c>
    </row>
    <row r="12" spans="1:5">
      <c r="B12" s="390" t="s">
        <v>417</v>
      </c>
      <c r="C12" s="389">
        <v>2000</v>
      </c>
      <c r="D12" s="388">
        <v>71</v>
      </c>
      <c r="E12" s="389">
        <v>1929</v>
      </c>
    </row>
    <row r="13" spans="1:5">
      <c r="B13" s="387" t="s">
        <v>194</v>
      </c>
      <c r="C13" s="386">
        <v>35296</v>
      </c>
      <c r="D13" s="386">
        <v>23000</v>
      </c>
      <c r="E13" s="386">
        <v>12296</v>
      </c>
    </row>
    <row r="16" spans="1:5">
      <c r="A16" s="390" t="s">
        <v>265</v>
      </c>
      <c r="B16" s="393" t="s">
        <v>407</v>
      </c>
      <c r="C16" s="393"/>
      <c r="D16" s="393"/>
      <c r="E16" s="393"/>
    </row>
    <row r="17" spans="1:5">
      <c r="B17" s="393" t="s">
        <v>3</v>
      </c>
      <c r="C17" s="393"/>
      <c r="D17" s="393"/>
      <c r="E17" s="393"/>
    </row>
    <row r="18" spans="1:5">
      <c r="B18" s="393" t="s">
        <v>248</v>
      </c>
      <c r="C18" s="393"/>
      <c r="D18" s="393"/>
      <c r="E18" s="393"/>
    </row>
    <row r="19" spans="1:5">
      <c r="B19" s="394" t="s">
        <v>1</v>
      </c>
      <c r="C19" s="394"/>
      <c r="D19" s="394"/>
      <c r="E19" s="394"/>
    </row>
    <row r="21" spans="1:5">
      <c r="C21" s="393" t="s">
        <v>395</v>
      </c>
      <c r="D21" s="393"/>
      <c r="E21" s="393"/>
    </row>
    <row r="22" spans="1:5">
      <c r="B22" s="388"/>
      <c r="C22" s="392" t="s">
        <v>393</v>
      </c>
      <c r="D22" s="392" t="s">
        <v>77</v>
      </c>
      <c r="E22" s="392" t="s">
        <v>394</v>
      </c>
    </row>
    <row r="23" spans="1:5">
      <c r="B23" s="390" t="s">
        <v>415</v>
      </c>
      <c r="C23" s="389">
        <v>5058</v>
      </c>
      <c r="D23" s="389">
        <v>5057</v>
      </c>
      <c r="E23" s="388">
        <v>1</v>
      </c>
    </row>
    <row r="24" spans="1:5">
      <c r="B24" s="387" t="s">
        <v>194</v>
      </c>
      <c r="C24" s="386">
        <v>5058</v>
      </c>
      <c r="D24" s="386">
        <v>5057</v>
      </c>
      <c r="E24" s="395">
        <v>1</v>
      </c>
    </row>
    <row r="27" spans="1:5">
      <c r="A27" s="390" t="s">
        <v>270</v>
      </c>
      <c r="B27" s="393" t="s">
        <v>407</v>
      </c>
      <c r="C27" s="393"/>
      <c r="D27" s="393"/>
      <c r="E27" s="393"/>
    </row>
    <row r="28" spans="1:5">
      <c r="B28" s="393" t="s">
        <v>4</v>
      </c>
      <c r="C28" s="393"/>
      <c r="D28" s="393"/>
      <c r="E28" s="393"/>
    </row>
    <row r="29" spans="1:5">
      <c r="B29" s="393" t="s">
        <v>248</v>
      </c>
      <c r="C29" s="393"/>
      <c r="D29" s="393"/>
      <c r="E29" s="393"/>
    </row>
    <row r="30" spans="1:5">
      <c r="B30" s="394" t="s">
        <v>1</v>
      </c>
      <c r="C30" s="394"/>
      <c r="D30" s="394"/>
      <c r="E30" s="394"/>
    </row>
    <row r="32" spans="1:5">
      <c r="C32" s="393" t="s">
        <v>395</v>
      </c>
      <c r="D32" s="393"/>
      <c r="E32" s="393"/>
    </row>
    <row r="33" spans="1:5">
      <c r="B33" s="388"/>
      <c r="C33" s="392" t="s">
        <v>393</v>
      </c>
      <c r="D33" s="392" t="s">
        <v>77</v>
      </c>
      <c r="E33" s="392" t="s">
        <v>394</v>
      </c>
    </row>
    <row r="34" spans="1:5">
      <c r="B34" s="390" t="s">
        <v>416</v>
      </c>
      <c r="C34" s="391">
        <v>3050</v>
      </c>
      <c r="D34" s="385">
        <v>547</v>
      </c>
      <c r="E34" s="391">
        <v>2503</v>
      </c>
    </row>
    <row r="35" spans="1:5">
      <c r="B35" s="390" t="s">
        <v>415</v>
      </c>
      <c r="C35" s="389">
        <v>1700</v>
      </c>
      <c r="D35" s="389">
        <v>1213</v>
      </c>
      <c r="E35" s="388">
        <v>487</v>
      </c>
    </row>
    <row r="36" spans="1:5">
      <c r="B36" s="387" t="s">
        <v>194</v>
      </c>
      <c r="C36" s="386">
        <v>4750</v>
      </c>
      <c r="D36" s="386">
        <v>1760</v>
      </c>
      <c r="E36" s="386">
        <v>2990</v>
      </c>
    </row>
    <row r="39" spans="1:5">
      <c r="A39" s="390" t="s">
        <v>271</v>
      </c>
      <c r="B39" s="393" t="s">
        <v>407</v>
      </c>
      <c r="C39" s="393"/>
      <c r="D39" s="393"/>
      <c r="E39" s="393"/>
    </row>
    <row r="40" spans="1:5">
      <c r="B40" s="393" t="s">
        <v>5</v>
      </c>
      <c r="C40" s="393"/>
      <c r="D40" s="393"/>
      <c r="E40" s="393"/>
    </row>
    <row r="41" spans="1:5">
      <c r="B41" s="393" t="s">
        <v>248</v>
      </c>
      <c r="C41" s="393"/>
      <c r="D41" s="393"/>
      <c r="E41" s="393"/>
    </row>
    <row r="42" spans="1:5">
      <c r="B42" s="394" t="s">
        <v>1</v>
      </c>
      <c r="C42" s="394"/>
      <c r="D42" s="394"/>
      <c r="E42" s="394"/>
    </row>
    <row r="44" spans="1:5">
      <c r="C44" s="393" t="s">
        <v>395</v>
      </c>
      <c r="D44" s="393"/>
      <c r="E44" s="393"/>
    </row>
    <row r="45" spans="1:5">
      <c r="B45" s="388"/>
      <c r="C45" s="392" t="s">
        <v>393</v>
      </c>
      <c r="D45" s="392" t="s">
        <v>77</v>
      </c>
      <c r="E45" s="392" t="s">
        <v>394</v>
      </c>
    </row>
    <row r="46" spans="1:5">
      <c r="B46" s="390" t="s">
        <v>414</v>
      </c>
      <c r="C46" s="389">
        <v>1211</v>
      </c>
      <c r="D46" s="389">
        <v>1211</v>
      </c>
      <c r="E46" s="388">
        <v>0</v>
      </c>
    </row>
    <row r="47" spans="1:5">
      <c r="B47" s="387" t="s">
        <v>194</v>
      </c>
      <c r="C47" s="386">
        <v>1211</v>
      </c>
      <c r="D47" s="386">
        <v>1211</v>
      </c>
      <c r="E47" s="395">
        <v>0</v>
      </c>
    </row>
    <row r="50" spans="1:5">
      <c r="A50" s="390" t="s">
        <v>272</v>
      </c>
      <c r="B50" s="393" t="s">
        <v>407</v>
      </c>
      <c r="C50" s="393"/>
      <c r="D50" s="393"/>
      <c r="E50" s="393"/>
    </row>
    <row r="51" spans="1:5">
      <c r="B51" s="393" t="s">
        <v>6</v>
      </c>
      <c r="C51" s="393"/>
      <c r="D51" s="393"/>
      <c r="E51" s="393"/>
    </row>
    <row r="52" spans="1:5">
      <c r="B52" s="393" t="s">
        <v>248</v>
      </c>
      <c r="C52" s="393"/>
      <c r="D52" s="393"/>
      <c r="E52" s="393"/>
    </row>
    <row r="53" spans="1:5">
      <c r="B53" s="394" t="s">
        <v>1</v>
      </c>
      <c r="C53" s="394"/>
      <c r="D53" s="394"/>
      <c r="E53" s="394"/>
    </row>
    <row r="55" spans="1:5">
      <c r="C55" s="393" t="s">
        <v>395</v>
      </c>
      <c r="D55" s="393"/>
      <c r="E55" s="393"/>
    </row>
    <row r="56" spans="1:5">
      <c r="B56" s="388"/>
      <c r="C56" s="392" t="s">
        <v>393</v>
      </c>
      <c r="D56" s="392" t="s">
        <v>77</v>
      </c>
      <c r="E56" s="392" t="s">
        <v>394</v>
      </c>
    </row>
    <row r="57" spans="1:5">
      <c r="B57" s="390" t="s">
        <v>413</v>
      </c>
      <c r="C57" s="385">
        <v>380</v>
      </c>
      <c r="D57" s="385">
        <v>540</v>
      </c>
      <c r="E57" s="385">
        <v>-160</v>
      </c>
    </row>
    <row r="58" spans="1:5">
      <c r="B58" s="390" t="s">
        <v>412</v>
      </c>
      <c r="C58" s="388">
        <v>166</v>
      </c>
      <c r="D58" s="388">
        <v>255</v>
      </c>
      <c r="E58" s="388">
        <v>-89</v>
      </c>
    </row>
    <row r="59" spans="1:5">
      <c r="B59" s="387" t="s">
        <v>194</v>
      </c>
      <c r="C59" s="395">
        <v>546</v>
      </c>
      <c r="D59" s="395">
        <v>795</v>
      </c>
      <c r="E59" s="395">
        <v>-249</v>
      </c>
    </row>
    <row r="62" spans="1:5">
      <c r="A62" s="390" t="s">
        <v>285</v>
      </c>
      <c r="B62" s="393" t="s">
        <v>407</v>
      </c>
      <c r="C62" s="393"/>
      <c r="D62" s="393"/>
      <c r="E62" s="393"/>
    </row>
    <row r="63" spans="1:5">
      <c r="B63" s="393" t="s">
        <v>70</v>
      </c>
      <c r="C63" s="393"/>
      <c r="D63" s="393"/>
      <c r="E63" s="393"/>
    </row>
    <row r="64" spans="1:5">
      <c r="B64" s="393" t="s">
        <v>1</v>
      </c>
      <c r="C64" s="393"/>
      <c r="D64" s="393"/>
      <c r="E64" s="393"/>
    </row>
    <row r="65" spans="1:5">
      <c r="B65" s="394"/>
      <c r="C65" s="394"/>
      <c r="D65" s="394"/>
      <c r="E65" s="394"/>
    </row>
    <row r="66" spans="1:5">
      <c r="C66" s="385" t="s">
        <v>395</v>
      </c>
    </row>
    <row r="67" spans="1:5">
      <c r="C67" s="393" t="s">
        <v>393</v>
      </c>
      <c r="D67" s="393" t="s">
        <v>77</v>
      </c>
      <c r="E67" s="393" t="s">
        <v>394</v>
      </c>
    </row>
    <row r="68" spans="1:5">
      <c r="B68" s="388"/>
      <c r="C68" s="392"/>
      <c r="D68" s="392"/>
      <c r="E68" s="392"/>
    </row>
    <row r="69" spans="1:5">
      <c r="B69" s="390" t="s">
        <v>411</v>
      </c>
    </row>
    <row r="70" spans="1:5">
      <c r="A70" s="390" t="s">
        <v>273</v>
      </c>
      <c r="B70" s="393" t="s">
        <v>407</v>
      </c>
      <c r="C70" s="393"/>
      <c r="D70" s="393"/>
      <c r="E70" s="393"/>
    </row>
    <row r="71" spans="1:5">
      <c r="B71" s="393" t="s">
        <v>7</v>
      </c>
      <c r="C71" s="393"/>
      <c r="D71" s="393"/>
      <c r="E71" s="393"/>
    </row>
    <row r="72" spans="1:5">
      <c r="B72" s="393" t="s">
        <v>248</v>
      </c>
      <c r="C72" s="393"/>
      <c r="D72" s="393"/>
      <c r="E72" s="393"/>
    </row>
    <row r="73" spans="1:5">
      <c r="B73" s="394" t="s">
        <v>1</v>
      </c>
      <c r="C73" s="394"/>
      <c r="D73" s="394"/>
      <c r="E73" s="394"/>
    </row>
    <row r="75" spans="1:5">
      <c r="C75" s="393" t="s">
        <v>395</v>
      </c>
      <c r="D75" s="393"/>
      <c r="E75" s="393"/>
    </row>
    <row r="76" spans="1:5">
      <c r="B76" s="388"/>
      <c r="C76" s="392" t="s">
        <v>393</v>
      </c>
      <c r="D76" s="392" t="s">
        <v>77</v>
      </c>
      <c r="E76" s="392" t="s">
        <v>394</v>
      </c>
    </row>
    <row r="77" spans="1:5">
      <c r="B77" s="390" t="s">
        <v>410</v>
      </c>
      <c r="C77" s="389">
        <v>1963</v>
      </c>
      <c r="D77" s="389">
        <v>1807</v>
      </c>
      <c r="E77" s="388">
        <v>156</v>
      </c>
    </row>
    <row r="78" spans="1:5">
      <c r="B78" s="387" t="s">
        <v>194</v>
      </c>
      <c r="C78" s="386">
        <v>1963</v>
      </c>
      <c r="D78" s="386">
        <v>1807</v>
      </c>
      <c r="E78" s="395">
        <v>156</v>
      </c>
    </row>
    <row r="81" spans="1:5">
      <c r="A81" s="390" t="s">
        <v>275</v>
      </c>
      <c r="B81" s="393" t="s">
        <v>407</v>
      </c>
      <c r="C81" s="393"/>
      <c r="D81" s="393"/>
      <c r="E81" s="393"/>
    </row>
    <row r="82" spans="1:5">
      <c r="B82" s="393" t="s">
        <v>276</v>
      </c>
      <c r="C82" s="393"/>
      <c r="D82" s="393"/>
      <c r="E82" s="393"/>
    </row>
    <row r="83" spans="1:5">
      <c r="B83" s="393" t="s">
        <v>248</v>
      </c>
      <c r="C83" s="393"/>
      <c r="D83" s="393"/>
      <c r="E83" s="393"/>
    </row>
    <row r="84" spans="1:5">
      <c r="B84" s="394" t="s">
        <v>1</v>
      </c>
      <c r="C84" s="394"/>
      <c r="D84" s="394"/>
      <c r="E84" s="394"/>
    </row>
    <row r="86" spans="1:5">
      <c r="C86" s="393" t="s">
        <v>395</v>
      </c>
      <c r="D86" s="393"/>
      <c r="E86" s="393"/>
    </row>
    <row r="87" spans="1:5">
      <c r="B87" s="388"/>
      <c r="C87" s="392" t="s">
        <v>393</v>
      </c>
      <c r="D87" s="392" t="s">
        <v>77</v>
      </c>
      <c r="E87" s="392" t="s">
        <v>394</v>
      </c>
    </row>
    <row r="88" spans="1:5">
      <c r="B88" s="390" t="s">
        <v>409</v>
      </c>
      <c r="C88" s="391">
        <v>1980</v>
      </c>
      <c r="D88" s="385">
        <v>525</v>
      </c>
      <c r="E88" s="391">
        <v>1455</v>
      </c>
    </row>
    <row r="89" spans="1:5">
      <c r="B89" s="390" t="s">
        <v>408</v>
      </c>
      <c r="C89" s="389">
        <v>11520</v>
      </c>
      <c r="D89" s="389">
        <v>11395</v>
      </c>
      <c r="E89" s="388">
        <v>125</v>
      </c>
    </row>
    <row r="90" spans="1:5">
      <c r="B90" s="387" t="s">
        <v>194</v>
      </c>
      <c r="C90" s="386">
        <v>13500</v>
      </c>
      <c r="D90" s="386">
        <v>11920</v>
      </c>
      <c r="E90" s="386">
        <v>1580</v>
      </c>
    </row>
  </sheetData>
  <printOptions horizontalCentered="1"/>
  <pageMargins left="0.5" right="0.5" top="0.5" bottom="1" header="0.5" footer="0.5"/>
  <pageSetup scale="90" orientation="portrait" r:id="rId1"/>
  <headerFooter>
    <oddFooter>&amp;ROctober 24, 2008     11:36 am  &amp;LLEAP Office</oddFooter>
  </headerFooter>
  <rowBreaks count="7" manualBreakCount="7">
    <brk id="15" max="16383" man="1"/>
    <brk id="26" max="16383" man="1"/>
    <brk id="38" max="16383" man="1"/>
    <brk id="49" max="16383" man="1"/>
    <brk id="61" max="16383" man="1"/>
    <brk id="69" max="16383" man="1"/>
    <brk id="8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G90"/>
  <sheetViews>
    <sheetView workbookViewId="0"/>
  </sheetViews>
  <sheetFormatPr defaultRowHeight="12.75"/>
  <cols>
    <col min="1" max="1" width="8.875" style="412" bestFit="1" customWidth="1"/>
    <col min="2" max="2" width="30.625" style="412" customWidth="1"/>
    <col min="3" max="5" width="9.625" style="412" customWidth="1"/>
    <col min="6" max="16384" width="9" style="412"/>
  </cols>
  <sheetData>
    <row r="1" spans="1:5">
      <c r="A1" s="418" t="s">
        <v>245</v>
      </c>
      <c r="B1" s="419" t="s">
        <v>514</v>
      </c>
      <c r="C1" s="419"/>
      <c r="D1" s="419"/>
      <c r="E1" s="419"/>
    </row>
    <row r="2" spans="1:5">
      <c r="B2" s="419" t="s">
        <v>2</v>
      </c>
      <c r="C2" s="419"/>
      <c r="D2" s="419"/>
      <c r="E2" s="419"/>
    </row>
    <row r="3" spans="1:5">
      <c r="B3" s="419" t="s">
        <v>248</v>
      </c>
      <c r="C3" s="419"/>
      <c r="D3" s="419"/>
      <c r="E3" s="419"/>
    </row>
    <row r="4" spans="1:5">
      <c r="B4" s="420" t="s">
        <v>1</v>
      </c>
      <c r="C4" s="420"/>
      <c r="D4" s="420"/>
      <c r="E4" s="420"/>
    </row>
    <row r="6" spans="1:5">
      <c r="C6" s="419" t="s">
        <v>395</v>
      </c>
      <c r="D6" s="419"/>
      <c r="E6" s="419"/>
    </row>
    <row r="7" spans="1:5">
      <c r="B7" s="416"/>
      <c r="C7" s="422" t="s">
        <v>393</v>
      </c>
      <c r="D7" s="422" t="s">
        <v>77</v>
      </c>
      <c r="E7" s="422" t="s">
        <v>394</v>
      </c>
    </row>
    <row r="8" spans="1:5">
      <c r="B8" s="418" t="s">
        <v>398</v>
      </c>
      <c r="C8" s="412">
        <v>0</v>
      </c>
      <c r="D8" s="412">
        <v>100</v>
      </c>
      <c r="E8" s="412">
        <v>-100</v>
      </c>
    </row>
    <row r="9" spans="1:5">
      <c r="B9" s="418" t="s">
        <v>419</v>
      </c>
      <c r="C9" s="415">
        <v>-1536</v>
      </c>
      <c r="D9" s="415">
        <v>2305</v>
      </c>
      <c r="E9" s="415">
        <v>-3841</v>
      </c>
    </row>
    <row r="10" spans="1:5">
      <c r="B10" s="418" t="s">
        <v>414</v>
      </c>
      <c r="C10" s="415">
        <v>13472</v>
      </c>
      <c r="D10" s="415">
        <v>14382</v>
      </c>
      <c r="E10" s="412">
        <v>-910</v>
      </c>
    </row>
    <row r="11" spans="1:5">
      <c r="B11" s="418" t="s">
        <v>418</v>
      </c>
      <c r="C11" s="415">
        <v>6750</v>
      </c>
      <c r="D11" s="415">
        <v>10300</v>
      </c>
      <c r="E11" s="415">
        <v>-3550</v>
      </c>
    </row>
    <row r="12" spans="1:5">
      <c r="B12" s="418" t="s">
        <v>417</v>
      </c>
      <c r="C12" s="416">
        <v>0</v>
      </c>
      <c r="D12" s="414">
        <v>1460</v>
      </c>
      <c r="E12" s="414">
        <v>-1460</v>
      </c>
    </row>
    <row r="13" spans="1:5">
      <c r="B13" s="417" t="s">
        <v>194</v>
      </c>
      <c r="C13" s="413">
        <v>18686</v>
      </c>
      <c r="D13" s="413">
        <v>28546</v>
      </c>
      <c r="E13" s="413">
        <v>-9860</v>
      </c>
    </row>
    <row r="16" spans="1:5">
      <c r="A16" s="418" t="s">
        <v>265</v>
      </c>
      <c r="B16" s="419" t="s">
        <v>514</v>
      </c>
      <c r="C16" s="419"/>
      <c r="D16" s="419"/>
      <c r="E16" s="419"/>
    </row>
    <row r="17" spans="1:7">
      <c r="B17" s="419" t="s">
        <v>3</v>
      </c>
      <c r="C17" s="419"/>
      <c r="D17" s="419"/>
      <c r="E17" s="419"/>
    </row>
    <row r="18" spans="1:7">
      <c r="B18" s="419" t="s">
        <v>248</v>
      </c>
      <c r="C18" s="419"/>
      <c r="D18" s="419"/>
      <c r="E18" s="419"/>
    </row>
    <row r="19" spans="1:7">
      <c r="B19" s="420" t="s">
        <v>1</v>
      </c>
      <c r="C19" s="420"/>
      <c r="D19" s="420"/>
      <c r="E19" s="420"/>
    </row>
    <row r="21" spans="1:7">
      <c r="C21" s="419" t="s">
        <v>395</v>
      </c>
      <c r="D21" s="419"/>
      <c r="E21" s="419"/>
    </row>
    <row r="22" spans="1:7">
      <c r="B22" s="416"/>
      <c r="C22" s="422" t="s">
        <v>393</v>
      </c>
      <c r="D22" s="422" t="s">
        <v>77</v>
      </c>
      <c r="E22" s="422" t="s">
        <v>394</v>
      </c>
    </row>
    <row r="23" spans="1:7">
      <c r="B23" s="418" t="s">
        <v>415</v>
      </c>
      <c r="C23" s="414">
        <v>5058</v>
      </c>
      <c r="D23" s="414">
        <v>5058</v>
      </c>
      <c r="E23" s="416">
        <v>-1</v>
      </c>
    </row>
    <row r="24" spans="1:7">
      <c r="B24" s="417" t="s">
        <v>194</v>
      </c>
      <c r="C24" s="413">
        <v>5058</v>
      </c>
      <c r="D24" s="413">
        <v>5058</v>
      </c>
      <c r="E24" s="421">
        <v>-1</v>
      </c>
    </row>
    <row r="27" spans="1:7">
      <c r="A27" s="584" t="s">
        <v>270</v>
      </c>
      <c r="B27" s="409" t="s">
        <v>514</v>
      </c>
      <c r="C27" s="409"/>
      <c r="D27" s="409"/>
      <c r="E27" s="409"/>
      <c r="F27" s="585"/>
      <c r="G27" s="586"/>
    </row>
    <row r="28" spans="1:7">
      <c r="A28" s="585"/>
      <c r="B28" s="409" t="s">
        <v>4</v>
      </c>
      <c r="C28" s="409"/>
      <c r="D28" s="409"/>
      <c r="E28" s="409"/>
      <c r="F28" s="585"/>
      <c r="G28" s="586"/>
    </row>
    <row r="29" spans="1:7">
      <c r="A29" s="585"/>
      <c r="B29" s="409" t="s">
        <v>248</v>
      </c>
      <c r="C29" s="409"/>
      <c r="D29" s="409"/>
      <c r="E29" s="409"/>
      <c r="F29" s="585"/>
      <c r="G29" s="586"/>
    </row>
    <row r="30" spans="1:7">
      <c r="A30" s="585"/>
      <c r="B30" s="587" t="s">
        <v>1</v>
      </c>
      <c r="C30" s="587"/>
      <c r="D30" s="587"/>
      <c r="E30" s="587"/>
      <c r="F30" s="585"/>
      <c r="G30" s="586"/>
    </row>
    <row r="31" spans="1:7">
      <c r="A31" s="585"/>
      <c r="B31" s="585"/>
      <c r="C31" s="585"/>
      <c r="D31" s="585"/>
      <c r="E31" s="585"/>
      <c r="F31" s="585"/>
      <c r="G31" s="586"/>
    </row>
    <row r="32" spans="1:7">
      <c r="A32" s="585"/>
      <c r="B32" s="585"/>
      <c r="C32" s="409" t="s">
        <v>395</v>
      </c>
      <c r="D32" s="409"/>
      <c r="E32" s="409"/>
      <c r="F32" s="585"/>
      <c r="G32" s="586"/>
    </row>
    <row r="33" spans="1:7">
      <c r="A33" s="585"/>
      <c r="B33" s="588"/>
      <c r="C33" s="582" t="s">
        <v>393</v>
      </c>
      <c r="D33" s="582" t="s">
        <v>77</v>
      </c>
      <c r="E33" s="582" t="s">
        <v>394</v>
      </c>
      <c r="F33" s="585"/>
      <c r="G33" s="586"/>
    </row>
    <row r="34" spans="1:7">
      <c r="A34" s="585"/>
      <c r="B34" s="584" t="s">
        <v>416</v>
      </c>
      <c r="C34" s="585">
        <v>400</v>
      </c>
      <c r="D34" s="3">
        <v>2110</v>
      </c>
      <c r="E34" s="3">
        <v>-1710</v>
      </c>
      <c r="F34" s="585"/>
      <c r="G34" s="586"/>
    </row>
    <row r="35" spans="1:7">
      <c r="A35" s="585"/>
      <c r="B35" s="584" t="s">
        <v>415</v>
      </c>
      <c r="C35" s="588">
        <v>517</v>
      </c>
      <c r="D35" s="589">
        <v>1004</v>
      </c>
      <c r="E35" s="588">
        <v>-487</v>
      </c>
      <c r="F35" s="585"/>
      <c r="G35" s="586"/>
    </row>
    <row r="36" spans="1:7">
      <c r="A36" s="585"/>
      <c r="B36" s="405" t="s">
        <v>194</v>
      </c>
      <c r="C36" s="400">
        <v>917</v>
      </c>
      <c r="D36" s="583">
        <v>3114</v>
      </c>
      <c r="E36" s="583">
        <v>-2197</v>
      </c>
      <c r="F36" s="585"/>
      <c r="G36" s="586"/>
    </row>
    <row r="37" spans="1:7">
      <c r="A37" s="585"/>
      <c r="B37" s="585"/>
      <c r="C37" s="585"/>
      <c r="D37" s="585"/>
      <c r="E37" s="585"/>
      <c r="F37" s="585"/>
      <c r="G37" s="586"/>
    </row>
    <row r="38" spans="1:7">
      <c r="A38" s="585"/>
      <c r="B38" s="585"/>
      <c r="C38" s="585"/>
      <c r="D38" s="585"/>
      <c r="E38" s="585"/>
      <c r="F38" s="585"/>
      <c r="G38" s="586"/>
    </row>
    <row r="39" spans="1:7">
      <c r="A39" s="418" t="s">
        <v>271</v>
      </c>
      <c r="B39" s="419" t="s">
        <v>514</v>
      </c>
      <c r="C39" s="419"/>
      <c r="D39" s="419"/>
      <c r="E39" s="419"/>
    </row>
    <row r="40" spans="1:7">
      <c r="B40" s="419" t="s">
        <v>5</v>
      </c>
      <c r="C40" s="419"/>
      <c r="D40" s="419"/>
      <c r="E40" s="419"/>
    </row>
    <row r="41" spans="1:7">
      <c r="B41" s="419" t="s">
        <v>248</v>
      </c>
      <c r="C41" s="419"/>
      <c r="D41" s="419"/>
      <c r="E41" s="419"/>
    </row>
    <row r="42" spans="1:7">
      <c r="B42" s="420" t="s">
        <v>1</v>
      </c>
      <c r="C42" s="420"/>
      <c r="D42" s="420"/>
      <c r="E42" s="420"/>
    </row>
    <row r="44" spans="1:7">
      <c r="C44" s="419" t="s">
        <v>395</v>
      </c>
      <c r="D44" s="419"/>
      <c r="E44" s="419"/>
    </row>
    <row r="45" spans="1:7">
      <c r="B45" s="416"/>
      <c r="C45" s="422" t="s">
        <v>393</v>
      </c>
      <c r="D45" s="422" t="s">
        <v>77</v>
      </c>
      <c r="E45" s="422" t="s">
        <v>394</v>
      </c>
    </row>
    <row r="46" spans="1:7">
      <c r="B46" s="418" t="s">
        <v>414</v>
      </c>
      <c r="C46" s="414">
        <v>1211</v>
      </c>
      <c r="D46" s="414">
        <v>1211</v>
      </c>
      <c r="E46" s="416">
        <v>0</v>
      </c>
    </row>
    <row r="47" spans="1:7">
      <c r="B47" s="417" t="s">
        <v>194</v>
      </c>
      <c r="C47" s="413">
        <v>1211</v>
      </c>
      <c r="D47" s="413">
        <v>1211</v>
      </c>
      <c r="E47" s="421">
        <v>0</v>
      </c>
    </row>
    <row r="50" spans="1:5">
      <c r="A50" s="418" t="s">
        <v>272</v>
      </c>
      <c r="B50" s="419" t="s">
        <v>514</v>
      </c>
      <c r="C50" s="419"/>
      <c r="D50" s="419"/>
      <c r="E50" s="419"/>
    </row>
    <row r="51" spans="1:5">
      <c r="B51" s="419" t="s">
        <v>6</v>
      </c>
      <c r="C51" s="419"/>
      <c r="D51" s="419"/>
      <c r="E51" s="419"/>
    </row>
    <row r="52" spans="1:5">
      <c r="B52" s="419" t="s">
        <v>248</v>
      </c>
      <c r="C52" s="419"/>
      <c r="D52" s="419"/>
      <c r="E52" s="419"/>
    </row>
    <row r="53" spans="1:5">
      <c r="B53" s="420" t="s">
        <v>1</v>
      </c>
      <c r="C53" s="420"/>
      <c r="D53" s="420"/>
      <c r="E53" s="420"/>
    </row>
    <row r="55" spans="1:5">
      <c r="C55" s="419" t="s">
        <v>395</v>
      </c>
      <c r="D55" s="419"/>
      <c r="E55" s="419"/>
    </row>
    <row r="56" spans="1:5">
      <c r="B56" s="416"/>
      <c r="C56" s="422" t="s">
        <v>393</v>
      </c>
      <c r="D56" s="422" t="s">
        <v>77</v>
      </c>
      <c r="E56" s="422" t="s">
        <v>394</v>
      </c>
    </row>
    <row r="57" spans="1:5">
      <c r="B57" s="418" t="s">
        <v>413</v>
      </c>
      <c r="C57" s="412">
        <v>380</v>
      </c>
      <c r="D57" s="412">
        <v>220</v>
      </c>
      <c r="E57" s="412">
        <v>160</v>
      </c>
    </row>
    <row r="58" spans="1:5">
      <c r="B58" s="418" t="s">
        <v>412</v>
      </c>
      <c r="C58" s="414">
        <v>1299</v>
      </c>
      <c r="D58" s="414">
        <v>1210</v>
      </c>
      <c r="E58" s="416">
        <v>89</v>
      </c>
    </row>
    <row r="59" spans="1:5">
      <c r="B59" s="417" t="s">
        <v>194</v>
      </c>
      <c r="C59" s="413">
        <v>1679</v>
      </c>
      <c r="D59" s="413">
        <v>1430</v>
      </c>
      <c r="E59" s="421">
        <v>249</v>
      </c>
    </row>
    <row r="62" spans="1:5">
      <c r="A62" s="418" t="s">
        <v>285</v>
      </c>
      <c r="B62" s="419" t="s">
        <v>514</v>
      </c>
      <c r="C62" s="419"/>
      <c r="D62" s="419"/>
      <c r="E62" s="419"/>
    </row>
    <row r="63" spans="1:5">
      <c r="B63" s="419" t="s">
        <v>70</v>
      </c>
      <c r="C63" s="419"/>
      <c r="D63" s="419"/>
      <c r="E63" s="419"/>
    </row>
    <row r="64" spans="1:5">
      <c r="B64" s="419" t="s">
        <v>1</v>
      </c>
      <c r="C64" s="419"/>
      <c r="D64" s="419"/>
      <c r="E64" s="419"/>
    </row>
    <row r="65" spans="1:5">
      <c r="B65" s="420"/>
      <c r="C65" s="420"/>
      <c r="D65" s="420"/>
      <c r="E65" s="420"/>
    </row>
    <row r="66" spans="1:5">
      <c r="C66" s="412" t="s">
        <v>395</v>
      </c>
    </row>
    <row r="67" spans="1:5">
      <c r="C67" s="419" t="s">
        <v>393</v>
      </c>
      <c r="D67" s="419" t="s">
        <v>77</v>
      </c>
      <c r="E67" s="419" t="s">
        <v>394</v>
      </c>
    </row>
    <row r="68" spans="1:5">
      <c r="B68" s="416"/>
      <c r="C68" s="422"/>
      <c r="D68" s="422"/>
      <c r="E68" s="422"/>
    </row>
    <row r="69" spans="1:5">
      <c r="B69" s="418" t="s">
        <v>411</v>
      </c>
    </row>
    <row r="70" spans="1:5">
      <c r="A70" s="418" t="s">
        <v>273</v>
      </c>
      <c r="B70" s="419" t="s">
        <v>514</v>
      </c>
      <c r="C70" s="419"/>
      <c r="D70" s="419"/>
      <c r="E70" s="419"/>
    </row>
    <row r="71" spans="1:5">
      <c r="B71" s="419" t="s">
        <v>7</v>
      </c>
      <c r="C71" s="419"/>
      <c r="D71" s="419"/>
      <c r="E71" s="419"/>
    </row>
    <row r="72" spans="1:5">
      <c r="B72" s="419" t="s">
        <v>248</v>
      </c>
      <c r="C72" s="419"/>
      <c r="D72" s="419"/>
      <c r="E72" s="419"/>
    </row>
    <row r="73" spans="1:5">
      <c r="B73" s="420" t="s">
        <v>1</v>
      </c>
      <c r="C73" s="420"/>
      <c r="D73" s="420"/>
      <c r="E73" s="420"/>
    </row>
    <row r="75" spans="1:5">
      <c r="C75" s="419" t="s">
        <v>395</v>
      </c>
      <c r="D75" s="419"/>
      <c r="E75" s="419"/>
    </row>
    <row r="76" spans="1:5">
      <c r="B76" s="416"/>
      <c r="C76" s="422" t="s">
        <v>393</v>
      </c>
      <c r="D76" s="422" t="s">
        <v>77</v>
      </c>
      <c r="E76" s="422" t="s">
        <v>394</v>
      </c>
    </row>
    <row r="77" spans="1:5">
      <c r="B77" s="418" t="s">
        <v>410</v>
      </c>
      <c r="C77" s="414">
        <v>1651</v>
      </c>
      <c r="D77" s="414">
        <v>1807</v>
      </c>
      <c r="E77" s="416">
        <v>-156</v>
      </c>
    </row>
    <row r="78" spans="1:5">
      <c r="B78" s="417" t="s">
        <v>194</v>
      </c>
      <c r="C78" s="413">
        <v>1651</v>
      </c>
      <c r="D78" s="413">
        <v>1807</v>
      </c>
      <c r="E78" s="421">
        <v>-156</v>
      </c>
    </row>
    <row r="81" spans="1:5">
      <c r="A81" s="418" t="s">
        <v>275</v>
      </c>
      <c r="B81" s="419" t="s">
        <v>514</v>
      </c>
      <c r="C81" s="419"/>
      <c r="D81" s="419"/>
      <c r="E81" s="419"/>
    </row>
    <row r="82" spans="1:5">
      <c r="B82" s="419" t="s">
        <v>276</v>
      </c>
      <c r="C82" s="419"/>
      <c r="D82" s="419"/>
      <c r="E82" s="419"/>
    </row>
    <row r="83" spans="1:5">
      <c r="B83" s="419" t="s">
        <v>248</v>
      </c>
      <c r="C83" s="419"/>
      <c r="D83" s="419"/>
      <c r="E83" s="419"/>
    </row>
    <row r="84" spans="1:5">
      <c r="B84" s="420" t="s">
        <v>1</v>
      </c>
      <c r="C84" s="420"/>
      <c r="D84" s="420"/>
      <c r="E84" s="420"/>
    </row>
    <row r="86" spans="1:5">
      <c r="C86" s="419" t="s">
        <v>395</v>
      </c>
      <c r="D86" s="419"/>
      <c r="E86" s="419"/>
    </row>
    <row r="87" spans="1:5">
      <c r="B87" s="416"/>
      <c r="C87" s="422" t="s">
        <v>393</v>
      </c>
      <c r="D87" s="422" t="s">
        <v>77</v>
      </c>
      <c r="E87" s="422" t="s">
        <v>394</v>
      </c>
    </row>
    <row r="88" spans="1:5">
      <c r="B88" s="418" t="s">
        <v>409</v>
      </c>
      <c r="C88" s="412">
        <v>-371</v>
      </c>
      <c r="D88" s="415">
        <v>1324</v>
      </c>
      <c r="E88" s="415">
        <v>-1695</v>
      </c>
    </row>
    <row r="89" spans="1:5">
      <c r="B89" s="418" t="s">
        <v>408</v>
      </c>
      <c r="C89" s="414">
        <v>11282</v>
      </c>
      <c r="D89" s="414">
        <v>11407</v>
      </c>
      <c r="E89" s="416">
        <v>-125</v>
      </c>
    </row>
    <row r="90" spans="1:5">
      <c r="B90" s="417" t="s">
        <v>194</v>
      </c>
      <c r="C90" s="413">
        <v>10911</v>
      </c>
      <c r="D90" s="413">
        <v>12731</v>
      </c>
      <c r="E90" s="413">
        <v>-1820</v>
      </c>
    </row>
  </sheetData>
  <printOptions horizontalCentered="1"/>
  <pageMargins left="0.5" right="0.5" top="0.5" bottom="1" header="0.5" footer="0.5"/>
  <pageSetup scale="90" orientation="portrait" r:id="rId1"/>
  <headerFooter>
    <oddFooter>&amp;RSeptember 21, 2009     4:07 pm  &amp;LLEAP Office</oddFooter>
  </headerFooter>
  <rowBreaks count="7" manualBreakCount="7">
    <brk id="15" max="16383" man="1"/>
    <brk id="26" max="16383" man="1"/>
    <brk id="38" max="16383" man="1"/>
    <brk id="49" max="16383" man="1"/>
    <brk id="61" max="16383" man="1"/>
    <brk id="69" max="16383" man="1"/>
    <brk id="80"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0000"/>
  </sheetPr>
  <dimension ref="A1:N46"/>
  <sheetViews>
    <sheetView workbookViewId="0"/>
  </sheetViews>
  <sheetFormatPr defaultRowHeight="12.75"/>
  <cols>
    <col min="1" max="1" width="2.375" style="355" customWidth="1"/>
    <col min="2" max="2" width="5.875" style="355" customWidth="1"/>
    <col min="3" max="4" width="8.625" style="355" customWidth="1"/>
    <col min="5" max="7" width="7.5" style="355" customWidth="1"/>
    <col min="8" max="8" width="7.5" style="372" customWidth="1"/>
    <col min="9" max="9" width="7.625" style="372" customWidth="1"/>
    <col min="10" max="11" width="7.25" style="355" customWidth="1"/>
    <col min="12" max="12" width="0.5" style="355" customWidth="1"/>
    <col min="13" max="14" width="7.25" style="355" customWidth="1"/>
    <col min="15" max="16384" width="9" style="355"/>
  </cols>
  <sheetData>
    <row r="1" spans="1:14" s="562" customFormat="1" ht="20.100000000000001" customHeight="1">
      <c r="A1" s="342" t="s">
        <v>177</v>
      </c>
      <c r="B1" s="342"/>
      <c r="C1" s="579"/>
      <c r="D1" s="579"/>
      <c r="E1" s="579"/>
      <c r="F1" s="579"/>
      <c r="G1" s="579"/>
      <c r="H1" s="343"/>
      <c r="I1" s="343"/>
      <c r="J1" s="579"/>
      <c r="K1" s="579"/>
      <c r="L1" s="579"/>
      <c r="M1" s="579"/>
      <c r="N1" s="579"/>
    </row>
    <row r="2" spans="1:14" s="562" customFormat="1" ht="18" customHeight="1">
      <c r="A2" s="581" t="s">
        <v>364</v>
      </c>
      <c r="B2" s="581"/>
      <c r="C2" s="581"/>
      <c r="D2" s="581"/>
      <c r="E2" s="581"/>
      <c r="F2" s="581"/>
      <c r="G2" s="581"/>
      <c r="H2" s="581"/>
      <c r="I2" s="581"/>
      <c r="J2" s="581"/>
      <c r="K2" s="581"/>
      <c r="L2" s="581"/>
      <c r="M2" s="579"/>
      <c r="N2" s="579"/>
    </row>
    <row r="3" spans="1:14" s="562" customFormat="1" ht="15" customHeight="1">
      <c r="A3" s="580" t="s">
        <v>365</v>
      </c>
      <c r="B3" s="580"/>
      <c r="C3" s="580"/>
      <c r="D3" s="580"/>
      <c r="E3" s="580"/>
      <c r="F3" s="580"/>
      <c r="G3" s="580"/>
      <c r="H3" s="580"/>
      <c r="I3" s="580"/>
      <c r="J3" s="580"/>
      <c r="K3" s="580"/>
      <c r="L3" s="580"/>
      <c r="M3" s="579"/>
      <c r="N3" s="579"/>
    </row>
    <row r="4" spans="1:14" s="562" customFormat="1" ht="39" customHeight="1">
      <c r="A4" s="345"/>
      <c r="B4" s="345"/>
      <c r="C4" s="345"/>
      <c r="D4" s="345"/>
      <c r="E4" s="345"/>
      <c r="F4" s="345"/>
      <c r="G4" s="345"/>
      <c r="H4" s="346"/>
      <c r="I4" s="346"/>
      <c r="J4" s="347"/>
    </row>
    <row r="5" spans="1:14" s="566" customFormat="1" ht="17.25" customHeight="1">
      <c r="A5" s="348"/>
      <c r="B5" s="348"/>
      <c r="C5" s="348"/>
      <c r="D5" s="348"/>
      <c r="E5" s="2534" t="s">
        <v>366</v>
      </c>
      <c r="F5" s="2535"/>
      <c r="G5" s="2535"/>
      <c r="H5" s="2535"/>
      <c r="I5" s="2535"/>
      <c r="J5" s="2535"/>
      <c r="K5" s="2536"/>
      <c r="L5" s="578"/>
      <c r="M5" s="577" t="s">
        <v>188</v>
      </c>
      <c r="N5" s="350"/>
    </row>
    <row r="6" spans="1:14" s="566" customFormat="1" ht="6" customHeight="1">
      <c r="A6" s="348"/>
      <c r="B6" s="348"/>
      <c r="C6" s="348"/>
      <c r="D6" s="348"/>
      <c r="E6" s="351"/>
      <c r="F6" s="352"/>
      <c r="G6" s="353"/>
      <c r="H6" s="354"/>
      <c r="I6" s="354"/>
      <c r="J6" s="349"/>
      <c r="K6" s="349"/>
      <c r="L6" s="349"/>
    </row>
    <row r="7" spans="1:14" s="562" customFormat="1" ht="20.25" customHeight="1">
      <c r="A7" s="345"/>
      <c r="B7" s="345"/>
      <c r="C7" s="345"/>
      <c r="D7" s="345"/>
      <c r="E7" s="576" t="s">
        <v>513</v>
      </c>
      <c r="F7" s="576" t="s">
        <v>512</v>
      </c>
      <c r="G7" s="576" t="s">
        <v>511</v>
      </c>
      <c r="H7" s="576" t="s">
        <v>510</v>
      </c>
      <c r="I7" s="576" t="s">
        <v>509</v>
      </c>
      <c r="J7" s="575" t="s">
        <v>508</v>
      </c>
      <c r="K7" s="576" t="s">
        <v>507</v>
      </c>
      <c r="L7" s="576"/>
      <c r="M7" s="575" t="s">
        <v>506</v>
      </c>
      <c r="N7" s="575" t="s">
        <v>505</v>
      </c>
    </row>
    <row r="8" spans="1:14" s="562" customFormat="1" ht="15" customHeight="1">
      <c r="A8" s="345"/>
      <c r="B8" s="345"/>
      <c r="C8" s="345"/>
      <c r="D8" s="345"/>
      <c r="E8" s="346"/>
      <c r="F8" s="346"/>
      <c r="G8" s="346"/>
      <c r="H8" s="345"/>
      <c r="J8" s="355"/>
      <c r="K8" s="355"/>
      <c r="L8" s="355"/>
    </row>
    <row r="9" spans="1:14" s="562" customFormat="1" ht="18" customHeight="1">
      <c r="A9" s="356" t="s">
        <v>8</v>
      </c>
      <c r="B9" s="356"/>
      <c r="C9" s="357"/>
      <c r="D9" s="357"/>
      <c r="E9" s="358">
        <f t="shared" ref="E9:K9" si="0">E10+E11</f>
        <v>148760</v>
      </c>
      <c r="F9" s="358">
        <f t="shared" si="0"/>
        <v>147774</v>
      </c>
      <c r="G9" s="358">
        <f t="shared" si="0"/>
        <v>141283</v>
      </c>
      <c r="H9" s="358">
        <f t="shared" si="0"/>
        <v>141217</v>
      </c>
      <c r="I9" s="358">
        <f t="shared" si="0"/>
        <v>143019</v>
      </c>
      <c r="J9" s="358">
        <f t="shared" si="0"/>
        <v>147908</v>
      </c>
      <c r="K9" s="358">
        <f t="shared" si="0"/>
        <v>159845</v>
      </c>
      <c r="L9" s="358"/>
      <c r="M9" s="358">
        <f>M10+M11</f>
        <v>150795</v>
      </c>
      <c r="N9" s="358">
        <f>N10+N11</f>
        <v>154604</v>
      </c>
    </row>
    <row r="10" spans="1:14" s="562" customFormat="1" ht="18" customHeight="1">
      <c r="A10" s="360" t="s">
        <v>504</v>
      </c>
      <c r="B10" s="356"/>
      <c r="C10" s="357"/>
      <c r="D10" s="357"/>
      <c r="E10" s="37">
        <v>139753</v>
      </c>
      <c r="F10" s="34">
        <v>138241</v>
      </c>
      <c r="G10" s="34">
        <v>131489</v>
      </c>
      <c r="H10" s="34">
        <v>130933</v>
      </c>
      <c r="I10" s="34">
        <v>132176</v>
      </c>
      <c r="J10" s="34">
        <f>136512+94521-94310</f>
        <v>136723</v>
      </c>
      <c r="K10" s="34">
        <v>148000</v>
      </c>
      <c r="L10" s="34"/>
      <c r="M10" s="34">
        <v>139237</v>
      </c>
      <c r="N10" s="34">
        <v>143046</v>
      </c>
    </row>
    <row r="11" spans="1:14" s="562" customFormat="1" ht="18" customHeight="1">
      <c r="A11" s="360" t="s">
        <v>503</v>
      </c>
      <c r="B11" s="355"/>
      <c r="C11" s="355"/>
      <c r="D11" s="355"/>
      <c r="E11" s="37">
        <v>9007</v>
      </c>
      <c r="F11" s="34">
        <v>9533</v>
      </c>
      <c r="G11" s="34">
        <v>9794</v>
      </c>
      <c r="H11" s="34">
        <v>10284</v>
      </c>
      <c r="I11" s="34">
        <v>10843</v>
      </c>
      <c r="J11" s="34">
        <v>11185</v>
      </c>
      <c r="K11" s="34">
        <v>11845</v>
      </c>
      <c r="L11" s="34"/>
      <c r="M11" s="34">
        <v>11558</v>
      </c>
      <c r="N11" s="34">
        <v>11558</v>
      </c>
    </row>
    <row r="12" spans="1:14" s="562" customFormat="1" ht="18" customHeight="1">
      <c r="A12" s="360"/>
      <c r="B12" s="355"/>
      <c r="C12" s="355"/>
      <c r="D12" s="355"/>
      <c r="E12" s="359"/>
      <c r="F12" s="359"/>
      <c r="G12" s="359"/>
      <c r="H12" s="574"/>
      <c r="I12" s="572"/>
      <c r="J12" s="34"/>
      <c r="K12" s="34"/>
      <c r="L12" s="34"/>
    </row>
    <row r="13" spans="1:14" s="562" customFormat="1" ht="18" customHeight="1">
      <c r="A13" s="357" t="s">
        <v>370</v>
      </c>
      <c r="B13" s="357"/>
      <c r="C13" s="357"/>
      <c r="D13" s="357"/>
      <c r="E13" s="358">
        <f t="shared" ref="E13:K13" si="1">SUM(E14:E20)</f>
        <v>89511</v>
      </c>
      <c r="F13" s="358">
        <f t="shared" si="1"/>
        <v>90075</v>
      </c>
      <c r="G13" s="358">
        <f t="shared" si="1"/>
        <v>91358</v>
      </c>
      <c r="H13" s="358">
        <f t="shared" si="1"/>
        <v>91547</v>
      </c>
      <c r="I13" s="358">
        <f t="shared" si="1"/>
        <v>92182</v>
      </c>
      <c r="J13" s="358">
        <f t="shared" si="1"/>
        <v>94310</v>
      </c>
      <c r="K13" s="358">
        <f t="shared" si="1"/>
        <v>98292</v>
      </c>
      <c r="L13" s="358"/>
      <c r="M13" s="358">
        <f>SUM(M14:M20)</f>
        <v>91328</v>
      </c>
      <c r="N13" s="358">
        <f>SUM(N14:N20)</f>
        <v>92929</v>
      </c>
    </row>
    <row r="14" spans="1:14" s="562" customFormat="1" ht="18" customHeight="1">
      <c r="A14" s="360" t="s">
        <v>502</v>
      </c>
      <c r="B14" s="360"/>
      <c r="C14" s="355"/>
      <c r="D14" s="355"/>
      <c r="E14" s="37">
        <v>36963</v>
      </c>
      <c r="F14" s="34">
        <v>36316</v>
      </c>
      <c r="G14" s="34">
        <v>36357</v>
      </c>
      <c r="H14" s="34">
        <v>36022</v>
      </c>
      <c r="I14" s="34">
        <v>36647</v>
      </c>
      <c r="J14" s="34">
        <f>33857+1565+2103</f>
        <v>37525</v>
      </c>
      <c r="K14" s="34">
        <f>35326+1922+2481</f>
        <v>39729</v>
      </c>
      <c r="L14" s="34"/>
      <c r="M14" s="34">
        <v>36546</v>
      </c>
      <c r="N14" s="34">
        <v>37162</v>
      </c>
    </row>
    <row r="15" spans="1:14" s="562" customFormat="1" ht="18" customHeight="1">
      <c r="A15" s="362" t="s">
        <v>371</v>
      </c>
      <c r="B15" s="360"/>
      <c r="C15" s="355"/>
      <c r="D15" s="355"/>
      <c r="E15" s="37">
        <v>20311</v>
      </c>
      <c r="F15" s="34">
        <v>20542</v>
      </c>
      <c r="G15" s="34">
        <v>21157</v>
      </c>
      <c r="H15" s="34">
        <v>21301</v>
      </c>
      <c r="I15" s="34">
        <v>21244</v>
      </c>
      <c r="J15" s="34">
        <v>22334</v>
      </c>
      <c r="K15" s="34">
        <f>20198+957+2161</f>
        <v>23316</v>
      </c>
      <c r="L15" s="34"/>
      <c r="M15" s="34">
        <v>22250</v>
      </c>
      <c r="N15" s="34">
        <v>22250</v>
      </c>
    </row>
    <row r="16" spans="1:14" s="562" customFormat="1" ht="18" customHeight="1">
      <c r="A16" s="360" t="s">
        <v>372</v>
      </c>
      <c r="B16" s="360"/>
      <c r="C16" s="355"/>
      <c r="D16" s="355"/>
      <c r="E16" s="37">
        <v>8700</v>
      </c>
      <c r="F16" s="34">
        <v>8956</v>
      </c>
      <c r="G16" s="34">
        <v>9126</v>
      </c>
      <c r="H16" s="34">
        <v>9281</v>
      </c>
      <c r="I16" s="34">
        <v>9189</v>
      </c>
      <c r="J16" s="34">
        <v>9111</v>
      </c>
      <c r="K16" s="34">
        <v>9287</v>
      </c>
      <c r="L16" s="34"/>
      <c r="M16" s="34">
        <v>8477</v>
      </c>
      <c r="N16" s="34">
        <v>8734</v>
      </c>
    </row>
    <row r="17" spans="1:14" s="562" customFormat="1" ht="18" customHeight="1">
      <c r="A17" s="360" t="s">
        <v>373</v>
      </c>
      <c r="B17" s="360"/>
      <c r="C17" s="355"/>
      <c r="D17" s="355"/>
      <c r="E17" s="37">
        <v>8106</v>
      </c>
      <c r="F17" s="34">
        <v>8657</v>
      </c>
      <c r="G17" s="34">
        <v>8885</v>
      </c>
      <c r="H17" s="34">
        <v>9057</v>
      </c>
      <c r="I17" s="34">
        <v>9204</v>
      </c>
      <c r="J17" s="34">
        <v>8931</v>
      </c>
      <c r="K17" s="34">
        <v>9082</v>
      </c>
      <c r="L17" s="34"/>
      <c r="M17" s="34">
        <v>8469</v>
      </c>
      <c r="N17" s="34">
        <v>8808</v>
      </c>
    </row>
    <row r="18" spans="1:14" s="562" customFormat="1" ht="18" customHeight="1">
      <c r="A18" s="360" t="s">
        <v>374</v>
      </c>
      <c r="B18" s="360"/>
      <c r="C18" s="355"/>
      <c r="D18" s="355"/>
      <c r="E18" s="37">
        <v>4054</v>
      </c>
      <c r="F18" s="34">
        <v>4099</v>
      </c>
      <c r="G18" s="34">
        <v>4120</v>
      </c>
      <c r="H18" s="34">
        <v>4131</v>
      </c>
      <c r="I18" s="34">
        <v>4114</v>
      </c>
      <c r="J18" s="34">
        <v>4269</v>
      </c>
      <c r="K18" s="34">
        <v>4470</v>
      </c>
      <c r="L18" s="34"/>
      <c r="M18" s="34">
        <v>4213</v>
      </c>
      <c r="N18" s="34">
        <v>4213</v>
      </c>
    </row>
    <row r="19" spans="1:14" s="562" customFormat="1" ht="18" customHeight="1">
      <c r="A19" s="362" t="s">
        <v>375</v>
      </c>
      <c r="B19" s="360"/>
      <c r="C19" s="355"/>
      <c r="D19" s="355"/>
      <c r="E19" s="37">
        <v>11377</v>
      </c>
      <c r="F19" s="34">
        <v>11505</v>
      </c>
      <c r="G19" s="34">
        <v>11713</v>
      </c>
      <c r="H19" s="34">
        <v>11755</v>
      </c>
      <c r="I19" s="34">
        <v>11784</v>
      </c>
      <c r="J19" s="34">
        <v>12140</v>
      </c>
      <c r="K19" s="34">
        <v>12408</v>
      </c>
      <c r="L19" s="34"/>
      <c r="M19" s="34">
        <v>11373</v>
      </c>
      <c r="N19" s="34">
        <v>11762</v>
      </c>
    </row>
    <row r="20" spans="1:14" s="562" customFormat="1" ht="18" customHeight="1">
      <c r="A20" s="355"/>
      <c r="B20" s="355"/>
      <c r="C20" s="355"/>
      <c r="D20" s="355"/>
      <c r="E20" s="359"/>
      <c r="F20" s="359"/>
      <c r="G20" s="359"/>
      <c r="H20" s="574"/>
      <c r="I20" s="572"/>
      <c r="J20" s="34"/>
      <c r="K20" s="34"/>
      <c r="L20" s="34"/>
      <c r="M20" s="34" t="s">
        <v>386</v>
      </c>
      <c r="N20" s="34" t="s">
        <v>386</v>
      </c>
    </row>
    <row r="21" spans="1:14" s="562" customFormat="1" ht="18" customHeight="1">
      <c r="A21" s="357" t="s">
        <v>501</v>
      </c>
      <c r="B21" s="357"/>
      <c r="C21" s="355"/>
      <c r="D21" s="355"/>
      <c r="E21" s="358">
        <f t="shared" ref="E21:K21" si="2">E10+E13</f>
        <v>229264</v>
      </c>
      <c r="F21" s="358">
        <f t="shared" si="2"/>
        <v>228316</v>
      </c>
      <c r="G21" s="358">
        <f t="shared" si="2"/>
        <v>222847</v>
      </c>
      <c r="H21" s="358">
        <f t="shared" si="2"/>
        <v>222480</v>
      </c>
      <c r="I21" s="358">
        <f t="shared" si="2"/>
        <v>224358</v>
      </c>
      <c r="J21" s="358">
        <f t="shared" si="2"/>
        <v>231033</v>
      </c>
      <c r="K21" s="358">
        <f t="shared" si="2"/>
        <v>246292</v>
      </c>
      <c r="L21" s="358"/>
      <c r="M21" s="358">
        <f>M10+M13</f>
        <v>230565</v>
      </c>
      <c r="N21" s="358">
        <f>N10+N13</f>
        <v>235975</v>
      </c>
    </row>
    <row r="22" spans="1:14" s="562" customFormat="1" ht="18" customHeight="1">
      <c r="A22" s="357"/>
      <c r="B22" s="357"/>
      <c r="C22" s="355"/>
      <c r="D22" s="355"/>
      <c r="E22" s="358"/>
      <c r="F22" s="358"/>
      <c r="G22" s="358"/>
      <c r="H22" s="358"/>
      <c r="I22" s="358"/>
      <c r="J22" s="358"/>
      <c r="K22" s="358"/>
      <c r="L22" s="358"/>
    </row>
    <row r="23" spans="1:14" s="562" customFormat="1" ht="15" customHeight="1">
      <c r="A23" s="363"/>
      <c r="B23" s="363"/>
      <c r="C23" s="364"/>
      <c r="D23" s="364"/>
      <c r="E23" s="365"/>
      <c r="F23" s="365"/>
      <c r="G23" s="365"/>
      <c r="H23" s="366"/>
      <c r="I23" s="366"/>
      <c r="J23" s="364"/>
      <c r="K23" s="573"/>
      <c r="L23" s="573"/>
      <c r="M23" s="573"/>
      <c r="N23" s="573"/>
    </row>
    <row r="24" spans="1:14" s="562" customFormat="1" ht="15" customHeight="1">
      <c r="E24" s="345"/>
      <c r="F24" s="345"/>
      <c r="G24" s="345"/>
      <c r="H24" s="346"/>
      <c r="I24" s="346"/>
      <c r="J24" s="345"/>
      <c r="K24" s="572"/>
      <c r="L24" s="572"/>
    </row>
    <row r="25" spans="1:14" s="562" customFormat="1" ht="15.95" customHeight="1">
      <c r="A25" s="567" t="s">
        <v>376</v>
      </c>
      <c r="B25" s="571" t="s">
        <v>500</v>
      </c>
      <c r="C25" s="570"/>
      <c r="D25" s="570"/>
      <c r="E25" s="570"/>
      <c r="F25" s="570"/>
      <c r="G25" s="570"/>
      <c r="H25" s="570"/>
      <c r="I25" s="570"/>
      <c r="J25" s="570"/>
      <c r="K25" s="570"/>
      <c r="L25" s="570"/>
      <c r="M25" s="570"/>
    </row>
    <row r="26" spans="1:14" s="562" customFormat="1" ht="15.95" customHeight="1">
      <c r="A26" s="567"/>
      <c r="B26" s="569" t="s">
        <v>499</v>
      </c>
      <c r="C26" s="568"/>
      <c r="D26" s="568"/>
      <c r="E26" s="568"/>
      <c r="F26" s="568"/>
      <c r="G26" s="568"/>
      <c r="H26" s="568"/>
      <c r="I26" s="568"/>
      <c r="J26" s="568"/>
      <c r="K26" s="568"/>
      <c r="L26" s="568"/>
      <c r="M26" s="568"/>
    </row>
    <row r="27" spans="1:14" s="566" customFormat="1" ht="15.95" customHeight="1">
      <c r="A27" s="567" t="s">
        <v>377</v>
      </c>
      <c r="B27" s="2537" t="s">
        <v>498</v>
      </c>
      <c r="C27" s="2537"/>
      <c r="D27" s="2537"/>
      <c r="E27" s="2537"/>
      <c r="F27" s="2537"/>
      <c r="G27" s="2537"/>
      <c r="H27" s="2537"/>
      <c r="I27" s="2537"/>
      <c r="J27" s="2537"/>
      <c r="K27" s="2537"/>
      <c r="L27" s="2537"/>
      <c r="M27" s="2537"/>
    </row>
    <row r="28" spans="1:14" s="566" customFormat="1" ht="15.95" customHeight="1">
      <c r="A28" s="567"/>
      <c r="B28" s="569" t="s">
        <v>497</v>
      </c>
      <c r="C28" s="568"/>
      <c r="D28" s="568"/>
      <c r="E28" s="568"/>
      <c r="F28" s="568"/>
      <c r="G28" s="568"/>
      <c r="H28" s="568"/>
      <c r="I28" s="568"/>
      <c r="J28" s="568"/>
      <c r="K28" s="568"/>
      <c r="L28" s="568"/>
      <c r="M28" s="568"/>
    </row>
    <row r="29" spans="1:14" s="566" customFormat="1" ht="15.95" customHeight="1">
      <c r="A29" s="567" t="s">
        <v>496</v>
      </c>
      <c r="B29" s="2537" t="s">
        <v>495</v>
      </c>
      <c r="C29" s="2537"/>
      <c r="D29" s="2537"/>
      <c r="E29" s="2537"/>
      <c r="F29" s="2537"/>
      <c r="G29" s="2537"/>
      <c r="H29" s="2537"/>
      <c r="I29" s="2537"/>
      <c r="J29" s="2537"/>
      <c r="K29" s="2537"/>
      <c r="L29" s="2537"/>
      <c r="M29" s="2537"/>
    </row>
    <row r="30" spans="1:14" s="562" customFormat="1" ht="15.95" customHeight="1">
      <c r="A30" s="355"/>
      <c r="B30" s="371" t="s">
        <v>494</v>
      </c>
      <c r="C30" s="372"/>
      <c r="D30" s="346"/>
      <c r="E30" s="346"/>
      <c r="F30" s="346"/>
      <c r="G30" s="346"/>
      <c r="H30" s="346"/>
      <c r="I30" s="346"/>
      <c r="J30" s="346"/>
      <c r="K30" s="563"/>
    </row>
    <row r="31" spans="1:14" s="562" customFormat="1" ht="15.95" customHeight="1">
      <c r="A31" s="355"/>
      <c r="B31" s="371" t="s">
        <v>493</v>
      </c>
      <c r="C31" s="372"/>
      <c r="D31" s="346"/>
      <c r="E31" s="346"/>
      <c r="F31" s="346"/>
      <c r="G31" s="346"/>
      <c r="H31" s="346"/>
      <c r="I31" s="346"/>
      <c r="J31" s="346"/>
      <c r="K31" s="563"/>
    </row>
    <row r="32" spans="1:14" s="562" customFormat="1" ht="15" customHeight="1">
      <c r="A32" s="370"/>
      <c r="B32" s="369"/>
      <c r="C32" s="372"/>
      <c r="D32" s="346"/>
      <c r="E32" s="346"/>
      <c r="F32" s="346"/>
      <c r="G32" s="346"/>
      <c r="H32" s="346"/>
      <c r="I32" s="346"/>
      <c r="J32" s="346"/>
      <c r="K32" s="563"/>
      <c r="L32" s="563"/>
    </row>
    <row r="33" spans="1:12" s="562" customFormat="1" ht="12.75" customHeight="1">
      <c r="A33" s="355"/>
      <c r="B33" s="369"/>
      <c r="C33" s="346"/>
      <c r="D33" s="346"/>
      <c r="E33" s="346"/>
      <c r="F33" s="346"/>
      <c r="G33" s="346"/>
      <c r="H33" s="346"/>
      <c r="I33" s="346"/>
      <c r="J33" s="346"/>
      <c r="K33" s="563"/>
      <c r="L33" s="563"/>
    </row>
    <row r="34" spans="1:12" s="562" customFormat="1" ht="12.75" customHeight="1">
      <c r="A34" s="355"/>
      <c r="B34" s="369"/>
      <c r="C34" s="346"/>
      <c r="D34" s="346"/>
      <c r="E34" s="346"/>
      <c r="F34" s="346"/>
      <c r="G34" s="346"/>
      <c r="H34" s="346"/>
      <c r="I34" s="346"/>
      <c r="J34" s="346"/>
      <c r="K34" s="563"/>
      <c r="L34" s="563"/>
    </row>
    <row r="35" spans="1:12" ht="12.75" customHeight="1">
      <c r="A35" s="565"/>
      <c r="B35" s="564"/>
      <c r="E35" s="361"/>
      <c r="H35" s="355"/>
      <c r="I35" s="355"/>
    </row>
    <row r="36" spans="1:12" ht="12.75" customHeight="1">
      <c r="B36" s="564"/>
      <c r="E36" s="361"/>
      <c r="H36" s="355"/>
      <c r="I36" s="355"/>
    </row>
    <row r="37" spans="1:12" ht="15" customHeight="1">
      <c r="A37" s="565"/>
      <c r="B37" s="564"/>
      <c r="E37" s="361"/>
      <c r="H37" s="355"/>
      <c r="I37" s="355"/>
      <c r="J37" s="361"/>
    </row>
    <row r="38" spans="1:12" ht="15" customHeight="1">
      <c r="B38" s="564"/>
      <c r="E38" s="361"/>
      <c r="H38" s="355"/>
      <c r="I38" s="355"/>
    </row>
    <row r="39" spans="1:12" s="562" customFormat="1" ht="15" customHeight="1">
      <c r="A39" s="370"/>
      <c r="B39" s="369"/>
      <c r="C39" s="346"/>
      <c r="D39" s="346"/>
      <c r="E39" s="346"/>
      <c r="F39" s="346"/>
      <c r="G39" s="346"/>
      <c r="H39" s="346"/>
      <c r="I39" s="346"/>
      <c r="J39" s="346"/>
      <c r="K39" s="563"/>
      <c r="L39" s="563"/>
    </row>
    <row r="40" spans="1:12" s="562" customFormat="1" ht="15" customHeight="1">
      <c r="A40" s="355"/>
      <c r="B40" s="369"/>
      <c r="C40" s="346"/>
      <c r="D40" s="346"/>
      <c r="E40" s="346"/>
      <c r="F40" s="346"/>
      <c r="G40" s="346"/>
      <c r="H40" s="346"/>
      <c r="I40" s="346"/>
      <c r="J40" s="346"/>
      <c r="K40" s="563"/>
      <c r="L40" s="563"/>
    </row>
    <row r="41" spans="1:12" s="562" customFormat="1" ht="15" customHeight="1">
      <c r="A41" s="346"/>
      <c r="B41" s="346"/>
      <c r="C41" s="346"/>
      <c r="D41" s="346"/>
      <c r="E41" s="346"/>
      <c r="F41" s="346"/>
      <c r="G41" s="346"/>
      <c r="H41" s="346"/>
      <c r="I41" s="346"/>
      <c r="J41" s="346"/>
      <c r="K41" s="563"/>
      <c r="L41" s="563"/>
    </row>
    <row r="42" spans="1:12" s="562" customFormat="1" ht="15">
      <c r="A42" s="346"/>
      <c r="B42" s="346"/>
      <c r="C42" s="346"/>
      <c r="D42" s="346"/>
      <c r="E42" s="346"/>
      <c r="F42" s="346"/>
      <c r="G42" s="346"/>
      <c r="H42" s="346"/>
      <c r="I42" s="346"/>
      <c r="J42" s="346"/>
      <c r="K42" s="563"/>
      <c r="L42" s="563"/>
    </row>
    <row r="43" spans="1:12" s="562" customFormat="1" ht="15">
      <c r="A43" s="373"/>
      <c r="B43" s="373"/>
      <c r="C43" s="345"/>
      <c r="D43" s="345"/>
      <c r="E43" s="345"/>
      <c r="F43" s="345"/>
      <c r="G43" s="345"/>
      <c r="H43" s="346"/>
      <c r="I43" s="346"/>
      <c r="J43" s="345"/>
    </row>
    <row r="44" spans="1:12">
      <c r="A44" s="374"/>
      <c r="B44" s="374"/>
      <c r="C44" s="345"/>
      <c r="D44" s="345"/>
      <c r="E44" s="345"/>
      <c r="F44" s="345"/>
      <c r="G44" s="345"/>
      <c r="H44" s="346"/>
      <c r="I44" s="346"/>
      <c r="J44" s="345"/>
    </row>
    <row r="45" spans="1:12">
      <c r="A45" s="374"/>
      <c r="B45" s="374"/>
    </row>
    <row r="46" spans="1:12">
      <c r="A46" s="374"/>
      <c r="B46" s="374"/>
    </row>
  </sheetData>
  <mergeCells count="3">
    <mergeCell ref="E5:K5"/>
    <mergeCell ref="B27:M27"/>
    <mergeCell ref="B29:M29"/>
  </mergeCells>
  <printOptions horizontalCentered="1"/>
  <pageMargins left="0.4" right="0.4" top="0.7" bottom="0.7" header="0.5" footer="0.35"/>
  <pageSetup firstPageNumber="277" orientation="portrait" useFirstPageNumber="1" r:id="rId1"/>
  <headerFooter alignWithMargins="0">
    <oddFooter>&amp;C&amp;"Times New Roman,Regular"&amp;10&amp;P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30</vt:i4>
      </vt:variant>
    </vt:vector>
  </HeadingPairs>
  <TitlesOfParts>
    <vt:vector size="41" baseType="lpstr">
      <vt:lpstr>1980sEnrollment</vt:lpstr>
      <vt:lpstr>OversightActuals</vt:lpstr>
      <vt:lpstr>TuitionRevenues</vt:lpstr>
      <vt:lpstr>Enrollment</vt:lpstr>
      <vt:lpstr>OperatingFunds</vt:lpstr>
      <vt:lpstr>ConstantDollars</vt:lpstr>
      <vt:lpstr>DollarsPerActFTE</vt:lpstr>
      <vt:lpstr>Constant$PerActFTE</vt:lpstr>
      <vt:lpstr>DollarsPerBudgetedFTE</vt:lpstr>
      <vt:lpstr>Constant$PerBudgetedFTE</vt:lpstr>
      <vt:lpstr>EconomicIndicators</vt:lpstr>
      <vt:lpstr>BaseYear</vt:lpstr>
      <vt:lpstr>IPDBaseYears</vt:lpstr>
      <vt:lpstr>'2011-13C9P'!Print_Area</vt:lpstr>
      <vt:lpstr>'2011-13HA1'!Print_Area</vt:lpstr>
      <vt:lpstr>'5Biennia'!Print_Area</vt:lpstr>
      <vt:lpstr>BDFinal200910!Print_Area</vt:lpstr>
      <vt:lpstr>BDFinal201011!Print_Area</vt:lpstr>
      <vt:lpstr>'C2P'!Print_Area</vt:lpstr>
      <vt:lpstr>'Constant$PerActFTE'!Print_Area</vt:lpstr>
      <vt:lpstr>'Constant$PerBudgetedFTE'!Print_Area</vt:lpstr>
      <vt:lpstr>ConstantDollars!Print_Area</vt:lpstr>
      <vt:lpstr>DollarsPerBudgetedFTE!Print_Area</vt:lpstr>
      <vt:lpstr>ESHB1086!Print_Area</vt:lpstr>
      <vt:lpstr>FinalSFEnrollment201112!Print_Area</vt:lpstr>
      <vt:lpstr>FinalSFEnrollment201112Updated!Print_Area</vt:lpstr>
      <vt:lpstr>LBN2008Enrollment!Print_Area</vt:lpstr>
      <vt:lpstr>'LBN2017'!Print_Area</vt:lpstr>
      <vt:lpstr>'LBN2019'!Print_Area</vt:lpstr>
      <vt:lpstr>OperatingFunds!Print_Area</vt:lpstr>
      <vt:lpstr>PFMBSR2010!Print_Area</vt:lpstr>
      <vt:lpstr>'2011-13C9P'!Print_Titles</vt:lpstr>
      <vt:lpstr>'2011-13HA1'!Print_Titles</vt:lpstr>
      <vt:lpstr>'C2P'!Print_Titles</vt:lpstr>
      <vt:lpstr>'Constant$PerActFTE'!Print_Titles</vt:lpstr>
      <vt:lpstr>'Constant$PerBudgetedFTE'!Print_Titles</vt:lpstr>
      <vt:lpstr>ConstantDollars!Print_Titles</vt:lpstr>
      <vt:lpstr>DollarsPerBudgetedFTE!Print_Titles</vt:lpstr>
      <vt:lpstr>ESHB1086!Print_Titles</vt:lpstr>
      <vt:lpstr>OperatingFunds!Print_Titles</vt:lpstr>
      <vt:lpstr>PFMBSR2010!Print_Titles</vt:lpstr>
    </vt:vector>
  </TitlesOfParts>
  <Company>Washington State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Mann, Michael</dc:creator>
  <cp:lastModifiedBy>Naas, Jeffrey</cp:lastModifiedBy>
  <cp:lastPrinted>2023-11-15T19:20:18Z</cp:lastPrinted>
  <dcterms:created xsi:type="dcterms:W3CDTF">1997-10-06T17:02:30Z</dcterms:created>
  <dcterms:modified xsi:type="dcterms:W3CDTF">2024-12-18T20:20:02Z</dcterms:modified>
</cp:coreProperties>
</file>